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2.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https://onedrive-global.kpmg.com/personal/carlosgustavoarroyo_kpmg_es/Documents/Desktop/tfg/data/"/>
    </mc:Choice>
  </mc:AlternateContent>
  <xr:revisionPtr revIDLastSave="6" documentId="13_ncr:1_{AD8FE01F-A325-4D02-97BF-4F1D4B1F2F06}" xr6:coauthVersionLast="47" xr6:coauthVersionMax="47" xr10:uidLastSave="{00AFF394-C230-4DFA-A931-893B56B7567D}"/>
  <bookViews>
    <workbookView xWindow="6405" yWindow="-16335" windowWidth="29070" windowHeight="15870" tabRatio="927" firstSheet="1" activeTab="10" xr2:uid="{00000000-000D-0000-FFFF-FFFF00000000}"/>
  </bookViews>
  <sheets>
    <sheet name="BBDD" sheetId="25" r:id="rId1"/>
    <sheet name="Tablas" sheetId="6" r:id="rId2"/>
    <sheet name="Hipótesis" sheetId="16" r:id="rId3"/>
    <sheet name="Bienvenida" sheetId="44" r:id="rId4"/>
    <sheet name="Simulador - Datos personales" sheetId="8" r:id="rId5"/>
    <sheet name="Datos SS" sheetId="3" r:id="rId6"/>
    <sheet name="Coef Reductores Anticipada" sheetId="47" r:id="rId7"/>
    <sheet name="periodo transitorio coef REDUCT" sheetId="48" r:id="rId8"/>
    <sheet name="Fecha Jubilación" sheetId="15" r:id="rId9"/>
    <sheet name="PJSS" sheetId="1" r:id="rId10"/>
    <sheet name="Simulador - 1º Pilar" sheetId="22" r:id="rId11"/>
    <sheet name="Renta Vitalicia" sheetId="5" r:id="rId12"/>
    <sheet name="Aportaciones PPE" sheetId="7" r:id="rId13"/>
    <sheet name="Aportaciones Poliza" sheetId="27" r:id="rId14"/>
    <sheet name="Aportaciones Flex" sheetId="28" r:id="rId15"/>
    <sheet name="Simulador - 2º Pilar" sheetId="41" r:id="rId16"/>
    <sheet name="Aportaciones PP indvidual" sheetId="13" r:id="rId17"/>
    <sheet name="Simulador - 3º Pilar" sheetId="29" r:id="rId18"/>
    <sheet name="Renta temp." sheetId="36" r:id="rId19"/>
    <sheet name="sim" sheetId="46" r:id="rId20"/>
    <sheet name="Simulador - RESUMEN" sheetId="30" r:id="rId21"/>
    <sheet name="Informe" sheetId="45" r:id="rId22"/>
  </sheets>
  <definedNames>
    <definedName name="_Fill" localSheetId="14" hidden="1">#REF!</definedName>
    <definedName name="_Fill" localSheetId="13" hidden="1">#REF!</definedName>
    <definedName name="_Fill" localSheetId="16" hidden="1">#REF!</definedName>
    <definedName name="_Fill" localSheetId="18" hidden="1">#REF!</definedName>
    <definedName name="_Fill" localSheetId="10" hidden="1">#REF!</definedName>
    <definedName name="_Fill" localSheetId="15" hidden="1">#REF!</definedName>
    <definedName name="_Fill" localSheetId="17" hidden="1">#REF!</definedName>
    <definedName name="_Fill" localSheetId="20" hidden="1">#REF!</definedName>
    <definedName name="_Fill" hidden="1">#REF!</definedName>
    <definedName name="_xlnm._FilterDatabase" localSheetId="12" hidden="1">'Aportaciones PPE'!$Y$7:$AB$1066</definedName>
    <definedName name="_xlnm._FilterDatabase" localSheetId="0" hidden="1">BBDD!$C$4:$L$34</definedName>
    <definedName name="_Key1" localSheetId="14" hidden="1">#REF!</definedName>
    <definedName name="_Key1" localSheetId="13" hidden="1">#REF!</definedName>
    <definedName name="_Key1" localSheetId="16" hidden="1">#REF!</definedName>
    <definedName name="_Key1" localSheetId="18" hidden="1">#REF!</definedName>
    <definedName name="_Key1" localSheetId="10" hidden="1">#REF!</definedName>
    <definedName name="_Key1" localSheetId="15" hidden="1">#REF!</definedName>
    <definedName name="_Key1" localSheetId="17" hidden="1">#REF!</definedName>
    <definedName name="_Key1" localSheetId="20" hidden="1">#REF!</definedName>
    <definedName name="_Key1" hidden="1">#REF!</definedName>
    <definedName name="_Key2" localSheetId="14" hidden="1">#REF!</definedName>
    <definedName name="_Key2" localSheetId="13" hidden="1">#REF!</definedName>
    <definedName name="_Key2" localSheetId="16" hidden="1">#REF!</definedName>
    <definedName name="_Key2" localSheetId="18" hidden="1">#REF!</definedName>
    <definedName name="_Key2" localSheetId="10" hidden="1">#REF!</definedName>
    <definedName name="_Key2" localSheetId="15" hidden="1">#REF!</definedName>
    <definedName name="_Key2" localSheetId="17" hidden="1">#REF!</definedName>
    <definedName name="_Key2" localSheetId="20" hidden="1">#REF!</definedName>
    <definedName name="_Key2" hidden="1">#REF!</definedName>
    <definedName name="_Order1" hidden="1">255</definedName>
    <definedName name="_Order2" hidden="1">0</definedName>
    <definedName name="_Parse_In" localSheetId="14" hidden="1">#REF!</definedName>
    <definedName name="_Parse_In" localSheetId="13" hidden="1">#REF!</definedName>
    <definedName name="_Parse_In" localSheetId="16" hidden="1">#REF!</definedName>
    <definedName name="_Parse_In" localSheetId="18" hidden="1">#REF!</definedName>
    <definedName name="_Parse_In" localSheetId="10" hidden="1">#REF!</definedName>
    <definedName name="_Parse_In" localSheetId="15" hidden="1">#REF!</definedName>
    <definedName name="_Parse_In" localSheetId="17" hidden="1">#REF!</definedName>
    <definedName name="_Parse_In" localSheetId="20" hidden="1">#REF!</definedName>
    <definedName name="_Parse_In" hidden="1">#REF!</definedName>
    <definedName name="_Parse_Out" localSheetId="14" hidden="1">#REF!</definedName>
    <definedName name="_Parse_Out" localSheetId="13" hidden="1">#REF!</definedName>
    <definedName name="_Parse_Out" localSheetId="16" hidden="1">#REF!</definedName>
    <definedName name="_Parse_Out" localSheetId="18" hidden="1">#REF!</definedName>
    <definedName name="_Parse_Out" localSheetId="10" hidden="1">#REF!</definedName>
    <definedName name="_Parse_Out" localSheetId="15" hidden="1">#REF!</definedName>
    <definedName name="_Parse_Out" localSheetId="17" hidden="1">#REF!</definedName>
    <definedName name="_Parse_Out" localSheetId="20" hidden="1">#REF!</definedName>
    <definedName name="_Parse_Out" hidden="1">#REF!</definedName>
    <definedName name="_Sort" localSheetId="14" hidden="1">#REF!</definedName>
    <definedName name="_Sort" localSheetId="13" hidden="1">#REF!</definedName>
    <definedName name="_Sort" localSheetId="16" hidden="1">#REF!</definedName>
    <definedName name="_Sort" localSheetId="18" hidden="1">#REF!</definedName>
    <definedName name="_Sort" localSheetId="10" hidden="1">#REF!</definedName>
    <definedName name="_Sort" localSheetId="15" hidden="1">#REF!</definedName>
    <definedName name="_Sort" localSheetId="17" hidden="1">#REF!</definedName>
    <definedName name="_Sort" localSheetId="20" hidden="1">#REF!</definedName>
    <definedName name="_Sort" hidden="1">#REF!</definedName>
    <definedName name="_uh2" localSheetId="14" hidden="1">#REF!</definedName>
    <definedName name="_uh2" localSheetId="13" hidden="1">#REF!</definedName>
    <definedName name="_uh2" localSheetId="16" hidden="1">#REF!</definedName>
    <definedName name="_uh2" localSheetId="18" hidden="1">#REF!</definedName>
    <definedName name="_uh2" localSheetId="10" hidden="1">#REF!</definedName>
    <definedName name="_uh2" localSheetId="15" hidden="1">#REF!</definedName>
    <definedName name="_uh2" localSheetId="17" hidden="1">#REF!</definedName>
    <definedName name="_uh2" localSheetId="20" hidden="1">#REF!</definedName>
    <definedName name="_uh2" hidden="1">#REF!</definedName>
    <definedName name="_uh3" localSheetId="14" hidden="1">#REF!</definedName>
    <definedName name="_uh3" localSheetId="13" hidden="1">#REF!</definedName>
    <definedName name="_uh3" localSheetId="16" hidden="1">#REF!</definedName>
    <definedName name="_uh3" localSheetId="18" hidden="1">#REF!</definedName>
    <definedName name="_uh3" localSheetId="10" hidden="1">#REF!</definedName>
    <definedName name="_uh3" localSheetId="15" hidden="1">#REF!</definedName>
    <definedName name="_uh3" localSheetId="17" hidden="1">#REF!</definedName>
    <definedName name="_uh3" localSheetId="20" hidden="1">#REF!</definedName>
    <definedName name="_uh3" hidden="1">#REF!</definedName>
    <definedName name="AS2DocOpenMode" hidden="1">"AS2DocumentEdit"</definedName>
    <definedName name="d" localSheetId="14" hidden="1">#REF!</definedName>
    <definedName name="d" localSheetId="13" hidden="1">#REF!</definedName>
    <definedName name="d" localSheetId="16" hidden="1">#REF!</definedName>
    <definedName name="d" localSheetId="18" hidden="1">#REF!</definedName>
    <definedName name="d" localSheetId="10" hidden="1">#REF!</definedName>
    <definedName name="d" localSheetId="15" hidden="1">#REF!</definedName>
    <definedName name="d" localSheetId="17" hidden="1">#REF!</definedName>
    <definedName name="d" localSheetId="20" hidden="1">#REF!</definedName>
    <definedName name="d" hidden="1">#REF!</definedName>
    <definedName name="impres">Informe!$B$1:$S$204</definedName>
    <definedName name="l" localSheetId="14" hidden="1">#REF!</definedName>
    <definedName name="l" localSheetId="13" hidden="1">#REF!</definedName>
    <definedName name="l" localSheetId="16" hidden="1">#REF!</definedName>
    <definedName name="l" localSheetId="18" hidden="1">#REF!</definedName>
    <definedName name="l" localSheetId="10" hidden="1">#REF!</definedName>
    <definedName name="l" localSheetId="15" hidden="1">#REF!</definedName>
    <definedName name="l" localSheetId="17" hidden="1">#REF!</definedName>
    <definedName name="l" localSheetId="20" hidden="1">#REF!</definedName>
    <definedName name="l" hidden="1">#REF!</definedName>
    <definedName name="_xlnm.Print_Area" localSheetId="21">Informe!$B$1:$J$528</definedName>
    <definedName name="solver_adj" localSheetId="18" hidden="1">'Renta temp.'!$J$7</definedName>
    <definedName name="solver_adj" localSheetId="11" hidden="1">'Renta Vitalicia'!$C$8</definedName>
    <definedName name="solver_cvg" localSheetId="18" hidden="1">0.0001</definedName>
    <definedName name="solver_cvg" localSheetId="11" hidden="1">0.0001</definedName>
    <definedName name="solver_drv" localSheetId="18" hidden="1">2</definedName>
    <definedName name="solver_drv" localSheetId="11" hidden="1">2</definedName>
    <definedName name="solver_eng" localSheetId="18" hidden="1">1</definedName>
    <definedName name="solver_eng" localSheetId="11" hidden="1">1</definedName>
    <definedName name="solver_est" localSheetId="18" hidden="1">1</definedName>
    <definedName name="solver_est" localSheetId="11" hidden="1">1</definedName>
    <definedName name="solver_itr" localSheetId="18" hidden="1">2147483647</definedName>
    <definedName name="solver_itr" localSheetId="11" hidden="1">2147483647</definedName>
    <definedName name="solver_mip" localSheetId="18" hidden="1">2147483647</definedName>
    <definedName name="solver_mip" localSheetId="11" hidden="1">2147483647</definedName>
    <definedName name="solver_mni" localSheetId="18" hidden="1">30</definedName>
    <definedName name="solver_mni" localSheetId="11" hidden="1">30</definedName>
    <definedName name="solver_mrt" localSheetId="18" hidden="1">0.075</definedName>
    <definedName name="solver_mrt" localSheetId="11" hidden="1">0.075</definedName>
    <definedName name="solver_msl" localSheetId="18" hidden="1">2</definedName>
    <definedName name="solver_msl" localSheetId="11" hidden="1">2</definedName>
    <definedName name="solver_neg" localSheetId="18" hidden="1">1</definedName>
    <definedName name="solver_neg" localSheetId="11" hidden="1">1</definedName>
    <definedName name="solver_nod" localSheetId="18" hidden="1">2147483647</definedName>
    <definedName name="solver_nod" localSheetId="11" hidden="1">2147483647</definedName>
    <definedName name="solver_num" localSheetId="18" hidden="1">0</definedName>
    <definedName name="solver_num" localSheetId="11" hidden="1">0</definedName>
    <definedName name="solver_nwt" localSheetId="18" hidden="1">1</definedName>
    <definedName name="solver_nwt" localSheetId="11" hidden="1">1</definedName>
    <definedName name="solver_opt" localSheetId="18" hidden="1">'Renta temp.'!$I$7</definedName>
    <definedName name="solver_opt" localSheetId="11" hidden="1">'Renta Vitalicia'!$F$5</definedName>
    <definedName name="solver_pre" localSheetId="18" hidden="1">0.000001</definedName>
    <definedName name="solver_pre" localSheetId="11" hidden="1">0.000001</definedName>
    <definedName name="solver_rbv" localSheetId="18" hidden="1">2</definedName>
    <definedName name="solver_rbv" localSheetId="11" hidden="1">2</definedName>
    <definedName name="solver_rlx" localSheetId="18" hidden="1">2</definedName>
    <definedName name="solver_rlx" localSheetId="11" hidden="1">2</definedName>
    <definedName name="solver_rsd" localSheetId="18" hidden="1">0</definedName>
    <definedName name="solver_rsd" localSheetId="11" hidden="1">0</definedName>
    <definedName name="solver_scl" localSheetId="18" hidden="1">2</definedName>
    <definedName name="solver_scl" localSheetId="11" hidden="1">2</definedName>
    <definedName name="solver_sho" localSheetId="18" hidden="1">2</definedName>
    <definedName name="solver_sho" localSheetId="11" hidden="1">2</definedName>
    <definedName name="solver_ssz" localSheetId="18" hidden="1">100</definedName>
    <definedName name="solver_ssz" localSheetId="11" hidden="1">100</definedName>
    <definedName name="solver_tim" localSheetId="18" hidden="1">2147483647</definedName>
    <definedName name="solver_tim" localSheetId="11" hidden="1">2147483647</definedName>
    <definedName name="solver_tol" localSheetId="18" hidden="1">0.01</definedName>
    <definedName name="solver_tol" localSheetId="11" hidden="1">0.01</definedName>
    <definedName name="solver_typ" localSheetId="18" hidden="1">3</definedName>
    <definedName name="solver_typ" localSheetId="11" hidden="1">3</definedName>
    <definedName name="solver_val" localSheetId="18" hidden="1">12000</definedName>
    <definedName name="solver_val" localSheetId="11" hidden="1">25366.07</definedName>
    <definedName name="solver_ver" localSheetId="18" hidden="1">3</definedName>
    <definedName name="solver_ver" localSheetId="11" hidden="1">3</definedName>
    <definedName name="TextRefCopyRangeCount" hidden="1">1</definedName>
    <definedName name="uh" localSheetId="14" hidden="1">#REF!</definedName>
    <definedName name="uh" localSheetId="13" hidden="1">#REF!</definedName>
    <definedName name="uh" localSheetId="16" hidden="1">#REF!</definedName>
    <definedName name="uh" localSheetId="18" hidden="1">#REF!</definedName>
    <definedName name="uh" localSheetId="10" hidden="1">#REF!</definedName>
    <definedName name="uh" localSheetId="15" hidden="1">#REF!</definedName>
    <definedName name="uh" localSheetId="17" hidden="1">#REF!</definedName>
    <definedName name="uh" localSheetId="20" hidden="1">#REF!</definedName>
    <definedName name="uh" hidden="1">#REF!</definedName>
    <definedName name="wrn.Aging._.and._.Trend._.Analysis." localSheetId="18"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hidden="1">{#N/A,#N/A,FALSE,"Aging Summary";#N/A,#N/A,FALSE,"Ratio Analysis";#N/A,#N/A,FALSE,"Test 120 Day Accts";#N/A,#N/A,FALSE,"Tickmarks"}</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 i="8" l="1"/>
  <c r="J47" i="41" s="1"/>
  <c r="H5" i="28" s="1"/>
  <c r="E15" i="8"/>
  <c r="F23" i="8" s="1"/>
  <c r="J30" i="41" l="1"/>
  <c r="AM4" i="7" l="1"/>
  <c r="AM3" i="7"/>
  <c r="K111" i="1"/>
  <c r="K4" i="1"/>
  <c r="K19" i="1" l="1"/>
  <c r="E7" i="8" l="1"/>
  <c r="F405" i="45" l="1" a="1"/>
  <c r="F405" i="45" s="1"/>
  <c r="F410" i="45"/>
  <c r="F407" i="45" a="1"/>
  <c r="F407" i="45" s="1"/>
  <c r="F406" i="45"/>
  <c r="F408" i="45" a="1"/>
  <c r="F408" i="45" s="1"/>
  <c r="H517" i="45"/>
  <c r="H514" i="45"/>
  <c r="H513" i="45"/>
  <c r="H512" i="45"/>
  <c r="L439" i="45"/>
  <c r="B439" i="45" s="1"/>
  <c r="H439" i="45"/>
  <c r="H428" i="45"/>
  <c r="H414" i="45"/>
  <c r="B419" i="45" s="1"/>
  <c r="F409" i="45" l="1" a="1"/>
  <c r="F409" i="45" s="1"/>
  <c r="B429" i="45"/>
  <c r="M439" i="45"/>
  <c r="E5" i="16" l="1"/>
  <c r="AA29"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BQ17" i="3"/>
  <c r="M96" i="48" l="1"/>
  <c r="N96" i="48" s="1"/>
  <c r="O96" i="48" s="1"/>
  <c r="P96" i="48" s="1"/>
  <c r="Q96" i="48" s="1"/>
  <c r="R96" i="48" s="1"/>
  <c r="S96" i="48" s="1"/>
  <c r="T96" i="48" s="1"/>
  <c r="U96" i="48" s="1"/>
  <c r="V96" i="48" s="1"/>
  <c r="W96" i="48" s="1"/>
  <c r="X96" i="48" s="1"/>
  <c r="Y96" i="48" s="1"/>
  <c r="Z96" i="48" s="1"/>
  <c r="AA96" i="48" s="1"/>
  <c r="AB96" i="48" s="1"/>
  <c r="AC96" i="48" s="1"/>
  <c r="AD96" i="48" s="1"/>
  <c r="AE96" i="48" s="1"/>
  <c r="AF96" i="48" s="1"/>
  <c r="AG96" i="48" s="1"/>
  <c r="AH96" i="48" s="1"/>
  <c r="AI96" i="48" s="1"/>
  <c r="AJ96" i="48" s="1"/>
  <c r="AK96" i="48" s="1"/>
  <c r="AL96" i="48" s="1"/>
  <c r="AM96" i="48" s="1"/>
  <c r="AN96" i="48" s="1"/>
  <c r="AO96" i="48" s="1"/>
  <c r="AP96" i="48" s="1"/>
  <c r="AQ96" i="48" s="1"/>
  <c r="AR96" i="48" s="1"/>
  <c r="AS96" i="48" s="1"/>
  <c r="AT96" i="48" s="1"/>
  <c r="AU96" i="48" s="1"/>
  <c r="AV96" i="48" s="1"/>
  <c r="AW96" i="48" s="1"/>
  <c r="AX96" i="48" s="1"/>
  <c r="AY96" i="48" s="1"/>
  <c r="AZ96" i="48" s="1"/>
  <c r="BA96" i="48" s="1"/>
  <c r="BB96" i="48" s="1"/>
  <c r="BC96" i="48" s="1"/>
  <c r="BD96" i="48" s="1"/>
  <c r="BE96" i="48" s="1"/>
  <c r="BF96" i="48" s="1"/>
  <c r="BG96" i="48" s="1"/>
  <c r="BH96" i="48" s="1"/>
  <c r="BI96" i="48" s="1"/>
  <c r="BJ96" i="48" s="1"/>
  <c r="BK96" i="48" s="1"/>
  <c r="BL96" i="48" s="1"/>
  <c r="BM96" i="48" s="1"/>
  <c r="BN96" i="48" s="1"/>
  <c r="BO96" i="48" s="1"/>
  <c r="BP96" i="48" s="1"/>
  <c r="BQ96" i="48" s="1"/>
  <c r="BR96" i="48" s="1"/>
  <c r="BS96" i="48" s="1"/>
  <c r="BT96" i="48" s="1"/>
  <c r="BU96" i="48" s="1"/>
  <c r="BV96" i="48" s="1"/>
  <c r="BW96" i="48" s="1"/>
  <c r="BX96" i="48" s="1"/>
  <c r="BY96" i="48" s="1"/>
  <c r="BZ96" i="48" s="1"/>
  <c r="CA96" i="48" s="1"/>
  <c r="CB96" i="48" s="1"/>
  <c r="CC96" i="48" s="1"/>
  <c r="CD96" i="48" s="1"/>
  <c r="M67" i="48"/>
  <c r="N67" i="48" s="1"/>
  <c r="O67" i="48" s="1"/>
  <c r="P67" i="48" s="1"/>
  <c r="Q67" i="48" s="1"/>
  <c r="R67" i="48" s="1"/>
  <c r="S67" i="48" s="1"/>
  <c r="T67" i="48" s="1"/>
  <c r="U67" i="48" s="1"/>
  <c r="V67" i="48" s="1"/>
  <c r="W67" i="48" s="1"/>
  <c r="X67" i="48" s="1"/>
  <c r="Y67" i="48" s="1"/>
  <c r="Z67" i="48" s="1"/>
  <c r="AA67" i="48" s="1"/>
  <c r="AB67" i="48" s="1"/>
  <c r="AC67" i="48" s="1"/>
  <c r="AD67" i="48" s="1"/>
  <c r="AE67" i="48" s="1"/>
  <c r="AF67" i="48" s="1"/>
  <c r="AG67" i="48" s="1"/>
  <c r="AH67" i="48" s="1"/>
  <c r="AI67" i="48" s="1"/>
  <c r="AJ67" i="48" s="1"/>
  <c r="AK67" i="48" s="1"/>
  <c r="AL67" i="48" s="1"/>
  <c r="AM67" i="48" s="1"/>
  <c r="AN67" i="48" s="1"/>
  <c r="AO67" i="48" s="1"/>
  <c r="AP67" i="48" s="1"/>
  <c r="AQ67" i="48" s="1"/>
  <c r="AR67" i="48" s="1"/>
  <c r="AS67" i="48" s="1"/>
  <c r="AT67" i="48" s="1"/>
  <c r="AU67" i="48" s="1"/>
  <c r="AV67" i="48" s="1"/>
  <c r="AW67" i="48" s="1"/>
  <c r="AX67" i="48" s="1"/>
  <c r="AY67" i="48" s="1"/>
  <c r="AZ67" i="48" s="1"/>
  <c r="BA67" i="48" s="1"/>
  <c r="BB67" i="48" s="1"/>
  <c r="BC67" i="48" s="1"/>
  <c r="BD67" i="48" s="1"/>
  <c r="BE67" i="48" s="1"/>
  <c r="BF67" i="48" s="1"/>
  <c r="BG67" i="48" s="1"/>
  <c r="BH67" i="48" s="1"/>
  <c r="BI67" i="48" s="1"/>
  <c r="BJ67" i="48" s="1"/>
  <c r="BK67" i="48" s="1"/>
  <c r="BL67" i="48" s="1"/>
  <c r="BM67" i="48" s="1"/>
  <c r="BN67" i="48" s="1"/>
  <c r="BO67" i="48" s="1"/>
  <c r="BP67" i="48" s="1"/>
  <c r="BQ67" i="48" s="1"/>
  <c r="BR67" i="48" s="1"/>
  <c r="BS67" i="48" s="1"/>
  <c r="BT67" i="48" s="1"/>
  <c r="BU67" i="48" s="1"/>
  <c r="BV67" i="48" s="1"/>
  <c r="BW67" i="48" s="1"/>
  <c r="BX67" i="48" s="1"/>
  <c r="BY67" i="48" s="1"/>
  <c r="BZ67" i="48" s="1"/>
  <c r="CA67" i="48" s="1"/>
  <c r="CB67" i="48" s="1"/>
  <c r="CC67" i="48" s="1"/>
  <c r="CD67" i="48" s="1"/>
  <c r="M38" i="48"/>
  <c r="N38" i="48" s="1"/>
  <c r="O38" i="48" s="1"/>
  <c r="P38" i="48" s="1"/>
  <c r="Q38" i="48" s="1"/>
  <c r="R38" i="48" s="1"/>
  <c r="S38" i="48" s="1"/>
  <c r="T38" i="48" s="1"/>
  <c r="U38" i="48" s="1"/>
  <c r="V38" i="48" s="1"/>
  <c r="W38" i="48" s="1"/>
  <c r="X38" i="48" s="1"/>
  <c r="Y38" i="48" s="1"/>
  <c r="Z38" i="48" s="1"/>
  <c r="AA38" i="48" s="1"/>
  <c r="AB38" i="48" s="1"/>
  <c r="AC38" i="48" s="1"/>
  <c r="AD38" i="48" s="1"/>
  <c r="AE38" i="48" s="1"/>
  <c r="AF38" i="48" s="1"/>
  <c r="AG38" i="48" s="1"/>
  <c r="AH38" i="48" s="1"/>
  <c r="AI38" i="48" s="1"/>
  <c r="AJ38" i="48" s="1"/>
  <c r="AK38" i="48" s="1"/>
  <c r="AL38" i="48" s="1"/>
  <c r="AM38" i="48" s="1"/>
  <c r="AN38" i="48" s="1"/>
  <c r="AO38" i="48" s="1"/>
  <c r="AP38" i="48" s="1"/>
  <c r="AQ38" i="48" s="1"/>
  <c r="AR38" i="48" s="1"/>
  <c r="AS38" i="48" s="1"/>
  <c r="AT38" i="48" s="1"/>
  <c r="AU38" i="48" s="1"/>
  <c r="AV38" i="48" s="1"/>
  <c r="AW38" i="48" s="1"/>
  <c r="AX38" i="48" s="1"/>
  <c r="AY38" i="48" s="1"/>
  <c r="AZ38" i="48" s="1"/>
  <c r="BA38" i="48" s="1"/>
  <c r="BB38" i="48" s="1"/>
  <c r="BC38" i="48" s="1"/>
  <c r="BD38" i="48" s="1"/>
  <c r="BE38" i="48" s="1"/>
  <c r="BF38" i="48" s="1"/>
  <c r="BG38" i="48" s="1"/>
  <c r="BH38" i="48" s="1"/>
  <c r="BI38" i="48" s="1"/>
  <c r="BJ38" i="48" s="1"/>
  <c r="BK38" i="48" s="1"/>
  <c r="BL38" i="48" s="1"/>
  <c r="BM38" i="48" s="1"/>
  <c r="BN38" i="48" s="1"/>
  <c r="BO38" i="48" s="1"/>
  <c r="BP38" i="48" s="1"/>
  <c r="BQ38" i="48" s="1"/>
  <c r="BR38" i="48" s="1"/>
  <c r="BS38" i="48" s="1"/>
  <c r="BT38" i="48" s="1"/>
  <c r="BU38" i="48" s="1"/>
  <c r="BV38" i="48" s="1"/>
  <c r="BW38" i="48" s="1"/>
  <c r="BX38" i="48" s="1"/>
  <c r="BY38" i="48" s="1"/>
  <c r="BZ38" i="48" s="1"/>
  <c r="CA38" i="48" s="1"/>
  <c r="CB38" i="48" s="1"/>
  <c r="CC38" i="48" s="1"/>
  <c r="CD38" i="48" s="1"/>
  <c r="M9" i="48"/>
  <c r="N9" i="48" s="1"/>
  <c r="O9" i="48" s="1"/>
  <c r="P9" i="48" s="1"/>
  <c r="Q9" i="48" s="1"/>
  <c r="R9" i="48" s="1"/>
  <c r="S9" i="48" s="1"/>
  <c r="T9" i="48" s="1"/>
  <c r="U9" i="48" s="1"/>
  <c r="V9" i="48" s="1"/>
  <c r="W9" i="48" s="1"/>
  <c r="X9" i="48" s="1"/>
  <c r="Y9" i="48" s="1"/>
  <c r="Z9" i="48" s="1"/>
  <c r="AA9" i="48" s="1"/>
  <c r="AB9" i="48" s="1"/>
  <c r="AC9" i="48" s="1"/>
  <c r="AD9" i="48" s="1"/>
  <c r="AE9" i="48" s="1"/>
  <c r="AF9" i="48" s="1"/>
  <c r="AG9" i="48" s="1"/>
  <c r="AH9" i="48" s="1"/>
  <c r="AI9" i="48" s="1"/>
  <c r="AJ9" i="48" s="1"/>
  <c r="AK9" i="48" s="1"/>
  <c r="AL9" i="48" s="1"/>
  <c r="AM9" i="48" s="1"/>
  <c r="AN9" i="48" s="1"/>
  <c r="AO9" i="48" s="1"/>
  <c r="AP9" i="48" s="1"/>
  <c r="AQ9" i="48" s="1"/>
  <c r="AR9" i="48" s="1"/>
  <c r="AS9" i="48" s="1"/>
  <c r="AT9" i="48" s="1"/>
  <c r="AU9" i="48" s="1"/>
  <c r="AV9" i="48" s="1"/>
  <c r="AW9" i="48" s="1"/>
  <c r="AX9" i="48" s="1"/>
  <c r="AY9" i="48" s="1"/>
  <c r="AZ9" i="48" s="1"/>
  <c r="BA9" i="48" s="1"/>
  <c r="BB9" i="48" s="1"/>
  <c r="BC9" i="48" s="1"/>
  <c r="BD9" i="48" s="1"/>
  <c r="BE9" i="48" s="1"/>
  <c r="BF9" i="48" s="1"/>
  <c r="BG9" i="48" s="1"/>
  <c r="BH9" i="48" s="1"/>
  <c r="BI9" i="48" s="1"/>
  <c r="BJ9" i="48" s="1"/>
  <c r="BK9" i="48" s="1"/>
  <c r="BL9" i="48" s="1"/>
  <c r="BM9" i="48" s="1"/>
  <c r="BN9" i="48" s="1"/>
  <c r="BO9" i="48" s="1"/>
  <c r="BP9" i="48" s="1"/>
  <c r="BQ9" i="48" s="1"/>
  <c r="BR9" i="48" s="1"/>
  <c r="BS9" i="48" s="1"/>
  <c r="BT9" i="48" s="1"/>
  <c r="BU9" i="48" s="1"/>
  <c r="BV9" i="48" s="1"/>
  <c r="BW9" i="48" s="1"/>
  <c r="BX9" i="48" s="1"/>
  <c r="BY9" i="48" s="1"/>
  <c r="BZ9" i="48" s="1"/>
  <c r="CA9" i="48" s="1"/>
  <c r="CB9" i="48" s="1"/>
  <c r="CC9" i="48" s="1"/>
  <c r="CD9" i="48" s="1"/>
  <c r="D23" i="22"/>
  <c r="I5" i="28"/>
  <c r="H12" i="41" l="1"/>
  <c r="I5" i="7" s="1"/>
  <c r="AP2" i="7" s="1"/>
  <c r="M7" i="28" l="1"/>
  <c r="F5" i="28"/>
  <c r="S4" i="7" l="1"/>
  <c r="H5" i="7"/>
  <c r="J5" i="7"/>
  <c r="D27" i="8"/>
  <c r="AP1" i="7" l="1"/>
  <c r="AZ275" i="7" s="1"/>
  <c r="AZ20" i="7"/>
  <c r="AZ493" i="7"/>
  <c r="AZ335" i="7"/>
  <c r="AZ541" i="7"/>
  <c r="AZ970" i="7"/>
  <c r="AZ997" i="7"/>
  <c r="AZ120" i="7"/>
  <c r="AZ380" i="7"/>
  <c r="AZ561" i="7"/>
  <c r="AZ459" i="7"/>
  <c r="AZ574" i="7"/>
  <c r="AZ654" i="7"/>
  <c r="AZ552" i="7"/>
  <c r="AZ620" i="7"/>
  <c r="AZ15" i="7"/>
  <c r="AZ373" i="7"/>
  <c r="AZ491" i="7"/>
  <c r="AZ562" i="7"/>
  <c r="AZ578" i="7"/>
  <c r="AZ658" i="7"/>
  <c r="AZ898" i="7"/>
  <c r="AZ946" i="7"/>
  <c r="AZ1060" i="7"/>
  <c r="AZ1020" i="7"/>
  <c r="AZ371" i="7"/>
  <c r="AZ220" i="7"/>
  <c r="AZ348" i="7"/>
  <c r="AZ392" i="7"/>
  <c r="AZ576" i="7"/>
  <c r="AZ608" i="7"/>
  <c r="AZ640" i="7"/>
  <c r="AZ688" i="7"/>
  <c r="AZ521" i="7"/>
  <c r="AZ585" i="7"/>
  <c r="AZ601" i="7"/>
  <c r="AZ649" i="7"/>
  <c r="AZ496" i="7"/>
  <c r="AZ517" i="7"/>
  <c r="AZ582" i="7"/>
  <c r="AZ598" i="7"/>
  <c r="AZ942" i="7"/>
  <c r="AZ974" i="7"/>
  <c r="AZ1006" i="7"/>
  <c r="AZ811" i="7"/>
  <c r="AZ1029" i="7"/>
  <c r="AZ951" i="7"/>
  <c r="AZ929" i="7"/>
  <c r="AZ887" i="7"/>
  <c r="AZ1009" i="7"/>
  <c r="AZ967" i="7"/>
  <c r="AZ839" i="7"/>
  <c r="AZ796" i="7"/>
  <c r="AZ822" i="7"/>
  <c r="AZ886" i="7"/>
  <c r="AZ950" i="7"/>
  <c r="AZ907" i="7"/>
  <c r="AZ931" i="7"/>
  <c r="AZ988" i="7"/>
  <c r="AZ775" i="7"/>
  <c r="AZ643" i="7"/>
  <c r="AZ949" i="7"/>
  <c r="AZ784" i="7"/>
  <c r="AZ559" i="7"/>
  <c r="AZ1018" i="7"/>
  <c r="AZ897" i="7"/>
  <c r="AZ876" i="7"/>
  <c r="AZ833" i="7"/>
  <c r="AZ791" i="7"/>
  <c r="AZ934" i="7"/>
  <c r="AZ1012" i="7"/>
  <c r="AZ933" i="7"/>
  <c r="AZ821" i="7"/>
  <c r="AZ1065" i="7"/>
  <c r="AZ1049" i="7"/>
  <c r="AZ999" i="7"/>
  <c r="AZ977" i="7"/>
  <c r="AZ764" i="7"/>
  <c r="AZ739" i="7"/>
  <c r="AZ675" i="7"/>
  <c r="AZ469" i="7"/>
  <c r="AZ127" i="7"/>
  <c r="AZ492" i="7"/>
  <c r="B6" i="28"/>
  <c r="B6" i="27"/>
  <c r="AZ828" i="7" l="1"/>
  <c r="AZ947" i="7"/>
  <c r="AZ902" i="7"/>
  <c r="AZ983" i="7"/>
  <c r="AZ1032" i="7"/>
  <c r="AZ1000" i="7"/>
  <c r="AZ726" i="7"/>
  <c r="AZ531" i="7"/>
  <c r="AZ1045" i="7"/>
  <c r="AZ814" i="7"/>
  <c r="AZ441" i="7"/>
  <c r="AZ479" i="7"/>
  <c r="AZ483" i="7"/>
  <c r="AZ267" i="7"/>
  <c r="AZ834" i="7"/>
  <c r="AZ725" i="7"/>
  <c r="AZ433" i="7"/>
  <c r="AZ545" i="7"/>
  <c r="AZ714" i="7"/>
  <c r="AZ474" i="7"/>
  <c r="AZ849" i="7"/>
  <c r="AZ1038" i="7"/>
  <c r="AZ870" i="7"/>
  <c r="AZ1004" i="7"/>
  <c r="AZ894" i="7"/>
  <c r="AZ1050" i="7"/>
  <c r="AZ769" i="7"/>
  <c r="AZ659" i="7"/>
  <c r="AZ973" i="7"/>
  <c r="AZ750" i="7"/>
  <c r="AZ23" i="7"/>
  <c r="AZ449" i="7"/>
  <c r="AZ447" i="7"/>
  <c r="AZ394" i="7"/>
  <c r="AZ818" i="7"/>
  <c r="AZ661" i="7"/>
  <c r="AZ384" i="7"/>
  <c r="AZ712" i="7"/>
  <c r="AZ682" i="7"/>
  <c r="AZ452" i="7"/>
  <c r="AZ892" i="7"/>
  <c r="AZ1062" i="7"/>
  <c r="AZ774" i="7"/>
  <c r="AZ1037" i="7"/>
  <c r="AZ830" i="7"/>
  <c r="AZ795" i="7"/>
  <c r="AZ365" i="7"/>
  <c r="AZ780" i="7"/>
  <c r="AZ1058" i="7"/>
  <c r="AZ694" i="7"/>
  <c r="AZ729" i="7"/>
  <c r="AZ47" i="7"/>
  <c r="AZ369" i="7"/>
  <c r="AZ312" i="7"/>
  <c r="AZ722" i="7"/>
  <c r="AZ597" i="7"/>
  <c r="AZ235" i="7"/>
  <c r="AZ568" i="7"/>
  <c r="AZ522" i="7"/>
  <c r="AZ44" i="7"/>
  <c r="AZ935" i="7"/>
  <c r="AZ671" i="7"/>
  <c r="AZ742" i="7"/>
  <c r="AZ995" i="7"/>
  <c r="AZ798" i="7"/>
  <c r="AZ853" i="7"/>
  <c r="AZ753" i="7"/>
  <c r="AZ801" i="7"/>
  <c r="AZ639" i="7"/>
  <c r="AZ646" i="7"/>
  <c r="AZ681" i="7"/>
  <c r="AZ736" i="7"/>
  <c r="AZ432" i="7"/>
  <c r="AZ306" i="7"/>
  <c r="AZ690" i="7"/>
  <c r="AZ437" i="7"/>
  <c r="AZ107" i="7"/>
  <c r="AZ400" i="7"/>
  <c r="AZ685" i="7"/>
  <c r="AZ486" i="7"/>
  <c r="AZ16" i="7"/>
  <c r="AZ172" i="7"/>
  <c r="AZ206" i="7"/>
  <c r="AZ187" i="7"/>
  <c r="AZ875" i="7"/>
  <c r="AZ482" i="7"/>
  <c r="AZ36" i="7"/>
  <c r="AZ222" i="7"/>
  <c r="AZ390" i="7"/>
  <c r="AZ351" i="7"/>
  <c r="AZ204" i="7"/>
  <c r="AZ417" i="7"/>
  <c r="AZ410" i="7"/>
  <c r="AZ376" i="7"/>
  <c r="AZ628" i="7"/>
  <c r="AZ505" i="7"/>
  <c r="AZ701" i="7"/>
  <c r="AZ618" i="7"/>
  <c r="AZ858" i="7"/>
  <c r="AZ305" i="7"/>
  <c r="AZ244" i="7"/>
  <c r="AZ548" i="7"/>
  <c r="AZ744" i="7"/>
  <c r="AZ657" i="7"/>
  <c r="AZ542" i="7"/>
  <c r="AZ337" i="7"/>
  <c r="AZ212" i="7"/>
  <c r="AZ327" i="7"/>
  <c r="AZ604" i="7"/>
  <c r="AZ732" i="7"/>
  <c r="AZ516" i="7"/>
  <c r="AZ645" i="7"/>
  <c r="AZ247" i="7"/>
  <c r="AZ530" i="7"/>
  <c r="AZ626" i="7"/>
  <c r="AZ706" i="7"/>
  <c r="AZ786" i="7"/>
  <c r="AZ882" i="7"/>
  <c r="AZ962" i="7"/>
  <c r="AZ976" i="7"/>
  <c r="AZ184" i="7"/>
  <c r="AZ11" i="7"/>
  <c r="AZ435" i="7"/>
  <c r="AZ308" i="7"/>
  <c r="AZ412" i="7"/>
  <c r="AZ199" i="7"/>
  <c r="AZ515" i="7"/>
  <c r="AZ592" i="7"/>
  <c r="AZ656" i="7"/>
  <c r="AZ720" i="7"/>
  <c r="AZ303" i="7"/>
  <c r="AZ500" i="7"/>
  <c r="AZ569" i="7"/>
  <c r="AZ633" i="7"/>
  <c r="AZ697" i="7"/>
  <c r="AZ151" i="7"/>
  <c r="AZ475" i="7"/>
  <c r="AZ550" i="7"/>
  <c r="AZ614" i="7"/>
  <c r="AZ678" i="7"/>
  <c r="AZ782" i="7"/>
  <c r="AZ910" i="7"/>
  <c r="AZ987" i="7"/>
  <c r="AZ763" i="7"/>
  <c r="AZ1030" i="7"/>
  <c r="AZ1061" i="7"/>
  <c r="AZ993" i="7"/>
  <c r="AZ908" i="7"/>
  <c r="AZ823" i="7"/>
  <c r="AZ723" i="7"/>
  <c r="AZ429" i="7"/>
  <c r="AZ945" i="7"/>
  <c r="AZ817" i="7"/>
  <c r="AZ579" i="7"/>
  <c r="AZ563" i="7"/>
  <c r="AZ790" i="7"/>
  <c r="AZ918" i="7"/>
  <c r="AZ965" i="7"/>
  <c r="AZ747" i="7"/>
  <c r="AZ1026" i="7"/>
  <c r="AZ1057" i="7"/>
  <c r="AZ860" i="7"/>
  <c r="AZ734" i="7"/>
  <c r="AZ862" i="7"/>
  <c r="AZ990" i="7"/>
  <c r="AZ837" i="7"/>
  <c r="AQ1" i="7"/>
  <c r="AZ957" i="7"/>
  <c r="AZ1021" i="7"/>
  <c r="AZ940" i="7"/>
  <c r="AZ198" i="7"/>
  <c r="AZ132" i="7"/>
  <c r="AZ176" i="7"/>
  <c r="AZ227" i="7"/>
  <c r="AZ356" i="7"/>
  <c r="AZ544" i="7"/>
  <c r="AZ316" i="7"/>
  <c r="AZ692" i="7"/>
  <c r="AZ621" i="7"/>
  <c r="AZ538" i="7"/>
  <c r="AZ874" i="7"/>
  <c r="AZ490" i="7"/>
  <c r="AZ401" i="7"/>
  <c r="AZ465" i="7"/>
  <c r="AZ737" i="7"/>
  <c r="AZ718" i="7"/>
  <c r="AZ252" i="7"/>
  <c r="AZ532" i="7"/>
  <c r="AZ684" i="7"/>
  <c r="AZ533" i="7"/>
  <c r="AZ709" i="7"/>
  <c r="AZ512" i="7"/>
  <c r="AZ642" i="7"/>
  <c r="AZ754" i="7"/>
  <c r="AZ850" i="7"/>
  <c r="AZ978" i="7"/>
  <c r="AZ242" i="7"/>
  <c r="AZ458" i="7"/>
  <c r="AZ116" i="7"/>
  <c r="AZ368" i="7"/>
  <c r="AZ39" i="7"/>
  <c r="AZ536" i="7"/>
  <c r="AZ624" i="7"/>
  <c r="AZ704" i="7"/>
  <c r="AZ389" i="7"/>
  <c r="AZ537" i="7"/>
  <c r="AZ617" i="7"/>
  <c r="AZ713" i="7"/>
  <c r="AZ377" i="7"/>
  <c r="AZ534" i="7"/>
  <c r="AZ630" i="7"/>
  <c r="AZ710" i="7"/>
  <c r="AZ878" i="7"/>
  <c r="AZ923" i="7"/>
  <c r="AZ461" i="7"/>
  <c r="AZ941" i="7"/>
  <c r="AZ972" i="7"/>
  <c r="AZ865" i="7"/>
  <c r="AZ759" i="7"/>
  <c r="AZ1041" i="7"/>
  <c r="AZ881" i="7"/>
  <c r="AZ707" i="7"/>
  <c r="AZ255" i="7"/>
  <c r="AZ854" i="7"/>
  <c r="AZ1052" i="7"/>
  <c r="AZ591" i="7"/>
  <c r="AZ968" i="7"/>
  <c r="AZ924" i="7"/>
  <c r="AZ766" i="7"/>
  <c r="AZ926" i="7"/>
  <c r="AZ891" i="7"/>
  <c r="AZ1046" i="7"/>
  <c r="AZ1053" i="7"/>
  <c r="AZ961" i="7"/>
  <c r="AZ855" i="7"/>
  <c r="AZ691" i="7"/>
  <c r="AZ838" i="7"/>
  <c r="AZ966" i="7"/>
  <c r="AZ880" i="7"/>
  <c r="AZ508" i="7"/>
  <c r="AZ984" i="7"/>
  <c r="AZ1033" i="7"/>
  <c r="AZ956" i="7"/>
  <c r="AZ871" i="7"/>
  <c r="AZ785" i="7"/>
  <c r="AZ611" i="7"/>
  <c r="AZ748" i="7"/>
  <c r="AZ155" i="7"/>
  <c r="AZ18" i="7"/>
  <c r="AZ240" i="7"/>
  <c r="AZ367" i="7"/>
  <c r="AZ420" i="7"/>
  <c r="AZ322" i="7"/>
  <c r="AZ71" i="7"/>
  <c r="AZ708" i="7"/>
  <c r="AZ547" i="7"/>
  <c r="AZ807" i="7"/>
  <c r="AZ913" i="7"/>
  <c r="AZ1017" i="7"/>
  <c r="AZ1014" i="7"/>
  <c r="AZ773" i="7"/>
  <c r="AZ998" i="7"/>
  <c r="AZ806" i="7"/>
  <c r="AZ812" i="7"/>
  <c r="AZ919" i="7"/>
  <c r="AZ915" i="7"/>
  <c r="AZ719" i="7"/>
  <c r="AZ958" i="7"/>
  <c r="AZ627" i="7"/>
  <c r="AZ1025" i="7"/>
  <c r="AZ95" i="7"/>
  <c r="AZ982" i="7"/>
  <c r="AZ758" i="7"/>
  <c r="AZ513" i="7"/>
  <c r="AZ903" i="7"/>
  <c r="AZ595" i="7"/>
  <c r="AZ844" i="7"/>
  <c r="AZ1013" i="7"/>
  <c r="AZ1010" i="7"/>
  <c r="AZ864" i="7"/>
  <c r="AZ846" i="7"/>
  <c r="AZ662" i="7"/>
  <c r="AZ566" i="7"/>
  <c r="AZ279" i="7"/>
  <c r="AZ665" i="7"/>
  <c r="AZ553" i="7"/>
  <c r="AZ175" i="7"/>
  <c r="AZ672" i="7"/>
  <c r="AZ556" i="7"/>
  <c r="AZ456" i="7"/>
  <c r="AZ260" i="7"/>
  <c r="AZ139" i="7"/>
  <c r="AZ158" i="7"/>
  <c r="AZ914" i="7"/>
  <c r="AZ770" i="7"/>
  <c r="AZ594" i="7"/>
  <c r="AZ361" i="7"/>
  <c r="AZ581" i="7"/>
  <c r="AZ668" i="7"/>
  <c r="AZ428" i="7"/>
  <c r="AZ280" i="7"/>
  <c r="AZ721" i="7"/>
  <c r="AZ648" i="7"/>
  <c r="AZ203" i="7"/>
  <c r="AZ794" i="7"/>
  <c r="AZ393" i="7"/>
  <c r="AZ520" i="7"/>
  <c r="AZ528" i="7"/>
  <c r="AZ518" i="7"/>
  <c r="AZ379" i="7"/>
  <c r="AZ19" i="7"/>
  <c r="AZ24" i="7"/>
  <c r="AZ638" i="7"/>
  <c r="AZ409" i="7"/>
  <c r="AZ625" i="7"/>
  <c r="AZ421" i="7"/>
  <c r="AZ632" i="7"/>
  <c r="AZ135" i="7"/>
  <c r="AZ180" i="7"/>
  <c r="AZ338" i="7"/>
  <c r="AZ938" i="7"/>
  <c r="AZ778" i="7"/>
  <c r="AZ602" i="7"/>
  <c r="AZ183" i="7"/>
  <c r="AZ605" i="7"/>
  <c r="AZ207" i="7"/>
  <c r="AZ596" i="7"/>
  <c r="AZ460" i="7"/>
  <c r="AZ387" i="7"/>
  <c r="AZ190" i="7"/>
  <c r="AZ353" i="7"/>
  <c r="AZ332" i="7"/>
  <c r="AZ431" i="7"/>
  <c r="AZ195" i="7"/>
  <c r="AZ374" i="7"/>
  <c r="AZ302" i="7"/>
  <c r="AZ325" i="7"/>
  <c r="AZ347" i="7"/>
  <c r="AZ418" i="7"/>
  <c r="AZ310" i="7"/>
  <c r="AZ904" i="7"/>
  <c r="AZ25" i="7"/>
  <c r="AZ757" i="7"/>
  <c r="AZ14" i="7"/>
  <c r="AZ241" i="7"/>
  <c r="AZ896" i="7"/>
  <c r="AZ841" i="7"/>
  <c r="AZ281" i="7"/>
  <c r="AZ342" i="7"/>
  <c r="AZ339" i="7"/>
  <c r="AZ40" i="7"/>
  <c r="AZ27" i="7"/>
  <c r="AZ219" i="7"/>
  <c r="AZ411" i="7"/>
  <c r="AZ164" i="7"/>
  <c r="AZ82" i="7"/>
  <c r="AZ270" i="7"/>
  <c r="AZ48" i="7"/>
  <c r="AZ272" i="7"/>
  <c r="AZ438" i="7"/>
  <c r="AZ67" i="7"/>
  <c r="AZ259" i="7"/>
  <c r="AZ399" i="7"/>
  <c r="AZ76" i="7"/>
  <c r="AZ236" i="7"/>
  <c r="AZ388" i="7"/>
  <c r="AZ468" i="7"/>
  <c r="AZ463" i="7"/>
  <c r="AZ273" i="7"/>
  <c r="AZ88" i="7"/>
  <c r="AZ43" i="7"/>
  <c r="AZ228" i="7"/>
  <c r="AZ396" i="7"/>
  <c r="AZ263" i="7"/>
  <c r="AZ564" i="7"/>
  <c r="AZ644" i="7"/>
  <c r="AZ724" i="7"/>
  <c r="AZ457" i="7"/>
  <c r="AZ557" i="7"/>
  <c r="AZ637" i="7"/>
  <c r="AZ733" i="7"/>
  <c r="AZ451" i="7"/>
  <c r="AZ554" i="7"/>
  <c r="AZ650" i="7"/>
  <c r="AZ730" i="7"/>
  <c r="AZ810" i="7"/>
  <c r="AZ906" i="7"/>
  <c r="AZ986" i="7"/>
  <c r="AZ94" i="7"/>
  <c r="AZ362" i="7"/>
  <c r="AZ331" i="7"/>
  <c r="AZ284" i="7"/>
  <c r="AZ444" i="7"/>
  <c r="AZ471" i="7"/>
  <c r="AZ584" i="7"/>
  <c r="AZ680" i="7"/>
  <c r="AZ111" i="7"/>
  <c r="AZ489" i="7"/>
  <c r="AZ593" i="7"/>
  <c r="AZ673" i="7"/>
  <c r="AZ87" i="7"/>
  <c r="AZ507" i="7"/>
  <c r="AZ590" i="7"/>
  <c r="AZ670" i="7"/>
  <c r="AZ226" i="7"/>
  <c r="AZ378" i="7"/>
  <c r="AZ355" i="7"/>
  <c r="AZ340" i="7"/>
  <c r="AZ448" i="7"/>
  <c r="AZ477" i="7"/>
  <c r="AZ572" i="7"/>
  <c r="AZ636" i="7"/>
  <c r="AZ700" i="7"/>
  <c r="AZ143" i="7"/>
  <c r="AZ473" i="7"/>
  <c r="AZ549" i="7"/>
  <c r="AZ613" i="7"/>
  <c r="AZ677" i="7"/>
  <c r="AZ741" i="7"/>
  <c r="AZ425" i="7"/>
  <c r="AZ1005" i="7"/>
  <c r="AZ989" i="7"/>
  <c r="AZ313" i="7"/>
  <c r="AZ398" i="7"/>
  <c r="AZ289" i="7"/>
  <c r="AZ232" i="7"/>
  <c r="AZ59" i="7"/>
  <c r="AZ315" i="7"/>
  <c r="AZ443" i="7"/>
  <c r="AZ196" i="7"/>
  <c r="AZ146" i="7"/>
  <c r="AZ286" i="7"/>
  <c r="AZ112" i="7"/>
  <c r="AZ358" i="7"/>
  <c r="AZ454" i="7"/>
  <c r="AZ99" i="7"/>
  <c r="AZ323" i="7"/>
  <c r="AZ415" i="7"/>
  <c r="AZ108" i="7"/>
  <c r="AZ300" i="7"/>
  <c r="AZ404" i="7"/>
  <c r="AZ103" i="7"/>
  <c r="AZ509" i="7"/>
  <c r="AZ62" i="7"/>
  <c r="AZ216" i="7"/>
  <c r="AZ299" i="7"/>
  <c r="AZ276" i="7"/>
  <c r="AZ416" i="7"/>
  <c r="AZ455" i="7"/>
  <c r="AZ580" i="7"/>
  <c r="AZ660" i="7"/>
  <c r="AZ79" i="7"/>
  <c r="AZ484" i="7"/>
  <c r="AZ573" i="7"/>
  <c r="AZ669" i="7"/>
  <c r="AZ55" i="7"/>
  <c r="AZ480" i="7"/>
  <c r="AZ586" i="7"/>
  <c r="AZ666" i="7"/>
  <c r="AZ746" i="7"/>
  <c r="AZ842" i="7"/>
  <c r="AZ922" i="7"/>
  <c r="AZ1002" i="7"/>
  <c r="AZ274" i="7"/>
  <c r="AZ426" i="7"/>
  <c r="AZ403" i="7"/>
  <c r="AZ360" i="7"/>
  <c r="AZ464" i="7"/>
  <c r="AZ499" i="7"/>
  <c r="AZ616" i="7"/>
  <c r="AZ696" i="7"/>
  <c r="AZ239" i="7"/>
  <c r="AZ529" i="7"/>
  <c r="AZ609" i="7"/>
  <c r="AZ689" i="7"/>
  <c r="AZ343" i="7"/>
  <c r="AZ526" i="7"/>
  <c r="AZ606" i="7"/>
  <c r="AZ702" i="7"/>
  <c r="AZ290" i="7"/>
  <c r="AZ442" i="7"/>
  <c r="AZ84" i="7"/>
  <c r="AZ364" i="7"/>
  <c r="AZ472" i="7"/>
  <c r="AZ504" i="7"/>
  <c r="AZ588" i="7"/>
  <c r="AZ652" i="7"/>
  <c r="AZ716" i="7"/>
  <c r="AZ271" i="7"/>
  <c r="AZ495" i="7"/>
  <c r="AZ565" i="7"/>
  <c r="AZ629" i="7"/>
  <c r="AZ693" i="7"/>
  <c r="AZ119" i="7"/>
  <c r="AZ467" i="7"/>
  <c r="AZ546" i="7"/>
  <c r="AZ610" i="7"/>
  <c r="AZ674" i="7"/>
  <c r="AZ738" i="7"/>
  <c r="AZ802" i="7"/>
  <c r="AZ866" i="7"/>
  <c r="AZ930" i="7"/>
  <c r="AZ994" i="7"/>
  <c r="AZ30" i="7"/>
  <c r="AZ56" i="7"/>
  <c r="AZ31" i="7"/>
  <c r="AZ53" i="7"/>
  <c r="AZ799" i="7"/>
  <c r="AZ57" i="7"/>
  <c r="AZ309" i="7"/>
  <c r="AZ430" i="7"/>
  <c r="AZ439" i="7"/>
  <c r="AZ330" i="7"/>
  <c r="AZ450" i="7"/>
  <c r="AZ91" i="7"/>
  <c r="AZ283" i="7"/>
  <c r="AZ395" i="7"/>
  <c r="AZ68" i="7"/>
  <c r="AZ293" i="7"/>
  <c r="AZ114" i="7"/>
  <c r="AZ238" i="7"/>
  <c r="AZ334" i="7"/>
  <c r="AZ144" i="7"/>
  <c r="AZ304" i="7"/>
  <c r="AZ422" i="7"/>
  <c r="AZ502" i="7"/>
  <c r="AZ131" i="7"/>
  <c r="AZ291" i="7"/>
  <c r="AZ383" i="7"/>
  <c r="AZ12" i="7"/>
  <c r="AZ140" i="7"/>
  <c r="AZ268" i="7"/>
  <c r="AZ372" i="7"/>
  <c r="AZ436" i="7"/>
  <c r="AZ231" i="7"/>
  <c r="AZ488" i="7"/>
  <c r="AZ560" i="7"/>
  <c r="AZ258" i="7"/>
  <c r="AZ344" i="7"/>
  <c r="AZ171" i="7"/>
  <c r="AZ148" i="7"/>
  <c r="AZ352" i="7"/>
  <c r="AZ440" i="7"/>
  <c r="AZ385" i="7"/>
  <c r="AZ540" i="7"/>
  <c r="AZ612" i="7"/>
  <c r="AZ676" i="7"/>
  <c r="AZ740" i="7"/>
  <c r="AZ405" i="7"/>
  <c r="AZ525" i="7"/>
  <c r="AZ589" i="7"/>
  <c r="AZ653" i="7"/>
  <c r="AZ717" i="7"/>
  <c r="AZ311" i="7"/>
  <c r="AZ501" i="7"/>
  <c r="AZ570" i="7"/>
  <c r="AZ634" i="7"/>
  <c r="AZ698" i="7"/>
  <c r="AZ762" i="7"/>
  <c r="AZ826" i="7"/>
  <c r="AZ890" i="7"/>
  <c r="AZ954" i="7"/>
  <c r="AZ1040" i="7"/>
  <c r="AZ210" i="7"/>
  <c r="AZ248" i="7"/>
  <c r="AZ75" i="7"/>
  <c r="AZ52" i="7"/>
  <c r="AZ324" i="7"/>
  <c r="AZ424" i="7"/>
  <c r="AZ295" i="7"/>
  <c r="AZ524" i="7"/>
  <c r="AZ600" i="7"/>
  <c r="AZ664" i="7"/>
  <c r="AZ728" i="7"/>
  <c r="AZ357" i="7"/>
  <c r="AZ511" i="7"/>
  <c r="AZ577" i="7"/>
  <c r="AZ641" i="7"/>
  <c r="AZ705" i="7"/>
  <c r="AZ215" i="7"/>
  <c r="AZ485" i="7"/>
  <c r="AZ558" i="7"/>
  <c r="AZ622" i="7"/>
  <c r="AZ686" i="7"/>
  <c r="AZ126" i="7"/>
  <c r="AZ152" i="7"/>
  <c r="AZ506" i="7"/>
  <c r="AZ419" i="7"/>
  <c r="AZ292" i="7"/>
  <c r="AZ408" i="7"/>
  <c r="AZ167" i="7"/>
  <c r="AZ85" i="7"/>
  <c r="AZ944" i="7"/>
  <c r="AZ193" i="7"/>
  <c r="AZ163" i="7"/>
  <c r="AZ35" i="7"/>
  <c r="AZ470" i="7"/>
  <c r="AZ406" i="7"/>
  <c r="AZ336" i="7"/>
  <c r="AZ208" i="7"/>
  <c r="AZ80" i="7"/>
  <c r="AZ318" i="7"/>
  <c r="AZ254" i="7"/>
  <c r="AZ178" i="7"/>
  <c r="AZ50" i="7"/>
  <c r="AZ261" i="7"/>
  <c r="AZ100" i="7"/>
  <c r="AZ427" i="7"/>
  <c r="AZ363" i="7"/>
  <c r="AZ251" i="7"/>
  <c r="AZ123" i="7"/>
  <c r="AZ514" i="7"/>
  <c r="AZ296" i="7"/>
  <c r="AZ234" i="7"/>
  <c r="AZ60" i="7"/>
  <c r="AZ83" i="7"/>
  <c r="AZ256" i="7"/>
  <c r="AZ214" i="7"/>
  <c r="AZ102" i="7"/>
  <c r="AZ185" i="7"/>
  <c r="AZ711" i="7"/>
  <c r="AZ1064" i="7"/>
  <c r="AZ969" i="7"/>
  <c r="AZ213" i="7"/>
  <c r="AZ599" i="7"/>
  <c r="AZ847" i="7"/>
  <c r="AZ808" i="7"/>
  <c r="AZ192" i="7"/>
  <c r="AZ162" i="7"/>
  <c r="AZ70" i="7"/>
  <c r="AZ153" i="7"/>
  <c r="AZ776" i="7"/>
  <c r="AZ523" i="7"/>
  <c r="AZ1011" i="7"/>
  <c r="AZ181" i="7"/>
  <c r="AZ727" i="7"/>
  <c r="AZ932" i="7"/>
  <c r="AZ963" i="7"/>
  <c r="AZ386" i="7"/>
  <c r="AZ168" i="7"/>
  <c r="AZ298" i="7"/>
  <c r="AZ142" i="7"/>
  <c r="AZ188" i="7"/>
  <c r="AZ407" i="7"/>
  <c r="AZ211" i="7"/>
  <c r="AZ494" i="7"/>
  <c r="AZ366" i="7"/>
  <c r="AZ128" i="7"/>
  <c r="AZ278" i="7"/>
  <c r="AZ98" i="7"/>
  <c r="AZ166" i="7"/>
  <c r="AZ38" i="7"/>
  <c r="AZ249" i="7"/>
  <c r="AZ121" i="7"/>
  <c r="AZ381" i="7"/>
  <c r="AZ819" i="7"/>
  <c r="AZ527" i="7"/>
  <c r="AZ651" i="7"/>
  <c r="AZ884" i="7"/>
  <c r="AZ1043" i="7"/>
  <c r="AZ981" i="7"/>
  <c r="AZ149" i="7"/>
  <c r="AZ21" i="7"/>
  <c r="AZ781" i="7"/>
  <c r="AZ539" i="7"/>
  <c r="AZ1015" i="7"/>
  <c r="AZ113" i="7"/>
  <c r="AZ481" i="7"/>
  <c r="AZ354" i="7"/>
  <c r="AZ104" i="7"/>
  <c r="AZ266" i="7"/>
  <c r="AZ78" i="7"/>
  <c r="AZ124" i="7"/>
  <c r="AZ375" i="7"/>
  <c r="AZ147" i="7"/>
  <c r="AZ462" i="7"/>
  <c r="AZ320" i="7"/>
  <c r="AZ64" i="7"/>
  <c r="AZ246" i="7"/>
  <c r="AZ34" i="7"/>
  <c r="AZ134" i="7"/>
  <c r="AZ345" i="7"/>
  <c r="AZ217" i="7"/>
  <c r="AZ89" i="7"/>
  <c r="AZ583" i="7"/>
  <c r="AZ861" i="7"/>
  <c r="AZ869" i="7"/>
  <c r="AZ756" i="7"/>
  <c r="AZ927" i="7"/>
  <c r="AZ413" i="7"/>
  <c r="AZ245" i="7"/>
  <c r="AZ117" i="7"/>
  <c r="AZ445" i="7"/>
  <c r="AZ867" i="7"/>
  <c r="AZ761" i="7"/>
  <c r="AZ487" i="7"/>
  <c r="AZ476" i="7"/>
  <c r="AZ959" i="7"/>
  <c r="AZ703" i="7"/>
  <c r="AZ106" i="7"/>
  <c r="AZ809" i="7"/>
  <c r="AZ125" i="7"/>
  <c r="AZ466" i="7"/>
  <c r="AZ402" i="7"/>
  <c r="AZ328" i="7"/>
  <c r="AZ200" i="7"/>
  <c r="AZ72" i="7"/>
  <c r="AZ314" i="7"/>
  <c r="AZ250" i="7"/>
  <c r="AZ174" i="7"/>
  <c r="AZ46" i="7"/>
  <c r="AZ257" i="7"/>
  <c r="AZ92" i="7"/>
  <c r="AZ423" i="7"/>
  <c r="AZ359" i="7"/>
  <c r="AZ243" i="7"/>
  <c r="AZ115" i="7"/>
  <c r="AZ510" i="7"/>
  <c r="AZ446" i="7"/>
  <c r="AZ382" i="7"/>
  <c r="AZ288" i="7"/>
  <c r="AZ160" i="7"/>
  <c r="AZ32" i="7"/>
  <c r="AZ294" i="7"/>
  <c r="AZ230" i="7"/>
  <c r="AZ130" i="7"/>
  <c r="AZ341" i="7"/>
  <c r="AZ182" i="7"/>
  <c r="AZ118" i="7"/>
  <c r="AZ54" i="7"/>
  <c r="AZ329" i="7"/>
  <c r="AZ265" i="7"/>
  <c r="AZ201" i="7"/>
  <c r="AZ137" i="7"/>
  <c r="AZ73" i="7"/>
  <c r="AZ9" i="7"/>
  <c r="AZ647" i="7"/>
  <c r="AZ797" i="7"/>
  <c r="AZ883" i="7"/>
  <c r="AZ1042" i="7"/>
  <c r="AZ960" i="7"/>
  <c r="AZ587" i="7"/>
  <c r="AZ777" i="7"/>
  <c r="AZ863" i="7"/>
  <c r="AZ948" i="7"/>
  <c r="AZ1027" i="7"/>
  <c r="AZ623" i="7"/>
  <c r="AZ928" i="7"/>
  <c r="AZ229" i="7"/>
  <c r="AZ165" i="7"/>
  <c r="AZ101" i="7"/>
  <c r="AZ37" i="7"/>
  <c r="AZ535" i="7"/>
  <c r="AZ760" i="7"/>
  <c r="AZ909" i="7"/>
  <c r="AZ63" i="7"/>
  <c r="AZ804" i="7"/>
  <c r="AZ975" i="7"/>
  <c r="AZ768" i="7"/>
  <c r="AZ145" i="7"/>
  <c r="AZ679" i="7"/>
  <c r="AZ827" i="7"/>
  <c r="AZ895" i="7"/>
  <c r="AZ843" i="7"/>
  <c r="AZ42" i="7"/>
  <c r="AZ45" i="7"/>
  <c r="AZ1048" i="7"/>
  <c r="AZ301" i="7"/>
  <c r="AZ631" i="7"/>
  <c r="AZ498" i="7"/>
  <c r="AZ434" i="7"/>
  <c r="AZ370" i="7"/>
  <c r="AZ264" i="7"/>
  <c r="AZ136" i="7"/>
  <c r="AZ346" i="7"/>
  <c r="AZ282" i="7"/>
  <c r="AZ218" i="7"/>
  <c r="AZ110" i="7"/>
  <c r="AZ321" i="7"/>
  <c r="AZ156" i="7"/>
  <c r="AZ28" i="7"/>
  <c r="AZ391" i="7"/>
  <c r="AZ307" i="7"/>
  <c r="AZ179" i="7"/>
  <c r="AZ51" i="7"/>
  <c r="AZ478" i="7"/>
  <c r="AZ414" i="7"/>
  <c r="AZ350" i="7"/>
  <c r="AZ224" i="7"/>
  <c r="AZ96" i="7"/>
  <c r="AZ326" i="7"/>
  <c r="AZ262" i="7"/>
  <c r="AZ194" i="7"/>
  <c r="AZ66" i="7"/>
  <c r="AZ277" i="7"/>
  <c r="AZ150" i="7"/>
  <c r="AZ86" i="7"/>
  <c r="AZ22" i="7"/>
  <c r="AZ297" i="7"/>
  <c r="AZ233" i="7"/>
  <c r="AZ169" i="7"/>
  <c r="AZ105" i="7"/>
  <c r="AZ41" i="7"/>
  <c r="AZ519" i="7"/>
  <c r="AZ755" i="7"/>
  <c r="AZ840" i="7"/>
  <c r="AZ936" i="7"/>
  <c r="AZ779" i="7"/>
  <c r="AZ397" i="7"/>
  <c r="AZ715" i="7"/>
  <c r="AZ820" i="7"/>
  <c r="AZ905" i="7"/>
  <c r="AZ991" i="7"/>
  <c r="AZ1059" i="7"/>
  <c r="AZ816" i="7"/>
  <c r="AZ1028" i="7"/>
  <c r="AZ197" i="7"/>
  <c r="AZ133" i="7"/>
  <c r="AZ69" i="7"/>
  <c r="AZ8" i="7"/>
  <c r="AZ663" i="7"/>
  <c r="AZ824" i="7"/>
  <c r="AZ607" i="7"/>
  <c r="AZ667" i="7"/>
  <c r="AZ889" i="7"/>
  <c r="AZ1047" i="7"/>
  <c r="AZ1036" i="7"/>
  <c r="AZ49" i="7"/>
  <c r="AZ893" i="7"/>
  <c r="AZ683" i="7"/>
  <c r="AZ1035" i="7"/>
  <c r="AZ154" i="7"/>
  <c r="AZ205" i="7"/>
  <c r="AZ813" i="7"/>
  <c r="AZ979" i="7"/>
  <c r="AZ503" i="7"/>
  <c r="AZ845" i="7"/>
  <c r="AZ952" i="7"/>
  <c r="AZ800" i="7"/>
  <c r="AZ453" i="7"/>
  <c r="AZ731" i="7"/>
  <c r="AZ825" i="7"/>
  <c r="AZ911" i="7"/>
  <c r="AZ996" i="7"/>
  <c r="AZ1063" i="7"/>
  <c r="AZ832" i="7"/>
  <c r="AZ209" i="7"/>
  <c r="AZ129" i="7"/>
  <c r="AZ33" i="7"/>
  <c r="AZ765" i="7"/>
  <c r="AZ920" i="7"/>
  <c r="AZ1024" i="7"/>
  <c r="AZ788" i="7"/>
  <c r="AZ916" i="7"/>
  <c r="AZ1051" i="7"/>
  <c r="AZ1008" i="7"/>
  <c r="AZ122" i="7"/>
  <c r="AZ26" i="7"/>
  <c r="AZ189" i="7"/>
  <c r="AZ13" i="7"/>
  <c r="AZ835" i="7"/>
  <c r="AZ571" i="7"/>
  <c r="AZ793" i="7"/>
  <c r="AZ803" i="7"/>
  <c r="AZ888" i="7"/>
  <c r="AZ1054" i="7"/>
  <c r="AZ1003" i="7"/>
  <c r="AZ603" i="7"/>
  <c r="AZ783" i="7"/>
  <c r="AZ868" i="7"/>
  <c r="AZ953" i="7"/>
  <c r="AZ1031" i="7"/>
  <c r="AZ655" i="7"/>
  <c r="AZ992" i="7"/>
  <c r="AZ177" i="7"/>
  <c r="AZ65" i="7"/>
  <c r="AZ551" i="7"/>
  <c r="AZ829" i="7"/>
  <c r="AZ687" i="7"/>
  <c r="AZ619" i="7"/>
  <c r="AZ831" i="7"/>
  <c r="AZ1001" i="7"/>
  <c r="AZ789" i="7"/>
  <c r="AZ186" i="7"/>
  <c r="AZ58" i="7"/>
  <c r="AZ269" i="7"/>
  <c r="AZ109" i="7"/>
  <c r="AZ695" i="7"/>
  <c r="AZ223" i="7"/>
  <c r="AZ836" i="7"/>
  <c r="AZ885" i="7"/>
  <c r="AZ225" i="7"/>
  <c r="AZ161" i="7"/>
  <c r="AZ97" i="7"/>
  <c r="AZ159" i="7"/>
  <c r="AZ743" i="7"/>
  <c r="AZ851" i="7"/>
  <c r="AZ1066" i="7"/>
  <c r="AZ191" i="7"/>
  <c r="AZ745" i="7"/>
  <c r="AZ873" i="7"/>
  <c r="AZ980" i="7"/>
  <c r="AZ7" i="7"/>
  <c r="AZ955" i="7"/>
  <c r="AZ170" i="7"/>
  <c r="AZ90" i="7"/>
  <c r="AZ333" i="7"/>
  <c r="AZ253" i="7"/>
  <c r="AZ173" i="7"/>
  <c r="AZ77" i="7"/>
  <c r="AZ287" i="7"/>
  <c r="AZ749" i="7"/>
  <c r="AZ877" i="7"/>
  <c r="AZ848" i="7"/>
  <c r="AZ635" i="7"/>
  <c r="AZ879" i="7"/>
  <c r="AZ317" i="7"/>
  <c r="AZ237" i="7"/>
  <c r="AZ141" i="7"/>
  <c r="AZ61" i="7"/>
  <c r="AZ497" i="7"/>
  <c r="AZ792" i="7"/>
  <c r="AZ899" i="7"/>
  <c r="AZ939" i="7"/>
  <c r="AZ772" i="7"/>
  <c r="AZ921" i="7"/>
  <c r="AZ943" i="7"/>
  <c r="AZ81" i="7"/>
  <c r="AZ17" i="7"/>
  <c r="AZ615" i="7"/>
  <c r="AZ787" i="7"/>
  <c r="AZ872" i="7"/>
  <c r="AZ1022" i="7"/>
  <c r="AZ917" i="7"/>
  <c r="AZ555" i="7"/>
  <c r="AZ767" i="7"/>
  <c r="AZ852" i="7"/>
  <c r="AZ937" i="7"/>
  <c r="AZ1019" i="7"/>
  <c r="AZ543" i="7"/>
  <c r="AZ901" i="7"/>
  <c r="AZ202" i="7"/>
  <c r="AZ138" i="7"/>
  <c r="AZ74" i="7"/>
  <c r="AZ10" i="7"/>
  <c r="AZ285" i="7"/>
  <c r="AZ221" i="7"/>
  <c r="AZ157" i="7"/>
  <c r="AZ93" i="7"/>
  <c r="AZ29" i="7"/>
  <c r="AZ567" i="7"/>
  <c r="AZ771" i="7"/>
  <c r="AZ856" i="7"/>
  <c r="AZ1034" i="7"/>
  <c r="AZ1044" i="7"/>
  <c r="AZ751" i="7"/>
  <c r="AZ857" i="7"/>
  <c r="AZ964" i="7"/>
  <c r="AZ1007" i="7"/>
  <c r="AZ1023" i="7"/>
  <c r="AZ1039" i="7"/>
  <c r="AZ349" i="7"/>
  <c r="AZ575" i="7"/>
  <c r="AZ735" i="7"/>
  <c r="AZ859" i="7"/>
  <c r="AZ912" i="7"/>
  <c r="AZ971" i="7"/>
  <c r="AZ1056" i="7"/>
  <c r="AZ925" i="7"/>
  <c r="AZ752" i="7"/>
  <c r="AZ319" i="7"/>
  <c r="AZ699" i="7"/>
  <c r="AZ815" i="7"/>
  <c r="AZ900" i="7"/>
  <c r="AZ985" i="7"/>
  <c r="AZ1055" i="7"/>
  <c r="AZ805" i="7"/>
  <c r="AZ1016" i="7"/>
  <c r="V8" i="7"/>
  <c r="V9" i="7" l="1"/>
  <c r="H30" i="41"/>
  <c r="V10" i="7" l="1"/>
  <c r="H14" i="41"/>
  <c r="G2" i="8"/>
  <c r="V11" i="7" l="1"/>
  <c r="D34" i="8"/>
  <c r="V12" i="7" l="1"/>
  <c r="D32" i="8"/>
  <c r="M3" i="15"/>
  <c r="D30" i="8"/>
  <c r="G11" i="8"/>
  <c r="G18" i="8"/>
  <c r="V13" i="7" l="1"/>
  <c r="D29" i="8"/>
  <c r="V14" i="7" l="1"/>
  <c r="F20" i="8"/>
  <c r="G19" i="8"/>
  <c r="V15" i="7" l="1"/>
  <c r="L36" i="46"/>
  <c r="E79" i="29"/>
  <c r="G79" i="29" l="1"/>
  <c r="V16" i="7"/>
  <c r="E100" i="29"/>
  <c r="E101" i="29"/>
  <c r="E85" i="29"/>
  <c r="V17" i="7" l="1"/>
  <c r="AD305" i="1"/>
  <c r="V18" i="7" l="1"/>
  <c r="K6" i="29"/>
  <c r="V19" i="7" l="1"/>
  <c r="B10" i="7"/>
  <c r="V20" i="7" l="1"/>
  <c r="E99" i="22"/>
  <c r="V21" i="7" l="1"/>
  <c r="V22" i="7" l="1"/>
  <c r="B12" i="1"/>
  <c r="V23" i="7" l="1"/>
  <c r="V24" i="7" l="1"/>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9" i="6"/>
  <c r="H9" i="6"/>
  <c r="V25" i="7" l="1"/>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V26" i="7" l="1"/>
  <c r="E102" i="22"/>
  <c r="V27" i="7" l="1"/>
  <c r="E101" i="22"/>
  <c r="BO17" i="3"/>
  <c r="BP17" i="3"/>
  <c r="V28" i="7" l="1"/>
  <c r="E100" i="22"/>
  <c r="V29" i="7" l="1"/>
  <c r="B8" i="13"/>
  <c r="C8" i="13" s="1"/>
  <c r="V30" i="7" l="1"/>
  <c r="V31" i="7" l="1"/>
  <c r="F36" i="46"/>
  <c r="V32" i="7" l="1"/>
  <c r="F38" i="46"/>
  <c r="F14" i="36"/>
  <c r="D14" i="36"/>
  <c r="V33" i="7" l="1"/>
  <c r="E24" i="30"/>
  <c r="V34" i="7" l="1"/>
  <c r="V35" i="7" l="1"/>
  <c r="D13" i="22"/>
  <c r="V36" i="7" l="1"/>
  <c r="D21" i="22"/>
  <c r="D20" i="22"/>
  <c r="D19" i="22"/>
  <c r="F13" i="36"/>
  <c r="V37" i="7" l="1"/>
  <c r="D13" i="36"/>
  <c r="C6" i="7"/>
  <c r="V38" i="7" l="1"/>
  <c r="V39" i="7" l="1"/>
  <c r="V40" i="7" l="1"/>
  <c r="J35" i="41"/>
  <c r="V41" i="7" l="1"/>
  <c r="E18" i="41"/>
  <c r="V42" i="7" l="1"/>
  <c r="D93" i="22"/>
  <c r="V43" i="7" l="1"/>
  <c r="H5" i="27"/>
  <c r="V44" i="7" l="1"/>
  <c r="E14" i="36"/>
  <c r="E15" i="36"/>
  <c r="E16" i="36"/>
  <c r="E13" i="36"/>
  <c r="D11" i="36"/>
  <c r="AK21" i="3"/>
  <c r="V45" i="7" l="1"/>
  <c r="B1" i="3"/>
  <c r="V46" i="7" l="1"/>
  <c r="BN17" i="3"/>
  <c r="V47" i="7" l="1"/>
  <c r="F16" i="36"/>
  <c r="G16" i="36" s="1"/>
  <c r="F15" i="36"/>
  <c r="G15" i="36" s="1"/>
  <c r="V48" i="7" l="1"/>
  <c r="D12" i="22"/>
  <c r="V49" i="7" l="1"/>
  <c r="M1" i="15"/>
  <c r="V50" i="7" l="1"/>
  <c r="N5" i="13"/>
  <c r="N6" i="13" s="1"/>
  <c r="N7" i="13" s="1"/>
  <c r="V51" i="7" l="1"/>
  <c r="F12" i="22"/>
  <c r="V52" i="7" l="1"/>
  <c r="G15" i="8"/>
  <c r="V53" i="7" l="1"/>
  <c r="G13" i="8"/>
  <c r="G7" i="8"/>
  <c r="V54" i="7" l="1"/>
  <c r="X6" i="36"/>
  <c r="G13" i="36"/>
  <c r="AB755" i="36"/>
  <c r="AB754" i="36"/>
  <c r="AB753" i="36"/>
  <c r="AB752" i="36"/>
  <c r="AB751" i="36"/>
  <c r="AB750" i="36"/>
  <c r="AB749" i="36"/>
  <c r="AB748" i="36"/>
  <c r="AB747" i="36"/>
  <c r="AB746" i="36"/>
  <c r="AB745" i="36"/>
  <c r="AB744" i="36"/>
  <c r="AB743" i="36"/>
  <c r="AB742" i="36"/>
  <c r="AB741" i="36"/>
  <c r="AB740" i="36"/>
  <c r="AB739" i="36"/>
  <c r="AB738" i="36"/>
  <c r="AB737" i="36"/>
  <c r="AB736" i="36"/>
  <c r="AB735" i="36"/>
  <c r="AB734" i="36"/>
  <c r="AB733" i="36"/>
  <c r="AB732" i="36"/>
  <c r="AB731" i="36"/>
  <c r="AB730" i="36"/>
  <c r="AB729" i="36"/>
  <c r="AB728" i="36"/>
  <c r="AB727" i="36"/>
  <c r="AB726" i="36"/>
  <c r="AB725" i="36"/>
  <c r="AB724" i="36"/>
  <c r="AB723" i="36"/>
  <c r="AB722" i="36"/>
  <c r="AB721" i="36"/>
  <c r="AB720" i="36"/>
  <c r="AB719" i="36"/>
  <c r="AB718" i="36"/>
  <c r="AB717" i="36"/>
  <c r="AB716" i="36"/>
  <c r="AB715" i="36"/>
  <c r="AB714" i="36"/>
  <c r="AB713" i="36"/>
  <c r="AB712" i="36"/>
  <c r="AB711" i="36"/>
  <c r="AB710" i="36"/>
  <c r="AB709" i="36"/>
  <c r="AB708" i="36"/>
  <c r="AB707" i="36"/>
  <c r="AB706" i="36"/>
  <c r="AB705" i="36"/>
  <c r="AB704" i="36"/>
  <c r="AB703" i="36"/>
  <c r="AB702" i="36"/>
  <c r="AB701" i="36"/>
  <c r="AB700" i="36"/>
  <c r="AB699" i="36"/>
  <c r="AB698" i="36"/>
  <c r="AB697" i="36"/>
  <c r="AB696" i="36"/>
  <c r="AB695" i="36"/>
  <c r="AB694" i="36"/>
  <c r="AB693" i="36"/>
  <c r="AB692" i="36"/>
  <c r="AB691" i="36"/>
  <c r="AB690" i="36"/>
  <c r="AB689" i="36"/>
  <c r="AB688" i="36"/>
  <c r="AB687" i="36"/>
  <c r="AB686" i="36"/>
  <c r="AB685" i="36"/>
  <c r="AB684" i="36"/>
  <c r="AB683" i="36"/>
  <c r="AB682" i="36"/>
  <c r="AB681" i="36"/>
  <c r="AB680" i="36"/>
  <c r="AB679" i="36"/>
  <c r="AB678" i="36"/>
  <c r="AB677" i="36"/>
  <c r="AB676" i="36"/>
  <c r="AB675" i="36"/>
  <c r="AB674" i="36"/>
  <c r="AB673" i="36"/>
  <c r="AB672" i="36"/>
  <c r="AB671" i="36"/>
  <c r="AB670" i="36"/>
  <c r="AB669" i="36"/>
  <c r="AB668" i="36"/>
  <c r="AB667" i="36"/>
  <c r="AB666" i="36"/>
  <c r="AB665" i="36"/>
  <c r="AB664" i="36"/>
  <c r="AB663" i="36"/>
  <c r="AB662" i="36"/>
  <c r="AB661" i="36"/>
  <c r="AB660" i="36"/>
  <c r="AB659" i="36"/>
  <c r="AB658" i="36"/>
  <c r="AB657" i="36"/>
  <c r="AB656" i="36"/>
  <c r="AB655" i="36"/>
  <c r="AB654" i="36"/>
  <c r="AB653" i="36"/>
  <c r="AB652" i="36"/>
  <c r="AB651" i="36"/>
  <c r="AB650" i="36"/>
  <c r="AB649" i="36"/>
  <c r="AB648" i="36"/>
  <c r="AB647" i="36"/>
  <c r="AB646" i="36"/>
  <c r="AB645" i="36"/>
  <c r="AB644" i="36"/>
  <c r="AB643" i="36"/>
  <c r="AB642" i="36"/>
  <c r="AB641" i="36"/>
  <c r="AB640" i="36"/>
  <c r="AB639" i="36"/>
  <c r="AB638" i="36"/>
  <c r="AB637" i="36"/>
  <c r="AB636" i="36"/>
  <c r="AB635" i="36"/>
  <c r="AB634" i="36"/>
  <c r="AB633" i="36"/>
  <c r="AB632" i="36"/>
  <c r="AB631" i="36"/>
  <c r="AB630" i="36"/>
  <c r="AB629" i="36"/>
  <c r="AB628" i="36"/>
  <c r="AB627" i="36"/>
  <c r="AB626" i="36"/>
  <c r="AB625" i="36"/>
  <c r="AB624" i="36"/>
  <c r="AB623" i="36"/>
  <c r="AB622" i="36"/>
  <c r="AB621" i="36"/>
  <c r="AB620" i="36"/>
  <c r="AB619" i="36"/>
  <c r="AB618" i="36"/>
  <c r="AB617" i="36"/>
  <c r="AB616" i="36"/>
  <c r="AB615" i="36"/>
  <c r="AB614" i="36"/>
  <c r="AB613" i="36"/>
  <c r="AB612" i="36"/>
  <c r="AB611" i="36"/>
  <c r="AB610" i="36"/>
  <c r="AB609" i="36"/>
  <c r="AB608" i="36"/>
  <c r="AB607" i="36"/>
  <c r="AB606" i="36"/>
  <c r="AB605" i="36"/>
  <c r="AB604" i="36"/>
  <c r="AB603" i="36"/>
  <c r="AB602" i="36"/>
  <c r="AB601" i="36"/>
  <c r="AB600" i="36"/>
  <c r="AB599" i="36"/>
  <c r="AB598" i="36"/>
  <c r="AB597" i="36"/>
  <c r="AB596" i="36"/>
  <c r="AB595" i="36"/>
  <c r="AB594" i="36"/>
  <c r="AB593" i="36"/>
  <c r="AB592" i="36"/>
  <c r="AB591" i="36"/>
  <c r="AB590" i="36"/>
  <c r="AB589" i="36"/>
  <c r="AB588" i="36"/>
  <c r="AB587" i="36"/>
  <c r="AB586" i="36"/>
  <c r="AB585" i="36"/>
  <c r="AB584" i="36"/>
  <c r="AB583" i="36"/>
  <c r="AB582" i="36"/>
  <c r="AB581" i="36"/>
  <c r="AB580" i="36"/>
  <c r="AB579" i="36"/>
  <c r="AB578" i="36"/>
  <c r="AB577" i="36"/>
  <c r="AB576" i="36"/>
  <c r="AB575" i="36"/>
  <c r="AB574" i="36"/>
  <c r="AB573" i="36"/>
  <c r="AB572" i="36"/>
  <c r="AB571" i="36"/>
  <c r="AB570" i="36"/>
  <c r="AB569" i="36"/>
  <c r="AB568" i="36"/>
  <c r="AB567" i="36"/>
  <c r="AB566" i="36"/>
  <c r="AB565" i="36"/>
  <c r="AB564" i="36"/>
  <c r="AB563" i="36"/>
  <c r="AB562" i="36"/>
  <c r="AB561" i="36"/>
  <c r="AB560" i="36"/>
  <c r="AB559" i="36"/>
  <c r="AB558" i="36"/>
  <c r="AB557" i="36"/>
  <c r="AB556" i="36"/>
  <c r="AB555" i="36"/>
  <c r="AB554" i="36"/>
  <c r="AB553" i="36"/>
  <c r="AB552" i="36"/>
  <c r="AB551" i="36"/>
  <c r="AB550" i="36"/>
  <c r="AB549" i="36"/>
  <c r="AB548" i="36"/>
  <c r="AB547" i="36"/>
  <c r="AB546" i="36"/>
  <c r="AB545" i="36"/>
  <c r="AB544" i="36"/>
  <c r="AB543" i="36"/>
  <c r="AB542" i="36"/>
  <c r="AB541" i="36"/>
  <c r="AB540" i="36"/>
  <c r="AB539" i="36"/>
  <c r="AB538" i="36"/>
  <c r="AB537" i="36"/>
  <c r="AB536" i="36"/>
  <c r="AB535" i="36"/>
  <c r="AB534" i="36"/>
  <c r="AB533" i="36"/>
  <c r="AB532" i="36"/>
  <c r="AB531" i="36"/>
  <c r="AB530" i="36"/>
  <c r="AB529" i="36"/>
  <c r="AB528" i="36"/>
  <c r="AB527" i="36"/>
  <c r="AB526" i="36"/>
  <c r="AB525" i="36"/>
  <c r="AB524" i="36"/>
  <c r="AB523" i="36"/>
  <c r="AB522" i="36"/>
  <c r="AB521" i="36"/>
  <c r="AB520" i="36"/>
  <c r="AB519" i="36"/>
  <c r="AB518" i="36"/>
  <c r="AB517" i="36"/>
  <c r="AB516" i="36"/>
  <c r="AB515" i="36"/>
  <c r="AB514" i="36"/>
  <c r="AB513" i="36"/>
  <c r="AB512" i="36"/>
  <c r="AB511" i="36"/>
  <c r="AB510" i="36"/>
  <c r="AB509" i="36"/>
  <c r="AB508" i="36"/>
  <c r="AB507" i="36"/>
  <c r="AB506" i="36"/>
  <c r="AB505" i="36"/>
  <c r="AB504" i="36"/>
  <c r="AB503" i="36"/>
  <c r="AB502" i="36"/>
  <c r="AB501" i="36"/>
  <c r="AB500" i="36"/>
  <c r="AB499" i="36"/>
  <c r="AB498" i="36"/>
  <c r="AB497" i="36"/>
  <c r="AB496" i="36"/>
  <c r="AB495" i="36"/>
  <c r="AB494" i="36"/>
  <c r="AB493" i="36"/>
  <c r="AB492" i="36"/>
  <c r="AB491" i="36"/>
  <c r="AB490" i="36"/>
  <c r="AB489" i="36"/>
  <c r="AB488" i="36"/>
  <c r="AB487" i="36"/>
  <c r="AB486" i="36"/>
  <c r="AB485" i="36"/>
  <c r="AB484" i="36"/>
  <c r="AB483" i="36"/>
  <c r="AB482" i="36"/>
  <c r="AB481" i="36"/>
  <c r="AB480" i="36"/>
  <c r="AB479" i="36"/>
  <c r="AB478" i="36"/>
  <c r="AB477" i="36"/>
  <c r="AB476" i="36"/>
  <c r="AB475" i="36"/>
  <c r="AB474" i="36"/>
  <c r="AB473" i="36"/>
  <c r="AB472" i="36"/>
  <c r="AB471" i="36"/>
  <c r="AB470" i="36"/>
  <c r="AB469" i="36"/>
  <c r="AB468" i="36"/>
  <c r="AB467" i="36"/>
  <c r="AB466" i="36"/>
  <c r="AB465" i="36"/>
  <c r="AB464" i="36"/>
  <c r="AB463" i="36"/>
  <c r="AB462" i="36"/>
  <c r="AB461" i="36"/>
  <c r="AB460" i="36"/>
  <c r="AB459" i="36"/>
  <c r="AB458" i="36"/>
  <c r="AB457" i="36"/>
  <c r="AB456" i="36"/>
  <c r="AB455" i="36"/>
  <c r="AB454" i="36"/>
  <c r="AB453" i="36"/>
  <c r="AB452" i="36"/>
  <c r="AB451" i="36"/>
  <c r="AB450" i="36"/>
  <c r="AB449" i="36"/>
  <c r="AB448" i="36"/>
  <c r="AB447" i="36"/>
  <c r="AB446" i="36"/>
  <c r="AB445" i="36"/>
  <c r="AB444" i="36"/>
  <c r="AB443" i="36"/>
  <c r="AB442" i="36"/>
  <c r="AB441" i="36"/>
  <c r="AB440" i="36"/>
  <c r="AB439" i="36"/>
  <c r="AB438" i="36"/>
  <c r="AB437" i="36"/>
  <c r="AB436" i="36"/>
  <c r="AB435" i="36"/>
  <c r="AB434" i="36"/>
  <c r="AB433" i="36"/>
  <c r="AB432" i="36"/>
  <c r="AB431" i="36"/>
  <c r="AB430" i="36"/>
  <c r="AB429" i="36"/>
  <c r="AB428" i="36"/>
  <c r="AB427" i="36"/>
  <c r="AB426" i="36"/>
  <c r="AB425" i="36"/>
  <c r="AB424" i="36"/>
  <c r="AB423" i="36"/>
  <c r="AB422" i="36"/>
  <c r="AB421" i="36"/>
  <c r="AB420" i="36"/>
  <c r="AB419" i="36"/>
  <c r="AB418" i="36"/>
  <c r="AB417" i="36"/>
  <c r="AB416" i="36"/>
  <c r="AB415" i="36"/>
  <c r="AB414" i="36"/>
  <c r="AB413" i="36"/>
  <c r="AB412" i="36"/>
  <c r="AB411" i="36"/>
  <c r="AB410" i="36"/>
  <c r="AB409" i="36"/>
  <c r="AB408" i="36"/>
  <c r="AB407" i="36"/>
  <c r="AB406" i="36"/>
  <c r="AB405" i="36"/>
  <c r="AB404" i="36"/>
  <c r="AB403" i="36"/>
  <c r="AB402" i="36"/>
  <c r="AB401" i="36"/>
  <c r="AB400" i="36"/>
  <c r="AB399" i="36"/>
  <c r="AB398" i="36"/>
  <c r="AB397" i="36"/>
  <c r="AB396" i="36"/>
  <c r="AB395" i="36"/>
  <c r="AB394" i="36"/>
  <c r="AB393" i="36"/>
  <c r="AB392" i="36"/>
  <c r="AB391" i="36"/>
  <c r="AB390" i="36"/>
  <c r="AB389" i="36"/>
  <c r="AB388" i="36"/>
  <c r="AB387" i="36"/>
  <c r="AB386" i="36"/>
  <c r="AB385" i="36"/>
  <c r="AB384" i="36"/>
  <c r="AB383" i="36"/>
  <c r="AB382" i="36"/>
  <c r="AB381" i="36"/>
  <c r="AB380" i="36"/>
  <c r="AB379" i="36"/>
  <c r="AB378" i="36"/>
  <c r="AB377" i="36"/>
  <c r="AB376" i="36"/>
  <c r="AB375" i="36"/>
  <c r="AB374" i="36"/>
  <c r="AB373" i="36"/>
  <c r="AB372" i="36"/>
  <c r="AB371" i="36"/>
  <c r="AB370" i="36"/>
  <c r="AB369" i="36"/>
  <c r="AB368" i="36"/>
  <c r="AB367" i="36"/>
  <c r="AB366" i="36"/>
  <c r="AB365" i="36"/>
  <c r="AB364" i="36"/>
  <c r="AB363" i="36"/>
  <c r="AB362" i="36"/>
  <c r="AB361" i="36"/>
  <c r="AB360" i="36"/>
  <c r="AB359" i="36"/>
  <c r="AB358" i="36"/>
  <c r="AB357" i="36"/>
  <c r="AB356" i="36"/>
  <c r="AB355" i="36"/>
  <c r="AB354" i="36"/>
  <c r="AB353" i="36"/>
  <c r="AB352" i="36"/>
  <c r="AB351" i="36"/>
  <c r="AB350" i="36"/>
  <c r="AB349" i="36"/>
  <c r="AB348" i="36"/>
  <c r="AB347" i="36"/>
  <c r="AB346" i="36"/>
  <c r="AB345" i="36"/>
  <c r="AB344" i="36"/>
  <c r="AB343" i="36"/>
  <c r="AB342" i="36"/>
  <c r="AB341" i="36"/>
  <c r="AB340" i="36"/>
  <c r="AB339" i="36"/>
  <c r="AB338" i="36"/>
  <c r="AB337" i="36"/>
  <c r="AB336" i="36"/>
  <c r="AB335" i="36"/>
  <c r="AB334" i="36"/>
  <c r="AB333" i="36"/>
  <c r="AB332" i="36"/>
  <c r="AB331" i="36"/>
  <c r="AB330" i="36"/>
  <c r="AB329" i="36"/>
  <c r="AB328" i="36"/>
  <c r="AB327" i="36"/>
  <c r="AB326" i="36"/>
  <c r="AB325" i="36"/>
  <c r="AB324" i="36"/>
  <c r="AB323" i="36"/>
  <c r="AB322" i="36"/>
  <c r="AB321" i="36"/>
  <c r="AB320" i="36"/>
  <c r="AB319" i="36"/>
  <c r="AB318" i="36"/>
  <c r="AB317" i="36"/>
  <c r="AB316" i="36"/>
  <c r="AB315" i="36"/>
  <c r="AB314" i="36"/>
  <c r="AB313" i="36"/>
  <c r="AB312" i="36"/>
  <c r="AB311" i="36"/>
  <c r="AB310" i="36"/>
  <c r="AB309" i="36"/>
  <c r="AB308" i="36"/>
  <c r="AB307" i="36"/>
  <c r="AB306" i="36"/>
  <c r="AB305" i="36"/>
  <c r="AB304" i="36"/>
  <c r="AB303" i="36"/>
  <c r="AB302" i="36"/>
  <c r="AB301" i="36"/>
  <c r="AB300" i="36"/>
  <c r="AB299" i="36"/>
  <c r="AB298" i="36"/>
  <c r="AB297" i="36"/>
  <c r="AB296" i="36"/>
  <c r="AB295" i="36"/>
  <c r="AB294" i="36"/>
  <c r="AB293" i="36"/>
  <c r="AB292" i="36"/>
  <c r="AB291" i="36"/>
  <c r="AB290" i="36"/>
  <c r="AB289" i="36"/>
  <c r="AB288" i="36"/>
  <c r="AB287" i="36"/>
  <c r="AB286" i="36"/>
  <c r="AB285" i="36"/>
  <c r="AB284" i="36"/>
  <c r="AB283" i="36"/>
  <c r="AB282" i="36"/>
  <c r="AB281" i="36"/>
  <c r="AB280" i="36"/>
  <c r="AB279" i="36"/>
  <c r="AB278" i="36"/>
  <c r="AB277" i="36"/>
  <c r="AB276" i="36"/>
  <c r="AB275" i="36"/>
  <c r="AB274" i="36"/>
  <c r="AB273" i="36"/>
  <c r="AB272" i="36"/>
  <c r="AB271" i="36"/>
  <c r="AB270" i="36"/>
  <c r="AB269" i="36"/>
  <c r="AB268" i="36"/>
  <c r="AB267" i="36"/>
  <c r="AB266" i="36"/>
  <c r="AB265" i="36"/>
  <c r="AB264" i="36"/>
  <c r="AB263" i="36"/>
  <c r="AB262" i="36"/>
  <c r="AB261" i="36"/>
  <c r="AB260" i="36"/>
  <c r="AB259" i="36"/>
  <c r="AB258" i="36"/>
  <c r="AB257" i="36"/>
  <c r="AB256" i="36"/>
  <c r="AB255" i="36"/>
  <c r="AB254" i="36"/>
  <c r="AB253" i="36"/>
  <c r="AB252" i="36"/>
  <c r="AB251" i="36"/>
  <c r="AB250" i="36"/>
  <c r="AB249" i="36"/>
  <c r="AB248" i="36"/>
  <c r="AB247" i="36"/>
  <c r="AB246" i="36"/>
  <c r="AB245" i="36"/>
  <c r="AB244" i="36"/>
  <c r="AB243" i="36"/>
  <c r="AB242" i="36"/>
  <c r="AB241" i="36"/>
  <c r="AB240" i="36"/>
  <c r="AB239" i="36"/>
  <c r="AB238" i="36"/>
  <c r="AB237" i="36"/>
  <c r="AB236" i="36"/>
  <c r="AB235" i="36"/>
  <c r="AB234" i="36"/>
  <c r="AB233" i="36"/>
  <c r="AB232" i="36"/>
  <c r="AB231" i="36"/>
  <c r="AB230" i="36"/>
  <c r="AB229" i="36"/>
  <c r="AB228" i="36"/>
  <c r="AB227" i="36"/>
  <c r="AB226" i="36"/>
  <c r="AB225" i="36"/>
  <c r="AB224" i="36"/>
  <c r="AB223" i="36"/>
  <c r="AB222" i="36"/>
  <c r="AB221" i="36"/>
  <c r="AB220" i="36"/>
  <c r="AB219" i="36"/>
  <c r="AB218" i="36"/>
  <c r="AB217" i="36"/>
  <c r="AB216" i="36"/>
  <c r="AB215" i="36"/>
  <c r="AB214" i="36"/>
  <c r="AB213" i="36"/>
  <c r="AB212" i="36"/>
  <c r="AB211" i="36"/>
  <c r="AB210" i="36"/>
  <c r="AB209" i="36"/>
  <c r="AB208" i="36"/>
  <c r="AB207" i="36"/>
  <c r="AB206" i="36"/>
  <c r="AB205" i="36"/>
  <c r="AB204" i="36"/>
  <c r="AB203" i="36"/>
  <c r="AB202" i="36"/>
  <c r="AB201" i="36"/>
  <c r="AB200" i="36"/>
  <c r="AB199" i="36"/>
  <c r="AB198" i="36"/>
  <c r="AB197" i="36"/>
  <c r="AB196" i="36"/>
  <c r="AB195" i="36"/>
  <c r="AB194" i="36"/>
  <c r="AB193" i="36"/>
  <c r="AB192" i="36"/>
  <c r="AB191" i="36"/>
  <c r="AB190" i="36"/>
  <c r="AB189" i="36"/>
  <c r="AB188" i="36"/>
  <c r="AB187" i="36"/>
  <c r="AB186" i="36"/>
  <c r="AB185" i="36"/>
  <c r="AB184" i="36"/>
  <c r="AB183" i="36"/>
  <c r="AB182" i="36"/>
  <c r="AB181" i="36"/>
  <c r="AB180" i="36"/>
  <c r="AB179" i="36"/>
  <c r="AB178" i="36"/>
  <c r="AB177" i="36"/>
  <c r="AB176" i="36"/>
  <c r="AB175" i="36"/>
  <c r="AB174" i="36"/>
  <c r="AB173" i="36"/>
  <c r="AB172" i="36"/>
  <c r="AB171" i="36"/>
  <c r="AB170" i="36"/>
  <c r="AB169" i="36"/>
  <c r="AB168" i="36"/>
  <c r="AB167" i="36"/>
  <c r="AB166" i="36"/>
  <c r="AB165" i="36"/>
  <c r="AB164" i="36"/>
  <c r="AB163" i="36"/>
  <c r="AB162" i="36"/>
  <c r="AB161" i="36"/>
  <c r="AB160" i="36"/>
  <c r="AB159" i="36"/>
  <c r="AB158" i="36"/>
  <c r="AB157" i="36"/>
  <c r="AB156" i="36"/>
  <c r="AB155" i="36"/>
  <c r="AB154" i="36"/>
  <c r="AB153" i="36"/>
  <c r="AB152" i="36"/>
  <c r="AB151" i="36"/>
  <c r="AB150" i="36"/>
  <c r="AB149" i="36"/>
  <c r="AB148" i="36"/>
  <c r="AB147" i="36"/>
  <c r="AB146" i="36"/>
  <c r="AB145" i="36"/>
  <c r="AB144" i="36"/>
  <c r="AB143" i="36"/>
  <c r="AB142" i="36"/>
  <c r="AB141" i="36"/>
  <c r="AB140" i="36"/>
  <c r="AB139" i="36"/>
  <c r="AB138" i="36"/>
  <c r="AB137" i="36"/>
  <c r="AB136" i="36"/>
  <c r="AB135" i="36"/>
  <c r="AB134" i="36"/>
  <c r="AB133" i="36"/>
  <c r="AB132" i="36"/>
  <c r="AB131" i="36"/>
  <c r="AB130" i="36"/>
  <c r="AB129" i="36"/>
  <c r="AB128" i="36"/>
  <c r="AB127" i="36"/>
  <c r="AB126" i="36"/>
  <c r="AB125" i="36"/>
  <c r="AB124" i="36"/>
  <c r="AB123" i="36"/>
  <c r="AB122" i="36"/>
  <c r="AB121" i="36"/>
  <c r="AB120" i="36"/>
  <c r="AB119" i="36"/>
  <c r="AB118" i="36"/>
  <c r="AB117" i="36"/>
  <c r="AB116" i="36"/>
  <c r="AB115" i="36"/>
  <c r="AB114" i="36"/>
  <c r="AB113" i="36"/>
  <c r="AB112" i="36"/>
  <c r="AB111" i="36"/>
  <c r="AB110" i="36"/>
  <c r="AB109" i="36"/>
  <c r="AB108" i="36"/>
  <c r="AB107" i="36"/>
  <c r="AB106" i="36"/>
  <c r="AB105" i="36"/>
  <c r="AB104" i="36"/>
  <c r="AB103" i="36"/>
  <c r="AB102" i="36"/>
  <c r="AB101" i="36"/>
  <c r="AB100" i="36"/>
  <c r="AB99" i="36"/>
  <c r="AB98" i="36"/>
  <c r="AB97" i="36"/>
  <c r="AB96" i="36"/>
  <c r="AB95" i="36"/>
  <c r="AB94" i="36"/>
  <c r="AB93" i="36"/>
  <c r="AB92" i="36"/>
  <c r="AB91" i="36"/>
  <c r="AB90" i="36"/>
  <c r="AB89" i="36"/>
  <c r="AB88" i="36"/>
  <c r="AB87" i="36"/>
  <c r="AB86" i="36"/>
  <c r="AB85" i="36"/>
  <c r="AB84" i="36"/>
  <c r="AB83" i="36"/>
  <c r="AB82" i="36"/>
  <c r="AB81" i="36"/>
  <c r="AB80" i="36"/>
  <c r="AB79" i="36"/>
  <c r="AB78" i="36"/>
  <c r="AB77" i="36"/>
  <c r="AB76" i="36"/>
  <c r="AB75" i="36"/>
  <c r="AB74" i="36"/>
  <c r="AB73" i="36"/>
  <c r="AB72" i="36"/>
  <c r="AB71" i="36"/>
  <c r="AB70" i="36"/>
  <c r="AB69" i="36"/>
  <c r="AB68" i="36"/>
  <c r="AB67" i="36"/>
  <c r="AB66" i="36"/>
  <c r="AB65" i="36"/>
  <c r="AB64" i="36"/>
  <c r="AB63" i="36"/>
  <c r="AB62" i="36"/>
  <c r="AB61" i="36"/>
  <c r="AB60" i="36"/>
  <c r="AB59" i="36"/>
  <c r="AB58" i="36"/>
  <c r="AB57" i="36"/>
  <c r="AB56" i="36"/>
  <c r="AB55" i="36"/>
  <c r="AB54" i="36"/>
  <c r="AB53" i="36"/>
  <c r="AB52" i="36"/>
  <c r="AB51" i="36"/>
  <c r="AB50" i="36"/>
  <c r="AB49" i="36"/>
  <c r="AB48" i="36"/>
  <c r="AB47" i="36"/>
  <c r="AB46" i="36"/>
  <c r="AB45" i="36"/>
  <c r="AB44" i="36"/>
  <c r="AB43" i="36"/>
  <c r="AB42" i="36"/>
  <c r="AB41" i="36"/>
  <c r="AB40" i="36"/>
  <c r="AB39" i="36"/>
  <c r="AB38" i="36"/>
  <c r="AB37" i="36"/>
  <c r="AB36" i="36"/>
  <c r="AB35" i="36"/>
  <c r="AB34" i="36"/>
  <c r="AB33" i="36"/>
  <c r="AB32" i="36"/>
  <c r="AB31" i="36"/>
  <c r="AB30" i="36"/>
  <c r="AB29" i="36"/>
  <c r="AB28" i="36"/>
  <c r="AB27" i="36"/>
  <c r="AB26" i="36"/>
  <c r="AB25" i="36"/>
  <c r="AB24" i="36"/>
  <c r="AB23" i="36"/>
  <c r="AB22" i="36"/>
  <c r="AB21" i="36"/>
  <c r="AB20" i="36"/>
  <c r="AB19" i="36"/>
  <c r="AB18" i="36"/>
  <c r="AB17" i="36"/>
  <c r="AB16" i="36"/>
  <c r="AB15" i="36"/>
  <c r="AB14" i="36"/>
  <c r="AB13" i="36"/>
  <c r="AB12" i="36"/>
  <c r="AB11" i="36"/>
  <c r="AB10" i="36"/>
  <c r="AB9" i="36"/>
  <c r="AB8" i="36"/>
  <c r="AB7" i="36"/>
  <c r="AB6" i="36"/>
  <c r="W755" i="36"/>
  <c r="W754" i="36"/>
  <c r="W753" i="36"/>
  <c r="W752" i="36"/>
  <c r="W751" i="36"/>
  <c r="W750" i="36"/>
  <c r="W749" i="36"/>
  <c r="W748" i="36"/>
  <c r="W747" i="36"/>
  <c r="W746" i="36"/>
  <c r="W745" i="36"/>
  <c r="W744" i="36"/>
  <c r="W743" i="36"/>
  <c r="W742" i="36"/>
  <c r="W741" i="36"/>
  <c r="W740" i="36"/>
  <c r="W739" i="36"/>
  <c r="W738" i="36"/>
  <c r="W737" i="36"/>
  <c r="W736" i="36"/>
  <c r="W735" i="36"/>
  <c r="W734" i="36"/>
  <c r="W733" i="36"/>
  <c r="W732" i="36"/>
  <c r="W731" i="36"/>
  <c r="W730" i="36"/>
  <c r="W729" i="36"/>
  <c r="W728" i="36"/>
  <c r="W727" i="36"/>
  <c r="W726" i="36"/>
  <c r="W725" i="36"/>
  <c r="W724" i="36"/>
  <c r="W723" i="36"/>
  <c r="W722" i="36"/>
  <c r="W721" i="36"/>
  <c r="W720" i="36"/>
  <c r="W719" i="36"/>
  <c r="W718" i="36"/>
  <c r="W717" i="36"/>
  <c r="W716" i="36"/>
  <c r="W715" i="36"/>
  <c r="W714" i="36"/>
  <c r="W713" i="36"/>
  <c r="W712" i="36"/>
  <c r="W711" i="36"/>
  <c r="W710" i="36"/>
  <c r="W709" i="36"/>
  <c r="W708" i="36"/>
  <c r="W707" i="36"/>
  <c r="W706" i="36"/>
  <c r="W705" i="36"/>
  <c r="W704" i="36"/>
  <c r="W703" i="36"/>
  <c r="W702" i="36"/>
  <c r="W701" i="36"/>
  <c r="W700" i="36"/>
  <c r="W699" i="36"/>
  <c r="W698" i="36"/>
  <c r="W697" i="36"/>
  <c r="W696" i="36"/>
  <c r="W695" i="36"/>
  <c r="W694" i="36"/>
  <c r="W693" i="36"/>
  <c r="W692" i="36"/>
  <c r="W691" i="36"/>
  <c r="W690" i="36"/>
  <c r="W689" i="36"/>
  <c r="W688" i="36"/>
  <c r="W687" i="36"/>
  <c r="W686" i="36"/>
  <c r="W685" i="36"/>
  <c r="W684" i="36"/>
  <c r="W683" i="36"/>
  <c r="W682" i="36"/>
  <c r="W681" i="36"/>
  <c r="W680" i="36"/>
  <c r="W679" i="36"/>
  <c r="W678" i="36"/>
  <c r="W677" i="36"/>
  <c r="W676" i="36"/>
  <c r="W675" i="36"/>
  <c r="W674" i="36"/>
  <c r="W673" i="36"/>
  <c r="W672" i="36"/>
  <c r="W671" i="36"/>
  <c r="W670" i="36"/>
  <c r="W669" i="36"/>
  <c r="W668" i="36"/>
  <c r="W667" i="36"/>
  <c r="W666" i="36"/>
  <c r="W665" i="36"/>
  <c r="W664" i="36"/>
  <c r="W663" i="36"/>
  <c r="W662" i="36"/>
  <c r="W661" i="36"/>
  <c r="W660" i="36"/>
  <c r="W659" i="36"/>
  <c r="W658" i="36"/>
  <c r="W657" i="36"/>
  <c r="W656" i="36"/>
  <c r="W655" i="36"/>
  <c r="W654" i="36"/>
  <c r="W653" i="36"/>
  <c r="W652" i="36"/>
  <c r="W651" i="36"/>
  <c r="W650" i="36"/>
  <c r="W649" i="36"/>
  <c r="W648" i="36"/>
  <c r="W647" i="36"/>
  <c r="W646" i="36"/>
  <c r="W645" i="36"/>
  <c r="W644" i="36"/>
  <c r="W643" i="36"/>
  <c r="W642" i="36"/>
  <c r="W641" i="36"/>
  <c r="W640" i="36"/>
  <c r="W639" i="36"/>
  <c r="W638" i="36"/>
  <c r="W637" i="36"/>
  <c r="W636" i="36"/>
  <c r="W635" i="36"/>
  <c r="W634" i="36"/>
  <c r="W633" i="36"/>
  <c r="W632" i="36"/>
  <c r="W631" i="36"/>
  <c r="W630" i="36"/>
  <c r="W629" i="36"/>
  <c r="W628" i="36"/>
  <c r="W627" i="36"/>
  <c r="W626" i="36"/>
  <c r="W625" i="36"/>
  <c r="W624" i="36"/>
  <c r="W623" i="36"/>
  <c r="W622" i="36"/>
  <c r="W621" i="36"/>
  <c r="W620" i="36"/>
  <c r="W619" i="36"/>
  <c r="W618" i="36"/>
  <c r="W617" i="36"/>
  <c r="W616" i="36"/>
  <c r="W615" i="36"/>
  <c r="W614" i="36"/>
  <c r="W613" i="36"/>
  <c r="W612" i="36"/>
  <c r="W611" i="36"/>
  <c r="W610" i="36"/>
  <c r="W609" i="36"/>
  <c r="W608" i="36"/>
  <c r="W607" i="36"/>
  <c r="W606" i="36"/>
  <c r="W605" i="36"/>
  <c r="W604" i="36"/>
  <c r="W603" i="36"/>
  <c r="W602" i="36"/>
  <c r="W601" i="36"/>
  <c r="W600" i="36"/>
  <c r="W599" i="36"/>
  <c r="W598" i="36"/>
  <c r="W597" i="36"/>
  <c r="W596" i="36"/>
  <c r="W595" i="36"/>
  <c r="W594" i="36"/>
  <c r="W593" i="36"/>
  <c r="W592" i="36"/>
  <c r="W591" i="36"/>
  <c r="W590" i="36"/>
  <c r="W589" i="36"/>
  <c r="W588" i="36"/>
  <c r="W587" i="36"/>
  <c r="W586" i="36"/>
  <c r="W585" i="36"/>
  <c r="W584" i="36"/>
  <c r="W583" i="36"/>
  <c r="W582" i="36"/>
  <c r="W581" i="36"/>
  <c r="W580" i="36"/>
  <c r="W579" i="36"/>
  <c r="W578" i="36"/>
  <c r="W577" i="36"/>
  <c r="W576" i="36"/>
  <c r="W575" i="36"/>
  <c r="W574" i="36"/>
  <c r="W573" i="36"/>
  <c r="W572" i="36"/>
  <c r="W571" i="36"/>
  <c r="W570" i="36"/>
  <c r="W569" i="36"/>
  <c r="W568" i="36"/>
  <c r="W567" i="36"/>
  <c r="W566" i="36"/>
  <c r="W565" i="36"/>
  <c r="W564" i="36"/>
  <c r="W563" i="36"/>
  <c r="W562" i="36"/>
  <c r="W561" i="36"/>
  <c r="W560" i="36"/>
  <c r="W559" i="36"/>
  <c r="W558" i="36"/>
  <c r="W557" i="36"/>
  <c r="W556" i="36"/>
  <c r="W555" i="36"/>
  <c r="W554" i="36"/>
  <c r="W553" i="36"/>
  <c r="W552" i="36"/>
  <c r="W551" i="36"/>
  <c r="W550" i="36"/>
  <c r="W549" i="36"/>
  <c r="W548" i="36"/>
  <c r="W547" i="36"/>
  <c r="W546" i="36"/>
  <c r="W545" i="36"/>
  <c r="W544" i="36"/>
  <c r="W543" i="36"/>
  <c r="W542" i="36"/>
  <c r="W541" i="36"/>
  <c r="W540" i="36"/>
  <c r="W539" i="36"/>
  <c r="W538" i="36"/>
  <c r="W537" i="36"/>
  <c r="W536" i="36"/>
  <c r="W535" i="36"/>
  <c r="W534" i="36"/>
  <c r="W533" i="36"/>
  <c r="W532" i="36"/>
  <c r="W531" i="36"/>
  <c r="W530" i="36"/>
  <c r="W529" i="36"/>
  <c r="W528" i="36"/>
  <c r="W527" i="36"/>
  <c r="W526" i="36"/>
  <c r="W525" i="36"/>
  <c r="W524" i="36"/>
  <c r="W523" i="36"/>
  <c r="W522" i="36"/>
  <c r="W521" i="36"/>
  <c r="W520" i="36"/>
  <c r="W519" i="36"/>
  <c r="W518" i="36"/>
  <c r="W517" i="36"/>
  <c r="W516" i="36"/>
  <c r="W515" i="36"/>
  <c r="W514" i="36"/>
  <c r="W513" i="36"/>
  <c r="W512" i="36"/>
  <c r="W511" i="36"/>
  <c r="W510" i="36"/>
  <c r="W509" i="36"/>
  <c r="W508" i="36"/>
  <c r="W507" i="36"/>
  <c r="W506" i="36"/>
  <c r="W505" i="36"/>
  <c r="W504" i="36"/>
  <c r="W503" i="36"/>
  <c r="W502" i="36"/>
  <c r="W501" i="36"/>
  <c r="W500" i="36"/>
  <c r="W499" i="36"/>
  <c r="W498" i="36"/>
  <c r="W497" i="36"/>
  <c r="W496" i="36"/>
  <c r="W495" i="36"/>
  <c r="W494" i="36"/>
  <c r="W493" i="36"/>
  <c r="W492" i="36"/>
  <c r="W491" i="36"/>
  <c r="W490" i="36"/>
  <c r="W489" i="36"/>
  <c r="W488" i="36"/>
  <c r="W487" i="36"/>
  <c r="W486" i="36"/>
  <c r="W485" i="36"/>
  <c r="W484" i="36"/>
  <c r="W483" i="36"/>
  <c r="W482" i="36"/>
  <c r="W481" i="36"/>
  <c r="W480" i="36"/>
  <c r="W479" i="36"/>
  <c r="W478" i="36"/>
  <c r="W477" i="36"/>
  <c r="W476" i="36"/>
  <c r="W475" i="36"/>
  <c r="W474" i="36"/>
  <c r="W473" i="36"/>
  <c r="W472" i="36"/>
  <c r="W471" i="36"/>
  <c r="W470" i="36"/>
  <c r="W469" i="36"/>
  <c r="W468" i="36"/>
  <c r="W467" i="36"/>
  <c r="W466" i="36"/>
  <c r="W465" i="36"/>
  <c r="W464" i="36"/>
  <c r="W463" i="36"/>
  <c r="W462" i="36"/>
  <c r="W461" i="36"/>
  <c r="W460" i="36"/>
  <c r="W459" i="36"/>
  <c r="W458" i="36"/>
  <c r="W457" i="36"/>
  <c r="W456" i="36"/>
  <c r="W455" i="36"/>
  <c r="W454" i="36"/>
  <c r="W453" i="36"/>
  <c r="W452" i="36"/>
  <c r="W451" i="36"/>
  <c r="W450" i="36"/>
  <c r="W449" i="36"/>
  <c r="W448" i="36"/>
  <c r="W447" i="36"/>
  <c r="W446" i="36"/>
  <c r="W445" i="36"/>
  <c r="W444" i="36"/>
  <c r="W443" i="36"/>
  <c r="W442" i="36"/>
  <c r="W441" i="36"/>
  <c r="W440" i="36"/>
  <c r="W439" i="36"/>
  <c r="W438" i="36"/>
  <c r="W437" i="36"/>
  <c r="W436" i="36"/>
  <c r="W435" i="36"/>
  <c r="W434" i="36"/>
  <c r="W433" i="36"/>
  <c r="W432" i="36"/>
  <c r="W431" i="36"/>
  <c r="W430" i="36"/>
  <c r="W429" i="36"/>
  <c r="W428" i="36"/>
  <c r="W427" i="36"/>
  <c r="W426" i="36"/>
  <c r="W425" i="36"/>
  <c r="W424" i="36"/>
  <c r="W423" i="36"/>
  <c r="W422" i="36"/>
  <c r="W421" i="36"/>
  <c r="W420" i="36"/>
  <c r="W419" i="36"/>
  <c r="W418" i="36"/>
  <c r="W417" i="36"/>
  <c r="W416" i="36"/>
  <c r="W415" i="36"/>
  <c r="W414" i="36"/>
  <c r="W413" i="36"/>
  <c r="W412" i="36"/>
  <c r="W411" i="36"/>
  <c r="W410" i="36"/>
  <c r="W409" i="36"/>
  <c r="W408" i="36"/>
  <c r="W407" i="36"/>
  <c r="W406" i="36"/>
  <c r="W405" i="36"/>
  <c r="W404" i="36"/>
  <c r="W403" i="36"/>
  <c r="W402" i="36"/>
  <c r="W401" i="36"/>
  <c r="W400" i="36"/>
  <c r="W399" i="36"/>
  <c r="W398" i="36"/>
  <c r="W397" i="36"/>
  <c r="W396" i="36"/>
  <c r="W395" i="36"/>
  <c r="W394" i="36"/>
  <c r="W393" i="36"/>
  <c r="W392" i="36"/>
  <c r="W391" i="36"/>
  <c r="W390" i="36"/>
  <c r="W389" i="36"/>
  <c r="W388" i="36"/>
  <c r="W387" i="36"/>
  <c r="W386" i="36"/>
  <c r="W385" i="36"/>
  <c r="W384" i="36"/>
  <c r="W383" i="36"/>
  <c r="W382" i="36"/>
  <c r="W381" i="36"/>
  <c r="W380" i="36"/>
  <c r="W379" i="36"/>
  <c r="W378" i="36"/>
  <c r="W377" i="36"/>
  <c r="W376" i="36"/>
  <c r="W375" i="36"/>
  <c r="W374" i="36"/>
  <c r="W373" i="36"/>
  <c r="W372" i="36"/>
  <c r="W371" i="36"/>
  <c r="W370" i="36"/>
  <c r="W369" i="36"/>
  <c r="W368" i="36"/>
  <c r="W367" i="36"/>
  <c r="W366" i="36"/>
  <c r="W365" i="36"/>
  <c r="W364" i="36"/>
  <c r="W363" i="36"/>
  <c r="W362" i="36"/>
  <c r="W361" i="36"/>
  <c r="W360" i="36"/>
  <c r="W359" i="36"/>
  <c r="W358" i="36"/>
  <c r="W357" i="36"/>
  <c r="W356" i="36"/>
  <c r="W355" i="36"/>
  <c r="W354" i="36"/>
  <c r="W353" i="36"/>
  <c r="W352" i="36"/>
  <c r="W351" i="36"/>
  <c r="W350" i="36"/>
  <c r="W349" i="36"/>
  <c r="W348" i="36"/>
  <c r="W347" i="36"/>
  <c r="W346" i="36"/>
  <c r="W345" i="36"/>
  <c r="W344" i="36"/>
  <c r="W343" i="36"/>
  <c r="W342" i="36"/>
  <c r="W341" i="36"/>
  <c r="W340" i="36"/>
  <c r="W339" i="36"/>
  <c r="W338" i="36"/>
  <c r="W337" i="36"/>
  <c r="W336" i="36"/>
  <c r="W335" i="36"/>
  <c r="W334" i="36"/>
  <c r="W333" i="36"/>
  <c r="W332" i="36"/>
  <c r="W331" i="36"/>
  <c r="W330" i="36"/>
  <c r="W329" i="36"/>
  <c r="W328" i="36"/>
  <c r="W327" i="36"/>
  <c r="W326" i="36"/>
  <c r="W325" i="36"/>
  <c r="W324" i="36"/>
  <c r="W323" i="36"/>
  <c r="W322" i="36"/>
  <c r="W321" i="36"/>
  <c r="W320" i="36"/>
  <c r="W319" i="36"/>
  <c r="W318" i="36"/>
  <c r="W317" i="36"/>
  <c r="W316" i="36"/>
  <c r="W315" i="36"/>
  <c r="W314" i="36"/>
  <c r="W313" i="36"/>
  <c r="W312" i="36"/>
  <c r="W311" i="36"/>
  <c r="W310" i="36"/>
  <c r="W309" i="36"/>
  <c r="W308" i="36"/>
  <c r="W307" i="36"/>
  <c r="W306" i="36"/>
  <c r="W305" i="36"/>
  <c r="W304" i="36"/>
  <c r="W303" i="36"/>
  <c r="W302" i="36"/>
  <c r="W301" i="36"/>
  <c r="W300" i="36"/>
  <c r="W299" i="36"/>
  <c r="W298" i="36"/>
  <c r="W297" i="36"/>
  <c r="W296" i="36"/>
  <c r="W295" i="36"/>
  <c r="W294" i="36"/>
  <c r="W293" i="36"/>
  <c r="W292" i="36"/>
  <c r="W291" i="36"/>
  <c r="W290" i="36"/>
  <c r="W289" i="36"/>
  <c r="W288" i="36"/>
  <c r="W287" i="36"/>
  <c r="W286" i="36"/>
  <c r="W285" i="36"/>
  <c r="W284" i="36"/>
  <c r="W283" i="36"/>
  <c r="W282" i="36"/>
  <c r="W281" i="36"/>
  <c r="W280" i="36"/>
  <c r="W279" i="36"/>
  <c r="W278" i="36"/>
  <c r="W277" i="36"/>
  <c r="W276" i="36"/>
  <c r="W275" i="36"/>
  <c r="W274" i="36"/>
  <c r="W273" i="36"/>
  <c r="W272" i="36"/>
  <c r="W271" i="36"/>
  <c r="W270" i="36"/>
  <c r="W269" i="36"/>
  <c r="W268" i="36"/>
  <c r="W267" i="36"/>
  <c r="W266" i="36"/>
  <c r="W265" i="36"/>
  <c r="W264" i="36"/>
  <c r="W263" i="36"/>
  <c r="W262" i="36"/>
  <c r="W261" i="36"/>
  <c r="W260" i="36"/>
  <c r="W259" i="36"/>
  <c r="W258" i="36"/>
  <c r="W257" i="36"/>
  <c r="W256" i="36"/>
  <c r="W255" i="36"/>
  <c r="W254" i="36"/>
  <c r="W253" i="36"/>
  <c r="W252" i="36"/>
  <c r="W251" i="36"/>
  <c r="W250" i="36"/>
  <c r="W249" i="36"/>
  <c r="W248" i="36"/>
  <c r="W247" i="36"/>
  <c r="W246" i="36"/>
  <c r="W245" i="36"/>
  <c r="W244" i="36"/>
  <c r="W243" i="36"/>
  <c r="W242" i="36"/>
  <c r="W241" i="36"/>
  <c r="W240" i="36"/>
  <c r="W239" i="36"/>
  <c r="W238" i="36"/>
  <c r="W237" i="36"/>
  <c r="W236" i="36"/>
  <c r="W235" i="36"/>
  <c r="W234" i="36"/>
  <c r="W233" i="36"/>
  <c r="W232" i="36"/>
  <c r="W231" i="36"/>
  <c r="W230" i="36"/>
  <c r="W229" i="36"/>
  <c r="W228" i="36"/>
  <c r="W227" i="36"/>
  <c r="W226" i="36"/>
  <c r="W225" i="36"/>
  <c r="W224" i="36"/>
  <c r="W223" i="36"/>
  <c r="W222" i="36"/>
  <c r="W221" i="36"/>
  <c r="W220" i="36"/>
  <c r="W219" i="36"/>
  <c r="W218" i="36"/>
  <c r="W217" i="36"/>
  <c r="W216" i="36"/>
  <c r="W215" i="36"/>
  <c r="W214" i="36"/>
  <c r="W213" i="36"/>
  <c r="W212" i="36"/>
  <c r="W211" i="36"/>
  <c r="W210" i="36"/>
  <c r="W209" i="36"/>
  <c r="W208" i="36"/>
  <c r="W207" i="36"/>
  <c r="W206" i="36"/>
  <c r="W205" i="36"/>
  <c r="W204" i="36"/>
  <c r="W203" i="36"/>
  <c r="W202" i="36"/>
  <c r="W201" i="36"/>
  <c r="W200" i="36"/>
  <c r="W199" i="36"/>
  <c r="W198" i="36"/>
  <c r="W197" i="36"/>
  <c r="W196" i="36"/>
  <c r="W195" i="36"/>
  <c r="W194" i="36"/>
  <c r="W193" i="36"/>
  <c r="W192" i="36"/>
  <c r="W191" i="36"/>
  <c r="W190" i="36"/>
  <c r="W189" i="36"/>
  <c r="W188" i="36"/>
  <c r="W187" i="36"/>
  <c r="W186" i="36"/>
  <c r="W185" i="36"/>
  <c r="W184" i="36"/>
  <c r="W183" i="36"/>
  <c r="W182" i="36"/>
  <c r="W181" i="36"/>
  <c r="W180" i="36"/>
  <c r="W179" i="36"/>
  <c r="W178" i="36"/>
  <c r="W177" i="36"/>
  <c r="W176" i="36"/>
  <c r="W175" i="36"/>
  <c r="W174" i="36"/>
  <c r="W173" i="36"/>
  <c r="W172" i="36"/>
  <c r="W171" i="36"/>
  <c r="W170" i="36"/>
  <c r="W169" i="36"/>
  <c r="W168" i="36"/>
  <c r="W167" i="36"/>
  <c r="W166" i="36"/>
  <c r="W165" i="36"/>
  <c r="W164" i="36"/>
  <c r="W163" i="36"/>
  <c r="W162" i="36"/>
  <c r="W161" i="36"/>
  <c r="W160" i="36"/>
  <c r="W159" i="36"/>
  <c r="W158" i="36"/>
  <c r="W157" i="36"/>
  <c r="W156" i="36"/>
  <c r="W155" i="36"/>
  <c r="W154" i="36"/>
  <c r="W153" i="36"/>
  <c r="W152" i="36"/>
  <c r="W151" i="36"/>
  <c r="W150" i="36"/>
  <c r="W149" i="36"/>
  <c r="W148" i="36"/>
  <c r="W147" i="36"/>
  <c r="W146" i="36"/>
  <c r="W145" i="36"/>
  <c r="W144" i="36"/>
  <c r="W143" i="36"/>
  <c r="W142" i="36"/>
  <c r="W141" i="36"/>
  <c r="W140" i="36"/>
  <c r="W139" i="36"/>
  <c r="W138" i="36"/>
  <c r="W137" i="36"/>
  <c r="W136" i="36"/>
  <c r="W135" i="36"/>
  <c r="W134" i="36"/>
  <c r="W133" i="36"/>
  <c r="W132" i="36"/>
  <c r="W131" i="36"/>
  <c r="W130" i="36"/>
  <c r="W129" i="36"/>
  <c r="W128" i="36"/>
  <c r="W127" i="36"/>
  <c r="W126" i="36"/>
  <c r="W125" i="36"/>
  <c r="W124" i="36"/>
  <c r="W123" i="36"/>
  <c r="W122" i="36"/>
  <c r="W121" i="36"/>
  <c r="W120" i="36"/>
  <c r="W119" i="36"/>
  <c r="W118" i="36"/>
  <c r="W117" i="36"/>
  <c r="W116" i="36"/>
  <c r="W115" i="36"/>
  <c r="W114" i="36"/>
  <c r="W113" i="36"/>
  <c r="W112" i="36"/>
  <c r="W111" i="36"/>
  <c r="W110" i="36"/>
  <c r="W109" i="36"/>
  <c r="W108" i="36"/>
  <c r="W107" i="36"/>
  <c r="W106" i="36"/>
  <c r="W105" i="36"/>
  <c r="W104" i="36"/>
  <c r="W103" i="36"/>
  <c r="W102" i="36"/>
  <c r="W101" i="36"/>
  <c r="W100" i="36"/>
  <c r="W99" i="36"/>
  <c r="W98" i="36"/>
  <c r="W97" i="36"/>
  <c r="W96" i="36"/>
  <c r="W95" i="36"/>
  <c r="W94" i="36"/>
  <c r="W93" i="36"/>
  <c r="W92" i="36"/>
  <c r="W91" i="36"/>
  <c r="W90" i="36"/>
  <c r="W89" i="36"/>
  <c r="W88" i="36"/>
  <c r="W87" i="36"/>
  <c r="W86" i="36"/>
  <c r="W85" i="36"/>
  <c r="W84" i="36"/>
  <c r="W83" i="36"/>
  <c r="W82" i="36"/>
  <c r="W81" i="36"/>
  <c r="W80" i="36"/>
  <c r="W79" i="36"/>
  <c r="W78" i="36"/>
  <c r="W77" i="36"/>
  <c r="W76" i="36"/>
  <c r="W75" i="36"/>
  <c r="W74" i="36"/>
  <c r="W73" i="36"/>
  <c r="W72" i="36"/>
  <c r="W71" i="36"/>
  <c r="W70" i="36"/>
  <c r="W69" i="36"/>
  <c r="W68" i="36"/>
  <c r="W67" i="36"/>
  <c r="W66" i="36"/>
  <c r="W65" i="36"/>
  <c r="W64" i="36"/>
  <c r="W63" i="36"/>
  <c r="W62" i="36"/>
  <c r="W61" i="36"/>
  <c r="W60" i="36"/>
  <c r="W59" i="36"/>
  <c r="W58" i="36"/>
  <c r="W57" i="36"/>
  <c r="W56" i="36"/>
  <c r="W55" i="36"/>
  <c r="W54" i="36"/>
  <c r="W53" i="36"/>
  <c r="W52" i="36"/>
  <c r="W51" i="36"/>
  <c r="W50" i="36"/>
  <c r="W49" i="36"/>
  <c r="W48" i="36"/>
  <c r="W47" i="36"/>
  <c r="W46" i="36"/>
  <c r="W45" i="36"/>
  <c r="W44" i="36"/>
  <c r="W43" i="36"/>
  <c r="W42" i="36"/>
  <c r="W41" i="36"/>
  <c r="W40" i="36"/>
  <c r="W39" i="36"/>
  <c r="W38" i="36"/>
  <c r="W37" i="36"/>
  <c r="W36" i="36"/>
  <c r="W35" i="36"/>
  <c r="W34" i="36"/>
  <c r="W33" i="36"/>
  <c r="W32" i="36"/>
  <c r="W31" i="36"/>
  <c r="W30" i="36"/>
  <c r="W29" i="36"/>
  <c r="W28" i="36"/>
  <c r="W27" i="36"/>
  <c r="W26" i="36"/>
  <c r="W25" i="36"/>
  <c r="W24" i="36"/>
  <c r="W23" i="36"/>
  <c r="W22" i="36"/>
  <c r="W21" i="36"/>
  <c r="W20" i="36"/>
  <c r="W19" i="36"/>
  <c r="W18" i="36"/>
  <c r="W17" i="36"/>
  <c r="W16" i="36"/>
  <c r="W15" i="36"/>
  <c r="W14" i="36"/>
  <c r="W13" i="36"/>
  <c r="W12" i="36"/>
  <c r="W11" i="36"/>
  <c r="W10" i="36"/>
  <c r="W9" i="36"/>
  <c r="W8" i="36"/>
  <c r="W7" i="36"/>
  <c r="W6" i="36"/>
  <c r="R755" i="36"/>
  <c r="R754" i="36"/>
  <c r="R753" i="36"/>
  <c r="R752" i="36"/>
  <c r="R751" i="36"/>
  <c r="R750" i="36"/>
  <c r="R749" i="36"/>
  <c r="R748" i="36"/>
  <c r="R747" i="36"/>
  <c r="R746" i="36"/>
  <c r="R745" i="36"/>
  <c r="R744" i="36"/>
  <c r="R743" i="36"/>
  <c r="R742" i="36"/>
  <c r="R741" i="36"/>
  <c r="R740" i="36"/>
  <c r="R739" i="36"/>
  <c r="R738" i="36"/>
  <c r="R737" i="36"/>
  <c r="R736" i="36"/>
  <c r="R735" i="36"/>
  <c r="R734" i="36"/>
  <c r="R733" i="36"/>
  <c r="R732" i="36"/>
  <c r="R731" i="36"/>
  <c r="R730" i="36"/>
  <c r="R729" i="36"/>
  <c r="R728" i="36"/>
  <c r="R727" i="36"/>
  <c r="R726" i="36"/>
  <c r="R725" i="36"/>
  <c r="R724" i="36"/>
  <c r="R723" i="36"/>
  <c r="R722" i="36"/>
  <c r="R721" i="36"/>
  <c r="R720" i="36"/>
  <c r="R719" i="36"/>
  <c r="R718" i="36"/>
  <c r="R717" i="36"/>
  <c r="R716" i="36"/>
  <c r="R715" i="36"/>
  <c r="R714" i="36"/>
  <c r="R713" i="36"/>
  <c r="R712" i="36"/>
  <c r="R711" i="36"/>
  <c r="R710" i="36"/>
  <c r="R709" i="36"/>
  <c r="R708" i="36"/>
  <c r="R707" i="36"/>
  <c r="R706" i="36"/>
  <c r="R705" i="36"/>
  <c r="R704" i="36"/>
  <c r="R703" i="36"/>
  <c r="R702" i="36"/>
  <c r="R701" i="36"/>
  <c r="R700" i="36"/>
  <c r="R699" i="36"/>
  <c r="R698" i="36"/>
  <c r="R697" i="36"/>
  <c r="R696" i="36"/>
  <c r="R695" i="36"/>
  <c r="R694" i="36"/>
  <c r="R693" i="36"/>
  <c r="R692" i="36"/>
  <c r="R691" i="36"/>
  <c r="R690" i="36"/>
  <c r="R689" i="36"/>
  <c r="R688" i="36"/>
  <c r="R687" i="36"/>
  <c r="R686" i="36"/>
  <c r="R685" i="36"/>
  <c r="R684" i="36"/>
  <c r="R683" i="36"/>
  <c r="R682" i="36"/>
  <c r="R681" i="36"/>
  <c r="R680" i="36"/>
  <c r="R679" i="36"/>
  <c r="R678" i="36"/>
  <c r="R677" i="36"/>
  <c r="R676" i="36"/>
  <c r="R675" i="36"/>
  <c r="R674" i="36"/>
  <c r="R673" i="36"/>
  <c r="R672" i="36"/>
  <c r="R671" i="36"/>
  <c r="R670" i="36"/>
  <c r="R669" i="36"/>
  <c r="R668" i="36"/>
  <c r="R667" i="36"/>
  <c r="R666" i="36"/>
  <c r="R665" i="36"/>
  <c r="R664" i="36"/>
  <c r="R663" i="36"/>
  <c r="R662" i="36"/>
  <c r="R661" i="36"/>
  <c r="R660" i="36"/>
  <c r="R659" i="36"/>
  <c r="R658" i="36"/>
  <c r="R657" i="36"/>
  <c r="R656" i="36"/>
  <c r="R655" i="36"/>
  <c r="R654" i="36"/>
  <c r="R653" i="36"/>
  <c r="R652" i="36"/>
  <c r="R651" i="36"/>
  <c r="R650" i="36"/>
  <c r="R649" i="36"/>
  <c r="R648" i="36"/>
  <c r="R647" i="36"/>
  <c r="R646" i="36"/>
  <c r="R645" i="36"/>
  <c r="R644" i="36"/>
  <c r="R643" i="36"/>
  <c r="R642" i="36"/>
  <c r="R641" i="36"/>
  <c r="R640" i="36"/>
  <c r="R639" i="36"/>
  <c r="R638" i="36"/>
  <c r="R637" i="36"/>
  <c r="R636" i="36"/>
  <c r="R635" i="36"/>
  <c r="R634" i="36"/>
  <c r="R633" i="36"/>
  <c r="R632" i="36"/>
  <c r="R631" i="36"/>
  <c r="R630" i="36"/>
  <c r="R629" i="36"/>
  <c r="R628" i="36"/>
  <c r="R627" i="36"/>
  <c r="R626" i="36"/>
  <c r="R625" i="36"/>
  <c r="R624" i="36"/>
  <c r="R623" i="36"/>
  <c r="R622" i="36"/>
  <c r="R621" i="36"/>
  <c r="R620" i="36"/>
  <c r="R619" i="36"/>
  <c r="R618" i="36"/>
  <c r="R617" i="36"/>
  <c r="R616" i="36"/>
  <c r="R615" i="36"/>
  <c r="R614" i="36"/>
  <c r="R613" i="36"/>
  <c r="R612" i="36"/>
  <c r="R611" i="36"/>
  <c r="R610" i="36"/>
  <c r="R609" i="36"/>
  <c r="R608" i="36"/>
  <c r="R607" i="36"/>
  <c r="R606" i="36"/>
  <c r="R605" i="36"/>
  <c r="R604" i="36"/>
  <c r="R603" i="36"/>
  <c r="R602" i="36"/>
  <c r="R601" i="36"/>
  <c r="R600" i="36"/>
  <c r="R599" i="36"/>
  <c r="R598" i="36"/>
  <c r="R597" i="36"/>
  <c r="R596" i="36"/>
  <c r="R595" i="36"/>
  <c r="R594" i="36"/>
  <c r="R593" i="36"/>
  <c r="R592" i="36"/>
  <c r="R591" i="36"/>
  <c r="R590" i="36"/>
  <c r="R589" i="36"/>
  <c r="R588" i="36"/>
  <c r="R587" i="36"/>
  <c r="R586" i="36"/>
  <c r="R585" i="36"/>
  <c r="R584" i="36"/>
  <c r="R583" i="36"/>
  <c r="R582" i="36"/>
  <c r="R581" i="36"/>
  <c r="R580" i="36"/>
  <c r="R579" i="36"/>
  <c r="R578" i="36"/>
  <c r="R577" i="36"/>
  <c r="R576" i="36"/>
  <c r="R575" i="36"/>
  <c r="R574" i="36"/>
  <c r="R573" i="36"/>
  <c r="R572" i="36"/>
  <c r="R571" i="36"/>
  <c r="R570" i="36"/>
  <c r="R569" i="36"/>
  <c r="R568" i="36"/>
  <c r="R567" i="36"/>
  <c r="R566" i="36"/>
  <c r="R565" i="36"/>
  <c r="R564" i="36"/>
  <c r="R563" i="36"/>
  <c r="R562" i="36"/>
  <c r="R561" i="36"/>
  <c r="R560" i="36"/>
  <c r="R559" i="36"/>
  <c r="R558" i="36"/>
  <c r="R557" i="36"/>
  <c r="R556" i="36"/>
  <c r="R555" i="36"/>
  <c r="R554" i="36"/>
  <c r="R553" i="36"/>
  <c r="R552" i="36"/>
  <c r="R551" i="36"/>
  <c r="R550" i="36"/>
  <c r="R549" i="36"/>
  <c r="R548" i="36"/>
  <c r="R547" i="36"/>
  <c r="R546" i="36"/>
  <c r="R545" i="36"/>
  <c r="R544" i="36"/>
  <c r="R543" i="36"/>
  <c r="R542" i="36"/>
  <c r="R541" i="36"/>
  <c r="R540" i="36"/>
  <c r="R539" i="36"/>
  <c r="R538" i="36"/>
  <c r="R537" i="36"/>
  <c r="R536" i="36"/>
  <c r="R535" i="36"/>
  <c r="R534" i="36"/>
  <c r="R533" i="36"/>
  <c r="R532" i="36"/>
  <c r="R531" i="36"/>
  <c r="R530" i="36"/>
  <c r="R529" i="36"/>
  <c r="R528" i="36"/>
  <c r="R527" i="36"/>
  <c r="R526" i="36"/>
  <c r="R525" i="36"/>
  <c r="R524" i="36"/>
  <c r="R523" i="36"/>
  <c r="R522" i="36"/>
  <c r="R521" i="36"/>
  <c r="R520" i="36"/>
  <c r="R519" i="36"/>
  <c r="R518" i="36"/>
  <c r="R517" i="36"/>
  <c r="R516" i="36"/>
  <c r="R515" i="36"/>
  <c r="R514" i="36"/>
  <c r="R513" i="36"/>
  <c r="R512" i="36"/>
  <c r="R511" i="36"/>
  <c r="R510" i="36"/>
  <c r="R509" i="36"/>
  <c r="R508" i="36"/>
  <c r="R507" i="36"/>
  <c r="R506" i="36"/>
  <c r="R505" i="36"/>
  <c r="R504" i="36"/>
  <c r="R503" i="36"/>
  <c r="R502" i="36"/>
  <c r="R501" i="36"/>
  <c r="R500" i="36"/>
  <c r="R499" i="36"/>
  <c r="R498" i="36"/>
  <c r="R497" i="36"/>
  <c r="R496" i="36"/>
  <c r="R495" i="36"/>
  <c r="R494" i="36"/>
  <c r="R493" i="36"/>
  <c r="R492" i="36"/>
  <c r="R491" i="36"/>
  <c r="R490" i="36"/>
  <c r="R489" i="36"/>
  <c r="R488" i="36"/>
  <c r="R487" i="36"/>
  <c r="R486" i="36"/>
  <c r="R485" i="36"/>
  <c r="R484" i="36"/>
  <c r="R483" i="36"/>
  <c r="R482" i="36"/>
  <c r="R481" i="36"/>
  <c r="R480" i="36"/>
  <c r="R479" i="36"/>
  <c r="R478" i="36"/>
  <c r="R477" i="36"/>
  <c r="R476" i="36"/>
  <c r="R475" i="36"/>
  <c r="R474" i="36"/>
  <c r="R473" i="36"/>
  <c r="R472" i="36"/>
  <c r="R471" i="36"/>
  <c r="R470" i="36"/>
  <c r="R469" i="36"/>
  <c r="R468" i="36"/>
  <c r="R467" i="36"/>
  <c r="R466" i="36"/>
  <c r="R465" i="36"/>
  <c r="R464" i="36"/>
  <c r="R463" i="36"/>
  <c r="R462" i="36"/>
  <c r="R461" i="36"/>
  <c r="R460" i="36"/>
  <c r="R459" i="36"/>
  <c r="R458" i="36"/>
  <c r="R457" i="36"/>
  <c r="R456" i="36"/>
  <c r="R455" i="36"/>
  <c r="R454" i="36"/>
  <c r="R453" i="36"/>
  <c r="R452" i="36"/>
  <c r="R451" i="36"/>
  <c r="R450" i="36"/>
  <c r="R449" i="36"/>
  <c r="R448" i="36"/>
  <c r="R447" i="36"/>
  <c r="R446" i="36"/>
  <c r="R445" i="36"/>
  <c r="R444" i="36"/>
  <c r="R443" i="36"/>
  <c r="R442" i="36"/>
  <c r="R441" i="36"/>
  <c r="R440" i="36"/>
  <c r="R439" i="36"/>
  <c r="R438" i="36"/>
  <c r="R437" i="36"/>
  <c r="R436" i="36"/>
  <c r="R435" i="36"/>
  <c r="R434" i="36"/>
  <c r="R433" i="36"/>
  <c r="R432" i="36"/>
  <c r="R431" i="36"/>
  <c r="R430" i="36"/>
  <c r="R429" i="36"/>
  <c r="R428" i="36"/>
  <c r="R427" i="36"/>
  <c r="R426" i="36"/>
  <c r="R425" i="36"/>
  <c r="R424" i="36"/>
  <c r="R423" i="36"/>
  <c r="R422" i="36"/>
  <c r="R421" i="36"/>
  <c r="R420" i="36"/>
  <c r="R419" i="36"/>
  <c r="R418" i="36"/>
  <c r="R417" i="36"/>
  <c r="R416" i="36"/>
  <c r="R415" i="36"/>
  <c r="R414" i="36"/>
  <c r="R413" i="36"/>
  <c r="R412" i="36"/>
  <c r="R411" i="36"/>
  <c r="R410" i="36"/>
  <c r="R409" i="36"/>
  <c r="R408" i="36"/>
  <c r="R407" i="36"/>
  <c r="R406" i="36"/>
  <c r="R405" i="36"/>
  <c r="R404" i="36"/>
  <c r="R403" i="36"/>
  <c r="R402" i="36"/>
  <c r="R401" i="36"/>
  <c r="R400" i="36"/>
  <c r="R399" i="36"/>
  <c r="R398" i="36"/>
  <c r="R397" i="36"/>
  <c r="R396" i="36"/>
  <c r="R395" i="36"/>
  <c r="R394" i="36"/>
  <c r="R393" i="36"/>
  <c r="R392" i="36"/>
  <c r="R391" i="36"/>
  <c r="R390" i="36"/>
  <c r="R389" i="36"/>
  <c r="R388" i="36"/>
  <c r="R387" i="36"/>
  <c r="R386" i="36"/>
  <c r="R385" i="36"/>
  <c r="R384" i="36"/>
  <c r="R383" i="36"/>
  <c r="R382" i="36"/>
  <c r="R381" i="36"/>
  <c r="R380" i="36"/>
  <c r="R379" i="36"/>
  <c r="R378" i="36"/>
  <c r="R377" i="36"/>
  <c r="R376" i="36"/>
  <c r="R375" i="36"/>
  <c r="R374" i="36"/>
  <c r="R373" i="36"/>
  <c r="R372" i="36"/>
  <c r="R371" i="36"/>
  <c r="R370" i="36"/>
  <c r="R369" i="36"/>
  <c r="R368" i="36"/>
  <c r="R367" i="36"/>
  <c r="R366" i="36"/>
  <c r="R365" i="36"/>
  <c r="R364" i="36"/>
  <c r="R363" i="36"/>
  <c r="R362" i="36"/>
  <c r="R361" i="36"/>
  <c r="R360" i="36"/>
  <c r="R359" i="36"/>
  <c r="R358" i="36"/>
  <c r="R357" i="36"/>
  <c r="R356" i="36"/>
  <c r="R355" i="36"/>
  <c r="R354" i="36"/>
  <c r="R353" i="36"/>
  <c r="R352" i="36"/>
  <c r="R351" i="36"/>
  <c r="R350" i="36"/>
  <c r="R349" i="36"/>
  <c r="R348" i="36"/>
  <c r="R347" i="36"/>
  <c r="R346" i="36"/>
  <c r="R345" i="36"/>
  <c r="R344" i="36"/>
  <c r="R343" i="36"/>
  <c r="R342" i="36"/>
  <c r="R341" i="36"/>
  <c r="R340" i="36"/>
  <c r="R339" i="36"/>
  <c r="R338" i="36"/>
  <c r="R337" i="36"/>
  <c r="R336" i="36"/>
  <c r="R335" i="36"/>
  <c r="R334" i="36"/>
  <c r="R333" i="36"/>
  <c r="R332" i="36"/>
  <c r="R331" i="36"/>
  <c r="R330" i="36"/>
  <c r="R329" i="36"/>
  <c r="R328" i="36"/>
  <c r="R327" i="36"/>
  <c r="R326" i="36"/>
  <c r="R325" i="36"/>
  <c r="R324" i="36"/>
  <c r="R323" i="36"/>
  <c r="R322" i="36"/>
  <c r="R321" i="36"/>
  <c r="R320" i="36"/>
  <c r="R319" i="36"/>
  <c r="R318" i="36"/>
  <c r="R317" i="36"/>
  <c r="R316" i="36"/>
  <c r="R315" i="36"/>
  <c r="R314" i="36"/>
  <c r="R313" i="36"/>
  <c r="R312" i="36"/>
  <c r="R311" i="36"/>
  <c r="R310" i="36"/>
  <c r="R309" i="36"/>
  <c r="R308" i="36"/>
  <c r="R307" i="36"/>
  <c r="R306" i="36"/>
  <c r="R305" i="36"/>
  <c r="R304" i="36"/>
  <c r="R303" i="36"/>
  <c r="R302" i="36"/>
  <c r="R301" i="36"/>
  <c r="R300" i="36"/>
  <c r="R299" i="36"/>
  <c r="R298" i="36"/>
  <c r="R297" i="36"/>
  <c r="R296" i="36"/>
  <c r="R295" i="36"/>
  <c r="R294" i="36"/>
  <c r="R293" i="36"/>
  <c r="R292" i="36"/>
  <c r="R291" i="36"/>
  <c r="R290" i="36"/>
  <c r="R289" i="36"/>
  <c r="R288" i="36"/>
  <c r="R287" i="36"/>
  <c r="R286" i="36"/>
  <c r="R285" i="36"/>
  <c r="R284" i="36"/>
  <c r="R283" i="36"/>
  <c r="R282" i="36"/>
  <c r="R281" i="36"/>
  <c r="R280" i="36"/>
  <c r="R279" i="36"/>
  <c r="R278" i="36"/>
  <c r="R277" i="36"/>
  <c r="R276" i="36"/>
  <c r="R275" i="36"/>
  <c r="R274" i="36"/>
  <c r="R273" i="36"/>
  <c r="R272" i="36"/>
  <c r="R271" i="36"/>
  <c r="R270" i="36"/>
  <c r="R269" i="36"/>
  <c r="R268" i="36"/>
  <c r="R267" i="36"/>
  <c r="R266" i="36"/>
  <c r="R265" i="36"/>
  <c r="R264" i="36"/>
  <c r="R263" i="36"/>
  <c r="R262" i="36"/>
  <c r="R261" i="36"/>
  <c r="R260" i="36"/>
  <c r="R259" i="36"/>
  <c r="R258" i="36"/>
  <c r="R257" i="36"/>
  <c r="R256" i="36"/>
  <c r="R255" i="36"/>
  <c r="R254" i="36"/>
  <c r="R253" i="36"/>
  <c r="R252" i="36"/>
  <c r="R251" i="36"/>
  <c r="R250" i="36"/>
  <c r="R249" i="36"/>
  <c r="R248" i="36"/>
  <c r="R247" i="36"/>
  <c r="R246" i="36"/>
  <c r="R245" i="36"/>
  <c r="R244" i="36"/>
  <c r="R243" i="36"/>
  <c r="R242" i="36"/>
  <c r="R241" i="36"/>
  <c r="R240" i="36"/>
  <c r="R239" i="36"/>
  <c r="R238" i="36"/>
  <c r="R237" i="36"/>
  <c r="R236" i="36"/>
  <c r="R235" i="36"/>
  <c r="R234" i="36"/>
  <c r="R233" i="36"/>
  <c r="R232" i="36"/>
  <c r="R231" i="36"/>
  <c r="R230" i="36"/>
  <c r="R229" i="36"/>
  <c r="R228" i="36"/>
  <c r="R227" i="36"/>
  <c r="R226" i="36"/>
  <c r="R225" i="36"/>
  <c r="R224" i="36"/>
  <c r="R223" i="36"/>
  <c r="R222" i="36"/>
  <c r="R221" i="36"/>
  <c r="R220" i="36"/>
  <c r="R219" i="36"/>
  <c r="R218" i="36"/>
  <c r="R217" i="36"/>
  <c r="R216" i="36"/>
  <c r="R215" i="36"/>
  <c r="R214" i="36"/>
  <c r="R213" i="36"/>
  <c r="R212" i="36"/>
  <c r="R211" i="36"/>
  <c r="R210" i="36"/>
  <c r="R209" i="36"/>
  <c r="R208" i="36"/>
  <c r="R207" i="36"/>
  <c r="R206" i="36"/>
  <c r="R205" i="36"/>
  <c r="R204" i="36"/>
  <c r="R203" i="36"/>
  <c r="R202" i="36"/>
  <c r="R201" i="36"/>
  <c r="R200" i="36"/>
  <c r="R199" i="36"/>
  <c r="R198" i="36"/>
  <c r="R197" i="36"/>
  <c r="R196" i="36"/>
  <c r="R195" i="36"/>
  <c r="R194" i="36"/>
  <c r="R193" i="36"/>
  <c r="R192" i="36"/>
  <c r="R191" i="36"/>
  <c r="R190" i="36"/>
  <c r="R189" i="36"/>
  <c r="R188" i="36"/>
  <c r="R187" i="36"/>
  <c r="R186" i="36"/>
  <c r="R185" i="36"/>
  <c r="R184" i="36"/>
  <c r="R183" i="36"/>
  <c r="R182" i="36"/>
  <c r="R181" i="36"/>
  <c r="R180" i="36"/>
  <c r="R179" i="36"/>
  <c r="R178" i="36"/>
  <c r="R177" i="36"/>
  <c r="R176" i="36"/>
  <c r="R175" i="36"/>
  <c r="R174" i="36"/>
  <c r="R173" i="36"/>
  <c r="R172" i="36"/>
  <c r="R171" i="36"/>
  <c r="R170" i="36"/>
  <c r="R169" i="36"/>
  <c r="R168" i="36"/>
  <c r="R167" i="36"/>
  <c r="R166" i="36"/>
  <c r="R165" i="36"/>
  <c r="R164" i="36"/>
  <c r="R163" i="36"/>
  <c r="R162" i="36"/>
  <c r="R161" i="36"/>
  <c r="R160" i="36"/>
  <c r="R159" i="36"/>
  <c r="R158" i="36"/>
  <c r="R157" i="36"/>
  <c r="R156" i="36"/>
  <c r="R155" i="36"/>
  <c r="R154" i="36"/>
  <c r="R153" i="36"/>
  <c r="R152" i="36"/>
  <c r="R151" i="36"/>
  <c r="R150" i="36"/>
  <c r="R149" i="36"/>
  <c r="R148" i="36"/>
  <c r="R147" i="36"/>
  <c r="R146" i="36"/>
  <c r="R145" i="36"/>
  <c r="R144" i="36"/>
  <c r="R143" i="36"/>
  <c r="R142" i="36"/>
  <c r="R141" i="36"/>
  <c r="R140" i="36"/>
  <c r="R139" i="36"/>
  <c r="R138" i="36"/>
  <c r="R137" i="36"/>
  <c r="R136" i="36"/>
  <c r="R135" i="36"/>
  <c r="R134" i="36"/>
  <c r="R133" i="36"/>
  <c r="R132" i="36"/>
  <c r="R131" i="36"/>
  <c r="R130" i="36"/>
  <c r="R129" i="36"/>
  <c r="R128" i="36"/>
  <c r="R127" i="36"/>
  <c r="R126" i="36"/>
  <c r="R125" i="36"/>
  <c r="R124" i="36"/>
  <c r="R123" i="36"/>
  <c r="R122" i="36"/>
  <c r="R121" i="36"/>
  <c r="R120" i="36"/>
  <c r="R119" i="36"/>
  <c r="R118" i="36"/>
  <c r="R117" i="36"/>
  <c r="R116" i="36"/>
  <c r="R115" i="36"/>
  <c r="R114" i="36"/>
  <c r="R113" i="36"/>
  <c r="R112" i="36"/>
  <c r="R111" i="36"/>
  <c r="R110" i="36"/>
  <c r="R109" i="36"/>
  <c r="R108" i="36"/>
  <c r="R107" i="36"/>
  <c r="R106" i="36"/>
  <c r="R105" i="36"/>
  <c r="R104" i="36"/>
  <c r="R103" i="36"/>
  <c r="R102" i="36"/>
  <c r="R101" i="36"/>
  <c r="R100" i="36"/>
  <c r="R99" i="36"/>
  <c r="R98" i="36"/>
  <c r="R97" i="36"/>
  <c r="R96" i="36"/>
  <c r="R95" i="36"/>
  <c r="R94" i="36"/>
  <c r="R93" i="36"/>
  <c r="R92" i="36"/>
  <c r="R91" i="36"/>
  <c r="R90" i="36"/>
  <c r="R89" i="36"/>
  <c r="R88" i="36"/>
  <c r="R87" i="36"/>
  <c r="R86" i="36"/>
  <c r="R85" i="36"/>
  <c r="R84" i="36"/>
  <c r="R83" i="36"/>
  <c r="R82" i="36"/>
  <c r="R81" i="36"/>
  <c r="R80" i="36"/>
  <c r="R79" i="36"/>
  <c r="R78" i="36"/>
  <c r="R77" i="36"/>
  <c r="R76" i="36"/>
  <c r="R75" i="36"/>
  <c r="R74" i="36"/>
  <c r="R73" i="36"/>
  <c r="R72" i="36"/>
  <c r="R71" i="36"/>
  <c r="R70" i="36"/>
  <c r="R69" i="36"/>
  <c r="R68" i="36"/>
  <c r="R67" i="36"/>
  <c r="R66" i="36"/>
  <c r="R65" i="36"/>
  <c r="R64" i="36"/>
  <c r="R63" i="36"/>
  <c r="R62" i="36"/>
  <c r="R61" i="36"/>
  <c r="R60" i="36"/>
  <c r="R59" i="36"/>
  <c r="R58" i="36"/>
  <c r="R57" i="36"/>
  <c r="R56" i="36"/>
  <c r="R55" i="36"/>
  <c r="R54" i="36"/>
  <c r="R53" i="36"/>
  <c r="R52" i="36"/>
  <c r="R51"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20" i="36"/>
  <c r="R19" i="36"/>
  <c r="R18" i="36"/>
  <c r="R17" i="36"/>
  <c r="R16" i="36"/>
  <c r="R15" i="36"/>
  <c r="R14" i="36"/>
  <c r="R13" i="36"/>
  <c r="R12" i="36"/>
  <c r="R11" i="36"/>
  <c r="R10" i="36"/>
  <c r="R9" i="36"/>
  <c r="R8" i="36"/>
  <c r="R7" i="36"/>
  <c r="R6" i="36"/>
  <c r="M755" i="36"/>
  <c r="M754" i="36"/>
  <c r="M753" i="36"/>
  <c r="M752" i="36"/>
  <c r="M751" i="36"/>
  <c r="M750" i="36"/>
  <c r="M749" i="36"/>
  <c r="M748" i="36"/>
  <c r="M747" i="36"/>
  <c r="M746" i="36"/>
  <c r="M745" i="36"/>
  <c r="M744" i="36"/>
  <c r="M743" i="36"/>
  <c r="M742" i="36"/>
  <c r="M741" i="36"/>
  <c r="M740" i="36"/>
  <c r="M739" i="36"/>
  <c r="M738" i="36"/>
  <c r="M737" i="36"/>
  <c r="M736" i="36"/>
  <c r="M735" i="36"/>
  <c r="M734" i="36"/>
  <c r="M733" i="36"/>
  <c r="M732" i="36"/>
  <c r="M731" i="36"/>
  <c r="M730" i="36"/>
  <c r="M729" i="36"/>
  <c r="M728" i="36"/>
  <c r="M727" i="36"/>
  <c r="M726" i="36"/>
  <c r="M725" i="36"/>
  <c r="M724" i="36"/>
  <c r="M723" i="36"/>
  <c r="M722" i="36"/>
  <c r="M721" i="36"/>
  <c r="M720" i="36"/>
  <c r="M719" i="36"/>
  <c r="M718" i="36"/>
  <c r="M717" i="36"/>
  <c r="M716" i="36"/>
  <c r="M715" i="36"/>
  <c r="M714" i="36"/>
  <c r="M713" i="36"/>
  <c r="M712" i="36"/>
  <c r="M711" i="36"/>
  <c r="M710" i="36"/>
  <c r="M709" i="36"/>
  <c r="M708" i="36"/>
  <c r="M707" i="36"/>
  <c r="M706" i="36"/>
  <c r="M705" i="36"/>
  <c r="M704" i="36"/>
  <c r="M703" i="36"/>
  <c r="M702" i="36"/>
  <c r="M701" i="36"/>
  <c r="M700" i="36"/>
  <c r="M699" i="36"/>
  <c r="M698" i="36"/>
  <c r="M697" i="36"/>
  <c r="M696" i="36"/>
  <c r="M695" i="36"/>
  <c r="M694" i="36"/>
  <c r="M693" i="36"/>
  <c r="M692" i="36"/>
  <c r="M691" i="36"/>
  <c r="M690" i="36"/>
  <c r="M689" i="36"/>
  <c r="M688" i="36"/>
  <c r="M687" i="36"/>
  <c r="M686" i="36"/>
  <c r="M685" i="36"/>
  <c r="M684" i="36"/>
  <c r="M683" i="36"/>
  <c r="M682" i="36"/>
  <c r="M681" i="36"/>
  <c r="M680" i="36"/>
  <c r="M679" i="36"/>
  <c r="M678" i="36"/>
  <c r="M677" i="36"/>
  <c r="M676" i="36"/>
  <c r="M675" i="36"/>
  <c r="M674" i="36"/>
  <c r="M673" i="36"/>
  <c r="M672" i="36"/>
  <c r="M671" i="36"/>
  <c r="M670" i="36"/>
  <c r="M669" i="36"/>
  <c r="M668" i="36"/>
  <c r="M667" i="36"/>
  <c r="M666" i="36"/>
  <c r="M665" i="36"/>
  <c r="M664" i="36"/>
  <c r="M663" i="36"/>
  <c r="M662" i="36"/>
  <c r="M661" i="36"/>
  <c r="M660" i="36"/>
  <c r="M659" i="36"/>
  <c r="M658" i="36"/>
  <c r="M657" i="36"/>
  <c r="M656" i="36"/>
  <c r="M655" i="36"/>
  <c r="M654" i="36"/>
  <c r="M653" i="36"/>
  <c r="M652" i="36"/>
  <c r="M651" i="36"/>
  <c r="M650" i="36"/>
  <c r="M649" i="36"/>
  <c r="M648" i="36"/>
  <c r="M647" i="36"/>
  <c r="M646" i="36"/>
  <c r="M645" i="36"/>
  <c r="M644" i="36"/>
  <c r="M643" i="36"/>
  <c r="M642" i="36"/>
  <c r="M641" i="36"/>
  <c r="M640" i="36"/>
  <c r="M639" i="36"/>
  <c r="M638" i="36"/>
  <c r="M637" i="36"/>
  <c r="M636" i="36"/>
  <c r="M635" i="36"/>
  <c r="M634" i="36"/>
  <c r="M633" i="36"/>
  <c r="M632" i="36"/>
  <c r="M631" i="36"/>
  <c r="M630" i="36"/>
  <c r="M629" i="36"/>
  <c r="M628" i="36"/>
  <c r="M627" i="36"/>
  <c r="M626" i="36"/>
  <c r="M625" i="36"/>
  <c r="M624" i="36"/>
  <c r="M623" i="36"/>
  <c r="M622" i="36"/>
  <c r="M621" i="36"/>
  <c r="M620" i="36"/>
  <c r="M619" i="36"/>
  <c r="M618" i="36"/>
  <c r="M617" i="36"/>
  <c r="M616" i="36"/>
  <c r="M615" i="36"/>
  <c r="M614" i="36"/>
  <c r="M613" i="36"/>
  <c r="M612" i="36"/>
  <c r="M611" i="36"/>
  <c r="M610" i="36"/>
  <c r="M609" i="36"/>
  <c r="M608" i="36"/>
  <c r="M607" i="36"/>
  <c r="M606" i="36"/>
  <c r="M605" i="36"/>
  <c r="M604" i="36"/>
  <c r="M603" i="36"/>
  <c r="M602" i="36"/>
  <c r="M601" i="36"/>
  <c r="M600" i="36"/>
  <c r="M599" i="36"/>
  <c r="M598" i="36"/>
  <c r="M597" i="36"/>
  <c r="M596" i="36"/>
  <c r="M595" i="36"/>
  <c r="M594" i="36"/>
  <c r="M593" i="36"/>
  <c r="M592" i="36"/>
  <c r="M591" i="36"/>
  <c r="M590" i="36"/>
  <c r="M589" i="36"/>
  <c r="M588" i="36"/>
  <c r="M587" i="36"/>
  <c r="M586" i="36"/>
  <c r="M585" i="36"/>
  <c r="M584" i="36"/>
  <c r="M583" i="36"/>
  <c r="M582" i="36"/>
  <c r="M581" i="36"/>
  <c r="M580" i="36"/>
  <c r="M579" i="36"/>
  <c r="M578" i="36"/>
  <c r="M577" i="36"/>
  <c r="M576" i="36"/>
  <c r="M575" i="36"/>
  <c r="M574" i="36"/>
  <c r="M573" i="36"/>
  <c r="M572" i="36"/>
  <c r="M571" i="36"/>
  <c r="M570" i="36"/>
  <c r="M569" i="36"/>
  <c r="M568" i="36"/>
  <c r="M567" i="36"/>
  <c r="M566" i="36"/>
  <c r="M565" i="36"/>
  <c r="M564" i="36"/>
  <c r="M563" i="36"/>
  <c r="M562" i="36"/>
  <c r="M561" i="36"/>
  <c r="M560" i="36"/>
  <c r="M559" i="36"/>
  <c r="M558" i="36"/>
  <c r="M557" i="36"/>
  <c r="M556" i="36"/>
  <c r="M555" i="36"/>
  <c r="M554" i="36"/>
  <c r="M553" i="36"/>
  <c r="M552" i="36"/>
  <c r="M551" i="36"/>
  <c r="M550" i="36"/>
  <c r="M549" i="36"/>
  <c r="M548" i="36"/>
  <c r="M547" i="36"/>
  <c r="M546" i="36"/>
  <c r="M545" i="36"/>
  <c r="M544" i="36"/>
  <c r="M543" i="36"/>
  <c r="M542" i="36"/>
  <c r="M541" i="36"/>
  <c r="M540" i="36"/>
  <c r="M539" i="36"/>
  <c r="M538" i="36"/>
  <c r="M537" i="36"/>
  <c r="M536" i="36"/>
  <c r="M535" i="36"/>
  <c r="M534" i="36"/>
  <c r="M533" i="36"/>
  <c r="M532" i="36"/>
  <c r="M531" i="36"/>
  <c r="M530" i="36"/>
  <c r="M529" i="36"/>
  <c r="M528" i="36"/>
  <c r="M527" i="36"/>
  <c r="M526" i="36"/>
  <c r="M525" i="36"/>
  <c r="M524" i="36"/>
  <c r="M523" i="36"/>
  <c r="M522" i="36"/>
  <c r="M521" i="36"/>
  <c r="M520" i="36"/>
  <c r="M519" i="36"/>
  <c r="M518" i="36"/>
  <c r="M517" i="36"/>
  <c r="M516" i="36"/>
  <c r="M515" i="36"/>
  <c r="M514" i="36"/>
  <c r="M513" i="36"/>
  <c r="M512" i="36"/>
  <c r="M511" i="36"/>
  <c r="M510" i="36"/>
  <c r="M509" i="36"/>
  <c r="M508" i="36"/>
  <c r="M507" i="36"/>
  <c r="M506" i="36"/>
  <c r="M505" i="36"/>
  <c r="M504" i="36"/>
  <c r="M503" i="36"/>
  <c r="M502" i="36"/>
  <c r="M501" i="36"/>
  <c r="M500" i="36"/>
  <c r="M499" i="36"/>
  <c r="M498" i="36"/>
  <c r="M497" i="36"/>
  <c r="M496" i="36"/>
  <c r="M495" i="36"/>
  <c r="M494" i="36"/>
  <c r="M493" i="36"/>
  <c r="M492" i="36"/>
  <c r="M491" i="36"/>
  <c r="M490" i="36"/>
  <c r="M489" i="36"/>
  <c r="M488" i="36"/>
  <c r="M487" i="36"/>
  <c r="M486" i="36"/>
  <c r="M485" i="36"/>
  <c r="M484" i="36"/>
  <c r="M483" i="36"/>
  <c r="M482" i="36"/>
  <c r="M481" i="36"/>
  <c r="M480" i="36"/>
  <c r="M479" i="36"/>
  <c r="M478" i="36"/>
  <c r="M477" i="36"/>
  <c r="M476" i="36"/>
  <c r="M475" i="36"/>
  <c r="M474" i="36"/>
  <c r="M473" i="36"/>
  <c r="M472" i="36"/>
  <c r="M471" i="36"/>
  <c r="M470" i="36"/>
  <c r="M469" i="36"/>
  <c r="M468" i="36"/>
  <c r="M467" i="36"/>
  <c r="M466" i="36"/>
  <c r="M465" i="36"/>
  <c r="M464" i="36"/>
  <c r="M463" i="36"/>
  <c r="M462" i="36"/>
  <c r="M461" i="36"/>
  <c r="M460" i="36"/>
  <c r="M459" i="36"/>
  <c r="M458" i="36"/>
  <c r="M457" i="36"/>
  <c r="M456" i="36"/>
  <c r="M455" i="36"/>
  <c r="M454" i="36"/>
  <c r="M453" i="36"/>
  <c r="M452" i="36"/>
  <c r="M451" i="36"/>
  <c r="M450" i="36"/>
  <c r="M449" i="36"/>
  <c r="M448" i="36"/>
  <c r="M447" i="36"/>
  <c r="M446" i="36"/>
  <c r="M445" i="36"/>
  <c r="M444" i="36"/>
  <c r="M443" i="36"/>
  <c r="M442" i="36"/>
  <c r="M441" i="36"/>
  <c r="M440" i="36"/>
  <c r="M439" i="36"/>
  <c r="M438" i="36"/>
  <c r="M437" i="36"/>
  <c r="M436" i="36"/>
  <c r="M435" i="36"/>
  <c r="M434" i="36"/>
  <c r="M433" i="36"/>
  <c r="M432" i="36"/>
  <c r="M431" i="36"/>
  <c r="M430" i="36"/>
  <c r="M429" i="36"/>
  <c r="M428" i="36"/>
  <c r="M427" i="36"/>
  <c r="M426" i="36"/>
  <c r="M425" i="36"/>
  <c r="M424" i="36"/>
  <c r="M423" i="36"/>
  <c r="M422" i="36"/>
  <c r="M421" i="36"/>
  <c r="M420" i="36"/>
  <c r="M419" i="36"/>
  <c r="M418" i="36"/>
  <c r="M417" i="36"/>
  <c r="M416" i="36"/>
  <c r="M415" i="36"/>
  <c r="M414" i="36"/>
  <c r="M413" i="36"/>
  <c r="M412" i="36"/>
  <c r="M411" i="36"/>
  <c r="M410" i="36"/>
  <c r="M409" i="36"/>
  <c r="M408" i="36"/>
  <c r="M407" i="36"/>
  <c r="M406" i="36"/>
  <c r="M405" i="36"/>
  <c r="M404" i="36"/>
  <c r="M403" i="36"/>
  <c r="M402" i="36"/>
  <c r="M401" i="36"/>
  <c r="M400" i="36"/>
  <c r="M399" i="36"/>
  <c r="M398" i="36"/>
  <c r="M397" i="36"/>
  <c r="M396" i="36"/>
  <c r="M395" i="36"/>
  <c r="M394" i="36"/>
  <c r="M393" i="36"/>
  <c r="M392" i="36"/>
  <c r="M391" i="36"/>
  <c r="M390" i="36"/>
  <c r="M389" i="36"/>
  <c r="M388" i="36"/>
  <c r="M387" i="36"/>
  <c r="M386" i="36"/>
  <c r="M385" i="36"/>
  <c r="M384" i="36"/>
  <c r="M383" i="36"/>
  <c r="M382" i="36"/>
  <c r="M381" i="36"/>
  <c r="M380" i="36"/>
  <c r="M379" i="36"/>
  <c r="M378" i="36"/>
  <c r="M377" i="36"/>
  <c r="M376" i="36"/>
  <c r="M375" i="36"/>
  <c r="M374" i="36"/>
  <c r="M373" i="36"/>
  <c r="M372" i="36"/>
  <c r="M371" i="36"/>
  <c r="M370" i="36"/>
  <c r="M369" i="36"/>
  <c r="M368" i="36"/>
  <c r="M367" i="36"/>
  <c r="M366" i="36"/>
  <c r="M365" i="36"/>
  <c r="M364" i="36"/>
  <c r="M363" i="36"/>
  <c r="M362" i="36"/>
  <c r="M361" i="36"/>
  <c r="M360" i="36"/>
  <c r="M359" i="36"/>
  <c r="M358" i="36"/>
  <c r="M357" i="36"/>
  <c r="M356" i="36"/>
  <c r="M355" i="36"/>
  <c r="M354" i="36"/>
  <c r="M353" i="36"/>
  <c r="M352" i="36"/>
  <c r="M351" i="36"/>
  <c r="M350" i="36"/>
  <c r="M349" i="36"/>
  <c r="M348" i="36"/>
  <c r="M347" i="36"/>
  <c r="M346" i="36"/>
  <c r="M345" i="36"/>
  <c r="M344" i="36"/>
  <c r="M343" i="36"/>
  <c r="M342" i="36"/>
  <c r="M341" i="36"/>
  <c r="M340" i="36"/>
  <c r="M339" i="36"/>
  <c r="M338" i="36"/>
  <c r="M337" i="36"/>
  <c r="M336" i="36"/>
  <c r="M335" i="36"/>
  <c r="M334" i="36"/>
  <c r="M333" i="36"/>
  <c r="M332" i="36"/>
  <c r="M331" i="36"/>
  <c r="M330" i="36"/>
  <c r="M329" i="36"/>
  <c r="M328" i="36"/>
  <c r="M327" i="36"/>
  <c r="M326" i="36"/>
  <c r="M325" i="36"/>
  <c r="M324" i="36"/>
  <c r="M323" i="36"/>
  <c r="M322" i="36"/>
  <c r="M321" i="36"/>
  <c r="M320" i="36"/>
  <c r="M319" i="36"/>
  <c r="M318" i="36"/>
  <c r="M317" i="36"/>
  <c r="M316" i="36"/>
  <c r="M315" i="36"/>
  <c r="M314" i="36"/>
  <c r="M313" i="36"/>
  <c r="M312" i="36"/>
  <c r="M311" i="36"/>
  <c r="M310"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4"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V55" i="7" l="1"/>
  <c r="S6" i="36"/>
  <c r="G14" i="36"/>
  <c r="N6" i="36"/>
  <c r="AC6" i="36"/>
  <c r="V56" i="7" l="1"/>
  <c r="O23" i="15"/>
  <c r="L21" i="15"/>
  <c r="L18" i="15"/>
  <c r="K2" i="7"/>
  <c r="J24" i="41" s="1"/>
  <c r="V57" i="7" l="1"/>
  <c r="B13" i="28"/>
  <c r="B13" i="27"/>
  <c r="B13" i="7"/>
  <c r="B14" i="7" s="1"/>
  <c r="V58" i="7" l="1"/>
  <c r="Q4" i="28"/>
  <c r="H429" i="45" s="1"/>
  <c r="V59" i="7" l="1"/>
  <c r="J53" i="41"/>
  <c r="B8" i="28"/>
  <c r="V60" i="7" l="1"/>
  <c r="M2" i="15"/>
  <c r="V61" i="7" l="1"/>
  <c r="M12" i="15"/>
  <c r="V62" i="7" l="1"/>
  <c r="U16" i="15"/>
  <c r="U17" i="15"/>
  <c r="U18" i="15" s="1"/>
  <c r="N12" i="15"/>
  <c r="O12" i="15"/>
  <c r="V63" i="7" l="1"/>
  <c r="V17" i="15"/>
  <c r="V18" i="15"/>
  <c r="U19" i="15"/>
  <c r="B2" i="1"/>
  <c r="B4" i="1" s="1"/>
  <c r="V64" i="7" l="1"/>
  <c r="U20" i="15"/>
  <c r="V19" i="15"/>
  <c r="V65" i="7" l="1"/>
  <c r="U21" i="15"/>
  <c r="V20" i="15"/>
  <c r="F13" i="22"/>
  <c r="V66" i="7" l="1"/>
  <c r="U22" i="15"/>
  <c r="V21" i="15"/>
  <c r="V67" i="7" l="1"/>
  <c r="U23" i="15"/>
  <c r="V22" i="15"/>
  <c r="B12" i="13"/>
  <c r="B11" i="13"/>
  <c r="V68" i="7" l="1"/>
  <c r="U24" i="15"/>
  <c r="V23" i="15"/>
  <c r="V69" i="7" l="1"/>
  <c r="U25" i="15"/>
  <c r="V24" i="15"/>
  <c r="M5" i="28"/>
  <c r="M5" i="27"/>
  <c r="O5" i="7"/>
  <c r="G2" i="3"/>
  <c r="G1" i="3"/>
  <c r="K18" i="3"/>
  <c r="J23" i="3"/>
  <c r="O35" i="3" s="1"/>
  <c r="I29" i="3"/>
  <c r="F5" i="27"/>
  <c r="F5" i="7"/>
  <c r="V70" i="7" l="1"/>
  <c r="U26" i="15"/>
  <c r="V25" i="15"/>
  <c r="E36" i="30"/>
  <c r="H511" i="45" s="1"/>
  <c r="E40" i="30"/>
  <c r="E38" i="30"/>
  <c r="E42" i="30"/>
  <c r="E44" i="30"/>
  <c r="E48" i="30"/>
  <c r="H516" i="45" s="1"/>
  <c r="E12" i="30"/>
  <c r="E14" i="30"/>
  <c r="E16" i="30"/>
  <c r="E10" i="30"/>
  <c r="E8" i="30"/>
  <c r="B8" i="7"/>
  <c r="V71" i="7" l="1"/>
  <c r="U27" i="15"/>
  <c r="V26" i="15"/>
  <c r="AM5" i="13"/>
  <c r="AM6" i="13" s="1"/>
  <c r="Z5" i="13"/>
  <c r="Z6" i="13" s="1"/>
  <c r="V72" i="7" l="1"/>
  <c r="U28" i="15"/>
  <c r="V27" i="15"/>
  <c r="AD2" i="13"/>
  <c r="Q2" i="13"/>
  <c r="AM4" i="13"/>
  <c r="Z4" i="13"/>
  <c r="AD4" i="13"/>
  <c r="Q4" i="13"/>
  <c r="E4" i="13"/>
  <c r="AD3" i="13"/>
  <c r="Q3" i="13"/>
  <c r="V5" i="13" s="1"/>
  <c r="E3" i="13"/>
  <c r="G20" i="29"/>
  <c r="V73" i="7" l="1"/>
  <c r="G5" i="13"/>
  <c r="E87" i="29" s="1"/>
  <c r="U29" i="15"/>
  <c r="V28" i="15"/>
  <c r="AI5" i="13"/>
  <c r="P1066" i="28"/>
  <c r="P1065" i="28"/>
  <c r="P1064" i="28"/>
  <c r="P1063" i="28"/>
  <c r="P1062" i="28"/>
  <c r="P1061" i="28"/>
  <c r="P1060" i="28"/>
  <c r="P1059" i="28"/>
  <c r="P1058" i="28"/>
  <c r="P1057" i="28"/>
  <c r="P1056" i="28"/>
  <c r="P1055" i="28"/>
  <c r="P1054" i="28"/>
  <c r="P1053" i="28"/>
  <c r="P1052" i="28"/>
  <c r="P1051" i="28"/>
  <c r="P1050" i="28"/>
  <c r="P1049" i="28"/>
  <c r="P1048" i="28"/>
  <c r="P1047" i="28"/>
  <c r="P1046" i="28"/>
  <c r="P1045" i="28"/>
  <c r="P1044" i="28"/>
  <c r="P1043" i="28"/>
  <c r="P1042" i="28"/>
  <c r="P1041" i="28"/>
  <c r="P1040" i="28"/>
  <c r="P1039" i="28"/>
  <c r="P1038" i="28"/>
  <c r="P1037" i="28"/>
  <c r="P1036" i="28"/>
  <c r="P1035" i="28"/>
  <c r="P1034" i="28"/>
  <c r="P1033" i="28"/>
  <c r="P1032" i="28"/>
  <c r="P1031" i="28"/>
  <c r="P1030" i="28"/>
  <c r="P1029" i="28"/>
  <c r="P1028" i="28"/>
  <c r="P1027" i="28"/>
  <c r="P1026" i="28"/>
  <c r="P1025" i="28"/>
  <c r="P1024" i="28"/>
  <c r="P1023" i="28"/>
  <c r="P1022" i="28"/>
  <c r="P1021" i="28"/>
  <c r="P1020" i="28"/>
  <c r="P1019" i="28"/>
  <c r="P1018" i="28"/>
  <c r="P1017" i="28"/>
  <c r="P1016" i="28"/>
  <c r="P1015" i="28"/>
  <c r="P1014" i="28"/>
  <c r="P1013" i="28"/>
  <c r="P1012" i="28"/>
  <c r="P1011" i="28"/>
  <c r="P1010" i="28"/>
  <c r="P1009" i="28"/>
  <c r="P1008" i="28"/>
  <c r="P1007" i="28"/>
  <c r="P1006" i="28"/>
  <c r="P1005" i="28"/>
  <c r="P1004" i="28"/>
  <c r="P1003" i="28"/>
  <c r="P1002" i="28"/>
  <c r="P1001" i="28"/>
  <c r="P1000" i="28"/>
  <c r="P999" i="28"/>
  <c r="P998" i="28"/>
  <c r="P997" i="28"/>
  <c r="P996" i="28"/>
  <c r="P995" i="28"/>
  <c r="P994" i="28"/>
  <c r="P993" i="28"/>
  <c r="P992" i="28"/>
  <c r="P991" i="28"/>
  <c r="P990" i="28"/>
  <c r="P989" i="28"/>
  <c r="P988" i="28"/>
  <c r="P987" i="28"/>
  <c r="P986" i="28"/>
  <c r="P985" i="28"/>
  <c r="P984" i="28"/>
  <c r="P983" i="28"/>
  <c r="P982" i="28"/>
  <c r="P981" i="28"/>
  <c r="P980" i="28"/>
  <c r="P979" i="28"/>
  <c r="P978" i="28"/>
  <c r="P977" i="28"/>
  <c r="P976" i="28"/>
  <c r="P975" i="28"/>
  <c r="P974" i="28"/>
  <c r="P973" i="28"/>
  <c r="P972" i="28"/>
  <c r="P971" i="28"/>
  <c r="P970" i="28"/>
  <c r="P969" i="28"/>
  <c r="P968" i="28"/>
  <c r="P967" i="28"/>
  <c r="P966" i="28"/>
  <c r="P965" i="28"/>
  <c r="P964" i="28"/>
  <c r="P963" i="28"/>
  <c r="P962" i="28"/>
  <c r="P961" i="28"/>
  <c r="P960" i="28"/>
  <c r="P959" i="28"/>
  <c r="P958" i="28"/>
  <c r="P957" i="28"/>
  <c r="P956" i="28"/>
  <c r="P955" i="28"/>
  <c r="P954" i="28"/>
  <c r="P953" i="28"/>
  <c r="P952" i="28"/>
  <c r="P951" i="28"/>
  <c r="P950" i="28"/>
  <c r="P949" i="28"/>
  <c r="P948" i="28"/>
  <c r="P947" i="28"/>
  <c r="P946" i="28"/>
  <c r="P945" i="28"/>
  <c r="P944" i="28"/>
  <c r="P943" i="28"/>
  <c r="P942" i="28"/>
  <c r="P941" i="28"/>
  <c r="P940" i="28"/>
  <c r="P939" i="28"/>
  <c r="P938" i="28"/>
  <c r="P937" i="28"/>
  <c r="P936" i="28"/>
  <c r="P935" i="28"/>
  <c r="P934" i="28"/>
  <c r="P933" i="28"/>
  <c r="P932" i="28"/>
  <c r="P931" i="28"/>
  <c r="P930" i="28"/>
  <c r="P929" i="28"/>
  <c r="P928" i="28"/>
  <c r="P927" i="28"/>
  <c r="P926" i="28"/>
  <c r="P925" i="28"/>
  <c r="P924" i="28"/>
  <c r="P923" i="28"/>
  <c r="P922" i="28"/>
  <c r="P921" i="28"/>
  <c r="P920" i="28"/>
  <c r="P919" i="28"/>
  <c r="P918" i="28"/>
  <c r="P917" i="28"/>
  <c r="P916" i="28"/>
  <c r="P915" i="28"/>
  <c r="P914" i="28"/>
  <c r="P913" i="28"/>
  <c r="P912" i="28"/>
  <c r="P911" i="28"/>
  <c r="P910" i="28"/>
  <c r="P909" i="28"/>
  <c r="P908" i="28"/>
  <c r="P907" i="28"/>
  <c r="P906" i="28"/>
  <c r="P905" i="28"/>
  <c r="P904" i="28"/>
  <c r="P903" i="28"/>
  <c r="P902" i="28"/>
  <c r="P901" i="28"/>
  <c r="P900" i="28"/>
  <c r="P899" i="28"/>
  <c r="P898" i="28"/>
  <c r="P897" i="28"/>
  <c r="P896" i="28"/>
  <c r="P895" i="28"/>
  <c r="P894" i="28"/>
  <c r="P893" i="28"/>
  <c r="P892" i="28"/>
  <c r="P891" i="28"/>
  <c r="P890" i="28"/>
  <c r="P889" i="28"/>
  <c r="P888" i="28"/>
  <c r="P887" i="28"/>
  <c r="P886" i="28"/>
  <c r="P885" i="28"/>
  <c r="P884" i="28"/>
  <c r="P883" i="28"/>
  <c r="P882" i="28"/>
  <c r="P881" i="28"/>
  <c r="P880" i="28"/>
  <c r="P879" i="28"/>
  <c r="P878" i="28"/>
  <c r="P877" i="28"/>
  <c r="P876" i="28"/>
  <c r="P875" i="28"/>
  <c r="P874" i="28"/>
  <c r="P873" i="28"/>
  <c r="P872" i="28"/>
  <c r="P871" i="28"/>
  <c r="P870" i="28"/>
  <c r="P869" i="28"/>
  <c r="P868" i="28"/>
  <c r="P867" i="28"/>
  <c r="P866" i="28"/>
  <c r="P865" i="28"/>
  <c r="P864" i="28"/>
  <c r="P863" i="28"/>
  <c r="P862" i="28"/>
  <c r="P861" i="28"/>
  <c r="P860" i="28"/>
  <c r="P859" i="28"/>
  <c r="P858" i="28"/>
  <c r="P857" i="28"/>
  <c r="P856" i="28"/>
  <c r="P855" i="28"/>
  <c r="P854" i="28"/>
  <c r="P853" i="28"/>
  <c r="P852" i="28"/>
  <c r="P851" i="28"/>
  <c r="P850" i="28"/>
  <c r="P849" i="28"/>
  <c r="P848" i="28"/>
  <c r="P847" i="28"/>
  <c r="P846" i="28"/>
  <c r="P845" i="28"/>
  <c r="P844" i="28"/>
  <c r="P843" i="28"/>
  <c r="P842" i="28"/>
  <c r="P841" i="28"/>
  <c r="P840" i="28"/>
  <c r="P839" i="28"/>
  <c r="P838" i="28"/>
  <c r="P837" i="28"/>
  <c r="P836" i="28"/>
  <c r="P835" i="28"/>
  <c r="P834" i="28"/>
  <c r="P833" i="28"/>
  <c r="P832" i="28"/>
  <c r="P831" i="28"/>
  <c r="P830" i="28"/>
  <c r="P829" i="28"/>
  <c r="P828" i="28"/>
  <c r="P827" i="28"/>
  <c r="P826" i="28"/>
  <c r="P825" i="28"/>
  <c r="P824" i="28"/>
  <c r="P823" i="28"/>
  <c r="P822" i="28"/>
  <c r="P821" i="28"/>
  <c r="P820" i="28"/>
  <c r="P819" i="28"/>
  <c r="P818" i="28"/>
  <c r="P817" i="28"/>
  <c r="P816" i="28"/>
  <c r="P815" i="28"/>
  <c r="P814" i="28"/>
  <c r="P813" i="28"/>
  <c r="P812" i="28"/>
  <c r="P811" i="28"/>
  <c r="P810" i="28"/>
  <c r="P809" i="28"/>
  <c r="P808" i="28"/>
  <c r="P807" i="28"/>
  <c r="P806" i="28"/>
  <c r="P805" i="28"/>
  <c r="P804" i="28"/>
  <c r="P803" i="28"/>
  <c r="P802" i="28"/>
  <c r="P801" i="28"/>
  <c r="P800" i="28"/>
  <c r="P799" i="28"/>
  <c r="P798" i="28"/>
  <c r="P797" i="28"/>
  <c r="P796" i="28"/>
  <c r="P795" i="28"/>
  <c r="P794" i="28"/>
  <c r="P793" i="28"/>
  <c r="P792" i="28"/>
  <c r="P791" i="28"/>
  <c r="P790" i="28"/>
  <c r="P789" i="28"/>
  <c r="P788" i="28"/>
  <c r="P787" i="28"/>
  <c r="P786" i="28"/>
  <c r="P785" i="28"/>
  <c r="P784" i="28"/>
  <c r="P783" i="28"/>
  <c r="P782" i="28"/>
  <c r="P781" i="28"/>
  <c r="P780" i="28"/>
  <c r="P779" i="28"/>
  <c r="P778" i="28"/>
  <c r="P777" i="28"/>
  <c r="P776" i="28"/>
  <c r="P775" i="28"/>
  <c r="P774" i="28"/>
  <c r="P773" i="28"/>
  <c r="P772" i="28"/>
  <c r="P771" i="28"/>
  <c r="P770" i="28"/>
  <c r="P769" i="28"/>
  <c r="P768" i="28"/>
  <c r="P767" i="28"/>
  <c r="P766" i="28"/>
  <c r="P765" i="28"/>
  <c r="P764" i="28"/>
  <c r="P763" i="28"/>
  <c r="P762" i="28"/>
  <c r="P761" i="28"/>
  <c r="P760" i="28"/>
  <c r="P759" i="28"/>
  <c r="P758" i="28"/>
  <c r="P757" i="28"/>
  <c r="P756" i="28"/>
  <c r="P755" i="28"/>
  <c r="P754" i="28"/>
  <c r="P753" i="28"/>
  <c r="P752" i="28"/>
  <c r="P751" i="28"/>
  <c r="P750" i="28"/>
  <c r="P749" i="28"/>
  <c r="P748" i="28"/>
  <c r="P747" i="28"/>
  <c r="P746" i="28"/>
  <c r="P745" i="28"/>
  <c r="P744" i="28"/>
  <c r="P743" i="28"/>
  <c r="P742" i="28"/>
  <c r="P741" i="28"/>
  <c r="P740" i="28"/>
  <c r="P739" i="28"/>
  <c r="P738" i="28"/>
  <c r="P737" i="28"/>
  <c r="P736" i="28"/>
  <c r="P735" i="28"/>
  <c r="P734" i="28"/>
  <c r="P733" i="28"/>
  <c r="P732" i="28"/>
  <c r="P731" i="28"/>
  <c r="P730" i="28"/>
  <c r="P729" i="28"/>
  <c r="P728" i="28"/>
  <c r="P727" i="28"/>
  <c r="P726" i="28"/>
  <c r="P725" i="28"/>
  <c r="P724" i="28"/>
  <c r="P723" i="28"/>
  <c r="P722" i="28"/>
  <c r="P721" i="28"/>
  <c r="P720" i="28"/>
  <c r="P719" i="28"/>
  <c r="P718" i="28"/>
  <c r="P717" i="28"/>
  <c r="P716" i="28"/>
  <c r="P715" i="28"/>
  <c r="P714" i="28"/>
  <c r="P713" i="28"/>
  <c r="P712" i="28"/>
  <c r="P711" i="28"/>
  <c r="P710" i="28"/>
  <c r="P709" i="28"/>
  <c r="P708" i="28"/>
  <c r="P707" i="28"/>
  <c r="P706" i="28"/>
  <c r="P705" i="28"/>
  <c r="P704" i="28"/>
  <c r="P703" i="28"/>
  <c r="P702" i="28"/>
  <c r="P701" i="28"/>
  <c r="P700" i="28"/>
  <c r="P699" i="28"/>
  <c r="P698" i="28"/>
  <c r="P697" i="28"/>
  <c r="P696" i="28"/>
  <c r="P695" i="28"/>
  <c r="P694" i="28"/>
  <c r="P693" i="28"/>
  <c r="P692" i="28"/>
  <c r="P691" i="28"/>
  <c r="P690" i="28"/>
  <c r="P689" i="28"/>
  <c r="P688" i="28"/>
  <c r="P687" i="28"/>
  <c r="P686" i="28"/>
  <c r="P685" i="28"/>
  <c r="P684" i="28"/>
  <c r="P683" i="28"/>
  <c r="P682" i="28"/>
  <c r="P681" i="28"/>
  <c r="P680" i="28"/>
  <c r="P679" i="28"/>
  <c r="P678" i="28"/>
  <c r="P677" i="28"/>
  <c r="P676" i="28"/>
  <c r="P675" i="28"/>
  <c r="P674" i="28"/>
  <c r="P673" i="28"/>
  <c r="P672" i="28"/>
  <c r="P671" i="28"/>
  <c r="P670" i="28"/>
  <c r="P669" i="28"/>
  <c r="P668" i="28"/>
  <c r="P667" i="28"/>
  <c r="P666" i="28"/>
  <c r="P665" i="28"/>
  <c r="P664" i="28"/>
  <c r="P663" i="28"/>
  <c r="P662" i="28"/>
  <c r="P661" i="28"/>
  <c r="P660" i="28"/>
  <c r="P659" i="28"/>
  <c r="P658" i="28"/>
  <c r="P657" i="28"/>
  <c r="P656" i="28"/>
  <c r="P655" i="28"/>
  <c r="P654" i="28"/>
  <c r="P653" i="28"/>
  <c r="P652" i="28"/>
  <c r="P651" i="28"/>
  <c r="P650" i="28"/>
  <c r="P649" i="28"/>
  <c r="P648" i="28"/>
  <c r="P647" i="28"/>
  <c r="P646" i="28"/>
  <c r="P645" i="28"/>
  <c r="P644" i="28"/>
  <c r="P643" i="28"/>
  <c r="P642" i="28"/>
  <c r="P641" i="28"/>
  <c r="P640" i="28"/>
  <c r="P639" i="28"/>
  <c r="P638" i="28"/>
  <c r="P637" i="28"/>
  <c r="P636" i="28"/>
  <c r="P635" i="28"/>
  <c r="P634" i="28"/>
  <c r="P633" i="28"/>
  <c r="P632" i="28"/>
  <c r="P631" i="28"/>
  <c r="P630" i="28"/>
  <c r="P629" i="28"/>
  <c r="P628" i="28"/>
  <c r="P627" i="28"/>
  <c r="P626" i="28"/>
  <c r="P625" i="28"/>
  <c r="P624" i="28"/>
  <c r="P623" i="28"/>
  <c r="P622" i="28"/>
  <c r="P621" i="28"/>
  <c r="P620" i="28"/>
  <c r="P619" i="28"/>
  <c r="P618" i="28"/>
  <c r="P617" i="28"/>
  <c r="P616" i="28"/>
  <c r="P615" i="28"/>
  <c r="P614" i="28"/>
  <c r="P613" i="28"/>
  <c r="P612" i="28"/>
  <c r="P611" i="28"/>
  <c r="P610" i="28"/>
  <c r="P609" i="28"/>
  <c r="P608" i="28"/>
  <c r="P607" i="28"/>
  <c r="P606" i="28"/>
  <c r="P605" i="28"/>
  <c r="P604" i="28"/>
  <c r="P603" i="28"/>
  <c r="P602" i="28"/>
  <c r="P601" i="28"/>
  <c r="P600" i="28"/>
  <c r="P599" i="28"/>
  <c r="P598" i="28"/>
  <c r="P597" i="28"/>
  <c r="P596" i="28"/>
  <c r="P595" i="28"/>
  <c r="P594" i="28"/>
  <c r="P593" i="28"/>
  <c r="P592" i="28"/>
  <c r="P591" i="28"/>
  <c r="P590" i="28"/>
  <c r="P589" i="28"/>
  <c r="P588" i="28"/>
  <c r="P587" i="28"/>
  <c r="P586" i="28"/>
  <c r="P585" i="28"/>
  <c r="P584" i="28"/>
  <c r="P583" i="28"/>
  <c r="P582" i="28"/>
  <c r="P581" i="28"/>
  <c r="P580" i="28"/>
  <c r="P579" i="28"/>
  <c r="P578" i="28"/>
  <c r="P577" i="28"/>
  <c r="P576" i="28"/>
  <c r="P575" i="28"/>
  <c r="P574" i="28"/>
  <c r="P573" i="28"/>
  <c r="P572" i="28"/>
  <c r="P571" i="28"/>
  <c r="P570" i="28"/>
  <c r="P569" i="28"/>
  <c r="P568" i="28"/>
  <c r="P567" i="28"/>
  <c r="P566" i="28"/>
  <c r="P565" i="28"/>
  <c r="P564" i="28"/>
  <c r="P563" i="28"/>
  <c r="P562" i="28"/>
  <c r="P561" i="28"/>
  <c r="P560" i="28"/>
  <c r="P559" i="28"/>
  <c r="P558" i="28"/>
  <c r="P557" i="28"/>
  <c r="P556" i="28"/>
  <c r="P555" i="28"/>
  <c r="P554" i="28"/>
  <c r="P553" i="28"/>
  <c r="P552" i="28"/>
  <c r="P551" i="28"/>
  <c r="P550" i="28"/>
  <c r="P549" i="28"/>
  <c r="P548" i="28"/>
  <c r="P547" i="28"/>
  <c r="P546" i="28"/>
  <c r="P545" i="28"/>
  <c r="P544" i="28"/>
  <c r="P543" i="28"/>
  <c r="P542" i="28"/>
  <c r="P541" i="28"/>
  <c r="P540" i="28"/>
  <c r="P539" i="28"/>
  <c r="P538" i="28"/>
  <c r="P537" i="28"/>
  <c r="P536" i="28"/>
  <c r="P535" i="28"/>
  <c r="P534" i="28"/>
  <c r="P533" i="28"/>
  <c r="P532" i="28"/>
  <c r="P531" i="28"/>
  <c r="P530" i="28"/>
  <c r="P529" i="28"/>
  <c r="P528" i="28"/>
  <c r="P527" i="28"/>
  <c r="P526" i="28"/>
  <c r="P525" i="28"/>
  <c r="P524" i="28"/>
  <c r="P523" i="28"/>
  <c r="P522" i="28"/>
  <c r="P521" i="28"/>
  <c r="P520" i="28"/>
  <c r="P519" i="28"/>
  <c r="P518" i="28"/>
  <c r="P517" i="28"/>
  <c r="P516" i="28"/>
  <c r="P515" i="28"/>
  <c r="P514" i="28"/>
  <c r="P513" i="28"/>
  <c r="P512" i="28"/>
  <c r="P511" i="28"/>
  <c r="P510" i="28"/>
  <c r="P509" i="28"/>
  <c r="P508" i="28"/>
  <c r="P507" i="28"/>
  <c r="P506" i="28"/>
  <c r="P505" i="28"/>
  <c r="P504" i="28"/>
  <c r="P503" i="28"/>
  <c r="P502" i="28"/>
  <c r="P501" i="28"/>
  <c r="P500" i="28"/>
  <c r="P499" i="28"/>
  <c r="P498" i="28"/>
  <c r="P497" i="28"/>
  <c r="P496" i="28"/>
  <c r="P495" i="28"/>
  <c r="P494" i="28"/>
  <c r="P493" i="28"/>
  <c r="P492" i="28"/>
  <c r="P491" i="28"/>
  <c r="P490" i="28"/>
  <c r="P489" i="28"/>
  <c r="P488" i="28"/>
  <c r="P487" i="28"/>
  <c r="P486" i="28"/>
  <c r="P485" i="28"/>
  <c r="P484" i="28"/>
  <c r="P483" i="28"/>
  <c r="P482" i="28"/>
  <c r="P481" i="28"/>
  <c r="P480" i="28"/>
  <c r="P479" i="28"/>
  <c r="P478" i="28"/>
  <c r="P477" i="28"/>
  <c r="P476" i="28"/>
  <c r="P475" i="28"/>
  <c r="P474" i="28"/>
  <c r="P473" i="28"/>
  <c r="P472" i="28"/>
  <c r="P471" i="28"/>
  <c r="P470" i="28"/>
  <c r="P469" i="28"/>
  <c r="P468" i="28"/>
  <c r="P467" i="28"/>
  <c r="P466" i="28"/>
  <c r="P465" i="28"/>
  <c r="P464" i="28"/>
  <c r="P463" i="28"/>
  <c r="P462" i="28"/>
  <c r="P461" i="28"/>
  <c r="P460" i="28"/>
  <c r="P459" i="28"/>
  <c r="P458" i="28"/>
  <c r="P457" i="28"/>
  <c r="P456" i="28"/>
  <c r="P455" i="28"/>
  <c r="P454" i="28"/>
  <c r="P453" i="28"/>
  <c r="P452" i="28"/>
  <c r="P451" i="28"/>
  <c r="P450" i="28"/>
  <c r="P449" i="28"/>
  <c r="P448" i="28"/>
  <c r="P447" i="28"/>
  <c r="P446" i="28"/>
  <c r="P445" i="28"/>
  <c r="P444" i="28"/>
  <c r="P443" i="28"/>
  <c r="P442" i="28"/>
  <c r="P441" i="28"/>
  <c r="P440" i="28"/>
  <c r="P439" i="28"/>
  <c r="P438" i="28"/>
  <c r="P437" i="28"/>
  <c r="P436" i="28"/>
  <c r="P435" i="28"/>
  <c r="P434" i="28"/>
  <c r="P433" i="28"/>
  <c r="P432" i="28"/>
  <c r="P431" i="28"/>
  <c r="P430" i="28"/>
  <c r="P429" i="28"/>
  <c r="P428" i="28"/>
  <c r="P427" i="28"/>
  <c r="P426" i="28"/>
  <c r="P425" i="28"/>
  <c r="P424" i="28"/>
  <c r="P423" i="28"/>
  <c r="P422" i="28"/>
  <c r="P421" i="28"/>
  <c r="P420" i="28"/>
  <c r="P419" i="28"/>
  <c r="P418" i="28"/>
  <c r="P417" i="28"/>
  <c r="P416" i="28"/>
  <c r="P415" i="28"/>
  <c r="P414" i="28"/>
  <c r="P413" i="28"/>
  <c r="P412" i="28"/>
  <c r="P411" i="28"/>
  <c r="P410" i="28"/>
  <c r="P409" i="28"/>
  <c r="P408" i="28"/>
  <c r="P407" i="28"/>
  <c r="P406" i="28"/>
  <c r="P405" i="28"/>
  <c r="P404" i="28"/>
  <c r="P403" i="28"/>
  <c r="P402" i="28"/>
  <c r="P401" i="28"/>
  <c r="P400" i="28"/>
  <c r="P399" i="28"/>
  <c r="P398" i="28"/>
  <c r="P397" i="28"/>
  <c r="P396" i="28"/>
  <c r="P395" i="28"/>
  <c r="P394" i="28"/>
  <c r="P393" i="28"/>
  <c r="P392" i="28"/>
  <c r="P391" i="28"/>
  <c r="P390" i="28"/>
  <c r="P389" i="28"/>
  <c r="P388" i="28"/>
  <c r="P387" i="28"/>
  <c r="P386" i="28"/>
  <c r="P385" i="28"/>
  <c r="P384" i="28"/>
  <c r="P383" i="28"/>
  <c r="P382" i="28"/>
  <c r="P381" i="28"/>
  <c r="P380" i="28"/>
  <c r="P379" i="28"/>
  <c r="P378" i="28"/>
  <c r="P377" i="28"/>
  <c r="P376" i="28"/>
  <c r="P375" i="28"/>
  <c r="P374" i="28"/>
  <c r="P373" i="28"/>
  <c r="P372" i="28"/>
  <c r="P371" i="28"/>
  <c r="P370" i="28"/>
  <c r="P369" i="28"/>
  <c r="P368" i="28"/>
  <c r="P367" i="28"/>
  <c r="P366" i="28"/>
  <c r="P365" i="28"/>
  <c r="P364" i="28"/>
  <c r="P363" i="28"/>
  <c r="P362" i="28"/>
  <c r="P361" i="28"/>
  <c r="P360" i="28"/>
  <c r="P359" i="28"/>
  <c r="P358" i="28"/>
  <c r="P357" i="28"/>
  <c r="P356" i="28"/>
  <c r="P355" i="28"/>
  <c r="P354" i="28"/>
  <c r="P353" i="28"/>
  <c r="P352" i="28"/>
  <c r="P351" i="28"/>
  <c r="P350" i="28"/>
  <c r="P349" i="28"/>
  <c r="P348" i="28"/>
  <c r="P347" i="28"/>
  <c r="P346" i="28"/>
  <c r="P345" i="28"/>
  <c r="P344" i="28"/>
  <c r="P343" i="28"/>
  <c r="P342" i="28"/>
  <c r="P341" i="28"/>
  <c r="P340" i="28"/>
  <c r="P339" i="28"/>
  <c r="P338" i="28"/>
  <c r="P337" i="28"/>
  <c r="P336" i="28"/>
  <c r="P335" i="28"/>
  <c r="P334" i="28"/>
  <c r="P333" i="28"/>
  <c r="P332" i="28"/>
  <c r="P331" i="28"/>
  <c r="P330" i="28"/>
  <c r="P329" i="28"/>
  <c r="P328" i="28"/>
  <c r="P327" i="28"/>
  <c r="P326" i="28"/>
  <c r="P325" i="28"/>
  <c r="P324" i="28"/>
  <c r="P323" i="28"/>
  <c r="P322" i="28"/>
  <c r="P321" i="28"/>
  <c r="P320" i="28"/>
  <c r="P319" i="28"/>
  <c r="P318" i="28"/>
  <c r="P317" i="28"/>
  <c r="P316" i="28"/>
  <c r="P315" i="28"/>
  <c r="P314" i="28"/>
  <c r="P313" i="28"/>
  <c r="P312" i="28"/>
  <c r="P311" i="28"/>
  <c r="P310" i="28"/>
  <c r="P309" i="28"/>
  <c r="P308" i="28"/>
  <c r="P307" i="28"/>
  <c r="P306" i="28"/>
  <c r="P305" i="28"/>
  <c r="P304" i="28"/>
  <c r="P303" i="28"/>
  <c r="P302" i="28"/>
  <c r="P301" i="28"/>
  <c r="P300" i="28"/>
  <c r="P299" i="28"/>
  <c r="P298" i="28"/>
  <c r="P297" i="28"/>
  <c r="P296" i="28"/>
  <c r="P295" i="28"/>
  <c r="P294" i="28"/>
  <c r="P293" i="28"/>
  <c r="P292" i="28"/>
  <c r="P291" i="28"/>
  <c r="P290" i="28"/>
  <c r="P289" i="28"/>
  <c r="P288" i="28"/>
  <c r="P287" i="28"/>
  <c r="P286" i="28"/>
  <c r="P285" i="28"/>
  <c r="P284" i="28"/>
  <c r="P283" i="28"/>
  <c r="P282" i="28"/>
  <c r="P281" i="28"/>
  <c r="P280" i="28"/>
  <c r="P279" i="28"/>
  <c r="P278" i="28"/>
  <c r="P277" i="28"/>
  <c r="P276" i="28"/>
  <c r="P275" i="28"/>
  <c r="P274" i="28"/>
  <c r="P273" i="28"/>
  <c r="P272" i="28"/>
  <c r="P271" i="28"/>
  <c r="P270" i="28"/>
  <c r="P269" i="28"/>
  <c r="P268" i="28"/>
  <c r="P267" i="28"/>
  <c r="P266" i="28"/>
  <c r="P265" i="28"/>
  <c r="P264" i="28"/>
  <c r="P263" i="28"/>
  <c r="P262" i="28"/>
  <c r="P261" i="28"/>
  <c r="P260" i="28"/>
  <c r="P259" i="28"/>
  <c r="P258" i="28"/>
  <c r="P257" i="28"/>
  <c r="P256" i="28"/>
  <c r="P255" i="28"/>
  <c r="P254" i="28"/>
  <c r="P253" i="28"/>
  <c r="P252" i="28"/>
  <c r="P251" i="28"/>
  <c r="P250" i="28"/>
  <c r="P249" i="28"/>
  <c r="P248" i="28"/>
  <c r="P247" i="28"/>
  <c r="P246" i="28"/>
  <c r="P245" i="28"/>
  <c r="P244" i="28"/>
  <c r="P243" i="28"/>
  <c r="P242" i="28"/>
  <c r="P241" i="28"/>
  <c r="P240" i="28"/>
  <c r="P239" i="28"/>
  <c r="P238" i="28"/>
  <c r="P237" i="28"/>
  <c r="P236" i="28"/>
  <c r="P235" i="28"/>
  <c r="P234" i="28"/>
  <c r="P233" i="28"/>
  <c r="P232" i="28"/>
  <c r="P231" i="28"/>
  <c r="P230" i="28"/>
  <c r="P229" i="28"/>
  <c r="P228" i="28"/>
  <c r="P227" i="28"/>
  <c r="P226" i="28"/>
  <c r="P225" i="28"/>
  <c r="P224" i="28"/>
  <c r="P223" i="28"/>
  <c r="P222" i="28"/>
  <c r="P221" i="28"/>
  <c r="P220" i="28"/>
  <c r="P219" i="28"/>
  <c r="P218" i="28"/>
  <c r="P217" i="28"/>
  <c r="P216" i="28"/>
  <c r="P215" i="28"/>
  <c r="P214" i="28"/>
  <c r="P213" i="28"/>
  <c r="P212" i="28"/>
  <c r="P211" i="28"/>
  <c r="P210" i="28"/>
  <c r="P209" i="28"/>
  <c r="P208" i="28"/>
  <c r="P207" i="28"/>
  <c r="P206" i="28"/>
  <c r="P205" i="28"/>
  <c r="P204" i="28"/>
  <c r="P203" i="28"/>
  <c r="P202" i="28"/>
  <c r="P201" i="28"/>
  <c r="P200" i="28"/>
  <c r="P199" i="28"/>
  <c r="P198" i="28"/>
  <c r="P197" i="28"/>
  <c r="P196" i="28"/>
  <c r="P195" i="28"/>
  <c r="P194" i="28"/>
  <c r="P193" i="28"/>
  <c r="P192" i="28"/>
  <c r="P191" i="28"/>
  <c r="P190" i="28"/>
  <c r="P189" i="28"/>
  <c r="P188" i="28"/>
  <c r="P187" i="28"/>
  <c r="P186" i="28"/>
  <c r="P185" i="28"/>
  <c r="P184" i="28"/>
  <c r="P183" i="28"/>
  <c r="P182" i="28"/>
  <c r="P181" i="28"/>
  <c r="P180" i="28"/>
  <c r="P179" i="28"/>
  <c r="P178" i="28"/>
  <c r="P177" i="28"/>
  <c r="P176" i="28"/>
  <c r="P175" i="28"/>
  <c r="P174" i="28"/>
  <c r="P173" i="28"/>
  <c r="P172" i="28"/>
  <c r="P171" i="28"/>
  <c r="P170" i="28"/>
  <c r="P169" i="28"/>
  <c r="P168" i="28"/>
  <c r="P167" i="28"/>
  <c r="P166" i="28"/>
  <c r="P165" i="28"/>
  <c r="P164" i="28"/>
  <c r="P163" i="28"/>
  <c r="P162" i="28"/>
  <c r="P161" i="28"/>
  <c r="P160" i="28"/>
  <c r="P159" i="28"/>
  <c r="P158" i="28"/>
  <c r="P157" i="28"/>
  <c r="P156" i="28"/>
  <c r="P155" i="28"/>
  <c r="P154" i="28"/>
  <c r="P153" i="28"/>
  <c r="P152" i="28"/>
  <c r="P151" i="28"/>
  <c r="P150" i="28"/>
  <c r="P149" i="28"/>
  <c r="P148" i="28"/>
  <c r="P147" i="28"/>
  <c r="P146" i="28"/>
  <c r="P145" i="28"/>
  <c r="P144" i="28"/>
  <c r="P143" i="28"/>
  <c r="P142" i="28"/>
  <c r="P141" i="28"/>
  <c r="P140" i="28"/>
  <c r="P139" i="28"/>
  <c r="P138" i="28"/>
  <c r="P137" i="28"/>
  <c r="P136" i="28"/>
  <c r="P135" i="28"/>
  <c r="P134" i="28"/>
  <c r="P133" i="28"/>
  <c r="P132" i="28"/>
  <c r="P131" i="28"/>
  <c r="P130" i="28"/>
  <c r="P129" i="28"/>
  <c r="P128" i="28"/>
  <c r="P127" i="28"/>
  <c r="P126" i="28"/>
  <c r="P125" i="28"/>
  <c r="P124" i="28"/>
  <c r="P123" i="28"/>
  <c r="P122" i="28"/>
  <c r="P121" i="28"/>
  <c r="P120" i="28"/>
  <c r="P119" i="28"/>
  <c r="P118" i="28"/>
  <c r="P117" i="28"/>
  <c r="P116" i="28"/>
  <c r="P115" i="28"/>
  <c r="P114" i="28"/>
  <c r="P113" i="28"/>
  <c r="P112" i="28"/>
  <c r="P111" i="28"/>
  <c r="P110" i="28"/>
  <c r="P109" i="28"/>
  <c r="P108" i="28"/>
  <c r="P107" i="28"/>
  <c r="P106" i="28"/>
  <c r="P105" i="28"/>
  <c r="P104" i="28"/>
  <c r="P103" i="28"/>
  <c r="P102" i="28"/>
  <c r="P101" i="28"/>
  <c r="P100" i="28"/>
  <c r="P99" i="28"/>
  <c r="P98" i="28"/>
  <c r="P97" i="28"/>
  <c r="P96" i="28"/>
  <c r="P95" i="28"/>
  <c r="P94" i="28"/>
  <c r="P93" i="28"/>
  <c r="P92" i="28"/>
  <c r="P91" i="28"/>
  <c r="P90" i="28"/>
  <c r="P89" i="28"/>
  <c r="P88" i="28"/>
  <c r="P87" i="28"/>
  <c r="P86" i="28"/>
  <c r="P85" i="28"/>
  <c r="P84" i="28"/>
  <c r="P83" i="28"/>
  <c r="P82" i="28"/>
  <c r="P81" i="28"/>
  <c r="P80" i="28"/>
  <c r="P79" i="28"/>
  <c r="P78" i="28"/>
  <c r="P77" i="28"/>
  <c r="P76" i="28"/>
  <c r="P75" i="28"/>
  <c r="P74" i="28"/>
  <c r="P73" i="28"/>
  <c r="P72" i="28"/>
  <c r="P71" i="28"/>
  <c r="P70" i="28"/>
  <c r="P69" i="28"/>
  <c r="P68" i="28"/>
  <c r="P67" i="28"/>
  <c r="P66" i="28"/>
  <c r="P65" i="28"/>
  <c r="P64" i="28"/>
  <c r="P63" i="28"/>
  <c r="P62" i="28"/>
  <c r="P61" i="28"/>
  <c r="P60" i="28"/>
  <c r="P59" i="28"/>
  <c r="P58" i="28"/>
  <c r="P57" i="28"/>
  <c r="P56" i="28"/>
  <c r="P55" i="28"/>
  <c r="P54" i="28"/>
  <c r="P53" i="28"/>
  <c r="P52" i="28"/>
  <c r="P51" i="28"/>
  <c r="P50" i="28"/>
  <c r="P49" i="28"/>
  <c r="P48" i="28"/>
  <c r="P47" i="28"/>
  <c r="P46" i="28"/>
  <c r="P45" i="28"/>
  <c r="P44" i="28"/>
  <c r="P43" i="28"/>
  <c r="P42" i="28"/>
  <c r="P41" i="28"/>
  <c r="P40" i="28"/>
  <c r="P39" i="28"/>
  <c r="P38" i="28"/>
  <c r="P37" i="28"/>
  <c r="P36" i="28"/>
  <c r="P35" i="28"/>
  <c r="P34" i="28"/>
  <c r="P33" i="28"/>
  <c r="P32" i="28"/>
  <c r="P31" i="28"/>
  <c r="P30" i="28"/>
  <c r="P29" i="28"/>
  <c r="P28" i="28"/>
  <c r="P27" i="28"/>
  <c r="P26" i="28"/>
  <c r="P25" i="28"/>
  <c r="P24" i="28"/>
  <c r="P23" i="28"/>
  <c r="P22" i="28"/>
  <c r="P21" i="28"/>
  <c r="P20" i="28"/>
  <c r="P19" i="28"/>
  <c r="P18" i="28"/>
  <c r="P17" i="28"/>
  <c r="P16" i="28"/>
  <c r="P15" i="28"/>
  <c r="P14" i="28"/>
  <c r="P13" i="28"/>
  <c r="P12" i="28"/>
  <c r="P11" i="28"/>
  <c r="P10" i="28"/>
  <c r="B10" i="28"/>
  <c r="P9" i="28"/>
  <c r="P8" i="28"/>
  <c r="C8" i="28"/>
  <c r="V74" i="7" l="1"/>
  <c r="E102" i="29"/>
  <c r="E46" i="30"/>
  <c r="H515" i="45" s="1"/>
  <c r="C6" i="28"/>
  <c r="U30" i="15"/>
  <c r="V29" i="15"/>
  <c r="B14" i="28"/>
  <c r="V75" i="7" l="1"/>
  <c r="V30" i="15"/>
  <c r="U31" i="15"/>
  <c r="AI7" i="13"/>
  <c r="V7" i="13"/>
  <c r="V76" i="7" l="1"/>
  <c r="V31" i="15"/>
  <c r="U32" i="15"/>
  <c r="K1" i="7"/>
  <c r="W7" i="7" s="1"/>
  <c r="Q4" i="27"/>
  <c r="J40" i="41" s="1"/>
  <c r="P1066" i="27"/>
  <c r="P1065" i="27"/>
  <c r="P1064" i="27"/>
  <c r="P1063" i="27"/>
  <c r="P1062" i="27"/>
  <c r="P1061" i="27"/>
  <c r="P1060" i="27"/>
  <c r="P1059" i="27"/>
  <c r="P1058" i="27"/>
  <c r="P1057" i="27"/>
  <c r="P1056" i="27"/>
  <c r="P1055" i="27"/>
  <c r="P1054" i="27"/>
  <c r="P1053" i="27"/>
  <c r="P1052" i="27"/>
  <c r="P1051" i="27"/>
  <c r="P1050" i="27"/>
  <c r="P1049" i="27"/>
  <c r="P1048" i="27"/>
  <c r="P1047" i="27"/>
  <c r="P1046" i="27"/>
  <c r="P1045" i="27"/>
  <c r="P1044" i="27"/>
  <c r="P1043" i="27"/>
  <c r="P1042" i="27"/>
  <c r="P1041" i="27"/>
  <c r="P1040" i="27"/>
  <c r="P1039" i="27"/>
  <c r="P1038" i="27"/>
  <c r="P1037" i="27"/>
  <c r="P1036" i="27"/>
  <c r="P1035" i="27"/>
  <c r="P1034" i="27"/>
  <c r="P1033" i="27"/>
  <c r="P1032" i="27"/>
  <c r="P1031" i="27"/>
  <c r="P1030" i="27"/>
  <c r="P1029" i="27"/>
  <c r="P1028" i="27"/>
  <c r="P1027" i="27"/>
  <c r="P1026" i="27"/>
  <c r="P1025" i="27"/>
  <c r="P1024" i="27"/>
  <c r="P1023" i="27"/>
  <c r="P1022" i="27"/>
  <c r="P1021" i="27"/>
  <c r="P1020" i="27"/>
  <c r="P1019" i="27"/>
  <c r="P1018" i="27"/>
  <c r="P1017" i="27"/>
  <c r="P1016" i="27"/>
  <c r="P1015" i="27"/>
  <c r="P1014" i="27"/>
  <c r="P1013" i="27"/>
  <c r="P1012" i="27"/>
  <c r="P1011" i="27"/>
  <c r="P1010" i="27"/>
  <c r="P1009" i="27"/>
  <c r="P1008" i="27"/>
  <c r="P1007" i="27"/>
  <c r="P1006" i="27"/>
  <c r="P1005" i="27"/>
  <c r="P1004" i="27"/>
  <c r="P1003" i="27"/>
  <c r="P1002" i="27"/>
  <c r="P1001" i="27"/>
  <c r="P1000" i="27"/>
  <c r="P999" i="27"/>
  <c r="P998" i="27"/>
  <c r="P997" i="27"/>
  <c r="P996" i="27"/>
  <c r="P995" i="27"/>
  <c r="P994" i="27"/>
  <c r="P993" i="27"/>
  <c r="P992" i="27"/>
  <c r="P991" i="27"/>
  <c r="P990" i="27"/>
  <c r="P989" i="27"/>
  <c r="P988" i="27"/>
  <c r="P987" i="27"/>
  <c r="P986" i="27"/>
  <c r="P985" i="27"/>
  <c r="P984" i="27"/>
  <c r="P983" i="27"/>
  <c r="P982" i="27"/>
  <c r="P981" i="27"/>
  <c r="P980" i="27"/>
  <c r="P979" i="27"/>
  <c r="P978" i="27"/>
  <c r="P977" i="27"/>
  <c r="P976" i="27"/>
  <c r="P975" i="27"/>
  <c r="P974" i="27"/>
  <c r="P973" i="27"/>
  <c r="P972" i="27"/>
  <c r="P971" i="27"/>
  <c r="P970" i="27"/>
  <c r="P969" i="27"/>
  <c r="P968" i="27"/>
  <c r="P967" i="27"/>
  <c r="P966" i="27"/>
  <c r="P965" i="27"/>
  <c r="P964" i="27"/>
  <c r="P963" i="27"/>
  <c r="P962" i="27"/>
  <c r="P961" i="27"/>
  <c r="P960" i="27"/>
  <c r="P959" i="27"/>
  <c r="P958" i="27"/>
  <c r="P957" i="27"/>
  <c r="P956" i="27"/>
  <c r="P955" i="27"/>
  <c r="P954" i="27"/>
  <c r="P953" i="27"/>
  <c r="P952" i="27"/>
  <c r="P951" i="27"/>
  <c r="P950" i="27"/>
  <c r="P949" i="27"/>
  <c r="P948" i="27"/>
  <c r="P947" i="27"/>
  <c r="P946" i="27"/>
  <c r="P945" i="27"/>
  <c r="P944" i="27"/>
  <c r="P943" i="27"/>
  <c r="P942" i="27"/>
  <c r="P941" i="27"/>
  <c r="P940" i="27"/>
  <c r="P939" i="27"/>
  <c r="P938" i="27"/>
  <c r="P937" i="27"/>
  <c r="P936" i="27"/>
  <c r="P935" i="27"/>
  <c r="P934" i="27"/>
  <c r="P933" i="27"/>
  <c r="P932" i="27"/>
  <c r="P931" i="27"/>
  <c r="P930" i="27"/>
  <c r="P929" i="27"/>
  <c r="P928" i="27"/>
  <c r="P927" i="27"/>
  <c r="P926" i="27"/>
  <c r="P925" i="27"/>
  <c r="P924" i="27"/>
  <c r="P923" i="27"/>
  <c r="P922" i="27"/>
  <c r="P921" i="27"/>
  <c r="P920" i="27"/>
  <c r="P919" i="27"/>
  <c r="P918" i="27"/>
  <c r="P917" i="27"/>
  <c r="P916" i="27"/>
  <c r="P915" i="27"/>
  <c r="P914" i="27"/>
  <c r="P913" i="27"/>
  <c r="P912" i="27"/>
  <c r="P911" i="27"/>
  <c r="P910" i="27"/>
  <c r="P909" i="27"/>
  <c r="P908" i="27"/>
  <c r="P907" i="27"/>
  <c r="P906" i="27"/>
  <c r="P905" i="27"/>
  <c r="P904" i="27"/>
  <c r="P903" i="27"/>
  <c r="P902" i="27"/>
  <c r="P901" i="27"/>
  <c r="P900" i="27"/>
  <c r="P899" i="27"/>
  <c r="P898" i="27"/>
  <c r="P897" i="27"/>
  <c r="P896" i="27"/>
  <c r="P895" i="27"/>
  <c r="P894" i="27"/>
  <c r="P893" i="27"/>
  <c r="P892" i="27"/>
  <c r="P891" i="27"/>
  <c r="P890" i="27"/>
  <c r="P889" i="27"/>
  <c r="P888" i="27"/>
  <c r="P887" i="27"/>
  <c r="P886" i="27"/>
  <c r="P885" i="27"/>
  <c r="P884" i="27"/>
  <c r="P883" i="27"/>
  <c r="P882" i="27"/>
  <c r="P881" i="27"/>
  <c r="P880" i="27"/>
  <c r="P879" i="27"/>
  <c r="P878" i="27"/>
  <c r="P877" i="27"/>
  <c r="P876" i="27"/>
  <c r="P875" i="27"/>
  <c r="P874" i="27"/>
  <c r="P873" i="27"/>
  <c r="P872" i="27"/>
  <c r="P871" i="27"/>
  <c r="P870" i="27"/>
  <c r="P869" i="27"/>
  <c r="P868" i="27"/>
  <c r="P867" i="27"/>
  <c r="P866" i="27"/>
  <c r="P865" i="27"/>
  <c r="P864" i="27"/>
  <c r="P863" i="27"/>
  <c r="P862" i="27"/>
  <c r="P861" i="27"/>
  <c r="P860" i="27"/>
  <c r="P859" i="27"/>
  <c r="P858" i="27"/>
  <c r="P857" i="27"/>
  <c r="P856" i="27"/>
  <c r="P855" i="27"/>
  <c r="P854" i="27"/>
  <c r="P853" i="27"/>
  <c r="P852" i="27"/>
  <c r="P851" i="27"/>
  <c r="P850" i="27"/>
  <c r="P849" i="27"/>
  <c r="P848" i="27"/>
  <c r="P847" i="27"/>
  <c r="P846" i="27"/>
  <c r="P845" i="27"/>
  <c r="P844" i="27"/>
  <c r="P843" i="27"/>
  <c r="P842" i="27"/>
  <c r="P841" i="27"/>
  <c r="P840" i="27"/>
  <c r="P839" i="27"/>
  <c r="P838" i="27"/>
  <c r="P837" i="27"/>
  <c r="P836" i="27"/>
  <c r="P835" i="27"/>
  <c r="P834" i="27"/>
  <c r="P833" i="27"/>
  <c r="P832" i="27"/>
  <c r="P831" i="27"/>
  <c r="P830" i="27"/>
  <c r="P829" i="27"/>
  <c r="P828" i="27"/>
  <c r="P827" i="27"/>
  <c r="P826" i="27"/>
  <c r="P825" i="27"/>
  <c r="P824" i="27"/>
  <c r="P823" i="27"/>
  <c r="P822" i="27"/>
  <c r="P821" i="27"/>
  <c r="P820" i="27"/>
  <c r="P819" i="27"/>
  <c r="P818" i="27"/>
  <c r="P817" i="27"/>
  <c r="P816" i="27"/>
  <c r="P815" i="27"/>
  <c r="P814" i="27"/>
  <c r="P813" i="27"/>
  <c r="P812" i="27"/>
  <c r="P811" i="27"/>
  <c r="P810" i="27"/>
  <c r="P809" i="27"/>
  <c r="P808" i="27"/>
  <c r="P807" i="27"/>
  <c r="P806" i="27"/>
  <c r="P805" i="27"/>
  <c r="P804" i="27"/>
  <c r="P803" i="27"/>
  <c r="P802" i="27"/>
  <c r="P801" i="27"/>
  <c r="P800" i="27"/>
  <c r="P799" i="27"/>
  <c r="P798" i="27"/>
  <c r="P797" i="27"/>
  <c r="P796" i="27"/>
  <c r="P795" i="27"/>
  <c r="P794" i="27"/>
  <c r="P793" i="27"/>
  <c r="P792" i="27"/>
  <c r="P791" i="27"/>
  <c r="P790" i="27"/>
  <c r="P789" i="27"/>
  <c r="P788" i="27"/>
  <c r="P787" i="27"/>
  <c r="P786" i="27"/>
  <c r="P785" i="27"/>
  <c r="P784" i="27"/>
  <c r="P783" i="27"/>
  <c r="P782" i="27"/>
  <c r="P781" i="27"/>
  <c r="P780" i="27"/>
  <c r="P779" i="27"/>
  <c r="P778" i="27"/>
  <c r="P777" i="27"/>
  <c r="P776" i="27"/>
  <c r="P775" i="27"/>
  <c r="P774" i="27"/>
  <c r="P773" i="27"/>
  <c r="P772" i="27"/>
  <c r="P771" i="27"/>
  <c r="P770" i="27"/>
  <c r="P769" i="27"/>
  <c r="P768" i="27"/>
  <c r="P767" i="27"/>
  <c r="P766" i="27"/>
  <c r="P765" i="27"/>
  <c r="P764" i="27"/>
  <c r="P763" i="27"/>
  <c r="P762" i="27"/>
  <c r="P761" i="27"/>
  <c r="P760" i="27"/>
  <c r="P759" i="27"/>
  <c r="P758" i="27"/>
  <c r="P757" i="27"/>
  <c r="P756" i="27"/>
  <c r="P755" i="27"/>
  <c r="P754" i="27"/>
  <c r="P753" i="27"/>
  <c r="P752" i="27"/>
  <c r="P751" i="27"/>
  <c r="P750" i="27"/>
  <c r="P749" i="27"/>
  <c r="P748" i="27"/>
  <c r="P747" i="27"/>
  <c r="P746" i="27"/>
  <c r="P745" i="27"/>
  <c r="P744" i="27"/>
  <c r="P743" i="27"/>
  <c r="P742" i="27"/>
  <c r="P741" i="27"/>
  <c r="P740" i="27"/>
  <c r="P739" i="27"/>
  <c r="P738" i="27"/>
  <c r="P737" i="27"/>
  <c r="P736" i="27"/>
  <c r="P735" i="27"/>
  <c r="P734" i="27"/>
  <c r="P733" i="27"/>
  <c r="P732" i="27"/>
  <c r="P731" i="27"/>
  <c r="P730" i="27"/>
  <c r="P729" i="27"/>
  <c r="P728" i="27"/>
  <c r="P727" i="27"/>
  <c r="P726" i="27"/>
  <c r="P725" i="27"/>
  <c r="P724" i="27"/>
  <c r="P723" i="27"/>
  <c r="P722" i="27"/>
  <c r="P721" i="27"/>
  <c r="P720" i="27"/>
  <c r="P719" i="27"/>
  <c r="P718" i="27"/>
  <c r="P717" i="27"/>
  <c r="P716" i="27"/>
  <c r="P715" i="27"/>
  <c r="P714" i="27"/>
  <c r="P713" i="27"/>
  <c r="P712" i="27"/>
  <c r="P711" i="27"/>
  <c r="P710" i="27"/>
  <c r="P709" i="27"/>
  <c r="P708" i="27"/>
  <c r="P707" i="27"/>
  <c r="P706" i="27"/>
  <c r="P705" i="27"/>
  <c r="P704" i="27"/>
  <c r="P703" i="27"/>
  <c r="P702" i="27"/>
  <c r="P701" i="27"/>
  <c r="P700" i="27"/>
  <c r="P699" i="27"/>
  <c r="P698" i="27"/>
  <c r="P697" i="27"/>
  <c r="P696" i="27"/>
  <c r="P695" i="27"/>
  <c r="P694" i="27"/>
  <c r="P693" i="27"/>
  <c r="P692" i="27"/>
  <c r="P691" i="27"/>
  <c r="P690" i="27"/>
  <c r="P689" i="27"/>
  <c r="P688" i="27"/>
  <c r="P687" i="27"/>
  <c r="P686" i="27"/>
  <c r="P685" i="27"/>
  <c r="P684" i="27"/>
  <c r="P683" i="27"/>
  <c r="P682" i="27"/>
  <c r="P681" i="27"/>
  <c r="P680" i="27"/>
  <c r="P679" i="27"/>
  <c r="P678" i="27"/>
  <c r="P677" i="27"/>
  <c r="P676" i="27"/>
  <c r="P675" i="27"/>
  <c r="P674" i="27"/>
  <c r="P673" i="27"/>
  <c r="P672" i="27"/>
  <c r="P671" i="27"/>
  <c r="P670" i="27"/>
  <c r="P669" i="27"/>
  <c r="P668" i="27"/>
  <c r="P667" i="27"/>
  <c r="P666" i="27"/>
  <c r="P665" i="27"/>
  <c r="P664" i="27"/>
  <c r="P663" i="27"/>
  <c r="P662" i="27"/>
  <c r="P661" i="27"/>
  <c r="P660" i="27"/>
  <c r="P659" i="27"/>
  <c r="P658" i="27"/>
  <c r="P657" i="27"/>
  <c r="P656" i="27"/>
  <c r="P655" i="27"/>
  <c r="P654" i="27"/>
  <c r="P653" i="27"/>
  <c r="P652" i="27"/>
  <c r="P651" i="27"/>
  <c r="P650" i="27"/>
  <c r="P649" i="27"/>
  <c r="P648" i="27"/>
  <c r="P647" i="27"/>
  <c r="P646" i="27"/>
  <c r="P645" i="27"/>
  <c r="P644" i="27"/>
  <c r="P643" i="27"/>
  <c r="P642" i="27"/>
  <c r="P641" i="27"/>
  <c r="P640" i="27"/>
  <c r="P639" i="27"/>
  <c r="P638" i="27"/>
  <c r="P637" i="27"/>
  <c r="P636" i="27"/>
  <c r="P635" i="27"/>
  <c r="P634" i="27"/>
  <c r="P633" i="27"/>
  <c r="P632" i="27"/>
  <c r="P631" i="27"/>
  <c r="P630" i="27"/>
  <c r="P629" i="27"/>
  <c r="P628" i="27"/>
  <c r="P627" i="27"/>
  <c r="P626" i="27"/>
  <c r="P625" i="27"/>
  <c r="P624" i="27"/>
  <c r="P623" i="27"/>
  <c r="P622" i="27"/>
  <c r="P621" i="27"/>
  <c r="P620" i="27"/>
  <c r="P619" i="27"/>
  <c r="P618" i="27"/>
  <c r="P617" i="27"/>
  <c r="P616" i="27"/>
  <c r="P615" i="27"/>
  <c r="P614" i="27"/>
  <c r="P613" i="27"/>
  <c r="P612" i="27"/>
  <c r="P611" i="27"/>
  <c r="P610" i="27"/>
  <c r="P609" i="27"/>
  <c r="P608" i="27"/>
  <c r="P607" i="27"/>
  <c r="P606" i="27"/>
  <c r="P605" i="27"/>
  <c r="P604" i="27"/>
  <c r="P603" i="27"/>
  <c r="P602" i="27"/>
  <c r="P601" i="27"/>
  <c r="P600" i="27"/>
  <c r="P599" i="27"/>
  <c r="P598" i="27"/>
  <c r="P597" i="27"/>
  <c r="P596" i="27"/>
  <c r="P595" i="27"/>
  <c r="P594" i="27"/>
  <c r="P593" i="27"/>
  <c r="P592" i="27"/>
  <c r="P591" i="27"/>
  <c r="P590" i="27"/>
  <c r="P589" i="27"/>
  <c r="P588" i="27"/>
  <c r="P587" i="27"/>
  <c r="P586" i="27"/>
  <c r="P585" i="27"/>
  <c r="P584" i="27"/>
  <c r="P583" i="27"/>
  <c r="P582" i="27"/>
  <c r="P581" i="27"/>
  <c r="P580" i="27"/>
  <c r="P579" i="27"/>
  <c r="P578" i="27"/>
  <c r="P577" i="27"/>
  <c r="P576" i="27"/>
  <c r="P575" i="27"/>
  <c r="P574" i="27"/>
  <c r="P573" i="27"/>
  <c r="P572" i="27"/>
  <c r="P571" i="27"/>
  <c r="P570" i="27"/>
  <c r="P569" i="27"/>
  <c r="P568" i="27"/>
  <c r="P567" i="27"/>
  <c r="P566" i="27"/>
  <c r="P565" i="27"/>
  <c r="P564" i="27"/>
  <c r="P563" i="27"/>
  <c r="P562" i="27"/>
  <c r="P561" i="27"/>
  <c r="P560" i="27"/>
  <c r="P559" i="27"/>
  <c r="P558" i="27"/>
  <c r="P557" i="27"/>
  <c r="P556" i="27"/>
  <c r="P555" i="27"/>
  <c r="P554" i="27"/>
  <c r="P553" i="27"/>
  <c r="P552" i="27"/>
  <c r="P551" i="27"/>
  <c r="P550" i="27"/>
  <c r="P549" i="27"/>
  <c r="P548" i="27"/>
  <c r="P547" i="27"/>
  <c r="P546" i="27"/>
  <c r="P545" i="27"/>
  <c r="P544" i="27"/>
  <c r="P543" i="27"/>
  <c r="P542" i="27"/>
  <c r="P541" i="27"/>
  <c r="P540" i="27"/>
  <c r="P539" i="27"/>
  <c r="P538" i="27"/>
  <c r="P537" i="27"/>
  <c r="P536" i="27"/>
  <c r="P535" i="27"/>
  <c r="P534" i="27"/>
  <c r="P533" i="27"/>
  <c r="P532" i="27"/>
  <c r="P531" i="27"/>
  <c r="P530" i="27"/>
  <c r="P529" i="27"/>
  <c r="P528" i="27"/>
  <c r="P527" i="27"/>
  <c r="P526" i="27"/>
  <c r="P525" i="27"/>
  <c r="P524" i="27"/>
  <c r="P523" i="27"/>
  <c r="P522" i="27"/>
  <c r="P521" i="27"/>
  <c r="P520" i="27"/>
  <c r="P519" i="27"/>
  <c r="P518" i="27"/>
  <c r="P517" i="27"/>
  <c r="P516" i="27"/>
  <c r="P515" i="27"/>
  <c r="P514" i="27"/>
  <c r="P513" i="27"/>
  <c r="P512" i="27"/>
  <c r="P511" i="27"/>
  <c r="P510" i="27"/>
  <c r="P509" i="27"/>
  <c r="P508" i="27"/>
  <c r="P507" i="27"/>
  <c r="P506" i="27"/>
  <c r="P505" i="27"/>
  <c r="P504" i="27"/>
  <c r="P503" i="27"/>
  <c r="P502" i="27"/>
  <c r="P501" i="27"/>
  <c r="P500" i="27"/>
  <c r="P499" i="27"/>
  <c r="P498" i="27"/>
  <c r="P497" i="27"/>
  <c r="P496" i="27"/>
  <c r="P495" i="27"/>
  <c r="P494" i="27"/>
  <c r="P493" i="27"/>
  <c r="P492" i="27"/>
  <c r="P491" i="27"/>
  <c r="P490" i="27"/>
  <c r="P489" i="27"/>
  <c r="P488" i="27"/>
  <c r="P487" i="27"/>
  <c r="P486" i="27"/>
  <c r="P485" i="27"/>
  <c r="P484" i="27"/>
  <c r="P483" i="27"/>
  <c r="P482" i="27"/>
  <c r="P481" i="27"/>
  <c r="P480" i="27"/>
  <c r="P479" i="27"/>
  <c r="P478" i="27"/>
  <c r="P477" i="27"/>
  <c r="P476" i="27"/>
  <c r="P475" i="27"/>
  <c r="P474" i="27"/>
  <c r="P473" i="27"/>
  <c r="P472" i="27"/>
  <c r="P471" i="27"/>
  <c r="P470" i="27"/>
  <c r="P469" i="27"/>
  <c r="P468" i="27"/>
  <c r="P467" i="27"/>
  <c r="P466" i="27"/>
  <c r="P465" i="27"/>
  <c r="P464" i="27"/>
  <c r="P463" i="27"/>
  <c r="P462" i="27"/>
  <c r="P461" i="27"/>
  <c r="P460" i="27"/>
  <c r="P459" i="27"/>
  <c r="P458" i="27"/>
  <c r="P457" i="27"/>
  <c r="P456" i="27"/>
  <c r="P455" i="27"/>
  <c r="P454" i="27"/>
  <c r="P453" i="27"/>
  <c r="P452" i="27"/>
  <c r="P451" i="27"/>
  <c r="P450" i="27"/>
  <c r="P449" i="27"/>
  <c r="P448" i="27"/>
  <c r="P447" i="27"/>
  <c r="P446" i="27"/>
  <c r="P445" i="27"/>
  <c r="P444" i="27"/>
  <c r="P443" i="27"/>
  <c r="P442" i="27"/>
  <c r="P441" i="27"/>
  <c r="P440" i="27"/>
  <c r="P439" i="27"/>
  <c r="P438" i="27"/>
  <c r="P437" i="27"/>
  <c r="P436" i="27"/>
  <c r="P435" i="27"/>
  <c r="P434" i="27"/>
  <c r="P433" i="27"/>
  <c r="P432" i="27"/>
  <c r="P431" i="27"/>
  <c r="P430" i="27"/>
  <c r="P429" i="27"/>
  <c r="P428" i="27"/>
  <c r="P427" i="27"/>
  <c r="P426" i="27"/>
  <c r="P425" i="27"/>
  <c r="P424" i="27"/>
  <c r="P423" i="27"/>
  <c r="P422" i="27"/>
  <c r="P421" i="27"/>
  <c r="P420" i="27"/>
  <c r="P419" i="27"/>
  <c r="P418" i="27"/>
  <c r="P417" i="27"/>
  <c r="P416" i="27"/>
  <c r="P415" i="27"/>
  <c r="P414" i="27"/>
  <c r="P413" i="27"/>
  <c r="P412" i="27"/>
  <c r="P411" i="27"/>
  <c r="P410" i="27"/>
  <c r="P409" i="27"/>
  <c r="P408" i="27"/>
  <c r="P407" i="27"/>
  <c r="P406" i="27"/>
  <c r="P405" i="27"/>
  <c r="P404" i="27"/>
  <c r="P403" i="27"/>
  <c r="P402" i="27"/>
  <c r="P401" i="27"/>
  <c r="P400" i="27"/>
  <c r="P399" i="27"/>
  <c r="P398" i="27"/>
  <c r="P397" i="27"/>
  <c r="P396" i="27"/>
  <c r="P395" i="27"/>
  <c r="P394" i="27"/>
  <c r="P393" i="27"/>
  <c r="P392" i="27"/>
  <c r="P391" i="27"/>
  <c r="P390" i="27"/>
  <c r="P389" i="27"/>
  <c r="P388" i="27"/>
  <c r="P387" i="27"/>
  <c r="P386" i="27"/>
  <c r="P385" i="27"/>
  <c r="P384" i="27"/>
  <c r="P383" i="27"/>
  <c r="P382" i="27"/>
  <c r="P381" i="27"/>
  <c r="P380" i="27"/>
  <c r="P379" i="27"/>
  <c r="P378" i="27"/>
  <c r="P377" i="27"/>
  <c r="P376" i="27"/>
  <c r="P375" i="27"/>
  <c r="P374" i="27"/>
  <c r="P373" i="27"/>
  <c r="P372" i="27"/>
  <c r="P371" i="27"/>
  <c r="P370" i="27"/>
  <c r="P369" i="27"/>
  <c r="P368" i="27"/>
  <c r="P367" i="27"/>
  <c r="P366" i="27"/>
  <c r="P365" i="27"/>
  <c r="P364" i="27"/>
  <c r="P363" i="27"/>
  <c r="P362" i="27"/>
  <c r="P361" i="27"/>
  <c r="P360" i="27"/>
  <c r="P359" i="27"/>
  <c r="P358" i="27"/>
  <c r="P357" i="27"/>
  <c r="P356" i="27"/>
  <c r="P355" i="27"/>
  <c r="P354" i="27"/>
  <c r="P353" i="27"/>
  <c r="P352" i="27"/>
  <c r="P351" i="27"/>
  <c r="P350" i="27"/>
  <c r="P349" i="27"/>
  <c r="P348" i="27"/>
  <c r="P347" i="27"/>
  <c r="P346" i="27"/>
  <c r="P345" i="27"/>
  <c r="P344" i="27"/>
  <c r="P343" i="27"/>
  <c r="P342" i="27"/>
  <c r="P341" i="27"/>
  <c r="P340" i="27"/>
  <c r="P339" i="27"/>
  <c r="P338" i="27"/>
  <c r="P337" i="27"/>
  <c r="P336" i="27"/>
  <c r="P335" i="27"/>
  <c r="P334" i="27"/>
  <c r="P333" i="27"/>
  <c r="P332" i="27"/>
  <c r="P331" i="27"/>
  <c r="P330" i="27"/>
  <c r="P329" i="27"/>
  <c r="P328" i="27"/>
  <c r="P327" i="27"/>
  <c r="P326" i="27"/>
  <c r="P325" i="27"/>
  <c r="P324" i="27"/>
  <c r="P323" i="27"/>
  <c r="P322" i="27"/>
  <c r="P321" i="27"/>
  <c r="P320" i="27"/>
  <c r="P319" i="27"/>
  <c r="P318" i="27"/>
  <c r="P317" i="27"/>
  <c r="P316" i="27"/>
  <c r="P315" i="27"/>
  <c r="P314" i="27"/>
  <c r="P313" i="27"/>
  <c r="P312" i="27"/>
  <c r="P311" i="27"/>
  <c r="P310" i="27"/>
  <c r="P309" i="27"/>
  <c r="P308" i="27"/>
  <c r="P307" i="27"/>
  <c r="P306" i="27"/>
  <c r="P305" i="27"/>
  <c r="P304" i="27"/>
  <c r="P303" i="27"/>
  <c r="P302" i="27"/>
  <c r="P301" i="27"/>
  <c r="P300" i="27"/>
  <c r="P299" i="27"/>
  <c r="P298" i="27"/>
  <c r="P297" i="27"/>
  <c r="P296" i="27"/>
  <c r="P295" i="27"/>
  <c r="P294" i="27"/>
  <c r="P293" i="27"/>
  <c r="P292" i="27"/>
  <c r="P291" i="27"/>
  <c r="P290" i="27"/>
  <c r="P289" i="27"/>
  <c r="P288" i="27"/>
  <c r="P287" i="27"/>
  <c r="P286" i="27"/>
  <c r="P285" i="27"/>
  <c r="P284" i="27"/>
  <c r="P283" i="27"/>
  <c r="P282" i="27"/>
  <c r="P281" i="27"/>
  <c r="P280" i="27"/>
  <c r="P279" i="27"/>
  <c r="P278" i="27"/>
  <c r="P277" i="27"/>
  <c r="P276" i="27"/>
  <c r="P275" i="27"/>
  <c r="P274" i="27"/>
  <c r="P273" i="27"/>
  <c r="P272" i="27"/>
  <c r="P271" i="27"/>
  <c r="P270" i="27"/>
  <c r="P269" i="27"/>
  <c r="P268" i="27"/>
  <c r="P267" i="27"/>
  <c r="P266" i="27"/>
  <c r="P265" i="27"/>
  <c r="P264" i="27"/>
  <c r="P263" i="27"/>
  <c r="P262" i="27"/>
  <c r="P261" i="27"/>
  <c r="P260" i="27"/>
  <c r="P259" i="27"/>
  <c r="P258" i="27"/>
  <c r="P257" i="27"/>
  <c r="P256" i="27"/>
  <c r="P255" i="27"/>
  <c r="P254" i="27"/>
  <c r="P253" i="27"/>
  <c r="P252" i="27"/>
  <c r="P251" i="27"/>
  <c r="P250" i="27"/>
  <c r="P249" i="27"/>
  <c r="P248" i="27"/>
  <c r="P247" i="27"/>
  <c r="P246" i="27"/>
  <c r="P245" i="27"/>
  <c r="P244" i="27"/>
  <c r="P243" i="27"/>
  <c r="P242" i="27"/>
  <c r="P241" i="27"/>
  <c r="P240" i="27"/>
  <c r="P239" i="27"/>
  <c r="P238" i="27"/>
  <c r="P237" i="27"/>
  <c r="P236" i="27"/>
  <c r="P235" i="27"/>
  <c r="P234" i="27"/>
  <c r="P233" i="27"/>
  <c r="P232" i="27"/>
  <c r="P231" i="27"/>
  <c r="P230" i="27"/>
  <c r="P229" i="27"/>
  <c r="P228" i="27"/>
  <c r="P227" i="27"/>
  <c r="P226" i="27"/>
  <c r="P225" i="27"/>
  <c r="P224" i="27"/>
  <c r="P223" i="27"/>
  <c r="P222" i="27"/>
  <c r="P221" i="27"/>
  <c r="P220" i="27"/>
  <c r="P219" i="27"/>
  <c r="P218" i="27"/>
  <c r="P217" i="27"/>
  <c r="P216" i="27"/>
  <c r="P215" i="27"/>
  <c r="P214" i="27"/>
  <c r="P213" i="27"/>
  <c r="P212" i="27"/>
  <c r="P211" i="27"/>
  <c r="P210" i="27"/>
  <c r="P209" i="27"/>
  <c r="P208" i="27"/>
  <c r="P207" i="27"/>
  <c r="P206" i="27"/>
  <c r="P205" i="27"/>
  <c r="P204" i="27"/>
  <c r="P203" i="27"/>
  <c r="P202" i="27"/>
  <c r="P201" i="27"/>
  <c r="P200" i="27"/>
  <c r="P199" i="27"/>
  <c r="P198" i="27"/>
  <c r="P197" i="27"/>
  <c r="P196" i="27"/>
  <c r="P195" i="27"/>
  <c r="P194" i="27"/>
  <c r="P193" i="27"/>
  <c r="P192" i="27"/>
  <c r="P191" i="27"/>
  <c r="P190" i="27"/>
  <c r="P189" i="27"/>
  <c r="P188" i="27"/>
  <c r="P187" i="27"/>
  <c r="P186" i="27"/>
  <c r="P185" i="27"/>
  <c r="P184" i="27"/>
  <c r="P183" i="27"/>
  <c r="P182" i="27"/>
  <c r="P181" i="27"/>
  <c r="P180" i="27"/>
  <c r="P179" i="27"/>
  <c r="P178" i="27"/>
  <c r="P177" i="27"/>
  <c r="P176" i="27"/>
  <c r="P175" i="27"/>
  <c r="P174" i="27"/>
  <c r="P173" i="27"/>
  <c r="P172" i="27"/>
  <c r="P171" i="27"/>
  <c r="P170" i="27"/>
  <c r="P169" i="27"/>
  <c r="P168" i="27"/>
  <c r="P167" i="27"/>
  <c r="P166" i="27"/>
  <c r="P165" i="27"/>
  <c r="P164" i="27"/>
  <c r="P163" i="27"/>
  <c r="P162" i="27"/>
  <c r="P161" i="27"/>
  <c r="P160" i="27"/>
  <c r="P159" i="27"/>
  <c r="P158" i="27"/>
  <c r="P157" i="27"/>
  <c r="P156" i="27"/>
  <c r="P155" i="27"/>
  <c r="P154" i="27"/>
  <c r="P153" i="27"/>
  <c r="P152" i="27"/>
  <c r="P151" i="27"/>
  <c r="P150" i="27"/>
  <c r="P149" i="27"/>
  <c r="P148" i="27"/>
  <c r="P147" i="27"/>
  <c r="P146" i="27"/>
  <c r="P145" i="27"/>
  <c r="P144" i="27"/>
  <c r="P143" i="27"/>
  <c r="P142" i="27"/>
  <c r="P141" i="27"/>
  <c r="P140" i="27"/>
  <c r="P139" i="27"/>
  <c r="P138" i="27"/>
  <c r="P137" i="27"/>
  <c r="P136" i="27"/>
  <c r="P135" i="27"/>
  <c r="P134" i="27"/>
  <c r="P133" i="27"/>
  <c r="P132" i="27"/>
  <c r="P131" i="27"/>
  <c r="P130" i="27"/>
  <c r="P129" i="27"/>
  <c r="P128" i="27"/>
  <c r="P127" i="27"/>
  <c r="P126" i="27"/>
  <c r="P125" i="27"/>
  <c r="P124" i="27"/>
  <c r="P123" i="27"/>
  <c r="P122" i="27"/>
  <c r="P121" i="27"/>
  <c r="P120" i="27"/>
  <c r="P119" i="27"/>
  <c r="P118" i="27"/>
  <c r="P117" i="27"/>
  <c r="P116" i="27"/>
  <c r="P115" i="27"/>
  <c r="P114" i="27"/>
  <c r="P113" i="27"/>
  <c r="P112" i="27"/>
  <c r="P111" i="27"/>
  <c r="P110" i="27"/>
  <c r="P109" i="27"/>
  <c r="P108" i="27"/>
  <c r="P107" i="27"/>
  <c r="P106" i="27"/>
  <c r="P105" i="27"/>
  <c r="P104" i="27"/>
  <c r="P103" i="27"/>
  <c r="P102" i="27"/>
  <c r="P101" i="27"/>
  <c r="P100" i="27"/>
  <c r="P99" i="27"/>
  <c r="P98" i="27"/>
  <c r="P97" i="27"/>
  <c r="P96" i="27"/>
  <c r="P95" i="27"/>
  <c r="P94" i="27"/>
  <c r="P93" i="27"/>
  <c r="P92" i="27"/>
  <c r="P91" i="27"/>
  <c r="P90" i="27"/>
  <c r="P89" i="27"/>
  <c r="P88" i="27"/>
  <c r="P87" i="27"/>
  <c r="P86" i="27"/>
  <c r="P85" i="27"/>
  <c r="P84" i="27"/>
  <c r="P83" i="27"/>
  <c r="P82" i="27"/>
  <c r="P81" i="27"/>
  <c r="P80" i="27"/>
  <c r="P79" i="27"/>
  <c r="P78" i="27"/>
  <c r="P77" i="27"/>
  <c r="P76" i="27"/>
  <c r="P75" i="27"/>
  <c r="P74" i="27"/>
  <c r="P73" i="27"/>
  <c r="P72" i="27"/>
  <c r="P71" i="27"/>
  <c r="P70" i="27"/>
  <c r="P69" i="27"/>
  <c r="P68" i="27"/>
  <c r="P67" i="27"/>
  <c r="P66" i="27"/>
  <c r="P65" i="27"/>
  <c r="P64" i="27"/>
  <c r="P63" i="27"/>
  <c r="P62" i="27"/>
  <c r="P61" i="27"/>
  <c r="P60" i="27"/>
  <c r="P59" i="27"/>
  <c r="P58" i="27"/>
  <c r="P57" i="27"/>
  <c r="P56" i="27"/>
  <c r="P55" i="27"/>
  <c r="P54" i="27"/>
  <c r="P53" i="27"/>
  <c r="P52" i="27"/>
  <c r="P51" i="27"/>
  <c r="P50" i="27"/>
  <c r="P49" i="27"/>
  <c r="P48" i="27"/>
  <c r="P47" i="27"/>
  <c r="P46" i="27"/>
  <c r="P45" i="27"/>
  <c r="P44" i="27"/>
  <c r="P43" i="27"/>
  <c r="P42" i="27"/>
  <c r="P41" i="27"/>
  <c r="P40" i="27"/>
  <c r="P39" i="27"/>
  <c r="P38" i="27"/>
  <c r="P37" i="27"/>
  <c r="P36" i="27"/>
  <c r="P35" i="27"/>
  <c r="P34" i="27"/>
  <c r="P33" i="27"/>
  <c r="P32" i="27"/>
  <c r="P31" i="27"/>
  <c r="P30" i="27"/>
  <c r="P29" i="27"/>
  <c r="P28" i="27"/>
  <c r="P27" i="27"/>
  <c r="P26" i="27"/>
  <c r="P25" i="27"/>
  <c r="P24" i="27"/>
  <c r="P23" i="27"/>
  <c r="P22" i="27"/>
  <c r="P21" i="27"/>
  <c r="P20" i="27"/>
  <c r="P19" i="27"/>
  <c r="P18" i="27"/>
  <c r="P17" i="27"/>
  <c r="P16" i="27"/>
  <c r="P15" i="27"/>
  <c r="P14" i="27"/>
  <c r="P13" i="27"/>
  <c r="B14" i="27"/>
  <c r="P12" i="27"/>
  <c r="P11" i="27"/>
  <c r="P10" i="27"/>
  <c r="B10" i="27"/>
  <c r="P9" i="27"/>
  <c r="P8" i="27"/>
  <c r="B8" i="27"/>
  <c r="C8" i="27" s="1"/>
  <c r="M7" i="2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8" i="7"/>
  <c r="X7" i="7" l="1"/>
  <c r="AJ7" i="7"/>
  <c r="W8" i="7"/>
  <c r="V77" i="7"/>
  <c r="H4" i="27"/>
  <c r="H3" i="27" s="1"/>
  <c r="V32" i="15"/>
  <c r="U33" i="15"/>
  <c r="X8" i="7" l="1"/>
  <c r="W9" i="7"/>
  <c r="AJ8" i="7"/>
  <c r="V78" i="7"/>
  <c r="U34" i="15"/>
  <c r="V33" i="15"/>
  <c r="X9" i="7" l="1"/>
  <c r="AJ9" i="7"/>
  <c r="W10" i="7"/>
  <c r="V79" i="7"/>
  <c r="U35" i="15"/>
  <c r="V34" i="15"/>
  <c r="J16" i="41"/>
  <c r="X10" i="7" l="1"/>
  <c r="AJ10" i="7"/>
  <c r="W11" i="7"/>
  <c r="V80" i="7"/>
  <c r="U36" i="15"/>
  <c r="V35" i="15"/>
  <c r="X11" i="7" l="1"/>
  <c r="W12" i="7"/>
  <c r="AJ11" i="7"/>
  <c r="V81" i="7"/>
  <c r="U37" i="15"/>
  <c r="V36" i="15"/>
  <c r="BG39" i="3"/>
  <c r="BI39" i="3"/>
  <c r="BJ39" i="3"/>
  <c r="BK39" i="3"/>
  <c r="BE39" i="3"/>
  <c r="X12" i="7" l="1"/>
  <c r="AJ12" i="7"/>
  <c r="W13" i="7"/>
  <c r="V82" i="7"/>
  <c r="U38" i="15"/>
  <c r="V37" i="15"/>
  <c r="B9" i="1"/>
  <c r="X13" i="7" l="1"/>
  <c r="AJ13" i="7"/>
  <c r="W14" i="7"/>
  <c r="V83" i="7"/>
  <c r="U39" i="15"/>
  <c r="V39" i="15" s="1"/>
  <c r="V38" i="15"/>
  <c r="BH39" i="3"/>
  <c r="BF39" i="3"/>
  <c r="X14" i="7" l="1"/>
  <c r="W15" i="7"/>
  <c r="AJ14" i="7"/>
  <c r="V84" i="7"/>
  <c r="C7" i="5"/>
  <c r="D7" i="5" s="1"/>
  <c r="X15" i="7" l="1"/>
  <c r="W16" i="7"/>
  <c r="AJ15" i="7"/>
  <c r="B32" i="3"/>
  <c r="F32" i="3"/>
  <c r="J32" i="3"/>
  <c r="C32" i="3"/>
  <c r="G32" i="3"/>
  <c r="K32" i="3"/>
  <c r="O32" i="3"/>
  <c r="S32" i="3"/>
  <c r="W32" i="3"/>
  <c r="AA32" i="3"/>
  <c r="AE32" i="3"/>
  <c r="AI32" i="3"/>
  <c r="AM32" i="3"/>
  <c r="AQ32" i="3"/>
  <c r="AU32" i="3"/>
  <c r="AY32" i="3"/>
  <c r="BC32" i="3"/>
  <c r="BG32" i="3"/>
  <c r="BK32" i="3"/>
  <c r="BO32" i="3"/>
  <c r="D32" i="3"/>
  <c r="H32" i="3"/>
  <c r="L32" i="3"/>
  <c r="P32" i="3"/>
  <c r="T32" i="3"/>
  <c r="X32" i="3"/>
  <c r="AB32" i="3"/>
  <c r="AF32" i="3"/>
  <c r="AJ32" i="3"/>
  <c r="AN32" i="3"/>
  <c r="AR32" i="3"/>
  <c r="AV32" i="3"/>
  <c r="AZ32" i="3"/>
  <c r="BD32" i="3"/>
  <c r="BH32" i="3"/>
  <c r="BL32" i="3"/>
  <c r="E32" i="3"/>
  <c r="I32" i="3"/>
  <c r="M32" i="3"/>
  <c r="Q32" i="3"/>
  <c r="U32" i="3"/>
  <c r="Y32" i="3"/>
  <c r="AC32" i="3"/>
  <c r="AG32" i="3"/>
  <c r="AK32" i="3"/>
  <c r="AO32" i="3"/>
  <c r="AS32" i="3"/>
  <c r="AW32" i="3"/>
  <c r="BA32" i="3"/>
  <c r="BE32" i="3"/>
  <c r="BI32" i="3"/>
  <c r="BM32" i="3"/>
  <c r="N32" i="3"/>
  <c r="R32" i="3"/>
  <c r="V32" i="3"/>
  <c r="Z32" i="3"/>
  <c r="AD32" i="3"/>
  <c r="AH32" i="3"/>
  <c r="AL32" i="3"/>
  <c r="AP32" i="3"/>
  <c r="AT32" i="3"/>
  <c r="AX32" i="3"/>
  <c r="BB32" i="3"/>
  <c r="BF32" i="3"/>
  <c r="BJ32" i="3"/>
  <c r="BN32" i="3"/>
  <c r="EG32" i="3"/>
  <c r="BP32" i="3"/>
  <c r="BW32" i="3"/>
  <c r="CA32" i="3"/>
  <c r="CE32" i="3"/>
  <c r="CI32" i="3"/>
  <c r="CM32" i="3"/>
  <c r="CQ32" i="3"/>
  <c r="CU32" i="3"/>
  <c r="CY32" i="3"/>
  <c r="DC32" i="3"/>
  <c r="DG32" i="3"/>
  <c r="DK32" i="3"/>
  <c r="DO32" i="3"/>
  <c r="DS32" i="3"/>
  <c r="DW32" i="3"/>
  <c r="EA32" i="3"/>
  <c r="EE32" i="3"/>
  <c r="CD32" i="3"/>
  <c r="CL32" i="3"/>
  <c r="CT32" i="3"/>
  <c r="DF32" i="3"/>
  <c r="DN32" i="3"/>
  <c r="DV32" i="3"/>
  <c r="BX32" i="3"/>
  <c r="CB32" i="3"/>
  <c r="CF32" i="3"/>
  <c r="CJ32" i="3"/>
  <c r="CN32" i="3"/>
  <c r="CR32" i="3"/>
  <c r="CV32" i="3"/>
  <c r="CZ32" i="3"/>
  <c r="DD32" i="3"/>
  <c r="DH32" i="3"/>
  <c r="DL32" i="3"/>
  <c r="DP32" i="3"/>
  <c r="DT32" i="3"/>
  <c r="DX32" i="3"/>
  <c r="EB32" i="3"/>
  <c r="EF32" i="3"/>
  <c r="CH32" i="3"/>
  <c r="DB32" i="3"/>
  <c r="DZ32" i="3"/>
  <c r="BY32" i="3"/>
  <c r="CC32" i="3"/>
  <c r="CG32" i="3"/>
  <c r="CK32" i="3"/>
  <c r="CO32" i="3"/>
  <c r="CS32" i="3"/>
  <c r="CW32" i="3"/>
  <c r="DA32" i="3"/>
  <c r="DE32" i="3"/>
  <c r="DI32" i="3"/>
  <c r="DM32" i="3"/>
  <c r="DQ32" i="3"/>
  <c r="DU32" i="3"/>
  <c r="DY32" i="3"/>
  <c r="EC32" i="3"/>
  <c r="BZ32" i="3"/>
  <c r="CP32" i="3"/>
  <c r="CX32" i="3"/>
  <c r="DJ32" i="3"/>
  <c r="DR32" i="3"/>
  <c r="ED32" i="3"/>
  <c r="BQ32" i="3"/>
  <c r="BR32" i="3"/>
  <c r="BV32" i="3"/>
  <c r="BS32" i="3"/>
  <c r="BT32" i="3"/>
  <c r="BU32" i="3"/>
  <c r="V85" i="7"/>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X16" i="7" l="1"/>
  <c r="W17" i="7"/>
  <c r="AJ16" i="7"/>
  <c r="V86" i="7"/>
  <c r="O7" i="7"/>
  <c r="X17" i="7" l="1"/>
  <c r="AJ17" i="7"/>
  <c r="W18" i="7"/>
  <c r="V87" i="7"/>
  <c r="BP38" i="3"/>
  <c r="BQ38" i="3" s="1"/>
  <c r="BR38" i="3" s="1"/>
  <c r="BS38" i="3" s="1"/>
  <c r="BT38" i="3" s="1"/>
  <c r="BU38" i="3" s="1"/>
  <c r="BV38" i="3" s="1"/>
  <c r="BW38" i="3" s="1"/>
  <c r="BX38" i="3" s="1"/>
  <c r="BY38" i="3" s="1"/>
  <c r="BZ38" i="3" s="1"/>
  <c r="CA38" i="3" s="1"/>
  <c r="CB38" i="3" s="1"/>
  <c r="CC38" i="3" s="1"/>
  <c r="CD38" i="3" s="1"/>
  <c r="CE38" i="3" s="1"/>
  <c r="CF38" i="3" s="1"/>
  <c r="CG38" i="3" s="1"/>
  <c r="CH38" i="3" s="1"/>
  <c r="CI38" i="3" s="1"/>
  <c r="CJ38" i="3" s="1"/>
  <c r="CK38" i="3" s="1"/>
  <c r="CL38" i="3" s="1"/>
  <c r="CM38" i="3" s="1"/>
  <c r="CN38" i="3" s="1"/>
  <c r="CO38" i="3" s="1"/>
  <c r="CP38" i="3" s="1"/>
  <c r="CQ38" i="3" s="1"/>
  <c r="CR38" i="3" s="1"/>
  <c r="CS38" i="3" s="1"/>
  <c r="CT38" i="3" s="1"/>
  <c r="CU38" i="3" s="1"/>
  <c r="CV38" i="3" s="1"/>
  <c r="CW38" i="3" s="1"/>
  <c r="CX38" i="3" s="1"/>
  <c r="CY38" i="3" s="1"/>
  <c r="CZ38" i="3" s="1"/>
  <c r="DA38" i="3" s="1"/>
  <c r="DB38" i="3" s="1"/>
  <c r="DC38" i="3" s="1"/>
  <c r="DD38" i="3" s="1"/>
  <c r="DE38" i="3" s="1"/>
  <c r="DF38" i="3" s="1"/>
  <c r="DG38" i="3" s="1"/>
  <c r="DH38" i="3" s="1"/>
  <c r="DI38" i="3" s="1"/>
  <c r="DJ38" i="3" s="1"/>
  <c r="DK38" i="3" s="1"/>
  <c r="DL38" i="3" s="1"/>
  <c r="DM38" i="3" s="1"/>
  <c r="DN38" i="3" s="1"/>
  <c r="DO38" i="3" s="1"/>
  <c r="DP38" i="3" s="1"/>
  <c r="DQ38" i="3" s="1"/>
  <c r="DR38" i="3" s="1"/>
  <c r="DS38" i="3" s="1"/>
  <c r="DT38" i="3" s="1"/>
  <c r="DU38" i="3" s="1"/>
  <c r="DV38" i="3" s="1"/>
  <c r="DW38" i="3" s="1"/>
  <c r="DX38" i="3" s="1"/>
  <c r="DY38" i="3" s="1"/>
  <c r="DZ38" i="3" s="1"/>
  <c r="EA38" i="3" s="1"/>
  <c r="EB38" i="3" s="1"/>
  <c r="EC38" i="3" s="1"/>
  <c r="ED38" i="3" s="1"/>
  <c r="EE38" i="3" s="1"/>
  <c r="EF38" i="3" s="1"/>
  <c r="EG38" i="3" s="1"/>
  <c r="EH38" i="3" s="1"/>
  <c r="EI38" i="3" s="1"/>
  <c r="EJ38" i="3" s="1"/>
  <c r="EK38" i="3" s="1"/>
  <c r="EL38" i="3" s="1"/>
  <c r="EM38" i="3" s="1"/>
  <c r="EN38" i="3" s="1"/>
  <c r="EO38" i="3" s="1"/>
  <c r="EP38" i="3" s="1"/>
  <c r="C8" i="7"/>
  <c r="F9" i="15"/>
  <c r="F10" i="15"/>
  <c r="F11" i="15"/>
  <c r="F12" i="15"/>
  <c r="F13" i="15"/>
  <c r="F14" i="15"/>
  <c r="F15" i="15"/>
  <c r="F16" i="15"/>
  <c r="F17" i="15"/>
  <c r="F18" i="15"/>
  <c r="F19" i="15"/>
  <c r="F20" i="15"/>
  <c r="F21" i="15"/>
  <c r="F22" i="15"/>
  <c r="F23" i="15"/>
  <c r="F24" i="15"/>
  <c r="F8" i="15"/>
  <c r="X18" i="7" l="1"/>
  <c r="W19" i="7"/>
  <c r="AJ18" i="7"/>
  <c r="V88" i="7"/>
  <c r="F39" i="15"/>
  <c r="G38" i="15"/>
  <c r="F38" i="15" s="1"/>
  <c r="G37" i="15"/>
  <c r="F37" i="15" s="1"/>
  <c r="G36" i="15"/>
  <c r="F36" i="15" s="1"/>
  <c r="G35" i="15"/>
  <c r="F35" i="15" s="1"/>
  <c r="G34" i="15"/>
  <c r="F34" i="15" s="1"/>
  <c r="F33" i="15"/>
  <c r="G32" i="15"/>
  <c r="F32" i="15" s="1"/>
  <c r="G31" i="15"/>
  <c r="F31" i="15" s="1"/>
  <c r="F30" i="15" s="1"/>
  <c r="D30" i="15"/>
  <c r="X19" i="7" l="1"/>
  <c r="AJ19" i="7"/>
  <c r="W20" i="7"/>
  <c r="V89" i="7"/>
  <c r="D29" i="15"/>
  <c r="D28" i="15" s="1"/>
  <c r="D27" i="15" s="1"/>
  <c r="D26" i="15" s="1"/>
  <c r="D25" i="15" s="1"/>
  <c r="L12" i="15"/>
  <c r="V16" i="15"/>
  <c r="M4" i="15"/>
  <c r="G30" i="15"/>
  <c r="F29" i="15"/>
  <c r="X20" i="7" l="1"/>
  <c r="W21" i="7"/>
  <c r="AJ20" i="7"/>
  <c r="V90" i="7"/>
  <c r="M13" i="15"/>
  <c r="G29" i="15"/>
  <c r="F28" i="15"/>
  <c r="X21" i="7" l="1"/>
  <c r="AJ21" i="7"/>
  <c r="W22" i="7"/>
  <c r="V91" i="7"/>
  <c r="O13" i="15"/>
  <c r="N13" i="15"/>
  <c r="M14" i="15" s="1"/>
  <c r="L13" i="15"/>
  <c r="G28" i="15"/>
  <c r="F27" i="15"/>
  <c r="B5" i="1"/>
  <c r="X22" i="7" l="1"/>
  <c r="W23" i="7"/>
  <c r="AJ22" i="7"/>
  <c r="V92" i="7"/>
  <c r="O14" i="15"/>
  <c r="N14" i="15"/>
  <c r="L14" i="15"/>
  <c r="G27" i="15"/>
  <c r="F26" i="15"/>
  <c r="B6" i="13"/>
  <c r="X23" i="7" l="1"/>
  <c r="AJ23" i="7"/>
  <c r="W24" i="7"/>
  <c r="V93" i="7"/>
  <c r="C6" i="13"/>
  <c r="AM7" i="13"/>
  <c r="Z7" i="13"/>
  <c r="E80" i="29"/>
  <c r="G26" i="15"/>
  <c r="F25" i="15"/>
  <c r="G25" i="15" s="1"/>
  <c r="AB50" i="1"/>
  <c r="AB51" i="1"/>
  <c r="AB52" i="1"/>
  <c r="AB53" i="1"/>
  <c r="AB54" i="1"/>
  <c r="AB49" i="1"/>
  <c r="AA50" i="1"/>
  <c r="AA51" i="1"/>
  <c r="AA52" i="1"/>
  <c r="AA53" i="1"/>
  <c r="AA54" i="1"/>
  <c r="AA49" i="1"/>
  <c r="AI9" i="1"/>
  <c r="AI10" i="1"/>
  <c r="AI12" i="1"/>
  <c r="AF8" i="1"/>
  <c r="AF7" i="1" s="1"/>
  <c r="AF6" i="1" s="1"/>
  <c r="AF5" i="1" s="1"/>
  <c r="AF4" i="1" s="1"/>
  <c r="AF3" i="1" s="1"/>
  <c r="X24" i="7" l="1"/>
  <c r="W25" i="7"/>
  <c r="AJ24" i="7"/>
  <c r="V94" i="7"/>
  <c r="AA16" i="3"/>
  <c r="X25" i="7" l="1"/>
  <c r="AJ25" i="7"/>
  <c r="W26" i="7"/>
  <c r="AA15" i="3"/>
  <c r="AA14" i="3" s="1"/>
  <c r="AA13" i="3" s="1"/>
  <c r="AA12" i="3" s="1"/>
  <c r="AA11" i="3" s="1"/>
  <c r="AA10" i="3" s="1"/>
  <c r="AA9" i="3" s="1"/>
  <c r="AA8" i="3" s="1"/>
  <c r="AA7" i="3" s="1"/>
  <c r="AA6" i="3" s="1"/>
  <c r="AA5" i="3" s="1"/>
  <c r="Z16" i="3" s="1"/>
  <c r="AA17" i="3" s="1"/>
  <c r="AB17" i="3"/>
  <c r="V95" i="7"/>
  <c r="X26" i="7" l="1"/>
  <c r="W27" i="7"/>
  <c r="AJ26" i="7"/>
  <c r="Z15" i="3"/>
  <c r="Z14" i="3" s="1"/>
  <c r="Z13" i="3" s="1"/>
  <c r="Z12" i="3" s="1"/>
  <c r="Z11" i="3" s="1"/>
  <c r="Z10" i="3" s="1"/>
  <c r="Z9" i="3" s="1"/>
  <c r="Z8" i="3" s="1"/>
  <c r="Z7" i="3" s="1"/>
  <c r="Z6" i="3" s="1"/>
  <c r="Z5" i="3" s="1"/>
  <c r="Y16" i="3" s="1"/>
  <c r="Z17" i="3" s="1"/>
  <c r="V96" i="7"/>
  <c r="X27" i="7" l="1"/>
  <c r="AJ27" i="7"/>
  <c r="W28" i="7"/>
  <c r="Y15" i="3"/>
  <c r="Y14" i="3" s="1"/>
  <c r="Y13" i="3" s="1"/>
  <c r="Y12" i="3" s="1"/>
  <c r="Y11" i="3" s="1"/>
  <c r="Y10" i="3" s="1"/>
  <c r="Y9" i="3" s="1"/>
  <c r="Y8" i="3" s="1"/>
  <c r="Y7" i="3" s="1"/>
  <c r="Y6" i="3" s="1"/>
  <c r="Y5" i="3" s="1"/>
  <c r="X16" i="3" s="1"/>
  <c r="Y17" i="3" s="1"/>
  <c r="V97" i="7"/>
  <c r="X28" i="7" l="1"/>
  <c r="W29" i="7"/>
  <c r="AJ28" i="7"/>
  <c r="X15" i="3"/>
  <c r="X14" i="3" s="1"/>
  <c r="X13" i="3" s="1"/>
  <c r="X12" i="3" s="1"/>
  <c r="X11" i="3" s="1"/>
  <c r="X10" i="3" s="1"/>
  <c r="X9" i="3" s="1"/>
  <c r="X8" i="3" s="1"/>
  <c r="X7" i="3" s="1"/>
  <c r="X6" i="3" s="1"/>
  <c r="X5" i="3" s="1"/>
  <c r="W16" i="3" s="1"/>
  <c r="X17" i="3" s="1"/>
  <c r="BR8" i="3"/>
  <c r="BR9" i="3" s="1"/>
  <c r="BR10" i="3" s="1"/>
  <c r="BR11" i="3" s="1"/>
  <c r="BR12" i="3" s="1"/>
  <c r="BR13" i="3" s="1"/>
  <c r="BR14" i="3" s="1"/>
  <c r="BR15" i="3" s="1"/>
  <c r="BR16" i="3" s="1"/>
  <c r="V98" i="7"/>
  <c r="X29" i="7" l="1"/>
  <c r="AJ29" i="7"/>
  <c r="W30" i="7"/>
  <c r="BS5" i="3"/>
  <c r="BS6" i="3" s="1"/>
  <c r="BS7" i="3" s="1"/>
  <c r="BS8" i="3" s="1"/>
  <c r="BS9" i="3" s="1"/>
  <c r="BS10" i="3" s="1"/>
  <c r="BS11" i="3" s="1"/>
  <c r="BS12" i="3" s="1"/>
  <c r="BS13" i="3" s="1"/>
  <c r="BS14" i="3" s="1"/>
  <c r="BS15" i="3" s="1"/>
  <c r="BS16" i="3" s="1"/>
  <c r="BR17" i="3"/>
  <c r="W15" i="3"/>
  <c r="W14" i="3" s="1"/>
  <c r="W13" i="3" s="1"/>
  <c r="W12" i="3" s="1"/>
  <c r="W11" i="3" s="1"/>
  <c r="W10" i="3" s="1"/>
  <c r="W9" i="3" s="1"/>
  <c r="W8" i="3" s="1"/>
  <c r="W7" i="3" s="1"/>
  <c r="W6" i="3" s="1"/>
  <c r="W5" i="3" s="1"/>
  <c r="V16" i="3" s="1"/>
  <c r="V99" i="7"/>
  <c r="B38" i="1"/>
  <c r="X30" i="7" l="1"/>
  <c r="W31" i="7"/>
  <c r="AJ30" i="7"/>
  <c r="V15" i="3"/>
  <c r="V14" i="3" s="1"/>
  <c r="V13" i="3" s="1"/>
  <c r="V12" i="3" s="1"/>
  <c r="V11" i="3" s="1"/>
  <c r="V10" i="3" s="1"/>
  <c r="V9" i="3" s="1"/>
  <c r="V8" i="3" s="1"/>
  <c r="V7" i="3" s="1"/>
  <c r="V6" i="3" s="1"/>
  <c r="V5" i="3" s="1"/>
  <c r="U16" i="3" s="1"/>
  <c r="V17" i="3" s="1"/>
  <c r="W17" i="3"/>
  <c r="BT5" i="3"/>
  <c r="BT6" i="3" s="1"/>
  <c r="BT7" i="3" s="1"/>
  <c r="BT8" i="3" s="1"/>
  <c r="BT9" i="3" s="1"/>
  <c r="BT10" i="3" s="1"/>
  <c r="BT11" i="3" s="1"/>
  <c r="BT12" i="3" s="1"/>
  <c r="BT13" i="3" s="1"/>
  <c r="BT14" i="3" s="1"/>
  <c r="BT15" i="3" s="1"/>
  <c r="BT16" i="3" s="1"/>
  <c r="BS17" i="3"/>
  <c r="V100" i="7"/>
  <c r="X31" i="7" l="1"/>
  <c r="AJ31" i="7"/>
  <c r="W32" i="7"/>
  <c r="BU5" i="3"/>
  <c r="BU6" i="3" s="1"/>
  <c r="BU7" i="3" s="1"/>
  <c r="BU8" i="3" s="1"/>
  <c r="BU9" i="3" s="1"/>
  <c r="BU10" i="3" s="1"/>
  <c r="BU11" i="3" s="1"/>
  <c r="BU12" i="3" s="1"/>
  <c r="BU13" i="3" s="1"/>
  <c r="BU14" i="3" s="1"/>
  <c r="BU15" i="3" s="1"/>
  <c r="BU16" i="3" s="1"/>
  <c r="BT17" i="3"/>
  <c r="U15" i="3"/>
  <c r="U14" i="3" s="1"/>
  <c r="U13" i="3" s="1"/>
  <c r="U12" i="3" s="1"/>
  <c r="U11" i="3" s="1"/>
  <c r="U10" i="3" s="1"/>
  <c r="U9" i="3" s="1"/>
  <c r="U8" i="3" s="1"/>
  <c r="U7" i="3" s="1"/>
  <c r="U6" i="3" s="1"/>
  <c r="U5" i="3" s="1"/>
  <c r="T16" i="3" s="1"/>
  <c r="U17" i="3" s="1"/>
  <c r="V101" i="7"/>
  <c r="X32" i="7" l="1"/>
  <c r="W33" i="7"/>
  <c r="AJ32" i="7"/>
  <c r="T15" i="3"/>
  <c r="T14" i="3" s="1"/>
  <c r="T13" i="3" s="1"/>
  <c r="T12" i="3" s="1"/>
  <c r="T11" i="3" s="1"/>
  <c r="T10" i="3" s="1"/>
  <c r="T9" i="3" s="1"/>
  <c r="T8" i="3" s="1"/>
  <c r="T7" i="3" s="1"/>
  <c r="T6" i="3" s="1"/>
  <c r="T5" i="3" s="1"/>
  <c r="S16" i="3" s="1"/>
  <c r="T17" i="3" s="1"/>
  <c r="BV5" i="3"/>
  <c r="BV6" i="3" s="1"/>
  <c r="BV7" i="3" s="1"/>
  <c r="BV8" i="3" s="1"/>
  <c r="BV9" i="3" s="1"/>
  <c r="BV10" i="3" s="1"/>
  <c r="BV11" i="3" s="1"/>
  <c r="BV12" i="3" s="1"/>
  <c r="BV13" i="3" s="1"/>
  <c r="BV14" i="3" s="1"/>
  <c r="BV15" i="3" s="1"/>
  <c r="BV16" i="3" s="1"/>
  <c r="BU17" i="3"/>
  <c r="V102" i="7"/>
  <c r="X33" i="7" l="1"/>
  <c r="AJ33" i="7"/>
  <c r="W34" i="7"/>
  <c r="BW5" i="3"/>
  <c r="BW6" i="3" s="1"/>
  <c r="BW7" i="3" s="1"/>
  <c r="BW8" i="3" s="1"/>
  <c r="BW9" i="3" s="1"/>
  <c r="BW10" i="3" s="1"/>
  <c r="BW11" i="3" s="1"/>
  <c r="BW12" i="3" s="1"/>
  <c r="BW13" i="3" s="1"/>
  <c r="BW14" i="3" s="1"/>
  <c r="BW15" i="3" s="1"/>
  <c r="BW16" i="3" s="1"/>
  <c r="BV17" i="3"/>
  <c r="S15" i="3"/>
  <c r="S14" i="3" s="1"/>
  <c r="S13" i="3" s="1"/>
  <c r="S12" i="3" s="1"/>
  <c r="S11" i="3" s="1"/>
  <c r="S10" i="3" s="1"/>
  <c r="S9" i="3" s="1"/>
  <c r="S8" i="3" s="1"/>
  <c r="S7" i="3" s="1"/>
  <c r="S6" i="3" s="1"/>
  <c r="S5" i="3" s="1"/>
  <c r="R16" i="3" s="1"/>
  <c r="S17" i="3"/>
  <c r="V103" i="7"/>
  <c r="B6" i="1"/>
  <c r="B11" i="1"/>
  <c r="X34" i="7" l="1"/>
  <c r="W35" i="7"/>
  <c r="AJ34" i="7"/>
  <c r="BX5" i="3"/>
  <c r="BX6" i="3" s="1"/>
  <c r="BX7" i="3" s="1"/>
  <c r="BX8" i="3" s="1"/>
  <c r="BX9" i="3" s="1"/>
  <c r="BX10" i="3" s="1"/>
  <c r="BX11" i="3" s="1"/>
  <c r="BX12" i="3" s="1"/>
  <c r="BX13" i="3" s="1"/>
  <c r="BX14" i="3" s="1"/>
  <c r="BX15" i="3" s="1"/>
  <c r="BX16" i="3" s="1"/>
  <c r="BW17" i="3"/>
  <c r="R15" i="3"/>
  <c r="R14" i="3" s="1"/>
  <c r="R13" i="3" s="1"/>
  <c r="R12" i="3" s="1"/>
  <c r="R11" i="3" s="1"/>
  <c r="R10" i="3" s="1"/>
  <c r="R9" i="3" s="1"/>
  <c r="R8" i="3" s="1"/>
  <c r="R7" i="3" s="1"/>
  <c r="R6" i="3" s="1"/>
  <c r="R5" i="3" s="1"/>
  <c r="Q16" i="3" s="1"/>
  <c r="V104" i="7"/>
  <c r="AD3" i="1"/>
  <c r="E89" i="3"/>
  <c r="E88" i="3"/>
  <c r="E87" i="3"/>
  <c r="E86" i="3"/>
  <c r="E85" i="3"/>
  <c r="E84" i="3"/>
  <c r="E83" i="3"/>
  <c r="E82" i="3"/>
  <c r="E81" i="3"/>
  <c r="E80" i="3"/>
  <c r="E79" i="3"/>
  <c r="E78" i="3"/>
  <c r="B78" i="3"/>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2" i="3"/>
  <c r="X35" i="7" l="1"/>
  <c r="W36" i="7"/>
  <c r="AJ35" i="7"/>
  <c r="Q15" i="3"/>
  <c r="Q14" i="3" s="1"/>
  <c r="Q13" i="3" s="1"/>
  <c r="Q12" i="3" s="1"/>
  <c r="Q11" i="3" s="1"/>
  <c r="Q10" i="3" s="1"/>
  <c r="Q9" i="3" s="1"/>
  <c r="Q8" i="3" s="1"/>
  <c r="Q7" i="3" s="1"/>
  <c r="Q6" i="3" s="1"/>
  <c r="Q5" i="3" s="1"/>
  <c r="P16" i="3" s="1"/>
  <c r="Q17" i="3" s="1"/>
  <c r="R17" i="3"/>
  <c r="BY5" i="3"/>
  <c r="BY6" i="3" s="1"/>
  <c r="BY7" i="3" s="1"/>
  <c r="BY8" i="3" s="1"/>
  <c r="BY9" i="3" s="1"/>
  <c r="BY10" i="3" s="1"/>
  <c r="BY11" i="3" s="1"/>
  <c r="BY12" i="3" s="1"/>
  <c r="BY13" i="3" s="1"/>
  <c r="BY14" i="3" s="1"/>
  <c r="BY15" i="3" s="1"/>
  <c r="BY16" i="3" s="1"/>
  <c r="BX17" i="3"/>
  <c r="V105" i="7"/>
  <c r="C3" i="6"/>
  <c r="I7" i="6" s="1"/>
  <c r="X36" i="7" l="1"/>
  <c r="W37" i="7"/>
  <c r="AJ36" i="7"/>
  <c r="BZ5" i="3"/>
  <c r="BZ6" i="3" s="1"/>
  <c r="BZ7" i="3" s="1"/>
  <c r="BZ8" i="3" s="1"/>
  <c r="BZ9" i="3" s="1"/>
  <c r="BZ10" i="3" s="1"/>
  <c r="BZ11" i="3" s="1"/>
  <c r="BZ12" i="3" s="1"/>
  <c r="BZ13" i="3" s="1"/>
  <c r="BZ14" i="3" s="1"/>
  <c r="BZ15" i="3" s="1"/>
  <c r="BZ16" i="3" s="1"/>
  <c r="BY17" i="3"/>
  <c r="P15" i="3"/>
  <c r="P14" i="3" s="1"/>
  <c r="P13" i="3" s="1"/>
  <c r="P12" i="3" s="1"/>
  <c r="P11" i="3" s="1"/>
  <c r="P10" i="3" s="1"/>
  <c r="P9" i="3" s="1"/>
  <c r="P8" i="3" s="1"/>
  <c r="P7" i="3" s="1"/>
  <c r="P6" i="3" s="1"/>
  <c r="P5" i="3" s="1"/>
  <c r="O16" i="3" s="1"/>
  <c r="P17" i="3"/>
  <c r="V106" i="7"/>
  <c r="M17" i="6"/>
  <c r="N17" i="6" s="1"/>
  <c r="M25" i="6"/>
  <c r="N25" i="6" s="1"/>
  <c r="M33" i="6"/>
  <c r="N33" i="6" s="1"/>
  <c r="M41" i="6"/>
  <c r="N41" i="6" s="1"/>
  <c r="M49" i="6"/>
  <c r="N49" i="6" s="1"/>
  <c r="M57" i="6"/>
  <c r="N57" i="6" s="1"/>
  <c r="M65" i="6"/>
  <c r="N65" i="6" s="1"/>
  <c r="M73" i="6"/>
  <c r="N73" i="6" s="1"/>
  <c r="M81" i="6"/>
  <c r="N81" i="6" s="1"/>
  <c r="M89" i="6"/>
  <c r="N89" i="6" s="1"/>
  <c r="M97" i="6"/>
  <c r="N97" i="6" s="1"/>
  <c r="M105" i="6"/>
  <c r="N105" i="6" s="1"/>
  <c r="M113" i="6"/>
  <c r="N113" i="6" s="1"/>
  <c r="M121" i="6"/>
  <c r="N121" i="6" s="1"/>
  <c r="M129" i="6"/>
  <c r="N129" i="6" s="1"/>
  <c r="M20" i="6"/>
  <c r="N20" i="6" s="1"/>
  <c r="M52" i="6"/>
  <c r="N52" i="6" s="1"/>
  <c r="M76" i="6"/>
  <c r="N76" i="6" s="1"/>
  <c r="M92" i="6"/>
  <c r="N92" i="6" s="1"/>
  <c r="M108" i="6"/>
  <c r="N108" i="6" s="1"/>
  <c r="M124" i="6"/>
  <c r="N124" i="6" s="1"/>
  <c r="M54" i="6"/>
  <c r="N54" i="6" s="1"/>
  <c r="M94" i="6"/>
  <c r="N94" i="6" s="1"/>
  <c r="M110" i="6"/>
  <c r="N110" i="6" s="1"/>
  <c r="M31" i="6"/>
  <c r="N31" i="6" s="1"/>
  <c r="M63" i="6"/>
  <c r="N63" i="6" s="1"/>
  <c r="M87" i="6"/>
  <c r="N87" i="6" s="1"/>
  <c r="M111" i="6"/>
  <c r="N111" i="6" s="1"/>
  <c r="M32" i="6"/>
  <c r="N32" i="6" s="1"/>
  <c r="M56" i="6"/>
  <c r="N56" i="6" s="1"/>
  <c r="M80" i="6"/>
  <c r="N80" i="6" s="1"/>
  <c r="M112" i="6"/>
  <c r="N112" i="6" s="1"/>
  <c r="M10" i="6"/>
  <c r="N10" i="6" s="1"/>
  <c r="M18" i="6"/>
  <c r="N18" i="6" s="1"/>
  <c r="M26" i="6"/>
  <c r="N26" i="6" s="1"/>
  <c r="M34" i="6"/>
  <c r="N34" i="6" s="1"/>
  <c r="M42" i="6"/>
  <c r="N42" i="6" s="1"/>
  <c r="M50" i="6"/>
  <c r="N50" i="6" s="1"/>
  <c r="M58" i="6"/>
  <c r="N58" i="6" s="1"/>
  <c r="M66" i="6"/>
  <c r="N66" i="6" s="1"/>
  <c r="M74" i="6"/>
  <c r="N74" i="6" s="1"/>
  <c r="M82" i="6"/>
  <c r="N82" i="6" s="1"/>
  <c r="M90" i="6"/>
  <c r="N90" i="6" s="1"/>
  <c r="M98" i="6"/>
  <c r="N98" i="6" s="1"/>
  <c r="M106" i="6"/>
  <c r="N106" i="6" s="1"/>
  <c r="M114" i="6"/>
  <c r="N114" i="6" s="1"/>
  <c r="M122" i="6"/>
  <c r="N122" i="6" s="1"/>
  <c r="M9" i="6"/>
  <c r="N9" i="6" s="1"/>
  <c r="O10" i="6" s="1"/>
  <c r="M12" i="6"/>
  <c r="N12" i="6" s="1"/>
  <c r="M36" i="6"/>
  <c r="N36" i="6" s="1"/>
  <c r="M60" i="6"/>
  <c r="N60" i="6" s="1"/>
  <c r="M84" i="6"/>
  <c r="N84" i="6" s="1"/>
  <c r="M116" i="6"/>
  <c r="N116" i="6" s="1"/>
  <c r="M62" i="6"/>
  <c r="N62" i="6" s="1"/>
  <c r="M126" i="6"/>
  <c r="N126" i="6" s="1"/>
  <c r="M47" i="6"/>
  <c r="N47" i="6" s="1"/>
  <c r="M95" i="6"/>
  <c r="N95" i="6" s="1"/>
  <c r="M16" i="6"/>
  <c r="N16" i="6" s="1"/>
  <c r="M64" i="6"/>
  <c r="N64" i="6" s="1"/>
  <c r="M120" i="6"/>
  <c r="N120" i="6" s="1"/>
  <c r="M11" i="6"/>
  <c r="N11" i="6" s="1"/>
  <c r="M19" i="6"/>
  <c r="N19" i="6" s="1"/>
  <c r="M27" i="6"/>
  <c r="N27" i="6" s="1"/>
  <c r="M35" i="6"/>
  <c r="N35" i="6" s="1"/>
  <c r="M43" i="6"/>
  <c r="N43" i="6" s="1"/>
  <c r="M51" i="6"/>
  <c r="N51" i="6" s="1"/>
  <c r="M59" i="6"/>
  <c r="N59" i="6" s="1"/>
  <c r="M67" i="6"/>
  <c r="N67" i="6" s="1"/>
  <c r="M75" i="6"/>
  <c r="N75" i="6" s="1"/>
  <c r="M83" i="6"/>
  <c r="N83" i="6" s="1"/>
  <c r="M91" i="6"/>
  <c r="N91" i="6" s="1"/>
  <c r="M99" i="6"/>
  <c r="N99" i="6" s="1"/>
  <c r="M107" i="6"/>
  <c r="N107" i="6" s="1"/>
  <c r="M115" i="6"/>
  <c r="N115" i="6" s="1"/>
  <c r="M123" i="6"/>
  <c r="N123" i="6" s="1"/>
  <c r="I9" i="6"/>
  <c r="J9" i="6" s="1"/>
  <c r="K10" i="6" s="1"/>
  <c r="M28" i="6"/>
  <c r="N28" i="6" s="1"/>
  <c r="M44" i="6"/>
  <c r="N44" i="6" s="1"/>
  <c r="M68" i="6"/>
  <c r="N68" i="6" s="1"/>
  <c r="M100" i="6"/>
  <c r="N100" i="6" s="1"/>
  <c r="M78" i="6"/>
  <c r="N78" i="6" s="1"/>
  <c r="M23" i="6"/>
  <c r="N23" i="6" s="1"/>
  <c r="M79" i="6"/>
  <c r="N79" i="6" s="1"/>
  <c r="M119" i="6"/>
  <c r="N119" i="6" s="1"/>
  <c r="M40" i="6"/>
  <c r="N40" i="6" s="1"/>
  <c r="M104" i="6"/>
  <c r="N104" i="6" s="1"/>
  <c r="M55" i="6"/>
  <c r="N55" i="6" s="1"/>
  <c r="M88" i="6"/>
  <c r="N88" i="6" s="1"/>
  <c r="M13" i="6"/>
  <c r="N13" i="6" s="1"/>
  <c r="M21" i="6"/>
  <c r="N21" i="6" s="1"/>
  <c r="M29" i="6"/>
  <c r="N29" i="6" s="1"/>
  <c r="M37" i="6"/>
  <c r="N37" i="6" s="1"/>
  <c r="M45" i="6"/>
  <c r="N45" i="6" s="1"/>
  <c r="M53" i="6"/>
  <c r="N53" i="6" s="1"/>
  <c r="M61" i="6"/>
  <c r="N61" i="6" s="1"/>
  <c r="M69" i="6"/>
  <c r="N69" i="6" s="1"/>
  <c r="M77" i="6"/>
  <c r="N77" i="6" s="1"/>
  <c r="M85" i="6"/>
  <c r="N85" i="6" s="1"/>
  <c r="M93" i="6"/>
  <c r="N93" i="6" s="1"/>
  <c r="M101" i="6"/>
  <c r="N101" i="6" s="1"/>
  <c r="M109" i="6"/>
  <c r="N109" i="6" s="1"/>
  <c r="M117" i="6"/>
  <c r="N117" i="6" s="1"/>
  <c r="M125" i="6"/>
  <c r="N125" i="6" s="1"/>
  <c r="M14" i="6"/>
  <c r="N14" i="6" s="1"/>
  <c r="M22" i="6"/>
  <c r="N22" i="6" s="1"/>
  <c r="M30" i="6"/>
  <c r="N30" i="6" s="1"/>
  <c r="M38" i="6"/>
  <c r="N38" i="6" s="1"/>
  <c r="M46" i="6"/>
  <c r="N46" i="6" s="1"/>
  <c r="M70" i="6"/>
  <c r="N70" i="6" s="1"/>
  <c r="M86" i="6"/>
  <c r="N86" i="6" s="1"/>
  <c r="M102" i="6"/>
  <c r="N102" i="6" s="1"/>
  <c r="M118" i="6"/>
  <c r="N118" i="6" s="1"/>
  <c r="M15" i="6"/>
  <c r="N15" i="6" s="1"/>
  <c r="M39" i="6"/>
  <c r="N39" i="6" s="1"/>
  <c r="M71" i="6"/>
  <c r="N71" i="6" s="1"/>
  <c r="M103" i="6"/>
  <c r="N103" i="6" s="1"/>
  <c r="M127" i="6"/>
  <c r="N127" i="6" s="1"/>
  <c r="M24" i="6"/>
  <c r="N24" i="6" s="1"/>
  <c r="M48" i="6"/>
  <c r="N48" i="6" s="1"/>
  <c r="M72" i="6"/>
  <c r="N72" i="6" s="1"/>
  <c r="M96" i="6"/>
  <c r="N96" i="6" s="1"/>
  <c r="M128" i="6"/>
  <c r="N128" i="6" s="1"/>
  <c r="I17" i="6"/>
  <c r="J17" i="6" s="1"/>
  <c r="I25" i="6"/>
  <c r="J25" i="6" s="1"/>
  <c r="I33" i="6"/>
  <c r="J33" i="6" s="1"/>
  <c r="I41" i="6"/>
  <c r="J41" i="6" s="1"/>
  <c r="I49" i="6"/>
  <c r="J49" i="6" s="1"/>
  <c r="I57" i="6"/>
  <c r="J57" i="6" s="1"/>
  <c r="I65" i="6"/>
  <c r="J65" i="6" s="1"/>
  <c r="I73" i="6"/>
  <c r="J73" i="6" s="1"/>
  <c r="I81" i="6"/>
  <c r="J81" i="6" s="1"/>
  <c r="I89" i="6"/>
  <c r="J89" i="6" s="1"/>
  <c r="I97" i="6"/>
  <c r="J97" i="6" s="1"/>
  <c r="I105" i="6"/>
  <c r="J105" i="6" s="1"/>
  <c r="I113" i="6"/>
  <c r="J113" i="6" s="1"/>
  <c r="I121" i="6"/>
  <c r="J121" i="6" s="1"/>
  <c r="I129" i="6"/>
  <c r="J129" i="6" s="1"/>
  <c r="I28" i="6"/>
  <c r="J28" i="6" s="1"/>
  <c r="I124" i="6"/>
  <c r="J124" i="6" s="1"/>
  <c r="I56" i="6"/>
  <c r="J56" i="6" s="1"/>
  <c r="I128" i="6"/>
  <c r="J128" i="6" s="1"/>
  <c r="I10" i="6"/>
  <c r="J10" i="6" s="1"/>
  <c r="I18" i="6"/>
  <c r="J18" i="6" s="1"/>
  <c r="I26" i="6"/>
  <c r="J26" i="6" s="1"/>
  <c r="I34" i="6"/>
  <c r="J34" i="6" s="1"/>
  <c r="I42" i="6"/>
  <c r="J42" i="6" s="1"/>
  <c r="I50" i="6"/>
  <c r="J50" i="6" s="1"/>
  <c r="I58" i="6"/>
  <c r="J58" i="6" s="1"/>
  <c r="I66" i="6"/>
  <c r="J66" i="6" s="1"/>
  <c r="I74" i="6"/>
  <c r="J74" i="6" s="1"/>
  <c r="I82" i="6"/>
  <c r="J82" i="6" s="1"/>
  <c r="I90" i="6"/>
  <c r="J90" i="6" s="1"/>
  <c r="I98" i="6"/>
  <c r="J98" i="6" s="1"/>
  <c r="I106" i="6"/>
  <c r="J106" i="6" s="1"/>
  <c r="I114" i="6"/>
  <c r="J114" i="6" s="1"/>
  <c r="I122" i="6"/>
  <c r="J122" i="6" s="1"/>
  <c r="I20" i="6"/>
  <c r="J20" i="6" s="1"/>
  <c r="I44" i="6"/>
  <c r="J44" i="6" s="1"/>
  <c r="I60" i="6"/>
  <c r="J60" i="6" s="1"/>
  <c r="I76" i="6"/>
  <c r="J76" i="6" s="1"/>
  <c r="I92" i="6"/>
  <c r="J92" i="6" s="1"/>
  <c r="I108" i="6"/>
  <c r="J108" i="6" s="1"/>
  <c r="I111" i="6"/>
  <c r="J111" i="6" s="1"/>
  <c r="I40" i="6"/>
  <c r="J40" i="6" s="1"/>
  <c r="I96" i="6"/>
  <c r="J96" i="6" s="1"/>
  <c r="I11" i="6"/>
  <c r="J11" i="6" s="1"/>
  <c r="I19" i="6"/>
  <c r="J19" i="6" s="1"/>
  <c r="I27" i="6"/>
  <c r="J27" i="6" s="1"/>
  <c r="I35" i="6"/>
  <c r="J35" i="6" s="1"/>
  <c r="I43" i="6"/>
  <c r="J43" i="6" s="1"/>
  <c r="I51" i="6"/>
  <c r="J51" i="6" s="1"/>
  <c r="I59" i="6"/>
  <c r="J59" i="6" s="1"/>
  <c r="I67" i="6"/>
  <c r="J67" i="6" s="1"/>
  <c r="I75" i="6"/>
  <c r="J75" i="6" s="1"/>
  <c r="I83" i="6"/>
  <c r="J83" i="6" s="1"/>
  <c r="I91" i="6"/>
  <c r="J91" i="6" s="1"/>
  <c r="I99" i="6"/>
  <c r="J99" i="6" s="1"/>
  <c r="I107" i="6"/>
  <c r="J107" i="6" s="1"/>
  <c r="I115" i="6"/>
  <c r="J115" i="6" s="1"/>
  <c r="I123" i="6"/>
  <c r="J123" i="6" s="1"/>
  <c r="I12" i="6"/>
  <c r="J12" i="6" s="1"/>
  <c r="I36" i="6"/>
  <c r="J36" i="6" s="1"/>
  <c r="I52" i="6"/>
  <c r="J52" i="6" s="1"/>
  <c r="I68" i="6"/>
  <c r="J68" i="6" s="1"/>
  <c r="I84" i="6"/>
  <c r="J84" i="6" s="1"/>
  <c r="I100" i="6"/>
  <c r="J100" i="6" s="1"/>
  <c r="I116" i="6"/>
  <c r="J116" i="6" s="1"/>
  <c r="I119" i="6"/>
  <c r="J119" i="6" s="1"/>
  <c r="I32" i="6"/>
  <c r="J32" i="6" s="1"/>
  <c r="I104" i="6"/>
  <c r="J104" i="6" s="1"/>
  <c r="I13" i="6"/>
  <c r="J13" i="6" s="1"/>
  <c r="I21" i="6"/>
  <c r="J21" i="6" s="1"/>
  <c r="I29" i="6"/>
  <c r="J29" i="6" s="1"/>
  <c r="I37" i="6"/>
  <c r="J37" i="6" s="1"/>
  <c r="I45" i="6"/>
  <c r="J45" i="6" s="1"/>
  <c r="I53" i="6"/>
  <c r="J53" i="6" s="1"/>
  <c r="I61" i="6"/>
  <c r="J61" i="6" s="1"/>
  <c r="I69" i="6"/>
  <c r="J69" i="6" s="1"/>
  <c r="I77" i="6"/>
  <c r="J77" i="6" s="1"/>
  <c r="I85" i="6"/>
  <c r="J85" i="6" s="1"/>
  <c r="I93" i="6"/>
  <c r="J93" i="6" s="1"/>
  <c r="I101" i="6"/>
  <c r="J101" i="6" s="1"/>
  <c r="I109" i="6"/>
  <c r="J109" i="6" s="1"/>
  <c r="I117" i="6"/>
  <c r="J117" i="6" s="1"/>
  <c r="I125" i="6"/>
  <c r="J125" i="6" s="1"/>
  <c r="I23" i="6"/>
  <c r="J23" i="6" s="1"/>
  <c r="I39" i="6"/>
  <c r="J39" i="6" s="1"/>
  <c r="I55" i="6"/>
  <c r="J55" i="6" s="1"/>
  <c r="I71" i="6"/>
  <c r="J71" i="6" s="1"/>
  <c r="I87" i="6"/>
  <c r="J87" i="6" s="1"/>
  <c r="I103" i="6"/>
  <c r="J103" i="6" s="1"/>
  <c r="I24" i="6"/>
  <c r="J24" i="6" s="1"/>
  <c r="I64" i="6"/>
  <c r="J64" i="6" s="1"/>
  <c r="I80" i="6"/>
  <c r="J80" i="6" s="1"/>
  <c r="I112" i="6"/>
  <c r="J112" i="6" s="1"/>
  <c r="I14" i="6"/>
  <c r="J14" i="6" s="1"/>
  <c r="I22" i="6"/>
  <c r="J22" i="6" s="1"/>
  <c r="I30" i="6"/>
  <c r="J30" i="6" s="1"/>
  <c r="I38" i="6"/>
  <c r="J38" i="6" s="1"/>
  <c r="I46" i="6"/>
  <c r="J46" i="6" s="1"/>
  <c r="I54" i="6"/>
  <c r="J54" i="6" s="1"/>
  <c r="I62" i="6"/>
  <c r="J62" i="6" s="1"/>
  <c r="I70" i="6"/>
  <c r="J70" i="6" s="1"/>
  <c r="I78" i="6"/>
  <c r="J78" i="6" s="1"/>
  <c r="I86" i="6"/>
  <c r="J86" i="6" s="1"/>
  <c r="I94" i="6"/>
  <c r="J94" i="6" s="1"/>
  <c r="I102" i="6"/>
  <c r="J102" i="6" s="1"/>
  <c r="I110" i="6"/>
  <c r="J110" i="6" s="1"/>
  <c r="I118" i="6"/>
  <c r="J118" i="6" s="1"/>
  <c r="I126" i="6"/>
  <c r="J126" i="6" s="1"/>
  <c r="I15" i="6"/>
  <c r="J15" i="6" s="1"/>
  <c r="I31" i="6"/>
  <c r="J31" i="6" s="1"/>
  <c r="I47" i="6"/>
  <c r="J47" i="6" s="1"/>
  <c r="I63" i="6"/>
  <c r="J63" i="6" s="1"/>
  <c r="I79" i="6"/>
  <c r="J79" i="6" s="1"/>
  <c r="I95" i="6"/>
  <c r="J95" i="6" s="1"/>
  <c r="I127" i="6"/>
  <c r="J127" i="6" s="1"/>
  <c r="I16" i="6"/>
  <c r="J16" i="6" s="1"/>
  <c r="I48" i="6"/>
  <c r="J48" i="6" s="1"/>
  <c r="I72" i="6"/>
  <c r="J72" i="6" s="1"/>
  <c r="I88" i="6"/>
  <c r="J88" i="6" s="1"/>
  <c r="I120" i="6"/>
  <c r="J120" i="6" s="1"/>
  <c r="X37" i="7" l="1"/>
  <c r="AJ37" i="7"/>
  <c r="W38" i="7"/>
  <c r="O15" i="3"/>
  <c r="O14" i="3" s="1"/>
  <c r="O13" i="3" s="1"/>
  <c r="O12" i="3" s="1"/>
  <c r="O11" i="3" s="1"/>
  <c r="O10" i="3" s="1"/>
  <c r="O9" i="3" s="1"/>
  <c r="O8" i="3" s="1"/>
  <c r="O7" i="3" s="1"/>
  <c r="O6" i="3" s="1"/>
  <c r="O5" i="3" s="1"/>
  <c r="N16" i="3" s="1"/>
  <c r="O17" i="3"/>
  <c r="CA5" i="3"/>
  <c r="CA6" i="3" s="1"/>
  <c r="CA7" i="3" s="1"/>
  <c r="CA8" i="3" s="1"/>
  <c r="CA9" i="3" s="1"/>
  <c r="CA10" i="3" s="1"/>
  <c r="CA11" i="3" s="1"/>
  <c r="CA12" i="3" s="1"/>
  <c r="CA13" i="3" s="1"/>
  <c r="CA14" i="3" s="1"/>
  <c r="CA15" i="3" s="1"/>
  <c r="CA16" i="3" s="1"/>
  <c r="BZ17" i="3"/>
  <c r="V107" i="7"/>
  <c r="O11" i="6"/>
  <c r="O12" i="6" s="1"/>
  <c r="O13" i="6" s="1"/>
  <c r="O14" i="6" s="1"/>
  <c r="O15" i="6" s="1"/>
  <c r="O16" i="6" s="1"/>
  <c r="O17" i="6" s="1"/>
  <c r="O18" i="6" s="1"/>
  <c r="O19" i="6" s="1"/>
  <c r="O20" i="6" s="1"/>
  <c r="O21" i="6" s="1"/>
  <c r="O22" i="6" s="1"/>
  <c r="O23" i="6" s="1"/>
  <c r="O24" i="6" s="1"/>
  <c r="O25" i="6" s="1"/>
  <c r="O26" i="6" s="1"/>
  <c r="O27" i="6" s="1"/>
  <c r="O28" i="6" s="1"/>
  <c r="O29" i="6" s="1"/>
  <c r="O30" i="6" s="1"/>
  <c r="O31" i="6" s="1"/>
  <c r="O32" i="6" s="1"/>
  <c r="O33" i="6" s="1"/>
  <c r="O34" i="6" s="1"/>
  <c r="O35" i="6" s="1"/>
  <c r="O36" i="6" s="1"/>
  <c r="O37" i="6" s="1"/>
  <c r="O38" i="6" s="1"/>
  <c r="O39" i="6" s="1"/>
  <c r="O40" i="6" s="1"/>
  <c r="O41" i="6" s="1"/>
  <c r="O42" i="6" s="1"/>
  <c r="O43" i="6" s="1"/>
  <c r="O44" i="6" s="1"/>
  <c r="O45" i="6" s="1"/>
  <c r="O46" i="6" s="1"/>
  <c r="O47" i="6" s="1"/>
  <c r="O48" i="6" s="1"/>
  <c r="O49" i="6" s="1"/>
  <c r="O50" i="6" s="1"/>
  <c r="O51" i="6" s="1"/>
  <c r="O52" i="6" s="1"/>
  <c r="O53" i="6" s="1"/>
  <c r="O54" i="6" s="1"/>
  <c r="O55" i="6" s="1"/>
  <c r="O56" i="6" s="1"/>
  <c r="O57" i="6" s="1"/>
  <c r="O58" i="6" s="1"/>
  <c r="O59" i="6" s="1"/>
  <c r="O60" i="6" s="1"/>
  <c r="O61" i="6" s="1"/>
  <c r="O62" i="6" s="1"/>
  <c r="O63" i="6" s="1"/>
  <c r="O64" i="6" s="1"/>
  <c r="O65" i="6" s="1"/>
  <c r="O66" i="6" s="1"/>
  <c r="O67" i="6" s="1"/>
  <c r="O68" i="6" s="1"/>
  <c r="O69" i="6" s="1"/>
  <c r="O70" i="6" s="1"/>
  <c r="O71" i="6" s="1"/>
  <c r="O72" i="6" s="1"/>
  <c r="O73" i="6" s="1"/>
  <c r="O74" i="6" s="1"/>
  <c r="O75" i="6" s="1"/>
  <c r="O76" i="6" s="1"/>
  <c r="O77" i="6" s="1"/>
  <c r="O78" i="6" s="1"/>
  <c r="O79" i="6" s="1"/>
  <c r="O80" i="6" s="1"/>
  <c r="O81" i="6" s="1"/>
  <c r="O82" i="6" s="1"/>
  <c r="O83" i="6" s="1"/>
  <c r="O84" i="6" s="1"/>
  <c r="O85" i="6" s="1"/>
  <c r="O86" i="6" s="1"/>
  <c r="O87" i="6" s="1"/>
  <c r="O88" i="6" s="1"/>
  <c r="O89" i="6" s="1"/>
  <c r="O90" i="6" s="1"/>
  <c r="O91" i="6" s="1"/>
  <c r="O92" i="6" s="1"/>
  <c r="O93" i="6" s="1"/>
  <c r="O94" i="6" s="1"/>
  <c r="O95" i="6" s="1"/>
  <c r="O96" i="6" s="1"/>
  <c r="O97" i="6" s="1"/>
  <c r="O98" i="6" s="1"/>
  <c r="O99" i="6" s="1"/>
  <c r="O100" i="6" s="1"/>
  <c r="O101" i="6" s="1"/>
  <c r="O102" i="6" s="1"/>
  <c r="O103" i="6" s="1"/>
  <c r="O104" i="6" s="1"/>
  <c r="O105" i="6" s="1"/>
  <c r="O106" i="6" s="1"/>
  <c r="O107" i="6" s="1"/>
  <c r="O108" i="6" s="1"/>
  <c r="O109" i="6" s="1"/>
  <c r="O110" i="6" s="1"/>
  <c r="O111" i="6" s="1"/>
  <c r="O112" i="6" s="1"/>
  <c r="O113" i="6" s="1"/>
  <c r="O114" i="6" s="1"/>
  <c r="O115" i="6" s="1"/>
  <c r="O116" i="6" s="1"/>
  <c r="O117" i="6" s="1"/>
  <c r="O118" i="6" s="1"/>
  <c r="O119" i="6" s="1"/>
  <c r="O120" i="6" s="1"/>
  <c r="O121" i="6" s="1"/>
  <c r="O122" i="6" s="1"/>
  <c r="O123" i="6" s="1"/>
  <c r="O124" i="6" s="1"/>
  <c r="O125" i="6" s="1"/>
  <c r="O126" i="6" s="1"/>
  <c r="O127" i="6" s="1"/>
  <c r="O128" i="6" s="1"/>
  <c r="O129" i="6" s="1"/>
  <c r="K11" i="6"/>
  <c r="K12" i="6" s="1"/>
  <c r="K13" i="6" s="1"/>
  <c r="K14" i="6" s="1"/>
  <c r="K15" i="6" s="1"/>
  <c r="K16" i="6" s="1"/>
  <c r="K17" i="6" s="1"/>
  <c r="K18" i="6" s="1"/>
  <c r="K19" i="6" s="1"/>
  <c r="K20" i="6" s="1"/>
  <c r="K21" i="6" s="1"/>
  <c r="K22" i="6" s="1"/>
  <c r="K23" i="6" s="1"/>
  <c r="K24" i="6" s="1"/>
  <c r="K25" i="6" s="1"/>
  <c r="K26" i="6" s="1"/>
  <c r="K27" i="6" s="1"/>
  <c r="K28" i="6" s="1"/>
  <c r="K29" i="6" s="1"/>
  <c r="K30" i="6" s="1"/>
  <c r="K31" i="6" s="1"/>
  <c r="K32" i="6" s="1"/>
  <c r="K33" i="6" s="1"/>
  <c r="K34" i="6" s="1"/>
  <c r="K35" i="6" s="1"/>
  <c r="K36" i="6" s="1"/>
  <c r="K37" i="6" s="1"/>
  <c r="K38" i="6" s="1"/>
  <c r="K39" i="6" s="1"/>
  <c r="K40" i="6" s="1"/>
  <c r="K41" i="6" s="1"/>
  <c r="K42" i="6" s="1"/>
  <c r="K43" i="6" s="1"/>
  <c r="K44" i="6" s="1"/>
  <c r="K45" i="6" s="1"/>
  <c r="K46" i="6" s="1"/>
  <c r="K47" i="6" s="1"/>
  <c r="K48" i="6" s="1"/>
  <c r="K49" i="6" s="1"/>
  <c r="K50" i="6" s="1"/>
  <c r="K51" i="6" s="1"/>
  <c r="K52" i="6" s="1"/>
  <c r="K53" i="6" s="1"/>
  <c r="K54" i="6" s="1"/>
  <c r="K55" i="6" s="1"/>
  <c r="K56" i="6" s="1"/>
  <c r="K57" i="6" s="1"/>
  <c r="K58" i="6" s="1"/>
  <c r="K59" i="6" s="1"/>
  <c r="K60" i="6" s="1"/>
  <c r="K61" i="6" s="1"/>
  <c r="K62" i="6" s="1"/>
  <c r="K63" i="6" s="1"/>
  <c r="K64" i="6" s="1"/>
  <c r="K65" i="6" s="1"/>
  <c r="K66" i="6" s="1"/>
  <c r="K67" i="6" s="1"/>
  <c r="K68" i="6" s="1"/>
  <c r="K69" i="6" s="1"/>
  <c r="K70" i="6" s="1"/>
  <c r="K71" i="6" s="1"/>
  <c r="K72" i="6" s="1"/>
  <c r="K73" i="6" s="1"/>
  <c r="K74" i="6" s="1"/>
  <c r="K75" i="6" s="1"/>
  <c r="K76" i="6" s="1"/>
  <c r="C4" i="5"/>
  <c r="C3" i="5"/>
  <c r="C1216" i="5"/>
  <c r="X38" i="7" l="1"/>
  <c r="W39" i="7"/>
  <c r="AJ38" i="7"/>
  <c r="N15" i="3"/>
  <c r="N14" i="3" s="1"/>
  <c r="N13" i="3" s="1"/>
  <c r="N12" i="3" s="1"/>
  <c r="N11" i="3" s="1"/>
  <c r="N10" i="3" s="1"/>
  <c r="N9" i="3" s="1"/>
  <c r="N8" i="3" s="1"/>
  <c r="N7" i="3" s="1"/>
  <c r="N6" i="3" s="1"/>
  <c r="N5" i="3" s="1"/>
  <c r="M16" i="3" s="1"/>
  <c r="N17" i="3"/>
  <c r="CB5" i="3"/>
  <c r="CB6" i="3" s="1"/>
  <c r="CB7" i="3" s="1"/>
  <c r="CB8" i="3" s="1"/>
  <c r="CB9" i="3" s="1"/>
  <c r="CB10" i="3" s="1"/>
  <c r="CB11" i="3" s="1"/>
  <c r="CB12" i="3" s="1"/>
  <c r="CB13" i="3" s="1"/>
  <c r="CB14" i="3" s="1"/>
  <c r="CB15" i="3" s="1"/>
  <c r="CB16" i="3" s="1"/>
  <c r="CA17" i="3"/>
  <c r="V108" i="7"/>
  <c r="K77" i="6"/>
  <c r="K78" i="6" s="1"/>
  <c r="K79" i="6" s="1"/>
  <c r="K80" i="6" s="1"/>
  <c r="K81" i="6" s="1"/>
  <c r="K82" i="6" s="1"/>
  <c r="K83" i="6" s="1"/>
  <c r="K84" i="6" s="1"/>
  <c r="K85" i="6" s="1"/>
  <c r="K86" i="6" s="1"/>
  <c r="K87" i="6" s="1"/>
  <c r="K88" i="6" s="1"/>
  <c r="K89" i="6" s="1"/>
  <c r="K90" i="6" s="1"/>
  <c r="K91" i="6" s="1"/>
  <c r="K92" i="6" s="1"/>
  <c r="K93" i="6" s="1"/>
  <c r="K94" i="6" s="1"/>
  <c r="K95" i="6" s="1"/>
  <c r="K96" i="6" s="1"/>
  <c r="K97" i="6" s="1"/>
  <c r="K98" i="6" s="1"/>
  <c r="K99" i="6" s="1"/>
  <c r="K100" i="6" s="1"/>
  <c r="K101" i="6" s="1"/>
  <c r="K102" i="6" s="1"/>
  <c r="K103" i="6" s="1"/>
  <c r="K104" i="6" s="1"/>
  <c r="K105" i="6" s="1"/>
  <c r="K106" i="6" s="1"/>
  <c r="K107" i="6" s="1"/>
  <c r="K108" i="6" s="1"/>
  <c r="K109" i="6" s="1"/>
  <c r="K110" i="6" s="1"/>
  <c r="K111" i="6" s="1"/>
  <c r="K112" i="6" s="1"/>
  <c r="K113" i="6" s="1"/>
  <c r="K114" i="6" s="1"/>
  <c r="K115" i="6" s="1"/>
  <c r="K116" i="6" s="1"/>
  <c r="K117" i="6" s="1"/>
  <c r="K118" i="6" s="1"/>
  <c r="K119" i="6" s="1"/>
  <c r="K120" i="6" s="1"/>
  <c r="K121" i="6" s="1"/>
  <c r="K122" i="6" s="1"/>
  <c r="K123" i="6" s="1"/>
  <c r="K124" i="6" s="1"/>
  <c r="K125" i="6" s="1"/>
  <c r="K126" i="6" s="1"/>
  <c r="K127" i="6" s="1"/>
  <c r="K128" i="6" s="1"/>
  <c r="K129" i="6" s="1"/>
  <c r="D1216" i="5"/>
  <c r="X39" i="7" l="1"/>
  <c r="AJ39" i="7"/>
  <c r="W40" i="7"/>
  <c r="M15" i="3"/>
  <c r="M14" i="3" s="1"/>
  <c r="M13" i="3" s="1"/>
  <c r="M12" i="3" s="1"/>
  <c r="M11" i="3" s="1"/>
  <c r="M10" i="3" s="1"/>
  <c r="M9" i="3" s="1"/>
  <c r="M8" i="3" s="1"/>
  <c r="M7" i="3" s="1"/>
  <c r="M6" i="3" s="1"/>
  <c r="M5" i="3" s="1"/>
  <c r="L16" i="3" s="1"/>
  <c r="M17" i="3" s="1"/>
  <c r="CC5" i="3"/>
  <c r="CC6" i="3" s="1"/>
  <c r="CC7" i="3" s="1"/>
  <c r="CC8" i="3" s="1"/>
  <c r="CC9" i="3" s="1"/>
  <c r="CC10" i="3" s="1"/>
  <c r="CC11" i="3" s="1"/>
  <c r="CC12" i="3" s="1"/>
  <c r="CC13" i="3" s="1"/>
  <c r="CC14" i="3" s="1"/>
  <c r="CC15" i="3" s="1"/>
  <c r="CC16" i="3" s="1"/>
  <c r="CB17" i="3"/>
  <c r="V109" i="7"/>
  <c r="G1216" i="5"/>
  <c r="X40" i="7" l="1"/>
  <c r="W41" i="7"/>
  <c r="AJ40" i="7"/>
  <c r="CD5" i="3"/>
  <c r="CD6" i="3" s="1"/>
  <c r="CD7" i="3" s="1"/>
  <c r="CD8" i="3" s="1"/>
  <c r="CD9" i="3" s="1"/>
  <c r="CD10" i="3" s="1"/>
  <c r="CD11" i="3" s="1"/>
  <c r="CD12" i="3" s="1"/>
  <c r="CD13" i="3" s="1"/>
  <c r="CD14" i="3" s="1"/>
  <c r="CD15" i="3" s="1"/>
  <c r="CD16" i="3" s="1"/>
  <c r="CC17" i="3"/>
  <c r="L15" i="3"/>
  <c r="L14" i="3" s="1"/>
  <c r="L13" i="3" s="1"/>
  <c r="L12" i="3" s="1"/>
  <c r="L11" i="3" s="1"/>
  <c r="L10" i="3" s="1"/>
  <c r="L9" i="3" s="1"/>
  <c r="L8" i="3" s="1"/>
  <c r="L7" i="3" s="1"/>
  <c r="L6" i="3" s="1"/>
  <c r="L5" i="3" s="1"/>
  <c r="K16" i="3" s="1"/>
  <c r="L17" i="3" s="1"/>
  <c r="V110" i="7"/>
  <c r="AH17" i="1"/>
  <c r="AI16" i="1"/>
  <c r="AH16" i="1" s="1"/>
  <c r="AI15" i="1"/>
  <c r="AH15" i="1" s="1"/>
  <c r="AI14" i="1"/>
  <c r="AH14" i="1" s="1"/>
  <c r="AI13" i="1"/>
  <c r="AH13" i="1" s="1"/>
  <c r="AS26" i="3"/>
  <c r="AT26" i="3" s="1"/>
  <c r="AU26" i="3" s="1"/>
  <c r="AV26" i="3" s="1"/>
  <c r="AW26" i="3" s="1"/>
  <c r="X41" i="7" l="1"/>
  <c r="AJ41" i="7"/>
  <c r="W42" i="7"/>
  <c r="K15" i="3"/>
  <c r="K14" i="3" s="1"/>
  <c r="K13" i="3" s="1"/>
  <c r="K12" i="3" s="1"/>
  <c r="K11" i="3" s="1"/>
  <c r="K10" i="3" s="1"/>
  <c r="K9" i="3" s="1"/>
  <c r="K8" i="3" s="1"/>
  <c r="K7" i="3" s="1"/>
  <c r="K6" i="3" s="1"/>
  <c r="K5" i="3" s="1"/>
  <c r="J16" i="3" s="1"/>
  <c r="K17" i="3"/>
  <c r="CE5" i="3"/>
  <c r="CE6" i="3" s="1"/>
  <c r="CE7" i="3" s="1"/>
  <c r="CE8" i="3" s="1"/>
  <c r="CE9" i="3" s="1"/>
  <c r="CE10" i="3" s="1"/>
  <c r="CE11" i="3" s="1"/>
  <c r="CE12" i="3" s="1"/>
  <c r="CE13" i="3" s="1"/>
  <c r="CE14" i="3" s="1"/>
  <c r="CE15" i="3" s="1"/>
  <c r="CE16" i="3" s="1"/>
  <c r="CD17" i="3"/>
  <c r="V111" i="7"/>
  <c r="AX26" i="3"/>
  <c r="AY26" i="3" s="1"/>
  <c r="AZ26" i="3" s="1"/>
  <c r="BA26" i="3" s="1"/>
  <c r="BB26" i="3" s="1"/>
  <c r="BC26" i="3" s="1"/>
  <c r="BD26" i="3" s="1"/>
  <c r="BE26" i="3" s="1"/>
  <c r="BF26" i="3" s="1"/>
  <c r="BG26" i="3" s="1"/>
  <c r="BH26" i="3" s="1"/>
  <c r="BI26" i="3" s="1"/>
  <c r="BJ26" i="3" s="1"/>
  <c r="BK26" i="3" s="1"/>
  <c r="BL26" i="3" s="1"/>
  <c r="BM26" i="3" s="1"/>
  <c r="BN26" i="3" s="1"/>
  <c r="BO26" i="3" s="1"/>
  <c r="BP26" i="3" s="1"/>
  <c r="BQ26" i="3" s="1"/>
  <c r="BR26" i="3" s="1"/>
  <c r="BS26" i="3" s="1"/>
  <c r="BT26" i="3" s="1"/>
  <c r="BU26" i="3" s="1"/>
  <c r="BV26" i="3" s="1"/>
  <c r="BW26" i="3" s="1"/>
  <c r="BX26" i="3" s="1"/>
  <c r="BY26" i="3" s="1"/>
  <c r="BZ26" i="3" s="1"/>
  <c r="CA26" i="3" s="1"/>
  <c r="CB26" i="3" s="1"/>
  <c r="CC26" i="3" s="1"/>
  <c r="CD26" i="3" s="1"/>
  <c r="CE26" i="3" s="1"/>
  <c r="CF26" i="3" s="1"/>
  <c r="CG26" i="3" s="1"/>
  <c r="CH26" i="3" s="1"/>
  <c r="CI26" i="3" s="1"/>
  <c r="CJ26" i="3" s="1"/>
  <c r="CK26" i="3" s="1"/>
  <c r="CL26" i="3" s="1"/>
  <c r="CM26" i="3" s="1"/>
  <c r="CN26" i="3" s="1"/>
  <c r="CO26" i="3" s="1"/>
  <c r="CP26" i="3" s="1"/>
  <c r="CQ26" i="3" s="1"/>
  <c r="CR26" i="3" s="1"/>
  <c r="CS26" i="3" s="1"/>
  <c r="CT26" i="3" s="1"/>
  <c r="CU26" i="3" s="1"/>
  <c r="CV26" i="3" s="1"/>
  <c r="CW26" i="3" s="1"/>
  <c r="CX26" i="3" s="1"/>
  <c r="CY26" i="3" s="1"/>
  <c r="CZ26" i="3" s="1"/>
  <c r="DA26" i="3" s="1"/>
  <c r="DB26" i="3" s="1"/>
  <c r="DC26" i="3" s="1"/>
  <c r="DD26" i="3" s="1"/>
  <c r="DE26" i="3" s="1"/>
  <c r="DF26" i="3" s="1"/>
  <c r="DG26" i="3" s="1"/>
  <c r="DH26" i="3" s="1"/>
  <c r="DI26" i="3" s="1"/>
  <c r="DJ26" i="3" s="1"/>
  <c r="DK26" i="3" s="1"/>
  <c r="DL26" i="3" s="1"/>
  <c r="DM26" i="3" s="1"/>
  <c r="AN21" i="3"/>
  <c r="AO21" i="3" s="1"/>
  <c r="AP21" i="3" s="1"/>
  <c r="AQ21" i="3" s="1"/>
  <c r="AR21" i="3" s="1"/>
  <c r="X42" i="7" l="1"/>
  <c r="AJ42" i="7"/>
  <c r="W43" i="7"/>
  <c r="CF5" i="3"/>
  <c r="CF6" i="3" s="1"/>
  <c r="CF7" i="3" s="1"/>
  <c r="CF8" i="3" s="1"/>
  <c r="CF9" i="3" s="1"/>
  <c r="CF10" i="3" s="1"/>
  <c r="CF11" i="3" s="1"/>
  <c r="CF12" i="3" s="1"/>
  <c r="CF13" i="3" s="1"/>
  <c r="CF14" i="3" s="1"/>
  <c r="CF15" i="3" s="1"/>
  <c r="CF16" i="3" s="1"/>
  <c r="CE17" i="3"/>
  <c r="J15" i="3"/>
  <c r="J14" i="3" s="1"/>
  <c r="J13" i="3" s="1"/>
  <c r="J12" i="3" s="1"/>
  <c r="J11" i="3" s="1"/>
  <c r="J10" i="3" s="1"/>
  <c r="J9" i="3" s="1"/>
  <c r="J8" i="3" s="1"/>
  <c r="J7" i="3" s="1"/>
  <c r="J6" i="3" s="1"/>
  <c r="J5" i="3" s="1"/>
  <c r="I16" i="3" s="1"/>
  <c r="J17" i="3"/>
  <c r="V112" i="7"/>
  <c r="AS21" i="3"/>
  <c r="AT21" i="3" s="1"/>
  <c r="AU21" i="3" s="1"/>
  <c r="AV21" i="3" s="1"/>
  <c r="AW21" i="3" s="1"/>
  <c r="AX21" i="3" s="1"/>
  <c r="AY21" i="3" s="1"/>
  <c r="AZ21" i="3" s="1"/>
  <c r="BA21" i="3" s="1"/>
  <c r="BB21" i="3" s="1"/>
  <c r="BC21" i="3" s="1"/>
  <c r="BD21" i="3" s="1"/>
  <c r="BE21" i="3" s="1"/>
  <c r="BF21" i="3" s="1"/>
  <c r="X43" i="7" l="1"/>
  <c r="AJ43" i="7"/>
  <c r="W44" i="7"/>
  <c r="I15" i="3"/>
  <c r="I14" i="3" s="1"/>
  <c r="I13" i="3" s="1"/>
  <c r="I12" i="3" s="1"/>
  <c r="I11" i="3" s="1"/>
  <c r="I10" i="3" s="1"/>
  <c r="I9" i="3" s="1"/>
  <c r="I8" i="3" s="1"/>
  <c r="I7" i="3" s="1"/>
  <c r="I6" i="3" s="1"/>
  <c r="I5" i="3" s="1"/>
  <c r="H16" i="3" s="1"/>
  <c r="I17" i="3"/>
  <c r="CG5" i="3"/>
  <c r="CG6" i="3" s="1"/>
  <c r="CG7" i="3" s="1"/>
  <c r="CG8" i="3" s="1"/>
  <c r="CG9" i="3" s="1"/>
  <c r="CG10" i="3" s="1"/>
  <c r="CG11" i="3" s="1"/>
  <c r="CG12" i="3" s="1"/>
  <c r="CG13" i="3" s="1"/>
  <c r="CG14" i="3" s="1"/>
  <c r="CG15" i="3" s="1"/>
  <c r="CG16" i="3" s="1"/>
  <c r="CF17" i="3"/>
  <c r="V113" i="7"/>
  <c r="BE22" i="3"/>
  <c r="BD22" i="3"/>
  <c r="BF22" i="3"/>
  <c r="BG21" i="3"/>
  <c r="BH21" i="3" s="1"/>
  <c r="BI21" i="3" s="1"/>
  <c r="BJ21" i="3" s="1"/>
  <c r="BK21" i="3" s="1"/>
  <c r="BL21" i="3" s="1"/>
  <c r="BM21" i="3" s="1"/>
  <c r="BN21" i="3" s="1"/>
  <c r="BO21" i="3" s="1"/>
  <c r="BP21" i="3" s="1"/>
  <c r="BQ21" i="3" s="1"/>
  <c r="BR21" i="3" s="1"/>
  <c r="BS21" i="3" s="1"/>
  <c r="BT21" i="3" s="1"/>
  <c r="BU21" i="3" s="1"/>
  <c r="BV21" i="3" s="1"/>
  <c r="BW21" i="3" s="1"/>
  <c r="BX21" i="3" s="1"/>
  <c r="BY21" i="3" s="1"/>
  <c r="BZ21" i="3" s="1"/>
  <c r="CA21" i="3" s="1"/>
  <c r="CB21" i="3" s="1"/>
  <c r="CC21" i="3" s="1"/>
  <c r="CD21" i="3" s="1"/>
  <c r="CE21" i="3" s="1"/>
  <c r="CF21" i="3" s="1"/>
  <c r="CG21" i="3" s="1"/>
  <c r="CH21" i="3" s="1"/>
  <c r="CI21" i="3" s="1"/>
  <c r="CJ21" i="3" s="1"/>
  <c r="CK21" i="3" s="1"/>
  <c r="CL21" i="3" s="1"/>
  <c r="CM21" i="3" s="1"/>
  <c r="CN21" i="3" s="1"/>
  <c r="CO21" i="3" s="1"/>
  <c r="CP21" i="3" s="1"/>
  <c r="CQ21" i="3" s="1"/>
  <c r="CR21" i="3" s="1"/>
  <c r="CS21" i="3" s="1"/>
  <c r="CT21" i="3" s="1"/>
  <c r="CU21" i="3" s="1"/>
  <c r="CV21" i="3" s="1"/>
  <c r="CW21" i="3" s="1"/>
  <c r="CX21" i="3" s="1"/>
  <c r="CY21" i="3" s="1"/>
  <c r="CZ21" i="3" s="1"/>
  <c r="DA21" i="3" s="1"/>
  <c r="DB21" i="3" s="1"/>
  <c r="DC21" i="3" s="1"/>
  <c r="DD21" i="3" s="1"/>
  <c r="DE21" i="3" s="1"/>
  <c r="DF21" i="3" s="1"/>
  <c r="DG21" i="3" s="1"/>
  <c r="DH21" i="3" s="1"/>
  <c r="DI21" i="3" s="1"/>
  <c r="DJ21" i="3" s="1"/>
  <c r="DK21" i="3" s="1"/>
  <c r="DL21" i="3" s="1"/>
  <c r="DM21" i="3" s="1"/>
  <c r="X44" i="7" l="1"/>
  <c r="W45" i="7"/>
  <c r="AJ44" i="7"/>
  <c r="CH5" i="3"/>
  <c r="CH6" i="3" s="1"/>
  <c r="CH7" i="3" s="1"/>
  <c r="CH8" i="3" s="1"/>
  <c r="CH9" i="3" s="1"/>
  <c r="CH10" i="3" s="1"/>
  <c r="CH11" i="3" s="1"/>
  <c r="CH12" i="3" s="1"/>
  <c r="CH13" i="3" s="1"/>
  <c r="CH14" i="3" s="1"/>
  <c r="CH15" i="3" s="1"/>
  <c r="CH16" i="3" s="1"/>
  <c r="CG17" i="3"/>
  <c r="H15" i="3"/>
  <c r="H14" i="3" s="1"/>
  <c r="H13" i="3" s="1"/>
  <c r="H12" i="3" s="1"/>
  <c r="H11" i="3" s="1"/>
  <c r="H10" i="3" s="1"/>
  <c r="H9" i="3" s="1"/>
  <c r="H8" i="3" s="1"/>
  <c r="H7" i="3" s="1"/>
  <c r="H6" i="3" s="1"/>
  <c r="H5" i="3" s="1"/>
  <c r="G16" i="3" s="1"/>
  <c r="H17" i="3"/>
  <c r="V114" i="7"/>
  <c r="R2" i="1"/>
  <c r="X45" i="7" l="1"/>
  <c r="AJ45" i="7"/>
  <c r="W46" i="7"/>
  <c r="G15" i="3"/>
  <c r="G14" i="3" s="1"/>
  <c r="G13" i="3" s="1"/>
  <c r="G12" i="3" s="1"/>
  <c r="G11" i="3" s="1"/>
  <c r="G10" i="3" s="1"/>
  <c r="G9" i="3" s="1"/>
  <c r="G8" i="3" s="1"/>
  <c r="G7" i="3" s="1"/>
  <c r="G6" i="3" s="1"/>
  <c r="G5" i="3" s="1"/>
  <c r="F16" i="3" s="1"/>
  <c r="G17" i="3"/>
  <c r="CI5" i="3"/>
  <c r="CI6" i="3" s="1"/>
  <c r="CI7" i="3" s="1"/>
  <c r="CI8" i="3" s="1"/>
  <c r="CI9" i="3" s="1"/>
  <c r="CI10" i="3" s="1"/>
  <c r="CI11" i="3" s="1"/>
  <c r="CI12" i="3" s="1"/>
  <c r="CI13" i="3" s="1"/>
  <c r="CI14" i="3" s="1"/>
  <c r="CI15" i="3" s="1"/>
  <c r="CI16" i="3" s="1"/>
  <c r="CH17" i="3"/>
  <c r="V115" i="7"/>
  <c r="AH11" i="1"/>
  <c r="AH9" i="1"/>
  <c r="AH8" i="1" s="1"/>
  <c r="AH12" i="1"/>
  <c r="AH10" i="1"/>
  <c r="X46" i="7" l="1"/>
  <c r="W47" i="7"/>
  <c r="AJ46" i="7"/>
  <c r="CJ5" i="3"/>
  <c r="CJ6" i="3" s="1"/>
  <c r="CJ7" i="3" s="1"/>
  <c r="CJ8" i="3" s="1"/>
  <c r="CJ9" i="3" s="1"/>
  <c r="CJ10" i="3" s="1"/>
  <c r="CJ11" i="3" s="1"/>
  <c r="CJ12" i="3" s="1"/>
  <c r="CJ13" i="3" s="1"/>
  <c r="CJ14" i="3" s="1"/>
  <c r="CJ15" i="3" s="1"/>
  <c r="CJ16" i="3" s="1"/>
  <c r="CI17" i="3"/>
  <c r="F15" i="3"/>
  <c r="F14" i="3" s="1"/>
  <c r="F13" i="3" s="1"/>
  <c r="F12" i="3" s="1"/>
  <c r="F11" i="3" s="1"/>
  <c r="F10" i="3" s="1"/>
  <c r="F9" i="3" s="1"/>
  <c r="F8" i="3" s="1"/>
  <c r="F7" i="3" s="1"/>
  <c r="F6" i="3" s="1"/>
  <c r="F5" i="3" s="1"/>
  <c r="E16" i="3" s="1"/>
  <c r="V116" i="7"/>
  <c r="AH7" i="1"/>
  <c r="AI8" i="1"/>
  <c r="X47" i="7" l="1"/>
  <c r="AJ47" i="7"/>
  <c r="W48" i="7"/>
  <c r="E15" i="3"/>
  <c r="E14" i="3" s="1"/>
  <c r="E13" i="3" s="1"/>
  <c r="E12" i="3" s="1"/>
  <c r="E11" i="3" s="1"/>
  <c r="E10" i="3" s="1"/>
  <c r="E9" i="3" s="1"/>
  <c r="E8" i="3" s="1"/>
  <c r="E7" i="3" s="1"/>
  <c r="E6" i="3" s="1"/>
  <c r="E5" i="3" s="1"/>
  <c r="D16" i="3" s="1"/>
  <c r="E17" i="3"/>
  <c r="F17" i="3"/>
  <c r="CK5" i="3"/>
  <c r="CK6" i="3" s="1"/>
  <c r="CK7" i="3" s="1"/>
  <c r="CK8" i="3" s="1"/>
  <c r="CK9" i="3" s="1"/>
  <c r="CK10" i="3" s="1"/>
  <c r="CK11" i="3" s="1"/>
  <c r="CK12" i="3" s="1"/>
  <c r="CK13" i="3" s="1"/>
  <c r="CK14" i="3" s="1"/>
  <c r="CK15" i="3" s="1"/>
  <c r="CK16" i="3" s="1"/>
  <c r="CJ17" i="3"/>
  <c r="V117" i="7"/>
  <c r="AH6" i="1"/>
  <c r="AI7" i="1"/>
  <c r="X48" i="7" l="1"/>
  <c r="W49" i="7"/>
  <c r="AJ48" i="7"/>
  <c r="CL5" i="3"/>
  <c r="CL6" i="3" s="1"/>
  <c r="CL7" i="3" s="1"/>
  <c r="CL8" i="3" s="1"/>
  <c r="CL9" i="3" s="1"/>
  <c r="CL10" i="3" s="1"/>
  <c r="CL11" i="3" s="1"/>
  <c r="CL12" i="3" s="1"/>
  <c r="CL13" i="3" s="1"/>
  <c r="CL14" i="3" s="1"/>
  <c r="CL15" i="3" s="1"/>
  <c r="CL16" i="3" s="1"/>
  <c r="CK17" i="3"/>
  <c r="D15" i="3"/>
  <c r="D14" i="3" s="1"/>
  <c r="D13" i="3" s="1"/>
  <c r="D12" i="3" s="1"/>
  <c r="D11" i="3" s="1"/>
  <c r="D10" i="3" s="1"/>
  <c r="D9" i="3" s="1"/>
  <c r="D8" i="3" s="1"/>
  <c r="D7" i="3" s="1"/>
  <c r="D6" i="3" s="1"/>
  <c r="D5" i="3" s="1"/>
  <c r="C16" i="3" s="1"/>
  <c r="D17" i="3"/>
  <c r="V118" i="7"/>
  <c r="AH5" i="1"/>
  <c r="AI6" i="1"/>
  <c r="X49" i="7" l="1"/>
  <c r="AJ49" i="7"/>
  <c r="W50" i="7"/>
  <c r="C15" i="3"/>
  <c r="C14" i="3" s="1"/>
  <c r="C13" i="3" s="1"/>
  <c r="C12" i="3" s="1"/>
  <c r="C11" i="3" s="1"/>
  <c r="C10" i="3" s="1"/>
  <c r="C9" i="3" s="1"/>
  <c r="C8" i="3" s="1"/>
  <c r="C7" i="3" s="1"/>
  <c r="C6" i="3" s="1"/>
  <c r="C5" i="3" s="1"/>
  <c r="B16" i="3" s="1"/>
  <c r="B15" i="3" s="1"/>
  <c r="B14" i="3" s="1"/>
  <c r="B13" i="3" s="1"/>
  <c r="B12" i="3" s="1"/>
  <c r="B11" i="3" s="1"/>
  <c r="B10" i="3" s="1"/>
  <c r="B9" i="3" s="1"/>
  <c r="B8" i="3" s="1"/>
  <c r="B7" i="3" s="1"/>
  <c r="B6" i="3" s="1"/>
  <c r="B5" i="3" s="1"/>
  <c r="C17" i="3"/>
  <c r="CM5" i="3"/>
  <c r="CM6" i="3" s="1"/>
  <c r="CM7" i="3" s="1"/>
  <c r="CM8" i="3" s="1"/>
  <c r="CM9" i="3" s="1"/>
  <c r="CM10" i="3" s="1"/>
  <c r="CM11" i="3" s="1"/>
  <c r="CM12" i="3" s="1"/>
  <c r="CM13" i="3" s="1"/>
  <c r="CM14" i="3" s="1"/>
  <c r="CM15" i="3" s="1"/>
  <c r="CM16" i="3" s="1"/>
  <c r="CL17" i="3"/>
  <c r="V119" i="7"/>
  <c r="AH4" i="1"/>
  <c r="AI5" i="1"/>
  <c r="X50" i="7" l="1"/>
  <c r="AJ50" i="7"/>
  <c r="W51" i="7"/>
  <c r="CN5" i="3"/>
  <c r="CN6" i="3" s="1"/>
  <c r="CN7" i="3" s="1"/>
  <c r="CN8" i="3" s="1"/>
  <c r="CN9" i="3" s="1"/>
  <c r="CN10" i="3" s="1"/>
  <c r="CN11" i="3" s="1"/>
  <c r="CN12" i="3" s="1"/>
  <c r="CN13" i="3" s="1"/>
  <c r="CN14" i="3" s="1"/>
  <c r="CN15" i="3" s="1"/>
  <c r="CN16" i="3" s="1"/>
  <c r="CM17" i="3"/>
  <c r="V120" i="7"/>
  <c r="AH3" i="1"/>
  <c r="AI3" i="1" s="1"/>
  <c r="AI4" i="1"/>
  <c r="X51" i="7" l="1"/>
  <c r="AJ51" i="7"/>
  <c r="W52" i="7"/>
  <c r="CO5" i="3"/>
  <c r="CO6" i="3" s="1"/>
  <c r="CO7" i="3" s="1"/>
  <c r="CO8" i="3" s="1"/>
  <c r="CO9" i="3" s="1"/>
  <c r="CO10" i="3" s="1"/>
  <c r="CO11" i="3" s="1"/>
  <c r="CO12" i="3" s="1"/>
  <c r="CO13" i="3" s="1"/>
  <c r="CO14" i="3" s="1"/>
  <c r="CO15" i="3" s="1"/>
  <c r="CO16" i="3" s="1"/>
  <c r="CN17" i="3"/>
  <c r="V121" i="7"/>
  <c r="K1066" i="27"/>
  <c r="K1065" i="27"/>
  <c r="X52" i="7" l="1"/>
  <c r="W53" i="7"/>
  <c r="AJ52" i="7"/>
  <c r="CP5" i="3"/>
  <c r="CP6" i="3" s="1"/>
  <c r="CP7" i="3" s="1"/>
  <c r="CP8" i="3" s="1"/>
  <c r="CP9" i="3" s="1"/>
  <c r="CP10" i="3" s="1"/>
  <c r="CP11" i="3" s="1"/>
  <c r="CP12" i="3" s="1"/>
  <c r="CP13" i="3" s="1"/>
  <c r="CP14" i="3" s="1"/>
  <c r="CP15" i="3" s="1"/>
  <c r="CP16" i="3" s="1"/>
  <c r="CO17" i="3"/>
  <c r="V122" i="7"/>
  <c r="K1064" i="27"/>
  <c r="X53" i="7" l="1"/>
  <c r="AJ53" i="7"/>
  <c r="W54" i="7"/>
  <c r="CQ5" i="3"/>
  <c r="CQ6" i="3" s="1"/>
  <c r="CQ7" i="3" s="1"/>
  <c r="CQ8" i="3" s="1"/>
  <c r="CQ9" i="3" s="1"/>
  <c r="CQ10" i="3" s="1"/>
  <c r="CQ11" i="3" s="1"/>
  <c r="CQ12" i="3" s="1"/>
  <c r="CQ13" i="3" s="1"/>
  <c r="CQ14" i="3" s="1"/>
  <c r="CQ15" i="3" s="1"/>
  <c r="CQ16" i="3" s="1"/>
  <c r="CP17" i="3"/>
  <c r="V123" i="7"/>
  <c r="K1063" i="27"/>
  <c r="X54" i="7" l="1"/>
  <c r="W55" i="7"/>
  <c r="AJ54" i="7"/>
  <c r="CR5" i="3"/>
  <c r="CR6" i="3" s="1"/>
  <c r="CR7" i="3" s="1"/>
  <c r="CR8" i="3" s="1"/>
  <c r="CR9" i="3" s="1"/>
  <c r="CR10" i="3" s="1"/>
  <c r="CR11" i="3" s="1"/>
  <c r="CR12" i="3" s="1"/>
  <c r="CR13" i="3" s="1"/>
  <c r="CR14" i="3" s="1"/>
  <c r="CR15" i="3" s="1"/>
  <c r="CR16" i="3" s="1"/>
  <c r="CQ17" i="3"/>
  <c r="V124" i="7"/>
  <c r="K1062" i="27"/>
  <c r="X55" i="7" l="1"/>
  <c r="AJ55" i="7"/>
  <c r="W56" i="7"/>
  <c r="CS5" i="3"/>
  <c r="CS6" i="3" s="1"/>
  <c r="CS7" i="3" s="1"/>
  <c r="CS8" i="3" s="1"/>
  <c r="CS9" i="3" s="1"/>
  <c r="CS10" i="3" s="1"/>
  <c r="CS11" i="3" s="1"/>
  <c r="CS12" i="3" s="1"/>
  <c r="CS13" i="3" s="1"/>
  <c r="CS14" i="3" s="1"/>
  <c r="CS15" i="3" s="1"/>
  <c r="CS16" i="3" s="1"/>
  <c r="CR17" i="3"/>
  <c r="V125" i="7"/>
  <c r="K1061" i="27"/>
  <c r="X56" i="7" l="1"/>
  <c r="AJ56" i="7"/>
  <c r="W57" i="7"/>
  <c r="CT5" i="3"/>
  <c r="CT6" i="3" s="1"/>
  <c r="CT7" i="3" s="1"/>
  <c r="CT8" i="3" s="1"/>
  <c r="CT9" i="3" s="1"/>
  <c r="CT10" i="3" s="1"/>
  <c r="CT11" i="3" s="1"/>
  <c r="CT12" i="3" s="1"/>
  <c r="CT13" i="3" s="1"/>
  <c r="CT14" i="3" s="1"/>
  <c r="CT15" i="3" s="1"/>
  <c r="CT16" i="3" s="1"/>
  <c r="CS17" i="3"/>
  <c r="V126" i="7"/>
  <c r="K1060" i="27"/>
  <c r="X57" i="7" l="1"/>
  <c r="AJ57" i="7"/>
  <c r="W58" i="7"/>
  <c r="CU5" i="3"/>
  <c r="CU6" i="3" s="1"/>
  <c r="CU7" i="3" s="1"/>
  <c r="CU8" i="3" s="1"/>
  <c r="CU9" i="3" s="1"/>
  <c r="CU10" i="3" s="1"/>
  <c r="CU11" i="3" s="1"/>
  <c r="CU12" i="3" s="1"/>
  <c r="CU13" i="3" s="1"/>
  <c r="CU14" i="3" s="1"/>
  <c r="CU15" i="3" s="1"/>
  <c r="CU16" i="3" s="1"/>
  <c r="CT17" i="3"/>
  <c r="V127" i="7"/>
  <c r="K1059" i="27"/>
  <c r="X58" i="7" l="1"/>
  <c r="AJ58" i="7"/>
  <c r="W59" i="7"/>
  <c r="CV5" i="3"/>
  <c r="CV6" i="3" s="1"/>
  <c r="CV7" i="3" s="1"/>
  <c r="CV8" i="3" s="1"/>
  <c r="CV9" i="3" s="1"/>
  <c r="CV10" i="3" s="1"/>
  <c r="CV11" i="3" s="1"/>
  <c r="CV12" i="3" s="1"/>
  <c r="CV13" i="3" s="1"/>
  <c r="CV14" i="3" s="1"/>
  <c r="CV15" i="3" s="1"/>
  <c r="CV16" i="3" s="1"/>
  <c r="CU17" i="3"/>
  <c r="V128" i="7"/>
  <c r="K1058" i="27"/>
  <c r="X59" i="7" l="1"/>
  <c r="AJ59" i="7"/>
  <c r="W60" i="7"/>
  <c r="CW5" i="3"/>
  <c r="CW6" i="3" s="1"/>
  <c r="CW7" i="3" s="1"/>
  <c r="CW8" i="3" s="1"/>
  <c r="CW9" i="3" s="1"/>
  <c r="CW10" i="3" s="1"/>
  <c r="CW11" i="3" s="1"/>
  <c r="CW12" i="3" s="1"/>
  <c r="CW13" i="3" s="1"/>
  <c r="CW14" i="3" s="1"/>
  <c r="CW15" i="3" s="1"/>
  <c r="CW16" i="3" s="1"/>
  <c r="CV17" i="3"/>
  <c r="V129" i="7"/>
  <c r="K1057" i="27"/>
  <c r="X60" i="7" l="1"/>
  <c r="W61" i="7"/>
  <c r="AJ60" i="7"/>
  <c r="CX5" i="3"/>
  <c r="CX6" i="3" s="1"/>
  <c r="CX7" i="3" s="1"/>
  <c r="CX8" i="3" s="1"/>
  <c r="CX9" i="3" s="1"/>
  <c r="CX10" i="3" s="1"/>
  <c r="CX11" i="3" s="1"/>
  <c r="CX12" i="3" s="1"/>
  <c r="CX13" i="3" s="1"/>
  <c r="CX14" i="3" s="1"/>
  <c r="CX15" i="3" s="1"/>
  <c r="CX16" i="3" s="1"/>
  <c r="CW17" i="3"/>
  <c r="V130" i="7"/>
  <c r="K1056" i="27"/>
  <c r="X61" i="7" l="1"/>
  <c r="AJ61" i="7"/>
  <c r="W62" i="7"/>
  <c r="CY5" i="3"/>
  <c r="CY6" i="3" s="1"/>
  <c r="CY7" i="3" s="1"/>
  <c r="CY8" i="3" s="1"/>
  <c r="CY9" i="3" s="1"/>
  <c r="CY10" i="3" s="1"/>
  <c r="CY11" i="3" s="1"/>
  <c r="CY12" i="3" s="1"/>
  <c r="CY13" i="3" s="1"/>
  <c r="CY14" i="3" s="1"/>
  <c r="CY15" i="3" s="1"/>
  <c r="CY16" i="3" s="1"/>
  <c r="CX17" i="3"/>
  <c r="V131" i="7"/>
  <c r="K1055" i="27"/>
  <c r="X62" i="7" l="1"/>
  <c r="W63" i="7"/>
  <c r="AJ62" i="7"/>
  <c r="CY17" i="3"/>
  <c r="CZ5" i="3"/>
  <c r="CZ6" i="3" s="1"/>
  <c r="CZ7" i="3" s="1"/>
  <c r="CZ8" i="3" s="1"/>
  <c r="CZ9" i="3" s="1"/>
  <c r="CZ10" i="3" s="1"/>
  <c r="CZ11" i="3" s="1"/>
  <c r="CZ12" i="3" s="1"/>
  <c r="CZ13" i="3" s="1"/>
  <c r="CZ14" i="3" s="1"/>
  <c r="CZ15" i="3" s="1"/>
  <c r="CZ16" i="3" s="1"/>
  <c r="V132" i="7"/>
  <c r="K1054" i="27"/>
  <c r="X63" i="7" l="1"/>
  <c r="AJ63" i="7"/>
  <c r="W64" i="7"/>
  <c r="DA5" i="3"/>
  <c r="DA6" i="3" s="1"/>
  <c r="DA7" i="3" s="1"/>
  <c r="DA8" i="3" s="1"/>
  <c r="DA9" i="3" s="1"/>
  <c r="DA10" i="3" s="1"/>
  <c r="DA11" i="3" s="1"/>
  <c r="DA12" i="3" s="1"/>
  <c r="DA13" i="3" s="1"/>
  <c r="DA14" i="3" s="1"/>
  <c r="DA15" i="3" s="1"/>
  <c r="DA16" i="3" s="1"/>
  <c r="CZ17" i="3"/>
  <c r="V133" i="7"/>
  <c r="K1053" i="27"/>
  <c r="X64" i="7" l="1"/>
  <c r="AJ64" i="7"/>
  <c r="W65" i="7"/>
  <c r="DB5" i="3"/>
  <c r="DB6" i="3" s="1"/>
  <c r="DB7" i="3" s="1"/>
  <c r="DB8" i="3" s="1"/>
  <c r="DB9" i="3" s="1"/>
  <c r="DB10" i="3" s="1"/>
  <c r="DB11" i="3" s="1"/>
  <c r="DB12" i="3" s="1"/>
  <c r="DB13" i="3" s="1"/>
  <c r="DB14" i="3" s="1"/>
  <c r="DB15" i="3" s="1"/>
  <c r="DB16" i="3" s="1"/>
  <c r="DA17" i="3"/>
  <c r="V134" i="7"/>
  <c r="K1052" i="27"/>
  <c r="X65" i="7" l="1"/>
  <c r="W66" i="7"/>
  <c r="AJ65" i="7"/>
  <c r="DC5" i="3"/>
  <c r="DC6" i="3" s="1"/>
  <c r="DC7" i="3" s="1"/>
  <c r="DC8" i="3" s="1"/>
  <c r="DC9" i="3" s="1"/>
  <c r="DC10" i="3" s="1"/>
  <c r="DC11" i="3" s="1"/>
  <c r="DC12" i="3" s="1"/>
  <c r="DC13" i="3" s="1"/>
  <c r="DC14" i="3" s="1"/>
  <c r="DC15" i="3" s="1"/>
  <c r="DC16" i="3" s="1"/>
  <c r="DB17" i="3"/>
  <c r="V135" i="7"/>
  <c r="K1051" i="27"/>
  <c r="X66" i="7" l="1"/>
  <c r="W67" i="7"/>
  <c r="AJ66" i="7"/>
  <c r="DD5" i="3"/>
  <c r="DD6" i="3" s="1"/>
  <c r="DD7" i="3" s="1"/>
  <c r="DD8" i="3" s="1"/>
  <c r="DD9" i="3" s="1"/>
  <c r="DD10" i="3" s="1"/>
  <c r="DD11" i="3" s="1"/>
  <c r="DD12" i="3" s="1"/>
  <c r="DD13" i="3" s="1"/>
  <c r="DD14" i="3" s="1"/>
  <c r="DD15" i="3" s="1"/>
  <c r="DD16" i="3" s="1"/>
  <c r="DC17" i="3"/>
  <c r="V136" i="7"/>
  <c r="K1050" i="27"/>
  <c r="X67" i="7" l="1"/>
  <c r="W68" i="7"/>
  <c r="AJ67" i="7"/>
  <c r="DE5" i="3"/>
  <c r="DE6" i="3" s="1"/>
  <c r="DE7" i="3" s="1"/>
  <c r="DE8" i="3" s="1"/>
  <c r="DE9" i="3" s="1"/>
  <c r="DE10" i="3" s="1"/>
  <c r="DE11" i="3" s="1"/>
  <c r="DE12" i="3" s="1"/>
  <c r="DE13" i="3" s="1"/>
  <c r="DE14" i="3" s="1"/>
  <c r="DE15" i="3" s="1"/>
  <c r="DE16" i="3" s="1"/>
  <c r="DD17" i="3"/>
  <c r="V137" i="7"/>
  <c r="K1049" i="27"/>
  <c r="X68" i="7" l="1"/>
  <c r="AJ68" i="7"/>
  <c r="W69" i="7"/>
  <c r="DF5" i="3"/>
  <c r="DF6" i="3" s="1"/>
  <c r="DF7" i="3" s="1"/>
  <c r="DF8" i="3" s="1"/>
  <c r="DF9" i="3" s="1"/>
  <c r="DF10" i="3" s="1"/>
  <c r="DF11" i="3" s="1"/>
  <c r="DF12" i="3" s="1"/>
  <c r="DF13" i="3" s="1"/>
  <c r="DF14" i="3" s="1"/>
  <c r="DF15" i="3" s="1"/>
  <c r="DF16" i="3" s="1"/>
  <c r="DE17" i="3"/>
  <c r="V138" i="7"/>
  <c r="K1048" i="27"/>
  <c r="X69" i="7" l="1"/>
  <c r="W70" i="7"/>
  <c r="AJ69" i="7"/>
  <c r="DG5" i="3"/>
  <c r="DG6" i="3" s="1"/>
  <c r="DG7" i="3" s="1"/>
  <c r="DG8" i="3" s="1"/>
  <c r="DG9" i="3" s="1"/>
  <c r="DG10" i="3" s="1"/>
  <c r="DG11" i="3" s="1"/>
  <c r="DG12" i="3" s="1"/>
  <c r="DG13" i="3" s="1"/>
  <c r="DG14" i="3" s="1"/>
  <c r="DG15" i="3" s="1"/>
  <c r="DG16" i="3" s="1"/>
  <c r="DF17" i="3"/>
  <c r="V139" i="7"/>
  <c r="K1047" i="27"/>
  <c r="X70" i="7" l="1"/>
  <c r="AJ70" i="7"/>
  <c r="W71" i="7"/>
  <c r="DH5" i="3"/>
  <c r="DH6" i="3" s="1"/>
  <c r="DH7" i="3" s="1"/>
  <c r="DH8" i="3" s="1"/>
  <c r="DH9" i="3" s="1"/>
  <c r="DH10" i="3" s="1"/>
  <c r="DH11" i="3" s="1"/>
  <c r="DH12" i="3" s="1"/>
  <c r="DH13" i="3" s="1"/>
  <c r="DH14" i="3" s="1"/>
  <c r="DH15" i="3" s="1"/>
  <c r="DH16" i="3" s="1"/>
  <c r="DG17" i="3"/>
  <c r="V140" i="7"/>
  <c r="K1046" i="27"/>
  <c r="X71" i="7" l="1"/>
  <c r="W72" i="7"/>
  <c r="AJ71" i="7"/>
  <c r="DI5" i="3"/>
  <c r="DI6" i="3" s="1"/>
  <c r="DI7" i="3" s="1"/>
  <c r="DI8" i="3" s="1"/>
  <c r="DI9" i="3" s="1"/>
  <c r="DI10" i="3" s="1"/>
  <c r="DI11" i="3" s="1"/>
  <c r="DI12" i="3" s="1"/>
  <c r="DI13" i="3" s="1"/>
  <c r="DI14" i="3" s="1"/>
  <c r="DI15" i="3" s="1"/>
  <c r="DI16" i="3" s="1"/>
  <c r="DH17" i="3"/>
  <c r="V141" i="7"/>
  <c r="K1045" i="27"/>
  <c r="X72" i="7" l="1"/>
  <c r="AJ72" i="7"/>
  <c r="W73" i="7"/>
  <c r="DJ5" i="3"/>
  <c r="DJ6" i="3" s="1"/>
  <c r="DJ7" i="3" s="1"/>
  <c r="DJ8" i="3" s="1"/>
  <c r="DJ9" i="3" s="1"/>
  <c r="DJ10" i="3" s="1"/>
  <c r="DJ11" i="3" s="1"/>
  <c r="DJ12" i="3" s="1"/>
  <c r="DJ13" i="3" s="1"/>
  <c r="DJ14" i="3" s="1"/>
  <c r="DJ15" i="3" s="1"/>
  <c r="DJ16" i="3" s="1"/>
  <c r="DI17" i="3"/>
  <c r="V142" i="7"/>
  <c r="K1044" i="27"/>
  <c r="X73" i="7" l="1"/>
  <c r="W74" i="7"/>
  <c r="AJ73" i="7"/>
  <c r="DK5" i="3"/>
  <c r="DK6" i="3" s="1"/>
  <c r="DK7" i="3" s="1"/>
  <c r="DK8" i="3" s="1"/>
  <c r="DK9" i="3" s="1"/>
  <c r="DK10" i="3" s="1"/>
  <c r="DK11" i="3" s="1"/>
  <c r="DK12" i="3" s="1"/>
  <c r="DK13" i="3" s="1"/>
  <c r="DK14" i="3" s="1"/>
  <c r="DK15" i="3" s="1"/>
  <c r="DK16" i="3" s="1"/>
  <c r="DJ17" i="3"/>
  <c r="V143" i="7"/>
  <c r="K1043" i="27"/>
  <c r="X74" i="7" l="1"/>
  <c r="AJ74" i="7"/>
  <c r="W75" i="7"/>
  <c r="DL5" i="3"/>
  <c r="DL6" i="3" s="1"/>
  <c r="DL7" i="3" s="1"/>
  <c r="DL8" i="3" s="1"/>
  <c r="DL9" i="3" s="1"/>
  <c r="DL10" i="3" s="1"/>
  <c r="DL11" i="3" s="1"/>
  <c r="DL12" i="3" s="1"/>
  <c r="DL13" i="3" s="1"/>
  <c r="DL14" i="3" s="1"/>
  <c r="DL15" i="3" s="1"/>
  <c r="DL16" i="3" s="1"/>
  <c r="DK17" i="3"/>
  <c r="V144" i="7"/>
  <c r="K1042" i="27"/>
  <c r="X75" i="7" l="1"/>
  <c r="W76" i="7"/>
  <c r="AJ75" i="7"/>
  <c r="DM5" i="3"/>
  <c r="DM6" i="3" s="1"/>
  <c r="DM7" i="3" s="1"/>
  <c r="DM8" i="3" s="1"/>
  <c r="DM9" i="3" s="1"/>
  <c r="DM10" i="3" s="1"/>
  <c r="DM11" i="3" s="1"/>
  <c r="DM12" i="3" s="1"/>
  <c r="DM13" i="3" s="1"/>
  <c r="DM14" i="3" s="1"/>
  <c r="DM15" i="3" s="1"/>
  <c r="DM16" i="3" s="1"/>
  <c r="DL17" i="3"/>
  <c r="V145" i="7"/>
  <c r="K1041" i="27"/>
  <c r="X76" i="7" l="1"/>
  <c r="W77" i="7"/>
  <c r="AJ76" i="7"/>
  <c r="DN5" i="3"/>
  <c r="DN6" i="3" s="1"/>
  <c r="DN7" i="3" s="1"/>
  <c r="DN8" i="3" s="1"/>
  <c r="DN9" i="3" s="1"/>
  <c r="DN10" i="3" s="1"/>
  <c r="DN11" i="3" s="1"/>
  <c r="DN12" i="3" s="1"/>
  <c r="DN13" i="3" s="1"/>
  <c r="DN14" i="3" s="1"/>
  <c r="DN15" i="3" s="1"/>
  <c r="DN16" i="3" s="1"/>
  <c r="DM17" i="3"/>
  <c r="V146" i="7"/>
  <c r="K1040" i="27"/>
  <c r="X77" i="7" l="1"/>
  <c r="AJ77" i="7"/>
  <c r="W78" i="7"/>
  <c r="DO5" i="3"/>
  <c r="DO6" i="3" s="1"/>
  <c r="DO7" i="3" s="1"/>
  <c r="DO8" i="3" s="1"/>
  <c r="DO9" i="3" s="1"/>
  <c r="DO10" i="3" s="1"/>
  <c r="DO11" i="3" s="1"/>
  <c r="DO12" i="3" s="1"/>
  <c r="DO13" i="3" s="1"/>
  <c r="DO14" i="3" s="1"/>
  <c r="DO15" i="3" s="1"/>
  <c r="DO16" i="3" s="1"/>
  <c r="DN17" i="3"/>
  <c r="V147" i="7"/>
  <c r="K1039" i="27"/>
  <c r="X78" i="7" l="1"/>
  <c r="W79" i="7"/>
  <c r="AJ78" i="7"/>
  <c r="DP5" i="3"/>
  <c r="DP6" i="3" s="1"/>
  <c r="DP7" i="3" s="1"/>
  <c r="DP8" i="3" s="1"/>
  <c r="DP9" i="3" s="1"/>
  <c r="DP10" i="3" s="1"/>
  <c r="DP11" i="3" s="1"/>
  <c r="DP12" i="3" s="1"/>
  <c r="DP13" i="3" s="1"/>
  <c r="DP14" i="3" s="1"/>
  <c r="DP15" i="3" s="1"/>
  <c r="DP16" i="3" s="1"/>
  <c r="DO17" i="3"/>
  <c r="V148" i="7"/>
  <c r="K1038" i="27"/>
  <c r="X79" i="7" l="1"/>
  <c r="AJ79" i="7"/>
  <c r="W80" i="7"/>
  <c r="DQ5" i="3"/>
  <c r="DQ6" i="3" s="1"/>
  <c r="DQ7" i="3" s="1"/>
  <c r="DQ8" i="3" s="1"/>
  <c r="DQ9" i="3" s="1"/>
  <c r="DQ10" i="3" s="1"/>
  <c r="DQ11" i="3" s="1"/>
  <c r="DQ12" i="3" s="1"/>
  <c r="DQ13" i="3" s="1"/>
  <c r="DQ14" i="3" s="1"/>
  <c r="DQ15" i="3" s="1"/>
  <c r="DQ16" i="3" s="1"/>
  <c r="DP17" i="3"/>
  <c r="V149" i="7"/>
  <c r="K1037" i="27"/>
  <c r="X80" i="7" l="1"/>
  <c r="W81" i="7"/>
  <c r="AJ80" i="7"/>
  <c r="DR5" i="3"/>
  <c r="DR6" i="3" s="1"/>
  <c r="DR7" i="3" s="1"/>
  <c r="DR8" i="3" s="1"/>
  <c r="DR9" i="3" s="1"/>
  <c r="DR10" i="3" s="1"/>
  <c r="DR11" i="3" s="1"/>
  <c r="DR12" i="3" s="1"/>
  <c r="DR13" i="3" s="1"/>
  <c r="DR14" i="3" s="1"/>
  <c r="DR15" i="3" s="1"/>
  <c r="DR16" i="3" s="1"/>
  <c r="DQ17" i="3"/>
  <c r="V150" i="7"/>
  <c r="K1036" i="27"/>
  <c r="X81" i="7" l="1"/>
  <c r="AJ81" i="7"/>
  <c r="W82" i="7"/>
  <c r="DS5" i="3"/>
  <c r="DS6" i="3" s="1"/>
  <c r="DS7" i="3" s="1"/>
  <c r="DS8" i="3" s="1"/>
  <c r="DS9" i="3" s="1"/>
  <c r="DS10" i="3" s="1"/>
  <c r="DS11" i="3" s="1"/>
  <c r="DS12" i="3" s="1"/>
  <c r="DS13" i="3" s="1"/>
  <c r="DS14" i="3" s="1"/>
  <c r="DS15" i="3" s="1"/>
  <c r="DS16" i="3" s="1"/>
  <c r="DR17" i="3"/>
  <c r="V151" i="7"/>
  <c r="K1035" i="27"/>
  <c r="X82" i="7" l="1"/>
  <c r="W83" i="7"/>
  <c r="AJ82" i="7"/>
  <c r="DT5" i="3"/>
  <c r="DT6" i="3" s="1"/>
  <c r="DT7" i="3" s="1"/>
  <c r="DT8" i="3" s="1"/>
  <c r="DT9" i="3" s="1"/>
  <c r="DT10" i="3" s="1"/>
  <c r="DT11" i="3" s="1"/>
  <c r="DT12" i="3" s="1"/>
  <c r="DT13" i="3" s="1"/>
  <c r="DT14" i="3" s="1"/>
  <c r="DT15" i="3" s="1"/>
  <c r="DT16" i="3" s="1"/>
  <c r="DS17" i="3"/>
  <c r="V152" i="7"/>
  <c r="K1034" i="27"/>
  <c r="X83" i="7" l="1"/>
  <c r="AJ83" i="7"/>
  <c r="W84" i="7"/>
  <c r="DU5" i="3"/>
  <c r="DU6" i="3" s="1"/>
  <c r="DU7" i="3" s="1"/>
  <c r="DU8" i="3" s="1"/>
  <c r="DU9" i="3" s="1"/>
  <c r="DU10" i="3" s="1"/>
  <c r="DU11" i="3" s="1"/>
  <c r="DU12" i="3" s="1"/>
  <c r="DU13" i="3" s="1"/>
  <c r="DU14" i="3" s="1"/>
  <c r="DU15" i="3" s="1"/>
  <c r="DU16" i="3" s="1"/>
  <c r="DT17" i="3"/>
  <c r="V153" i="7"/>
  <c r="K1033" i="27"/>
  <c r="X84" i="7" l="1"/>
  <c r="W85" i="7"/>
  <c r="AJ84" i="7"/>
  <c r="DV5" i="3"/>
  <c r="DV6" i="3" s="1"/>
  <c r="DV7" i="3" s="1"/>
  <c r="DV8" i="3" s="1"/>
  <c r="DV9" i="3" s="1"/>
  <c r="DV10" i="3" s="1"/>
  <c r="DV11" i="3" s="1"/>
  <c r="DV12" i="3" s="1"/>
  <c r="DV13" i="3" s="1"/>
  <c r="DV14" i="3" s="1"/>
  <c r="DV15" i="3" s="1"/>
  <c r="DV16" i="3" s="1"/>
  <c r="DU17" i="3"/>
  <c r="V154" i="7"/>
  <c r="K1032" i="27"/>
  <c r="X85" i="7" l="1"/>
  <c r="AJ85" i="7"/>
  <c r="W86" i="7"/>
  <c r="DW5" i="3"/>
  <c r="DW6" i="3" s="1"/>
  <c r="DW7" i="3" s="1"/>
  <c r="DW8" i="3" s="1"/>
  <c r="DW9" i="3" s="1"/>
  <c r="DW10" i="3" s="1"/>
  <c r="DW11" i="3" s="1"/>
  <c r="DW12" i="3" s="1"/>
  <c r="DW13" i="3" s="1"/>
  <c r="DW14" i="3" s="1"/>
  <c r="DW15" i="3" s="1"/>
  <c r="DW16" i="3" s="1"/>
  <c r="DV17" i="3"/>
  <c r="V155" i="7"/>
  <c r="K1031" i="27"/>
  <c r="X86" i="7" l="1"/>
  <c r="AJ86" i="7"/>
  <c r="W87" i="7"/>
  <c r="DW17" i="3"/>
  <c r="DX5" i="3"/>
  <c r="DX6" i="3" s="1"/>
  <c r="DX7" i="3" s="1"/>
  <c r="DX8" i="3" s="1"/>
  <c r="DX9" i="3" s="1"/>
  <c r="DX10" i="3" s="1"/>
  <c r="DX11" i="3" s="1"/>
  <c r="DX12" i="3" s="1"/>
  <c r="DX13" i="3" s="1"/>
  <c r="DX14" i="3" s="1"/>
  <c r="DX15" i="3" s="1"/>
  <c r="DX16" i="3" s="1"/>
  <c r="DX17" i="3" s="1"/>
  <c r="V156" i="7"/>
  <c r="K1030" i="27"/>
  <c r="X87" i="7" l="1"/>
  <c r="AJ87" i="7"/>
  <c r="W88" i="7"/>
  <c r="V157" i="7"/>
  <c r="K1029" i="27"/>
  <c r="X88" i="7" l="1"/>
  <c r="W89" i="7"/>
  <c r="AJ88" i="7"/>
  <c r="V158" i="7"/>
  <c r="K1028" i="27"/>
  <c r="X89" i="7" l="1"/>
  <c r="AJ89" i="7"/>
  <c r="W90" i="7"/>
  <c r="V159" i="7"/>
  <c r="K1027" i="27"/>
  <c r="X90" i="7" l="1"/>
  <c r="W91" i="7"/>
  <c r="AJ90" i="7"/>
  <c r="V160" i="7"/>
  <c r="K1026" i="27"/>
  <c r="X91" i="7" l="1"/>
  <c r="AJ91" i="7"/>
  <c r="W92" i="7"/>
  <c r="V161" i="7"/>
  <c r="K1025" i="27"/>
  <c r="X92" i="7" l="1"/>
  <c r="W93" i="7"/>
  <c r="AJ92" i="7"/>
  <c r="V162" i="7"/>
  <c r="K1024" i="27"/>
  <c r="X93" i="7" l="1"/>
  <c r="W94" i="7"/>
  <c r="AJ93" i="7"/>
  <c r="V163" i="7"/>
  <c r="K1023" i="27"/>
  <c r="X94" i="7" l="1"/>
  <c r="AJ94" i="7"/>
  <c r="W95" i="7"/>
  <c r="V164" i="7"/>
  <c r="K1022" i="27"/>
  <c r="X95" i="7" l="1"/>
  <c r="W96" i="7"/>
  <c r="AJ95" i="7"/>
  <c r="V165" i="7"/>
  <c r="K1021" i="27"/>
  <c r="X96" i="7" l="1"/>
  <c r="AJ96" i="7"/>
  <c r="W97" i="7"/>
  <c r="V166" i="7"/>
  <c r="K1020" i="27"/>
  <c r="X97" i="7" l="1"/>
  <c r="W98" i="7"/>
  <c r="AJ97" i="7"/>
  <c r="V167" i="7"/>
  <c r="K1019" i="27"/>
  <c r="X98" i="7" l="1"/>
  <c r="W99" i="7"/>
  <c r="AJ98" i="7"/>
  <c r="V168" i="7"/>
  <c r="K1018" i="27"/>
  <c r="X99" i="7" l="1"/>
  <c r="AJ99" i="7"/>
  <c r="W100" i="7"/>
  <c r="V169" i="7"/>
  <c r="K1017" i="27"/>
  <c r="X100" i="7" l="1"/>
  <c r="W101" i="7"/>
  <c r="AJ100" i="7"/>
  <c r="V170" i="7"/>
  <c r="K1016" i="27"/>
  <c r="X101" i="7" l="1"/>
  <c r="W102" i="7"/>
  <c r="AJ101" i="7"/>
  <c r="V171" i="7"/>
  <c r="K1015" i="27"/>
  <c r="X102" i="7" l="1"/>
  <c r="W103" i="7"/>
  <c r="AJ102" i="7"/>
  <c r="V172" i="7"/>
  <c r="K1014" i="27"/>
  <c r="X103" i="7" l="1"/>
  <c r="W104" i="7"/>
  <c r="AJ103" i="7"/>
  <c r="V173" i="7"/>
  <c r="K1013" i="27"/>
  <c r="X104" i="7" l="1"/>
  <c r="AJ104" i="7"/>
  <c r="W105" i="7"/>
  <c r="V174" i="7"/>
  <c r="K1012" i="27"/>
  <c r="X105" i="7" l="1"/>
  <c r="AJ105" i="7"/>
  <c r="W106" i="7"/>
  <c r="V175" i="7"/>
  <c r="K1011" i="27"/>
  <c r="X106" i="7" l="1"/>
  <c r="W107" i="7"/>
  <c r="AJ106" i="7"/>
  <c r="V176" i="7"/>
  <c r="K1010" i="27"/>
  <c r="X107" i="7" l="1"/>
  <c r="AJ107" i="7"/>
  <c r="W108" i="7"/>
  <c r="V177" i="7"/>
  <c r="K1009" i="27"/>
  <c r="X108" i="7" l="1"/>
  <c r="W109" i="7"/>
  <c r="AJ108" i="7"/>
  <c r="V178" i="7"/>
  <c r="K1008" i="27"/>
  <c r="X109" i="7" l="1"/>
  <c r="AJ109" i="7"/>
  <c r="W110" i="7"/>
  <c r="V179" i="7"/>
  <c r="K1007" i="27"/>
  <c r="X110" i="7" l="1"/>
  <c r="W111" i="7"/>
  <c r="AJ110" i="7"/>
  <c r="V180" i="7"/>
  <c r="K1006" i="27"/>
  <c r="X111" i="7" l="1"/>
  <c r="AJ111" i="7"/>
  <c r="W112" i="7"/>
  <c r="V181" i="7"/>
  <c r="K1005" i="27"/>
  <c r="X112" i="7" l="1"/>
  <c r="AJ112" i="7"/>
  <c r="W113" i="7"/>
  <c r="V182" i="7"/>
  <c r="K1004" i="27"/>
  <c r="X113" i="7" l="1"/>
  <c r="W114" i="7"/>
  <c r="AJ113" i="7"/>
  <c r="V183" i="7"/>
  <c r="K1003" i="27"/>
  <c r="X114" i="7" l="1"/>
  <c r="AJ114" i="7"/>
  <c r="W115" i="7"/>
  <c r="V184" i="7"/>
  <c r="K1002" i="27"/>
  <c r="X115" i="7" l="1"/>
  <c r="AJ115" i="7"/>
  <c r="W116" i="7"/>
  <c r="V185" i="7"/>
  <c r="K1001" i="27"/>
  <c r="X116" i="7" l="1"/>
  <c r="AJ116" i="7"/>
  <c r="W117" i="7"/>
  <c r="V186" i="7"/>
  <c r="K1000" i="27"/>
  <c r="X117" i="7" l="1"/>
  <c r="W118" i="7"/>
  <c r="AJ117" i="7"/>
  <c r="V187" i="7"/>
  <c r="K999" i="27"/>
  <c r="X118" i="7" l="1"/>
  <c r="W119" i="7"/>
  <c r="AJ118" i="7"/>
  <c r="V188" i="7"/>
  <c r="K998" i="27"/>
  <c r="X119" i="7" l="1"/>
  <c r="AJ119" i="7"/>
  <c r="W120" i="7"/>
  <c r="V189" i="7"/>
  <c r="K997" i="27"/>
  <c r="X120" i="7" l="1"/>
  <c r="W121" i="7"/>
  <c r="AJ120" i="7"/>
  <c r="V190" i="7"/>
  <c r="K996" i="27"/>
  <c r="X121" i="7" l="1"/>
  <c r="AJ121" i="7"/>
  <c r="W122" i="7"/>
  <c r="V191" i="7"/>
  <c r="K995" i="27"/>
  <c r="X122" i="7" l="1"/>
  <c r="W123" i="7"/>
  <c r="AJ122" i="7"/>
  <c r="V192" i="7"/>
  <c r="K994" i="27"/>
  <c r="X123" i="7" l="1"/>
  <c r="AJ123" i="7"/>
  <c r="W124" i="7"/>
  <c r="V193" i="7"/>
  <c r="K993" i="27"/>
  <c r="X124" i="7" l="1"/>
  <c r="AJ124" i="7"/>
  <c r="W125" i="7"/>
  <c r="V194" i="7"/>
  <c r="K992" i="27"/>
  <c r="X125" i="7" l="1"/>
  <c r="AJ125" i="7"/>
  <c r="W126" i="7"/>
  <c r="V195" i="7"/>
  <c r="K991" i="27"/>
  <c r="X126" i="7" l="1"/>
  <c r="W127" i="7"/>
  <c r="AJ126" i="7"/>
  <c r="V196" i="7"/>
  <c r="K990" i="27"/>
  <c r="X127" i="7" l="1"/>
  <c r="AJ127" i="7"/>
  <c r="W128" i="7"/>
  <c r="V197" i="7"/>
  <c r="K989" i="27"/>
  <c r="X128" i="7" l="1"/>
  <c r="AJ128" i="7"/>
  <c r="W129" i="7"/>
  <c r="V198" i="7"/>
  <c r="K988" i="27"/>
  <c r="X129" i="7" l="1"/>
  <c r="W130" i="7"/>
  <c r="AJ129" i="7"/>
  <c r="V199" i="7"/>
  <c r="K987" i="27"/>
  <c r="X130" i="7" l="1"/>
  <c r="AJ130" i="7"/>
  <c r="W131" i="7"/>
  <c r="V200" i="7"/>
  <c r="K986" i="27"/>
  <c r="X131" i="7" l="1"/>
  <c r="AJ131" i="7"/>
  <c r="W132" i="7"/>
  <c r="V201" i="7"/>
  <c r="K985" i="27"/>
  <c r="X132" i="7" l="1"/>
  <c r="W133" i="7"/>
  <c r="AJ132" i="7"/>
  <c r="V202" i="7"/>
  <c r="K984" i="27"/>
  <c r="X133" i="7" l="1"/>
  <c r="AJ133" i="7"/>
  <c r="W134" i="7"/>
  <c r="V203" i="7"/>
  <c r="K983" i="27"/>
  <c r="X134" i="7" l="1"/>
  <c r="W135" i="7"/>
  <c r="AJ134" i="7"/>
  <c r="V204" i="7"/>
  <c r="K982" i="27"/>
  <c r="X135" i="7" l="1"/>
  <c r="AJ135" i="7"/>
  <c r="W136" i="7"/>
  <c r="V205" i="7"/>
  <c r="K981" i="27"/>
  <c r="X136" i="7" l="1"/>
  <c r="W137" i="7"/>
  <c r="AJ136" i="7"/>
  <c r="V206" i="7"/>
  <c r="K980" i="27"/>
  <c r="X137" i="7" l="1"/>
  <c r="AJ137" i="7"/>
  <c r="W138" i="7"/>
  <c r="V207" i="7"/>
  <c r="K979" i="27"/>
  <c r="X138" i="7" l="1"/>
  <c r="W139" i="7"/>
  <c r="AJ138" i="7"/>
  <c r="V208" i="7"/>
  <c r="K978" i="27"/>
  <c r="X139" i="7" l="1"/>
  <c r="AJ139" i="7"/>
  <c r="W140" i="7"/>
  <c r="V209" i="7"/>
  <c r="K977" i="27"/>
  <c r="X140" i="7" l="1"/>
  <c r="W141" i="7"/>
  <c r="AJ140" i="7"/>
  <c r="V210" i="7"/>
  <c r="K976" i="27"/>
  <c r="X141" i="7" l="1"/>
  <c r="AJ141" i="7"/>
  <c r="W142" i="7"/>
  <c r="V211" i="7"/>
  <c r="K975" i="27"/>
  <c r="X142" i="7" l="1"/>
  <c r="W143" i="7"/>
  <c r="AJ142" i="7"/>
  <c r="V212" i="7"/>
  <c r="K974" i="27"/>
  <c r="X143" i="7" l="1"/>
  <c r="AJ143" i="7"/>
  <c r="W144" i="7"/>
  <c r="V213" i="7"/>
  <c r="K973" i="27"/>
  <c r="X144" i="7" l="1"/>
  <c r="AJ144" i="7"/>
  <c r="W145" i="7"/>
  <c r="V214" i="7"/>
  <c r="K972" i="27"/>
  <c r="X145" i="7" l="1"/>
  <c r="W146" i="7"/>
  <c r="AJ145" i="7"/>
  <c r="V215" i="7"/>
  <c r="K971" i="27"/>
  <c r="X146" i="7" l="1"/>
  <c r="AJ146" i="7"/>
  <c r="W147" i="7"/>
  <c r="V216" i="7"/>
  <c r="K970" i="27"/>
  <c r="X147" i="7" l="1"/>
  <c r="AJ147" i="7"/>
  <c r="W148" i="7"/>
  <c r="V217" i="7"/>
  <c r="K969" i="27"/>
  <c r="X148" i="7" l="1"/>
  <c r="AJ148" i="7"/>
  <c r="W149" i="7"/>
  <c r="V218" i="7"/>
  <c r="K968" i="27"/>
  <c r="X149" i="7" l="1"/>
  <c r="AJ149" i="7"/>
  <c r="W150" i="7"/>
  <c r="V219" i="7"/>
  <c r="K967" i="27"/>
  <c r="X150" i="7" l="1"/>
  <c r="W151" i="7"/>
  <c r="AJ150" i="7"/>
  <c r="V220" i="7"/>
  <c r="K966" i="27"/>
  <c r="X151" i="7" l="1"/>
  <c r="AJ151" i="7"/>
  <c r="W152" i="7"/>
  <c r="V221" i="7"/>
  <c r="K965" i="27"/>
  <c r="X152" i="7" l="1"/>
  <c r="W153" i="7"/>
  <c r="AJ152" i="7"/>
  <c r="V222" i="7"/>
  <c r="K964" i="27"/>
  <c r="X153" i="7" l="1"/>
  <c r="W154" i="7"/>
  <c r="AJ153" i="7"/>
  <c r="V223" i="7"/>
  <c r="K963" i="27"/>
  <c r="X154" i="7" l="1"/>
  <c r="AJ154" i="7"/>
  <c r="W155" i="7"/>
  <c r="V224" i="7"/>
  <c r="K962" i="27"/>
  <c r="X155" i="7" l="1"/>
  <c r="AJ155" i="7"/>
  <c r="W156" i="7"/>
  <c r="V225" i="7"/>
  <c r="K961" i="27"/>
  <c r="X156" i="7" l="1"/>
  <c r="W157" i="7"/>
  <c r="AJ156" i="7"/>
  <c r="V226" i="7"/>
  <c r="K960" i="27"/>
  <c r="X157" i="7" l="1"/>
  <c r="AJ157" i="7"/>
  <c r="W158" i="7"/>
  <c r="V227" i="7"/>
  <c r="K959" i="27"/>
  <c r="X158" i="7" l="1"/>
  <c r="W159" i="7"/>
  <c r="AJ158" i="7"/>
  <c r="V228" i="7"/>
  <c r="K958" i="27"/>
  <c r="X159" i="7" l="1"/>
  <c r="AJ159" i="7"/>
  <c r="W160" i="7"/>
  <c r="V229" i="7"/>
  <c r="K957" i="27"/>
  <c r="X160" i="7" l="1"/>
  <c r="AJ160" i="7"/>
  <c r="W161" i="7"/>
  <c r="V230" i="7"/>
  <c r="K956" i="27"/>
  <c r="X161" i="7" l="1"/>
  <c r="AJ161" i="7"/>
  <c r="W162" i="7"/>
  <c r="V231" i="7"/>
  <c r="K955" i="27"/>
  <c r="X162" i="7" l="1"/>
  <c r="AJ162" i="7"/>
  <c r="W163" i="7"/>
  <c r="V232" i="7"/>
  <c r="K954" i="27"/>
  <c r="X163" i="7" l="1"/>
  <c r="W164" i="7"/>
  <c r="AJ163" i="7"/>
  <c r="V233" i="7"/>
  <c r="K953" i="27"/>
  <c r="X164" i="7" l="1"/>
  <c r="AJ164" i="7"/>
  <c r="W165" i="7"/>
  <c r="V234" i="7"/>
  <c r="K952" i="27"/>
  <c r="X165" i="7" l="1"/>
  <c r="W166" i="7"/>
  <c r="AJ165" i="7"/>
  <c r="V235" i="7"/>
  <c r="K951" i="27"/>
  <c r="X166" i="7" l="1"/>
  <c r="AJ166" i="7"/>
  <c r="W167" i="7"/>
  <c r="V236" i="7"/>
  <c r="K950" i="27"/>
  <c r="X167" i="7" l="1"/>
  <c r="W168" i="7"/>
  <c r="AJ167" i="7"/>
  <c r="V237" i="7"/>
  <c r="K949" i="27"/>
  <c r="X168" i="7" l="1"/>
  <c r="W169" i="7"/>
  <c r="AJ168" i="7"/>
  <c r="V238" i="7"/>
  <c r="K948" i="27"/>
  <c r="X169" i="7" l="1"/>
  <c r="AJ169" i="7"/>
  <c r="W170" i="7"/>
  <c r="V239" i="7"/>
  <c r="K947" i="27"/>
  <c r="X170" i="7" l="1"/>
  <c r="W171" i="7"/>
  <c r="AJ170" i="7"/>
  <c r="V240" i="7"/>
  <c r="K946" i="27"/>
  <c r="X171" i="7" l="1"/>
  <c r="AJ171" i="7"/>
  <c r="W172" i="7"/>
  <c r="V241" i="7"/>
  <c r="K945" i="27"/>
  <c r="X172" i="7" l="1"/>
  <c r="AJ172" i="7"/>
  <c r="W173" i="7"/>
  <c r="V242" i="7"/>
  <c r="K944" i="27"/>
  <c r="X173" i="7" l="1"/>
  <c r="AJ173" i="7"/>
  <c r="W174" i="7"/>
  <c r="V243" i="7"/>
  <c r="K943" i="27"/>
  <c r="X174" i="7" l="1"/>
  <c r="W175" i="7"/>
  <c r="AJ174" i="7"/>
  <c r="V244" i="7"/>
  <c r="K942" i="27"/>
  <c r="X175" i="7" l="1"/>
  <c r="W176" i="7"/>
  <c r="AJ175" i="7"/>
  <c r="V245" i="7"/>
  <c r="K941" i="27"/>
  <c r="X176" i="7" l="1"/>
  <c r="AJ176" i="7"/>
  <c r="W177" i="7"/>
  <c r="V246" i="7"/>
  <c r="K940" i="27"/>
  <c r="X177" i="7" l="1"/>
  <c r="W178" i="7"/>
  <c r="AJ177" i="7"/>
  <c r="V247" i="7"/>
  <c r="K939" i="27"/>
  <c r="X178" i="7" l="1"/>
  <c r="AJ178" i="7"/>
  <c r="W179" i="7"/>
  <c r="V248" i="7"/>
  <c r="K938" i="27"/>
  <c r="X179" i="7" l="1"/>
  <c r="W180" i="7"/>
  <c r="AJ179" i="7"/>
  <c r="V249" i="7"/>
  <c r="K937" i="27"/>
  <c r="X180" i="7" l="1"/>
  <c r="W181" i="7"/>
  <c r="AJ180" i="7"/>
  <c r="V250" i="7"/>
  <c r="K936" i="27"/>
  <c r="X181" i="7" l="1"/>
  <c r="W182" i="7"/>
  <c r="AJ181" i="7"/>
  <c r="V251" i="7"/>
  <c r="K935" i="27"/>
  <c r="X182" i="7" l="1"/>
  <c r="W183" i="7"/>
  <c r="AJ182" i="7"/>
  <c r="V252" i="7"/>
  <c r="K934" i="27"/>
  <c r="X183" i="7" l="1"/>
  <c r="AJ183" i="7"/>
  <c r="W184" i="7"/>
  <c r="V253" i="7"/>
  <c r="K933" i="27"/>
  <c r="X184" i="7" l="1"/>
  <c r="W185" i="7"/>
  <c r="AJ184" i="7"/>
  <c r="V254" i="7"/>
  <c r="K932" i="27"/>
  <c r="X185" i="7" l="1"/>
  <c r="AJ185" i="7"/>
  <c r="W186" i="7"/>
  <c r="V255" i="7"/>
  <c r="K931" i="27"/>
  <c r="X186" i="7" l="1"/>
  <c r="W187" i="7"/>
  <c r="AJ186" i="7"/>
  <c r="V256" i="7"/>
  <c r="K930" i="27"/>
  <c r="X187" i="7" l="1"/>
  <c r="AJ187" i="7"/>
  <c r="W188" i="7"/>
  <c r="V257" i="7"/>
  <c r="K929" i="27"/>
  <c r="X188" i="7" l="1"/>
  <c r="AJ188" i="7"/>
  <c r="W189" i="7"/>
  <c r="V258" i="7"/>
  <c r="K928" i="27"/>
  <c r="X189" i="7" l="1"/>
  <c r="AJ189" i="7"/>
  <c r="W190" i="7"/>
  <c r="V259" i="7"/>
  <c r="K927" i="27"/>
  <c r="X190" i="7" l="1"/>
  <c r="W191" i="7"/>
  <c r="AJ190" i="7"/>
  <c r="V260" i="7"/>
  <c r="K926" i="27"/>
  <c r="X191" i="7" l="1"/>
  <c r="AJ191" i="7"/>
  <c r="W192" i="7"/>
  <c r="V261" i="7"/>
  <c r="K925" i="27"/>
  <c r="X192" i="7" l="1"/>
  <c r="W193" i="7"/>
  <c r="AJ192" i="7"/>
  <c r="V262" i="7"/>
  <c r="K924" i="27"/>
  <c r="X193" i="7" l="1"/>
  <c r="AJ193" i="7"/>
  <c r="W194" i="7"/>
  <c r="V263" i="7"/>
  <c r="K923" i="27"/>
  <c r="X194" i="7" l="1"/>
  <c r="W195" i="7"/>
  <c r="AJ194" i="7"/>
  <c r="V264" i="7"/>
  <c r="K922" i="27"/>
  <c r="X195" i="7" l="1"/>
  <c r="AJ195" i="7"/>
  <c r="W196" i="7"/>
  <c r="V265" i="7"/>
  <c r="K921" i="27"/>
  <c r="X196" i="7" l="1"/>
  <c r="W197" i="7"/>
  <c r="AJ196" i="7"/>
  <c r="V266" i="7"/>
  <c r="K920" i="27"/>
  <c r="X197" i="7" l="1"/>
  <c r="AJ197" i="7"/>
  <c r="W198" i="7"/>
  <c r="V267" i="7"/>
  <c r="K919" i="27"/>
  <c r="X198" i="7" l="1"/>
  <c r="W199" i="7"/>
  <c r="AJ198" i="7"/>
  <c r="V268" i="7"/>
  <c r="K918" i="27"/>
  <c r="X199" i="7" l="1"/>
  <c r="AJ199" i="7"/>
  <c r="W200" i="7"/>
  <c r="V269" i="7"/>
  <c r="K917" i="27"/>
  <c r="X200" i="7" l="1"/>
  <c r="W201" i="7"/>
  <c r="AJ200" i="7"/>
  <c r="V270" i="7"/>
  <c r="K916" i="27"/>
  <c r="X201" i="7" l="1"/>
  <c r="AJ201" i="7"/>
  <c r="W202" i="7"/>
  <c r="V271" i="7"/>
  <c r="K915" i="27"/>
  <c r="X202" i="7" l="1"/>
  <c r="W203" i="7"/>
  <c r="AJ202" i="7"/>
  <c r="V272" i="7"/>
  <c r="K914" i="27"/>
  <c r="X203" i="7" l="1"/>
  <c r="AJ203" i="7"/>
  <c r="W204" i="7"/>
  <c r="V273" i="7"/>
  <c r="K913" i="27"/>
  <c r="X204" i="7" l="1"/>
  <c r="W205" i="7"/>
  <c r="AJ204" i="7"/>
  <c r="V274" i="7"/>
  <c r="K912" i="27"/>
  <c r="X205" i="7" l="1"/>
  <c r="AJ205" i="7"/>
  <c r="W206" i="7"/>
  <c r="V275" i="7"/>
  <c r="K911" i="27"/>
  <c r="X206" i="7" l="1"/>
  <c r="AJ206" i="7"/>
  <c r="W207" i="7"/>
  <c r="V276" i="7"/>
  <c r="K910" i="27"/>
  <c r="X207" i="7" l="1"/>
  <c r="AJ207" i="7"/>
  <c r="W208" i="7"/>
  <c r="V277" i="7"/>
  <c r="K909" i="27"/>
  <c r="X208" i="7" l="1"/>
  <c r="AJ208" i="7"/>
  <c r="W209" i="7"/>
  <c r="V278" i="7"/>
  <c r="K908" i="27"/>
  <c r="X209" i="7" l="1"/>
  <c r="AJ209" i="7"/>
  <c r="W210" i="7"/>
  <c r="V279" i="7"/>
  <c r="K907" i="27"/>
  <c r="X210" i="7" l="1"/>
  <c r="W211" i="7"/>
  <c r="AJ210" i="7"/>
  <c r="V280" i="7"/>
  <c r="K906" i="27"/>
  <c r="X211" i="7" l="1"/>
  <c r="AJ211" i="7"/>
  <c r="W212" i="7"/>
  <c r="V281" i="7"/>
  <c r="K905" i="27"/>
  <c r="X212" i="7" l="1"/>
  <c r="W213" i="7"/>
  <c r="AJ212" i="7"/>
  <c r="V282" i="7"/>
  <c r="K904" i="27"/>
  <c r="X213" i="7" l="1"/>
  <c r="AJ213" i="7"/>
  <c r="W214" i="7"/>
  <c r="V283" i="7"/>
  <c r="K903" i="27"/>
  <c r="X214" i="7" l="1"/>
  <c r="W215" i="7"/>
  <c r="AJ214" i="7"/>
  <c r="V284" i="7"/>
  <c r="K902" i="27"/>
  <c r="X215" i="7" l="1"/>
  <c r="AJ215" i="7"/>
  <c r="W216" i="7"/>
  <c r="V285" i="7"/>
  <c r="K901" i="27"/>
  <c r="X216" i="7" l="1"/>
  <c r="W217" i="7"/>
  <c r="AJ216" i="7"/>
  <c r="V286" i="7"/>
  <c r="K900" i="27"/>
  <c r="X217" i="7" l="1"/>
  <c r="AJ217" i="7"/>
  <c r="W218" i="7"/>
  <c r="V287" i="7"/>
  <c r="K899" i="27"/>
  <c r="X218" i="7" l="1"/>
  <c r="AJ218" i="7"/>
  <c r="W219" i="7"/>
  <c r="V288" i="7"/>
  <c r="K898" i="27"/>
  <c r="X219" i="7" l="1"/>
  <c r="AJ219" i="7"/>
  <c r="W220" i="7"/>
  <c r="V289" i="7"/>
  <c r="K897" i="27"/>
  <c r="X220" i="7" l="1"/>
  <c r="AJ220" i="7"/>
  <c r="W221" i="7"/>
  <c r="V290" i="7"/>
  <c r="K896" i="27"/>
  <c r="X221" i="7" l="1"/>
  <c r="AJ221" i="7"/>
  <c r="W222" i="7"/>
  <c r="V291" i="7"/>
  <c r="K895" i="27"/>
  <c r="X222" i="7" l="1"/>
  <c r="AJ222" i="7"/>
  <c r="W223" i="7"/>
  <c r="V292" i="7"/>
  <c r="K894" i="27"/>
  <c r="X223" i="7" l="1"/>
  <c r="AJ223" i="7"/>
  <c r="W224" i="7"/>
  <c r="V293" i="7"/>
  <c r="K893" i="27"/>
  <c r="X224" i="7" l="1"/>
  <c r="W225" i="7"/>
  <c r="AJ224" i="7"/>
  <c r="V294" i="7"/>
  <c r="K892" i="27"/>
  <c r="X225" i="7" l="1"/>
  <c r="AJ225" i="7"/>
  <c r="W226" i="7"/>
  <c r="V295" i="7"/>
  <c r="K891" i="27"/>
  <c r="X226" i="7" l="1"/>
  <c r="W227" i="7"/>
  <c r="AJ226" i="7"/>
  <c r="V296" i="7"/>
  <c r="K890" i="27"/>
  <c r="X227" i="7" l="1"/>
  <c r="W228" i="7"/>
  <c r="AJ227" i="7"/>
  <c r="V297" i="7"/>
  <c r="K889" i="27"/>
  <c r="X228" i="7" l="1"/>
  <c r="W229" i="7"/>
  <c r="AJ228" i="7"/>
  <c r="V298" i="7"/>
  <c r="K888" i="27"/>
  <c r="X229" i="7" l="1"/>
  <c r="W230" i="7"/>
  <c r="AJ229" i="7"/>
  <c r="V299" i="7"/>
  <c r="K887" i="27"/>
  <c r="X230" i="7" l="1"/>
  <c r="AJ230" i="7"/>
  <c r="W231" i="7"/>
  <c r="V300" i="7"/>
  <c r="K886" i="27"/>
  <c r="X231" i="7" l="1"/>
  <c r="W232" i="7"/>
  <c r="AJ231" i="7"/>
  <c r="V301" i="7"/>
  <c r="K885" i="27"/>
  <c r="X232" i="7" l="1"/>
  <c r="AJ232" i="7"/>
  <c r="W233" i="7"/>
  <c r="V302" i="7"/>
  <c r="K884" i="27"/>
  <c r="X233" i="7" l="1"/>
  <c r="W234" i="7"/>
  <c r="AJ233" i="7"/>
  <c r="V303" i="7"/>
  <c r="K883" i="27"/>
  <c r="X234" i="7" l="1"/>
  <c r="AJ234" i="7"/>
  <c r="W235" i="7"/>
  <c r="V304" i="7"/>
  <c r="K882" i="27"/>
  <c r="X235" i="7" l="1"/>
  <c r="W236" i="7"/>
  <c r="AJ235" i="7"/>
  <c r="V305" i="7"/>
  <c r="K881" i="27"/>
  <c r="X236" i="7" l="1"/>
  <c r="W237" i="7"/>
  <c r="AJ236" i="7"/>
  <c r="V306" i="7"/>
  <c r="K880" i="27"/>
  <c r="X237" i="7" l="1"/>
  <c r="AJ237" i="7"/>
  <c r="W238" i="7"/>
  <c r="V307" i="7"/>
  <c r="K879" i="27"/>
  <c r="X238" i="7" l="1"/>
  <c r="W239" i="7"/>
  <c r="AJ238" i="7"/>
  <c r="V308" i="7"/>
  <c r="K878" i="27"/>
  <c r="X239" i="7" l="1"/>
  <c r="AJ239" i="7"/>
  <c r="W240" i="7"/>
  <c r="V309" i="7"/>
  <c r="K877" i="27"/>
  <c r="X240" i="7" l="1"/>
  <c r="W241" i="7"/>
  <c r="AJ240" i="7"/>
  <c r="V310" i="7"/>
  <c r="K876" i="27"/>
  <c r="X241" i="7" l="1"/>
  <c r="W242" i="7"/>
  <c r="AJ241" i="7"/>
  <c r="V311" i="7"/>
  <c r="K875" i="27"/>
  <c r="X242" i="7" l="1"/>
  <c r="AJ242" i="7"/>
  <c r="W243" i="7"/>
  <c r="V312" i="7"/>
  <c r="K874" i="27"/>
  <c r="X243" i="7" l="1"/>
  <c r="W244" i="7"/>
  <c r="AJ243" i="7"/>
  <c r="V313" i="7"/>
  <c r="K873" i="27"/>
  <c r="X244" i="7" l="1"/>
  <c r="AJ244" i="7"/>
  <c r="W245" i="7"/>
  <c r="V314" i="7"/>
  <c r="K872" i="27"/>
  <c r="X245" i="7" l="1"/>
  <c r="W246" i="7"/>
  <c r="AJ245" i="7"/>
  <c r="V315" i="7"/>
  <c r="K871" i="27"/>
  <c r="X246" i="7" l="1"/>
  <c r="AJ246" i="7"/>
  <c r="W247" i="7"/>
  <c r="V316" i="7"/>
  <c r="K870" i="27"/>
  <c r="X247" i="7" l="1"/>
  <c r="W248" i="7"/>
  <c r="AJ247" i="7"/>
  <c r="V317" i="7"/>
  <c r="K869" i="27"/>
  <c r="X248" i="7" l="1"/>
  <c r="W249" i="7"/>
  <c r="AJ248" i="7"/>
  <c r="V318" i="7"/>
  <c r="K868" i="27"/>
  <c r="X249" i="7" l="1"/>
  <c r="AJ249" i="7"/>
  <c r="W250" i="7"/>
  <c r="V319" i="7"/>
  <c r="K867" i="27"/>
  <c r="X250" i="7" l="1"/>
  <c r="AJ250" i="7"/>
  <c r="W251" i="7"/>
  <c r="V320" i="7"/>
  <c r="K866" i="27"/>
  <c r="X251" i="7" l="1"/>
  <c r="W252" i="7"/>
  <c r="AJ251" i="7"/>
  <c r="V321" i="7"/>
  <c r="K865" i="27"/>
  <c r="X252" i="7" l="1"/>
  <c r="W253" i="7"/>
  <c r="AJ252" i="7"/>
  <c r="V322" i="7"/>
  <c r="K864" i="27"/>
  <c r="X253" i="7" l="1"/>
  <c r="AJ253" i="7"/>
  <c r="W254" i="7"/>
  <c r="V323" i="7"/>
  <c r="K863" i="27"/>
  <c r="X254" i="7" l="1"/>
  <c r="W255" i="7"/>
  <c r="AJ254" i="7"/>
  <c r="V324" i="7"/>
  <c r="K862" i="27"/>
  <c r="X255" i="7" l="1"/>
  <c r="AJ255" i="7"/>
  <c r="W256" i="7"/>
  <c r="V325" i="7"/>
  <c r="K861" i="27"/>
  <c r="X256" i="7" l="1"/>
  <c r="W257" i="7"/>
  <c r="AJ256" i="7"/>
  <c r="V326" i="7"/>
  <c r="K860" i="27"/>
  <c r="X257" i="7" l="1"/>
  <c r="W258" i="7"/>
  <c r="AJ257" i="7"/>
  <c r="V327" i="7"/>
  <c r="K859" i="27"/>
  <c r="X258" i="7" l="1"/>
  <c r="AJ258" i="7"/>
  <c r="W259" i="7"/>
  <c r="V328" i="7"/>
  <c r="K858" i="27"/>
  <c r="X259" i="7" l="1"/>
  <c r="AJ259" i="7"/>
  <c r="W260" i="7"/>
  <c r="V329" i="7"/>
  <c r="K857" i="27"/>
  <c r="X260" i="7" l="1"/>
  <c r="W261" i="7"/>
  <c r="AJ260" i="7"/>
  <c r="V330" i="7"/>
  <c r="K856" i="27"/>
  <c r="X261" i="7" l="1"/>
  <c r="W262" i="7"/>
  <c r="AJ261" i="7"/>
  <c r="V331" i="7"/>
  <c r="K855" i="27"/>
  <c r="X262" i="7" l="1"/>
  <c r="W263" i="7"/>
  <c r="AJ262" i="7"/>
  <c r="V332" i="7"/>
  <c r="K854" i="27"/>
  <c r="X263" i="7" l="1"/>
  <c r="W264" i="7"/>
  <c r="AJ263" i="7"/>
  <c r="V333" i="7"/>
  <c r="K853" i="27"/>
  <c r="X264" i="7" l="1"/>
  <c r="W265" i="7"/>
  <c r="AJ264" i="7"/>
  <c r="V334" i="7"/>
  <c r="K852" i="27"/>
  <c r="X265" i="7" l="1"/>
  <c r="AJ265" i="7"/>
  <c r="W266" i="7"/>
  <c r="V335" i="7"/>
  <c r="K851" i="27"/>
  <c r="X266" i="7" l="1"/>
  <c r="W267" i="7"/>
  <c r="AJ266" i="7"/>
  <c r="V336" i="7"/>
  <c r="K850" i="27"/>
  <c r="X267" i="7" l="1"/>
  <c r="AJ267" i="7"/>
  <c r="W268" i="7"/>
  <c r="V337" i="7"/>
  <c r="K849" i="27"/>
  <c r="X268" i="7" l="1"/>
  <c r="W269" i="7"/>
  <c r="AJ268" i="7"/>
  <c r="V338" i="7"/>
  <c r="K848" i="27"/>
  <c r="X269" i="7" l="1"/>
  <c r="AJ269" i="7"/>
  <c r="W270" i="7"/>
  <c r="V339" i="7"/>
  <c r="K847" i="27"/>
  <c r="X270" i="7" l="1"/>
  <c r="W271" i="7"/>
  <c r="AJ270" i="7"/>
  <c r="V340" i="7"/>
  <c r="K846" i="27"/>
  <c r="X271" i="7" l="1"/>
  <c r="AJ271" i="7"/>
  <c r="W272" i="7"/>
  <c r="V341" i="7"/>
  <c r="K845" i="27"/>
  <c r="X272" i="7" l="1"/>
  <c r="W273" i="7"/>
  <c r="AJ272" i="7"/>
  <c r="V342" i="7"/>
  <c r="K844" i="27"/>
  <c r="X273" i="7" l="1"/>
  <c r="AJ273" i="7"/>
  <c r="W274" i="7"/>
  <c r="V343" i="7"/>
  <c r="K843" i="27"/>
  <c r="X274" i="7" l="1"/>
  <c r="W275" i="7"/>
  <c r="AJ274" i="7"/>
  <c r="V344" i="7"/>
  <c r="K842" i="27"/>
  <c r="X275" i="7" l="1"/>
  <c r="AJ275" i="7"/>
  <c r="W276" i="7"/>
  <c r="V345" i="7"/>
  <c r="K841" i="27"/>
  <c r="X276" i="7" l="1"/>
  <c r="AJ276" i="7"/>
  <c r="W277" i="7"/>
  <c r="V346" i="7"/>
  <c r="K840" i="27"/>
  <c r="X277" i="7" l="1"/>
  <c r="W278" i="7"/>
  <c r="AJ277" i="7"/>
  <c r="V347" i="7"/>
  <c r="K839" i="27"/>
  <c r="X278" i="7" l="1"/>
  <c r="W279" i="7"/>
  <c r="AJ278" i="7"/>
  <c r="V348" i="7"/>
  <c r="K838" i="27"/>
  <c r="X279" i="7" l="1"/>
  <c r="AJ279" i="7"/>
  <c r="W280" i="7"/>
  <c r="V349" i="7"/>
  <c r="K837" i="27"/>
  <c r="X280" i="7" l="1"/>
  <c r="AJ280" i="7"/>
  <c r="W281" i="7"/>
  <c r="V350" i="7"/>
  <c r="K836" i="27"/>
  <c r="X281" i="7" l="1"/>
  <c r="W282" i="7"/>
  <c r="AJ281" i="7"/>
  <c r="V351" i="7"/>
  <c r="K835" i="27"/>
  <c r="X282" i="7" l="1"/>
  <c r="AJ282" i="7"/>
  <c r="W283" i="7"/>
  <c r="V352" i="7"/>
  <c r="K834" i="27"/>
  <c r="X283" i="7" l="1"/>
  <c r="W284" i="7"/>
  <c r="AJ283" i="7"/>
  <c r="V353" i="7"/>
  <c r="K833" i="27"/>
  <c r="X284" i="7" l="1"/>
  <c r="AJ284" i="7"/>
  <c r="W285" i="7"/>
  <c r="V354" i="7"/>
  <c r="K832" i="27"/>
  <c r="X285" i="7" l="1"/>
  <c r="W286" i="7"/>
  <c r="AJ285" i="7"/>
  <c r="V355" i="7"/>
  <c r="K831" i="27"/>
  <c r="X286" i="7" l="1"/>
  <c r="AJ286" i="7"/>
  <c r="W287" i="7"/>
  <c r="V356" i="7"/>
  <c r="K830" i="27"/>
  <c r="X287" i="7" l="1"/>
  <c r="W288" i="7"/>
  <c r="AJ287" i="7"/>
  <c r="V357" i="7"/>
  <c r="K829" i="27"/>
  <c r="X288" i="7" l="1"/>
  <c r="W289" i="7"/>
  <c r="AJ288" i="7"/>
  <c r="V358" i="7"/>
  <c r="K828" i="27"/>
  <c r="X289" i="7" l="1"/>
  <c r="W290" i="7"/>
  <c r="AJ289" i="7"/>
  <c r="V359" i="7"/>
  <c r="K827" i="27"/>
  <c r="X290" i="7" l="1"/>
  <c r="AJ290" i="7"/>
  <c r="W291" i="7"/>
  <c r="V360" i="7"/>
  <c r="K826" i="27"/>
  <c r="X291" i="7" l="1"/>
  <c r="W292" i="7"/>
  <c r="AJ291" i="7"/>
  <c r="V361" i="7"/>
  <c r="K825" i="27"/>
  <c r="X292" i="7" l="1"/>
  <c r="AJ292" i="7"/>
  <c r="W293" i="7"/>
  <c r="V362" i="7"/>
  <c r="K824" i="27"/>
  <c r="X293" i="7" l="1"/>
  <c r="AJ293" i="7"/>
  <c r="W294" i="7"/>
  <c r="V363" i="7"/>
  <c r="K823" i="27"/>
  <c r="X294" i="7" l="1"/>
  <c r="AJ294" i="7"/>
  <c r="W295" i="7"/>
  <c r="V364" i="7"/>
  <c r="K822" i="27"/>
  <c r="X295" i="7" l="1"/>
  <c r="AJ295" i="7"/>
  <c r="W296" i="7"/>
  <c r="V365" i="7"/>
  <c r="K821" i="27"/>
  <c r="X296" i="7" l="1"/>
  <c r="AJ296" i="7"/>
  <c r="W297" i="7"/>
  <c r="V366" i="7"/>
  <c r="K820" i="27"/>
  <c r="X297" i="7" l="1"/>
  <c r="W298" i="7"/>
  <c r="AJ297" i="7"/>
  <c r="V367" i="7"/>
  <c r="K819" i="27"/>
  <c r="X298" i="7" l="1"/>
  <c r="AJ298" i="7"/>
  <c r="W299" i="7"/>
  <c r="V368" i="7"/>
  <c r="K818" i="27"/>
  <c r="X299" i="7" l="1"/>
  <c r="W300" i="7"/>
  <c r="AJ299" i="7"/>
  <c r="V369" i="7"/>
  <c r="K817" i="27"/>
  <c r="X300" i="7" l="1"/>
  <c r="AJ300" i="7"/>
  <c r="W301" i="7"/>
  <c r="V370" i="7"/>
  <c r="K816" i="27"/>
  <c r="X301" i="7" l="1"/>
  <c r="W302" i="7"/>
  <c r="AJ301" i="7"/>
  <c r="V371" i="7"/>
  <c r="K815" i="27"/>
  <c r="X302" i="7" l="1"/>
  <c r="AJ302" i="7"/>
  <c r="W303" i="7"/>
  <c r="V372" i="7"/>
  <c r="K814" i="27"/>
  <c r="X303" i="7" l="1"/>
  <c r="W304" i="7"/>
  <c r="AJ303" i="7"/>
  <c r="V373" i="7"/>
  <c r="K813" i="27"/>
  <c r="X304" i="7" l="1"/>
  <c r="AJ304" i="7"/>
  <c r="W305" i="7"/>
  <c r="V374" i="7"/>
  <c r="K812" i="27"/>
  <c r="X305" i="7" l="1"/>
  <c r="W306" i="7"/>
  <c r="AJ305" i="7"/>
  <c r="V375" i="7"/>
  <c r="K811" i="27"/>
  <c r="X306" i="7" l="1"/>
  <c r="AJ306" i="7"/>
  <c r="W307" i="7"/>
  <c r="V376" i="7"/>
  <c r="K810" i="27"/>
  <c r="X307" i="7" l="1"/>
  <c r="AJ307" i="7"/>
  <c r="W308" i="7"/>
  <c r="V377" i="7"/>
  <c r="K809" i="27"/>
  <c r="X308" i="7" l="1"/>
  <c r="AJ308" i="7"/>
  <c r="W309" i="7"/>
  <c r="V378" i="7"/>
  <c r="K808" i="27"/>
  <c r="X309" i="7" l="1"/>
  <c r="AJ309" i="7"/>
  <c r="W310" i="7"/>
  <c r="V379" i="7"/>
  <c r="K807" i="27"/>
  <c r="X310" i="7" l="1"/>
  <c r="AJ310" i="7"/>
  <c r="W311" i="7"/>
  <c r="V380" i="7"/>
  <c r="K806" i="27"/>
  <c r="X311" i="7" l="1"/>
  <c r="AJ311" i="7"/>
  <c r="W312" i="7"/>
  <c r="V381" i="7"/>
  <c r="K805" i="27"/>
  <c r="X312" i="7" l="1"/>
  <c r="W313" i="7"/>
  <c r="AJ312" i="7"/>
  <c r="V382" i="7"/>
  <c r="K804" i="27"/>
  <c r="X313" i="7" l="1"/>
  <c r="AJ313" i="7"/>
  <c r="W314" i="7"/>
  <c r="V383" i="7"/>
  <c r="K803" i="27"/>
  <c r="X314" i="7" l="1"/>
  <c r="W315" i="7"/>
  <c r="AJ314" i="7"/>
  <c r="V384" i="7"/>
  <c r="K802" i="27"/>
  <c r="X315" i="7" l="1"/>
  <c r="AJ315" i="7"/>
  <c r="W316" i="7"/>
  <c r="V385" i="7"/>
  <c r="K801" i="27"/>
  <c r="X316" i="7" l="1"/>
  <c r="W317" i="7"/>
  <c r="AJ316" i="7"/>
  <c r="V386" i="7"/>
  <c r="K800" i="27"/>
  <c r="X317" i="7" l="1"/>
  <c r="AJ317" i="7"/>
  <c r="W318" i="7"/>
  <c r="V387" i="7"/>
  <c r="K799" i="27"/>
  <c r="X318" i="7" l="1"/>
  <c r="W319" i="7"/>
  <c r="AJ318" i="7"/>
  <c r="V388" i="7"/>
  <c r="K798" i="27"/>
  <c r="X319" i="7" l="1"/>
  <c r="AJ319" i="7"/>
  <c r="W320" i="7"/>
  <c r="V389" i="7"/>
  <c r="K797" i="27"/>
  <c r="X320" i="7" l="1"/>
  <c r="AJ320" i="7"/>
  <c r="W321" i="7"/>
  <c r="V390" i="7"/>
  <c r="K796" i="27"/>
  <c r="X321" i="7" l="1"/>
  <c r="AJ321" i="7"/>
  <c r="W322" i="7"/>
  <c r="V391" i="7"/>
  <c r="K795" i="27"/>
  <c r="X322" i="7" l="1"/>
  <c r="W323" i="7"/>
  <c r="AJ322" i="7"/>
  <c r="V392" i="7"/>
  <c r="K794" i="27"/>
  <c r="X323" i="7" l="1"/>
  <c r="W324" i="7"/>
  <c r="AJ323" i="7"/>
  <c r="V393" i="7"/>
  <c r="K793" i="27"/>
  <c r="X324" i="7" l="1"/>
  <c r="W325" i="7"/>
  <c r="AJ324" i="7"/>
  <c r="V394" i="7"/>
  <c r="K792" i="27"/>
  <c r="X325" i="7" l="1"/>
  <c r="AJ325" i="7"/>
  <c r="W326" i="7"/>
  <c r="V395" i="7"/>
  <c r="K791" i="27"/>
  <c r="X326" i="7" l="1"/>
  <c r="W327" i="7"/>
  <c r="AJ326" i="7"/>
  <c r="V396" i="7"/>
  <c r="K790" i="27"/>
  <c r="X327" i="7" l="1"/>
  <c r="AJ327" i="7"/>
  <c r="W328" i="7"/>
  <c r="V397" i="7"/>
  <c r="K789" i="27"/>
  <c r="X328" i="7" l="1"/>
  <c r="W329" i="7"/>
  <c r="AJ328" i="7"/>
  <c r="V398" i="7"/>
  <c r="K788" i="27"/>
  <c r="X329" i="7" l="1"/>
  <c r="AJ329" i="7"/>
  <c r="W330" i="7"/>
  <c r="V399" i="7"/>
  <c r="K787" i="27"/>
  <c r="X330" i="7" l="1"/>
  <c r="W331" i="7"/>
  <c r="AJ330" i="7"/>
  <c r="V400" i="7"/>
  <c r="K786" i="27"/>
  <c r="X331" i="7" l="1"/>
  <c r="W332" i="7"/>
  <c r="AJ331" i="7"/>
  <c r="V401" i="7"/>
  <c r="K785" i="27"/>
  <c r="X332" i="7" l="1"/>
  <c r="W333" i="7"/>
  <c r="AJ332" i="7"/>
  <c r="V402" i="7"/>
  <c r="K784" i="27"/>
  <c r="X333" i="7" l="1"/>
  <c r="AJ333" i="7"/>
  <c r="W334" i="7"/>
  <c r="V403" i="7"/>
  <c r="K783" i="27"/>
  <c r="X334" i="7" l="1"/>
  <c r="W335" i="7"/>
  <c r="AJ334" i="7"/>
  <c r="V404" i="7"/>
  <c r="K782" i="27"/>
  <c r="X335" i="7" l="1"/>
  <c r="W336" i="7"/>
  <c r="AJ335" i="7"/>
  <c r="V405" i="7"/>
  <c r="K781" i="27"/>
  <c r="X336" i="7" l="1"/>
  <c r="AJ336" i="7"/>
  <c r="W337" i="7"/>
  <c r="V406" i="7"/>
  <c r="K780" i="27"/>
  <c r="X337" i="7" l="1"/>
  <c r="AJ337" i="7"/>
  <c r="W338" i="7"/>
  <c r="V407" i="7"/>
  <c r="K779" i="27"/>
  <c r="X338" i="7" l="1"/>
  <c r="AJ338" i="7"/>
  <c r="W339" i="7"/>
  <c r="V408" i="7"/>
  <c r="K778" i="27"/>
  <c r="X339" i="7" l="1"/>
  <c r="AJ339" i="7"/>
  <c r="W340" i="7"/>
  <c r="V409" i="7"/>
  <c r="K777" i="27"/>
  <c r="X340" i="7" l="1"/>
  <c r="W341" i="7"/>
  <c r="AJ340" i="7"/>
  <c r="V410" i="7"/>
  <c r="K776" i="27"/>
  <c r="X341" i="7" l="1"/>
  <c r="W342" i="7"/>
  <c r="AJ341" i="7"/>
  <c r="V411" i="7"/>
  <c r="K775" i="27"/>
  <c r="X342" i="7" l="1"/>
  <c r="AJ342" i="7"/>
  <c r="W343" i="7"/>
  <c r="V412" i="7"/>
  <c r="K774" i="27"/>
  <c r="X343" i="7" l="1"/>
  <c r="W344" i="7"/>
  <c r="AJ343" i="7"/>
  <c r="V413" i="7"/>
  <c r="K773" i="27"/>
  <c r="X344" i="7" l="1"/>
  <c r="AJ344" i="7"/>
  <c r="W345" i="7"/>
  <c r="V414" i="7"/>
  <c r="K772" i="27"/>
  <c r="X345" i="7" l="1"/>
  <c r="W346" i="7"/>
  <c r="AJ345" i="7"/>
  <c r="V415" i="7"/>
  <c r="K771" i="27"/>
  <c r="X346" i="7" l="1"/>
  <c r="AJ346" i="7"/>
  <c r="W347" i="7"/>
  <c r="V416" i="7"/>
  <c r="K770" i="27"/>
  <c r="X347" i="7" l="1"/>
  <c r="W348" i="7"/>
  <c r="AJ347" i="7"/>
  <c r="V417" i="7"/>
  <c r="K769" i="27"/>
  <c r="X348" i="7" l="1"/>
  <c r="AJ348" i="7"/>
  <c r="W349" i="7"/>
  <c r="V418" i="7"/>
  <c r="K768" i="27"/>
  <c r="X349" i="7" l="1"/>
  <c r="W350" i="7"/>
  <c r="AJ349" i="7"/>
  <c r="V419" i="7"/>
  <c r="K767" i="27"/>
  <c r="X350" i="7" l="1"/>
  <c r="AJ350" i="7"/>
  <c r="W351" i="7"/>
  <c r="V420" i="7"/>
  <c r="K766" i="27"/>
  <c r="X351" i="7" l="1"/>
  <c r="AJ351" i="7"/>
  <c r="W352" i="7"/>
  <c r="V421" i="7"/>
  <c r="K765" i="27"/>
  <c r="X352" i="7" l="1"/>
  <c r="W353" i="7"/>
  <c r="AJ352" i="7"/>
  <c r="V422" i="7"/>
  <c r="K764" i="27"/>
  <c r="X353" i="7" l="1"/>
  <c r="AJ353" i="7"/>
  <c r="W354" i="7"/>
  <c r="V423" i="7"/>
  <c r="K763" i="27"/>
  <c r="X354" i="7" l="1"/>
  <c r="AJ354" i="7"/>
  <c r="W355" i="7"/>
  <c r="V424" i="7"/>
  <c r="K762" i="27"/>
  <c r="X355" i="7" l="1"/>
  <c r="W356" i="7"/>
  <c r="AJ355" i="7"/>
  <c r="V425" i="7"/>
  <c r="K761" i="27"/>
  <c r="X356" i="7" l="1"/>
  <c r="AJ356" i="7"/>
  <c r="W357" i="7"/>
  <c r="V426" i="7"/>
  <c r="K760" i="27"/>
  <c r="X357" i="7" l="1"/>
  <c r="AJ357" i="7"/>
  <c r="W358" i="7"/>
  <c r="V427" i="7"/>
  <c r="K759" i="27"/>
  <c r="X358" i="7" l="1"/>
  <c r="W359" i="7"/>
  <c r="AJ358" i="7"/>
  <c r="V428" i="7"/>
  <c r="K758" i="27"/>
  <c r="X359" i="7" l="1"/>
  <c r="AJ359" i="7"/>
  <c r="W360" i="7"/>
  <c r="V429" i="7"/>
  <c r="K757" i="27"/>
  <c r="X360" i="7" l="1"/>
  <c r="W361" i="7"/>
  <c r="AJ360" i="7"/>
  <c r="V430" i="7"/>
  <c r="K756" i="27"/>
  <c r="X361" i="7" l="1"/>
  <c r="AJ361" i="7"/>
  <c r="W362" i="7"/>
  <c r="V431" i="7"/>
  <c r="K755" i="27"/>
  <c r="X362" i="7" l="1"/>
  <c r="W363" i="7"/>
  <c r="AJ362" i="7"/>
  <c r="V432" i="7"/>
  <c r="K754" i="27"/>
  <c r="X363" i="7" l="1"/>
  <c r="W364" i="7"/>
  <c r="AJ363" i="7"/>
  <c r="V433" i="7"/>
  <c r="K753" i="27"/>
  <c r="X364" i="7" l="1"/>
  <c r="W365" i="7"/>
  <c r="AJ364" i="7"/>
  <c r="V434" i="7"/>
  <c r="K752" i="27"/>
  <c r="X365" i="7" l="1"/>
  <c r="AJ365" i="7"/>
  <c r="W366" i="7"/>
  <c r="V435" i="7"/>
  <c r="K751" i="27"/>
  <c r="X366" i="7" l="1"/>
  <c r="AJ366" i="7"/>
  <c r="W367" i="7"/>
  <c r="V436" i="7"/>
  <c r="K750" i="27"/>
  <c r="X367" i="7" l="1"/>
  <c r="AJ367" i="7"/>
  <c r="W368" i="7"/>
  <c r="V437" i="7"/>
  <c r="K749" i="27"/>
  <c r="X368" i="7" l="1"/>
  <c r="W369" i="7"/>
  <c r="AJ368" i="7"/>
  <c r="V438" i="7"/>
  <c r="K748" i="27"/>
  <c r="X369" i="7" l="1"/>
  <c r="AJ369" i="7"/>
  <c r="W370" i="7"/>
  <c r="V439" i="7"/>
  <c r="K747" i="27"/>
  <c r="X370" i="7" l="1"/>
  <c r="AJ370" i="7"/>
  <c r="W371" i="7"/>
  <c r="V440" i="7"/>
  <c r="K746" i="27"/>
  <c r="X371" i="7" l="1"/>
  <c r="AJ371" i="7"/>
  <c r="W372" i="7"/>
  <c r="V441" i="7"/>
  <c r="K745" i="27"/>
  <c r="X372" i="7" l="1"/>
  <c r="AJ372" i="7"/>
  <c r="W373" i="7"/>
  <c r="V442" i="7"/>
  <c r="K744" i="27"/>
  <c r="X373" i="7" l="1"/>
  <c r="AJ373" i="7"/>
  <c r="W374" i="7"/>
  <c r="V443" i="7"/>
  <c r="K743" i="27"/>
  <c r="X374" i="7" l="1"/>
  <c r="AJ374" i="7"/>
  <c r="W375" i="7"/>
  <c r="V444" i="7"/>
  <c r="K742" i="27"/>
  <c r="X375" i="7" l="1"/>
  <c r="AJ375" i="7"/>
  <c r="W376" i="7"/>
  <c r="V445" i="7"/>
  <c r="K741" i="27"/>
  <c r="X376" i="7" l="1"/>
  <c r="W377" i="7"/>
  <c r="AJ376" i="7"/>
  <c r="V446" i="7"/>
  <c r="K740" i="27"/>
  <c r="X377" i="7" l="1"/>
  <c r="W378" i="7"/>
  <c r="AJ377" i="7"/>
  <c r="V447" i="7"/>
  <c r="K739" i="27"/>
  <c r="X378" i="7" l="1"/>
  <c r="AJ378" i="7"/>
  <c r="W379" i="7"/>
  <c r="V448" i="7"/>
  <c r="K738" i="27"/>
  <c r="X379" i="7" l="1"/>
  <c r="AJ379" i="7"/>
  <c r="W380" i="7"/>
  <c r="V449" i="7"/>
  <c r="K737" i="27"/>
  <c r="X380" i="7" l="1"/>
  <c r="W381" i="7"/>
  <c r="AJ380" i="7"/>
  <c r="V450" i="7"/>
  <c r="K736" i="27"/>
  <c r="X381" i="7" l="1"/>
  <c r="AJ381" i="7"/>
  <c r="W382" i="7"/>
  <c r="V451" i="7"/>
  <c r="K735" i="27"/>
  <c r="X382" i="7" l="1"/>
  <c r="W383" i="7"/>
  <c r="AJ382" i="7"/>
  <c r="V452" i="7"/>
  <c r="K734" i="27"/>
  <c r="X383" i="7" l="1"/>
  <c r="AJ383" i="7"/>
  <c r="W384" i="7"/>
  <c r="V453" i="7"/>
  <c r="K733" i="27"/>
  <c r="X384" i="7" l="1"/>
  <c r="W385" i="7"/>
  <c r="AJ384" i="7"/>
  <c r="V454" i="7"/>
  <c r="K732" i="27"/>
  <c r="X385" i="7" l="1"/>
  <c r="AJ385" i="7"/>
  <c r="W386" i="7"/>
  <c r="V455" i="7"/>
  <c r="K731" i="27"/>
  <c r="X386" i="7" l="1"/>
  <c r="AJ386" i="7"/>
  <c r="W387" i="7"/>
  <c r="V456" i="7"/>
  <c r="K730" i="27"/>
  <c r="X387" i="7" l="1"/>
  <c r="AJ387" i="7"/>
  <c r="W388" i="7"/>
  <c r="V457" i="7"/>
  <c r="K729" i="27"/>
  <c r="X388" i="7" l="1"/>
  <c r="AJ388" i="7"/>
  <c r="W389" i="7"/>
  <c r="V458" i="7"/>
  <c r="K728" i="27"/>
  <c r="X389" i="7" l="1"/>
  <c r="W390" i="7"/>
  <c r="AJ389" i="7"/>
  <c r="V459" i="7"/>
  <c r="K727" i="27"/>
  <c r="X390" i="7" l="1"/>
  <c r="AJ390" i="7"/>
  <c r="W391" i="7"/>
  <c r="V460" i="7"/>
  <c r="K726" i="27"/>
  <c r="X391" i="7" l="1"/>
  <c r="W392" i="7"/>
  <c r="AJ391" i="7"/>
  <c r="V461" i="7"/>
  <c r="K725" i="27"/>
  <c r="X392" i="7" l="1"/>
  <c r="AJ392" i="7"/>
  <c r="W393" i="7"/>
  <c r="V462" i="7"/>
  <c r="K724" i="27"/>
  <c r="X393" i="7" l="1"/>
  <c r="AJ393" i="7"/>
  <c r="W394" i="7"/>
  <c r="V463" i="7"/>
  <c r="K723" i="27"/>
  <c r="X394" i="7" l="1"/>
  <c r="AJ394" i="7"/>
  <c r="W395" i="7"/>
  <c r="V464" i="7"/>
  <c r="K722" i="27"/>
  <c r="X395" i="7" l="1"/>
  <c r="AJ395" i="7"/>
  <c r="W396" i="7"/>
  <c r="V465" i="7"/>
  <c r="K721" i="27"/>
  <c r="X396" i="7" l="1"/>
  <c r="AJ396" i="7"/>
  <c r="W397" i="7"/>
  <c r="V466" i="7"/>
  <c r="K720" i="27"/>
  <c r="X397" i="7" l="1"/>
  <c r="W398" i="7"/>
  <c r="AJ397" i="7"/>
  <c r="V467" i="7"/>
  <c r="K719" i="27"/>
  <c r="X398" i="7" l="1"/>
  <c r="AJ398" i="7"/>
  <c r="W399" i="7"/>
  <c r="V468" i="7"/>
  <c r="K718" i="27"/>
  <c r="X399" i="7" l="1"/>
  <c r="W400" i="7"/>
  <c r="AJ399" i="7"/>
  <c r="V469" i="7"/>
  <c r="K717" i="27"/>
  <c r="X400" i="7" l="1"/>
  <c r="W401" i="7"/>
  <c r="AJ400" i="7"/>
  <c r="V470" i="7"/>
  <c r="K716" i="27"/>
  <c r="X401" i="7" l="1"/>
  <c r="AJ401" i="7"/>
  <c r="W402" i="7"/>
  <c r="V471" i="7"/>
  <c r="K715" i="27"/>
  <c r="X402" i="7" l="1"/>
  <c r="W403" i="7"/>
  <c r="AJ402" i="7"/>
  <c r="V472" i="7"/>
  <c r="K714" i="27"/>
  <c r="X403" i="7" l="1"/>
  <c r="AJ403" i="7"/>
  <c r="W404" i="7"/>
  <c r="V473" i="7"/>
  <c r="K713" i="27"/>
  <c r="X404" i="7" l="1"/>
  <c r="W405" i="7"/>
  <c r="AJ404" i="7"/>
  <c r="V474" i="7"/>
  <c r="K712" i="27"/>
  <c r="X405" i="7" l="1"/>
  <c r="AJ405" i="7"/>
  <c r="W406" i="7"/>
  <c r="V475" i="7"/>
  <c r="K711" i="27"/>
  <c r="X406" i="7" l="1"/>
  <c r="W407" i="7"/>
  <c r="AJ406" i="7"/>
  <c r="V476" i="7"/>
  <c r="K710" i="27"/>
  <c r="X407" i="7" l="1"/>
  <c r="AJ407" i="7"/>
  <c r="W408" i="7"/>
  <c r="V477" i="7"/>
  <c r="K709" i="27"/>
  <c r="X408" i="7" l="1"/>
  <c r="W409" i="7"/>
  <c r="AJ408" i="7"/>
  <c r="V478" i="7"/>
  <c r="K708" i="27"/>
  <c r="X409" i="7" l="1"/>
  <c r="W410" i="7"/>
  <c r="AJ409" i="7"/>
  <c r="V479" i="7"/>
  <c r="K707" i="27"/>
  <c r="X410" i="7" l="1"/>
  <c r="AJ410" i="7"/>
  <c r="W411" i="7"/>
  <c r="V480" i="7"/>
  <c r="K706" i="27"/>
  <c r="X411" i="7" l="1"/>
  <c r="W412" i="7"/>
  <c r="AJ411" i="7"/>
  <c r="V481" i="7"/>
  <c r="K705" i="27"/>
  <c r="X412" i="7" l="1"/>
  <c r="W413" i="7"/>
  <c r="AJ412" i="7"/>
  <c r="V482" i="7"/>
  <c r="K704" i="27"/>
  <c r="X413" i="7" l="1"/>
  <c r="W414" i="7"/>
  <c r="AJ413" i="7"/>
  <c r="V483" i="7"/>
  <c r="K703" i="27"/>
  <c r="X414" i="7" l="1"/>
  <c r="AJ414" i="7"/>
  <c r="W415" i="7"/>
  <c r="V484" i="7"/>
  <c r="K702" i="27"/>
  <c r="X415" i="7" l="1"/>
  <c r="W416" i="7"/>
  <c r="AJ415" i="7"/>
  <c r="V485" i="7"/>
  <c r="K701" i="27"/>
  <c r="X416" i="7" l="1"/>
  <c r="AJ416" i="7"/>
  <c r="W417" i="7"/>
  <c r="V486" i="7"/>
  <c r="K700" i="27"/>
  <c r="X417" i="7" l="1"/>
  <c r="W418" i="7"/>
  <c r="AJ417" i="7"/>
  <c r="V487" i="7"/>
  <c r="K699" i="27"/>
  <c r="X418" i="7" l="1"/>
  <c r="AJ418" i="7"/>
  <c r="W419" i="7"/>
  <c r="V488" i="7"/>
  <c r="K698" i="27"/>
  <c r="X419" i="7" l="1"/>
  <c r="W420" i="7"/>
  <c r="AJ419" i="7"/>
  <c r="V489" i="7"/>
  <c r="K697" i="27"/>
  <c r="X420" i="7" l="1"/>
  <c r="AJ420" i="7"/>
  <c r="W421" i="7"/>
  <c r="V490" i="7"/>
  <c r="K696" i="27"/>
  <c r="X421" i="7" l="1"/>
  <c r="W422" i="7"/>
  <c r="AJ421" i="7"/>
  <c r="V491" i="7"/>
  <c r="K695" i="27"/>
  <c r="X422" i="7" l="1"/>
  <c r="AJ422" i="7"/>
  <c r="W423" i="7"/>
  <c r="V492" i="7"/>
  <c r="K694" i="27"/>
  <c r="X423" i="7" l="1"/>
  <c r="W424" i="7"/>
  <c r="AJ423" i="7"/>
  <c r="V493" i="7"/>
  <c r="K693" i="27"/>
  <c r="X424" i="7" l="1"/>
  <c r="AJ424" i="7"/>
  <c r="W425" i="7"/>
  <c r="V494" i="7"/>
  <c r="K692" i="27"/>
  <c r="X425" i="7" l="1"/>
  <c r="W426" i="7"/>
  <c r="AJ425" i="7"/>
  <c r="V495" i="7"/>
  <c r="K691" i="27"/>
  <c r="X426" i="7" l="1"/>
  <c r="AJ426" i="7"/>
  <c r="W427" i="7"/>
  <c r="V496" i="7"/>
  <c r="K690" i="27"/>
  <c r="X427" i="7" l="1"/>
  <c r="W428" i="7"/>
  <c r="AJ427" i="7"/>
  <c r="V497" i="7"/>
  <c r="K689" i="27"/>
  <c r="X428" i="7" l="1"/>
  <c r="AJ428" i="7"/>
  <c r="W429" i="7"/>
  <c r="V498" i="7"/>
  <c r="K688" i="27"/>
  <c r="X429" i="7" l="1"/>
  <c r="W430" i="7"/>
  <c r="AJ429" i="7"/>
  <c r="V499" i="7"/>
  <c r="K687" i="27"/>
  <c r="X430" i="7" l="1"/>
  <c r="AJ430" i="7"/>
  <c r="W431" i="7"/>
  <c r="V500" i="7"/>
  <c r="K686" i="27"/>
  <c r="X431" i="7" l="1"/>
  <c r="W432" i="7"/>
  <c r="AJ431" i="7"/>
  <c r="V501" i="7"/>
  <c r="K685" i="27"/>
  <c r="X432" i="7" l="1"/>
  <c r="AJ432" i="7"/>
  <c r="W433" i="7"/>
  <c r="V502" i="7"/>
  <c r="K684" i="27"/>
  <c r="X433" i="7" l="1"/>
  <c r="W434" i="7"/>
  <c r="AJ433" i="7"/>
  <c r="V503" i="7"/>
  <c r="K683" i="27"/>
  <c r="X434" i="7" l="1"/>
  <c r="AJ434" i="7"/>
  <c r="W435" i="7"/>
  <c r="V504" i="7"/>
  <c r="K682" i="27"/>
  <c r="X435" i="7" l="1"/>
  <c r="W436" i="7"/>
  <c r="AJ435" i="7"/>
  <c r="V505" i="7"/>
  <c r="K681" i="27"/>
  <c r="X436" i="7" l="1"/>
  <c r="AJ436" i="7"/>
  <c r="W437" i="7"/>
  <c r="V506" i="7"/>
  <c r="K680" i="27"/>
  <c r="X437" i="7" l="1"/>
  <c r="W438" i="7"/>
  <c r="AJ437" i="7"/>
  <c r="V507" i="7"/>
  <c r="K679" i="27"/>
  <c r="X438" i="7" l="1"/>
  <c r="AJ438" i="7"/>
  <c r="W439" i="7"/>
  <c r="V508" i="7"/>
  <c r="K678" i="27"/>
  <c r="X439" i="7" l="1"/>
  <c r="W440" i="7"/>
  <c r="AJ439" i="7"/>
  <c r="V509" i="7"/>
  <c r="K677" i="27"/>
  <c r="X440" i="7" l="1"/>
  <c r="AJ440" i="7"/>
  <c r="W441" i="7"/>
  <c r="V510" i="7"/>
  <c r="K676" i="27"/>
  <c r="X441" i="7" l="1"/>
  <c r="W442" i="7"/>
  <c r="AJ441" i="7"/>
  <c r="V511" i="7"/>
  <c r="K675" i="27"/>
  <c r="X442" i="7" l="1"/>
  <c r="AJ442" i="7"/>
  <c r="W443" i="7"/>
  <c r="V512" i="7"/>
  <c r="K674" i="27"/>
  <c r="X443" i="7" l="1"/>
  <c r="W444" i="7"/>
  <c r="AJ443" i="7"/>
  <c r="V513" i="7"/>
  <c r="K673" i="27"/>
  <c r="X444" i="7" l="1"/>
  <c r="AJ444" i="7"/>
  <c r="W445" i="7"/>
  <c r="V514" i="7"/>
  <c r="K672" i="27"/>
  <c r="X445" i="7" l="1"/>
  <c r="W446" i="7"/>
  <c r="AJ445" i="7"/>
  <c r="V515" i="7"/>
  <c r="K671" i="27"/>
  <c r="X446" i="7" l="1"/>
  <c r="AJ446" i="7"/>
  <c r="W447" i="7"/>
  <c r="V516" i="7"/>
  <c r="K670" i="27"/>
  <c r="X447" i="7" l="1"/>
  <c r="W448" i="7"/>
  <c r="AJ447" i="7"/>
  <c r="V517" i="7"/>
  <c r="K669" i="27"/>
  <c r="X448" i="7" l="1"/>
  <c r="AJ448" i="7"/>
  <c r="W449" i="7"/>
  <c r="V518" i="7"/>
  <c r="K668" i="27"/>
  <c r="X449" i="7" l="1"/>
  <c r="W450" i="7"/>
  <c r="AJ449" i="7"/>
  <c r="V519" i="7"/>
  <c r="K667" i="27"/>
  <c r="X450" i="7" l="1"/>
  <c r="AJ450" i="7"/>
  <c r="W451" i="7"/>
  <c r="V520" i="7"/>
  <c r="K666" i="27"/>
  <c r="X451" i="7" l="1"/>
  <c r="W452" i="7"/>
  <c r="AJ451" i="7"/>
  <c r="V521" i="7"/>
  <c r="K665" i="27"/>
  <c r="X452" i="7" l="1"/>
  <c r="W453" i="7"/>
  <c r="AJ452" i="7"/>
  <c r="V522" i="7"/>
  <c r="K664" i="27"/>
  <c r="X453" i="7" l="1"/>
  <c r="W454" i="7"/>
  <c r="AJ453" i="7"/>
  <c r="V523" i="7"/>
  <c r="K663" i="27"/>
  <c r="X454" i="7" l="1"/>
  <c r="AJ454" i="7"/>
  <c r="W455" i="7"/>
  <c r="V524" i="7"/>
  <c r="K662" i="27"/>
  <c r="X455" i="7" l="1"/>
  <c r="W456" i="7"/>
  <c r="AJ455" i="7"/>
  <c r="V525" i="7"/>
  <c r="K661" i="27"/>
  <c r="X456" i="7" l="1"/>
  <c r="AJ456" i="7"/>
  <c r="W457" i="7"/>
  <c r="V526" i="7"/>
  <c r="K660" i="27"/>
  <c r="X457" i="7" l="1"/>
  <c r="W458" i="7"/>
  <c r="AJ457" i="7"/>
  <c r="V527" i="7"/>
  <c r="K659" i="27"/>
  <c r="X458" i="7" l="1"/>
  <c r="AJ458" i="7"/>
  <c r="W459" i="7"/>
  <c r="V528" i="7"/>
  <c r="K658" i="27"/>
  <c r="X459" i="7" l="1"/>
  <c r="W460" i="7"/>
  <c r="AJ459" i="7"/>
  <c r="V529" i="7"/>
  <c r="K657" i="27"/>
  <c r="X460" i="7" l="1"/>
  <c r="AJ460" i="7"/>
  <c r="W461" i="7"/>
  <c r="V530" i="7"/>
  <c r="K656" i="27"/>
  <c r="X461" i="7" l="1"/>
  <c r="AJ461" i="7"/>
  <c r="W462" i="7"/>
  <c r="V531" i="7"/>
  <c r="K655" i="27"/>
  <c r="X462" i="7" l="1"/>
  <c r="AJ462" i="7"/>
  <c r="W463" i="7"/>
  <c r="V532" i="7"/>
  <c r="K654" i="27"/>
  <c r="X463" i="7" l="1"/>
  <c r="W464" i="7"/>
  <c r="AJ463" i="7"/>
  <c r="V533" i="7"/>
  <c r="K653" i="27"/>
  <c r="X464" i="7" l="1"/>
  <c r="AJ464" i="7"/>
  <c r="W465" i="7"/>
  <c r="V534" i="7"/>
  <c r="K652" i="27"/>
  <c r="X465" i="7" l="1"/>
  <c r="W466" i="7"/>
  <c r="AJ465" i="7"/>
  <c r="V535" i="7"/>
  <c r="K651" i="27"/>
  <c r="X466" i="7" l="1"/>
  <c r="AJ466" i="7"/>
  <c r="W467" i="7"/>
  <c r="V536" i="7"/>
  <c r="K650" i="27"/>
  <c r="X467" i="7" l="1"/>
  <c r="AJ467" i="7"/>
  <c r="W468" i="7"/>
  <c r="V537" i="7"/>
  <c r="K649" i="27"/>
  <c r="X468" i="7" l="1"/>
  <c r="AJ468" i="7"/>
  <c r="W469" i="7"/>
  <c r="V538" i="7"/>
  <c r="K648" i="27"/>
  <c r="X469" i="7" l="1"/>
  <c r="W470" i="7"/>
  <c r="AJ469" i="7"/>
  <c r="V539" i="7"/>
  <c r="K647" i="27"/>
  <c r="X470" i="7" l="1"/>
  <c r="AJ470" i="7"/>
  <c r="W471" i="7"/>
  <c r="V540" i="7"/>
  <c r="K646" i="27"/>
  <c r="X471" i="7" l="1"/>
  <c r="W472" i="7"/>
  <c r="AJ471" i="7"/>
  <c r="V541" i="7"/>
  <c r="K645" i="27"/>
  <c r="X472" i="7" l="1"/>
  <c r="AJ472" i="7"/>
  <c r="W473" i="7"/>
  <c r="V542" i="7"/>
  <c r="K644" i="27"/>
  <c r="X473" i="7" l="1"/>
  <c r="W474" i="7"/>
  <c r="AJ473" i="7"/>
  <c r="V543" i="7"/>
  <c r="K643" i="27"/>
  <c r="X474" i="7" l="1"/>
  <c r="AJ474" i="7"/>
  <c r="W475" i="7"/>
  <c r="V544" i="7"/>
  <c r="K642" i="27"/>
  <c r="X475" i="7" l="1"/>
  <c r="W476" i="7"/>
  <c r="AJ475" i="7"/>
  <c r="V545" i="7"/>
  <c r="K641" i="27"/>
  <c r="X476" i="7" l="1"/>
  <c r="AJ476" i="7"/>
  <c r="W477" i="7"/>
  <c r="V546" i="7"/>
  <c r="K640" i="27"/>
  <c r="X477" i="7" l="1"/>
  <c r="W478" i="7"/>
  <c r="AJ477" i="7"/>
  <c r="V547" i="7"/>
  <c r="K639" i="27"/>
  <c r="X478" i="7" l="1"/>
  <c r="AJ478" i="7"/>
  <c r="W479" i="7"/>
  <c r="V548" i="7"/>
  <c r="K638" i="27"/>
  <c r="X479" i="7" l="1"/>
  <c r="W480" i="7"/>
  <c r="AJ479" i="7"/>
  <c r="V549" i="7"/>
  <c r="K637" i="27"/>
  <c r="X480" i="7" l="1"/>
  <c r="AJ480" i="7"/>
  <c r="W481" i="7"/>
  <c r="V550" i="7"/>
  <c r="K636" i="27"/>
  <c r="X481" i="7" l="1"/>
  <c r="AJ481" i="7"/>
  <c r="W482" i="7"/>
  <c r="V551" i="7"/>
  <c r="K635" i="27"/>
  <c r="X482" i="7" l="1"/>
  <c r="AJ482" i="7"/>
  <c r="W483" i="7"/>
  <c r="V552" i="7"/>
  <c r="K634" i="27"/>
  <c r="X483" i="7" l="1"/>
  <c r="W484" i="7"/>
  <c r="AJ483" i="7"/>
  <c r="V553" i="7"/>
  <c r="K633" i="27"/>
  <c r="X484" i="7" l="1"/>
  <c r="AJ484" i="7"/>
  <c r="W485" i="7"/>
  <c r="V554" i="7"/>
  <c r="K632" i="27"/>
  <c r="X485" i="7" l="1"/>
  <c r="W486" i="7"/>
  <c r="AJ485" i="7"/>
  <c r="V555" i="7"/>
  <c r="K631" i="27"/>
  <c r="X486" i="7" l="1"/>
  <c r="AJ486" i="7"/>
  <c r="W487" i="7"/>
  <c r="V556" i="7"/>
  <c r="K630" i="27"/>
  <c r="X487" i="7" l="1"/>
  <c r="W488" i="7"/>
  <c r="AJ487" i="7"/>
  <c r="V557" i="7"/>
  <c r="K629" i="27"/>
  <c r="X488" i="7" l="1"/>
  <c r="AJ488" i="7"/>
  <c r="W489" i="7"/>
  <c r="V558" i="7"/>
  <c r="K628" i="27"/>
  <c r="X489" i="7" l="1"/>
  <c r="W490" i="7"/>
  <c r="AJ489" i="7"/>
  <c r="V559" i="7"/>
  <c r="K627" i="27"/>
  <c r="X490" i="7" l="1"/>
  <c r="AJ490" i="7"/>
  <c r="W491" i="7"/>
  <c r="V560" i="7"/>
  <c r="K626" i="27"/>
  <c r="X491" i="7" l="1"/>
  <c r="AJ491" i="7"/>
  <c r="W492" i="7"/>
  <c r="V561" i="7"/>
  <c r="K625" i="27"/>
  <c r="X492" i="7" l="1"/>
  <c r="W493" i="7"/>
  <c r="AJ492" i="7"/>
  <c r="V562" i="7"/>
  <c r="K624" i="27"/>
  <c r="X493" i="7" l="1"/>
  <c r="W494" i="7"/>
  <c r="AJ493" i="7"/>
  <c r="V563" i="7"/>
  <c r="K623" i="27"/>
  <c r="X494" i="7" l="1"/>
  <c r="AJ494" i="7"/>
  <c r="W495" i="7"/>
  <c r="V564" i="7"/>
  <c r="K622" i="27"/>
  <c r="X495" i="7" l="1"/>
  <c r="W496" i="7"/>
  <c r="AJ495" i="7"/>
  <c r="V565" i="7"/>
  <c r="K621" i="27"/>
  <c r="X496" i="7" l="1"/>
  <c r="AJ496" i="7"/>
  <c r="W497" i="7"/>
  <c r="V566" i="7"/>
  <c r="K620" i="27"/>
  <c r="X497" i="7" l="1"/>
  <c r="AJ497" i="7"/>
  <c r="W498" i="7"/>
  <c r="V567" i="7"/>
  <c r="K619" i="27"/>
  <c r="X498" i="7" l="1"/>
  <c r="AJ498" i="7"/>
  <c r="W499" i="7"/>
  <c r="V568" i="7"/>
  <c r="K618" i="27"/>
  <c r="X499" i="7" l="1"/>
  <c r="AJ499" i="7"/>
  <c r="W500" i="7"/>
  <c r="V569" i="7"/>
  <c r="K617" i="27"/>
  <c r="X500" i="7" l="1"/>
  <c r="AJ500" i="7"/>
  <c r="W501" i="7"/>
  <c r="V570" i="7"/>
  <c r="K616" i="27"/>
  <c r="X501" i="7" l="1"/>
  <c r="AJ501" i="7"/>
  <c r="W502" i="7"/>
  <c r="V571" i="7"/>
  <c r="K615" i="27"/>
  <c r="X502" i="7" l="1"/>
  <c r="W503" i="7"/>
  <c r="AJ502" i="7"/>
  <c r="V572" i="7"/>
  <c r="K614" i="27"/>
  <c r="X503" i="7" l="1"/>
  <c r="AJ503" i="7"/>
  <c r="W504" i="7"/>
  <c r="V573" i="7"/>
  <c r="K613" i="27"/>
  <c r="X504" i="7" l="1"/>
  <c r="W505" i="7"/>
  <c r="AJ504" i="7"/>
  <c r="V574" i="7"/>
  <c r="K612" i="27"/>
  <c r="X505" i="7" l="1"/>
  <c r="W506" i="7"/>
  <c r="AJ505" i="7"/>
  <c r="V575" i="7"/>
  <c r="K611" i="27"/>
  <c r="X506" i="7" l="1"/>
  <c r="W507" i="7"/>
  <c r="AJ506" i="7"/>
  <c r="V576" i="7"/>
  <c r="K610" i="27"/>
  <c r="X507" i="7" l="1"/>
  <c r="AJ507" i="7"/>
  <c r="W508" i="7"/>
  <c r="V577" i="7"/>
  <c r="K609" i="27"/>
  <c r="X508" i="7" l="1"/>
  <c r="W509" i="7"/>
  <c r="AJ508" i="7"/>
  <c r="V578" i="7"/>
  <c r="K608" i="27"/>
  <c r="X509" i="7" l="1"/>
  <c r="AJ509" i="7"/>
  <c r="W510" i="7"/>
  <c r="V579" i="7"/>
  <c r="K607" i="27"/>
  <c r="X510" i="7" l="1"/>
  <c r="W511" i="7"/>
  <c r="AJ510" i="7"/>
  <c r="V580" i="7"/>
  <c r="K606" i="27"/>
  <c r="X511" i="7" l="1"/>
  <c r="W512" i="7"/>
  <c r="AJ511" i="7"/>
  <c r="V581" i="7"/>
  <c r="K605" i="27"/>
  <c r="X512" i="7" l="1"/>
  <c r="AJ512" i="7"/>
  <c r="W513" i="7"/>
  <c r="V582" i="7"/>
  <c r="K604" i="27"/>
  <c r="X513" i="7" l="1"/>
  <c r="W514" i="7"/>
  <c r="AJ513" i="7"/>
  <c r="V583" i="7"/>
  <c r="K603" i="27"/>
  <c r="X514" i="7" l="1"/>
  <c r="AJ514" i="7"/>
  <c r="W515" i="7"/>
  <c r="V584" i="7"/>
  <c r="K602" i="27"/>
  <c r="X515" i="7" l="1"/>
  <c r="W516" i="7"/>
  <c r="AJ515" i="7"/>
  <c r="V585" i="7"/>
  <c r="K601" i="27"/>
  <c r="X516" i="7" l="1"/>
  <c r="AJ516" i="7"/>
  <c r="W517" i="7"/>
  <c r="V586" i="7"/>
  <c r="K600" i="27"/>
  <c r="X517" i="7" l="1"/>
  <c r="AJ517" i="7"/>
  <c r="W518" i="7"/>
  <c r="V587" i="7"/>
  <c r="K599" i="27"/>
  <c r="X518" i="7" l="1"/>
  <c r="AJ518" i="7"/>
  <c r="W519" i="7"/>
  <c r="V588" i="7"/>
  <c r="K598" i="27"/>
  <c r="X519" i="7" l="1"/>
  <c r="AJ519" i="7"/>
  <c r="W520" i="7"/>
  <c r="V589" i="7"/>
  <c r="K597" i="27"/>
  <c r="X520" i="7" l="1"/>
  <c r="W521" i="7"/>
  <c r="AJ520" i="7"/>
  <c r="V590" i="7"/>
  <c r="K596" i="27"/>
  <c r="X521" i="7" l="1"/>
  <c r="W522" i="7"/>
  <c r="AJ521" i="7"/>
  <c r="V591" i="7"/>
  <c r="K595" i="27"/>
  <c r="X522" i="7" l="1"/>
  <c r="AJ522" i="7"/>
  <c r="W523" i="7"/>
  <c r="V592" i="7"/>
  <c r="K594" i="27"/>
  <c r="X523" i="7" l="1"/>
  <c r="W524" i="7"/>
  <c r="AJ523" i="7"/>
  <c r="V593" i="7"/>
  <c r="K593" i="27"/>
  <c r="X524" i="7" l="1"/>
  <c r="AJ524" i="7"/>
  <c r="W525" i="7"/>
  <c r="V594" i="7"/>
  <c r="K592" i="27"/>
  <c r="X525" i="7" l="1"/>
  <c r="W526" i="7"/>
  <c r="AJ525" i="7"/>
  <c r="V595" i="7"/>
  <c r="K591" i="27"/>
  <c r="X526" i="7" l="1"/>
  <c r="AJ526" i="7"/>
  <c r="W527" i="7"/>
  <c r="V596" i="7"/>
  <c r="K590" i="27"/>
  <c r="X527" i="7" l="1"/>
  <c r="AJ527" i="7"/>
  <c r="W528" i="7"/>
  <c r="V597" i="7"/>
  <c r="K589" i="27"/>
  <c r="X528" i="7" l="1"/>
  <c r="AJ528" i="7"/>
  <c r="W529" i="7"/>
  <c r="V598" i="7"/>
  <c r="K588" i="27"/>
  <c r="X529" i="7" l="1"/>
  <c r="W530" i="7"/>
  <c r="AJ529" i="7"/>
  <c r="V599" i="7"/>
  <c r="K587" i="27"/>
  <c r="X530" i="7" l="1"/>
  <c r="AJ530" i="7"/>
  <c r="W531" i="7"/>
  <c r="V600" i="7"/>
  <c r="K586" i="27"/>
  <c r="X531" i="7" l="1"/>
  <c r="AJ531" i="7"/>
  <c r="W532" i="7"/>
  <c r="V601" i="7"/>
  <c r="K585" i="27"/>
  <c r="X532" i="7" l="1"/>
  <c r="AJ532" i="7"/>
  <c r="W533" i="7"/>
  <c r="V602" i="7"/>
  <c r="K584" i="27"/>
  <c r="X533" i="7" l="1"/>
  <c r="AJ533" i="7"/>
  <c r="W534" i="7"/>
  <c r="V603" i="7"/>
  <c r="K583" i="27"/>
  <c r="X534" i="7" l="1"/>
  <c r="AJ534" i="7"/>
  <c r="W535" i="7"/>
  <c r="V604" i="7"/>
  <c r="K582" i="27"/>
  <c r="X535" i="7" l="1"/>
  <c r="AJ535" i="7"/>
  <c r="W536" i="7"/>
  <c r="V605" i="7"/>
  <c r="K581" i="27"/>
  <c r="X536" i="7" l="1"/>
  <c r="AJ536" i="7"/>
  <c r="W537" i="7"/>
  <c r="V606" i="7"/>
  <c r="K580" i="27"/>
  <c r="X537" i="7" l="1"/>
  <c r="AJ537" i="7"/>
  <c r="W538" i="7"/>
  <c r="V607" i="7"/>
  <c r="K579" i="27"/>
  <c r="X538" i="7" l="1"/>
  <c r="W539" i="7"/>
  <c r="AJ538" i="7"/>
  <c r="V608" i="7"/>
  <c r="K578" i="27"/>
  <c r="X539" i="7" l="1"/>
  <c r="AJ539" i="7"/>
  <c r="W540" i="7"/>
  <c r="V609" i="7"/>
  <c r="K577" i="27"/>
  <c r="X540" i="7" l="1"/>
  <c r="W541" i="7"/>
  <c r="AJ540" i="7"/>
  <c r="V610" i="7"/>
  <c r="K576" i="27"/>
  <c r="X541" i="7" l="1"/>
  <c r="W542" i="7"/>
  <c r="AJ541" i="7"/>
  <c r="V611" i="7"/>
  <c r="K575" i="27"/>
  <c r="X542" i="7" l="1"/>
  <c r="W543" i="7"/>
  <c r="AJ542" i="7"/>
  <c r="V612" i="7"/>
  <c r="K574" i="27"/>
  <c r="X543" i="7" l="1"/>
  <c r="AJ543" i="7"/>
  <c r="W544" i="7"/>
  <c r="V613" i="7"/>
  <c r="K573" i="27"/>
  <c r="X544" i="7" l="1"/>
  <c r="W545" i="7"/>
  <c r="AJ544" i="7"/>
  <c r="V614" i="7"/>
  <c r="K572" i="27"/>
  <c r="X545" i="7" l="1"/>
  <c r="AJ545" i="7"/>
  <c r="W546" i="7"/>
  <c r="V615" i="7"/>
  <c r="K571" i="27"/>
  <c r="X546" i="7" l="1"/>
  <c r="AJ546" i="7"/>
  <c r="W547" i="7"/>
  <c r="V616" i="7"/>
  <c r="K570" i="27"/>
  <c r="X547" i="7" l="1"/>
  <c r="AJ547" i="7"/>
  <c r="W548" i="7"/>
  <c r="V617" i="7"/>
  <c r="K569" i="27"/>
  <c r="X548" i="7" l="1"/>
  <c r="AJ548" i="7"/>
  <c r="W549" i="7"/>
  <c r="V618" i="7"/>
  <c r="K568" i="27"/>
  <c r="X549" i="7" l="1"/>
  <c r="AJ549" i="7"/>
  <c r="W550" i="7"/>
  <c r="V619" i="7"/>
  <c r="K567" i="27"/>
  <c r="X550" i="7" l="1"/>
  <c r="W551" i="7"/>
  <c r="AJ550" i="7"/>
  <c r="V620" i="7"/>
  <c r="K566" i="27"/>
  <c r="X551" i="7" l="1"/>
  <c r="AJ551" i="7"/>
  <c r="W552" i="7"/>
  <c r="V621" i="7"/>
  <c r="K565" i="27"/>
  <c r="X552" i="7" l="1"/>
  <c r="W553" i="7"/>
  <c r="AJ552" i="7"/>
  <c r="V622" i="7"/>
  <c r="K564" i="27"/>
  <c r="X553" i="7" l="1"/>
  <c r="AJ553" i="7"/>
  <c r="W554" i="7"/>
  <c r="V623" i="7"/>
  <c r="K563" i="27"/>
  <c r="X554" i="7" l="1"/>
  <c r="W555" i="7"/>
  <c r="AJ554" i="7"/>
  <c r="V624" i="7"/>
  <c r="K562" i="27"/>
  <c r="X555" i="7" l="1"/>
  <c r="AJ555" i="7"/>
  <c r="W556" i="7"/>
  <c r="V625" i="7"/>
  <c r="K561" i="27"/>
  <c r="X556" i="7" l="1"/>
  <c r="AJ556" i="7"/>
  <c r="W557" i="7"/>
  <c r="V626" i="7"/>
  <c r="K560" i="27"/>
  <c r="X557" i="7" l="1"/>
  <c r="AJ557" i="7"/>
  <c r="W558" i="7"/>
  <c r="V627" i="7"/>
  <c r="K559" i="27"/>
  <c r="X558" i="7" l="1"/>
  <c r="AJ558" i="7"/>
  <c r="W559" i="7"/>
  <c r="V628" i="7"/>
  <c r="K558" i="27"/>
  <c r="X559" i="7" l="1"/>
  <c r="W560" i="7"/>
  <c r="AJ559" i="7"/>
  <c r="V629" i="7"/>
  <c r="K557" i="27"/>
  <c r="X560" i="7" l="1"/>
  <c r="W561" i="7"/>
  <c r="AJ560" i="7"/>
  <c r="V630" i="7"/>
  <c r="K556" i="27"/>
  <c r="X561" i="7" l="1"/>
  <c r="W562" i="7"/>
  <c r="AJ561" i="7"/>
  <c r="V631" i="7"/>
  <c r="K555" i="27"/>
  <c r="X562" i="7" l="1"/>
  <c r="AJ562" i="7"/>
  <c r="W563" i="7"/>
  <c r="V632" i="7"/>
  <c r="K554" i="27"/>
  <c r="X563" i="7" l="1"/>
  <c r="W564" i="7"/>
  <c r="AJ563" i="7"/>
  <c r="V633" i="7"/>
  <c r="K553" i="27"/>
  <c r="X564" i="7" l="1"/>
  <c r="W565" i="7"/>
  <c r="AJ564" i="7"/>
  <c r="V634" i="7"/>
  <c r="K552" i="27"/>
  <c r="X565" i="7" l="1"/>
  <c r="AJ565" i="7"/>
  <c r="W566" i="7"/>
  <c r="V635" i="7"/>
  <c r="K551" i="27"/>
  <c r="X566" i="7" l="1"/>
  <c r="W567" i="7"/>
  <c r="AJ566" i="7"/>
  <c r="V636" i="7"/>
  <c r="K550" i="27"/>
  <c r="X567" i="7" l="1"/>
  <c r="AJ567" i="7"/>
  <c r="W568" i="7"/>
  <c r="V637" i="7"/>
  <c r="K549" i="27"/>
  <c r="X568" i="7" l="1"/>
  <c r="AJ568" i="7"/>
  <c r="W569" i="7"/>
  <c r="V638" i="7"/>
  <c r="K548" i="27"/>
  <c r="X569" i="7" l="1"/>
  <c r="W570" i="7"/>
  <c r="AJ569" i="7"/>
  <c r="V639" i="7"/>
  <c r="K547" i="27"/>
  <c r="X570" i="7" l="1"/>
  <c r="AJ570" i="7"/>
  <c r="W571" i="7"/>
  <c r="V640" i="7"/>
  <c r="K546" i="27"/>
  <c r="X571" i="7" l="1"/>
  <c r="W572" i="7"/>
  <c r="AJ571" i="7"/>
  <c r="V641" i="7"/>
  <c r="K545" i="27"/>
  <c r="X572" i="7" l="1"/>
  <c r="AJ572" i="7"/>
  <c r="W573" i="7"/>
  <c r="V642" i="7"/>
  <c r="K544" i="27"/>
  <c r="X573" i="7" l="1"/>
  <c r="W574" i="7"/>
  <c r="AJ573" i="7"/>
  <c r="V643" i="7"/>
  <c r="K543" i="27"/>
  <c r="X574" i="7" l="1"/>
  <c r="W575" i="7"/>
  <c r="AJ574" i="7"/>
  <c r="V644" i="7"/>
  <c r="K542" i="27"/>
  <c r="X575" i="7" l="1"/>
  <c r="W576" i="7"/>
  <c r="AJ575" i="7"/>
  <c r="V645" i="7"/>
  <c r="K541" i="27"/>
  <c r="X576" i="7" l="1"/>
  <c r="W577" i="7"/>
  <c r="AJ576" i="7"/>
  <c r="V646" i="7"/>
  <c r="K540" i="27"/>
  <c r="X577" i="7" l="1"/>
  <c r="AJ577" i="7"/>
  <c r="W578" i="7"/>
  <c r="V647" i="7"/>
  <c r="K539" i="27"/>
  <c r="X578" i="7" l="1"/>
  <c r="W579" i="7"/>
  <c r="AJ578" i="7"/>
  <c r="V648" i="7"/>
  <c r="K538" i="27"/>
  <c r="X579" i="7" l="1"/>
  <c r="W580" i="7"/>
  <c r="AJ579" i="7"/>
  <c r="V649" i="7"/>
  <c r="K537" i="27"/>
  <c r="X580" i="7" l="1"/>
  <c r="W581" i="7"/>
  <c r="AJ580" i="7"/>
  <c r="V650" i="7"/>
  <c r="K536" i="27"/>
  <c r="X581" i="7" l="1"/>
  <c r="W582" i="7"/>
  <c r="AJ581" i="7"/>
  <c r="V651" i="7"/>
  <c r="K535" i="27"/>
  <c r="X582" i="7" l="1"/>
  <c r="AJ582" i="7"/>
  <c r="W583" i="7"/>
  <c r="V652" i="7"/>
  <c r="K534" i="27"/>
  <c r="X583" i="7" l="1"/>
  <c r="W584" i="7"/>
  <c r="AJ583" i="7"/>
  <c r="V653" i="7"/>
  <c r="K533" i="27"/>
  <c r="X584" i="7" l="1"/>
  <c r="W585" i="7"/>
  <c r="AJ584" i="7"/>
  <c r="V654" i="7"/>
  <c r="K532" i="27"/>
  <c r="X585" i="7" l="1"/>
  <c r="AJ585" i="7"/>
  <c r="W586" i="7"/>
  <c r="V655" i="7"/>
  <c r="K531" i="27"/>
  <c r="X586" i="7" l="1"/>
  <c r="AJ586" i="7"/>
  <c r="W587" i="7"/>
  <c r="V656" i="7"/>
  <c r="K530" i="27"/>
  <c r="X587" i="7" l="1"/>
  <c r="W588" i="7"/>
  <c r="AJ587" i="7"/>
  <c r="V657" i="7"/>
  <c r="K529" i="27"/>
  <c r="X588" i="7" l="1"/>
  <c r="AJ588" i="7"/>
  <c r="W589" i="7"/>
  <c r="V658" i="7"/>
  <c r="K528" i="27"/>
  <c r="X589" i="7" l="1"/>
  <c r="W590" i="7"/>
  <c r="AJ589" i="7"/>
  <c r="V659" i="7"/>
  <c r="K527" i="27"/>
  <c r="X590" i="7" l="1"/>
  <c r="AJ590" i="7"/>
  <c r="W591" i="7"/>
  <c r="V660" i="7"/>
  <c r="K526" i="27"/>
  <c r="X591" i="7" l="1"/>
  <c r="W592" i="7"/>
  <c r="AJ591" i="7"/>
  <c r="V661" i="7"/>
  <c r="K525" i="27"/>
  <c r="X592" i="7" l="1"/>
  <c r="W593" i="7"/>
  <c r="AJ592" i="7"/>
  <c r="V662" i="7"/>
  <c r="K524" i="27"/>
  <c r="X593" i="7" l="1"/>
  <c r="W594" i="7"/>
  <c r="AJ593" i="7"/>
  <c r="V663" i="7"/>
  <c r="K523" i="27"/>
  <c r="X594" i="7" l="1"/>
  <c r="W595" i="7"/>
  <c r="AJ594" i="7"/>
  <c r="V664" i="7"/>
  <c r="K522" i="27"/>
  <c r="X595" i="7" l="1"/>
  <c r="AJ595" i="7"/>
  <c r="W596" i="7"/>
  <c r="V665" i="7"/>
  <c r="K521" i="27"/>
  <c r="X596" i="7" l="1"/>
  <c r="W597" i="7"/>
  <c r="AJ596" i="7"/>
  <c r="V666" i="7"/>
  <c r="K520" i="27"/>
  <c r="X597" i="7" l="1"/>
  <c r="AJ597" i="7"/>
  <c r="W598" i="7"/>
  <c r="V667" i="7"/>
  <c r="K519" i="27"/>
  <c r="X598" i="7" l="1"/>
  <c r="W599" i="7"/>
  <c r="AJ598" i="7"/>
  <c r="V668" i="7"/>
  <c r="K518" i="27"/>
  <c r="X599" i="7" l="1"/>
  <c r="W600" i="7"/>
  <c r="AJ599" i="7"/>
  <c r="V669" i="7"/>
  <c r="K517" i="27"/>
  <c r="X600" i="7" l="1"/>
  <c r="W601" i="7"/>
  <c r="AJ600" i="7"/>
  <c r="V670" i="7"/>
  <c r="K516" i="27"/>
  <c r="X601" i="7" l="1"/>
  <c r="W602" i="7"/>
  <c r="AJ601" i="7"/>
  <c r="V671" i="7"/>
  <c r="K515" i="27"/>
  <c r="X602" i="7" l="1"/>
  <c r="W603" i="7"/>
  <c r="AJ602" i="7"/>
  <c r="V672" i="7"/>
  <c r="K514" i="27"/>
  <c r="X603" i="7" l="1"/>
  <c r="AJ603" i="7"/>
  <c r="W604" i="7"/>
  <c r="V673" i="7"/>
  <c r="K513" i="27"/>
  <c r="X604" i="7" l="1"/>
  <c r="W605" i="7"/>
  <c r="AJ604" i="7"/>
  <c r="V674" i="7"/>
  <c r="K512" i="27"/>
  <c r="X605" i="7" l="1"/>
  <c r="AJ605" i="7"/>
  <c r="W606" i="7"/>
  <c r="V675" i="7"/>
  <c r="K511" i="27"/>
  <c r="X606" i="7" l="1"/>
  <c r="W607" i="7"/>
  <c r="AJ606" i="7"/>
  <c r="V676" i="7"/>
  <c r="K510" i="27"/>
  <c r="X607" i="7" l="1"/>
  <c r="W608" i="7"/>
  <c r="AJ607" i="7"/>
  <c r="V677" i="7"/>
  <c r="K509" i="27"/>
  <c r="X608" i="7" l="1"/>
  <c r="AJ608" i="7"/>
  <c r="W609" i="7"/>
  <c r="V678" i="7"/>
  <c r="K508" i="27"/>
  <c r="X609" i="7" l="1"/>
  <c r="W610" i="7"/>
  <c r="AJ609" i="7"/>
  <c r="V679" i="7"/>
  <c r="K507" i="27"/>
  <c r="X610" i="7" l="1"/>
  <c r="W611" i="7"/>
  <c r="AJ610" i="7"/>
  <c r="V680" i="7"/>
  <c r="K506" i="27"/>
  <c r="X611" i="7" l="1"/>
  <c r="AJ611" i="7"/>
  <c r="W612" i="7"/>
  <c r="V681" i="7"/>
  <c r="K505" i="27"/>
  <c r="X612" i="7" l="1"/>
  <c r="W613" i="7"/>
  <c r="AJ612" i="7"/>
  <c r="V682" i="7"/>
  <c r="K504" i="27"/>
  <c r="X613" i="7" l="1"/>
  <c r="AJ613" i="7"/>
  <c r="W614" i="7"/>
  <c r="V683" i="7"/>
  <c r="K503" i="27"/>
  <c r="X614" i="7" l="1"/>
  <c r="W615" i="7"/>
  <c r="AJ614" i="7"/>
  <c r="V684" i="7"/>
  <c r="K502" i="27"/>
  <c r="X615" i="7" l="1"/>
  <c r="AJ615" i="7"/>
  <c r="W616" i="7"/>
  <c r="V685" i="7"/>
  <c r="K501" i="27"/>
  <c r="X616" i="7" l="1"/>
  <c r="W617" i="7"/>
  <c r="AJ616" i="7"/>
  <c r="V686" i="7"/>
  <c r="K500" i="27"/>
  <c r="X617" i="7" l="1"/>
  <c r="AJ617" i="7"/>
  <c r="W618" i="7"/>
  <c r="V687" i="7"/>
  <c r="K499" i="27"/>
  <c r="X618" i="7" l="1"/>
  <c r="W619" i="7"/>
  <c r="AJ618" i="7"/>
  <c r="V688" i="7"/>
  <c r="K498" i="27"/>
  <c r="X619" i="7" l="1"/>
  <c r="W620" i="7"/>
  <c r="AJ619" i="7"/>
  <c r="V689" i="7"/>
  <c r="K497" i="27"/>
  <c r="X620" i="7" l="1"/>
  <c r="W621" i="7"/>
  <c r="AJ620" i="7"/>
  <c r="V690" i="7"/>
  <c r="K496" i="27"/>
  <c r="X621" i="7" l="1"/>
  <c r="AJ621" i="7"/>
  <c r="W622" i="7"/>
  <c r="V691" i="7"/>
  <c r="K495" i="27"/>
  <c r="X622" i="7" l="1"/>
  <c r="W623" i="7"/>
  <c r="AJ622" i="7"/>
  <c r="V692" i="7"/>
  <c r="K494" i="27"/>
  <c r="X623" i="7" l="1"/>
  <c r="AJ623" i="7"/>
  <c r="W624" i="7"/>
  <c r="V693" i="7"/>
  <c r="K493" i="27"/>
  <c r="X624" i="7" l="1"/>
  <c r="AJ624" i="7"/>
  <c r="W625" i="7"/>
  <c r="V694" i="7"/>
  <c r="K492" i="27"/>
  <c r="X625" i="7" l="1"/>
  <c r="AJ625" i="7"/>
  <c r="W626" i="7"/>
  <c r="V695" i="7"/>
  <c r="K491" i="27"/>
  <c r="X626" i="7" l="1"/>
  <c r="AJ626" i="7"/>
  <c r="W627" i="7"/>
  <c r="V696" i="7"/>
  <c r="K490" i="27"/>
  <c r="X627" i="7" l="1"/>
  <c r="W628" i="7"/>
  <c r="AJ627" i="7"/>
  <c r="V697" i="7"/>
  <c r="K489" i="27"/>
  <c r="X628" i="7" l="1"/>
  <c r="AJ628" i="7"/>
  <c r="W629" i="7"/>
  <c r="V698" i="7"/>
  <c r="K488" i="27"/>
  <c r="X629" i="7" l="1"/>
  <c r="AJ629" i="7"/>
  <c r="W630" i="7"/>
  <c r="V699" i="7"/>
  <c r="K487" i="27"/>
  <c r="X630" i="7" l="1"/>
  <c r="AJ630" i="7"/>
  <c r="W631" i="7"/>
  <c r="V700" i="7"/>
  <c r="K486" i="27"/>
  <c r="X631" i="7" l="1"/>
  <c r="W632" i="7"/>
  <c r="AJ631" i="7"/>
  <c r="V701" i="7"/>
  <c r="K485" i="27"/>
  <c r="X632" i="7" l="1"/>
  <c r="W633" i="7"/>
  <c r="AJ632" i="7"/>
  <c r="V702" i="7"/>
  <c r="K484" i="27"/>
  <c r="X633" i="7" l="1"/>
  <c r="W634" i="7"/>
  <c r="AJ633" i="7"/>
  <c r="V703" i="7"/>
  <c r="K483" i="27"/>
  <c r="X634" i="7" l="1"/>
  <c r="AJ634" i="7"/>
  <c r="W635" i="7"/>
  <c r="V704" i="7"/>
  <c r="K482" i="27"/>
  <c r="X635" i="7" l="1"/>
  <c r="W636" i="7"/>
  <c r="AJ635" i="7"/>
  <c r="V705" i="7"/>
  <c r="K481" i="27"/>
  <c r="X636" i="7" l="1"/>
  <c r="AJ636" i="7"/>
  <c r="W637" i="7"/>
  <c r="V706" i="7"/>
  <c r="K480" i="27"/>
  <c r="X637" i="7" l="1"/>
  <c r="W638" i="7"/>
  <c r="AJ637" i="7"/>
  <c r="V707" i="7"/>
  <c r="K479" i="27"/>
  <c r="X638" i="7" l="1"/>
  <c r="AJ638" i="7"/>
  <c r="W639" i="7"/>
  <c r="V708" i="7"/>
  <c r="K478" i="27"/>
  <c r="X639" i="7" l="1"/>
  <c r="W640" i="7"/>
  <c r="AJ639" i="7"/>
  <c r="V709" i="7"/>
  <c r="K477" i="27"/>
  <c r="X640" i="7" l="1"/>
  <c r="AJ640" i="7"/>
  <c r="W641" i="7"/>
  <c r="V710" i="7"/>
  <c r="K476" i="27"/>
  <c r="X641" i="7" l="1"/>
  <c r="W642" i="7"/>
  <c r="AJ641" i="7"/>
  <c r="V711" i="7"/>
  <c r="K475" i="27"/>
  <c r="X642" i="7" l="1"/>
  <c r="W643" i="7"/>
  <c r="AJ642" i="7"/>
  <c r="V712" i="7"/>
  <c r="K474" i="27"/>
  <c r="X643" i="7" l="1"/>
  <c r="W644" i="7"/>
  <c r="AJ643" i="7"/>
  <c r="V713" i="7"/>
  <c r="K473" i="27"/>
  <c r="X644" i="7" l="1"/>
  <c r="AJ644" i="7"/>
  <c r="W645" i="7"/>
  <c r="V714" i="7"/>
  <c r="K472" i="27"/>
  <c r="X645" i="7" l="1"/>
  <c r="AJ645" i="7"/>
  <c r="W646" i="7"/>
  <c r="V715" i="7"/>
  <c r="K471" i="27"/>
  <c r="X646" i="7" l="1"/>
  <c r="AJ646" i="7"/>
  <c r="W647" i="7"/>
  <c r="V716" i="7"/>
  <c r="K470" i="27"/>
  <c r="X647" i="7" l="1"/>
  <c r="AJ647" i="7"/>
  <c r="W648" i="7"/>
  <c r="V717" i="7"/>
  <c r="K469" i="27"/>
  <c r="X648" i="7" l="1"/>
  <c r="W649" i="7"/>
  <c r="AJ648" i="7"/>
  <c r="V718" i="7"/>
  <c r="K468" i="27"/>
  <c r="X649" i="7" l="1"/>
  <c r="W650" i="7"/>
  <c r="AJ649" i="7"/>
  <c r="V719" i="7"/>
  <c r="K466" i="27"/>
  <c r="K467" i="27"/>
  <c r="X650" i="7" l="1"/>
  <c r="AJ650" i="7"/>
  <c r="W651" i="7"/>
  <c r="V720" i="7"/>
  <c r="K465" i="27"/>
  <c r="X651" i="7" l="1"/>
  <c r="W652" i="7"/>
  <c r="AJ651" i="7"/>
  <c r="V721" i="7"/>
  <c r="K464" i="27"/>
  <c r="X652" i="7" l="1"/>
  <c r="AJ652" i="7"/>
  <c r="W653" i="7"/>
  <c r="V722" i="7"/>
  <c r="K463" i="27"/>
  <c r="X653" i="7" l="1"/>
  <c r="W654" i="7"/>
  <c r="AJ653" i="7"/>
  <c r="V723" i="7"/>
  <c r="K462" i="27"/>
  <c r="X654" i="7" l="1"/>
  <c r="AJ654" i="7"/>
  <c r="W655" i="7"/>
  <c r="V724" i="7"/>
  <c r="K461" i="27"/>
  <c r="X655" i="7" l="1"/>
  <c r="W656" i="7"/>
  <c r="AJ655" i="7"/>
  <c r="V725" i="7"/>
  <c r="H15" i="36"/>
  <c r="K460" i="27"/>
  <c r="X656" i="7" l="1"/>
  <c r="W657" i="7"/>
  <c r="AJ656" i="7"/>
  <c r="V726" i="7"/>
  <c r="Y6" i="36"/>
  <c r="Y7" i="36" s="1"/>
  <c r="K459" i="27"/>
  <c r="X657" i="7" l="1"/>
  <c r="W658" i="7"/>
  <c r="AJ657" i="7"/>
  <c r="V727" i="7"/>
  <c r="K458" i="27"/>
  <c r="X658" i="7" l="1"/>
  <c r="W659" i="7"/>
  <c r="AJ658" i="7"/>
  <c r="V728" i="7"/>
  <c r="K457" i="27"/>
  <c r="X659" i="7" l="1"/>
  <c r="AJ659" i="7"/>
  <c r="W660" i="7"/>
  <c r="V729" i="7"/>
  <c r="K456" i="27"/>
  <c r="X660" i="7" l="1"/>
  <c r="AJ660" i="7"/>
  <c r="W661" i="7"/>
  <c r="V730" i="7"/>
  <c r="K455" i="27"/>
  <c r="X661" i="7" l="1"/>
  <c r="W662" i="7"/>
  <c r="AJ661" i="7"/>
  <c r="V731" i="7"/>
  <c r="K454" i="27"/>
  <c r="X662" i="7" l="1"/>
  <c r="AJ662" i="7"/>
  <c r="W663" i="7"/>
  <c r="V732" i="7"/>
  <c r="K453" i="27"/>
  <c r="X663" i="7" l="1"/>
  <c r="W664" i="7"/>
  <c r="AJ663" i="7"/>
  <c r="V733" i="7"/>
  <c r="K452" i="27"/>
  <c r="X664" i="7" l="1"/>
  <c r="AJ664" i="7"/>
  <c r="W665" i="7"/>
  <c r="V734" i="7"/>
  <c r="K451" i="27"/>
  <c r="X665" i="7" l="1"/>
  <c r="W666" i="7"/>
  <c r="AJ665" i="7"/>
  <c r="V735" i="7"/>
  <c r="K450" i="27"/>
  <c r="X666" i="7" l="1"/>
  <c r="AJ666" i="7"/>
  <c r="W667" i="7"/>
  <c r="V736" i="7"/>
  <c r="K449" i="27"/>
  <c r="X667" i="7" l="1"/>
  <c r="AJ667" i="7"/>
  <c r="W668" i="7"/>
  <c r="V737" i="7"/>
  <c r="K448" i="27"/>
  <c r="X668" i="7" l="1"/>
  <c r="AJ668" i="7"/>
  <c r="W669" i="7"/>
  <c r="V738" i="7"/>
  <c r="K447" i="27"/>
  <c r="X669" i="7" l="1"/>
  <c r="W670" i="7"/>
  <c r="AJ669" i="7"/>
  <c r="V739" i="7"/>
  <c r="K446" i="27"/>
  <c r="X670" i="7" l="1"/>
  <c r="AJ670" i="7"/>
  <c r="W671" i="7"/>
  <c r="V740" i="7"/>
  <c r="K445" i="27"/>
  <c r="X671" i="7" l="1"/>
  <c r="AJ671" i="7"/>
  <c r="W672" i="7"/>
  <c r="V741" i="7"/>
  <c r="K444" i="27"/>
  <c r="X672" i="7" l="1"/>
  <c r="AJ672" i="7"/>
  <c r="W673" i="7"/>
  <c r="V742" i="7"/>
  <c r="K443" i="27"/>
  <c r="X673" i="7" l="1"/>
  <c r="W674" i="7"/>
  <c r="AJ673" i="7"/>
  <c r="V743" i="7"/>
  <c r="K442" i="27"/>
  <c r="X674" i="7" l="1"/>
  <c r="AJ674" i="7"/>
  <c r="W675" i="7"/>
  <c r="V744" i="7"/>
  <c r="K441" i="27"/>
  <c r="X675" i="7" l="1"/>
  <c r="W676" i="7"/>
  <c r="AJ675" i="7"/>
  <c r="V745" i="7"/>
  <c r="K440" i="27"/>
  <c r="X676" i="7" l="1"/>
  <c r="AJ676" i="7"/>
  <c r="W677" i="7"/>
  <c r="V746" i="7"/>
  <c r="K439" i="27"/>
  <c r="X677" i="7" l="1"/>
  <c r="W678" i="7"/>
  <c r="AJ677" i="7"/>
  <c r="V747" i="7"/>
  <c r="K438" i="27"/>
  <c r="X678" i="7" l="1"/>
  <c r="AJ678" i="7"/>
  <c r="W679" i="7"/>
  <c r="V748" i="7"/>
  <c r="K437" i="27"/>
  <c r="X679" i="7" l="1"/>
  <c r="AJ679" i="7"/>
  <c r="W680" i="7"/>
  <c r="V749" i="7"/>
  <c r="K436" i="27"/>
  <c r="X680" i="7" l="1"/>
  <c r="AJ680" i="7"/>
  <c r="W681" i="7"/>
  <c r="V750" i="7"/>
  <c r="K435" i="27"/>
  <c r="X681" i="7" l="1"/>
  <c r="W682" i="7"/>
  <c r="AJ681" i="7"/>
  <c r="V751" i="7"/>
  <c r="K434" i="27"/>
  <c r="X682" i="7" l="1"/>
  <c r="W683" i="7"/>
  <c r="AJ682" i="7"/>
  <c r="V752" i="7"/>
  <c r="K433" i="27"/>
  <c r="X683" i="7" l="1"/>
  <c r="W684" i="7"/>
  <c r="AJ683" i="7"/>
  <c r="V753" i="7"/>
  <c r="K432" i="27"/>
  <c r="X684" i="7" l="1"/>
  <c r="AJ684" i="7"/>
  <c r="W685" i="7"/>
  <c r="V754" i="7"/>
  <c r="K431" i="27"/>
  <c r="X685" i="7" l="1"/>
  <c r="W686" i="7"/>
  <c r="AJ685" i="7"/>
  <c r="V755" i="7"/>
  <c r="K430" i="27"/>
  <c r="X686" i="7" l="1"/>
  <c r="AJ686" i="7"/>
  <c r="W687" i="7"/>
  <c r="V756" i="7"/>
  <c r="K429" i="27"/>
  <c r="X687" i="7" l="1"/>
  <c r="W688" i="7"/>
  <c r="AJ687" i="7"/>
  <c r="V757" i="7"/>
  <c r="K428" i="27"/>
  <c r="X688" i="7" l="1"/>
  <c r="AJ688" i="7"/>
  <c r="W689" i="7"/>
  <c r="V758" i="7"/>
  <c r="K427" i="27"/>
  <c r="X689" i="7" l="1"/>
  <c r="W690" i="7"/>
  <c r="AJ689" i="7"/>
  <c r="V759" i="7"/>
  <c r="K426" i="27"/>
  <c r="X690" i="7" l="1"/>
  <c r="AJ690" i="7"/>
  <c r="W691" i="7"/>
  <c r="V760" i="7"/>
  <c r="K425" i="27"/>
  <c r="X691" i="7" l="1"/>
  <c r="AJ691" i="7"/>
  <c r="W692" i="7"/>
  <c r="V761" i="7"/>
  <c r="K424" i="27"/>
  <c r="X692" i="7" l="1"/>
  <c r="AJ692" i="7"/>
  <c r="W693" i="7"/>
  <c r="V762" i="7"/>
  <c r="K423" i="27"/>
  <c r="X693" i="7" l="1"/>
  <c r="W694" i="7"/>
  <c r="AJ693" i="7"/>
  <c r="V763" i="7"/>
  <c r="K422" i="27"/>
  <c r="X694" i="7" l="1"/>
  <c r="AJ694" i="7"/>
  <c r="W695" i="7"/>
  <c r="V764" i="7"/>
  <c r="K421" i="27"/>
  <c r="X695" i="7" l="1"/>
  <c r="AJ695" i="7"/>
  <c r="W696" i="7"/>
  <c r="V765" i="7"/>
  <c r="K420" i="27"/>
  <c r="X696" i="7" l="1"/>
  <c r="AJ696" i="7"/>
  <c r="W697" i="7"/>
  <c r="V766" i="7"/>
  <c r="K419" i="27"/>
  <c r="X697" i="7" l="1"/>
  <c r="W698" i="7"/>
  <c r="AJ697" i="7"/>
  <c r="V767" i="7"/>
  <c r="K418" i="27"/>
  <c r="X698" i="7" l="1"/>
  <c r="AJ698" i="7"/>
  <c r="W699" i="7"/>
  <c r="V768" i="7"/>
  <c r="K417" i="27"/>
  <c r="X699" i="7" l="1"/>
  <c r="AJ699" i="7"/>
  <c r="W700" i="7"/>
  <c r="V769" i="7"/>
  <c r="K416" i="27"/>
  <c r="X700" i="7" l="1"/>
  <c r="W701" i="7"/>
  <c r="AJ700" i="7"/>
  <c r="V770" i="7"/>
  <c r="K415" i="27"/>
  <c r="X701" i="7" l="1"/>
  <c r="W702" i="7"/>
  <c r="AJ701" i="7"/>
  <c r="V771" i="7"/>
  <c r="K414" i="27"/>
  <c r="X702" i="7" l="1"/>
  <c r="AJ702" i="7"/>
  <c r="W703" i="7"/>
  <c r="V772" i="7"/>
  <c r="K413" i="27"/>
  <c r="X703" i="7" l="1"/>
  <c r="W704" i="7"/>
  <c r="AJ703" i="7"/>
  <c r="V773" i="7"/>
  <c r="K412" i="27"/>
  <c r="X704" i="7" l="1"/>
  <c r="AJ704" i="7"/>
  <c r="W705" i="7"/>
  <c r="V774" i="7"/>
  <c r="K411" i="27"/>
  <c r="X705" i="7" l="1"/>
  <c r="AJ705" i="7"/>
  <c r="W706" i="7"/>
  <c r="V775" i="7"/>
  <c r="K410" i="27"/>
  <c r="X706" i="7" l="1"/>
  <c r="AJ706" i="7"/>
  <c r="W707" i="7"/>
  <c r="V776" i="7"/>
  <c r="K409" i="27"/>
  <c r="X707" i="7" l="1"/>
  <c r="W708" i="7"/>
  <c r="AJ707" i="7"/>
  <c r="V777" i="7"/>
  <c r="K408" i="27"/>
  <c r="X708" i="7" l="1"/>
  <c r="AJ708" i="7"/>
  <c r="W709" i="7"/>
  <c r="V778" i="7"/>
  <c r="K407" i="27"/>
  <c r="X709" i="7" l="1"/>
  <c r="W710" i="7"/>
  <c r="AJ709" i="7"/>
  <c r="V779" i="7"/>
  <c r="K406" i="27"/>
  <c r="X710" i="7" l="1"/>
  <c r="AJ710" i="7"/>
  <c r="W711" i="7"/>
  <c r="V780" i="7"/>
  <c r="K405" i="27"/>
  <c r="X711" i="7" l="1"/>
  <c r="AJ711" i="7"/>
  <c r="W712" i="7"/>
  <c r="V781" i="7"/>
  <c r="K404" i="27"/>
  <c r="X712" i="7" l="1"/>
  <c r="AJ712" i="7"/>
  <c r="W713" i="7"/>
  <c r="V782" i="7"/>
  <c r="K403" i="27"/>
  <c r="X713" i="7" l="1"/>
  <c r="AJ713" i="7"/>
  <c r="W714" i="7"/>
  <c r="V783" i="7"/>
  <c r="K402" i="27"/>
  <c r="X714" i="7" l="1"/>
  <c r="AJ714" i="7"/>
  <c r="W715" i="7"/>
  <c r="V784" i="7"/>
  <c r="K401" i="27"/>
  <c r="X715" i="7" l="1"/>
  <c r="AJ715" i="7"/>
  <c r="W716" i="7"/>
  <c r="V785" i="7"/>
  <c r="K400" i="27"/>
  <c r="X716" i="7" l="1"/>
  <c r="AJ716" i="7"/>
  <c r="W717" i="7"/>
  <c r="V786" i="7"/>
  <c r="K399" i="27"/>
  <c r="X717" i="7" l="1"/>
  <c r="AJ717" i="7"/>
  <c r="W718" i="7"/>
  <c r="V787" i="7"/>
  <c r="K398" i="27"/>
  <c r="X718" i="7" l="1"/>
  <c r="AJ718" i="7"/>
  <c r="W719" i="7"/>
  <c r="V788" i="7"/>
  <c r="K397" i="27"/>
  <c r="X719" i="7" l="1"/>
  <c r="AJ719" i="7"/>
  <c r="W720" i="7"/>
  <c r="V789" i="7"/>
  <c r="K396" i="27"/>
  <c r="X720" i="7" l="1"/>
  <c r="AJ720" i="7"/>
  <c r="W721" i="7"/>
  <c r="V790" i="7"/>
  <c r="K395" i="27"/>
  <c r="X721" i="7" l="1"/>
  <c r="W722" i="7"/>
  <c r="AJ721" i="7"/>
  <c r="V791" i="7"/>
  <c r="K394" i="27"/>
  <c r="X722" i="7" l="1"/>
  <c r="W723" i="7"/>
  <c r="AJ722" i="7"/>
  <c r="V792" i="7"/>
  <c r="K393" i="27"/>
  <c r="X723" i="7" l="1"/>
  <c r="AJ723" i="7"/>
  <c r="W724" i="7"/>
  <c r="V793" i="7"/>
  <c r="K392" i="27"/>
  <c r="X724" i="7" l="1"/>
  <c r="W725" i="7"/>
  <c r="AJ724" i="7"/>
  <c r="V794" i="7"/>
  <c r="K391" i="27"/>
  <c r="X725" i="7" l="1"/>
  <c r="AJ725" i="7"/>
  <c r="W726" i="7"/>
  <c r="V795" i="7"/>
  <c r="K390" i="27"/>
  <c r="X726" i="7" l="1"/>
  <c r="W727" i="7"/>
  <c r="AJ726" i="7"/>
  <c r="V796" i="7"/>
  <c r="K389" i="27"/>
  <c r="X727" i="7" l="1"/>
  <c r="AJ727" i="7"/>
  <c r="W728" i="7"/>
  <c r="V797" i="7"/>
  <c r="K388" i="27"/>
  <c r="X728" i="7" l="1"/>
  <c r="W729" i="7"/>
  <c r="AJ728" i="7"/>
  <c r="V798" i="7"/>
  <c r="K387" i="27"/>
  <c r="X729" i="7" l="1"/>
  <c r="AJ729" i="7"/>
  <c r="W730" i="7"/>
  <c r="V799" i="7"/>
  <c r="K386" i="27"/>
  <c r="X730" i="7" l="1"/>
  <c r="W731" i="7"/>
  <c r="AJ730" i="7"/>
  <c r="V800" i="7"/>
  <c r="K385" i="27"/>
  <c r="X731" i="7" l="1"/>
  <c r="AJ731" i="7"/>
  <c r="W732" i="7"/>
  <c r="V801" i="7"/>
  <c r="K384" i="27"/>
  <c r="X732" i="7" l="1"/>
  <c r="W733" i="7"/>
  <c r="AJ732" i="7"/>
  <c r="V802" i="7"/>
  <c r="K383" i="27"/>
  <c r="X733" i="7" l="1"/>
  <c r="AJ733" i="7"/>
  <c r="W734" i="7"/>
  <c r="V803" i="7"/>
  <c r="K382" i="27"/>
  <c r="X734" i="7" l="1"/>
  <c r="W735" i="7"/>
  <c r="AJ734" i="7"/>
  <c r="V804" i="7"/>
  <c r="K381" i="27"/>
  <c r="X735" i="7" l="1"/>
  <c r="W736" i="7"/>
  <c r="AJ735" i="7"/>
  <c r="V805" i="7"/>
  <c r="K380" i="27"/>
  <c r="X736" i="7" l="1"/>
  <c r="AJ736" i="7"/>
  <c r="W737" i="7"/>
  <c r="V806" i="7"/>
  <c r="K379" i="27"/>
  <c r="X737" i="7" l="1"/>
  <c r="W738" i="7"/>
  <c r="AJ737" i="7"/>
  <c r="V807" i="7"/>
  <c r="K378" i="27"/>
  <c r="X738" i="7" l="1"/>
  <c r="AJ738" i="7"/>
  <c r="W739" i="7"/>
  <c r="V808" i="7"/>
  <c r="K377" i="27"/>
  <c r="X739" i="7" l="1"/>
  <c r="W740" i="7"/>
  <c r="AJ739" i="7"/>
  <c r="V809" i="7"/>
  <c r="K376" i="27"/>
  <c r="X740" i="7" l="1"/>
  <c r="AJ740" i="7"/>
  <c r="W741" i="7"/>
  <c r="V810" i="7"/>
  <c r="K375" i="27"/>
  <c r="X741" i="7" l="1"/>
  <c r="W742" i="7"/>
  <c r="AJ741" i="7"/>
  <c r="V811" i="7"/>
  <c r="K374" i="27"/>
  <c r="X742" i="7" l="1"/>
  <c r="AJ742" i="7"/>
  <c r="W743" i="7"/>
  <c r="V812" i="7"/>
  <c r="K373" i="27"/>
  <c r="X743" i="7" l="1"/>
  <c r="W744" i="7"/>
  <c r="AJ743" i="7"/>
  <c r="V813" i="7"/>
  <c r="K372" i="27"/>
  <c r="X744" i="7" l="1"/>
  <c r="AJ744" i="7"/>
  <c r="W745" i="7"/>
  <c r="V814" i="7"/>
  <c r="K371" i="27"/>
  <c r="X745" i="7" l="1"/>
  <c r="AJ745" i="7"/>
  <c r="W746" i="7"/>
  <c r="V815" i="7"/>
  <c r="K370" i="27"/>
  <c r="X746" i="7" l="1"/>
  <c r="AJ746" i="7"/>
  <c r="W747" i="7"/>
  <c r="V816" i="7"/>
  <c r="K369" i="27"/>
  <c r="X747" i="7" l="1"/>
  <c r="W748" i="7"/>
  <c r="AJ747" i="7"/>
  <c r="V817" i="7"/>
  <c r="K368" i="27"/>
  <c r="X748" i="7" l="1"/>
  <c r="AJ748" i="7"/>
  <c r="W749" i="7"/>
  <c r="V818" i="7"/>
  <c r="K367" i="27"/>
  <c r="X749" i="7" l="1"/>
  <c r="W750" i="7"/>
  <c r="AJ749" i="7"/>
  <c r="V819" i="7"/>
  <c r="K366" i="27"/>
  <c r="X750" i="7" l="1"/>
  <c r="AJ750" i="7"/>
  <c r="W751" i="7"/>
  <c r="V820" i="7"/>
  <c r="K365" i="27"/>
  <c r="X751" i="7" l="1"/>
  <c r="AJ751" i="7"/>
  <c r="W752" i="7"/>
  <c r="V821" i="7"/>
  <c r="K364" i="27"/>
  <c r="X752" i="7" l="1"/>
  <c r="W753" i="7"/>
  <c r="AJ752" i="7"/>
  <c r="V822" i="7"/>
  <c r="K363" i="27"/>
  <c r="X753" i="7" l="1"/>
  <c r="W754" i="7"/>
  <c r="AJ753" i="7"/>
  <c r="V823" i="7"/>
  <c r="K362" i="27"/>
  <c r="X754" i="7" l="1"/>
  <c r="AJ754" i="7"/>
  <c r="W755" i="7"/>
  <c r="V824" i="7"/>
  <c r="K361" i="27"/>
  <c r="X755" i="7" l="1"/>
  <c r="W756" i="7"/>
  <c r="AJ755" i="7"/>
  <c r="V825" i="7"/>
  <c r="K360" i="27"/>
  <c r="X756" i="7" l="1"/>
  <c r="W757" i="7"/>
  <c r="AJ756" i="7"/>
  <c r="V826" i="7"/>
  <c r="K359" i="27"/>
  <c r="X757" i="7" l="1"/>
  <c r="AJ757" i="7"/>
  <c r="W758" i="7"/>
  <c r="V827" i="7"/>
  <c r="K358" i="27"/>
  <c r="X758" i="7" l="1"/>
  <c r="AJ758" i="7"/>
  <c r="W759" i="7"/>
  <c r="V828" i="7"/>
  <c r="K357" i="27"/>
  <c r="X759" i="7" l="1"/>
  <c r="AJ759" i="7"/>
  <c r="W760" i="7"/>
  <c r="V829" i="7"/>
  <c r="K356" i="27"/>
  <c r="X760" i="7" l="1"/>
  <c r="AJ760" i="7"/>
  <c r="W761" i="7"/>
  <c r="V830" i="7"/>
  <c r="K355" i="27"/>
  <c r="X761" i="7" l="1"/>
  <c r="AJ761" i="7"/>
  <c r="W762" i="7"/>
  <c r="V831" i="7"/>
  <c r="K354" i="27"/>
  <c r="X762" i="7" l="1"/>
  <c r="W763" i="7"/>
  <c r="AJ762" i="7"/>
  <c r="V832" i="7"/>
  <c r="K353" i="27"/>
  <c r="X763" i="7" l="1"/>
  <c r="W764" i="7"/>
  <c r="AJ763" i="7"/>
  <c r="V833" i="7"/>
  <c r="K352" i="27"/>
  <c r="X764" i="7" l="1"/>
  <c r="AJ764" i="7"/>
  <c r="W765" i="7"/>
  <c r="V834" i="7"/>
  <c r="K351" i="27"/>
  <c r="X765" i="7" l="1"/>
  <c r="W766" i="7"/>
  <c r="AJ765" i="7"/>
  <c r="V835" i="7"/>
  <c r="K350" i="27"/>
  <c r="X766" i="7" l="1"/>
  <c r="W767" i="7"/>
  <c r="AJ766" i="7"/>
  <c r="V836" i="7"/>
  <c r="K349" i="27"/>
  <c r="X767" i="7" l="1"/>
  <c r="W768" i="7"/>
  <c r="AJ767" i="7"/>
  <c r="V837" i="7"/>
  <c r="K348" i="27"/>
  <c r="X768" i="7" l="1"/>
  <c r="W769" i="7"/>
  <c r="AJ768" i="7"/>
  <c r="V838" i="7"/>
  <c r="K347" i="27"/>
  <c r="X769" i="7" l="1"/>
  <c r="AJ769" i="7"/>
  <c r="W770" i="7"/>
  <c r="V839" i="7"/>
  <c r="K346" i="27"/>
  <c r="X770" i="7" l="1"/>
  <c r="AJ770" i="7"/>
  <c r="W771" i="7"/>
  <c r="V840" i="7"/>
  <c r="K345" i="27"/>
  <c r="X771" i="7" l="1"/>
  <c r="W772" i="7"/>
  <c r="AJ771" i="7"/>
  <c r="V841" i="7"/>
  <c r="K344" i="27"/>
  <c r="X772" i="7" l="1"/>
  <c r="W773" i="7"/>
  <c r="AJ772" i="7"/>
  <c r="V842" i="7"/>
  <c r="K343" i="27"/>
  <c r="X773" i="7" l="1"/>
  <c r="W774" i="7"/>
  <c r="AJ773" i="7"/>
  <c r="V843" i="7"/>
  <c r="K342" i="27"/>
  <c r="X774" i="7" l="1"/>
  <c r="AJ774" i="7"/>
  <c r="W775" i="7"/>
  <c r="V844" i="7"/>
  <c r="K341" i="27"/>
  <c r="X775" i="7" l="1"/>
  <c r="W776" i="7"/>
  <c r="AJ775" i="7"/>
  <c r="V845" i="7"/>
  <c r="K340" i="27"/>
  <c r="X776" i="7" l="1"/>
  <c r="AJ776" i="7"/>
  <c r="W777" i="7"/>
  <c r="V846" i="7"/>
  <c r="K339" i="27"/>
  <c r="X777" i="7" l="1"/>
  <c r="W778" i="7"/>
  <c r="AJ777" i="7"/>
  <c r="V847" i="7"/>
  <c r="K338" i="27"/>
  <c r="X778" i="7" l="1"/>
  <c r="AJ778" i="7"/>
  <c r="W779" i="7"/>
  <c r="V848" i="7"/>
  <c r="K337" i="27"/>
  <c r="X779" i="7" l="1"/>
  <c r="W780" i="7"/>
  <c r="AJ779" i="7"/>
  <c r="V849" i="7"/>
  <c r="K336" i="27"/>
  <c r="X780" i="7" l="1"/>
  <c r="AJ780" i="7"/>
  <c r="W781" i="7"/>
  <c r="V850" i="7"/>
  <c r="K335" i="27"/>
  <c r="X781" i="7" l="1"/>
  <c r="W782" i="7"/>
  <c r="AJ781" i="7"/>
  <c r="V851" i="7"/>
  <c r="K334" i="27"/>
  <c r="X782" i="7" l="1"/>
  <c r="W783" i="7"/>
  <c r="AJ782" i="7"/>
  <c r="V852" i="7"/>
  <c r="K333" i="27"/>
  <c r="X783" i="7" l="1"/>
  <c r="AJ783" i="7"/>
  <c r="W784" i="7"/>
  <c r="V853" i="7"/>
  <c r="K332" i="27"/>
  <c r="X784" i="7" l="1"/>
  <c r="W785" i="7"/>
  <c r="AJ784" i="7"/>
  <c r="V854" i="7"/>
  <c r="K331" i="27"/>
  <c r="X785" i="7" l="1"/>
  <c r="W786" i="7"/>
  <c r="AJ785" i="7"/>
  <c r="V855" i="7"/>
  <c r="K330" i="27"/>
  <c r="X786" i="7" l="1"/>
  <c r="W787" i="7"/>
  <c r="AJ786" i="7"/>
  <c r="V856" i="7"/>
  <c r="K329" i="27"/>
  <c r="X787" i="7" l="1"/>
  <c r="W788" i="7"/>
  <c r="AJ787" i="7"/>
  <c r="V857" i="7"/>
  <c r="K328" i="27"/>
  <c r="X788" i="7" l="1"/>
  <c r="AJ788" i="7"/>
  <c r="W789" i="7"/>
  <c r="V858" i="7"/>
  <c r="K327" i="27"/>
  <c r="X789" i="7" l="1"/>
  <c r="AJ789" i="7"/>
  <c r="W790" i="7"/>
  <c r="V859" i="7"/>
  <c r="K326" i="27"/>
  <c r="X790" i="7" l="1"/>
  <c r="AJ790" i="7"/>
  <c r="W791" i="7"/>
  <c r="V860" i="7"/>
  <c r="K325" i="27"/>
  <c r="X791" i="7" l="1"/>
  <c r="W792" i="7"/>
  <c r="AJ791" i="7"/>
  <c r="V861" i="7"/>
  <c r="K324" i="27"/>
  <c r="X792" i="7" l="1"/>
  <c r="W793" i="7"/>
  <c r="AJ792" i="7"/>
  <c r="V862" i="7"/>
  <c r="K323" i="27"/>
  <c r="X793" i="7" l="1"/>
  <c r="AJ793" i="7"/>
  <c r="W794" i="7"/>
  <c r="V863" i="7"/>
  <c r="K322" i="27"/>
  <c r="X794" i="7" l="1"/>
  <c r="W795" i="7"/>
  <c r="AJ794" i="7"/>
  <c r="V864" i="7"/>
  <c r="K321" i="27"/>
  <c r="X795" i="7" l="1"/>
  <c r="W796" i="7"/>
  <c r="AJ795" i="7"/>
  <c r="V865" i="7"/>
  <c r="K320" i="27"/>
  <c r="X796" i="7" l="1"/>
  <c r="W797" i="7"/>
  <c r="AJ796" i="7"/>
  <c r="V866" i="7"/>
  <c r="K319" i="27"/>
  <c r="X797" i="7" l="1"/>
  <c r="AJ797" i="7"/>
  <c r="W798" i="7"/>
  <c r="V867" i="7"/>
  <c r="K318" i="27"/>
  <c r="X798" i="7" l="1"/>
  <c r="AJ798" i="7"/>
  <c r="W799" i="7"/>
  <c r="V868" i="7"/>
  <c r="K317" i="27"/>
  <c r="X799" i="7" l="1"/>
  <c r="W800" i="7"/>
  <c r="AJ799" i="7"/>
  <c r="V869" i="7"/>
  <c r="K316" i="27"/>
  <c r="X800" i="7" l="1"/>
  <c r="AJ800" i="7"/>
  <c r="W801" i="7"/>
  <c r="V870" i="7"/>
  <c r="K315" i="27"/>
  <c r="X801" i="7" l="1"/>
  <c r="AJ801" i="7"/>
  <c r="W802" i="7"/>
  <c r="V871" i="7"/>
  <c r="K314" i="27"/>
  <c r="X802" i="7" l="1"/>
  <c r="W803" i="7"/>
  <c r="AJ802" i="7"/>
  <c r="V872" i="7"/>
  <c r="K313" i="27"/>
  <c r="X803" i="7" l="1"/>
  <c r="AJ803" i="7"/>
  <c r="W804" i="7"/>
  <c r="V873" i="7"/>
  <c r="K312" i="27"/>
  <c r="X804" i="7" l="1"/>
  <c r="AJ804" i="7"/>
  <c r="W805" i="7"/>
  <c r="V874" i="7"/>
  <c r="K311" i="27"/>
  <c r="X805" i="7" l="1"/>
  <c r="W806" i="7"/>
  <c r="AJ805" i="7"/>
  <c r="V875" i="7"/>
  <c r="K310" i="27"/>
  <c r="X806" i="7" l="1"/>
  <c r="AJ806" i="7"/>
  <c r="W807" i="7"/>
  <c r="V876" i="7"/>
  <c r="K309" i="27"/>
  <c r="X807" i="7" l="1"/>
  <c r="W808" i="7"/>
  <c r="AJ807" i="7"/>
  <c r="V877" i="7"/>
  <c r="K308" i="27"/>
  <c r="X808" i="7" l="1"/>
  <c r="AJ808" i="7"/>
  <c r="W809" i="7"/>
  <c r="V878" i="7"/>
  <c r="K307" i="27"/>
  <c r="X809" i="7" l="1"/>
  <c r="W810" i="7"/>
  <c r="AJ809" i="7"/>
  <c r="V879" i="7"/>
  <c r="K306" i="27"/>
  <c r="X810" i="7" l="1"/>
  <c r="AJ810" i="7"/>
  <c r="W811" i="7"/>
  <c r="V880" i="7"/>
  <c r="K305" i="27"/>
  <c r="X811" i="7" l="1"/>
  <c r="AJ811" i="7"/>
  <c r="W812" i="7"/>
  <c r="V881" i="7"/>
  <c r="K304" i="27"/>
  <c r="X812" i="7" l="1"/>
  <c r="W813" i="7"/>
  <c r="AJ812" i="7"/>
  <c r="V882" i="7"/>
  <c r="K303" i="27"/>
  <c r="X813" i="7" l="1"/>
  <c r="AJ813" i="7"/>
  <c r="W814" i="7"/>
  <c r="V883" i="7"/>
  <c r="K302" i="27"/>
  <c r="X814" i="7" l="1"/>
  <c r="W815" i="7"/>
  <c r="AJ814" i="7"/>
  <c r="V884" i="7"/>
  <c r="K301" i="27"/>
  <c r="X815" i="7" l="1"/>
  <c r="AJ815" i="7"/>
  <c r="W816" i="7"/>
  <c r="V885" i="7"/>
  <c r="K300" i="27"/>
  <c r="X816" i="7" l="1"/>
  <c r="W817" i="7"/>
  <c r="AJ816" i="7"/>
  <c r="V886" i="7"/>
  <c r="K299" i="27"/>
  <c r="X817" i="7" l="1"/>
  <c r="AJ817" i="7"/>
  <c r="W818" i="7"/>
  <c r="V887" i="7"/>
  <c r="K298" i="27"/>
  <c r="X818" i="7" l="1"/>
  <c r="W819" i="7"/>
  <c r="AJ818" i="7"/>
  <c r="V888" i="7"/>
  <c r="K297" i="27"/>
  <c r="X819" i="7" l="1"/>
  <c r="AJ819" i="7"/>
  <c r="W820" i="7"/>
  <c r="V889" i="7"/>
  <c r="K296" i="27"/>
  <c r="X820" i="7" l="1"/>
  <c r="W821" i="7"/>
  <c r="AJ820" i="7"/>
  <c r="V890" i="7"/>
  <c r="K295" i="27"/>
  <c r="X821" i="7" l="1"/>
  <c r="W822" i="7"/>
  <c r="AJ821" i="7"/>
  <c r="V891" i="7"/>
  <c r="K294" i="27"/>
  <c r="X822" i="7" l="1"/>
  <c r="AJ822" i="7"/>
  <c r="W823" i="7"/>
  <c r="V892" i="7"/>
  <c r="K293" i="27"/>
  <c r="X823" i="7" l="1"/>
  <c r="AJ823" i="7"/>
  <c r="W824" i="7"/>
  <c r="V893" i="7"/>
  <c r="K292" i="27"/>
  <c r="X824" i="7" l="1"/>
  <c r="W825" i="7"/>
  <c r="AJ824" i="7"/>
  <c r="V894" i="7"/>
  <c r="K291" i="27"/>
  <c r="X825" i="7" l="1"/>
  <c r="AJ825" i="7"/>
  <c r="W826" i="7"/>
  <c r="V895" i="7"/>
  <c r="K290" i="27"/>
  <c r="X826" i="7" l="1"/>
  <c r="AJ826" i="7"/>
  <c r="W827" i="7"/>
  <c r="V896" i="7"/>
  <c r="K289" i="27"/>
  <c r="X827" i="7" l="1"/>
  <c r="AJ827" i="7"/>
  <c r="W828" i="7"/>
  <c r="V897" i="7"/>
  <c r="K288" i="27"/>
  <c r="X828" i="7" l="1"/>
  <c r="W829" i="7"/>
  <c r="AJ828" i="7"/>
  <c r="V898" i="7"/>
  <c r="K287" i="27"/>
  <c r="X829" i="7" l="1"/>
  <c r="W830" i="7"/>
  <c r="AJ829" i="7"/>
  <c r="V899" i="7"/>
  <c r="K286" i="27"/>
  <c r="X830" i="7" l="1"/>
  <c r="W831" i="7"/>
  <c r="AJ830" i="7"/>
  <c r="V900" i="7"/>
  <c r="K285" i="27"/>
  <c r="X831" i="7" l="1"/>
  <c r="AJ831" i="7"/>
  <c r="W832" i="7"/>
  <c r="V901" i="7"/>
  <c r="K284" i="27"/>
  <c r="X832" i="7" l="1"/>
  <c r="AJ832" i="7"/>
  <c r="W833" i="7"/>
  <c r="V902" i="7"/>
  <c r="K283" i="27"/>
  <c r="X833" i="7" l="1"/>
  <c r="AJ833" i="7"/>
  <c r="W834" i="7"/>
  <c r="V903" i="7"/>
  <c r="K282" i="27"/>
  <c r="X834" i="7" l="1"/>
  <c r="AJ834" i="7"/>
  <c r="W835" i="7"/>
  <c r="V904" i="7"/>
  <c r="K281" i="27"/>
  <c r="X835" i="7" l="1"/>
  <c r="AJ835" i="7"/>
  <c r="W836" i="7"/>
  <c r="V905" i="7"/>
  <c r="K280" i="27"/>
  <c r="X836" i="7" l="1"/>
  <c r="AJ836" i="7"/>
  <c r="W837" i="7"/>
  <c r="V906" i="7"/>
  <c r="K279" i="27"/>
  <c r="X837" i="7" l="1"/>
  <c r="AJ837" i="7"/>
  <c r="W838" i="7"/>
  <c r="V907" i="7"/>
  <c r="K278" i="27"/>
  <c r="X838" i="7" l="1"/>
  <c r="W839" i="7"/>
  <c r="AJ838" i="7"/>
  <c r="V908" i="7"/>
  <c r="K277" i="27"/>
  <c r="X839" i="7" l="1"/>
  <c r="AJ839" i="7"/>
  <c r="W840" i="7"/>
  <c r="V909" i="7"/>
  <c r="K276" i="27"/>
  <c r="X840" i="7" l="1"/>
  <c r="AJ840" i="7"/>
  <c r="W841" i="7"/>
  <c r="V910" i="7"/>
  <c r="K275" i="27"/>
  <c r="X841" i="7" l="1"/>
  <c r="AJ841" i="7"/>
  <c r="W842" i="7"/>
  <c r="V911" i="7"/>
  <c r="K274" i="27"/>
  <c r="X842" i="7" l="1"/>
  <c r="W843" i="7"/>
  <c r="AJ842" i="7"/>
  <c r="V912" i="7"/>
  <c r="K273" i="27"/>
  <c r="X843" i="7" l="1"/>
  <c r="AJ843" i="7"/>
  <c r="W844" i="7"/>
  <c r="V913" i="7"/>
  <c r="K272" i="27"/>
  <c r="X844" i="7" l="1"/>
  <c r="W845" i="7"/>
  <c r="AJ844" i="7"/>
  <c r="V914" i="7"/>
  <c r="K271" i="27"/>
  <c r="X845" i="7" l="1"/>
  <c r="AJ845" i="7"/>
  <c r="W846" i="7"/>
  <c r="V915" i="7"/>
  <c r="K270" i="27"/>
  <c r="X846" i="7" l="1"/>
  <c r="AJ846" i="7"/>
  <c r="W847" i="7"/>
  <c r="V916" i="7"/>
  <c r="K269" i="27"/>
  <c r="X847" i="7" l="1"/>
  <c r="AJ847" i="7"/>
  <c r="W848" i="7"/>
  <c r="V917" i="7"/>
  <c r="K268" i="27"/>
  <c r="X848" i="7" l="1"/>
  <c r="W849" i="7"/>
  <c r="AJ848" i="7"/>
  <c r="V918" i="7"/>
  <c r="K267" i="27"/>
  <c r="X849" i="7" l="1"/>
  <c r="AJ849" i="7"/>
  <c r="W850" i="7"/>
  <c r="V919" i="7"/>
  <c r="K266" i="27"/>
  <c r="X850" i="7" l="1"/>
  <c r="AJ850" i="7"/>
  <c r="W851" i="7"/>
  <c r="V920" i="7"/>
  <c r="K265" i="27"/>
  <c r="X851" i="7" l="1"/>
  <c r="AJ851" i="7"/>
  <c r="W852" i="7"/>
  <c r="V921" i="7"/>
  <c r="K264" i="27"/>
  <c r="X852" i="7" l="1"/>
  <c r="W853" i="7"/>
  <c r="AJ852" i="7"/>
  <c r="V922" i="7"/>
  <c r="K263" i="27"/>
  <c r="X853" i="7" l="1"/>
  <c r="AJ853" i="7"/>
  <c r="W854" i="7"/>
  <c r="V923" i="7"/>
  <c r="K262" i="27"/>
  <c r="X854" i="7" l="1"/>
  <c r="W855" i="7"/>
  <c r="AJ854" i="7"/>
  <c r="V924" i="7"/>
  <c r="K261" i="27"/>
  <c r="X855" i="7" l="1"/>
  <c r="AJ855" i="7"/>
  <c r="W856" i="7"/>
  <c r="V925" i="7"/>
  <c r="K260" i="27"/>
  <c r="X856" i="7" l="1"/>
  <c r="AJ856" i="7"/>
  <c r="W857" i="7"/>
  <c r="V926" i="7"/>
  <c r="K259" i="27"/>
  <c r="X857" i="7" l="1"/>
  <c r="AJ857" i="7"/>
  <c r="W858" i="7"/>
  <c r="V927" i="7"/>
  <c r="K258" i="27"/>
  <c r="X858" i="7" l="1"/>
  <c r="W859" i="7"/>
  <c r="AJ858" i="7"/>
  <c r="V928" i="7"/>
  <c r="K257" i="27"/>
  <c r="X859" i="7" l="1"/>
  <c r="AJ859" i="7"/>
  <c r="W860" i="7"/>
  <c r="V929" i="7"/>
  <c r="K256" i="27"/>
  <c r="X860" i="7" l="1"/>
  <c r="W861" i="7"/>
  <c r="AJ860" i="7"/>
  <c r="V930" i="7"/>
  <c r="K255" i="27"/>
  <c r="X861" i="7" l="1"/>
  <c r="W862" i="7"/>
  <c r="AJ861" i="7"/>
  <c r="V931" i="7"/>
  <c r="K254" i="27"/>
  <c r="X862" i="7" l="1"/>
  <c r="W863" i="7"/>
  <c r="AJ862" i="7"/>
  <c r="V932" i="7"/>
  <c r="K253" i="27"/>
  <c r="X863" i="7" l="1"/>
  <c r="AJ863" i="7"/>
  <c r="W864" i="7"/>
  <c r="V933" i="7"/>
  <c r="K252" i="27"/>
  <c r="X864" i="7" l="1"/>
  <c r="W865" i="7"/>
  <c r="AJ864" i="7"/>
  <c r="V934" i="7"/>
  <c r="K251" i="27"/>
  <c r="X865" i="7" l="1"/>
  <c r="W866" i="7"/>
  <c r="AJ865" i="7"/>
  <c r="V935" i="7"/>
  <c r="K250" i="27"/>
  <c r="X866" i="7" l="1"/>
  <c r="W867" i="7"/>
  <c r="AJ866" i="7"/>
  <c r="V936" i="7"/>
  <c r="K249" i="27"/>
  <c r="X867" i="7" l="1"/>
  <c r="AJ867" i="7"/>
  <c r="W868" i="7"/>
  <c r="V937" i="7"/>
  <c r="K248" i="27"/>
  <c r="X868" i="7" l="1"/>
  <c r="W869" i="7"/>
  <c r="AJ868" i="7"/>
  <c r="V938" i="7"/>
  <c r="K247" i="27"/>
  <c r="X869" i="7" l="1"/>
  <c r="AJ869" i="7"/>
  <c r="W870" i="7"/>
  <c r="V939" i="7"/>
  <c r="K246" i="27"/>
  <c r="X870" i="7" l="1"/>
  <c r="W871" i="7"/>
  <c r="AJ870" i="7"/>
  <c r="V940" i="7"/>
  <c r="K245" i="27"/>
  <c r="X871" i="7" l="1"/>
  <c r="AJ871" i="7"/>
  <c r="W872" i="7"/>
  <c r="V941" i="7"/>
  <c r="K244" i="27"/>
  <c r="X872" i="7" l="1"/>
  <c r="AJ872" i="7"/>
  <c r="W873" i="7"/>
  <c r="V942" i="7"/>
  <c r="K243" i="27"/>
  <c r="X873" i="7" l="1"/>
  <c r="AJ873" i="7"/>
  <c r="W874" i="7"/>
  <c r="V943" i="7"/>
  <c r="K242" i="27"/>
  <c r="X874" i="7" l="1"/>
  <c r="W875" i="7"/>
  <c r="AJ874" i="7"/>
  <c r="V944" i="7"/>
  <c r="K241" i="27"/>
  <c r="X875" i="7" l="1"/>
  <c r="AJ875" i="7"/>
  <c r="W876" i="7"/>
  <c r="V945" i="7"/>
  <c r="K240" i="27"/>
  <c r="X876" i="7" l="1"/>
  <c r="W877" i="7"/>
  <c r="AJ876" i="7"/>
  <c r="V946" i="7"/>
  <c r="K239" i="27"/>
  <c r="X877" i="7" l="1"/>
  <c r="AJ877" i="7"/>
  <c r="W878" i="7"/>
  <c r="V947" i="7"/>
  <c r="K238" i="27"/>
  <c r="X878" i="7" l="1"/>
  <c r="AJ878" i="7"/>
  <c r="W879" i="7"/>
  <c r="V948" i="7"/>
  <c r="K237" i="27"/>
  <c r="X879" i="7" l="1"/>
  <c r="AJ879" i="7"/>
  <c r="W880" i="7"/>
  <c r="V949" i="7"/>
  <c r="K236" i="27"/>
  <c r="X880" i="7" l="1"/>
  <c r="W881" i="7"/>
  <c r="AJ880" i="7"/>
  <c r="V950" i="7"/>
  <c r="K235" i="27"/>
  <c r="X881" i="7" l="1"/>
  <c r="AJ881" i="7"/>
  <c r="W882" i="7"/>
  <c r="V951" i="7"/>
  <c r="K234" i="27"/>
  <c r="X882" i="7" l="1"/>
  <c r="W883" i="7"/>
  <c r="AJ882" i="7"/>
  <c r="V952" i="7"/>
  <c r="K233" i="27"/>
  <c r="X883" i="7" l="1"/>
  <c r="AJ883" i="7"/>
  <c r="W884" i="7"/>
  <c r="V953" i="7"/>
  <c r="K232" i="27"/>
  <c r="X884" i="7" l="1"/>
  <c r="W885" i="7"/>
  <c r="AJ884" i="7"/>
  <c r="V954" i="7"/>
  <c r="K231" i="27"/>
  <c r="X885" i="7" l="1"/>
  <c r="AJ885" i="7"/>
  <c r="W886" i="7"/>
  <c r="V955" i="7"/>
  <c r="K230" i="27"/>
  <c r="X886" i="7" l="1"/>
  <c r="W887" i="7"/>
  <c r="AJ886" i="7"/>
  <c r="V956" i="7"/>
  <c r="K229" i="27"/>
  <c r="X887" i="7" l="1"/>
  <c r="AJ887" i="7"/>
  <c r="W888" i="7"/>
  <c r="V957" i="7"/>
  <c r="K228" i="27"/>
  <c r="X888" i="7" l="1"/>
  <c r="W889" i="7"/>
  <c r="AJ888" i="7"/>
  <c r="V958" i="7"/>
  <c r="K227" i="27"/>
  <c r="X889" i="7" l="1"/>
  <c r="AJ889" i="7"/>
  <c r="W890" i="7"/>
  <c r="V959" i="7"/>
  <c r="K226" i="27"/>
  <c r="X890" i="7" l="1"/>
  <c r="W891" i="7"/>
  <c r="AJ890" i="7"/>
  <c r="V960" i="7"/>
  <c r="K225" i="27"/>
  <c r="X891" i="7" l="1"/>
  <c r="AJ891" i="7"/>
  <c r="W892" i="7"/>
  <c r="V961" i="7"/>
  <c r="K224" i="27"/>
  <c r="X892" i="7" l="1"/>
  <c r="W893" i="7"/>
  <c r="AJ892" i="7"/>
  <c r="V962" i="7"/>
  <c r="K223" i="27"/>
  <c r="X893" i="7" l="1"/>
  <c r="AJ893" i="7"/>
  <c r="W894" i="7"/>
  <c r="V963" i="7"/>
  <c r="K222" i="27"/>
  <c r="X894" i="7" l="1"/>
  <c r="W895" i="7"/>
  <c r="AJ894" i="7"/>
  <c r="V964" i="7"/>
  <c r="K221" i="27"/>
  <c r="X895" i="7" l="1"/>
  <c r="AJ895" i="7"/>
  <c r="W896" i="7"/>
  <c r="V965" i="7"/>
  <c r="K220" i="27"/>
  <c r="X896" i="7" l="1"/>
  <c r="W897" i="7"/>
  <c r="AJ896" i="7"/>
  <c r="V966" i="7"/>
  <c r="K219" i="27"/>
  <c r="X897" i="7" l="1"/>
  <c r="AJ897" i="7"/>
  <c r="W898" i="7"/>
  <c r="V967" i="7"/>
  <c r="K218" i="27"/>
  <c r="X898" i="7" l="1"/>
  <c r="AJ898" i="7"/>
  <c r="W899" i="7"/>
  <c r="V968" i="7"/>
  <c r="K217" i="27"/>
  <c r="X899" i="7" l="1"/>
  <c r="W900" i="7"/>
  <c r="AJ899" i="7"/>
  <c r="V969" i="7"/>
  <c r="K216" i="27"/>
  <c r="X900" i="7" l="1"/>
  <c r="AJ900" i="7"/>
  <c r="W901" i="7"/>
  <c r="V970" i="7"/>
  <c r="K215" i="27"/>
  <c r="X901" i="7" l="1"/>
  <c r="AJ901" i="7"/>
  <c r="W902" i="7"/>
  <c r="V971" i="7"/>
  <c r="K214" i="27"/>
  <c r="X902" i="7" l="1"/>
  <c r="W903" i="7"/>
  <c r="AJ902" i="7"/>
  <c r="V972" i="7"/>
  <c r="K213" i="27"/>
  <c r="X903" i="7" l="1"/>
  <c r="W904" i="7"/>
  <c r="AJ903" i="7"/>
  <c r="V973" i="7"/>
  <c r="K212" i="27"/>
  <c r="X904" i="7" l="1"/>
  <c r="AJ904" i="7"/>
  <c r="W905" i="7"/>
  <c r="V974" i="7"/>
  <c r="K211" i="27"/>
  <c r="X905" i="7" l="1"/>
  <c r="W906" i="7"/>
  <c r="AJ905" i="7"/>
  <c r="V975" i="7"/>
  <c r="K210" i="27"/>
  <c r="X906" i="7" l="1"/>
  <c r="AJ906" i="7"/>
  <c r="W907" i="7"/>
  <c r="V976" i="7"/>
  <c r="K209" i="27"/>
  <c r="X907" i="7" l="1"/>
  <c r="W908" i="7"/>
  <c r="AJ907" i="7"/>
  <c r="V977" i="7"/>
  <c r="K208" i="27"/>
  <c r="X908" i="7" l="1"/>
  <c r="AJ908" i="7"/>
  <c r="W909" i="7"/>
  <c r="V978" i="7"/>
  <c r="K207" i="27"/>
  <c r="X909" i="7" l="1"/>
  <c r="AJ909" i="7"/>
  <c r="W910" i="7"/>
  <c r="V979" i="7"/>
  <c r="K206" i="27"/>
  <c r="X910" i="7" l="1"/>
  <c r="W911" i="7"/>
  <c r="AJ910" i="7"/>
  <c r="V980" i="7"/>
  <c r="K205" i="27"/>
  <c r="X911" i="7" l="1"/>
  <c r="AJ911" i="7"/>
  <c r="W912" i="7"/>
  <c r="V981" i="7"/>
  <c r="K204" i="27"/>
  <c r="X912" i="7" l="1"/>
  <c r="AJ912" i="7"/>
  <c r="W913" i="7"/>
  <c r="V982" i="7"/>
  <c r="K203" i="27"/>
  <c r="X913" i="7" l="1"/>
  <c r="W914" i="7"/>
  <c r="AJ913" i="7"/>
  <c r="V983" i="7"/>
  <c r="K202" i="27"/>
  <c r="X914" i="7" l="1"/>
  <c r="W915" i="7"/>
  <c r="AJ914" i="7"/>
  <c r="V984" i="7"/>
  <c r="K201" i="27"/>
  <c r="X915" i="7" l="1"/>
  <c r="AJ915" i="7"/>
  <c r="W916" i="7"/>
  <c r="V985" i="7"/>
  <c r="K200" i="27"/>
  <c r="X916" i="7" l="1"/>
  <c r="W917" i="7"/>
  <c r="AJ916" i="7"/>
  <c r="V986" i="7"/>
  <c r="K199" i="27"/>
  <c r="X917" i="7" l="1"/>
  <c r="AJ917" i="7"/>
  <c r="W918" i="7"/>
  <c r="V987" i="7"/>
  <c r="K198" i="27"/>
  <c r="X918" i="7" l="1"/>
  <c r="W919" i="7"/>
  <c r="AJ918" i="7"/>
  <c r="V988" i="7"/>
  <c r="K197" i="27"/>
  <c r="X919" i="7" l="1"/>
  <c r="AJ919" i="7"/>
  <c r="W920" i="7"/>
  <c r="V989" i="7"/>
  <c r="K196" i="27"/>
  <c r="X920" i="7" l="1"/>
  <c r="W921" i="7"/>
  <c r="AJ920" i="7"/>
  <c r="V990" i="7"/>
  <c r="K195" i="27"/>
  <c r="X921" i="7" l="1"/>
  <c r="AJ921" i="7"/>
  <c r="W922" i="7"/>
  <c r="V991" i="7"/>
  <c r="K194" i="27"/>
  <c r="X922" i="7" l="1"/>
  <c r="W923" i="7"/>
  <c r="AJ922" i="7"/>
  <c r="V992" i="7"/>
  <c r="K193" i="27"/>
  <c r="X923" i="7" l="1"/>
  <c r="AJ923" i="7"/>
  <c r="W924" i="7"/>
  <c r="V993" i="7"/>
  <c r="K192" i="27"/>
  <c r="X924" i="7" l="1"/>
  <c r="W925" i="7"/>
  <c r="AJ924" i="7"/>
  <c r="V994" i="7"/>
  <c r="K191" i="27"/>
  <c r="X925" i="7" l="1"/>
  <c r="W926" i="7"/>
  <c r="AJ925" i="7"/>
  <c r="V995" i="7"/>
  <c r="K190" i="27"/>
  <c r="X926" i="7" l="1"/>
  <c r="W927" i="7"/>
  <c r="AJ926" i="7"/>
  <c r="V996" i="7"/>
  <c r="K189" i="27"/>
  <c r="X927" i="7" l="1"/>
  <c r="AJ927" i="7"/>
  <c r="W928" i="7"/>
  <c r="V997" i="7"/>
  <c r="K188" i="27"/>
  <c r="X928" i="7" l="1"/>
  <c r="W929" i="7"/>
  <c r="AJ928" i="7"/>
  <c r="V998" i="7"/>
  <c r="K187" i="27"/>
  <c r="X929" i="7" l="1"/>
  <c r="AJ929" i="7"/>
  <c r="W930" i="7"/>
  <c r="V999" i="7"/>
  <c r="K186" i="27"/>
  <c r="X930" i="7" l="1"/>
  <c r="AJ930" i="7"/>
  <c r="W931" i="7"/>
  <c r="V1000" i="7"/>
  <c r="K185" i="27"/>
  <c r="X931" i="7" l="1"/>
  <c r="AJ931" i="7"/>
  <c r="W932" i="7"/>
  <c r="V1001" i="7"/>
  <c r="K184" i="27"/>
  <c r="X932" i="7" l="1"/>
  <c r="AJ932" i="7"/>
  <c r="W933" i="7"/>
  <c r="V1002" i="7"/>
  <c r="K183" i="27"/>
  <c r="X933" i="7" l="1"/>
  <c r="W934" i="7"/>
  <c r="AJ933" i="7"/>
  <c r="V1003" i="7"/>
  <c r="K182" i="27"/>
  <c r="X934" i="7" l="1"/>
  <c r="AJ934" i="7"/>
  <c r="W935" i="7"/>
  <c r="V1004" i="7"/>
  <c r="K181" i="27"/>
  <c r="X935" i="7" l="1"/>
  <c r="AJ935" i="7"/>
  <c r="W936" i="7"/>
  <c r="V1005" i="7"/>
  <c r="K180" i="27"/>
  <c r="X936" i="7" l="1"/>
  <c r="AJ936" i="7"/>
  <c r="W937" i="7"/>
  <c r="V1006" i="7"/>
  <c r="K179" i="27"/>
  <c r="X937" i="7" l="1"/>
  <c r="AJ937" i="7"/>
  <c r="W938" i="7"/>
  <c r="V1007" i="7"/>
  <c r="K178" i="27"/>
  <c r="X938" i="7" l="1"/>
  <c r="W939" i="7"/>
  <c r="AJ938" i="7"/>
  <c r="V1008" i="7"/>
  <c r="K177" i="27"/>
  <c r="X939" i="7" l="1"/>
  <c r="AJ939" i="7"/>
  <c r="W940" i="7"/>
  <c r="V1009" i="7"/>
  <c r="K176" i="27"/>
  <c r="X940" i="7" l="1"/>
  <c r="W941" i="7"/>
  <c r="AJ940" i="7"/>
  <c r="V1010" i="7"/>
  <c r="K175" i="27"/>
  <c r="X941" i="7" l="1"/>
  <c r="AJ941" i="7"/>
  <c r="W942" i="7"/>
  <c r="V1011" i="7"/>
  <c r="K174" i="27"/>
  <c r="X942" i="7" l="1"/>
  <c r="AJ942" i="7"/>
  <c r="W943" i="7"/>
  <c r="V1012" i="7"/>
  <c r="K173" i="27"/>
  <c r="X943" i="7" l="1"/>
  <c r="AJ943" i="7"/>
  <c r="W944" i="7"/>
  <c r="V1013" i="7"/>
  <c r="K172" i="27"/>
  <c r="X944" i="7" l="1"/>
  <c r="W945" i="7"/>
  <c r="AJ944" i="7"/>
  <c r="V1014" i="7"/>
  <c r="K171" i="27"/>
  <c r="X945" i="7" l="1"/>
  <c r="AJ945" i="7"/>
  <c r="W946" i="7"/>
  <c r="V1015" i="7"/>
  <c r="K170" i="27"/>
  <c r="X946" i="7" l="1"/>
  <c r="AJ946" i="7"/>
  <c r="W947" i="7"/>
  <c r="V1016" i="7"/>
  <c r="K169" i="27"/>
  <c r="X947" i="7" l="1"/>
  <c r="W948" i="7"/>
  <c r="AJ947" i="7"/>
  <c r="V1017" i="7"/>
  <c r="K168" i="27"/>
  <c r="X948" i="7" l="1"/>
  <c r="AJ948" i="7"/>
  <c r="W949" i="7"/>
  <c r="V1018" i="7"/>
  <c r="K167" i="27"/>
  <c r="X949" i="7" l="1"/>
  <c r="W950" i="7"/>
  <c r="AJ949" i="7"/>
  <c r="V1019" i="7"/>
  <c r="K166" i="27"/>
  <c r="X950" i="7" l="1"/>
  <c r="W951" i="7"/>
  <c r="AJ950" i="7"/>
  <c r="V1020" i="7"/>
  <c r="K165" i="27"/>
  <c r="X951" i="7" l="1"/>
  <c r="AJ951" i="7"/>
  <c r="W952" i="7"/>
  <c r="V1021" i="7"/>
  <c r="K164" i="27"/>
  <c r="X952" i="7" l="1"/>
  <c r="W953" i="7"/>
  <c r="AJ952" i="7"/>
  <c r="V1022" i="7"/>
  <c r="K163" i="27"/>
  <c r="X953" i="7" l="1"/>
  <c r="AJ953" i="7"/>
  <c r="W954" i="7"/>
  <c r="V1023" i="7"/>
  <c r="K162" i="27"/>
  <c r="X954" i="7" l="1"/>
  <c r="AJ954" i="7"/>
  <c r="W955" i="7"/>
  <c r="V1024" i="7"/>
  <c r="K161" i="27"/>
  <c r="X955" i="7" l="1"/>
  <c r="W956" i="7"/>
  <c r="AJ955" i="7"/>
  <c r="V1025" i="7"/>
  <c r="K160" i="27"/>
  <c r="X956" i="7" l="1"/>
  <c r="AJ956" i="7"/>
  <c r="W957" i="7"/>
  <c r="V1026" i="7"/>
  <c r="K159" i="27"/>
  <c r="X957" i="7" l="1"/>
  <c r="W958" i="7"/>
  <c r="AJ957" i="7"/>
  <c r="V1027" i="7"/>
  <c r="K158" i="27"/>
  <c r="X958" i="7" l="1"/>
  <c r="W959" i="7"/>
  <c r="AJ958" i="7"/>
  <c r="V1028" i="7"/>
  <c r="K157" i="27"/>
  <c r="X959" i="7" l="1"/>
  <c r="AJ959" i="7"/>
  <c r="W960" i="7"/>
  <c r="V1029" i="7"/>
  <c r="K156" i="27"/>
  <c r="X960" i="7" l="1"/>
  <c r="W961" i="7"/>
  <c r="AJ960" i="7"/>
  <c r="V1030" i="7"/>
  <c r="K155" i="27"/>
  <c r="X961" i="7" l="1"/>
  <c r="AJ961" i="7"/>
  <c r="W962" i="7"/>
  <c r="V1031" i="7"/>
  <c r="K154" i="27"/>
  <c r="X962" i="7" l="1"/>
  <c r="W963" i="7"/>
  <c r="AJ962" i="7"/>
  <c r="V1032" i="7"/>
  <c r="K153" i="27"/>
  <c r="X963" i="7" l="1"/>
  <c r="AJ963" i="7"/>
  <c r="W964" i="7"/>
  <c r="V1033" i="7"/>
  <c r="K152" i="27"/>
  <c r="X964" i="7" l="1"/>
  <c r="W965" i="7"/>
  <c r="AJ964" i="7"/>
  <c r="V1034" i="7"/>
  <c r="K151" i="27"/>
  <c r="X965" i="7" l="1"/>
  <c r="AJ965" i="7"/>
  <c r="W966" i="7"/>
  <c r="V1035" i="7"/>
  <c r="K150" i="27"/>
  <c r="X966" i="7" l="1"/>
  <c r="AJ966" i="7"/>
  <c r="W967" i="7"/>
  <c r="V1036" i="7"/>
  <c r="K149" i="27"/>
  <c r="X967" i="7" l="1"/>
  <c r="AJ967" i="7"/>
  <c r="W968" i="7"/>
  <c r="V1037" i="7"/>
  <c r="K148" i="27"/>
  <c r="X968" i="7" l="1"/>
  <c r="AJ968" i="7"/>
  <c r="W969" i="7"/>
  <c r="V1038" i="7"/>
  <c r="K147" i="27"/>
  <c r="X969" i="7" l="1"/>
  <c r="AJ969" i="7"/>
  <c r="W970" i="7"/>
  <c r="V1039" i="7"/>
  <c r="K146" i="27"/>
  <c r="X970" i="7" l="1"/>
  <c r="AJ970" i="7"/>
  <c r="W971" i="7"/>
  <c r="V1040" i="7"/>
  <c r="K145" i="27"/>
  <c r="X971" i="7" l="1"/>
  <c r="W972" i="7"/>
  <c r="AJ971" i="7"/>
  <c r="V1041" i="7"/>
  <c r="K144" i="27"/>
  <c r="X972" i="7" l="1"/>
  <c r="AJ972" i="7"/>
  <c r="W973" i="7"/>
  <c r="V1042" i="7"/>
  <c r="K143" i="27"/>
  <c r="X973" i="7" l="1"/>
  <c r="W974" i="7"/>
  <c r="AJ973" i="7"/>
  <c r="V1043" i="7"/>
  <c r="K142" i="27"/>
  <c r="X974" i="7" l="1"/>
  <c r="AJ974" i="7"/>
  <c r="W975" i="7"/>
  <c r="V1044" i="7"/>
  <c r="K141" i="27"/>
  <c r="X975" i="7" l="1"/>
  <c r="W976" i="7"/>
  <c r="AJ975" i="7"/>
  <c r="V1045" i="7"/>
  <c r="K140" i="27"/>
  <c r="X976" i="7" l="1"/>
  <c r="AJ976" i="7"/>
  <c r="W977" i="7"/>
  <c r="V1046" i="7"/>
  <c r="K139" i="27"/>
  <c r="X977" i="7" l="1"/>
  <c r="W978" i="7"/>
  <c r="AJ977" i="7"/>
  <c r="V1047" i="7"/>
  <c r="K138" i="27"/>
  <c r="X978" i="7" l="1"/>
  <c r="W979" i="7"/>
  <c r="AJ978" i="7"/>
  <c r="V1048" i="7"/>
  <c r="K137" i="27"/>
  <c r="X979" i="7" l="1"/>
  <c r="AJ979" i="7"/>
  <c r="W980" i="7"/>
  <c r="V1049" i="7"/>
  <c r="K136" i="27"/>
  <c r="X980" i="7" l="1"/>
  <c r="W981" i="7"/>
  <c r="AJ980" i="7"/>
  <c r="V1050" i="7"/>
  <c r="K135" i="27"/>
  <c r="X981" i="7" l="1"/>
  <c r="AJ981" i="7"/>
  <c r="W982" i="7"/>
  <c r="V1051" i="7"/>
  <c r="K134" i="27"/>
  <c r="X982" i="7" l="1"/>
  <c r="W983" i="7"/>
  <c r="AJ982" i="7"/>
  <c r="V1052" i="7"/>
  <c r="K133" i="27"/>
  <c r="X983" i="7" l="1"/>
  <c r="AJ983" i="7"/>
  <c r="W984" i="7"/>
  <c r="V1053" i="7"/>
  <c r="K132" i="27"/>
  <c r="X984" i="7" l="1"/>
  <c r="AJ984" i="7"/>
  <c r="W985" i="7"/>
  <c r="V1054" i="7"/>
  <c r="K131" i="27"/>
  <c r="X985" i="7" l="1"/>
  <c r="AJ985" i="7"/>
  <c r="W986" i="7"/>
  <c r="V1055" i="7"/>
  <c r="K130" i="27"/>
  <c r="X986" i="7" l="1"/>
  <c r="W987" i="7"/>
  <c r="AJ986" i="7"/>
  <c r="V1056" i="7"/>
  <c r="K129" i="27"/>
  <c r="X987" i="7" l="1"/>
  <c r="AJ987" i="7"/>
  <c r="W988" i="7"/>
  <c r="V1057" i="7"/>
  <c r="K128" i="27"/>
  <c r="X988" i="7" l="1"/>
  <c r="AJ988" i="7"/>
  <c r="W989" i="7"/>
  <c r="V1058" i="7"/>
  <c r="K127" i="27"/>
  <c r="X989" i="7" l="1"/>
  <c r="AJ989" i="7"/>
  <c r="W990" i="7"/>
  <c r="V1059" i="7"/>
  <c r="K126" i="27"/>
  <c r="X990" i="7" l="1"/>
  <c r="AJ990" i="7"/>
  <c r="W991" i="7"/>
  <c r="V1060" i="7"/>
  <c r="K125" i="27"/>
  <c r="X991" i="7" l="1"/>
  <c r="AJ991" i="7"/>
  <c r="W992" i="7"/>
  <c r="V1061" i="7"/>
  <c r="K124" i="27"/>
  <c r="X992" i="7" l="1"/>
  <c r="W993" i="7"/>
  <c r="AJ992" i="7"/>
  <c r="V1062" i="7"/>
  <c r="K123" i="27"/>
  <c r="X993" i="7" l="1"/>
  <c r="AJ993" i="7"/>
  <c r="W994" i="7"/>
  <c r="V1063" i="7"/>
  <c r="K122" i="27"/>
  <c r="X994" i="7" l="1"/>
  <c r="W995" i="7"/>
  <c r="AJ994" i="7"/>
  <c r="V1064" i="7"/>
  <c r="K121" i="27"/>
  <c r="X995" i="7" l="1"/>
  <c r="AJ995" i="7"/>
  <c r="W996" i="7"/>
  <c r="V1065" i="7"/>
  <c r="K120" i="27"/>
  <c r="X996" i="7" l="1"/>
  <c r="W997" i="7"/>
  <c r="AJ996" i="7"/>
  <c r="V1066" i="7"/>
  <c r="K119" i="27"/>
  <c r="X997" i="7" l="1"/>
  <c r="AJ997" i="7"/>
  <c r="W998" i="7"/>
  <c r="K118" i="27"/>
  <c r="X998" i="7" l="1"/>
  <c r="W999" i="7"/>
  <c r="AJ998" i="7"/>
  <c r="K117" i="27"/>
  <c r="X999" i="7" l="1"/>
  <c r="AJ999" i="7"/>
  <c r="W1000" i="7"/>
  <c r="K116" i="27"/>
  <c r="X1000" i="7" l="1"/>
  <c r="W1001" i="7"/>
  <c r="AJ1000" i="7"/>
  <c r="K115" i="27"/>
  <c r="X1001" i="7" l="1"/>
  <c r="AJ1001" i="7"/>
  <c r="W1002" i="7"/>
  <c r="K114" i="27"/>
  <c r="X1002" i="7" l="1"/>
  <c r="AJ1002" i="7"/>
  <c r="W1003" i="7"/>
  <c r="K113" i="27"/>
  <c r="X1003" i="7" l="1"/>
  <c r="AJ1003" i="7"/>
  <c r="W1004" i="7"/>
  <c r="K112" i="27"/>
  <c r="X1004" i="7" l="1"/>
  <c r="W1005" i="7"/>
  <c r="AJ1004" i="7"/>
  <c r="K111" i="27"/>
  <c r="X1005" i="7" l="1"/>
  <c r="AJ1005" i="7"/>
  <c r="W1006" i="7"/>
  <c r="K110" i="27"/>
  <c r="X1006" i="7" l="1"/>
  <c r="W1007" i="7"/>
  <c r="AJ1006" i="7"/>
  <c r="K109" i="27"/>
  <c r="X1007" i="7" l="1"/>
  <c r="AJ1007" i="7"/>
  <c r="W1008" i="7"/>
  <c r="K108" i="27"/>
  <c r="X1008" i="7" l="1"/>
  <c r="W1009" i="7"/>
  <c r="AJ1008" i="7"/>
  <c r="K107" i="27"/>
  <c r="X1009" i="7" l="1"/>
  <c r="AJ1009" i="7"/>
  <c r="W1010" i="7"/>
  <c r="K106" i="27"/>
  <c r="X1010" i="7" l="1"/>
  <c r="AJ1010" i="7"/>
  <c r="W1011" i="7"/>
  <c r="K105" i="27"/>
  <c r="X1011" i="7" l="1"/>
  <c r="AJ1011" i="7"/>
  <c r="W1012" i="7"/>
  <c r="K104" i="27"/>
  <c r="X1012" i="7" l="1"/>
  <c r="W1013" i="7"/>
  <c r="AJ1012" i="7"/>
  <c r="K103" i="27"/>
  <c r="X1013" i="7" l="1"/>
  <c r="AJ1013" i="7"/>
  <c r="W1014" i="7"/>
  <c r="K102" i="27"/>
  <c r="X1014" i="7" l="1"/>
  <c r="W1015" i="7"/>
  <c r="AJ1014" i="7"/>
  <c r="K101" i="27"/>
  <c r="X1015" i="7" l="1"/>
  <c r="AJ1015" i="7"/>
  <c r="W1016" i="7"/>
  <c r="K100" i="27"/>
  <c r="X1016" i="7" l="1"/>
  <c r="W1017" i="7"/>
  <c r="AJ1016" i="7"/>
  <c r="K99" i="27"/>
  <c r="X1017" i="7" l="1"/>
  <c r="AJ1017" i="7"/>
  <c r="W1018" i="7"/>
  <c r="K98" i="27"/>
  <c r="X1018" i="7" l="1"/>
  <c r="W1019" i="7"/>
  <c r="AJ1018" i="7"/>
  <c r="K97" i="27"/>
  <c r="X1019" i="7" l="1"/>
  <c r="AJ1019" i="7"/>
  <c r="W1020" i="7"/>
  <c r="K96" i="27"/>
  <c r="X1020" i="7" l="1"/>
  <c r="AJ1020" i="7"/>
  <c r="W1021" i="7"/>
  <c r="K95" i="27"/>
  <c r="X1021" i="7" l="1"/>
  <c r="AJ1021" i="7"/>
  <c r="W1022" i="7"/>
  <c r="K94" i="27"/>
  <c r="X1022" i="7" l="1"/>
  <c r="W1023" i="7"/>
  <c r="AJ1022" i="7"/>
  <c r="K93" i="27"/>
  <c r="X1023" i="7" l="1"/>
  <c r="AJ1023" i="7"/>
  <c r="W1024" i="7"/>
  <c r="K92" i="27"/>
  <c r="X1024" i="7" l="1"/>
  <c r="W1025" i="7"/>
  <c r="AJ1024" i="7"/>
  <c r="K91" i="27"/>
  <c r="X1025" i="7" l="1"/>
  <c r="AJ1025" i="7"/>
  <c r="W1026" i="7"/>
  <c r="K90" i="27"/>
  <c r="X1026" i="7" l="1"/>
  <c r="W1027" i="7"/>
  <c r="AJ1026" i="7"/>
  <c r="K89" i="27"/>
  <c r="X1027" i="7" l="1"/>
  <c r="AJ1027" i="7"/>
  <c r="W1028" i="7"/>
  <c r="K88" i="27"/>
  <c r="X1028" i="7" l="1"/>
  <c r="W1029" i="7"/>
  <c r="AJ1028" i="7"/>
  <c r="K87" i="27"/>
  <c r="X1029" i="7" l="1"/>
  <c r="AJ1029" i="7"/>
  <c r="W1030" i="7"/>
  <c r="K86" i="27"/>
  <c r="X1030" i="7" l="1"/>
  <c r="W1031" i="7"/>
  <c r="AJ1030" i="7"/>
  <c r="K85" i="27"/>
  <c r="X1031" i="7" l="1"/>
  <c r="AJ1031" i="7"/>
  <c r="W1032" i="7"/>
  <c r="K84" i="27"/>
  <c r="X1032" i="7" l="1"/>
  <c r="W1033" i="7"/>
  <c r="AJ1032" i="7"/>
  <c r="K83" i="27"/>
  <c r="X1033" i="7" l="1"/>
  <c r="AJ1033" i="7"/>
  <c r="W1034" i="7"/>
  <c r="K82" i="27"/>
  <c r="X1034" i="7" l="1"/>
  <c r="W1035" i="7"/>
  <c r="AJ1034" i="7"/>
  <c r="K81" i="27"/>
  <c r="X1035" i="7" l="1"/>
  <c r="AJ1035" i="7"/>
  <c r="W1036" i="7"/>
  <c r="K80" i="27"/>
  <c r="X1036" i="7" l="1"/>
  <c r="AJ1036" i="7"/>
  <c r="W1037" i="7"/>
  <c r="K79" i="27"/>
  <c r="X1037" i="7" l="1"/>
  <c r="AJ1037" i="7"/>
  <c r="W1038" i="7"/>
  <c r="K78" i="27"/>
  <c r="X1038" i="7" l="1"/>
  <c r="W1039" i="7"/>
  <c r="AJ1038" i="7"/>
  <c r="K77" i="27"/>
  <c r="X1039" i="7" l="1"/>
  <c r="AJ1039" i="7"/>
  <c r="W1040" i="7"/>
  <c r="K76" i="27"/>
  <c r="X1040" i="7" l="1"/>
  <c r="W1041" i="7"/>
  <c r="AJ1040" i="7"/>
  <c r="K75" i="27"/>
  <c r="X1041" i="7" l="1"/>
  <c r="AJ1041" i="7"/>
  <c r="W1042" i="7"/>
  <c r="K74" i="27"/>
  <c r="X1042" i="7" l="1"/>
  <c r="W1043" i="7"/>
  <c r="AJ1042" i="7"/>
  <c r="K73" i="27"/>
  <c r="X1043" i="7" l="1"/>
  <c r="AJ1043" i="7"/>
  <c r="W1044" i="7"/>
  <c r="K72" i="27"/>
  <c r="X1044" i="7" l="1"/>
  <c r="W1045" i="7"/>
  <c r="AJ1044" i="7"/>
  <c r="K71" i="27"/>
  <c r="X1045" i="7" l="1"/>
  <c r="AJ1045" i="7"/>
  <c r="W1046" i="7"/>
  <c r="K70" i="27"/>
  <c r="X1046" i="7" l="1"/>
  <c r="W1047" i="7"/>
  <c r="AJ1046" i="7"/>
  <c r="K69" i="27"/>
  <c r="X1047" i="7" l="1"/>
  <c r="AJ1047" i="7"/>
  <c r="W1048" i="7"/>
  <c r="K68" i="27"/>
  <c r="X1048" i="7" l="1"/>
  <c r="W1049" i="7"/>
  <c r="AJ1048" i="7"/>
  <c r="K67" i="27"/>
  <c r="X1049" i="7" l="1"/>
  <c r="AJ1049" i="7"/>
  <c r="W1050" i="7"/>
  <c r="K66" i="27"/>
  <c r="X1050" i="7" l="1"/>
  <c r="AJ1050" i="7"/>
  <c r="W1051" i="7"/>
  <c r="K65" i="27"/>
  <c r="X1051" i="7" l="1"/>
  <c r="AJ1051" i="7"/>
  <c r="W1052" i="7"/>
  <c r="K64" i="27"/>
  <c r="X1052" i="7" l="1"/>
  <c r="AJ1052" i="7"/>
  <c r="W1053" i="7"/>
  <c r="K63" i="27"/>
  <c r="X1053" i="7" l="1"/>
  <c r="W1054" i="7"/>
  <c r="AJ1053" i="7"/>
  <c r="K62" i="27"/>
  <c r="X1054" i="7" l="1"/>
  <c r="AJ1054" i="7"/>
  <c r="W1055" i="7"/>
  <c r="K61" i="27"/>
  <c r="X1055" i="7" l="1"/>
  <c r="AJ1055" i="7"/>
  <c r="W1056" i="7"/>
  <c r="K60" i="27"/>
  <c r="X1056" i="7" l="1"/>
  <c r="W1057" i="7"/>
  <c r="AJ1056" i="7"/>
  <c r="K59" i="27"/>
  <c r="X1057" i="7" l="1"/>
  <c r="AJ1057" i="7"/>
  <c r="W1058" i="7"/>
  <c r="K58" i="27"/>
  <c r="X1058" i="7" l="1"/>
  <c r="W1059" i="7"/>
  <c r="AJ1058" i="7"/>
  <c r="K57" i="27"/>
  <c r="X1059" i="7" l="1"/>
  <c r="AJ1059" i="7"/>
  <c r="W1060" i="7"/>
  <c r="K56" i="27"/>
  <c r="X1060" i="7" l="1"/>
  <c r="W1061" i="7"/>
  <c r="AJ1060" i="7"/>
  <c r="K55" i="27"/>
  <c r="X1061" i="7" l="1"/>
  <c r="AJ1061" i="7"/>
  <c r="W1062" i="7"/>
  <c r="K54" i="27"/>
  <c r="X1062" i="7" l="1"/>
  <c r="W1063" i="7"/>
  <c r="AJ1062" i="7"/>
  <c r="K53" i="27"/>
  <c r="X1063" i="7" l="1"/>
  <c r="AJ1063" i="7"/>
  <c r="W1064" i="7"/>
  <c r="K52" i="27"/>
  <c r="X1064" i="7" l="1"/>
  <c r="AJ1064" i="7"/>
  <c r="W1065" i="7"/>
  <c r="K51" i="27"/>
  <c r="X1065" i="7" l="1"/>
  <c r="W1066" i="7"/>
  <c r="AJ1065" i="7"/>
  <c r="K50" i="27"/>
  <c r="X1066" i="7" l="1"/>
  <c r="AJ1066" i="7"/>
  <c r="K49" i="27"/>
  <c r="K48" i="27" l="1"/>
  <c r="K47" i="27" l="1"/>
  <c r="K46" i="27" l="1"/>
  <c r="K45" i="27" l="1"/>
  <c r="K44" i="27" l="1"/>
  <c r="K43" i="27" l="1"/>
  <c r="K42" i="27" l="1"/>
  <c r="K41" i="27" l="1"/>
  <c r="K40" i="27" l="1"/>
  <c r="K39" i="27" l="1"/>
  <c r="K38" i="27" l="1"/>
  <c r="K37" i="27" l="1"/>
  <c r="K36" i="27" l="1"/>
  <c r="K35" i="27" l="1"/>
  <c r="K34" i="27" l="1"/>
  <c r="K33" i="27" l="1"/>
  <c r="K32" i="27" l="1"/>
  <c r="K31" i="27" l="1"/>
  <c r="K30" i="27" l="1"/>
  <c r="K29" i="27" l="1"/>
  <c r="K28" i="27" l="1"/>
  <c r="K27" i="27" l="1"/>
  <c r="K26" i="27" l="1"/>
  <c r="K25" i="27" l="1"/>
  <c r="K24" i="27" l="1"/>
  <c r="K23" i="27" l="1"/>
  <c r="K22" i="27" l="1"/>
  <c r="K21" i="27" l="1"/>
  <c r="K20" i="27" l="1"/>
  <c r="K19" i="27" l="1"/>
  <c r="K18" i="27" l="1"/>
  <c r="K17" i="27" l="1"/>
  <c r="K16" i="27" l="1"/>
  <c r="K15" i="27" l="1"/>
  <c r="K14" i="27" l="1"/>
  <c r="K13" i="27" l="1"/>
  <c r="K12" i="27" l="1"/>
  <c r="K11" i="27" l="1"/>
  <c r="K10" i="27" l="1"/>
  <c r="K9" i="27" l="1"/>
  <c r="K8" i="27" l="1"/>
  <c r="K7" i="27" l="1"/>
  <c r="H16" i="36" l="1"/>
  <c r="AD6" i="36" l="1"/>
  <c r="AD7" i="36" s="1"/>
  <c r="X7" i="36" l="1"/>
  <c r="Y8" i="36" l="1"/>
  <c r="X8" i="36" s="1"/>
  <c r="Y9" i="36" s="1"/>
  <c r="X9" i="36" l="1"/>
  <c r="Y10" i="36" s="1"/>
  <c r="X10" i="36" l="1"/>
  <c r="Y11" i="36" l="1"/>
  <c r="X11" i="36" s="1"/>
  <c r="Y12" i="36" l="1"/>
  <c r="X12" i="36" s="1"/>
  <c r="Y13" i="36" l="1"/>
  <c r="X13" i="36" s="1"/>
  <c r="Y14" i="36" s="1"/>
  <c r="X14" i="36" l="1"/>
  <c r="Y15" i="36" s="1"/>
  <c r="X15" i="36" l="1"/>
  <c r="Y16" i="36" s="1"/>
  <c r="X16" i="36" l="1"/>
  <c r="Y17" i="36" s="1"/>
  <c r="X17" i="36" l="1"/>
  <c r="Y18" i="36" s="1"/>
  <c r="X18" i="36" l="1"/>
  <c r="Y19" i="36" s="1"/>
  <c r="X19" i="36" l="1"/>
  <c r="Y20" i="36" s="1"/>
  <c r="X20" i="36" l="1"/>
  <c r="Y21" i="36" s="1"/>
  <c r="X21" i="36" l="1"/>
  <c r="Y22" i="36" s="1"/>
  <c r="X22" i="36" l="1"/>
  <c r="Y23" i="36" s="1"/>
  <c r="X23" i="36" l="1"/>
  <c r="Y24" i="36" s="1"/>
  <c r="X24" i="36" l="1"/>
  <c r="Y25" i="36" s="1"/>
  <c r="X25" i="36" l="1"/>
  <c r="Y26" i="36" s="1"/>
  <c r="X26" i="36" l="1"/>
  <c r="Y27" i="36" s="1"/>
  <c r="X27" i="36" l="1"/>
  <c r="Y28" i="36" s="1"/>
  <c r="X28" i="36" l="1"/>
  <c r="Y29" i="36" s="1"/>
  <c r="X29" i="36" l="1"/>
  <c r="Y30" i="36" s="1"/>
  <c r="X30" i="36" l="1"/>
  <c r="Y31" i="36" s="1"/>
  <c r="X31" i="36" l="1"/>
  <c r="Y32" i="36" s="1"/>
  <c r="X32" i="36" l="1"/>
  <c r="Y33" i="36" s="1"/>
  <c r="X33" i="36" l="1"/>
  <c r="Y34" i="36" s="1"/>
  <c r="X34" i="36" l="1"/>
  <c r="Y35" i="36" s="1"/>
  <c r="X35" i="36" l="1"/>
  <c r="Y36" i="36" s="1"/>
  <c r="X36" i="36" l="1"/>
  <c r="Y37" i="36" s="1"/>
  <c r="X37" i="36" l="1"/>
  <c r="Y38" i="36" s="1"/>
  <c r="X38" i="36" l="1"/>
  <c r="Y39" i="36" s="1"/>
  <c r="X39" i="36" l="1"/>
  <c r="Y40" i="36" s="1"/>
  <c r="X40" i="36" l="1"/>
  <c r="Y41" i="36" s="1"/>
  <c r="X41" i="36" l="1"/>
  <c r="Y42" i="36" s="1"/>
  <c r="X42" i="36" l="1"/>
  <c r="Y43" i="36" s="1"/>
  <c r="X43" i="36" l="1"/>
  <c r="Y44" i="36" s="1"/>
  <c r="X44" i="36" l="1"/>
  <c r="Y45" i="36" s="1"/>
  <c r="X45" i="36" l="1"/>
  <c r="Y46" i="36" s="1"/>
  <c r="X46" i="36" l="1"/>
  <c r="Y47" i="36" s="1"/>
  <c r="X47" i="36" l="1"/>
  <c r="Y48" i="36" s="1"/>
  <c r="X48" i="36" l="1"/>
  <c r="Y49" i="36" s="1"/>
  <c r="X49" i="36" l="1"/>
  <c r="Y50" i="36" s="1"/>
  <c r="X50" i="36" l="1"/>
  <c r="Y51" i="36" s="1"/>
  <c r="X51" i="36" l="1"/>
  <c r="Y52" i="36" s="1"/>
  <c r="X52" i="36" l="1"/>
  <c r="Y53" i="36" s="1"/>
  <c r="X53" i="36" l="1"/>
  <c r="Y54" i="36" s="1"/>
  <c r="X54" i="36" l="1"/>
  <c r="Y55" i="36" s="1"/>
  <c r="X55" i="36" l="1"/>
  <c r="Y56" i="36" s="1"/>
  <c r="X56" i="36" l="1"/>
  <c r="Y57" i="36" s="1"/>
  <c r="X57" i="36" l="1"/>
  <c r="Y58" i="36" s="1"/>
  <c r="X58" i="36" l="1"/>
  <c r="Y59" i="36" s="1"/>
  <c r="X59" i="36" l="1"/>
  <c r="Y60" i="36" s="1"/>
  <c r="X60" i="36" l="1"/>
  <c r="Y61" i="36" s="1"/>
  <c r="X61" i="36" l="1"/>
  <c r="Y62" i="36" s="1"/>
  <c r="X62" i="36" l="1"/>
  <c r="Y63" i="36" s="1"/>
  <c r="X63" i="36" l="1"/>
  <c r="Y64" i="36" s="1"/>
  <c r="X64" i="36" l="1"/>
  <c r="Y65" i="36" s="1"/>
  <c r="X65" i="36" l="1"/>
  <c r="Y66" i="36" s="1"/>
  <c r="X66" i="36" l="1"/>
  <c r="Y67" i="36" s="1"/>
  <c r="X67" i="36" l="1"/>
  <c r="Y68" i="36" s="1"/>
  <c r="X68" i="36" l="1"/>
  <c r="Y69" i="36" s="1"/>
  <c r="X69" i="36" l="1"/>
  <c r="Y70" i="36" s="1"/>
  <c r="X70" i="36" l="1"/>
  <c r="Y71" i="36" s="1"/>
  <c r="X71" i="36" l="1"/>
  <c r="Y72" i="36" s="1"/>
  <c r="X72" i="36" l="1"/>
  <c r="Y73" i="36" s="1"/>
  <c r="X73" i="36" l="1"/>
  <c r="Y74" i="36" s="1"/>
  <c r="X74" i="36" l="1"/>
  <c r="Y75" i="36" s="1"/>
  <c r="X75" i="36" l="1"/>
  <c r="Y76" i="36" s="1"/>
  <c r="X76" i="36" l="1"/>
  <c r="Y77" i="36" s="1"/>
  <c r="X77" i="36" l="1"/>
  <c r="Y78" i="36" s="1"/>
  <c r="X78" i="36" l="1"/>
  <c r="Y79" i="36" s="1"/>
  <c r="X79" i="36" l="1"/>
  <c r="Y80" i="36" s="1"/>
  <c r="X80" i="36" l="1"/>
  <c r="Y81" i="36" s="1"/>
  <c r="X81" i="36" l="1"/>
  <c r="Y82" i="36" s="1"/>
  <c r="X82" i="36" l="1"/>
  <c r="Y83" i="36" s="1"/>
  <c r="X83" i="36" l="1"/>
  <c r="Y84" i="36" s="1"/>
  <c r="X84" i="36" l="1"/>
  <c r="Y85" i="36" s="1"/>
  <c r="X85" i="36" l="1"/>
  <c r="Y86" i="36" s="1"/>
  <c r="X86" i="36" l="1"/>
  <c r="Y87" i="36" s="1"/>
  <c r="X87" i="36" l="1"/>
  <c r="Y88" i="36" s="1"/>
  <c r="X88" i="36" l="1"/>
  <c r="Y89" i="36" s="1"/>
  <c r="X89" i="36" l="1"/>
  <c r="Y90" i="36" s="1"/>
  <c r="X90" i="36" l="1"/>
  <c r="Y91" i="36" s="1"/>
  <c r="X91" i="36" l="1"/>
  <c r="Y92" i="36" s="1"/>
  <c r="X92" i="36" l="1"/>
  <c r="Y93" i="36" s="1"/>
  <c r="X93" i="36" l="1"/>
  <c r="Y94" i="36" s="1"/>
  <c r="X94" i="36" l="1"/>
  <c r="Y95" i="36" s="1"/>
  <c r="X95" i="36" l="1"/>
  <c r="Y96" i="36" s="1"/>
  <c r="X96" i="36" l="1"/>
  <c r="Y97" i="36" s="1"/>
  <c r="X97" i="36" l="1"/>
  <c r="Y98" i="36" s="1"/>
  <c r="X98" i="36" l="1"/>
  <c r="Y99" i="36" s="1"/>
  <c r="X99" i="36" l="1"/>
  <c r="Y100" i="36" s="1"/>
  <c r="X100" i="36" l="1"/>
  <c r="Y101" i="36" s="1"/>
  <c r="X101" i="36" l="1"/>
  <c r="Y102" i="36" s="1"/>
  <c r="X102" i="36" l="1"/>
  <c r="Y103" i="36" s="1"/>
  <c r="X103" i="36" l="1"/>
  <c r="Y104" i="36" s="1"/>
  <c r="X104" i="36" l="1"/>
  <c r="Y105" i="36" s="1"/>
  <c r="X105" i="36" l="1"/>
  <c r="Y106" i="36" s="1"/>
  <c r="X106" i="36" l="1"/>
  <c r="Y107" i="36" s="1"/>
  <c r="X107" i="36" l="1"/>
  <c r="Y108" i="36" s="1"/>
  <c r="X108" i="36" l="1"/>
  <c r="Y109" i="36" s="1"/>
  <c r="X109" i="36" l="1"/>
  <c r="Y110" i="36" s="1"/>
  <c r="X110" i="36" l="1"/>
  <c r="Y111" i="36" s="1"/>
  <c r="X111" i="36" l="1"/>
  <c r="Y112" i="36" s="1"/>
  <c r="X112" i="36" l="1"/>
  <c r="Y113" i="36" s="1"/>
  <c r="X113" i="36" l="1"/>
  <c r="Y114" i="36" s="1"/>
  <c r="X114" i="36" l="1"/>
  <c r="Y115" i="36" s="1"/>
  <c r="X115" i="36" l="1"/>
  <c r="Y116" i="36" s="1"/>
  <c r="X116" i="36" l="1"/>
  <c r="Y117" i="36" s="1"/>
  <c r="X117" i="36" l="1"/>
  <c r="Y118" i="36" s="1"/>
  <c r="X118" i="36" l="1"/>
  <c r="Y119" i="36" s="1"/>
  <c r="X119" i="36" l="1"/>
  <c r="Y120" i="36" s="1"/>
  <c r="X120" i="36" l="1"/>
  <c r="Y121" i="36" s="1"/>
  <c r="X121" i="36" l="1"/>
  <c r="Y122" i="36" s="1"/>
  <c r="X122" i="36" l="1"/>
  <c r="Y123" i="36" s="1"/>
  <c r="X123" i="36" l="1"/>
  <c r="Y124" i="36" s="1"/>
  <c r="X124" i="36" l="1"/>
  <c r="Y125" i="36" s="1"/>
  <c r="X125" i="36" l="1"/>
  <c r="Y126" i="36" s="1"/>
  <c r="X126" i="36" l="1"/>
  <c r="Y127" i="36" s="1"/>
  <c r="X127" i="36" l="1"/>
  <c r="Y128" i="36" s="1"/>
  <c r="X128" i="36" l="1"/>
  <c r="Y129" i="36" s="1"/>
  <c r="X129" i="36" l="1"/>
  <c r="Y130" i="36" s="1"/>
  <c r="X130" i="36" l="1"/>
  <c r="Y131" i="36" s="1"/>
  <c r="X131" i="36" l="1"/>
  <c r="Y132" i="36" s="1"/>
  <c r="X132" i="36" l="1"/>
  <c r="Y133" i="36" s="1"/>
  <c r="X133" i="36" l="1"/>
  <c r="Y134" i="36" s="1"/>
  <c r="X134" i="36" l="1"/>
  <c r="Y135" i="36" s="1"/>
  <c r="X135" i="36" l="1"/>
  <c r="Y136" i="36" s="1"/>
  <c r="X136" i="36" l="1"/>
  <c r="Y137" i="36" s="1"/>
  <c r="X137" i="36" l="1"/>
  <c r="Y138" i="36" s="1"/>
  <c r="X138" i="36" l="1"/>
  <c r="Y139" i="36" s="1"/>
  <c r="X139" i="36" l="1"/>
  <c r="Y140" i="36" s="1"/>
  <c r="X140" i="36" l="1"/>
  <c r="Y141" i="36" s="1"/>
  <c r="X141" i="36" l="1"/>
  <c r="Y142" i="36" s="1"/>
  <c r="X142" i="36" l="1"/>
  <c r="Y143" i="36" s="1"/>
  <c r="X143" i="36" l="1"/>
  <c r="Y144" i="36" s="1"/>
  <c r="X144" i="36" l="1"/>
  <c r="Y145" i="36" s="1"/>
  <c r="X145" i="36" l="1"/>
  <c r="Y146" i="36" s="1"/>
  <c r="X146" i="36" l="1"/>
  <c r="Y147" i="36" s="1"/>
  <c r="X147" i="36" l="1"/>
  <c r="Y148" i="36" s="1"/>
  <c r="X148" i="36" l="1"/>
  <c r="Y149" i="36" s="1"/>
  <c r="X149" i="36" l="1"/>
  <c r="Y150" i="36" s="1"/>
  <c r="X150" i="36" l="1"/>
  <c r="Y151" i="36" s="1"/>
  <c r="X151" i="36" l="1"/>
  <c r="Y152" i="36" s="1"/>
  <c r="X152" i="36" l="1"/>
  <c r="Y153" i="36" s="1"/>
  <c r="X153" i="36" l="1"/>
  <c r="Y154" i="36" s="1"/>
  <c r="X154" i="36" l="1"/>
  <c r="Y155" i="36" s="1"/>
  <c r="X155" i="36" l="1"/>
  <c r="Y156" i="36" s="1"/>
  <c r="X156" i="36" l="1"/>
  <c r="Y157" i="36" s="1"/>
  <c r="X157" i="36" l="1"/>
  <c r="Y158" i="36" s="1"/>
  <c r="X158" i="36" l="1"/>
  <c r="Y159" i="36" s="1"/>
  <c r="X159" i="36" l="1"/>
  <c r="Y160" i="36" s="1"/>
  <c r="X160" i="36" l="1"/>
  <c r="Y161" i="36" s="1"/>
  <c r="X161" i="36" l="1"/>
  <c r="Y162" i="36" s="1"/>
  <c r="X162" i="36" l="1"/>
  <c r="Y163" i="36" s="1"/>
  <c r="X163" i="36" l="1"/>
  <c r="Y164" i="36" s="1"/>
  <c r="X164" i="36" l="1"/>
  <c r="Y165" i="36" s="1"/>
  <c r="X165" i="36" l="1"/>
  <c r="Y166" i="36" s="1"/>
  <c r="X166" i="36" l="1"/>
  <c r="Y167" i="36" s="1"/>
  <c r="X167" i="36" l="1"/>
  <c r="Y168" i="36" s="1"/>
  <c r="X168" i="36" l="1"/>
  <c r="Y169" i="36" s="1"/>
  <c r="X169" i="36" l="1"/>
  <c r="Y170" i="36" s="1"/>
  <c r="X170" i="36" l="1"/>
  <c r="Y171" i="36" s="1"/>
  <c r="X171" i="36" l="1"/>
  <c r="Y172" i="36" s="1"/>
  <c r="X172" i="36" l="1"/>
  <c r="Y173" i="36" s="1"/>
  <c r="X173" i="36" l="1"/>
  <c r="Y174" i="36" s="1"/>
  <c r="X174" i="36" l="1"/>
  <c r="Y175" i="36" s="1"/>
  <c r="X175" i="36" l="1"/>
  <c r="Y176" i="36" s="1"/>
  <c r="X176" i="36" l="1"/>
  <c r="Y177" i="36" s="1"/>
  <c r="X177" i="36" l="1"/>
  <c r="Y178" i="36" s="1"/>
  <c r="X178" i="36" l="1"/>
  <c r="Y179" i="36" s="1"/>
  <c r="X179" i="36" l="1"/>
  <c r="Y180" i="36" s="1"/>
  <c r="X180" i="36" l="1"/>
  <c r="Y181" i="36" s="1"/>
  <c r="X181" i="36" l="1"/>
  <c r="Y182" i="36" s="1"/>
  <c r="X182" i="36" l="1"/>
  <c r="Y183" i="36" s="1"/>
  <c r="X183" i="36" l="1"/>
  <c r="Y184" i="36" s="1"/>
  <c r="X184" i="36" l="1"/>
  <c r="Y185" i="36" s="1"/>
  <c r="X185" i="36" l="1"/>
  <c r="Y186" i="36" s="1"/>
  <c r="X186" i="36" l="1"/>
  <c r="Y187" i="36" s="1"/>
  <c r="X187" i="36" l="1"/>
  <c r="Y188" i="36" s="1"/>
  <c r="X188" i="36" l="1"/>
  <c r="Y189" i="36" s="1"/>
  <c r="X189" i="36" l="1"/>
  <c r="Y190" i="36" s="1"/>
  <c r="X190" i="36" l="1"/>
  <c r="Y191" i="36" s="1"/>
  <c r="X191" i="36" l="1"/>
  <c r="Y192" i="36" s="1"/>
  <c r="X192" i="36" l="1"/>
  <c r="Y193" i="36" s="1"/>
  <c r="X193" i="36" l="1"/>
  <c r="Y194" i="36" s="1"/>
  <c r="X194" i="36" l="1"/>
  <c r="Y195" i="36" s="1"/>
  <c r="X195" i="36" l="1"/>
  <c r="Y196" i="36" s="1"/>
  <c r="X196" i="36" l="1"/>
  <c r="Y197" i="36" s="1"/>
  <c r="X197" i="36" l="1"/>
  <c r="Y198" i="36" s="1"/>
  <c r="X198" i="36" l="1"/>
  <c r="Y199" i="36" s="1"/>
  <c r="X199" i="36" l="1"/>
  <c r="Y200" i="36" s="1"/>
  <c r="X200" i="36" l="1"/>
  <c r="Y201" i="36" s="1"/>
  <c r="X201" i="36" l="1"/>
  <c r="Y202" i="36" s="1"/>
  <c r="X202" i="36" l="1"/>
  <c r="Y203" i="36" s="1"/>
  <c r="X203" i="36" l="1"/>
  <c r="Y204" i="36" s="1"/>
  <c r="X204" i="36" l="1"/>
  <c r="Y205" i="36" s="1"/>
  <c r="X205" i="36" l="1"/>
  <c r="Y206" i="36" s="1"/>
  <c r="X206" i="36" l="1"/>
  <c r="Y207" i="36" s="1"/>
  <c r="X207" i="36" l="1"/>
  <c r="Y208" i="36" s="1"/>
  <c r="X208" i="36" l="1"/>
  <c r="Y209" i="36" s="1"/>
  <c r="X209" i="36" l="1"/>
  <c r="Y210" i="36" s="1"/>
  <c r="X210" i="36" l="1"/>
  <c r="Y211" i="36" s="1"/>
  <c r="X211" i="36" l="1"/>
  <c r="Y212" i="36" s="1"/>
  <c r="X212" i="36" l="1"/>
  <c r="Y213" i="36" s="1"/>
  <c r="X213" i="36" l="1"/>
  <c r="Y214" i="36" s="1"/>
  <c r="X214" i="36" l="1"/>
  <c r="Y215" i="36" s="1"/>
  <c r="X215" i="36" l="1"/>
  <c r="Y216" i="36" s="1"/>
  <c r="X216" i="36" l="1"/>
  <c r="Y217" i="36" s="1"/>
  <c r="X217" i="36" l="1"/>
  <c r="Y218" i="36" s="1"/>
  <c r="X218" i="36" l="1"/>
  <c r="Y219" i="36" s="1"/>
  <c r="X219" i="36" l="1"/>
  <c r="Y220" i="36" s="1"/>
  <c r="X220" i="36" l="1"/>
  <c r="Y221" i="36" s="1"/>
  <c r="X221" i="36" l="1"/>
  <c r="Y222" i="36" s="1"/>
  <c r="X222" i="36" l="1"/>
  <c r="Y223" i="36" s="1"/>
  <c r="X223" i="36" l="1"/>
  <c r="Y224" i="36" s="1"/>
  <c r="X224" i="36" l="1"/>
  <c r="Y225" i="36" s="1"/>
  <c r="X225" i="36" l="1"/>
  <c r="Y226" i="36" s="1"/>
  <c r="X226" i="36" l="1"/>
  <c r="Y227" i="36" s="1"/>
  <c r="X227" i="36" l="1"/>
  <c r="Y228" i="36" s="1"/>
  <c r="X228" i="36" l="1"/>
  <c r="Y229" i="36" s="1"/>
  <c r="X229" i="36" l="1"/>
  <c r="Y230" i="36" s="1"/>
  <c r="X230" i="36" l="1"/>
  <c r="Y231" i="36" s="1"/>
  <c r="X231" i="36" l="1"/>
  <c r="Y232" i="36" s="1"/>
  <c r="X232" i="36" l="1"/>
  <c r="Y233" i="36" s="1"/>
  <c r="X233" i="36" l="1"/>
  <c r="Y234" i="36" s="1"/>
  <c r="X234" i="36" l="1"/>
  <c r="Y235" i="36" s="1"/>
  <c r="X235" i="36" l="1"/>
  <c r="Y236" i="36" s="1"/>
  <c r="X236" i="36" l="1"/>
  <c r="Y237" i="36" s="1"/>
  <c r="X237" i="36" l="1"/>
  <c r="Y238" i="36" s="1"/>
  <c r="X238" i="36" l="1"/>
  <c r="Y239" i="36" s="1"/>
  <c r="X239" i="36" l="1"/>
  <c r="Y240" i="36" s="1"/>
  <c r="X240" i="36" l="1"/>
  <c r="Y241" i="36" s="1"/>
  <c r="X241" i="36" l="1"/>
  <c r="Y242" i="36" s="1"/>
  <c r="X242" i="36" l="1"/>
  <c r="Y243" i="36" s="1"/>
  <c r="X243" i="36" l="1"/>
  <c r="Y244" i="36" s="1"/>
  <c r="X244" i="36" l="1"/>
  <c r="Y245" i="36" s="1"/>
  <c r="X245" i="36" l="1"/>
  <c r="Y246" i="36" s="1"/>
  <c r="X246" i="36" l="1"/>
  <c r="Y247" i="36" s="1"/>
  <c r="X247" i="36" l="1"/>
  <c r="Y248" i="36" s="1"/>
  <c r="X248" i="36" l="1"/>
  <c r="Y249" i="36" s="1"/>
  <c r="X249" i="36" l="1"/>
  <c r="Y250" i="36" s="1"/>
  <c r="X250" i="36" l="1"/>
  <c r="Y251" i="36" s="1"/>
  <c r="X251" i="36" l="1"/>
  <c r="Y252" i="36" s="1"/>
  <c r="X252" i="36" l="1"/>
  <c r="Y253" i="36" s="1"/>
  <c r="X253" i="36" l="1"/>
  <c r="Y254" i="36" s="1"/>
  <c r="X254" i="36" l="1"/>
  <c r="Y255" i="36" s="1"/>
  <c r="X255" i="36" l="1"/>
  <c r="Y256" i="36" s="1"/>
  <c r="X256" i="36" l="1"/>
  <c r="Y257" i="36" s="1"/>
  <c r="X257" i="36" l="1"/>
  <c r="Y258" i="36" s="1"/>
  <c r="X258" i="36" l="1"/>
  <c r="Y259" i="36" s="1"/>
  <c r="X259" i="36" l="1"/>
  <c r="Y260" i="36" s="1"/>
  <c r="X260" i="36" l="1"/>
  <c r="Y261" i="36" s="1"/>
  <c r="X261" i="36" l="1"/>
  <c r="Y262" i="36" s="1"/>
  <c r="X262" i="36" l="1"/>
  <c r="Y263" i="36" s="1"/>
  <c r="X263" i="36" l="1"/>
  <c r="Y264" i="36" s="1"/>
  <c r="X264" i="36" l="1"/>
  <c r="Y265" i="36" s="1"/>
  <c r="X265" i="36" l="1"/>
  <c r="Y266" i="36" s="1"/>
  <c r="X266" i="36" l="1"/>
  <c r="Y267" i="36" s="1"/>
  <c r="X267" i="36" l="1"/>
  <c r="Y268" i="36" s="1"/>
  <c r="X268" i="36" l="1"/>
  <c r="Y269" i="36" s="1"/>
  <c r="X269" i="36" l="1"/>
  <c r="Y270" i="36" s="1"/>
  <c r="X270" i="36" l="1"/>
  <c r="Y271" i="36" s="1"/>
  <c r="X271" i="36" l="1"/>
  <c r="Y272" i="36" s="1"/>
  <c r="X272" i="36" l="1"/>
  <c r="Y273" i="36" s="1"/>
  <c r="X273" i="36" l="1"/>
  <c r="Y274" i="36" s="1"/>
  <c r="X274" i="36" l="1"/>
  <c r="Y275" i="36" s="1"/>
  <c r="X275" i="36" l="1"/>
  <c r="Y276" i="36" s="1"/>
  <c r="X276" i="36" l="1"/>
  <c r="Y277" i="36" s="1"/>
  <c r="X277" i="36" l="1"/>
  <c r="Y278" i="36" s="1"/>
  <c r="X278" i="36" l="1"/>
  <c r="Y279" i="36" s="1"/>
  <c r="X279" i="36" l="1"/>
  <c r="Y280" i="36" s="1"/>
  <c r="X280" i="36" l="1"/>
  <c r="Y281" i="36" s="1"/>
  <c r="X281" i="36" l="1"/>
  <c r="Y282" i="36" s="1"/>
  <c r="X282" i="36" l="1"/>
  <c r="Y283" i="36" s="1"/>
  <c r="X283" i="36" l="1"/>
  <c r="Y284" i="36" s="1"/>
  <c r="X284" i="36" l="1"/>
  <c r="Y285" i="36" s="1"/>
  <c r="X285" i="36" l="1"/>
  <c r="Y286" i="36" s="1"/>
  <c r="X286" i="36" l="1"/>
  <c r="Y287" i="36" s="1"/>
  <c r="X287" i="36" l="1"/>
  <c r="Y288" i="36" s="1"/>
  <c r="X288" i="36" l="1"/>
  <c r="Y289" i="36" s="1"/>
  <c r="X289" i="36" l="1"/>
  <c r="Y290" i="36" s="1"/>
  <c r="X290" i="36" l="1"/>
  <c r="Y291" i="36" s="1"/>
  <c r="X291" i="36" l="1"/>
  <c r="Y292" i="36" s="1"/>
  <c r="X292" i="36" l="1"/>
  <c r="Y293" i="36" s="1"/>
  <c r="X293" i="36" l="1"/>
  <c r="Y294" i="36" s="1"/>
  <c r="X294" i="36" l="1"/>
  <c r="Y295" i="36" s="1"/>
  <c r="X295" i="36" l="1"/>
  <c r="Y296" i="36" s="1"/>
  <c r="X296" i="36" l="1"/>
  <c r="Y297" i="36" s="1"/>
  <c r="X297" i="36" l="1"/>
  <c r="Y298" i="36" s="1"/>
  <c r="X298" i="36" l="1"/>
  <c r="Y299" i="36" s="1"/>
  <c r="X299" i="36" l="1"/>
  <c r="Y300" i="36" s="1"/>
  <c r="X300" i="36" l="1"/>
  <c r="Y301" i="36" s="1"/>
  <c r="X301" i="36" l="1"/>
  <c r="Y302" i="36" s="1"/>
  <c r="X302" i="36" l="1"/>
  <c r="Y303" i="36" s="1"/>
  <c r="X303" i="36" l="1"/>
  <c r="Y304" i="36" s="1"/>
  <c r="X304" i="36" l="1"/>
  <c r="Y305" i="36" s="1"/>
  <c r="X305" i="36" l="1"/>
  <c r="Y306" i="36" s="1"/>
  <c r="X306" i="36" l="1"/>
  <c r="Y307" i="36" s="1"/>
  <c r="X307" i="36" l="1"/>
  <c r="Y308" i="36" s="1"/>
  <c r="X308" i="36" l="1"/>
  <c r="Y309" i="36" s="1"/>
  <c r="X309" i="36" l="1"/>
  <c r="Y310" i="36" s="1"/>
  <c r="X310" i="36" l="1"/>
  <c r="Y311" i="36" s="1"/>
  <c r="X311" i="36" l="1"/>
  <c r="Y312" i="36" s="1"/>
  <c r="X312" i="36" l="1"/>
  <c r="Y313" i="36" s="1"/>
  <c r="X313" i="36" l="1"/>
  <c r="Y314" i="36" s="1"/>
  <c r="X314" i="36" l="1"/>
  <c r="Y315" i="36" s="1"/>
  <c r="X315" i="36" l="1"/>
  <c r="Y316" i="36" s="1"/>
  <c r="X316" i="36" l="1"/>
  <c r="Y317" i="36" s="1"/>
  <c r="X317" i="36" l="1"/>
  <c r="Y318" i="36" s="1"/>
  <c r="X318" i="36" l="1"/>
  <c r="Y319" i="36" s="1"/>
  <c r="X319" i="36" l="1"/>
  <c r="Y320" i="36" s="1"/>
  <c r="X320" i="36" l="1"/>
  <c r="Y321" i="36" s="1"/>
  <c r="X321" i="36" l="1"/>
  <c r="Y322" i="36" s="1"/>
  <c r="X322" i="36" l="1"/>
  <c r="Y323" i="36" s="1"/>
  <c r="X323" i="36" l="1"/>
  <c r="Y324" i="36" s="1"/>
  <c r="X324" i="36" l="1"/>
  <c r="Y325" i="36" s="1"/>
  <c r="X325" i="36" l="1"/>
  <c r="Y326" i="36" s="1"/>
  <c r="X326" i="36" l="1"/>
  <c r="Y327" i="36" s="1"/>
  <c r="X327" i="36" l="1"/>
  <c r="Y328" i="36" s="1"/>
  <c r="X328" i="36" l="1"/>
  <c r="Y329" i="36" s="1"/>
  <c r="X329" i="36" l="1"/>
  <c r="Y330" i="36" s="1"/>
  <c r="X330" i="36" l="1"/>
  <c r="Y331" i="36" s="1"/>
  <c r="X331" i="36" l="1"/>
  <c r="Y332" i="36" s="1"/>
  <c r="X332" i="36" l="1"/>
  <c r="Y333" i="36" s="1"/>
  <c r="X333" i="36" l="1"/>
  <c r="Y334" i="36" s="1"/>
  <c r="X334" i="36" l="1"/>
  <c r="Y335" i="36" s="1"/>
  <c r="X335" i="36" l="1"/>
  <c r="Y336" i="36" s="1"/>
  <c r="X336" i="36" l="1"/>
  <c r="Y337" i="36" s="1"/>
  <c r="X337" i="36" l="1"/>
  <c r="Y338" i="36" s="1"/>
  <c r="X338" i="36" l="1"/>
  <c r="Y339" i="36" s="1"/>
  <c r="X339" i="36" l="1"/>
  <c r="Y340" i="36" s="1"/>
  <c r="X340" i="36" l="1"/>
  <c r="Y341" i="36" s="1"/>
  <c r="X341" i="36" l="1"/>
  <c r="Y342" i="36" s="1"/>
  <c r="X342" i="36" l="1"/>
  <c r="Y343" i="36" s="1"/>
  <c r="X343" i="36" l="1"/>
  <c r="Y344" i="36" s="1"/>
  <c r="X344" i="36" l="1"/>
  <c r="Y345" i="36" s="1"/>
  <c r="X345" i="36" l="1"/>
  <c r="Y346" i="36" s="1"/>
  <c r="X346" i="36" l="1"/>
  <c r="Y347" i="36" s="1"/>
  <c r="X347" i="36" l="1"/>
  <c r="Y348" i="36" s="1"/>
  <c r="X348" i="36" l="1"/>
  <c r="Y349" i="36" s="1"/>
  <c r="X349" i="36" l="1"/>
  <c r="Y350" i="36" s="1"/>
  <c r="X350" i="36" l="1"/>
  <c r="Y351" i="36" s="1"/>
  <c r="X351" i="36" l="1"/>
  <c r="Y352" i="36" s="1"/>
  <c r="X352" i="36" l="1"/>
  <c r="Y353" i="36" s="1"/>
  <c r="X353" i="36" l="1"/>
  <c r="Y354" i="36" s="1"/>
  <c r="X354" i="36" l="1"/>
  <c r="Y355" i="36" s="1"/>
  <c r="X355" i="36" l="1"/>
  <c r="Y356" i="36" s="1"/>
  <c r="X356" i="36" l="1"/>
  <c r="Y357" i="36" s="1"/>
  <c r="X357" i="36" l="1"/>
  <c r="Y358" i="36" s="1"/>
  <c r="X358" i="36" l="1"/>
  <c r="Y359" i="36" s="1"/>
  <c r="X359" i="36" l="1"/>
  <c r="Y360" i="36" s="1"/>
  <c r="X360" i="36" l="1"/>
  <c r="Y361" i="36" s="1"/>
  <c r="X361" i="36" l="1"/>
  <c r="Y362" i="36" s="1"/>
  <c r="X362" i="36" l="1"/>
  <c r="Y363" i="36" s="1"/>
  <c r="X363" i="36" l="1"/>
  <c r="Y364" i="36" s="1"/>
  <c r="X364" i="36" l="1"/>
  <c r="Y365" i="36" s="1"/>
  <c r="X365" i="36" l="1"/>
  <c r="Y366" i="36" s="1"/>
  <c r="X366" i="36" l="1"/>
  <c r="Y367" i="36" s="1"/>
  <c r="X367" i="36" l="1"/>
  <c r="Y368" i="36" s="1"/>
  <c r="X368" i="36" l="1"/>
  <c r="Y369" i="36" s="1"/>
  <c r="X369" i="36" l="1"/>
  <c r="Y370" i="36" s="1"/>
  <c r="X370" i="36" l="1"/>
  <c r="Y371" i="36" s="1"/>
  <c r="X371" i="36" l="1"/>
  <c r="Y372" i="36" s="1"/>
  <c r="X372" i="36" l="1"/>
  <c r="Y373" i="36" s="1"/>
  <c r="X373" i="36" l="1"/>
  <c r="Y374" i="36" s="1"/>
  <c r="X374" i="36" l="1"/>
  <c r="Y375" i="36" s="1"/>
  <c r="X375" i="36" l="1"/>
  <c r="Y376" i="36" s="1"/>
  <c r="X376" i="36" l="1"/>
  <c r="Y377" i="36" s="1"/>
  <c r="X377" i="36" l="1"/>
  <c r="Y378" i="36" s="1"/>
  <c r="X378" i="36" l="1"/>
  <c r="Y379" i="36" s="1"/>
  <c r="X379" i="36" l="1"/>
  <c r="Y380" i="36" s="1"/>
  <c r="X380" i="36" l="1"/>
  <c r="Y381" i="36" s="1"/>
  <c r="X381" i="36" l="1"/>
  <c r="Y382" i="36" s="1"/>
  <c r="X382" i="36" l="1"/>
  <c r="Y383" i="36" s="1"/>
  <c r="X383" i="36" l="1"/>
  <c r="Y384" i="36" s="1"/>
  <c r="X384" i="36" l="1"/>
  <c r="Y385" i="36" s="1"/>
  <c r="X385" i="36" l="1"/>
  <c r="Y386" i="36" s="1"/>
  <c r="X386" i="36" l="1"/>
  <c r="Y387" i="36" s="1"/>
  <c r="X387" i="36" l="1"/>
  <c r="Y388" i="36" s="1"/>
  <c r="X388" i="36" l="1"/>
  <c r="Y389" i="36" s="1"/>
  <c r="X389" i="36" l="1"/>
  <c r="Y390" i="36" s="1"/>
  <c r="X390" i="36" l="1"/>
  <c r="Y391" i="36" s="1"/>
  <c r="X391" i="36" l="1"/>
  <c r="Y392" i="36" s="1"/>
  <c r="X392" i="36" l="1"/>
  <c r="Y393" i="36" s="1"/>
  <c r="X393" i="36" l="1"/>
  <c r="Y394" i="36" s="1"/>
  <c r="X394" i="36" l="1"/>
  <c r="Y395" i="36" s="1"/>
  <c r="X395" i="36" l="1"/>
  <c r="Y396" i="36" s="1"/>
  <c r="X396" i="36" l="1"/>
  <c r="Y397" i="36" s="1"/>
  <c r="X397" i="36" l="1"/>
  <c r="Y398" i="36" s="1"/>
  <c r="X398" i="36" l="1"/>
  <c r="Y399" i="36" s="1"/>
  <c r="X399" i="36" l="1"/>
  <c r="Y400" i="36" s="1"/>
  <c r="X400" i="36" l="1"/>
  <c r="Y401" i="36" s="1"/>
  <c r="X401" i="36" l="1"/>
  <c r="Y402" i="36" s="1"/>
  <c r="X402" i="36" l="1"/>
  <c r="Y403" i="36" s="1"/>
  <c r="X403" i="36" l="1"/>
  <c r="Y404" i="36" s="1"/>
  <c r="X404" i="36" l="1"/>
  <c r="Y405" i="36" s="1"/>
  <c r="X405" i="36" l="1"/>
  <c r="Y406" i="36" s="1"/>
  <c r="X406" i="36" l="1"/>
  <c r="Y407" i="36" s="1"/>
  <c r="X407" i="36" l="1"/>
  <c r="Y408" i="36" s="1"/>
  <c r="X408" i="36" l="1"/>
  <c r="Y409" i="36" s="1"/>
  <c r="X409" i="36" l="1"/>
  <c r="Y410" i="36" s="1"/>
  <c r="X410" i="36" l="1"/>
  <c r="Y411" i="36" s="1"/>
  <c r="X411" i="36" l="1"/>
  <c r="Y412" i="36" s="1"/>
  <c r="X412" i="36" l="1"/>
  <c r="Y413" i="36" s="1"/>
  <c r="X413" i="36" l="1"/>
  <c r="Y414" i="36" s="1"/>
  <c r="X414" i="36" l="1"/>
  <c r="Y415" i="36" s="1"/>
  <c r="X415" i="36" l="1"/>
  <c r="Y416" i="36" s="1"/>
  <c r="X416" i="36" l="1"/>
  <c r="Y417" i="36" s="1"/>
  <c r="X417" i="36" l="1"/>
  <c r="Y418" i="36" s="1"/>
  <c r="X418" i="36" l="1"/>
  <c r="Y419" i="36" s="1"/>
  <c r="X419" i="36" l="1"/>
  <c r="Y420" i="36" s="1"/>
  <c r="X420" i="36" l="1"/>
  <c r="Y421" i="36" s="1"/>
  <c r="X421" i="36" l="1"/>
  <c r="Y422" i="36" s="1"/>
  <c r="X422" i="36" l="1"/>
  <c r="Y423" i="36" s="1"/>
  <c r="X423" i="36" l="1"/>
  <c r="Y424" i="36" s="1"/>
  <c r="X424" i="36" l="1"/>
  <c r="Y425" i="36" s="1"/>
  <c r="X425" i="36" l="1"/>
  <c r="Y426" i="36" s="1"/>
  <c r="X426" i="36" l="1"/>
  <c r="Y427" i="36" s="1"/>
  <c r="X427" i="36" l="1"/>
  <c r="Y428" i="36" s="1"/>
  <c r="X428" i="36" l="1"/>
  <c r="Y429" i="36" s="1"/>
  <c r="X429" i="36" l="1"/>
  <c r="Y430" i="36" s="1"/>
  <c r="X430" i="36" l="1"/>
  <c r="Y431" i="36" s="1"/>
  <c r="X431" i="36" l="1"/>
  <c r="Y432" i="36" s="1"/>
  <c r="X432" i="36" l="1"/>
  <c r="Y433" i="36" s="1"/>
  <c r="X433" i="36" l="1"/>
  <c r="Y434" i="36" s="1"/>
  <c r="X434" i="36" l="1"/>
  <c r="Y435" i="36" s="1"/>
  <c r="X435" i="36" l="1"/>
  <c r="Y436" i="36" s="1"/>
  <c r="X436" i="36" l="1"/>
  <c r="Y437" i="36" s="1"/>
  <c r="X437" i="36" l="1"/>
  <c r="Y438" i="36" s="1"/>
  <c r="X438" i="36" l="1"/>
  <c r="Y439" i="36" s="1"/>
  <c r="X439" i="36" l="1"/>
  <c r="Y440" i="36" s="1"/>
  <c r="X440" i="36" l="1"/>
  <c r="Y441" i="36" s="1"/>
  <c r="X441" i="36" l="1"/>
  <c r="Y442" i="36" s="1"/>
  <c r="X442" i="36" l="1"/>
  <c r="Y443" i="36" s="1"/>
  <c r="X443" i="36" l="1"/>
  <c r="Y444" i="36" s="1"/>
  <c r="X444" i="36" l="1"/>
  <c r="Y445" i="36" s="1"/>
  <c r="X445" i="36" l="1"/>
  <c r="Y446" i="36" s="1"/>
  <c r="X446" i="36" l="1"/>
  <c r="Y447" i="36" s="1"/>
  <c r="X447" i="36" l="1"/>
  <c r="Y448" i="36" s="1"/>
  <c r="X448" i="36" l="1"/>
  <c r="Y449" i="36" s="1"/>
  <c r="X449" i="36" l="1"/>
  <c r="Y450" i="36" s="1"/>
  <c r="X450" i="36" l="1"/>
  <c r="Y451" i="36" s="1"/>
  <c r="X451" i="36" l="1"/>
  <c r="Y452" i="36" s="1"/>
  <c r="X452" i="36" l="1"/>
  <c r="Y453" i="36" s="1"/>
  <c r="X453" i="36" l="1"/>
  <c r="Y454" i="36" s="1"/>
  <c r="X454" i="36" l="1"/>
  <c r="Y455" i="36" s="1"/>
  <c r="X455" i="36" l="1"/>
  <c r="Y456" i="36" s="1"/>
  <c r="X456" i="36" l="1"/>
  <c r="Y457" i="36" s="1"/>
  <c r="X457" i="36" l="1"/>
  <c r="Y458" i="36" s="1"/>
  <c r="X458" i="36" l="1"/>
  <c r="Y459" i="36" s="1"/>
  <c r="X459" i="36" l="1"/>
  <c r="Y460" i="36" s="1"/>
  <c r="X460" i="36" l="1"/>
  <c r="Y461" i="36" s="1"/>
  <c r="X461" i="36" l="1"/>
  <c r="Y462" i="36" s="1"/>
  <c r="X462" i="36" l="1"/>
  <c r="Y463" i="36" s="1"/>
  <c r="X463" i="36" l="1"/>
  <c r="Y464" i="36" s="1"/>
  <c r="X464" i="36" l="1"/>
  <c r="Y465" i="36" s="1"/>
  <c r="X465" i="36" l="1"/>
  <c r="Y466" i="36" s="1"/>
  <c r="X466" i="36" l="1"/>
  <c r="Y467" i="36" s="1"/>
  <c r="X467" i="36" l="1"/>
  <c r="Y468" i="36" s="1"/>
  <c r="X468" i="36" l="1"/>
  <c r="Y469" i="36" s="1"/>
  <c r="X469" i="36" l="1"/>
  <c r="Y470" i="36" s="1"/>
  <c r="X470" i="36" l="1"/>
  <c r="Y471" i="36" s="1"/>
  <c r="X471" i="36" l="1"/>
  <c r="Y472" i="36" s="1"/>
  <c r="X472" i="36" l="1"/>
  <c r="Y473" i="36" s="1"/>
  <c r="X473" i="36" l="1"/>
  <c r="Y474" i="36" s="1"/>
  <c r="X474" i="36" l="1"/>
  <c r="Y475" i="36" s="1"/>
  <c r="X475" i="36" l="1"/>
  <c r="Y476" i="36" s="1"/>
  <c r="X476" i="36" l="1"/>
  <c r="Y477" i="36" s="1"/>
  <c r="X477" i="36" l="1"/>
  <c r="Y478" i="36" s="1"/>
  <c r="X478" i="36" l="1"/>
  <c r="Y479" i="36" s="1"/>
  <c r="X479" i="36" l="1"/>
  <c r="Y480" i="36" s="1"/>
  <c r="X480" i="36" l="1"/>
  <c r="Y481" i="36" s="1"/>
  <c r="X481" i="36" l="1"/>
  <c r="Y482" i="36" s="1"/>
  <c r="X482" i="36" l="1"/>
  <c r="Y483" i="36" s="1"/>
  <c r="X483" i="36" l="1"/>
  <c r="Y484" i="36" s="1"/>
  <c r="X484" i="36" l="1"/>
  <c r="Y485" i="36" s="1"/>
  <c r="X485" i="36" l="1"/>
  <c r="Y486" i="36" s="1"/>
  <c r="X486" i="36" l="1"/>
  <c r="Y487" i="36" s="1"/>
  <c r="X487" i="36" l="1"/>
  <c r="Y488" i="36" s="1"/>
  <c r="X488" i="36" l="1"/>
  <c r="Y489" i="36" s="1"/>
  <c r="X489" i="36" l="1"/>
  <c r="Y490" i="36" s="1"/>
  <c r="X490" i="36" l="1"/>
  <c r="Y491" i="36" s="1"/>
  <c r="X491" i="36" l="1"/>
  <c r="Y492" i="36" s="1"/>
  <c r="X492" i="36" l="1"/>
  <c r="Y493" i="36" s="1"/>
  <c r="X493" i="36" l="1"/>
  <c r="Y494" i="36" s="1"/>
  <c r="X494" i="36" l="1"/>
  <c r="Y495" i="36" s="1"/>
  <c r="X495" i="36" l="1"/>
  <c r="Y496" i="36" s="1"/>
  <c r="X496" i="36" l="1"/>
  <c r="Y497" i="36" s="1"/>
  <c r="X497" i="36" l="1"/>
  <c r="Y498" i="36" s="1"/>
  <c r="X498" i="36" l="1"/>
  <c r="Y499" i="36" s="1"/>
  <c r="X499" i="36" l="1"/>
  <c r="Y500" i="36" s="1"/>
  <c r="X500" i="36" l="1"/>
  <c r="Y501" i="36" s="1"/>
  <c r="X501" i="36" l="1"/>
  <c r="Y502" i="36" s="1"/>
  <c r="X502" i="36" l="1"/>
  <c r="Y503" i="36" s="1"/>
  <c r="X503" i="36" l="1"/>
  <c r="Y504" i="36" s="1"/>
  <c r="X504" i="36" l="1"/>
  <c r="Y505" i="36" s="1"/>
  <c r="X505" i="36" l="1"/>
  <c r="Y506" i="36" s="1"/>
  <c r="X506" i="36" l="1"/>
  <c r="Y507" i="36" s="1"/>
  <c r="X507" i="36" l="1"/>
  <c r="Y508" i="36" s="1"/>
  <c r="X508" i="36" l="1"/>
  <c r="Y509" i="36" s="1"/>
  <c r="X509" i="36" l="1"/>
  <c r="Y510" i="36" s="1"/>
  <c r="X510" i="36" l="1"/>
  <c r="Y511" i="36" s="1"/>
  <c r="X511" i="36" l="1"/>
  <c r="Y512" i="36" s="1"/>
  <c r="X512" i="36" l="1"/>
  <c r="Y513" i="36" s="1"/>
  <c r="X513" i="36" l="1"/>
  <c r="Y514" i="36" s="1"/>
  <c r="X514" i="36" l="1"/>
  <c r="Y515" i="36" s="1"/>
  <c r="X515" i="36" l="1"/>
  <c r="Y516" i="36" s="1"/>
  <c r="X516" i="36" l="1"/>
  <c r="Y517" i="36" s="1"/>
  <c r="X517" i="36" l="1"/>
  <c r="Y518" i="36" s="1"/>
  <c r="X518" i="36" l="1"/>
  <c r="Y519" i="36" s="1"/>
  <c r="X519" i="36" l="1"/>
  <c r="Y520" i="36" s="1"/>
  <c r="X520" i="36" l="1"/>
  <c r="Y521" i="36" s="1"/>
  <c r="X521" i="36" l="1"/>
  <c r="Y522" i="36" s="1"/>
  <c r="X522" i="36" l="1"/>
  <c r="Y523" i="36" s="1"/>
  <c r="X523" i="36" l="1"/>
  <c r="Y524" i="36" s="1"/>
  <c r="X524" i="36" l="1"/>
  <c r="Y525" i="36" s="1"/>
  <c r="X525" i="36" l="1"/>
  <c r="Y526" i="36" s="1"/>
  <c r="X526" i="36" l="1"/>
  <c r="Y527" i="36" s="1"/>
  <c r="X527" i="36" l="1"/>
  <c r="Y528" i="36" s="1"/>
  <c r="X528" i="36" l="1"/>
  <c r="Y529" i="36" s="1"/>
  <c r="X529" i="36" l="1"/>
  <c r="Y530" i="36" s="1"/>
  <c r="X530" i="36" l="1"/>
  <c r="Y531" i="36" s="1"/>
  <c r="X531" i="36" l="1"/>
  <c r="Y532" i="36" s="1"/>
  <c r="X532" i="36" l="1"/>
  <c r="Y533" i="36" s="1"/>
  <c r="X533" i="36" l="1"/>
  <c r="Y534" i="36" s="1"/>
  <c r="X534" i="36" l="1"/>
  <c r="Y535" i="36" s="1"/>
  <c r="X535" i="36" l="1"/>
  <c r="Y536" i="36" s="1"/>
  <c r="X536" i="36" l="1"/>
  <c r="Y537" i="36" s="1"/>
  <c r="X537" i="36" l="1"/>
  <c r="Y538" i="36" s="1"/>
  <c r="X538" i="36" l="1"/>
  <c r="Y539" i="36" s="1"/>
  <c r="X539" i="36" l="1"/>
  <c r="Y540" i="36" s="1"/>
  <c r="X540" i="36" l="1"/>
  <c r="Y541" i="36" s="1"/>
  <c r="X541" i="36" l="1"/>
  <c r="Y542" i="36" s="1"/>
  <c r="X542" i="36" l="1"/>
  <c r="Y543" i="36" s="1"/>
  <c r="X543" i="36" l="1"/>
  <c r="Y544" i="36" s="1"/>
  <c r="X544" i="36" l="1"/>
  <c r="Y545" i="36" s="1"/>
  <c r="X545" i="36" l="1"/>
  <c r="Y546" i="36" s="1"/>
  <c r="X546" i="36" l="1"/>
  <c r="Y547" i="36" s="1"/>
  <c r="X547" i="36" l="1"/>
  <c r="Y548" i="36" s="1"/>
  <c r="X548" i="36" l="1"/>
  <c r="Y549" i="36" s="1"/>
  <c r="X549" i="36" l="1"/>
  <c r="Y550" i="36" s="1"/>
  <c r="X550" i="36" l="1"/>
  <c r="Y551" i="36" s="1"/>
  <c r="X551" i="36" l="1"/>
  <c r="Y552" i="36" s="1"/>
  <c r="X552" i="36" l="1"/>
  <c r="Y553" i="36" s="1"/>
  <c r="X553" i="36" l="1"/>
  <c r="Y554" i="36" s="1"/>
  <c r="X554" i="36" l="1"/>
  <c r="Y555" i="36" s="1"/>
  <c r="X555" i="36" l="1"/>
  <c r="Y556" i="36" s="1"/>
  <c r="X556" i="36" l="1"/>
  <c r="Y557" i="36" s="1"/>
  <c r="X557" i="36" l="1"/>
  <c r="Y558" i="36" s="1"/>
  <c r="X558" i="36" l="1"/>
  <c r="Y559" i="36" s="1"/>
  <c r="X559" i="36" l="1"/>
  <c r="Y560" i="36" s="1"/>
  <c r="X560" i="36" l="1"/>
  <c r="Y561" i="36" s="1"/>
  <c r="X561" i="36" l="1"/>
  <c r="Y562" i="36" s="1"/>
  <c r="X562" i="36" l="1"/>
  <c r="Y563" i="36" s="1"/>
  <c r="X563" i="36" l="1"/>
  <c r="Y564" i="36" s="1"/>
  <c r="X564" i="36" l="1"/>
  <c r="Y565" i="36" s="1"/>
  <c r="X565" i="36" l="1"/>
  <c r="Y566" i="36" s="1"/>
  <c r="X566" i="36" l="1"/>
  <c r="Y567" i="36" s="1"/>
  <c r="X567" i="36" l="1"/>
  <c r="Y568" i="36" s="1"/>
  <c r="X568" i="36" l="1"/>
  <c r="Y569" i="36" s="1"/>
  <c r="X569" i="36" l="1"/>
  <c r="Y570" i="36" s="1"/>
  <c r="X570" i="36" l="1"/>
  <c r="Y571" i="36" s="1"/>
  <c r="X571" i="36" l="1"/>
  <c r="Y572" i="36" s="1"/>
  <c r="X572" i="36" l="1"/>
  <c r="Y573" i="36" s="1"/>
  <c r="X573" i="36" l="1"/>
  <c r="Y574" i="36" s="1"/>
  <c r="X574" i="36" l="1"/>
  <c r="Y575" i="36" s="1"/>
  <c r="X575" i="36" l="1"/>
  <c r="Y576" i="36" s="1"/>
  <c r="X576" i="36" l="1"/>
  <c r="Y577" i="36" s="1"/>
  <c r="X577" i="36" l="1"/>
  <c r="Y578" i="36" s="1"/>
  <c r="X578" i="36" l="1"/>
  <c r="Y579" i="36" s="1"/>
  <c r="X579" i="36" l="1"/>
  <c r="Y580" i="36" s="1"/>
  <c r="X580" i="36" l="1"/>
  <c r="Y581" i="36" s="1"/>
  <c r="X581" i="36" l="1"/>
  <c r="Y582" i="36" s="1"/>
  <c r="X582" i="36" l="1"/>
  <c r="Y583" i="36" s="1"/>
  <c r="X583" i="36" l="1"/>
  <c r="Y584" i="36" s="1"/>
  <c r="X584" i="36" l="1"/>
  <c r="Y585" i="36" s="1"/>
  <c r="X585" i="36" l="1"/>
  <c r="Y586" i="36" s="1"/>
  <c r="X586" i="36" l="1"/>
  <c r="Y587" i="36" s="1"/>
  <c r="X587" i="36" l="1"/>
  <c r="Y588" i="36" s="1"/>
  <c r="X588" i="36" l="1"/>
  <c r="Y589" i="36" s="1"/>
  <c r="X589" i="36" l="1"/>
  <c r="Y590" i="36" s="1"/>
  <c r="X590" i="36" l="1"/>
  <c r="Y591" i="36" s="1"/>
  <c r="X591" i="36" l="1"/>
  <c r="Y592" i="36" s="1"/>
  <c r="X592" i="36" l="1"/>
  <c r="Y593" i="36" s="1"/>
  <c r="X593" i="36" l="1"/>
  <c r="Y594" i="36" s="1"/>
  <c r="X594" i="36" l="1"/>
  <c r="Y595" i="36" s="1"/>
  <c r="X595" i="36" l="1"/>
  <c r="Y596" i="36" s="1"/>
  <c r="X596" i="36" l="1"/>
  <c r="Y597" i="36" s="1"/>
  <c r="X597" i="36" l="1"/>
  <c r="Y598" i="36" s="1"/>
  <c r="X598" i="36" l="1"/>
  <c r="Y599" i="36" s="1"/>
  <c r="X599" i="36" l="1"/>
  <c r="Y600" i="36" s="1"/>
  <c r="X600" i="36" l="1"/>
  <c r="Y601" i="36" s="1"/>
  <c r="X601" i="36" l="1"/>
  <c r="Y602" i="36" s="1"/>
  <c r="X602" i="36" l="1"/>
  <c r="Y603" i="36" s="1"/>
  <c r="X603" i="36" l="1"/>
  <c r="Y604" i="36" s="1"/>
  <c r="X604" i="36" l="1"/>
  <c r="Y605" i="36" s="1"/>
  <c r="X605" i="36" l="1"/>
  <c r="Y606" i="36" s="1"/>
  <c r="X606" i="36" l="1"/>
  <c r="Y607" i="36" s="1"/>
  <c r="X607" i="36" l="1"/>
  <c r="Y608" i="36" s="1"/>
  <c r="X608" i="36" l="1"/>
  <c r="Y609" i="36" s="1"/>
  <c r="X609" i="36" l="1"/>
  <c r="Y610" i="36" s="1"/>
  <c r="X610" i="36" l="1"/>
  <c r="Y611" i="36" s="1"/>
  <c r="X611" i="36" l="1"/>
  <c r="Y612" i="36" s="1"/>
  <c r="X612" i="36" l="1"/>
  <c r="Y613" i="36" s="1"/>
  <c r="X613" i="36" l="1"/>
  <c r="Y614" i="36" s="1"/>
  <c r="X614" i="36" l="1"/>
  <c r="Y615" i="36" s="1"/>
  <c r="X615" i="36" l="1"/>
  <c r="Y616" i="36" s="1"/>
  <c r="X616" i="36" l="1"/>
  <c r="Y617" i="36" s="1"/>
  <c r="X617" i="36" l="1"/>
  <c r="Y618" i="36" s="1"/>
  <c r="X618" i="36" l="1"/>
  <c r="Y619" i="36" s="1"/>
  <c r="X619" i="36" l="1"/>
  <c r="Y620" i="36" s="1"/>
  <c r="X620" i="36" l="1"/>
  <c r="Y621" i="36" s="1"/>
  <c r="X621" i="36" l="1"/>
  <c r="Y622" i="36" s="1"/>
  <c r="X622" i="36" l="1"/>
  <c r="Y623" i="36" s="1"/>
  <c r="X623" i="36" l="1"/>
  <c r="Y624" i="36" s="1"/>
  <c r="X624" i="36" l="1"/>
  <c r="Y625" i="36" s="1"/>
  <c r="X625" i="36" l="1"/>
  <c r="Y626" i="36" s="1"/>
  <c r="X626" i="36" l="1"/>
  <c r="Y627" i="36" s="1"/>
  <c r="X627" i="36" l="1"/>
  <c r="Y628" i="36" s="1"/>
  <c r="X628" i="36" l="1"/>
  <c r="Y629" i="36" s="1"/>
  <c r="X629" i="36" l="1"/>
  <c r="Y630" i="36" s="1"/>
  <c r="X630" i="36" l="1"/>
  <c r="Y631" i="36" s="1"/>
  <c r="X631" i="36" l="1"/>
  <c r="Y632" i="36" s="1"/>
  <c r="X632" i="36" l="1"/>
  <c r="Y633" i="36" s="1"/>
  <c r="X633" i="36" l="1"/>
  <c r="Y634" i="36" s="1"/>
  <c r="X634" i="36" l="1"/>
  <c r="Y635" i="36" s="1"/>
  <c r="X635" i="36" l="1"/>
  <c r="Y636" i="36" s="1"/>
  <c r="X636" i="36" l="1"/>
  <c r="Y637" i="36" s="1"/>
  <c r="X637" i="36" l="1"/>
  <c r="Y638" i="36" s="1"/>
  <c r="X638" i="36" l="1"/>
  <c r="Y639" i="36" s="1"/>
  <c r="X639" i="36" l="1"/>
  <c r="Y640" i="36" s="1"/>
  <c r="X640" i="36" l="1"/>
  <c r="Y641" i="36" s="1"/>
  <c r="X641" i="36" l="1"/>
  <c r="Y642" i="36" s="1"/>
  <c r="X642" i="36" l="1"/>
  <c r="Y643" i="36" s="1"/>
  <c r="X643" i="36" l="1"/>
  <c r="Y644" i="36" s="1"/>
  <c r="X644" i="36" l="1"/>
  <c r="Y645" i="36" s="1"/>
  <c r="X645" i="36" l="1"/>
  <c r="Y646" i="36" s="1"/>
  <c r="X646" i="36" l="1"/>
  <c r="Y647" i="36" s="1"/>
  <c r="X647" i="36" l="1"/>
  <c r="Y648" i="36" s="1"/>
  <c r="X648" i="36" l="1"/>
  <c r="Y649" i="36" s="1"/>
  <c r="X649" i="36" l="1"/>
  <c r="Y650" i="36" s="1"/>
  <c r="X650" i="36" l="1"/>
  <c r="Y651" i="36" s="1"/>
  <c r="X651" i="36" l="1"/>
  <c r="Y652" i="36" s="1"/>
  <c r="X652" i="36" l="1"/>
  <c r="Y653" i="36" s="1"/>
  <c r="X653" i="36" l="1"/>
  <c r="Y654" i="36" s="1"/>
  <c r="X654" i="36" l="1"/>
  <c r="Y655" i="36" s="1"/>
  <c r="X655" i="36" l="1"/>
  <c r="Y656" i="36" s="1"/>
  <c r="X656" i="36" l="1"/>
  <c r="Y657" i="36" s="1"/>
  <c r="X657" i="36" l="1"/>
  <c r="Y658" i="36" s="1"/>
  <c r="X658" i="36" l="1"/>
  <c r="Y659" i="36" s="1"/>
  <c r="X659" i="36" l="1"/>
  <c r="Y660" i="36" s="1"/>
  <c r="X660" i="36" l="1"/>
  <c r="Y661" i="36" s="1"/>
  <c r="X661" i="36" l="1"/>
  <c r="Y662" i="36" s="1"/>
  <c r="X662" i="36" l="1"/>
  <c r="Y663" i="36" s="1"/>
  <c r="X663" i="36" l="1"/>
  <c r="Y664" i="36" s="1"/>
  <c r="X664" i="36" l="1"/>
  <c r="Y665" i="36" s="1"/>
  <c r="X665" i="36" l="1"/>
  <c r="Y666" i="36" s="1"/>
  <c r="X666" i="36" l="1"/>
  <c r="Y667" i="36" s="1"/>
  <c r="X667" i="36" l="1"/>
  <c r="Y668" i="36" s="1"/>
  <c r="X668" i="36" l="1"/>
  <c r="Y669" i="36" s="1"/>
  <c r="X669" i="36" l="1"/>
  <c r="Y670" i="36" s="1"/>
  <c r="X670" i="36" l="1"/>
  <c r="Y671" i="36" s="1"/>
  <c r="X671" i="36" l="1"/>
  <c r="Y672" i="36" s="1"/>
  <c r="X672" i="36" l="1"/>
  <c r="Y673" i="36" s="1"/>
  <c r="X673" i="36" l="1"/>
  <c r="Y674" i="36" s="1"/>
  <c r="X674" i="36" l="1"/>
  <c r="Y675" i="36" s="1"/>
  <c r="X675" i="36" l="1"/>
  <c r="Y676" i="36" s="1"/>
  <c r="X676" i="36" l="1"/>
  <c r="Y677" i="36" s="1"/>
  <c r="X677" i="36" l="1"/>
  <c r="Y678" i="36" s="1"/>
  <c r="X678" i="36" l="1"/>
  <c r="Y679" i="36" s="1"/>
  <c r="X679" i="36" l="1"/>
  <c r="Y680" i="36" s="1"/>
  <c r="X680" i="36" l="1"/>
  <c r="Y681" i="36" s="1"/>
  <c r="X681" i="36" l="1"/>
  <c r="Y682" i="36" s="1"/>
  <c r="X682" i="36" l="1"/>
  <c r="Y683" i="36" s="1"/>
  <c r="X683" i="36" l="1"/>
  <c r="Y684" i="36" s="1"/>
  <c r="X684" i="36" l="1"/>
  <c r="Y685" i="36" s="1"/>
  <c r="X685" i="36" l="1"/>
  <c r="Y686" i="36" s="1"/>
  <c r="X686" i="36" l="1"/>
  <c r="Y687" i="36" s="1"/>
  <c r="X687" i="36" l="1"/>
  <c r="Y688" i="36" s="1"/>
  <c r="X688" i="36" l="1"/>
  <c r="Y689" i="36" s="1"/>
  <c r="X689" i="36" l="1"/>
  <c r="Y690" i="36" s="1"/>
  <c r="X690" i="36" l="1"/>
  <c r="Y691" i="36" s="1"/>
  <c r="X691" i="36" l="1"/>
  <c r="Y692" i="36" s="1"/>
  <c r="X692" i="36" l="1"/>
  <c r="Y693" i="36" s="1"/>
  <c r="X693" i="36" l="1"/>
  <c r="Y694" i="36" s="1"/>
  <c r="X694" i="36" l="1"/>
  <c r="Y695" i="36" s="1"/>
  <c r="X695" i="36" l="1"/>
  <c r="Y696" i="36" s="1"/>
  <c r="X696" i="36" l="1"/>
  <c r="Y697" i="36" s="1"/>
  <c r="X697" i="36" l="1"/>
  <c r="Y698" i="36" s="1"/>
  <c r="X698" i="36" l="1"/>
  <c r="Y699" i="36" s="1"/>
  <c r="X699" i="36" l="1"/>
  <c r="Y700" i="36" s="1"/>
  <c r="X700" i="36" l="1"/>
  <c r="Y701" i="36" s="1"/>
  <c r="X701" i="36" l="1"/>
  <c r="Y702" i="36" s="1"/>
  <c r="X702" i="36" l="1"/>
  <c r="Y703" i="36" s="1"/>
  <c r="X703" i="36" l="1"/>
  <c r="Y704" i="36" s="1"/>
  <c r="X704" i="36" l="1"/>
  <c r="Y705" i="36" s="1"/>
  <c r="X705" i="36" l="1"/>
  <c r="Y706" i="36" s="1"/>
  <c r="X706" i="36" l="1"/>
  <c r="Y707" i="36" s="1"/>
  <c r="X707" i="36" l="1"/>
  <c r="Y708" i="36" s="1"/>
  <c r="X708" i="36" l="1"/>
  <c r="Y709" i="36" s="1"/>
  <c r="X709" i="36" l="1"/>
  <c r="Y710" i="36" s="1"/>
  <c r="X710" i="36" l="1"/>
  <c r="Y711" i="36" s="1"/>
  <c r="X711" i="36" l="1"/>
  <c r="Y712" i="36" s="1"/>
  <c r="X712" i="36" l="1"/>
  <c r="Y713" i="36" s="1"/>
  <c r="X713" i="36" l="1"/>
  <c r="Y714" i="36" s="1"/>
  <c r="X714" i="36" l="1"/>
  <c r="Y715" i="36" s="1"/>
  <c r="X715" i="36" l="1"/>
  <c r="Y716" i="36" s="1"/>
  <c r="X716" i="36" l="1"/>
  <c r="Y717" i="36" s="1"/>
  <c r="X717" i="36" l="1"/>
  <c r="Y718" i="36" s="1"/>
  <c r="X718" i="36" l="1"/>
  <c r="Y719" i="36" s="1"/>
  <c r="X719" i="36" l="1"/>
  <c r="Y720" i="36" s="1"/>
  <c r="X720" i="36" l="1"/>
  <c r="Y721" i="36" s="1"/>
  <c r="X721" i="36" l="1"/>
  <c r="Y722" i="36" s="1"/>
  <c r="X722" i="36" l="1"/>
  <c r="Y723" i="36" s="1"/>
  <c r="X723" i="36" l="1"/>
  <c r="Y724" i="36" s="1"/>
  <c r="X724" i="36" l="1"/>
  <c r="Y725" i="36" s="1"/>
  <c r="X725" i="36" l="1"/>
  <c r="Y726" i="36" s="1"/>
  <c r="X726" i="36" l="1"/>
  <c r="Y727" i="36" s="1"/>
  <c r="X727" i="36" l="1"/>
  <c r="Y728" i="36" s="1"/>
  <c r="X728" i="36" l="1"/>
  <c r="Y729" i="36" s="1"/>
  <c r="X729" i="36" l="1"/>
  <c r="Y730" i="36" s="1"/>
  <c r="X730" i="36" l="1"/>
  <c r="Y731" i="36" s="1"/>
  <c r="X731" i="36" l="1"/>
  <c r="Y732" i="36" s="1"/>
  <c r="X732" i="36" l="1"/>
  <c r="Y733" i="36" s="1"/>
  <c r="X733" i="36" l="1"/>
  <c r="Y734" i="36" s="1"/>
  <c r="X734" i="36" l="1"/>
  <c r="Y735" i="36" s="1"/>
  <c r="X735" i="36" l="1"/>
  <c r="Y736" i="36" s="1"/>
  <c r="X736" i="36" l="1"/>
  <c r="Y737" i="36" s="1"/>
  <c r="X737" i="36" l="1"/>
  <c r="Y738" i="36" s="1"/>
  <c r="X738" i="36" l="1"/>
  <c r="Y739" i="36" s="1"/>
  <c r="X739" i="36" l="1"/>
  <c r="Y740" i="36" s="1"/>
  <c r="X740" i="36" l="1"/>
  <c r="Y741" i="36" s="1"/>
  <c r="X741" i="36" l="1"/>
  <c r="Y742" i="36" s="1"/>
  <c r="X742" i="36" l="1"/>
  <c r="Y743" i="36" s="1"/>
  <c r="X743" i="36" l="1"/>
  <c r="Y744" i="36" s="1"/>
  <c r="X744" i="36" l="1"/>
  <c r="Y745" i="36" s="1"/>
  <c r="X745" i="36" l="1"/>
  <c r="Y746" i="36" s="1"/>
  <c r="X746" i="36" l="1"/>
  <c r="Y747" i="36" s="1"/>
  <c r="X747" i="36" l="1"/>
  <c r="Y748" i="36" s="1"/>
  <c r="X748" i="36" l="1"/>
  <c r="Y749" i="36" s="1"/>
  <c r="X749" i="36" l="1"/>
  <c r="Y750" i="36" s="1"/>
  <c r="X750" i="36" l="1"/>
  <c r="Y751" i="36" s="1"/>
  <c r="X751" i="36" l="1"/>
  <c r="Y752" i="36" s="1"/>
  <c r="X752" i="36" l="1"/>
  <c r="Y753" i="36" s="1"/>
  <c r="X753" i="36" l="1"/>
  <c r="Y754" i="36" s="1"/>
  <c r="X754" i="36" l="1"/>
  <c r="Y755" i="36" l="1"/>
  <c r="X755" i="36" s="1"/>
  <c r="I15" i="36" l="1"/>
  <c r="J15" i="36" s="1"/>
  <c r="N4" i="13" l="1"/>
  <c r="AC7" i="36" l="1"/>
  <c r="AD8" i="36" s="1"/>
  <c r="AC8" i="36" s="1"/>
  <c r="AD9" i="36" s="1"/>
  <c r="AC9" i="36" l="1"/>
  <c r="AD10" i="36"/>
  <c r="W32" i="15"/>
  <c r="W36" i="15"/>
  <c r="T36" i="15" s="1"/>
  <c r="W17" i="15"/>
  <c r="W31" i="15"/>
  <c r="T31" i="15" s="1"/>
  <c r="W24" i="15"/>
  <c r="W25" i="15"/>
  <c r="T25" i="15" s="1"/>
  <c r="W34" i="15"/>
  <c r="W35" i="15"/>
  <c r="T35" i="15" s="1"/>
  <c r="R11" i="15"/>
  <c r="R13" i="15" s="1"/>
  <c r="W23" i="15"/>
  <c r="T23" i="15" s="1"/>
  <c r="C39" i="1"/>
  <c r="W30" i="15"/>
  <c r="W29" i="15"/>
  <c r="T29" i="15" s="1"/>
  <c r="W27" i="15"/>
  <c r="Q12" i="15"/>
  <c r="W33" i="15"/>
  <c r="W20" i="15"/>
  <c r="U7" i="15"/>
  <c r="W28" i="15"/>
  <c r="T28" i="15" s="1"/>
  <c r="W26" i="15"/>
  <c r="T26" i="15" s="1"/>
  <c r="W19" i="15"/>
  <c r="T19" i="15" s="1"/>
  <c r="W38" i="15"/>
  <c r="T38" i="15" s="1"/>
  <c r="W37" i="15"/>
  <c r="W39" i="15"/>
  <c r="W21" i="15"/>
  <c r="T21" i="15" s="1"/>
  <c r="W18" i="15"/>
  <c r="T18" i="15" s="1"/>
  <c r="W16" i="15"/>
  <c r="W22" i="15"/>
  <c r="T22" i="15" s="1"/>
  <c r="AC10" i="36" l="1"/>
  <c r="AD11" i="36"/>
  <c r="U9" i="15"/>
  <c r="X39" i="15"/>
  <c r="X33" i="15"/>
  <c r="X27" i="15"/>
  <c r="E18" i="30"/>
  <c r="T27" i="15"/>
  <c r="X16" i="15"/>
  <c r="X37" i="15"/>
  <c r="X20" i="15"/>
  <c r="X30" i="15"/>
  <c r="X28" i="15"/>
  <c r="X29" i="15"/>
  <c r="X19" i="15"/>
  <c r="T20" i="15"/>
  <c r="R12" i="15"/>
  <c r="X24" i="15"/>
  <c r="X17" i="15"/>
  <c r="X34" i="15"/>
  <c r="X21" i="15"/>
  <c r="T37" i="15"/>
  <c r="X35" i="15"/>
  <c r="X31" i="15"/>
  <c r="X32" i="15"/>
  <c r="T17" i="15"/>
  <c r="T32" i="15"/>
  <c r="Q13" i="15"/>
  <c r="Q14" i="15" s="1"/>
  <c r="X22" i="15"/>
  <c r="T16" i="15"/>
  <c r="X18" i="15"/>
  <c r="T39" i="15"/>
  <c r="X38" i="15"/>
  <c r="X26" i="15"/>
  <c r="T33" i="15"/>
  <c r="P14" i="15"/>
  <c r="T30" i="15"/>
  <c r="X23" i="15"/>
  <c r="R14" i="15"/>
  <c r="T34" i="15"/>
  <c r="T24" i="15"/>
  <c r="X36" i="15"/>
  <c r="P13" i="15"/>
  <c r="X25" i="15"/>
  <c r="P12" i="15"/>
  <c r="AC11" i="36" l="1"/>
  <c r="AD12" i="36" s="1"/>
  <c r="Q10" i="15"/>
  <c r="U13" i="15"/>
  <c r="N6" i="15"/>
  <c r="M6" i="15"/>
  <c r="AC12" i="36" l="1"/>
  <c r="AD13" i="36" s="1"/>
  <c r="U12" i="15"/>
  <c r="M7" i="15" s="1"/>
  <c r="P7" i="15" s="1"/>
  <c r="O7" i="15" s="1"/>
  <c r="Q7" i="15" s="1"/>
  <c r="AC13" i="36" l="1"/>
  <c r="AD14" i="36" s="1"/>
  <c r="M9" i="15"/>
  <c r="N7" i="15"/>
  <c r="G5" i="22" s="1"/>
  <c r="D45" i="22" s="1"/>
  <c r="B14" i="1" s="1"/>
  <c r="T7" i="15"/>
  <c r="N4" i="15" s="1"/>
  <c r="M8" i="15"/>
  <c r="AC14" i="36" l="1"/>
  <c r="AD15" i="36"/>
  <c r="O21" i="15"/>
  <c r="V7" i="15"/>
  <c r="E5" i="22" s="1"/>
  <c r="E103" i="22" s="1"/>
  <c r="N17" i="15"/>
  <c r="M17" i="15" s="1"/>
  <c r="T9" i="15"/>
  <c r="AC15" i="36" l="1"/>
  <c r="AD16" i="36" s="1"/>
  <c r="G20" i="22"/>
  <c r="G19" i="22" s="1"/>
  <c r="O22" i="15"/>
  <c r="L24" i="15" s="1"/>
  <c r="V8" i="15"/>
  <c r="D46" i="22" s="1"/>
  <c r="H14" i="22" s="1"/>
  <c r="V9" i="15"/>
  <c r="M20" i="15"/>
  <c r="L22" i="15" s="1"/>
  <c r="L23" i="15" s="1"/>
  <c r="B70" i="1" l="1"/>
  <c r="B18" i="1"/>
  <c r="H415" i="45"/>
  <c r="B45" i="1"/>
  <c r="AC16" i="36"/>
  <c r="AD17" i="36" s="1"/>
  <c r="B7" i="1"/>
  <c r="E26" i="30"/>
  <c r="C6" i="5"/>
  <c r="B17" i="5" s="1"/>
  <c r="B18" i="5" s="1"/>
  <c r="C17" i="5" s="1"/>
  <c r="D17" i="5" s="1"/>
  <c r="K4" i="29"/>
  <c r="V3" i="41"/>
  <c r="B7" i="27"/>
  <c r="E7" i="27" s="1"/>
  <c r="E8" i="27" s="1"/>
  <c r="E9" i="27" s="1"/>
  <c r="E10" i="27" s="1"/>
  <c r="B7" i="7"/>
  <c r="B7" i="28"/>
  <c r="B39" i="1"/>
  <c r="B32" i="1" s="1"/>
  <c r="B22" i="1" l="1"/>
  <c r="B23" i="1"/>
  <c r="C5" i="5"/>
  <c r="F1216" i="5" s="1"/>
  <c r="I416" i="45"/>
  <c r="G24" i="22"/>
  <c r="B13" i="1"/>
  <c r="E28" i="30"/>
  <c r="B16" i="1"/>
  <c r="Q2" i="1"/>
  <c r="B10" i="1"/>
  <c r="C4" i="6" s="1"/>
  <c r="D7" i="1"/>
  <c r="F7" i="1" s="1"/>
  <c r="B15" i="1"/>
  <c r="C8" i="1"/>
  <c r="AC17" i="36"/>
  <c r="AD18" i="36" s="1"/>
  <c r="B8" i="1"/>
  <c r="C7" i="1"/>
  <c r="B75" i="1" s="1"/>
  <c r="Q4" i="1"/>
  <c r="O2" i="1" s="1"/>
  <c r="D39" i="1"/>
  <c r="D40" i="1" s="1"/>
  <c r="Y4" i="1" s="1"/>
  <c r="Y5" i="1" s="1"/>
  <c r="Y6" i="1" s="1"/>
  <c r="Y7" i="1" s="1"/>
  <c r="Y8" i="1" s="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C7" i="28"/>
  <c r="P2" i="1"/>
  <c r="E7" i="28"/>
  <c r="B5" i="7"/>
  <c r="E7" i="7"/>
  <c r="G17" i="5"/>
  <c r="E1216" i="5"/>
  <c r="B7" i="13"/>
  <c r="E7" i="13" s="1"/>
  <c r="B19" i="5"/>
  <c r="C18" i="5" s="1"/>
  <c r="D18" i="5" s="1"/>
  <c r="F18" i="5" s="1"/>
  <c r="H18" i="5"/>
  <c r="E11" i="27"/>
  <c r="D11" i="1" l="1"/>
  <c r="D8" i="1"/>
  <c r="B35" i="1" s="1"/>
  <c r="G21" i="22"/>
  <c r="D41" i="22" s="1"/>
  <c r="C11" i="5"/>
  <c r="F17" i="5"/>
  <c r="E17" i="5"/>
  <c r="G15" i="5"/>
  <c r="K1216" i="5" s="1"/>
  <c r="E7" i="1"/>
  <c r="E8" i="1" s="1"/>
  <c r="E9" i="1" s="1"/>
  <c r="E10" i="1" s="1"/>
  <c r="C33" i="1"/>
  <c r="C25" i="1"/>
  <c r="E8" i="13"/>
  <c r="S7" i="28"/>
  <c r="B25" i="1"/>
  <c r="AC18" i="36"/>
  <c r="AD19" i="36" s="1"/>
  <c r="O4" i="1"/>
  <c r="X4" i="1" s="1"/>
  <c r="Q5" i="1"/>
  <c r="Q6" i="1" s="1"/>
  <c r="Q7" i="1" s="1"/>
  <c r="E8" i="28"/>
  <c r="AF7" i="7"/>
  <c r="E8" i="7"/>
  <c r="E78" i="29"/>
  <c r="E88" i="29" s="1"/>
  <c r="G18" i="5"/>
  <c r="E18" i="5"/>
  <c r="AD7" i="13"/>
  <c r="AD8" i="13" s="1"/>
  <c r="AD9" i="13" s="1"/>
  <c r="AD10" i="13" s="1"/>
  <c r="AD11" i="13" s="1"/>
  <c r="AD12" i="13" s="1"/>
  <c r="AD13" i="13" s="1"/>
  <c r="AD14" i="13" s="1"/>
  <c r="AD15" i="13" s="1"/>
  <c r="AD16" i="13" s="1"/>
  <c r="AD17" i="13" s="1"/>
  <c r="AD18" i="13" s="1"/>
  <c r="AD19" i="13" s="1"/>
  <c r="AD20" i="13" s="1"/>
  <c r="AD21" i="13" s="1"/>
  <c r="AD22" i="13" s="1"/>
  <c r="AD23" i="13" s="1"/>
  <c r="AD24" i="13" s="1"/>
  <c r="AD25" i="13" s="1"/>
  <c r="AD26" i="13" s="1"/>
  <c r="AD27" i="13" s="1"/>
  <c r="AD28" i="13" s="1"/>
  <c r="AD29" i="13" s="1"/>
  <c r="AD30" i="13" s="1"/>
  <c r="AD31" i="13" s="1"/>
  <c r="AD32" i="13" s="1"/>
  <c r="AD33" i="13" s="1"/>
  <c r="AD34" i="13" s="1"/>
  <c r="AD35" i="13" s="1"/>
  <c r="AD36" i="13" s="1"/>
  <c r="AD37" i="13" s="1"/>
  <c r="AD38" i="13" s="1"/>
  <c r="AD39" i="13" s="1"/>
  <c r="AD40" i="13" s="1"/>
  <c r="AD41" i="13" s="1"/>
  <c r="AD42" i="13" s="1"/>
  <c r="AD43" i="13" s="1"/>
  <c r="AD44" i="13" s="1"/>
  <c r="AD45" i="13" s="1"/>
  <c r="AD46" i="13" s="1"/>
  <c r="AD47" i="13" s="1"/>
  <c r="AD48" i="13" s="1"/>
  <c r="AD49" i="13" s="1"/>
  <c r="AD50" i="13" s="1"/>
  <c r="AD51" i="13" s="1"/>
  <c r="AD52" i="13" s="1"/>
  <c r="AD53" i="13" s="1"/>
  <c r="AD54" i="13" s="1"/>
  <c r="AD55" i="13" s="1"/>
  <c r="AD56" i="13" s="1"/>
  <c r="AD57" i="13" s="1"/>
  <c r="AD58" i="13" s="1"/>
  <c r="AD59" i="13" s="1"/>
  <c r="AD60" i="13" s="1"/>
  <c r="AD61" i="13" s="1"/>
  <c r="AD62" i="13" s="1"/>
  <c r="AD63" i="13" s="1"/>
  <c r="AD64" i="13" s="1"/>
  <c r="AD65" i="13" s="1"/>
  <c r="AD66" i="13" s="1"/>
  <c r="AD67" i="13" s="1"/>
  <c r="AD68" i="13" s="1"/>
  <c r="AD69" i="13" s="1"/>
  <c r="AD70" i="13" s="1"/>
  <c r="AD71" i="13" s="1"/>
  <c r="AD72" i="13" s="1"/>
  <c r="AD73" i="13" s="1"/>
  <c r="AD74" i="13" s="1"/>
  <c r="AD75" i="13" s="1"/>
  <c r="AD76" i="13" s="1"/>
  <c r="AD77" i="13" s="1"/>
  <c r="AD78" i="13" s="1"/>
  <c r="AD79" i="13" s="1"/>
  <c r="AD80" i="13" s="1"/>
  <c r="AD81" i="13" s="1"/>
  <c r="AD82" i="13" s="1"/>
  <c r="AD83" i="13" s="1"/>
  <c r="AD84" i="13" s="1"/>
  <c r="AD85" i="13" s="1"/>
  <c r="AD86" i="13" s="1"/>
  <c r="AD87" i="13" s="1"/>
  <c r="AD88" i="13" s="1"/>
  <c r="AD89" i="13" s="1"/>
  <c r="AD90" i="13" s="1"/>
  <c r="AD91" i="13" s="1"/>
  <c r="AD92" i="13" s="1"/>
  <c r="AD93" i="13" s="1"/>
  <c r="AD94" i="13" s="1"/>
  <c r="AD95" i="13" s="1"/>
  <c r="AD96" i="13" s="1"/>
  <c r="AD97" i="13" s="1"/>
  <c r="AD98" i="13" s="1"/>
  <c r="AD99" i="13" s="1"/>
  <c r="AD100" i="13" s="1"/>
  <c r="AD101" i="13" s="1"/>
  <c r="AD102" i="13" s="1"/>
  <c r="AD103" i="13" s="1"/>
  <c r="AD104" i="13" s="1"/>
  <c r="AD105" i="13" s="1"/>
  <c r="AD106" i="13" s="1"/>
  <c r="AD107" i="13" s="1"/>
  <c r="AD108" i="13" s="1"/>
  <c r="AD109" i="13" s="1"/>
  <c r="AD110" i="13" s="1"/>
  <c r="AD111" i="13" s="1"/>
  <c r="AD112" i="13" s="1"/>
  <c r="AD113" i="13" s="1"/>
  <c r="AD114" i="13" s="1"/>
  <c r="AD115" i="13" s="1"/>
  <c r="AD116" i="13" s="1"/>
  <c r="AD117" i="13" s="1"/>
  <c r="AD118" i="13" s="1"/>
  <c r="AD119" i="13" s="1"/>
  <c r="AD120" i="13" s="1"/>
  <c r="AD121" i="13" s="1"/>
  <c r="AD122" i="13" s="1"/>
  <c r="AD123" i="13" s="1"/>
  <c r="AD124" i="13" s="1"/>
  <c r="AD125" i="13" s="1"/>
  <c r="AD126" i="13" s="1"/>
  <c r="AD127" i="13" s="1"/>
  <c r="AD128" i="13" s="1"/>
  <c r="AD129" i="13" s="1"/>
  <c r="AD130" i="13" s="1"/>
  <c r="AD131" i="13" s="1"/>
  <c r="AD132" i="13" s="1"/>
  <c r="AD133" i="13" s="1"/>
  <c r="AD134" i="13" s="1"/>
  <c r="AD135" i="13" s="1"/>
  <c r="AD136" i="13" s="1"/>
  <c r="AD137" i="13" s="1"/>
  <c r="AD138" i="13" s="1"/>
  <c r="AD139" i="13" s="1"/>
  <c r="AD140" i="13" s="1"/>
  <c r="AD141" i="13" s="1"/>
  <c r="AD142" i="13" s="1"/>
  <c r="AD143" i="13" s="1"/>
  <c r="AD144" i="13" s="1"/>
  <c r="AD145" i="13" s="1"/>
  <c r="AD146" i="13" s="1"/>
  <c r="AD147" i="13" s="1"/>
  <c r="AD148" i="13" s="1"/>
  <c r="AD149" i="13" s="1"/>
  <c r="AD150" i="13" s="1"/>
  <c r="AD151" i="13" s="1"/>
  <c r="AD152" i="13" s="1"/>
  <c r="AD153" i="13" s="1"/>
  <c r="AD154" i="13" s="1"/>
  <c r="AD155" i="13" s="1"/>
  <c r="AD156" i="13" s="1"/>
  <c r="AD157" i="13" s="1"/>
  <c r="AD158" i="13" s="1"/>
  <c r="AD159" i="13" s="1"/>
  <c r="AD160" i="13" s="1"/>
  <c r="AD161" i="13" s="1"/>
  <c r="AD162" i="13" s="1"/>
  <c r="AD163" i="13" s="1"/>
  <c r="AD164" i="13" s="1"/>
  <c r="AD165" i="13" s="1"/>
  <c r="AD166" i="13" s="1"/>
  <c r="AD167" i="13" s="1"/>
  <c r="AD168" i="13" s="1"/>
  <c r="AD169" i="13" s="1"/>
  <c r="AD170" i="13" s="1"/>
  <c r="AD171" i="13" s="1"/>
  <c r="AD172" i="13" s="1"/>
  <c r="AD173" i="13" s="1"/>
  <c r="AD174" i="13" s="1"/>
  <c r="AD175" i="13" s="1"/>
  <c r="AD176" i="13" s="1"/>
  <c r="AD177" i="13" s="1"/>
  <c r="AD178" i="13" s="1"/>
  <c r="AD179" i="13" s="1"/>
  <c r="AD180" i="13" s="1"/>
  <c r="AD181" i="13" s="1"/>
  <c r="AD182" i="13" s="1"/>
  <c r="AD183" i="13" s="1"/>
  <c r="AD184" i="13" s="1"/>
  <c r="AD185" i="13" s="1"/>
  <c r="AD186" i="13" s="1"/>
  <c r="AD187" i="13" s="1"/>
  <c r="AD188" i="13" s="1"/>
  <c r="AD189" i="13" s="1"/>
  <c r="AD190" i="13" s="1"/>
  <c r="AD191" i="13" s="1"/>
  <c r="AD192" i="13" s="1"/>
  <c r="AD193" i="13" s="1"/>
  <c r="AD194" i="13" s="1"/>
  <c r="AD195" i="13" s="1"/>
  <c r="AD196" i="13" s="1"/>
  <c r="AD197" i="13" s="1"/>
  <c r="AD198" i="13" s="1"/>
  <c r="AD199" i="13" s="1"/>
  <c r="AD200" i="13" s="1"/>
  <c r="AD201" i="13" s="1"/>
  <c r="AD202" i="13" s="1"/>
  <c r="AD203" i="13" s="1"/>
  <c r="AD204" i="13" s="1"/>
  <c r="AD205" i="13" s="1"/>
  <c r="AD206" i="13" s="1"/>
  <c r="AD207" i="13" s="1"/>
  <c r="AD208" i="13" s="1"/>
  <c r="AD209" i="13" s="1"/>
  <c r="AD210" i="13" s="1"/>
  <c r="AD211" i="13" s="1"/>
  <c r="AD212" i="13" s="1"/>
  <c r="AD213" i="13" s="1"/>
  <c r="AD214" i="13" s="1"/>
  <c r="AD215" i="13" s="1"/>
  <c r="AD216" i="13" s="1"/>
  <c r="AD217" i="13" s="1"/>
  <c r="AD218" i="13" s="1"/>
  <c r="AD219" i="13" s="1"/>
  <c r="AD220" i="13" s="1"/>
  <c r="AD221" i="13" s="1"/>
  <c r="AD222" i="13" s="1"/>
  <c r="AD223" i="13" s="1"/>
  <c r="AD224" i="13" s="1"/>
  <c r="AD225" i="13" s="1"/>
  <c r="AD226" i="13" s="1"/>
  <c r="AD227" i="13" s="1"/>
  <c r="AD228" i="13" s="1"/>
  <c r="AD229" i="13" s="1"/>
  <c r="AD230" i="13" s="1"/>
  <c r="AD231" i="13" s="1"/>
  <c r="AD232" i="13" s="1"/>
  <c r="AD233" i="13" s="1"/>
  <c r="AD234" i="13" s="1"/>
  <c r="AD235" i="13" s="1"/>
  <c r="AD236" i="13" s="1"/>
  <c r="AD237" i="13" s="1"/>
  <c r="AD238" i="13" s="1"/>
  <c r="AD239" i="13" s="1"/>
  <c r="AD240" i="13" s="1"/>
  <c r="AD241" i="13" s="1"/>
  <c r="AD242" i="13" s="1"/>
  <c r="AD243" i="13" s="1"/>
  <c r="AD244" i="13" s="1"/>
  <c r="AD245" i="13" s="1"/>
  <c r="AD246" i="13" s="1"/>
  <c r="AD247" i="13" s="1"/>
  <c r="AD248" i="13" s="1"/>
  <c r="AD249" i="13" s="1"/>
  <c r="AD250" i="13" s="1"/>
  <c r="AD251" i="13" s="1"/>
  <c r="AD252" i="13" s="1"/>
  <c r="AD253" i="13" s="1"/>
  <c r="AD254" i="13" s="1"/>
  <c r="AD255" i="13" s="1"/>
  <c r="AD256" i="13" s="1"/>
  <c r="AD257" i="13" s="1"/>
  <c r="AD258" i="13" s="1"/>
  <c r="AD259" i="13" s="1"/>
  <c r="AD260" i="13" s="1"/>
  <c r="AD261" i="13" s="1"/>
  <c r="AD262" i="13" s="1"/>
  <c r="AD263" i="13" s="1"/>
  <c r="AD264" i="13" s="1"/>
  <c r="AD265" i="13" s="1"/>
  <c r="AD266" i="13" s="1"/>
  <c r="AD267" i="13" s="1"/>
  <c r="AD268" i="13" s="1"/>
  <c r="AD269" i="13" s="1"/>
  <c r="AD270" i="13" s="1"/>
  <c r="AD271" i="13" s="1"/>
  <c r="AD272" i="13" s="1"/>
  <c r="AD273" i="13" s="1"/>
  <c r="AD274" i="13" s="1"/>
  <c r="AD275" i="13" s="1"/>
  <c r="AD276" i="13" s="1"/>
  <c r="AD277" i="13" s="1"/>
  <c r="AD278" i="13" s="1"/>
  <c r="AD279" i="13" s="1"/>
  <c r="AD280" i="13" s="1"/>
  <c r="AD281" i="13" s="1"/>
  <c r="AD282" i="13" s="1"/>
  <c r="AD283" i="13" s="1"/>
  <c r="AD284" i="13" s="1"/>
  <c r="AD285" i="13" s="1"/>
  <c r="AD286" i="13" s="1"/>
  <c r="AD287" i="13" s="1"/>
  <c r="AD288" i="13" s="1"/>
  <c r="AD289" i="13" s="1"/>
  <c r="AD290" i="13" s="1"/>
  <c r="AD291" i="13" s="1"/>
  <c r="AD292" i="13" s="1"/>
  <c r="AD293" i="13" s="1"/>
  <c r="AD294" i="13" s="1"/>
  <c r="AD295" i="13" s="1"/>
  <c r="AD296" i="13" s="1"/>
  <c r="AD297" i="13" s="1"/>
  <c r="AD298" i="13" s="1"/>
  <c r="AD299" i="13" s="1"/>
  <c r="AD300" i="13" s="1"/>
  <c r="AD301" i="13" s="1"/>
  <c r="AD302" i="13" s="1"/>
  <c r="AD303" i="13" s="1"/>
  <c r="AD304" i="13" s="1"/>
  <c r="AD305" i="13" s="1"/>
  <c r="AD306" i="13" s="1"/>
  <c r="AD307" i="13" s="1"/>
  <c r="AD308" i="13" s="1"/>
  <c r="AD309" i="13" s="1"/>
  <c r="AD310" i="13" s="1"/>
  <c r="AD311" i="13" s="1"/>
  <c r="AD312" i="13" s="1"/>
  <c r="AD313" i="13" s="1"/>
  <c r="AD314" i="13" s="1"/>
  <c r="AD315" i="13" s="1"/>
  <c r="AD316" i="13" s="1"/>
  <c r="AD317" i="13" s="1"/>
  <c r="AD318" i="13" s="1"/>
  <c r="AD319" i="13" s="1"/>
  <c r="AD320" i="13" s="1"/>
  <c r="AD321" i="13" s="1"/>
  <c r="AD322" i="13" s="1"/>
  <c r="AD323" i="13" s="1"/>
  <c r="AD324" i="13" s="1"/>
  <c r="AD325" i="13" s="1"/>
  <c r="AD326" i="13" s="1"/>
  <c r="AD327" i="13" s="1"/>
  <c r="AD328" i="13" s="1"/>
  <c r="AD329" i="13" s="1"/>
  <c r="AD330" i="13" s="1"/>
  <c r="AD331" i="13" s="1"/>
  <c r="AD332" i="13" s="1"/>
  <c r="AD333" i="13" s="1"/>
  <c r="AD334" i="13" s="1"/>
  <c r="AD335" i="13" s="1"/>
  <c r="AD336" i="13" s="1"/>
  <c r="AD337" i="13" s="1"/>
  <c r="AD338" i="13" s="1"/>
  <c r="AD339" i="13" s="1"/>
  <c r="AD340" i="13" s="1"/>
  <c r="AD341" i="13" s="1"/>
  <c r="AD342" i="13" s="1"/>
  <c r="AD343" i="13" s="1"/>
  <c r="AD344" i="13" s="1"/>
  <c r="AD345" i="13" s="1"/>
  <c r="AD346" i="13" s="1"/>
  <c r="AD347" i="13" s="1"/>
  <c r="AD348" i="13" s="1"/>
  <c r="AD349" i="13" s="1"/>
  <c r="AD350" i="13" s="1"/>
  <c r="AD351" i="13" s="1"/>
  <c r="AD352" i="13" s="1"/>
  <c r="AD353" i="13" s="1"/>
  <c r="AD354" i="13" s="1"/>
  <c r="AD355" i="13" s="1"/>
  <c r="AD356" i="13" s="1"/>
  <c r="AD357" i="13" s="1"/>
  <c r="AD358" i="13" s="1"/>
  <c r="AD359" i="13" s="1"/>
  <c r="AD360" i="13" s="1"/>
  <c r="AD361" i="13" s="1"/>
  <c r="AD362" i="13" s="1"/>
  <c r="AD363" i="13" s="1"/>
  <c r="AD364" i="13" s="1"/>
  <c r="AD365" i="13" s="1"/>
  <c r="AD366" i="13" s="1"/>
  <c r="AD367" i="13" s="1"/>
  <c r="AD368" i="13" s="1"/>
  <c r="AD369" i="13" s="1"/>
  <c r="AD370" i="13" s="1"/>
  <c r="AD371" i="13" s="1"/>
  <c r="AD372" i="13" s="1"/>
  <c r="AD373" i="13" s="1"/>
  <c r="AD374" i="13" s="1"/>
  <c r="AD375" i="13" s="1"/>
  <c r="AD376" i="13" s="1"/>
  <c r="AD377" i="13" s="1"/>
  <c r="AD378" i="13" s="1"/>
  <c r="AD379" i="13" s="1"/>
  <c r="AD380" i="13" s="1"/>
  <c r="AD381" i="13" s="1"/>
  <c r="AD382" i="13" s="1"/>
  <c r="AD383" i="13" s="1"/>
  <c r="AD384" i="13" s="1"/>
  <c r="AD385" i="13" s="1"/>
  <c r="AD386" i="13" s="1"/>
  <c r="AD387" i="13" s="1"/>
  <c r="AD388" i="13" s="1"/>
  <c r="AD389" i="13" s="1"/>
  <c r="AD390" i="13" s="1"/>
  <c r="AD391" i="13" s="1"/>
  <c r="AD392" i="13" s="1"/>
  <c r="AD393" i="13" s="1"/>
  <c r="AD394" i="13" s="1"/>
  <c r="AD395" i="13" s="1"/>
  <c r="AD396" i="13" s="1"/>
  <c r="AD397" i="13" s="1"/>
  <c r="AD398" i="13" s="1"/>
  <c r="AD399" i="13" s="1"/>
  <c r="AD400" i="13" s="1"/>
  <c r="AD401" i="13" s="1"/>
  <c r="AD402" i="13" s="1"/>
  <c r="AD403" i="13" s="1"/>
  <c r="AD404" i="13" s="1"/>
  <c r="AD405" i="13" s="1"/>
  <c r="AD406" i="13" s="1"/>
  <c r="AD407" i="13" s="1"/>
  <c r="AD408" i="13" s="1"/>
  <c r="AD409" i="13" s="1"/>
  <c r="AD410" i="13" s="1"/>
  <c r="AD411" i="13" s="1"/>
  <c r="AD412" i="13" s="1"/>
  <c r="AD413" i="13" s="1"/>
  <c r="AD414" i="13" s="1"/>
  <c r="AD415" i="13" s="1"/>
  <c r="AD416" i="13" s="1"/>
  <c r="AD417" i="13" s="1"/>
  <c r="AD418" i="13" s="1"/>
  <c r="AD419" i="13" s="1"/>
  <c r="AD420" i="13" s="1"/>
  <c r="AD421" i="13" s="1"/>
  <c r="AD422" i="13" s="1"/>
  <c r="AD423" i="13" s="1"/>
  <c r="AD424" i="13" s="1"/>
  <c r="AD425" i="13" s="1"/>
  <c r="AD426" i="13" s="1"/>
  <c r="AD427" i="13" s="1"/>
  <c r="AD428" i="13" s="1"/>
  <c r="AD429" i="13" s="1"/>
  <c r="AD430" i="13" s="1"/>
  <c r="AD431" i="13" s="1"/>
  <c r="AD432" i="13" s="1"/>
  <c r="AD433" i="13" s="1"/>
  <c r="AD434" i="13" s="1"/>
  <c r="AD435" i="13" s="1"/>
  <c r="AD436" i="13" s="1"/>
  <c r="AD437" i="13" s="1"/>
  <c r="AD438" i="13" s="1"/>
  <c r="AD439" i="13" s="1"/>
  <c r="AD440" i="13" s="1"/>
  <c r="AD441" i="13" s="1"/>
  <c r="AD442" i="13" s="1"/>
  <c r="AD443" i="13" s="1"/>
  <c r="AD444" i="13" s="1"/>
  <c r="AD445" i="13" s="1"/>
  <c r="AD446" i="13" s="1"/>
  <c r="AD447" i="13" s="1"/>
  <c r="AD448" i="13" s="1"/>
  <c r="AD449" i="13" s="1"/>
  <c r="AD450" i="13" s="1"/>
  <c r="AD451" i="13" s="1"/>
  <c r="AD452" i="13" s="1"/>
  <c r="AD453" i="13" s="1"/>
  <c r="AD454" i="13" s="1"/>
  <c r="AD455" i="13" s="1"/>
  <c r="AD456" i="13" s="1"/>
  <c r="AD457" i="13" s="1"/>
  <c r="AD458" i="13" s="1"/>
  <c r="AD459" i="13" s="1"/>
  <c r="AD460" i="13" s="1"/>
  <c r="AD461" i="13" s="1"/>
  <c r="AD462" i="13" s="1"/>
  <c r="AD463" i="13" s="1"/>
  <c r="AD464" i="13" s="1"/>
  <c r="AD465" i="13" s="1"/>
  <c r="AD466" i="13" s="1"/>
  <c r="AD467" i="13" s="1"/>
  <c r="AD468" i="13" s="1"/>
  <c r="AD469" i="13" s="1"/>
  <c r="AD470" i="13" s="1"/>
  <c r="AD471" i="13" s="1"/>
  <c r="AD472" i="13" s="1"/>
  <c r="AD473" i="13" s="1"/>
  <c r="AD474" i="13" s="1"/>
  <c r="AD475" i="13" s="1"/>
  <c r="AD476" i="13" s="1"/>
  <c r="AD477" i="13" s="1"/>
  <c r="AD478" i="13" s="1"/>
  <c r="AD479" i="13" s="1"/>
  <c r="AD480" i="13" s="1"/>
  <c r="AD481" i="13" s="1"/>
  <c r="AD482" i="13" s="1"/>
  <c r="AD483" i="13" s="1"/>
  <c r="AD484" i="13" s="1"/>
  <c r="AD485" i="13" s="1"/>
  <c r="AD486" i="13" s="1"/>
  <c r="AD487" i="13" s="1"/>
  <c r="AD488" i="13" s="1"/>
  <c r="AD489" i="13" s="1"/>
  <c r="AD490" i="13" s="1"/>
  <c r="AD491" i="13" s="1"/>
  <c r="AD492" i="13" s="1"/>
  <c r="AD493" i="13" s="1"/>
  <c r="AD494" i="13" s="1"/>
  <c r="AD495" i="13" s="1"/>
  <c r="AD496" i="13" s="1"/>
  <c r="AD497" i="13" s="1"/>
  <c r="AD498" i="13" s="1"/>
  <c r="AD499" i="13" s="1"/>
  <c r="AD500" i="13" s="1"/>
  <c r="AD501" i="13" s="1"/>
  <c r="AD502" i="13" s="1"/>
  <c r="AD503" i="13" s="1"/>
  <c r="AD504" i="13" s="1"/>
  <c r="AD505" i="13" s="1"/>
  <c r="AD506" i="13" s="1"/>
  <c r="AD507" i="13" s="1"/>
  <c r="AD508" i="13" s="1"/>
  <c r="AD509" i="13" s="1"/>
  <c r="AD510" i="13" s="1"/>
  <c r="AD511" i="13" s="1"/>
  <c r="AD512" i="13" s="1"/>
  <c r="AD513" i="13" s="1"/>
  <c r="AD514" i="13" s="1"/>
  <c r="AD515" i="13" s="1"/>
  <c r="AD516" i="13" s="1"/>
  <c r="AD517" i="13" s="1"/>
  <c r="AD518" i="13" s="1"/>
  <c r="AD519" i="13" s="1"/>
  <c r="AD520" i="13" s="1"/>
  <c r="AD521" i="13" s="1"/>
  <c r="AD522" i="13" s="1"/>
  <c r="AD523" i="13" s="1"/>
  <c r="AD524" i="13" s="1"/>
  <c r="AD525" i="13" s="1"/>
  <c r="AD526" i="13" s="1"/>
  <c r="AD527" i="13" s="1"/>
  <c r="AD528" i="13" s="1"/>
  <c r="AD529" i="13" s="1"/>
  <c r="AD530" i="13" s="1"/>
  <c r="AD531" i="13" s="1"/>
  <c r="AD532" i="13" s="1"/>
  <c r="AD533" i="13" s="1"/>
  <c r="AD534" i="13" s="1"/>
  <c r="AD535" i="13" s="1"/>
  <c r="AD536" i="13" s="1"/>
  <c r="AD537" i="13" s="1"/>
  <c r="AD538" i="13" s="1"/>
  <c r="AD539" i="13" s="1"/>
  <c r="AD540" i="13" s="1"/>
  <c r="AD541" i="13" s="1"/>
  <c r="AD542" i="13" s="1"/>
  <c r="AD543" i="13" s="1"/>
  <c r="AD544" i="13" s="1"/>
  <c r="AD545" i="13" s="1"/>
  <c r="AD546" i="13" s="1"/>
  <c r="AD547" i="13" s="1"/>
  <c r="AD548" i="13" s="1"/>
  <c r="AD549" i="13" s="1"/>
  <c r="AD550" i="13" s="1"/>
  <c r="AD551" i="13" s="1"/>
  <c r="AD552" i="13" s="1"/>
  <c r="AD553" i="13" s="1"/>
  <c r="AD554" i="13" s="1"/>
  <c r="AD555" i="13" s="1"/>
  <c r="AD556" i="13" s="1"/>
  <c r="AD557" i="13" s="1"/>
  <c r="AD558" i="13" s="1"/>
  <c r="AD559" i="13" s="1"/>
  <c r="AD560" i="13" s="1"/>
  <c r="AD561" i="13" s="1"/>
  <c r="AD562" i="13" s="1"/>
  <c r="AD563" i="13" s="1"/>
  <c r="AD564" i="13" s="1"/>
  <c r="AD565" i="13" s="1"/>
  <c r="AD566" i="13" s="1"/>
  <c r="AD567" i="13" s="1"/>
  <c r="AD568" i="13" s="1"/>
  <c r="AD569" i="13" s="1"/>
  <c r="AD570" i="13" s="1"/>
  <c r="AD571" i="13" s="1"/>
  <c r="AD572" i="13" s="1"/>
  <c r="AD573" i="13" s="1"/>
  <c r="AD574" i="13" s="1"/>
  <c r="AD575" i="13" s="1"/>
  <c r="AD576" i="13" s="1"/>
  <c r="AD577" i="13" s="1"/>
  <c r="AD578" i="13" s="1"/>
  <c r="AD579" i="13" s="1"/>
  <c r="AD580" i="13" s="1"/>
  <c r="AD581" i="13" s="1"/>
  <c r="AD582" i="13" s="1"/>
  <c r="AD583" i="13" s="1"/>
  <c r="AD584" i="13" s="1"/>
  <c r="AD585" i="13" s="1"/>
  <c r="AD586" i="13" s="1"/>
  <c r="AD587" i="13" s="1"/>
  <c r="AD588" i="13" s="1"/>
  <c r="AD589" i="13" s="1"/>
  <c r="AD590" i="13" s="1"/>
  <c r="AD591" i="13" s="1"/>
  <c r="AD592" i="13" s="1"/>
  <c r="AD593" i="13" s="1"/>
  <c r="AD594" i="13" s="1"/>
  <c r="AD595" i="13" s="1"/>
  <c r="AD596" i="13" s="1"/>
  <c r="AD597" i="13" s="1"/>
  <c r="AD598" i="13" s="1"/>
  <c r="AD599" i="13" s="1"/>
  <c r="AD600" i="13" s="1"/>
  <c r="AD601" i="13" s="1"/>
  <c r="AD602" i="13" s="1"/>
  <c r="AD603" i="13" s="1"/>
  <c r="AD604" i="13" s="1"/>
  <c r="AD605" i="13" s="1"/>
  <c r="AD606" i="13" s="1"/>
  <c r="AD607" i="13" s="1"/>
  <c r="AD608" i="13" s="1"/>
  <c r="AD609" i="13" s="1"/>
  <c r="AD610" i="13" s="1"/>
  <c r="AD611" i="13" s="1"/>
  <c r="AD612" i="13" s="1"/>
  <c r="AD613" i="13" s="1"/>
  <c r="AD614" i="13" s="1"/>
  <c r="AD615" i="13" s="1"/>
  <c r="AD616" i="13" s="1"/>
  <c r="AD617" i="13" s="1"/>
  <c r="AD618" i="13" s="1"/>
  <c r="AD619" i="13" s="1"/>
  <c r="AD620" i="13" s="1"/>
  <c r="AD621" i="13" s="1"/>
  <c r="AD622" i="13" s="1"/>
  <c r="AD623" i="13" s="1"/>
  <c r="AD624" i="13" s="1"/>
  <c r="AD625" i="13" s="1"/>
  <c r="AD626" i="13" s="1"/>
  <c r="AD627" i="13" s="1"/>
  <c r="AD628" i="13" s="1"/>
  <c r="AD629" i="13" s="1"/>
  <c r="AD630" i="13" s="1"/>
  <c r="AD631" i="13" s="1"/>
  <c r="AD632" i="13" s="1"/>
  <c r="AD633" i="13" s="1"/>
  <c r="AD634" i="13" s="1"/>
  <c r="AD635" i="13" s="1"/>
  <c r="AD636" i="13" s="1"/>
  <c r="AD637" i="13" s="1"/>
  <c r="AD638" i="13" s="1"/>
  <c r="AD639" i="13" s="1"/>
  <c r="AD640" i="13" s="1"/>
  <c r="AD641" i="13" s="1"/>
  <c r="AD642" i="13" s="1"/>
  <c r="AD643" i="13" s="1"/>
  <c r="AD644" i="13" s="1"/>
  <c r="AD645" i="13" s="1"/>
  <c r="AD646" i="13" s="1"/>
  <c r="AD647" i="13" s="1"/>
  <c r="AD648" i="13" s="1"/>
  <c r="AD649" i="13" s="1"/>
  <c r="AD650" i="13" s="1"/>
  <c r="AD651" i="13" s="1"/>
  <c r="AD652" i="13" s="1"/>
  <c r="AD653" i="13" s="1"/>
  <c r="AD654" i="13" s="1"/>
  <c r="AD655" i="13" s="1"/>
  <c r="AD656" i="13" s="1"/>
  <c r="AD657" i="13" s="1"/>
  <c r="AD658" i="13" s="1"/>
  <c r="AD659" i="13" s="1"/>
  <c r="AD660" i="13" s="1"/>
  <c r="AD661" i="13" s="1"/>
  <c r="AD662" i="13" s="1"/>
  <c r="AD663" i="13" s="1"/>
  <c r="AD664" i="13" s="1"/>
  <c r="AD665" i="13" s="1"/>
  <c r="AD666" i="13" s="1"/>
  <c r="AD667" i="13" s="1"/>
  <c r="AD668" i="13" s="1"/>
  <c r="AD669" i="13" s="1"/>
  <c r="AD670" i="13" s="1"/>
  <c r="AD671" i="13" s="1"/>
  <c r="AD672" i="13" s="1"/>
  <c r="AD673" i="13" s="1"/>
  <c r="AD674" i="13" s="1"/>
  <c r="AD675" i="13" s="1"/>
  <c r="AD676" i="13" s="1"/>
  <c r="AD677" i="13" s="1"/>
  <c r="AD678" i="13" s="1"/>
  <c r="AD679" i="13" s="1"/>
  <c r="AD680" i="13" s="1"/>
  <c r="AD681" i="13" s="1"/>
  <c r="AD682" i="13" s="1"/>
  <c r="AD683" i="13" s="1"/>
  <c r="AD684" i="13" s="1"/>
  <c r="AD685" i="13" s="1"/>
  <c r="AD686" i="13" s="1"/>
  <c r="AD687" i="13" s="1"/>
  <c r="AD688" i="13" s="1"/>
  <c r="AD689" i="13" s="1"/>
  <c r="AD690" i="13" s="1"/>
  <c r="AD691" i="13" s="1"/>
  <c r="AD692" i="13" s="1"/>
  <c r="AD693" i="13" s="1"/>
  <c r="AD694" i="13" s="1"/>
  <c r="AD695" i="13" s="1"/>
  <c r="AD696" i="13" s="1"/>
  <c r="AD697" i="13" s="1"/>
  <c r="AD698" i="13" s="1"/>
  <c r="AD699" i="13" s="1"/>
  <c r="AD700" i="13" s="1"/>
  <c r="AD701" i="13" s="1"/>
  <c r="AD702" i="13" s="1"/>
  <c r="AD703" i="13" s="1"/>
  <c r="AD704" i="13" s="1"/>
  <c r="AD705" i="13" s="1"/>
  <c r="AD706" i="13" s="1"/>
  <c r="AD707" i="13" s="1"/>
  <c r="AD708" i="13" s="1"/>
  <c r="AD709" i="13" s="1"/>
  <c r="AD710" i="13" s="1"/>
  <c r="AD711" i="13" s="1"/>
  <c r="AD712" i="13" s="1"/>
  <c r="AD713" i="13" s="1"/>
  <c r="AD714" i="13" s="1"/>
  <c r="AD715" i="13" s="1"/>
  <c r="AD716" i="13" s="1"/>
  <c r="AD717" i="13" s="1"/>
  <c r="AD718" i="13" s="1"/>
  <c r="AD719" i="13" s="1"/>
  <c r="AD720" i="13" s="1"/>
  <c r="AD721" i="13" s="1"/>
  <c r="AD722" i="13" s="1"/>
  <c r="AD723" i="13" s="1"/>
  <c r="AD724" i="13" s="1"/>
  <c r="AD725" i="13" s="1"/>
  <c r="AD726" i="13" s="1"/>
  <c r="AD727" i="13" s="1"/>
  <c r="AD728" i="13" s="1"/>
  <c r="AD729" i="13" s="1"/>
  <c r="AD730" i="13" s="1"/>
  <c r="AD731" i="13" s="1"/>
  <c r="AD732" i="13" s="1"/>
  <c r="AD733" i="13" s="1"/>
  <c r="AD734" i="13" s="1"/>
  <c r="AD735" i="13" s="1"/>
  <c r="AD736" i="13" s="1"/>
  <c r="AD737" i="13" s="1"/>
  <c r="AD738" i="13" s="1"/>
  <c r="AD739" i="13" s="1"/>
  <c r="AD740" i="13" s="1"/>
  <c r="AD741" i="13" s="1"/>
  <c r="AD742" i="13" s="1"/>
  <c r="AD743" i="13" s="1"/>
  <c r="AD744" i="13" s="1"/>
  <c r="AD745" i="13" s="1"/>
  <c r="AD746" i="13" s="1"/>
  <c r="AD747" i="13" s="1"/>
  <c r="AD748" i="13" s="1"/>
  <c r="AD749" i="13" s="1"/>
  <c r="AD750" i="13" s="1"/>
  <c r="AD751" i="13" s="1"/>
  <c r="AD752" i="13" s="1"/>
  <c r="AD753" i="13" s="1"/>
  <c r="AD754" i="13" s="1"/>
  <c r="AD755" i="13" s="1"/>
  <c r="AD756" i="13" s="1"/>
  <c r="AD757" i="13" s="1"/>
  <c r="AD758" i="13" s="1"/>
  <c r="AD759" i="13" s="1"/>
  <c r="AD760" i="13" s="1"/>
  <c r="AD761" i="13" s="1"/>
  <c r="AD762" i="13" s="1"/>
  <c r="AD763" i="13" s="1"/>
  <c r="AD764" i="13" s="1"/>
  <c r="AD765" i="13" s="1"/>
  <c r="AD766" i="13" s="1"/>
  <c r="AD767" i="13" s="1"/>
  <c r="AD768" i="13" s="1"/>
  <c r="AD769" i="13" s="1"/>
  <c r="AD770" i="13" s="1"/>
  <c r="AD771" i="13" s="1"/>
  <c r="AD772" i="13" s="1"/>
  <c r="AD773" i="13" s="1"/>
  <c r="AD774" i="13" s="1"/>
  <c r="AD775" i="13" s="1"/>
  <c r="AD776" i="13" s="1"/>
  <c r="AD777" i="13" s="1"/>
  <c r="AD778" i="13" s="1"/>
  <c r="AD779" i="13" s="1"/>
  <c r="AD780" i="13" s="1"/>
  <c r="AD781" i="13" s="1"/>
  <c r="AD782" i="13" s="1"/>
  <c r="AD783" i="13" s="1"/>
  <c r="AD784" i="13" s="1"/>
  <c r="AD785" i="13" s="1"/>
  <c r="AD786" i="13" s="1"/>
  <c r="AD787" i="13" s="1"/>
  <c r="AD788" i="13" s="1"/>
  <c r="AD789" i="13" s="1"/>
  <c r="AD790" i="13" s="1"/>
  <c r="AD791" i="13" s="1"/>
  <c r="AD792" i="13" s="1"/>
  <c r="AD793" i="13" s="1"/>
  <c r="AD794" i="13" s="1"/>
  <c r="AD795" i="13" s="1"/>
  <c r="AD796" i="13" s="1"/>
  <c r="AD797" i="13" s="1"/>
  <c r="AD798" i="13" s="1"/>
  <c r="AD799" i="13" s="1"/>
  <c r="AD800" i="13" s="1"/>
  <c r="AD801" i="13" s="1"/>
  <c r="AD802" i="13" s="1"/>
  <c r="AD803" i="13" s="1"/>
  <c r="AD804" i="13" s="1"/>
  <c r="AD805" i="13" s="1"/>
  <c r="AD806" i="13" s="1"/>
  <c r="AD807" i="13" s="1"/>
  <c r="AD808" i="13" s="1"/>
  <c r="AD809" i="13" s="1"/>
  <c r="AD810" i="13" s="1"/>
  <c r="AD811" i="13" s="1"/>
  <c r="AD812" i="13" s="1"/>
  <c r="AD813" i="13" s="1"/>
  <c r="AD814" i="13" s="1"/>
  <c r="AD815" i="13" s="1"/>
  <c r="AD816" i="13" s="1"/>
  <c r="AD817" i="13" s="1"/>
  <c r="AD818" i="13" s="1"/>
  <c r="AD819" i="13" s="1"/>
  <c r="AD820" i="13" s="1"/>
  <c r="AD821" i="13" s="1"/>
  <c r="AD822" i="13" s="1"/>
  <c r="AD823" i="13" s="1"/>
  <c r="AD824" i="13" s="1"/>
  <c r="AD825" i="13" s="1"/>
  <c r="AD826" i="13" s="1"/>
  <c r="AD827" i="13" s="1"/>
  <c r="AD828" i="13" s="1"/>
  <c r="AD829" i="13" s="1"/>
  <c r="AD830" i="13" s="1"/>
  <c r="AD831" i="13" s="1"/>
  <c r="AD832" i="13" s="1"/>
  <c r="AD833" i="13" s="1"/>
  <c r="AD834" i="13" s="1"/>
  <c r="AD835" i="13" s="1"/>
  <c r="AD836" i="13" s="1"/>
  <c r="AD837" i="13" s="1"/>
  <c r="AD838" i="13" s="1"/>
  <c r="AD839" i="13" s="1"/>
  <c r="AD840" i="13" s="1"/>
  <c r="AD841" i="13" s="1"/>
  <c r="AD842" i="13" s="1"/>
  <c r="AD843" i="13" s="1"/>
  <c r="AD844" i="13" s="1"/>
  <c r="AD845" i="13" s="1"/>
  <c r="AD846" i="13" s="1"/>
  <c r="AD847" i="13" s="1"/>
  <c r="AD848" i="13" s="1"/>
  <c r="AD849" i="13" s="1"/>
  <c r="AD850" i="13" s="1"/>
  <c r="AD851" i="13" s="1"/>
  <c r="AD852" i="13" s="1"/>
  <c r="AD853" i="13" s="1"/>
  <c r="AD854" i="13" s="1"/>
  <c r="AD855" i="13" s="1"/>
  <c r="AD856" i="13" s="1"/>
  <c r="AD857" i="13" s="1"/>
  <c r="AD858" i="13" s="1"/>
  <c r="AD859" i="13" s="1"/>
  <c r="AD860" i="13" s="1"/>
  <c r="AD861" i="13" s="1"/>
  <c r="AD862" i="13" s="1"/>
  <c r="AD863" i="13" s="1"/>
  <c r="AD864" i="13" s="1"/>
  <c r="AD865" i="13" s="1"/>
  <c r="AD866" i="13" s="1"/>
  <c r="AD867" i="13" s="1"/>
  <c r="AD868" i="13" s="1"/>
  <c r="AD869" i="13" s="1"/>
  <c r="AD870" i="13" s="1"/>
  <c r="AD871" i="13" s="1"/>
  <c r="AD872" i="13" s="1"/>
  <c r="AD873" i="13" s="1"/>
  <c r="AD874" i="13" s="1"/>
  <c r="AD875" i="13" s="1"/>
  <c r="AD876" i="13" s="1"/>
  <c r="AD877" i="13" s="1"/>
  <c r="AD878" i="13" s="1"/>
  <c r="AD879" i="13" s="1"/>
  <c r="AD880" i="13" s="1"/>
  <c r="AD881" i="13" s="1"/>
  <c r="AD882" i="13" s="1"/>
  <c r="AD883" i="13" s="1"/>
  <c r="AD884" i="13" s="1"/>
  <c r="AD885" i="13" s="1"/>
  <c r="AD886" i="13" s="1"/>
  <c r="AD887" i="13" s="1"/>
  <c r="AD888" i="13" s="1"/>
  <c r="AD889" i="13" s="1"/>
  <c r="AD890" i="13" s="1"/>
  <c r="AD891" i="13" s="1"/>
  <c r="AD892" i="13" s="1"/>
  <c r="AD893" i="13" s="1"/>
  <c r="AD894" i="13" s="1"/>
  <c r="AD895" i="13" s="1"/>
  <c r="AD896" i="13" s="1"/>
  <c r="AD897" i="13" s="1"/>
  <c r="AD898" i="13" s="1"/>
  <c r="AD899" i="13" s="1"/>
  <c r="AD900" i="13" s="1"/>
  <c r="AD901" i="13" s="1"/>
  <c r="AD902" i="13" s="1"/>
  <c r="AD903" i="13" s="1"/>
  <c r="AD904" i="13" s="1"/>
  <c r="AD905" i="13" s="1"/>
  <c r="AD906" i="13" s="1"/>
  <c r="AD907" i="13" s="1"/>
  <c r="AD908" i="13" s="1"/>
  <c r="AD909" i="13" s="1"/>
  <c r="AD910" i="13" s="1"/>
  <c r="AD911" i="13" s="1"/>
  <c r="AD912" i="13" s="1"/>
  <c r="AD913" i="13" s="1"/>
  <c r="AD914" i="13" s="1"/>
  <c r="AD915" i="13" s="1"/>
  <c r="AD916" i="13" s="1"/>
  <c r="AD917" i="13" s="1"/>
  <c r="AD918" i="13" s="1"/>
  <c r="AD919" i="13" s="1"/>
  <c r="AD920" i="13" s="1"/>
  <c r="AD921" i="13" s="1"/>
  <c r="AD922" i="13" s="1"/>
  <c r="AD923" i="13" s="1"/>
  <c r="AD924" i="13" s="1"/>
  <c r="AD925" i="13" s="1"/>
  <c r="AD926" i="13" s="1"/>
  <c r="AD927" i="13" s="1"/>
  <c r="AD928" i="13" s="1"/>
  <c r="AD929" i="13" s="1"/>
  <c r="AD930" i="13" s="1"/>
  <c r="AD931" i="13" s="1"/>
  <c r="AD932" i="13" s="1"/>
  <c r="AD933" i="13" s="1"/>
  <c r="AD934" i="13" s="1"/>
  <c r="AD935" i="13" s="1"/>
  <c r="AD936" i="13" s="1"/>
  <c r="AD937" i="13" s="1"/>
  <c r="AD938" i="13" s="1"/>
  <c r="AD939" i="13" s="1"/>
  <c r="AD940" i="13" s="1"/>
  <c r="AD941" i="13" s="1"/>
  <c r="AD942" i="13" s="1"/>
  <c r="AD943" i="13" s="1"/>
  <c r="AD944" i="13" s="1"/>
  <c r="AD945" i="13" s="1"/>
  <c r="AD946" i="13" s="1"/>
  <c r="AD947" i="13" s="1"/>
  <c r="AD948" i="13" s="1"/>
  <c r="AD949" i="13" s="1"/>
  <c r="AD950" i="13" s="1"/>
  <c r="AD951" i="13" s="1"/>
  <c r="AD952" i="13" s="1"/>
  <c r="AD953" i="13" s="1"/>
  <c r="AD954" i="13" s="1"/>
  <c r="AD955" i="13" s="1"/>
  <c r="AD956" i="13" s="1"/>
  <c r="AD957" i="13" s="1"/>
  <c r="AD958" i="13" s="1"/>
  <c r="AD959" i="13" s="1"/>
  <c r="AD960" i="13" s="1"/>
  <c r="AD961" i="13" s="1"/>
  <c r="AD962" i="13" s="1"/>
  <c r="AD963" i="13" s="1"/>
  <c r="AD964" i="13" s="1"/>
  <c r="AD965" i="13" s="1"/>
  <c r="AD966" i="13" s="1"/>
  <c r="AD967" i="13" s="1"/>
  <c r="AD968" i="13" s="1"/>
  <c r="AD969" i="13" s="1"/>
  <c r="AD970" i="13" s="1"/>
  <c r="AD971" i="13" s="1"/>
  <c r="AD972" i="13" s="1"/>
  <c r="AD973" i="13" s="1"/>
  <c r="AD974" i="13" s="1"/>
  <c r="AD975" i="13" s="1"/>
  <c r="AD976" i="13" s="1"/>
  <c r="AD977" i="13" s="1"/>
  <c r="AD978" i="13" s="1"/>
  <c r="AD979" i="13" s="1"/>
  <c r="AD980" i="13" s="1"/>
  <c r="AD981" i="13" s="1"/>
  <c r="AD982" i="13" s="1"/>
  <c r="AD983" i="13" s="1"/>
  <c r="AD984" i="13" s="1"/>
  <c r="AD985" i="13" s="1"/>
  <c r="AD986" i="13" s="1"/>
  <c r="AD987" i="13" s="1"/>
  <c r="AD988" i="13" s="1"/>
  <c r="AD989" i="13" s="1"/>
  <c r="AD990" i="13" s="1"/>
  <c r="AD991" i="13" s="1"/>
  <c r="AD992" i="13" s="1"/>
  <c r="AD993" i="13" s="1"/>
  <c r="AD994" i="13" s="1"/>
  <c r="AD995" i="13" s="1"/>
  <c r="AD996" i="13" s="1"/>
  <c r="AD997" i="13" s="1"/>
  <c r="AD998" i="13" s="1"/>
  <c r="AD999" i="13" s="1"/>
  <c r="AD1000" i="13" s="1"/>
  <c r="AD1001" i="13" s="1"/>
  <c r="AD1002" i="13" s="1"/>
  <c r="AD1003" i="13" s="1"/>
  <c r="AD1004" i="13" s="1"/>
  <c r="AD1005" i="13" s="1"/>
  <c r="AD1006" i="13" s="1"/>
  <c r="AD1007" i="13" s="1"/>
  <c r="AD1008" i="13" s="1"/>
  <c r="AD1009" i="13" s="1"/>
  <c r="AD1010" i="13" s="1"/>
  <c r="AD1011" i="13" s="1"/>
  <c r="AD1012" i="13" s="1"/>
  <c r="AD1013" i="13" s="1"/>
  <c r="AD1014" i="13" s="1"/>
  <c r="AD1015" i="13" s="1"/>
  <c r="AD1016" i="13" s="1"/>
  <c r="AD1017" i="13" s="1"/>
  <c r="AD1018" i="13" s="1"/>
  <c r="AD1019" i="13" s="1"/>
  <c r="AD1020" i="13" s="1"/>
  <c r="AD1021" i="13" s="1"/>
  <c r="AD1022" i="13" s="1"/>
  <c r="AD1023" i="13" s="1"/>
  <c r="AD1024" i="13" s="1"/>
  <c r="AD1025" i="13" s="1"/>
  <c r="AD1026" i="13" s="1"/>
  <c r="AD1027" i="13" s="1"/>
  <c r="AD1028" i="13" s="1"/>
  <c r="AD1029" i="13" s="1"/>
  <c r="AD1030" i="13" s="1"/>
  <c r="AD1031" i="13" s="1"/>
  <c r="AD1032" i="13" s="1"/>
  <c r="AD1033" i="13" s="1"/>
  <c r="AD1034" i="13" s="1"/>
  <c r="AD1035" i="13" s="1"/>
  <c r="AD1036" i="13" s="1"/>
  <c r="AD1037" i="13" s="1"/>
  <c r="AD1038" i="13" s="1"/>
  <c r="AD1039" i="13" s="1"/>
  <c r="AD1040" i="13" s="1"/>
  <c r="AD1041" i="13" s="1"/>
  <c r="AD1042" i="13" s="1"/>
  <c r="AD1043" i="13" s="1"/>
  <c r="AD1044" i="13" s="1"/>
  <c r="AD1045" i="13" s="1"/>
  <c r="AD1046" i="13" s="1"/>
  <c r="AD1047" i="13" s="1"/>
  <c r="AD1048" i="13" s="1"/>
  <c r="AD1049" i="13" s="1"/>
  <c r="AD1050" i="13" s="1"/>
  <c r="AD1051" i="13" s="1"/>
  <c r="AD1052" i="13" s="1"/>
  <c r="AD1053" i="13" s="1"/>
  <c r="AD1054" i="13" s="1"/>
  <c r="AD1055" i="13" s="1"/>
  <c r="AD1056" i="13" s="1"/>
  <c r="AD1057" i="13" s="1"/>
  <c r="AD1058" i="13" s="1"/>
  <c r="AD1059" i="13" s="1"/>
  <c r="AD1060" i="13" s="1"/>
  <c r="AD1061" i="13" s="1"/>
  <c r="AD1062" i="13" s="1"/>
  <c r="AD1063" i="13" s="1"/>
  <c r="AD1064" i="13" s="1"/>
  <c r="AD1065" i="13" s="1"/>
  <c r="AD1066" i="13" s="1"/>
  <c r="K7" i="13"/>
  <c r="Q7" i="13"/>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Q39" i="13" s="1"/>
  <c r="Q40" i="13" s="1"/>
  <c r="Q41" i="13" s="1"/>
  <c r="Q42" i="13" s="1"/>
  <c r="Q43" i="13" s="1"/>
  <c r="Q44" i="13" s="1"/>
  <c r="Q45" i="13" s="1"/>
  <c r="Q46" i="13" s="1"/>
  <c r="Q47" i="13" s="1"/>
  <c r="Q48" i="13" s="1"/>
  <c r="Q49" i="13" s="1"/>
  <c r="Q50" i="13" s="1"/>
  <c r="Q51" i="13" s="1"/>
  <c r="Q52" i="13" s="1"/>
  <c r="Q53" i="13" s="1"/>
  <c r="Q54" i="13" s="1"/>
  <c r="Q55" i="13" s="1"/>
  <c r="Q56" i="13" s="1"/>
  <c r="Q57" i="13" s="1"/>
  <c r="Q58" i="13" s="1"/>
  <c r="Q59" i="13" s="1"/>
  <c r="Q60" i="13" s="1"/>
  <c r="Q61" i="13" s="1"/>
  <c r="Q62" i="13" s="1"/>
  <c r="Q63" i="13" s="1"/>
  <c r="Q64" i="13" s="1"/>
  <c r="Q65" i="13" s="1"/>
  <c r="Q66" i="13" s="1"/>
  <c r="Q67" i="13" s="1"/>
  <c r="Q68" i="13" s="1"/>
  <c r="Q69" i="13" s="1"/>
  <c r="Q70" i="13" s="1"/>
  <c r="Q71" i="13" s="1"/>
  <c r="Q72" i="13" s="1"/>
  <c r="Q73" i="13" s="1"/>
  <c r="Q74" i="13" s="1"/>
  <c r="Q75" i="13" s="1"/>
  <c r="Q76" i="13" s="1"/>
  <c r="Q77" i="13" s="1"/>
  <c r="Q78" i="13" s="1"/>
  <c r="Q79" i="13" s="1"/>
  <c r="Q80" i="13" s="1"/>
  <c r="Q81" i="13" s="1"/>
  <c r="Q82" i="13" s="1"/>
  <c r="Q83" i="13" s="1"/>
  <c r="Q84" i="13" s="1"/>
  <c r="Q85" i="13" s="1"/>
  <c r="Q86" i="13" s="1"/>
  <c r="Q87" i="13" s="1"/>
  <c r="Q88" i="13" s="1"/>
  <c r="Q89" i="13" s="1"/>
  <c r="Q90" i="13" s="1"/>
  <c r="Q91" i="13" s="1"/>
  <c r="Q92" i="13" s="1"/>
  <c r="Q93" i="13" s="1"/>
  <c r="Q94" i="13" s="1"/>
  <c r="Q95" i="13" s="1"/>
  <c r="Q96" i="13" s="1"/>
  <c r="Q97" i="13" s="1"/>
  <c r="Q98" i="13" s="1"/>
  <c r="Q99" i="13" s="1"/>
  <c r="Q100" i="13" s="1"/>
  <c r="Q101" i="13" s="1"/>
  <c r="Q102" i="13" s="1"/>
  <c r="Q103" i="13" s="1"/>
  <c r="Q104" i="13" s="1"/>
  <c r="Q105" i="13" s="1"/>
  <c r="Q106" i="13" s="1"/>
  <c r="Q107" i="13" s="1"/>
  <c r="Q108" i="13" s="1"/>
  <c r="Q109" i="13" s="1"/>
  <c r="Q110" i="13" s="1"/>
  <c r="Q111" i="13" s="1"/>
  <c r="Q112" i="13" s="1"/>
  <c r="Q113" i="13" s="1"/>
  <c r="Q114" i="13" s="1"/>
  <c r="Q115" i="13" s="1"/>
  <c r="Q116" i="13" s="1"/>
  <c r="Q117" i="13" s="1"/>
  <c r="Q118" i="13" s="1"/>
  <c r="Q119" i="13" s="1"/>
  <c r="Q120" i="13" s="1"/>
  <c r="Q121" i="13" s="1"/>
  <c r="Q122" i="13" s="1"/>
  <c r="Q123" i="13" s="1"/>
  <c r="Q124" i="13" s="1"/>
  <c r="Q125" i="13" s="1"/>
  <c r="Q126" i="13" s="1"/>
  <c r="Q127" i="13" s="1"/>
  <c r="Q128" i="13" s="1"/>
  <c r="Q129" i="13" s="1"/>
  <c r="Q130" i="13" s="1"/>
  <c r="Q131" i="13" s="1"/>
  <c r="Q132" i="13" s="1"/>
  <c r="Q133" i="13" s="1"/>
  <c r="Q134" i="13" s="1"/>
  <c r="Q135" i="13" s="1"/>
  <c r="Q136" i="13" s="1"/>
  <c r="Q137" i="13" s="1"/>
  <c r="Q138" i="13" s="1"/>
  <c r="Q139" i="13" s="1"/>
  <c r="Q140" i="13" s="1"/>
  <c r="Q141" i="13" s="1"/>
  <c r="Q142" i="13" s="1"/>
  <c r="Q143" i="13" s="1"/>
  <c r="Q144" i="13" s="1"/>
  <c r="Q145" i="13" s="1"/>
  <c r="Q146" i="13" s="1"/>
  <c r="Q147" i="13" s="1"/>
  <c r="Q148" i="13" s="1"/>
  <c r="Q149" i="13" s="1"/>
  <c r="Q150" i="13" s="1"/>
  <c r="Q151" i="13" s="1"/>
  <c r="Q152" i="13" s="1"/>
  <c r="Q153" i="13" s="1"/>
  <c r="Q154" i="13" s="1"/>
  <c r="Q155" i="13" s="1"/>
  <c r="Q156" i="13" s="1"/>
  <c r="Q157" i="13" s="1"/>
  <c r="Q158" i="13" s="1"/>
  <c r="Q159" i="13" s="1"/>
  <c r="Q160" i="13" s="1"/>
  <c r="Q161" i="13" s="1"/>
  <c r="Q162" i="13" s="1"/>
  <c r="Q163" i="13" s="1"/>
  <c r="Q164" i="13" s="1"/>
  <c r="Q165" i="13" s="1"/>
  <c r="Q166" i="13" s="1"/>
  <c r="Q167" i="13" s="1"/>
  <c r="Q168" i="13" s="1"/>
  <c r="Q169" i="13" s="1"/>
  <c r="Q170" i="13" s="1"/>
  <c r="Q171" i="13" s="1"/>
  <c r="Q172" i="13" s="1"/>
  <c r="Q173" i="13" s="1"/>
  <c r="Q174" i="13" s="1"/>
  <c r="Q175" i="13" s="1"/>
  <c r="Q176" i="13" s="1"/>
  <c r="Q177" i="13" s="1"/>
  <c r="Q178" i="13" s="1"/>
  <c r="Q179" i="13" s="1"/>
  <c r="Q180" i="13" s="1"/>
  <c r="Q181" i="13" s="1"/>
  <c r="Q182" i="13" s="1"/>
  <c r="Q183" i="13" s="1"/>
  <c r="Q184" i="13" s="1"/>
  <c r="Q185" i="13" s="1"/>
  <c r="Q186" i="13" s="1"/>
  <c r="Q187" i="13" s="1"/>
  <c r="Q188" i="13" s="1"/>
  <c r="Q189" i="13" s="1"/>
  <c r="Q190" i="13" s="1"/>
  <c r="Q191" i="13" s="1"/>
  <c r="Q192" i="13" s="1"/>
  <c r="Q193" i="13" s="1"/>
  <c r="Q194" i="13" s="1"/>
  <c r="Q195" i="13" s="1"/>
  <c r="Q196" i="13" s="1"/>
  <c r="Q197" i="13" s="1"/>
  <c r="Q198" i="13" s="1"/>
  <c r="Q199" i="13" s="1"/>
  <c r="Q200" i="13" s="1"/>
  <c r="Q201" i="13" s="1"/>
  <c r="Q202" i="13" s="1"/>
  <c r="Q203" i="13" s="1"/>
  <c r="Q204" i="13" s="1"/>
  <c r="Q205" i="13" s="1"/>
  <c r="Q206" i="13" s="1"/>
  <c r="Q207" i="13" s="1"/>
  <c r="Q208" i="13" s="1"/>
  <c r="Q209" i="13" s="1"/>
  <c r="Q210" i="13" s="1"/>
  <c r="Q211" i="13" s="1"/>
  <c r="Q212" i="13" s="1"/>
  <c r="Q213" i="13" s="1"/>
  <c r="Q214" i="13" s="1"/>
  <c r="Q215" i="13" s="1"/>
  <c r="Q216" i="13" s="1"/>
  <c r="Q217" i="13" s="1"/>
  <c r="Q218" i="13" s="1"/>
  <c r="Q219" i="13" s="1"/>
  <c r="Q220" i="13" s="1"/>
  <c r="Q221" i="13" s="1"/>
  <c r="Q222" i="13" s="1"/>
  <c r="Q223" i="13" s="1"/>
  <c r="Q224" i="13" s="1"/>
  <c r="Q225" i="13" s="1"/>
  <c r="Q226" i="13" s="1"/>
  <c r="Q227" i="13" s="1"/>
  <c r="Q228" i="13" s="1"/>
  <c r="Q229" i="13" s="1"/>
  <c r="Q230" i="13" s="1"/>
  <c r="Q231" i="13" s="1"/>
  <c r="Q232" i="13" s="1"/>
  <c r="Q233" i="13" s="1"/>
  <c r="Q234" i="13" s="1"/>
  <c r="Q235" i="13" s="1"/>
  <c r="Q236" i="13" s="1"/>
  <c r="Q237" i="13" s="1"/>
  <c r="Q238" i="13" s="1"/>
  <c r="Q239" i="13" s="1"/>
  <c r="Q240" i="13" s="1"/>
  <c r="Q241" i="13" s="1"/>
  <c r="Q242" i="13" s="1"/>
  <c r="Q243" i="13" s="1"/>
  <c r="Q244" i="13" s="1"/>
  <c r="Q245" i="13" s="1"/>
  <c r="Q246" i="13" s="1"/>
  <c r="Q247" i="13" s="1"/>
  <c r="Q248" i="13" s="1"/>
  <c r="Q249" i="13" s="1"/>
  <c r="Q250" i="13" s="1"/>
  <c r="Q251" i="13" s="1"/>
  <c r="Q252" i="13" s="1"/>
  <c r="Q253" i="13" s="1"/>
  <c r="Q254" i="13" s="1"/>
  <c r="Q255" i="13" s="1"/>
  <c r="Q256" i="13" s="1"/>
  <c r="Q257" i="13" s="1"/>
  <c r="Q258" i="13" s="1"/>
  <c r="Q259" i="13" s="1"/>
  <c r="Q260" i="13" s="1"/>
  <c r="Q261" i="13" s="1"/>
  <c r="Q262" i="13" s="1"/>
  <c r="Q263" i="13" s="1"/>
  <c r="Q264" i="13" s="1"/>
  <c r="Q265" i="13" s="1"/>
  <c r="Q266" i="13" s="1"/>
  <c r="Q267" i="13" s="1"/>
  <c r="Q268" i="13" s="1"/>
  <c r="Q269" i="13" s="1"/>
  <c r="Q270" i="13" s="1"/>
  <c r="Q271" i="13" s="1"/>
  <c r="Q272" i="13" s="1"/>
  <c r="Q273" i="13" s="1"/>
  <c r="Q274" i="13" s="1"/>
  <c r="Q275" i="13" s="1"/>
  <c r="Q276" i="13" s="1"/>
  <c r="Q277" i="13" s="1"/>
  <c r="Q278" i="13" s="1"/>
  <c r="Q279" i="13" s="1"/>
  <c r="Q280" i="13" s="1"/>
  <c r="Q281" i="13" s="1"/>
  <c r="Q282" i="13" s="1"/>
  <c r="Q283" i="13" s="1"/>
  <c r="Q284" i="13" s="1"/>
  <c r="Q285" i="13" s="1"/>
  <c r="Q286" i="13" s="1"/>
  <c r="Q287" i="13" s="1"/>
  <c r="Q288" i="13" s="1"/>
  <c r="Q289" i="13" s="1"/>
  <c r="Q290" i="13" s="1"/>
  <c r="Q291" i="13" s="1"/>
  <c r="Q292" i="13" s="1"/>
  <c r="Q293" i="13" s="1"/>
  <c r="Q294" i="13" s="1"/>
  <c r="Q295" i="13" s="1"/>
  <c r="Q296" i="13" s="1"/>
  <c r="Q297" i="13" s="1"/>
  <c r="Q298" i="13" s="1"/>
  <c r="Q299" i="13" s="1"/>
  <c r="Q300" i="13" s="1"/>
  <c r="Q301" i="13" s="1"/>
  <c r="Q302" i="13" s="1"/>
  <c r="Q303" i="13" s="1"/>
  <c r="Q304" i="13" s="1"/>
  <c r="Q305" i="13" s="1"/>
  <c r="Q306" i="13" s="1"/>
  <c r="Q307" i="13" s="1"/>
  <c r="Q308" i="13" s="1"/>
  <c r="Q309" i="13" s="1"/>
  <c r="Q310" i="13" s="1"/>
  <c r="Q311" i="13" s="1"/>
  <c r="Q312" i="13" s="1"/>
  <c r="Q313" i="13" s="1"/>
  <c r="Q314" i="13" s="1"/>
  <c r="Q315" i="13" s="1"/>
  <c r="Q316" i="13" s="1"/>
  <c r="Q317" i="13" s="1"/>
  <c r="Q318" i="13" s="1"/>
  <c r="Q319" i="13" s="1"/>
  <c r="Q320" i="13" s="1"/>
  <c r="Q321" i="13" s="1"/>
  <c r="Q322" i="13" s="1"/>
  <c r="Q323" i="13" s="1"/>
  <c r="Q324" i="13" s="1"/>
  <c r="Q325" i="13" s="1"/>
  <c r="Q326" i="13" s="1"/>
  <c r="Q327" i="13" s="1"/>
  <c r="Q328" i="13" s="1"/>
  <c r="Q329" i="13" s="1"/>
  <c r="Q330" i="13" s="1"/>
  <c r="Q331" i="13" s="1"/>
  <c r="Q332" i="13" s="1"/>
  <c r="Q333" i="13" s="1"/>
  <c r="Q334" i="13" s="1"/>
  <c r="Q335" i="13" s="1"/>
  <c r="Q336" i="13" s="1"/>
  <c r="Q337" i="13" s="1"/>
  <c r="Q338" i="13" s="1"/>
  <c r="Q339" i="13" s="1"/>
  <c r="Q340" i="13" s="1"/>
  <c r="Q341" i="13" s="1"/>
  <c r="Q342" i="13" s="1"/>
  <c r="Q343" i="13" s="1"/>
  <c r="Q344" i="13" s="1"/>
  <c r="Q345" i="13" s="1"/>
  <c r="Q346" i="13" s="1"/>
  <c r="Q347" i="13" s="1"/>
  <c r="Q348" i="13" s="1"/>
  <c r="Q349" i="13" s="1"/>
  <c r="Q350" i="13" s="1"/>
  <c r="Q351" i="13" s="1"/>
  <c r="Q352" i="13" s="1"/>
  <c r="Q353" i="13" s="1"/>
  <c r="Q354" i="13" s="1"/>
  <c r="Q355" i="13" s="1"/>
  <c r="Q356" i="13" s="1"/>
  <c r="Q357" i="13" s="1"/>
  <c r="Q358" i="13" s="1"/>
  <c r="Q359" i="13" s="1"/>
  <c r="Q360" i="13" s="1"/>
  <c r="Q361" i="13" s="1"/>
  <c r="Q362" i="13" s="1"/>
  <c r="Q363" i="13" s="1"/>
  <c r="Q364" i="13" s="1"/>
  <c r="Q365" i="13" s="1"/>
  <c r="Q366" i="13" s="1"/>
  <c r="Q367" i="13" s="1"/>
  <c r="Q368" i="13" s="1"/>
  <c r="Q369" i="13" s="1"/>
  <c r="Q370" i="13" s="1"/>
  <c r="Q371" i="13" s="1"/>
  <c r="Q372" i="13" s="1"/>
  <c r="Q373" i="13" s="1"/>
  <c r="Q374" i="13" s="1"/>
  <c r="Q375" i="13" s="1"/>
  <c r="Q376" i="13" s="1"/>
  <c r="Q377" i="13" s="1"/>
  <c r="Q378" i="13" s="1"/>
  <c r="Q379" i="13" s="1"/>
  <c r="Q380" i="13" s="1"/>
  <c r="Q381" i="13" s="1"/>
  <c r="Q382" i="13" s="1"/>
  <c r="Q383" i="13" s="1"/>
  <c r="Q384" i="13" s="1"/>
  <c r="Q385" i="13" s="1"/>
  <c r="Q386" i="13" s="1"/>
  <c r="Q387" i="13" s="1"/>
  <c r="Q388" i="13" s="1"/>
  <c r="Q389" i="13" s="1"/>
  <c r="Q390" i="13" s="1"/>
  <c r="Q391" i="13" s="1"/>
  <c r="Q392" i="13" s="1"/>
  <c r="Q393" i="13" s="1"/>
  <c r="Q394" i="13" s="1"/>
  <c r="Q395" i="13" s="1"/>
  <c r="Q396" i="13" s="1"/>
  <c r="Q397" i="13" s="1"/>
  <c r="Q398" i="13" s="1"/>
  <c r="Q399" i="13" s="1"/>
  <c r="Q400" i="13" s="1"/>
  <c r="Q401" i="13" s="1"/>
  <c r="Q402" i="13" s="1"/>
  <c r="Q403" i="13" s="1"/>
  <c r="Q404" i="13" s="1"/>
  <c r="Q405" i="13" s="1"/>
  <c r="Q406" i="13" s="1"/>
  <c r="Q407" i="13" s="1"/>
  <c r="Q408" i="13" s="1"/>
  <c r="Q409" i="13" s="1"/>
  <c r="Q410" i="13" s="1"/>
  <c r="Q411" i="13" s="1"/>
  <c r="Q412" i="13" s="1"/>
  <c r="Q413" i="13" s="1"/>
  <c r="Q414" i="13" s="1"/>
  <c r="Q415" i="13" s="1"/>
  <c r="Q416" i="13" s="1"/>
  <c r="Q417" i="13" s="1"/>
  <c r="Q418" i="13" s="1"/>
  <c r="Q419" i="13" s="1"/>
  <c r="Q420" i="13" s="1"/>
  <c r="Q421" i="13" s="1"/>
  <c r="Q422" i="13" s="1"/>
  <c r="Q423" i="13" s="1"/>
  <c r="Q424" i="13" s="1"/>
  <c r="Q425" i="13" s="1"/>
  <c r="Q426" i="13" s="1"/>
  <c r="Q427" i="13" s="1"/>
  <c r="Q428" i="13" s="1"/>
  <c r="Q429" i="13" s="1"/>
  <c r="Q430" i="13" s="1"/>
  <c r="Q431" i="13" s="1"/>
  <c r="Q432" i="13" s="1"/>
  <c r="Q433" i="13" s="1"/>
  <c r="Q434" i="13" s="1"/>
  <c r="Q435" i="13" s="1"/>
  <c r="Q436" i="13" s="1"/>
  <c r="Q437" i="13" s="1"/>
  <c r="Q438" i="13" s="1"/>
  <c r="Q439" i="13" s="1"/>
  <c r="Q440" i="13" s="1"/>
  <c r="Q441" i="13" s="1"/>
  <c r="Q442" i="13" s="1"/>
  <c r="Q443" i="13" s="1"/>
  <c r="Q444" i="13" s="1"/>
  <c r="Q445" i="13" s="1"/>
  <c r="Q446" i="13" s="1"/>
  <c r="Q447" i="13" s="1"/>
  <c r="Q448" i="13" s="1"/>
  <c r="Q449" i="13" s="1"/>
  <c r="Q450" i="13" s="1"/>
  <c r="Q451" i="13" s="1"/>
  <c r="Q452" i="13" s="1"/>
  <c r="Q453" i="13" s="1"/>
  <c r="Q454" i="13" s="1"/>
  <c r="Q455" i="13" s="1"/>
  <c r="Q456" i="13" s="1"/>
  <c r="Q457" i="13" s="1"/>
  <c r="Q458" i="13" s="1"/>
  <c r="Q459" i="13" s="1"/>
  <c r="Q460" i="13" s="1"/>
  <c r="Q461" i="13" s="1"/>
  <c r="Q462" i="13" s="1"/>
  <c r="Q463" i="13" s="1"/>
  <c r="Q464" i="13" s="1"/>
  <c r="Q465" i="13" s="1"/>
  <c r="Q466" i="13" s="1"/>
  <c r="Q467" i="13" s="1"/>
  <c r="Q468" i="13" s="1"/>
  <c r="Q469" i="13" s="1"/>
  <c r="Q470" i="13" s="1"/>
  <c r="Q471" i="13" s="1"/>
  <c r="Q472" i="13" s="1"/>
  <c r="Q473" i="13" s="1"/>
  <c r="Q474" i="13" s="1"/>
  <c r="Q475" i="13" s="1"/>
  <c r="Q476" i="13" s="1"/>
  <c r="Q477" i="13" s="1"/>
  <c r="Q478" i="13" s="1"/>
  <c r="Q479" i="13" s="1"/>
  <c r="Q480" i="13" s="1"/>
  <c r="Q481" i="13" s="1"/>
  <c r="Q482" i="13" s="1"/>
  <c r="Q483" i="13" s="1"/>
  <c r="Q484" i="13" s="1"/>
  <c r="Q485" i="13" s="1"/>
  <c r="Q486" i="13" s="1"/>
  <c r="Q487" i="13" s="1"/>
  <c r="Q488" i="13" s="1"/>
  <c r="Q489" i="13" s="1"/>
  <c r="Q490" i="13" s="1"/>
  <c r="Q491" i="13" s="1"/>
  <c r="Q492" i="13" s="1"/>
  <c r="Q493" i="13" s="1"/>
  <c r="Q494" i="13" s="1"/>
  <c r="Q495" i="13" s="1"/>
  <c r="Q496" i="13" s="1"/>
  <c r="Q497" i="13" s="1"/>
  <c r="Q498" i="13" s="1"/>
  <c r="Q499" i="13" s="1"/>
  <c r="Q500" i="13" s="1"/>
  <c r="Q501" i="13" s="1"/>
  <c r="Q502" i="13" s="1"/>
  <c r="Q503" i="13" s="1"/>
  <c r="Q504" i="13" s="1"/>
  <c r="Q505" i="13" s="1"/>
  <c r="Q506" i="13" s="1"/>
  <c r="Q507" i="13" s="1"/>
  <c r="Q508" i="13" s="1"/>
  <c r="Q509" i="13" s="1"/>
  <c r="Q510" i="13" s="1"/>
  <c r="Q511" i="13" s="1"/>
  <c r="Q512" i="13" s="1"/>
  <c r="Q513" i="13" s="1"/>
  <c r="Q514" i="13" s="1"/>
  <c r="Q515" i="13" s="1"/>
  <c r="Q516" i="13" s="1"/>
  <c r="Q517" i="13" s="1"/>
  <c r="Q518" i="13" s="1"/>
  <c r="Q519" i="13" s="1"/>
  <c r="Q520" i="13" s="1"/>
  <c r="Q521" i="13" s="1"/>
  <c r="Q522" i="13" s="1"/>
  <c r="Q523" i="13" s="1"/>
  <c r="Q524" i="13" s="1"/>
  <c r="Q525" i="13" s="1"/>
  <c r="Q526" i="13" s="1"/>
  <c r="Q527" i="13" s="1"/>
  <c r="Q528" i="13" s="1"/>
  <c r="Q529" i="13" s="1"/>
  <c r="Q530" i="13" s="1"/>
  <c r="Q531" i="13" s="1"/>
  <c r="Q532" i="13" s="1"/>
  <c r="Q533" i="13" s="1"/>
  <c r="Q534" i="13" s="1"/>
  <c r="Q535" i="13" s="1"/>
  <c r="Q536" i="13" s="1"/>
  <c r="Q537" i="13" s="1"/>
  <c r="Q538" i="13" s="1"/>
  <c r="Q539" i="13" s="1"/>
  <c r="Q540" i="13" s="1"/>
  <c r="Q541" i="13" s="1"/>
  <c r="Q542" i="13" s="1"/>
  <c r="Q543" i="13" s="1"/>
  <c r="Q544" i="13" s="1"/>
  <c r="Q545" i="13" s="1"/>
  <c r="Q546" i="13" s="1"/>
  <c r="Q547" i="13" s="1"/>
  <c r="Q548" i="13" s="1"/>
  <c r="Q549" i="13" s="1"/>
  <c r="Q550" i="13" s="1"/>
  <c r="Q551" i="13" s="1"/>
  <c r="Q552" i="13" s="1"/>
  <c r="Q553" i="13" s="1"/>
  <c r="Q554" i="13" s="1"/>
  <c r="Q555" i="13" s="1"/>
  <c r="Q556" i="13" s="1"/>
  <c r="Q557" i="13" s="1"/>
  <c r="Q558" i="13" s="1"/>
  <c r="Q559" i="13" s="1"/>
  <c r="Q560" i="13" s="1"/>
  <c r="Q561" i="13" s="1"/>
  <c r="Q562" i="13" s="1"/>
  <c r="Q563" i="13" s="1"/>
  <c r="Q564" i="13" s="1"/>
  <c r="Q565" i="13" s="1"/>
  <c r="Q566" i="13" s="1"/>
  <c r="Q567" i="13" s="1"/>
  <c r="Q568" i="13" s="1"/>
  <c r="Q569" i="13" s="1"/>
  <c r="Q570" i="13" s="1"/>
  <c r="Q571" i="13" s="1"/>
  <c r="Q572" i="13" s="1"/>
  <c r="Q573" i="13" s="1"/>
  <c r="Q574" i="13" s="1"/>
  <c r="Q575" i="13" s="1"/>
  <c r="Q576" i="13" s="1"/>
  <c r="Q577" i="13" s="1"/>
  <c r="Q578" i="13" s="1"/>
  <c r="Q579" i="13" s="1"/>
  <c r="Q580" i="13" s="1"/>
  <c r="Q581" i="13" s="1"/>
  <c r="Q582" i="13" s="1"/>
  <c r="Q583" i="13" s="1"/>
  <c r="Q584" i="13" s="1"/>
  <c r="Q585" i="13" s="1"/>
  <c r="Q586" i="13" s="1"/>
  <c r="Q587" i="13" s="1"/>
  <c r="Q588" i="13" s="1"/>
  <c r="Q589" i="13" s="1"/>
  <c r="Q590" i="13" s="1"/>
  <c r="Q591" i="13" s="1"/>
  <c r="Q592" i="13" s="1"/>
  <c r="Q593" i="13" s="1"/>
  <c r="Q594" i="13" s="1"/>
  <c r="Q595" i="13" s="1"/>
  <c r="Q596" i="13" s="1"/>
  <c r="Q597" i="13" s="1"/>
  <c r="Q598" i="13" s="1"/>
  <c r="Q599" i="13" s="1"/>
  <c r="Q600" i="13" s="1"/>
  <c r="Q601" i="13" s="1"/>
  <c r="Q602" i="13" s="1"/>
  <c r="Q603" i="13" s="1"/>
  <c r="Q604" i="13" s="1"/>
  <c r="Q605" i="13" s="1"/>
  <c r="Q606" i="13" s="1"/>
  <c r="Q607" i="13" s="1"/>
  <c r="Q608" i="13" s="1"/>
  <c r="Q609" i="13" s="1"/>
  <c r="Q610" i="13" s="1"/>
  <c r="Q611" i="13" s="1"/>
  <c r="Q612" i="13" s="1"/>
  <c r="Q613" i="13" s="1"/>
  <c r="Q614" i="13" s="1"/>
  <c r="Q615" i="13" s="1"/>
  <c r="Q616" i="13" s="1"/>
  <c r="Q617" i="13" s="1"/>
  <c r="Q618" i="13" s="1"/>
  <c r="Q619" i="13" s="1"/>
  <c r="Q620" i="13" s="1"/>
  <c r="Q621" i="13" s="1"/>
  <c r="Q622" i="13" s="1"/>
  <c r="Q623" i="13" s="1"/>
  <c r="Q624" i="13" s="1"/>
  <c r="Q625" i="13" s="1"/>
  <c r="Q626" i="13" s="1"/>
  <c r="Q627" i="13" s="1"/>
  <c r="Q628" i="13" s="1"/>
  <c r="Q629" i="13" s="1"/>
  <c r="Q630" i="13" s="1"/>
  <c r="Q631" i="13" s="1"/>
  <c r="Q632" i="13" s="1"/>
  <c r="Q633" i="13" s="1"/>
  <c r="Q634" i="13" s="1"/>
  <c r="Q635" i="13" s="1"/>
  <c r="Q636" i="13" s="1"/>
  <c r="Q637" i="13" s="1"/>
  <c r="Q638" i="13" s="1"/>
  <c r="Q639" i="13" s="1"/>
  <c r="Q640" i="13" s="1"/>
  <c r="Q641" i="13" s="1"/>
  <c r="Q642" i="13" s="1"/>
  <c r="Q643" i="13" s="1"/>
  <c r="Q644" i="13" s="1"/>
  <c r="Q645" i="13" s="1"/>
  <c r="Q646" i="13" s="1"/>
  <c r="Q647" i="13" s="1"/>
  <c r="Q648" i="13" s="1"/>
  <c r="Q649" i="13" s="1"/>
  <c r="Q650" i="13" s="1"/>
  <c r="Q651" i="13" s="1"/>
  <c r="Q652" i="13" s="1"/>
  <c r="Q653" i="13" s="1"/>
  <c r="Q654" i="13" s="1"/>
  <c r="Q655" i="13" s="1"/>
  <c r="Q656" i="13" s="1"/>
  <c r="Q657" i="13" s="1"/>
  <c r="Q658" i="13" s="1"/>
  <c r="Q659" i="13" s="1"/>
  <c r="Q660" i="13" s="1"/>
  <c r="Q661" i="13" s="1"/>
  <c r="Q662" i="13" s="1"/>
  <c r="Q663" i="13" s="1"/>
  <c r="Q664" i="13" s="1"/>
  <c r="Q665" i="13" s="1"/>
  <c r="Q666" i="13" s="1"/>
  <c r="Q667" i="13" s="1"/>
  <c r="Q668" i="13" s="1"/>
  <c r="Q669" i="13" s="1"/>
  <c r="Q670" i="13" s="1"/>
  <c r="Q671" i="13" s="1"/>
  <c r="Q672" i="13" s="1"/>
  <c r="Q673" i="13" s="1"/>
  <c r="Q674" i="13" s="1"/>
  <c r="Q675" i="13" s="1"/>
  <c r="Q676" i="13" s="1"/>
  <c r="Q677" i="13" s="1"/>
  <c r="Q678" i="13" s="1"/>
  <c r="Q679" i="13" s="1"/>
  <c r="Q680" i="13" s="1"/>
  <c r="Q681" i="13" s="1"/>
  <c r="Q682" i="13" s="1"/>
  <c r="Q683" i="13" s="1"/>
  <c r="Q684" i="13" s="1"/>
  <c r="Q685" i="13" s="1"/>
  <c r="Q686" i="13" s="1"/>
  <c r="Q687" i="13" s="1"/>
  <c r="Q688" i="13" s="1"/>
  <c r="Q689" i="13" s="1"/>
  <c r="Q690" i="13" s="1"/>
  <c r="Q691" i="13" s="1"/>
  <c r="Q692" i="13" s="1"/>
  <c r="Q693" i="13" s="1"/>
  <c r="Q694" i="13" s="1"/>
  <c r="Q695" i="13" s="1"/>
  <c r="Q696" i="13" s="1"/>
  <c r="Q697" i="13" s="1"/>
  <c r="Q698" i="13" s="1"/>
  <c r="Q699" i="13" s="1"/>
  <c r="Q700" i="13" s="1"/>
  <c r="Q701" i="13" s="1"/>
  <c r="Q702" i="13" s="1"/>
  <c r="Q703" i="13" s="1"/>
  <c r="Q704" i="13" s="1"/>
  <c r="Q705" i="13" s="1"/>
  <c r="Q706" i="13" s="1"/>
  <c r="Q707" i="13" s="1"/>
  <c r="Q708" i="13" s="1"/>
  <c r="Q709" i="13" s="1"/>
  <c r="Q710" i="13" s="1"/>
  <c r="Q711" i="13" s="1"/>
  <c r="Q712" i="13" s="1"/>
  <c r="Q713" i="13" s="1"/>
  <c r="Q714" i="13" s="1"/>
  <c r="Q715" i="13" s="1"/>
  <c r="Q716" i="13" s="1"/>
  <c r="Q717" i="13" s="1"/>
  <c r="Q718" i="13" s="1"/>
  <c r="Q719" i="13" s="1"/>
  <c r="Q720" i="13" s="1"/>
  <c r="Q721" i="13" s="1"/>
  <c r="Q722" i="13" s="1"/>
  <c r="Q723" i="13" s="1"/>
  <c r="Q724" i="13" s="1"/>
  <c r="Q725" i="13" s="1"/>
  <c r="Q726" i="13" s="1"/>
  <c r="Q727" i="13" s="1"/>
  <c r="Q728" i="13" s="1"/>
  <c r="Q729" i="13" s="1"/>
  <c r="Q730" i="13" s="1"/>
  <c r="Q731" i="13" s="1"/>
  <c r="Q732" i="13" s="1"/>
  <c r="Q733" i="13" s="1"/>
  <c r="Q734" i="13" s="1"/>
  <c r="Q735" i="13" s="1"/>
  <c r="Q736" i="13" s="1"/>
  <c r="Q737" i="13" s="1"/>
  <c r="Q738" i="13" s="1"/>
  <c r="Q739" i="13" s="1"/>
  <c r="Q740" i="13" s="1"/>
  <c r="Q741" i="13" s="1"/>
  <c r="Q742" i="13" s="1"/>
  <c r="Q743" i="13" s="1"/>
  <c r="Q744" i="13" s="1"/>
  <c r="Q745" i="13" s="1"/>
  <c r="Q746" i="13" s="1"/>
  <c r="Q747" i="13" s="1"/>
  <c r="Q748" i="13" s="1"/>
  <c r="Q749" i="13" s="1"/>
  <c r="Q750" i="13" s="1"/>
  <c r="Q751" i="13" s="1"/>
  <c r="Q752" i="13" s="1"/>
  <c r="Q753" i="13" s="1"/>
  <c r="Q754" i="13" s="1"/>
  <c r="Q755" i="13" s="1"/>
  <c r="Q756" i="13" s="1"/>
  <c r="Q757" i="13" s="1"/>
  <c r="Q758" i="13" s="1"/>
  <c r="Q759" i="13" s="1"/>
  <c r="Q760" i="13" s="1"/>
  <c r="Q761" i="13" s="1"/>
  <c r="Q762" i="13" s="1"/>
  <c r="Q763" i="13" s="1"/>
  <c r="Q764" i="13" s="1"/>
  <c r="Q765" i="13" s="1"/>
  <c r="Q766" i="13" s="1"/>
  <c r="Q767" i="13" s="1"/>
  <c r="Q768" i="13" s="1"/>
  <c r="Q769" i="13" s="1"/>
  <c r="Q770" i="13" s="1"/>
  <c r="Q771" i="13" s="1"/>
  <c r="Q772" i="13" s="1"/>
  <c r="Q773" i="13" s="1"/>
  <c r="Q774" i="13" s="1"/>
  <c r="Q775" i="13" s="1"/>
  <c r="Q776" i="13" s="1"/>
  <c r="Q777" i="13" s="1"/>
  <c r="Q778" i="13" s="1"/>
  <c r="Q779" i="13" s="1"/>
  <c r="Q780" i="13" s="1"/>
  <c r="Q781" i="13" s="1"/>
  <c r="Q782" i="13" s="1"/>
  <c r="Q783" i="13" s="1"/>
  <c r="Q784" i="13" s="1"/>
  <c r="Q785" i="13" s="1"/>
  <c r="Q786" i="13" s="1"/>
  <c r="Q787" i="13" s="1"/>
  <c r="Q788" i="13" s="1"/>
  <c r="Q789" i="13" s="1"/>
  <c r="Q790" i="13" s="1"/>
  <c r="Q791" i="13" s="1"/>
  <c r="Q792" i="13" s="1"/>
  <c r="Q793" i="13" s="1"/>
  <c r="Q794" i="13" s="1"/>
  <c r="Q795" i="13" s="1"/>
  <c r="Q796" i="13" s="1"/>
  <c r="Q797" i="13" s="1"/>
  <c r="Q798" i="13" s="1"/>
  <c r="Q799" i="13" s="1"/>
  <c r="Q800" i="13" s="1"/>
  <c r="Q801" i="13" s="1"/>
  <c r="Q802" i="13" s="1"/>
  <c r="Q803" i="13" s="1"/>
  <c r="Q804" i="13" s="1"/>
  <c r="Q805" i="13" s="1"/>
  <c r="Q806" i="13" s="1"/>
  <c r="Q807" i="13" s="1"/>
  <c r="Q808" i="13" s="1"/>
  <c r="Q809" i="13" s="1"/>
  <c r="Q810" i="13" s="1"/>
  <c r="Q811" i="13" s="1"/>
  <c r="Q812" i="13" s="1"/>
  <c r="Q813" i="13" s="1"/>
  <c r="Q814" i="13" s="1"/>
  <c r="Q815" i="13" s="1"/>
  <c r="Q816" i="13" s="1"/>
  <c r="Q817" i="13" s="1"/>
  <c r="Q818" i="13" s="1"/>
  <c r="Q819" i="13" s="1"/>
  <c r="Q820" i="13" s="1"/>
  <c r="Q821" i="13" s="1"/>
  <c r="Q822" i="13" s="1"/>
  <c r="Q823" i="13" s="1"/>
  <c r="Q824" i="13" s="1"/>
  <c r="Q825" i="13" s="1"/>
  <c r="Q826" i="13" s="1"/>
  <c r="Q827" i="13" s="1"/>
  <c r="Q828" i="13" s="1"/>
  <c r="Q829" i="13" s="1"/>
  <c r="Q830" i="13" s="1"/>
  <c r="Q831" i="13" s="1"/>
  <c r="Q832" i="13" s="1"/>
  <c r="Q833" i="13" s="1"/>
  <c r="Q834" i="13" s="1"/>
  <c r="Q835" i="13" s="1"/>
  <c r="Q836" i="13" s="1"/>
  <c r="Q837" i="13" s="1"/>
  <c r="Q838" i="13" s="1"/>
  <c r="Q839" i="13" s="1"/>
  <c r="Q840" i="13" s="1"/>
  <c r="Q841" i="13" s="1"/>
  <c r="Q842" i="13" s="1"/>
  <c r="Q843" i="13" s="1"/>
  <c r="Q844" i="13" s="1"/>
  <c r="Q845" i="13" s="1"/>
  <c r="Q846" i="13" s="1"/>
  <c r="Q847" i="13" s="1"/>
  <c r="Q848" i="13" s="1"/>
  <c r="Q849" i="13" s="1"/>
  <c r="Q850" i="13" s="1"/>
  <c r="Q851" i="13" s="1"/>
  <c r="Q852" i="13" s="1"/>
  <c r="Q853" i="13" s="1"/>
  <c r="Q854" i="13" s="1"/>
  <c r="Q855" i="13" s="1"/>
  <c r="Q856" i="13" s="1"/>
  <c r="Q857" i="13" s="1"/>
  <c r="Q858" i="13" s="1"/>
  <c r="Q859" i="13" s="1"/>
  <c r="Q860" i="13" s="1"/>
  <c r="Q861" i="13" s="1"/>
  <c r="Q862" i="13" s="1"/>
  <c r="Q863" i="13" s="1"/>
  <c r="Q864" i="13" s="1"/>
  <c r="Q865" i="13" s="1"/>
  <c r="Q866" i="13" s="1"/>
  <c r="Q867" i="13" s="1"/>
  <c r="Q868" i="13" s="1"/>
  <c r="Q869" i="13" s="1"/>
  <c r="Q870" i="13" s="1"/>
  <c r="Q871" i="13" s="1"/>
  <c r="Q872" i="13" s="1"/>
  <c r="Q873" i="13" s="1"/>
  <c r="Q874" i="13" s="1"/>
  <c r="Q875" i="13" s="1"/>
  <c r="Q876" i="13" s="1"/>
  <c r="Q877" i="13" s="1"/>
  <c r="Q878" i="13" s="1"/>
  <c r="Q879" i="13" s="1"/>
  <c r="Q880" i="13" s="1"/>
  <c r="Q881" i="13" s="1"/>
  <c r="Q882" i="13" s="1"/>
  <c r="Q883" i="13" s="1"/>
  <c r="Q884" i="13" s="1"/>
  <c r="Q885" i="13" s="1"/>
  <c r="Q886" i="13" s="1"/>
  <c r="Q887" i="13" s="1"/>
  <c r="Q888" i="13" s="1"/>
  <c r="Q889" i="13" s="1"/>
  <c r="Q890" i="13" s="1"/>
  <c r="Q891" i="13" s="1"/>
  <c r="Q892" i="13" s="1"/>
  <c r="Q893" i="13" s="1"/>
  <c r="Q894" i="13" s="1"/>
  <c r="Q895" i="13" s="1"/>
  <c r="Q896" i="13" s="1"/>
  <c r="Q897" i="13" s="1"/>
  <c r="Q898" i="13" s="1"/>
  <c r="Q899" i="13" s="1"/>
  <c r="Q900" i="13" s="1"/>
  <c r="Q901" i="13" s="1"/>
  <c r="Q902" i="13" s="1"/>
  <c r="Q903" i="13" s="1"/>
  <c r="Q904" i="13" s="1"/>
  <c r="Q905" i="13" s="1"/>
  <c r="Q906" i="13" s="1"/>
  <c r="Q907" i="13" s="1"/>
  <c r="Q908" i="13" s="1"/>
  <c r="Q909" i="13" s="1"/>
  <c r="Q910" i="13" s="1"/>
  <c r="Q911" i="13" s="1"/>
  <c r="Q912" i="13" s="1"/>
  <c r="Q913" i="13" s="1"/>
  <c r="Q914" i="13" s="1"/>
  <c r="Q915" i="13" s="1"/>
  <c r="Q916" i="13" s="1"/>
  <c r="Q917" i="13" s="1"/>
  <c r="Q918" i="13" s="1"/>
  <c r="Q919" i="13" s="1"/>
  <c r="Q920" i="13" s="1"/>
  <c r="Q921" i="13" s="1"/>
  <c r="Q922" i="13" s="1"/>
  <c r="Q923" i="13" s="1"/>
  <c r="Q924" i="13" s="1"/>
  <c r="Q925" i="13" s="1"/>
  <c r="Q926" i="13" s="1"/>
  <c r="Q927" i="13" s="1"/>
  <c r="Q928" i="13" s="1"/>
  <c r="Q929" i="13" s="1"/>
  <c r="Q930" i="13" s="1"/>
  <c r="Q931" i="13" s="1"/>
  <c r="Q932" i="13" s="1"/>
  <c r="Q933" i="13" s="1"/>
  <c r="Q934" i="13" s="1"/>
  <c r="Q935" i="13" s="1"/>
  <c r="Q936" i="13" s="1"/>
  <c r="Q937" i="13" s="1"/>
  <c r="Q938" i="13" s="1"/>
  <c r="Q939" i="13" s="1"/>
  <c r="Q940" i="13" s="1"/>
  <c r="Q941" i="13" s="1"/>
  <c r="Q942" i="13" s="1"/>
  <c r="Q943" i="13" s="1"/>
  <c r="Q944" i="13" s="1"/>
  <c r="Q945" i="13" s="1"/>
  <c r="Q946" i="13" s="1"/>
  <c r="Q947" i="13" s="1"/>
  <c r="Q948" i="13" s="1"/>
  <c r="Q949" i="13" s="1"/>
  <c r="Q950" i="13" s="1"/>
  <c r="Q951" i="13" s="1"/>
  <c r="Q952" i="13" s="1"/>
  <c r="Q953" i="13" s="1"/>
  <c r="Q954" i="13" s="1"/>
  <c r="Q955" i="13" s="1"/>
  <c r="Q956" i="13" s="1"/>
  <c r="Q957" i="13" s="1"/>
  <c r="Q958" i="13" s="1"/>
  <c r="Q959" i="13" s="1"/>
  <c r="Q960" i="13" s="1"/>
  <c r="Q961" i="13" s="1"/>
  <c r="Q962" i="13" s="1"/>
  <c r="Q963" i="13" s="1"/>
  <c r="Q964" i="13" s="1"/>
  <c r="Q965" i="13" s="1"/>
  <c r="Q966" i="13" s="1"/>
  <c r="Q967" i="13" s="1"/>
  <c r="Q968" i="13" s="1"/>
  <c r="Q969" i="13" s="1"/>
  <c r="Q970" i="13" s="1"/>
  <c r="Q971" i="13" s="1"/>
  <c r="Q972" i="13" s="1"/>
  <c r="Q973" i="13" s="1"/>
  <c r="Q974" i="13" s="1"/>
  <c r="Q975" i="13" s="1"/>
  <c r="Q976" i="13" s="1"/>
  <c r="Q977" i="13" s="1"/>
  <c r="Q978" i="13" s="1"/>
  <c r="Q979" i="13" s="1"/>
  <c r="Q980" i="13" s="1"/>
  <c r="Q981" i="13" s="1"/>
  <c r="Q982" i="13" s="1"/>
  <c r="Q983" i="13" s="1"/>
  <c r="Q984" i="13" s="1"/>
  <c r="Q985" i="13" s="1"/>
  <c r="Q986" i="13" s="1"/>
  <c r="Q987" i="13" s="1"/>
  <c r="Q988" i="13" s="1"/>
  <c r="Q989" i="13" s="1"/>
  <c r="Q990" i="13" s="1"/>
  <c r="Q991" i="13" s="1"/>
  <c r="Q992" i="13" s="1"/>
  <c r="Q993" i="13" s="1"/>
  <c r="Q994" i="13" s="1"/>
  <c r="Q995" i="13" s="1"/>
  <c r="Q996" i="13" s="1"/>
  <c r="Q997" i="13" s="1"/>
  <c r="Q998" i="13" s="1"/>
  <c r="Q999" i="13" s="1"/>
  <c r="Q1000" i="13" s="1"/>
  <c r="Q1001" i="13" s="1"/>
  <c r="Q1002" i="13" s="1"/>
  <c r="Q1003" i="13" s="1"/>
  <c r="Q1004" i="13" s="1"/>
  <c r="Q1005" i="13" s="1"/>
  <c r="Q1006" i="13" s="1"/>
  <c r="Q1007" i="13" s="1"/>
  <c r="Q1008" i="13" s="1"/>
  <c r="Q1009" i="13" s="1"/>
  <c r="Q1010" i="13" s="1"/>
  <c r="Q1011" i="13" s="1"/>
  <c r="Q1012" i="13" s="1"/>
  <c r="Q1013" i="13" s="1"/>
  <c r="Q1014" i="13" s="1"/>
  <c r="Q1015" i="13" s="1"/>
  <c r="Q1016" i="13" s="1"/>
  <c r="Q1017" i="13" s="1"/>
  <c r="Q1018" i="13" s="1"/>
  <c r="Q1019" i="13" s="1"/>
  <c r="Q1020" i="13" s="1"/>
  <c r="Q1021" i="13" s="1"/>
  <c r="Q1022" i="13" s="1"/>
  <c r="Q1023" i="13" s="1"/>
  <c r="Q1024" i="13" s="1"/>
  <c r="Q1025" i="13" s="1"/>
  <c r="Q1026" i="13" s="1"/>
  <c r="Q1027" i="13" s="1"/>
  <c r="Q1028" i="13" s="1"/>
  <c r="Q1029" i="13" s="1"/>
  <c r="Q1030" i="13" s="1"/>
  <c r="Q1031" i="13" s="1"/>
  <c r="Q1032" i="13" s="1"/>
  <c r="Q1033" i="13" s="1"/>
  <c r="Q1034" i="13" s="1"/>
  <c r="Q1035" i="13" s="1"/>
  <c r="Q1036" i="13" s="1"/>
  <c r="Q1037" i="13" s="1"/>
  <c r="Q1038" i="13" s="1"/>
  <c r="Q1039" i="13" s="1"/>
  <c r="Q1040" i="13" s="1"/>
  <c r="Q1041" i="13" s="1"/>
  <c r="Q1042" i="13" s="1"/>
  <c r="Q1043" i="13" s="1"/>
  <c r="Q1044" i="13" s="1"/>
  <c r="Q1045" i="13" s="1"/>
  <c r="Q1046" i="13" s="1"/>
  <c r="Q1047" i="13" s="1"/>
  <c r="Q1048" i="13" s="1"/>
  <c r="Q1049" i="13" s="1"/>
  <c r="Q1050" i="13" s="1"/>
  <c r="Q1051" i="13" s="1"/>
  <c r="Q1052" i="13" s="1"/>
  <c r="Q1053" i="13" s="1"/>
  <c r="Q1054" i="13" s="1"/>
  <c r="Q1055" i="13" s="1"/>
  <c r="Q1056" i="13" s="1"/>
  <c r="Q1057" i="13" s="1"/>
  <c r="Q1058" i="13" s="1"/>
  <c r="Q1059" i="13" s="1"/>
  <c r="Q1060" i="13" s="1"/>
  <c r="Q1061" i="13" s="1"/>
  <c r="Q1062" i="13" s="1"/>
  <c r="Q1063" i="13" s="1"/>
  <c r="Q1064" i="13" s="1"/>
  <c r="Q1065" i="13" s="1"/>
  <c r="Q1066" i="13" s="1"/>
  <c r="B20" i="5"/>
  <c r="C19" i="5" s="1"/>
  <c r="D19" i="5" s="1"/>
  <c r="H19" i="5"/>
  <c r="E12" i="27"/>
  <c r="D14" i="22" l="1"/>
  <c r="D88" i="22" s="1"/>
  <c r="B88" i="22" s="1"/>
  <c r="H417" i="45"/>
  <c r="D87" i="22"/>
  <c r="D85" i="22" s="1"/>
  <c r="B85" i="22" s="1"/>
  <c r="B17" i="1"/>
  <c r="AE8" i="13"/>
  <c r="AE7" i="13" s="1"/>
  <c r="AF7" i="13" s="1"/>
  <c r="I18" i="5"/>
  <c r="J18" i="5" s="1"/>
  <c r="I17" i="5"/>
  <c r="J17" i="5" s="1"/>
  <c r="B52" i="1"/>
  <c r="K18" i="5"/>
  <c r="K17" i="5"/>
  <c r="B50" i="1"/>
  <c r="E9" i="13"/>
  <c r="R8" i="13"/>
  <c r="R7" i="13" s="1"/>
  <c r="S7" i="13" s="1"/>
  <c r="I7" i="1"/>
  <c r="B29" i="1"/>
  <c r="B33" i="1"/>
  <c r="T4" i="1"/>
  <c r="E103" i="29"/>
  <c r="E105" i="29" s="1"/>
  <c r="U4" i="1"/>
  <c r="S4" i="1"/>
  <c r="O5" i="1"/>
  <c r="T5" i="1" s="1"/>
  <c r="AC19" i="36"/>
  <c r="AD20" i="36"/>
  <c r="S8" i="28"/>
  <c r="E9" i="28"/>
  <c r="E9" i="7"/>
  <c r="AF8" i="7"/>
  <c r="B21" i="5"/>
  <c r="C20" i="5" s="1"/>
  <c r="D20" i="5" s="1"/>
  <c r="G20" i="5" s="1"/>
  <c r="K20" i="5" s="1"/>
  <c r="G19" i="5"/>
  <c r="K19" i="5" s="1"/>
  <c r="F19" i="5"/>
  <c r="H20" i="5"/>
  <c r="E19" i="5"/>
  <c r="Q8" i="1"/>
  <c r="E13" i="27"/>
  <c r="S5" i="1" l="1"/>
  <c r="C22" i="1"/>
  <c r="C23" i="1" s="1"/>
  <c r="M8" i="1" s="1"/>
  <c r="D86" i="22"/>
  <c r="B86" i="22" s="1"/>
  <c r="D84" i="22"/>
  <c r="B84" i="22" s="1"/>
  <c r="B87" i="22"/>
  <c r="E81" i="22"/>
  <c r="B61" i="1"/>
  <c r="B49" i="1"/>
  <c r="AF8" i="13"/>
  <c r="AG8" i="13"/>
  <c r="AH8" i="13" s="1"/>
  <c r="AG7" i="13"/>
  <c r="AG5" i="13" s="1"/>
  <c r="K9" i="13"/>
  <c r="T7" i="13"/>
  <c r="T5" i="13" s="1"/>
  <c r="S8" i="13"/>
  <c r="T8" i="13"/>
  <c r="U8" i="13" s="1"/>
  <c r="R9" i="13"/>
  <c r="T9" i="13" s="1"/>
  <c r="U9" i="13" s="1"/>
  <c r="AE9" i="13"/>
  <c r="AB8" i="13" s="1"/>
  <c r="E10" i="13"/>
  <c r="V4" i="1"/>
  <c r="W4" i="1" s="1"/>
  <c r="AD4" i="1" s="1"/>
  <c r="U5" i="1"/>
  <c r="O6" i="1"/>
  <c r="X6" i="1" s="1"/>
  <c r="X5" i="1"/>
  <c r="AC20" i="36"/>
  <c r="AD21" i="36" s="1"/>
  <c r="E10" i="28"/>
  <c r="E11" i="28" s="1"/>
  <c r="S9" i="28"/>
  <c r="E10" i="7"/>
  <c r="AF9" i="7"/>
  <c r="E20" i="5"/>
  <c r="F20" i="5"/>
  <c r="I19" i="5"/>
  <c r="J19" i="5" s="1"/>
  <c r="H21" i="5"/>
  <c r="B22" i="5"/>
  <c r="Q9" i="1"/>
  <c r="Q10" i="1" s="1"/>
  <c r="E14" i="27"/>
  <c r="M14" i="1" l="1"/>
  <c r="M12" i="1"/>
  <c r="M7" i="1"/>
  <c r="M15" i="1"/>
  <c r="M17" i="1"/>
  <c r="M5" i="1"/>
  <c r="M18" i="1"/>
  <c r="M19" i="1"/>
  <c r="M6" i="1"/>
  <c r="M13" i="1"/>
  <c r="M11" i="1"/>
  <c r="M4" i="1"/>
  <c r="M16" i="1"/>
  <c r="D89" i="22"/>
  <c r="B89" i="22" s="1"/>
  <c r="M50" i="1"/>
  <c r="M176" i="1"/>
  <c r="M35" i="1"/>
  <c r="M33" i="1"/>
  <c r="M21" i="1"/>
  <c r="M27" i="1"/>
  <c r="M61" i="1"/>
  <c r="M22" i="1"/>
  <c r="M53" i="1"/>
  <c r="M62" i="1"/>
  <c r="M64" i="1"/>
  <c r="M207" i="1"/>
  <c r="M51" i="1"/>
  <c r="M268" i="1"/>
  <c r="M68" i="1"/>
  <c r="M42" i="1"/>
  <c r="M264" i="1"/>
  <c r="M67" i="1"/>
  <c r="M98" i="1"/>
  <c r="M77" i="1"/>
  <c r="M246" i="1"/>
  <c r="M46" i="1"/>
  <c r="M28" i="1"/>
  <c r="M85" i="1"/>
  <c r="M48" i="1"/>
  <c r="M29" i="1"/>
  <c r="M24" i="1"/>
  <c r="M251" i="1"/>
  <c r="M245" i="1"/>
  <c r="M260" i="1"/>
  <c r="M93" i="1"/>
  <c r="M78" i="1"/>
  <c r="M170" i="1"/>
  <c r="M182" i="1"/>
  <c r="M158" i="1"/>
  <c r="M141" i="1"/>
  <c r="M134" i="1"/>
  <c r="M236" i="1"/>
  <c r="M87" i="1"/>
  <c r="M115" i="1"/>
  <c r="M261" i="1"/>
  <c r="M265" i="1"/>
  <c r="M248" i="1"/>
  <c r="M162" i="1"/>
  <c r="M219" i="1"/>
  <c r="M95" i="1"/>
  <c r="M167" i="1"/>
  <c r="M213" i="1"/>
  <c r="M153" i="1"/>
  <c r="M121" i="1"/>
  <c r="M225" i="1"/>
  <c r="M263" i="1"/>
  <c r="M247" i="1"/>
  <c r="M259" i="1"/>
  <c r="M149" i="1"/>
  <c r="M240" i="1"/>
  <c r="M82" i="1"/>
  <c r="M118" i="1"/>
  <c r="M145" i="1"/>
  <c r="M233" i="1"/>
  <c r="M224" i="1"/>
  <c r="M203" i="1"/>
  <c r="M36" i="1"/>
  <c r="M55" i="1"/>
  <c r="M26" i="1"/>
  <c r="M124" i="1"/>
  <c r="M65" i="1"/>
  <c r="M63" i="1"/>
  <c r="M106" i="1"/>
  <c r="M234" i="1"/>
  <c r="M201" i="1"/>
  <c r="M235" i="1"/>
  <c r="M164" i="1"/>
  <c r="M75" i="1"/>
  <c r="M30" i="1"/>
  <c r="M161" i="1"/>
  <c r="M32" i="1"/>
  <c r="M183" i="1"/>
  <c r="M84" i="1"/>
  <c r="M44" i="1"/>
  <c r="M258" i="1"/>
  <c r="M253" i="1"/>
  <c r="M266" i="1"/>
  <c r="M262" i="1"/>
  <c r="M250" i="1"/>
  <c r="M146" i="1"/>
  <c r="M123" i="1"/>
  <c r="M185" i="1"/>
  <c r="M25" i="1"/>
  <c r="M37" i="1"/>
  <c r="M40" i="1"/>
  <c r="M181" i="1"/>
  <c r="M254" i="1"/>
  <c r="M255" i="1"/>
  <c r="M257" i="1"/>
  <c r="M249" i="1"/>
  <c r="M256" i="1"/>
  <c r="M267" i="1"/>
  <c r="M228" i="1"/>
  <c r="M120" i="1"/>
  <c r="M90" i="1"/>
  <c r="M52" i="1"/>
  <c r="M156" i="1"/>
  <c r="M128" i="1"/>
  <c r="M57" i="1"/>
  <c r="M45" i="1"/>
  <c r="M60" i="1"/>
  <c r="M138" i="1"/>
  <c r="M43" i="1"/>
  <c r="M241" i="1"/>
  <c r="M56" i="1"/>
  <c r="M103" i="1"/>
  <c r="M54" i="1"/>
  <c r="M137" i="1"/>
  <c r="M227" i="1"/>
  <c r="M242" i="1"/>
  <c r="M143" i="1"/>
  <c r="M193" i="1"/>
  <c r="M99" i="1"/>
  <c r="M58" i="1"/>
  <c r="M132" i="1"/>
  <c r="M88" i="1"/>
  <c r="M96" i="1"/>
  <c r="M66" i="1"/>
  <c r="M174" i="1"/>
  <c r="M180" i="1"/>
  <c r="M116" i="1"/>
  <c r="M112" i="1"/>
  <c r="M197" i="1"/>
  <c r="M104" i="1"/>
  <c r="M72" i="1"/>
  <c r="M76" i="1"/>
  <c r="M173" i="1"/>
  <c r="M147" i="1"/>
  <c r="M163" i="1"/>
  <c r="M119" i="1"/>
  <c r="M86" i="1"/>
  <c r="M101" i="1"/>
  <c r="M239" i="1"/>
  <c r="M223" i="1"/>
  <c r="M196" i="1"/>
  <c r="M195" i="1"/>
  <c r="M91" i="1"/>
  <c r="M232" i="1"/>
  <c r="M229" i="1"/>
  <c r="M133" i="1"/>
  <c r="M175" i="1"/>
  <c r="M177" i="1"/>
  <c r="M83" i="1"/>
  <c r="M117" i="1"/>
  <c r="M204" i="1"/>
  <c r="M243" i="1"/>
  <c r="M212" i="1"/>
  <c r="M179" i="1"/>
  <c r="M231" i="1"/>
  <c r="M142" i="1"/>
  <c r="M109" i="1"/>
  <c r="M166" i="1"/>
  <c r="M126" i="1"/>
  <c r="M152" i="1"/>
  <c r="M184" i="1"/>
  <c r="M226" i="1"/>
  <c r="M208" i="1"/>
  <c r="M122" i="1"/>
  <c r="M131" i="1"/>
  <c r="M150" i="1"/>
  <c r="M160" i="1"/>
  <c r="M211" i="1"/>
  <c r="M79" i="1"/>
  <c r="M221" i="1"/>
  <c r="M237" i="1"/>
  <c r="M222" i="1"/>
  <c r="M192" i="1"/>
  <c r="M140" i="1"/>
  <c r="M209" i="1"/>
  <c r="M189" i="1"/>
  <c r="M157" i="1"/>
  <c r="M130" i="1"/>
  <c r="M100" i="1"/>
  <c r="M89" i="1"/>
  <c r="M238" i="1"/>
  <c r="M70" i="1"/>
  <c r="M94" i="1"/>
  <c r="M168" i="1"/>
  <c r="M230" i="1"/>
  <c r="M31" i="1"/>
  <c r="M49" i="1"/>
  <c r="M171" i="1"/>
  <c r="M200" i="1"/>
  <c r="M139" i="1"/>
  <c r="M202" i="1"/>
  <c r="M198" i="1"/>
  <c r="M191" i="1"/>
  <c r="M199" i="1"/>
  <c r="M23" i="1"/>
  <c r="M38" i="1"/>
  <c r="M186" i="1"/>
  <c r="M154" i="1"/>
  <c r="M39" i="1"/>
  <c r="M107" i="1"/>
  <c r="M172" i="1"/>
  <c r="M80" i="1"/>
  <c r="M155" i="1"/>
  <c r="M205" i="1"/>
  <c r="M220" i="1"/>
  <c r="M206" i="1"/>
  <c r="M144" i="1"/>
  <c r="M151" i="1"/>
  <c r="M169" i="1"/>
  <c r="M159" i="1"/>
  <c r="M252" i="1"/>
  <c r="M10" i="1"/>
  <c r="M92" i="1"/>
  <c r="M41" i="1"/>
  <c r="M74" i="1"/>
  <c r="M244" i="1"/>
  <c r="M190" i="1"/>
  <c r="M113" i="1"/>
  <c r="M69" i="1"/>
  <c r="M81" i="1"/>
  <c r="M102" i="1"/>
  <c r="M73" i="1"/>
  <c r="M216" i="1"/>
  <c r="M194" i="1"/>
  <c r="M187" i="1"/>
  <c r="M188" i="1"/>
  <c r="M178" i="1"/>
  <c r="M20" i="1"/>
  <c r="M59" i="1"/>
  <c r="M165" i="1"/>
  <c r="M111" i="1"/>
  <c r="M148" i="1"/>
  <c r="M129" i="1"/>
  <c r="M135" i="1"/>
  <c r="M9" i="1"/>
  <c r="M217" i="1"/>
  <c r="M214" i="1"/>
  <c r="M71" i="1"/>
  <c r="M108" i="1"/>
  <c r="M136" i="1"/>
  <c r="M34" i="1"/>
  <c r="M210" i="1"/>
  <c r="M97" i="1"/>
  <c r="M215" i="1"/>
  <c r="M105" i="1"/>
  <c r="M110" i="1"/>
  <c r="M218" i="1"/>
  <c r="M114" i="1"/>
  <c r="M125" i="1"/>
  <c r="M127" i="1"/>
  <c r="AH7" i="13"/>
  <c r="AH5" i="13" s="1"/>
  <c r="K10" i="13"/>
  <c r="R10" i="13"/>
  <c r="T10" i="13" s="1"/>
  <c r="U10" i="13" s="1"/>
  <c r="AE10" i="13"/>
  <c r="AG10" i="13" s="1"/>
  <c r="AH10" i="13" s="1"/>
  <c r="E11" i="13"/>
  <c r="R11" i="13" s="1"/>
  <c r="T11" i="13" s="1"/>
  <c r="U11" i="13" s="1"/>
  <c r="U7" i="13"/>
  <c r="U5" i="13" s="1"/>
  <c r="S9" i="13"/>
  <c r="AG9" i="13"/>
  <c r="AH9" i="13" s="1"/>
  <c r="AF9" i="13"/>
  <c r="S6" i="1"/>
  <c r="T6" i="1"/>
  <c r="O7" i="1"/>
  <c r="T7" i="1" s="1"/>
  <c r="U6" i="1"/>
  <c r="V5" i="1"/>
  <c r="W5" i="1" s="1"/>
  <c r="AD5" i="1" s="1"/>
  <c r="AC21" i="36"/>
  <c r="AD22" i="36"/>
  <c r="S10" i="28"/>
  <c r="AF10" i="7"/>
  <c r="E11" i="7"/>
  <c r="I20" i="5"/>
  <c r="J20" i="5" s="1"/>
  <c r="H22" i="5"/>
  <c r="C21" i="5"/>
  <c r="D21" i="5" s="1"/>
  <c r="B23" i="5"/>
  <c r="E12" i="28"/>
  <c r="S11" i="28"/>
  <c r="E15" i="27"/>
  <c r="Q11" i="1"/>
  <c r="B26" i="1" l="1"/>
  <c r="I6" i="1" s="1"/>
  <c r="G22" i="22" s="1"/>
  <c r="H418" i="45" s="1"/>
  <c r="M2" i="1"/>
  <c r="E12" i="13"/>
  <c r="R12" i="13" s="1"/>
  <c r="T12" i="13" s="1"/>
  <c r="U12" i="13" s="1"/>
  <c r="K11" i="13"/>
  <c r="AE11" i="13"/>
  <c r="AF11" i="13" s="1"/>
  <c r="S10" i="13"/>
  <c r="AF10" i="13"/>
  <c r="X7" i="1"/>
  <c r="O8" i="1"/>
  <c r="S8" i="1" s="1"/>
  <c r="S7" i="1"/>
  <c r="U7" i="1"/>
  <c r="V6" i="1"/>
  <c r="W6" i="1" s="1"/>
  <c r="AD6" i="1" s="1"/>
  <c r="AC22" i="36"/>
  <c r="AD23" i="36"/>
  <c r="AF11" i="7"/>
  <c r="E12" i="7"/>
  <c r="C22" i="5"/>
  <c r="D22" i="5" s="1"/>
  <c r="B24" i="5"/>
  <c r="H23" i="5"/>
  <c r="F21" i="5"/>
  <c r="G21" i="5"/>
  <c r="K21" i="5" s="1"/>
  <c r="E21" i="5"/>
  <c r="S12" i="28"/>
  <c r="E13" i="28"/>
  <c r="S11" i="13"/>
  <c r="E16" i="27"/>
  <c r="Q12" i="1"/>
  <c r="C26" i="1" l="1"/>
  <c r="B48" i="1"/>
  <c r="AE12" i="13"/>
  <c r="AG12" i="13" s="1"/>
  <c r="AH12" i="13" s="1"/>
  <c r="E13" i="13"/>
  <c r="K13" i="13" s="1"/>
  <c r="AG11" i="13"/>
  <c r="AH11" i="13" s="1"/>
  <c r="K12" i="13"/>
  <c r="O9" i="1"/>
  <c r="X9" i="1" s="1"/>
  <c r="X8" i="1"/>
  <c r="V7" i="1"/>
  <c r="W7" i="1" s="1"/>
  <c r="AD7" i="1" s="1"/>
  <c r="U8" i="1"/>
  <c r="T8" i="1"/>
  <c r="AC23" i="36"/>
  <c r="AD24" i="36" s="1"/>
  <c r="AC24" i="36" s="1"/>
  <c r="AD25" i="36" s="1"/>
  <c r="AC25" i="36" s="1"/>
  <c r="AD26" i="36" s="1"/>
  <c r="AC26" i="36" s="1"/>
  <c r="AD27" i="36" s="1"/>
  <c r="AC27" i="36" s="1"/>
  <c r="AD28" i="36" s="1"/>
  <c r="AC28" i="36" s="1"/>
  <c r="AD29" i="36" s="1"/>
  <c r="AC29" i="36" s="1"/>
  <c r="AD30" i="36" s="1"/>
  <c r="AC30" i="36" s="1"/>
  <c r="AD31" i="36" s="1"/>
  <c r="AC31" i="36" s="1"/>
  <c r="AD32" i="36" s="1"/>
  <c r="AC32" i="36" s="1"/>
  <c r="AD33" i="36" s="1"/>
  <c r="AC33" i="36" s="1"/>
  <c r="AD34" i="36" s="1"/>
  <c r="AC34" i="36" s="1"/>
  <c r="AD35" i="36" s="1"/>
  <c r="AC35" i="36" s="1"/>
  <c r="AD36" i="36" s="1"/>
  <c r="AC36" i="36" s="1"/>
  <c r="AD37" i="36" s="1"/>
  <c r="AC37" i="36" s="1"/>
  <c r="AD38" i="36" s="1"/>
  <c r="AC38" i="36" s="1"/>
  <c r="AD39" i="36" s="1"/>
  <c r="AC39" i="36" s="1"/>
  <c r="AD40" i="36" s="1"/>
  <c r="AC40" i="36" s="1"/>
  <c r="AD41" i="36" s="1"/>
  <c r="AC41" i="36" s="1"/>
  <c r="AD42" i="36" s="1"/>
  <c r="AC42" i="36" s="1"/>
  <c r="AD43" i="36" s="1"/>
  <c r="AC43" i="36" s="1"/>
  <c r="AD44" i="36" s="1"/>
  <c r="AC44" i="36" s="1"/>
  <c r="AD45" i="36" s="1"/>
  <c r="AC45" i="36" s="1"/>
  <c r="AD46" i="36" s="1"/>
  <c r="AC46" i="36" s="1"/>
  <c r="AD47" i="36" s="1"/>
  <c r="AC47" i="36" s="1"/>
  <c r="AD48" i="36" s="1"/>
  <c r="AC48" i="36" s="1"/>
  <c r="AD49" i="36" s="1"/>
  <c r="AC49" i="36" s="1"/>
  <c r="AD50" i="36" s="1"/>
  <c r="AC50" i="36" s="1"/>
  <c r="AD51" i="36" s="1"/>
  <c r="AC51" i="36" s="1"/>
  <c r="AD52" i="36" s="1"/>
  <c r="AC52" i="36" s="1"/>
  <c r="AD53" i="36" s="1"/>
  <c r="AC53" i="36" s="1"/>
  <c r="AD54" i="36" s="1"/>
  <c r="AC54" i="36" s="1"/>
  <c r="AD55" i="36" s="1"/>
  <c r="AC55" i="36" s="1"/>
  <c r="AD56" i="36" s="1"/>
  <c r="AC56" i="36" s="1"/>
  <c r="AD57" i="36" s="1"/>
  <c r="AC57" i="36" s="1"/>
  <c r="AD58" i="36" s="1"/>
  <c r="AC58" i="36" s="1"/>
  <c r="AD59" i="36" s="1"/>
  <c r="AC59" i="36" s="1"/>
  <c r="AD60" i="36" s="1"/>
  <c r="AC60" i="36" s="1"/>
  <c r="AD61" i="36" s="1"/>
  <c r="AC61" i="36" s="1"/>
  <c r="AD62" i="36" s="1"/>
  <c r="AC62" i="36" s="1"/>
  <c r="AD63" i="36" s="1"/>
  <c r="AC63" i="36" s="1"/>
  <c r="AD64" i="36" s="1"/>
  <c r="AC64" i="36" s="1"/>
  <c r="AD65" i="36" s="1"/>
  <c r="AC65" i="36" s="1"/>
  <c r="AD66" i="36" s="1"/>
  <c r="AC66" i="36" s="1"/>
  <c r="AD67" i="36" s="1"/>
  <c r="AC67" i="36" s="1"/>
  <c r="AD68" i="36" s="1"/>
  <c r="AC68" i="36" s="1"/>
  <c r="AD69" i="36" s="1"/>
  <c r="AC69" i="36" s="1"/>
  <c r="AD70" i="36" s="1"/>
  <c r="AC70" i="36" s="1"/>
  <c r="AD71" i="36" s="1"/>
  <c r="AC71" i="36" s="1"/>
  <c r="AD72" i="36" s="1"/>
  <c r="AC72" i="36" s="1"/>
  <c r="AD73" i="36" s="1"/>
  <c r="AC73" i="36" s="1"/>
  <c r="AD74" i="36" s="1"/>
  <c r="AC74" i="36" s="1"/>
  <c r="AD75" i="36" s="1"/>
  <c r="AC75" i="36" s="1"/>
  <c r="AD76" i="36" s="1"/>
  <c r="AC76" i="36" s="1"/>
  <c r="AD77" i="36" s="1"/>
  <c r="AC77" i="36" s="1"/>
  <c r="AD78" i="36" s="1"/>
  <c r="AC78" i="36" s="1"/>
  <c r="AD79" i="36" s="1"/>
  <c r="AC79" i="36" s="1"/>
  <c r="AD80" i="36" s="1"/>
  <c r="AC80" i="36" s="1"/>
  <c r="AD81" i="36" s="1"/>
  <c r="AC81" i="36" s="1"/>
  <c r="AD82" i="36" s="1"/>
  <c r="AC82" i="36" s="1"/>
  <c r="AD83" i="36" s="1"/>
  <c r="AC83" i="36" s="1"/>
  <c r="AD84" i="36" s="1"/>
  <c r="AC84" i="36" s="1"/>
  <c r="AD85" i="36" s="1"/>
  <c r="AC85" i="36" s="1"/>
  <c r="AD86" i="36" s="1"/>
  <c r="AC86" i="36" s="1"/>
  <c r="AD87" i="36" s="1"/>
  <c r="AC87" i="36" s="1"/>
  <c r="AD88" i="36" s="1"/>
  <c r="AC88" i="36" s="1"/>
  <c r="AD89" i="36" s="1"/>
  <c r="AC89" i="36" s="1"/>
  <c r="AD90" i="36" s="1"/>
  <c r="AC90" i="36" s="1"/>
  <c r="AD91" i="36" s="1"/>
  <c r="AC91" i="36" s="1"/>
  <c r="AD92" i="36" s="1"/>
  <c r="AC92" i="36" s="1"/>
  <c r="AD93" i="36" s="1"/>
  <c r="AC93" i="36" s="1"/>
  <c r="AD94" i="36" s="1"/>
  <c r="AC94" i="36" s="1"/>
  <c r="AD95" i="36" s="1"/>
  <c r="AC95" i="36" s="1"/>
  <c r="AD96" i="36" s="1"/>
  <c r="AC96" i="36" s="1"/>
  <c r="AD97" i="36" s="1"/>
  <c r="AC97" i="36" s="1"/>
  <c r="AD98" i="36" s="1"/>
  <c r="AC98" i="36" s="1"/>
  <c r="AD99" i="36" s="1"/>
  <c r="AC99" i="36" s="1"/>
  <c r="AD100" i="36" s="1"/>
  <c r="AC100" i="36" s="1"/>
  <c r="AD101" i="36" s="1"/>
  <c r="AC101" i="36" s="1"/>
  <c r="AD102" i="36" s="1"/>
  <c r="AC102" i="36" s="1"/>
  <c r="AD103" i="36" s="1"/>
  <c r="AC103" i="36" s="1"/>
  <c r="AD104" i="36" s="1"/>
  <c r="AC104" i="36" s="1"/>
  <c r="AD105" i="36" s="1"/>
  <c r="AC105" i="36" s="1"/>
  <c r="AD106" i="36" s="1"/>
  <c r="AC106" i="36" s="1"/>
  <c r="AD107" i="36" s="1"/>
  <c r="AC107" i="36" s="1"/>
  <c r="AD108" i="36" s="1"/>
  <c r="AC108" i="36" s="1"/>
  <c r="AD109" i="36" s="1"/>
  <c r="AC109" i="36" s="1"/>
  <c r="AD110" i="36" s="1"/>
  <c r="AC110" i="36" s="1"/>
  <c r="AD111" i="36" s="1"/>
  <c r="AC111" i="36" s="1"/>
  <c r="AD112" i="36" s="1"/>
  <c r="AC112" i="36" s="1"/>
  <c r="AD113" i="36" s="1"/>
  <c r="AC113" i="36" s="1"/>
  <c r="AD114" i="36" s="1"/>
  <c r="AC114" i="36" s="1"/>
  <c r="AD115" i="36" s="1"/>
  <c r="AC115" i="36" s="1"/>
  <c r="AD116" i="36" s="1"/>
  <c r="AC116" i="36" s="1"/>
  <c r="AD117" i="36" s="1"/>
  <c r="AC117" i="36" s="1"/>
  <c r="AD118" i="36" s="1"/>
  <c r="AC118" i="36" s="1"/>
  <c r="AD119" i="36" s="1"/>
  <c r="AC119" i="36" s="1"/>
  <c r="AD120" i="36" s="1"/>
  <c r="AC120" i="36" s="1"/>
  <c r="AD121" i="36" s="1"/>
  <c r="AC121" i="36" s="1"/>
  <c r="AD122" i="36" s="1"/>
  <c r="AC122" i="36" s="1"/>
  <c r="AD123" i="36" s="1"/>
  <c r="AC123" i="36" s="1"/>
  <c r="AD124" i="36" s="1"/>
  <c r="AC124" i="36" s="1"/>
  <c r="AD125" i="36" s="1"/>
  <c r="AC125" i="36" s="1"/>
  <c r="AD126" i="36" s="1"/>
  <c r="AC126" i="36" s="1"/>
  <c r="AD127" i="36" s="1"/>
  <c r="AC127" i="36" s="1"/>
  <c r="AD128" i="36" s="1"/>
  <c r="AC128" i="36" s="1"/>
  <c r="AD129" i="36" s="1"/>
  <c r="AC129" i="36" s="1"/>
  <c r="AD130" i="36" s="1"/>
  <c r="AC130" i="36" s="1"/>
  <c r="AD131" i="36" s="1"/>
  <c r="AC131" i="36" s="1"/>
  <c r="AD132" i="36" s="1"/>
  <c r="AC132" i="36" s="1"/>
  <c r="AD133" i="36" s="1"/>
  <c r="AC133" i="36" s="1"/>
  <c r="AD134" i="36" s="1"/>
  <c r="AC134" i="36" s="1"/>
  <c r="AD135" i="36" s="1"/>
  <c r="AC135" i="36" s="1"/>
  <c r="AD136" i="36" s="1"/>
  <c r="AC136" i="36" s="1"/>
  <c r="AD137" i="36" s="1"/>
  <c r="AC137" i="36" s="1"/>
  <c r="AD138" i="36" s="1"/>
  <c r="AC138" i="36" s="1"/>
  <c r="AD139" i="36" s="1"/>
  <c r="AC139" i="36" s="1"/>
  <c r="AD140" i="36" s="1"/>
  <c r="AC140" i="36" s="1"/>
  <c r="AD141" i="36" s="1"/>
  <c r="AC141" i="36" s="1"/>
  <c r="AD142" i="36" s="1"/>
  <c r="AC142" i="36" s="1"/>
  <c r="AD143" i="36" s="1"/>
  <c r="AC143" i="36" s="1"/>
  <c r="AD144" i="36" s="1"/>
  <c r="AC144" i="36" s="1"/>
  <c r="AD145" i="36" s="1"/>
  <c r="AC145" i="36" s="1"/>
  <c r="AD146" i="36" s="1"/>
  <c r="AC146" i="36" s="1"/>
  <c r="AD147" i="36" s="1"/>
  <c r="AC147" i="36" s="1"/>
  <c r="AD148" i="36" s="1"/>
  <c r="AC148" i="36" s="1"/>
  <c r="AD149" i="36" s="1"/>
  <c r="AC149" i="36" s="1"/>
  <c r="AD150" i="36" s="1"/>
  <c r="AC150" i="36" s="1"/>
  <c r="AD151" i="36" s="1"/>
  <c r="AC151" i="36" s="1"/>
  <c r="AD152" i="36" s="1"/>
  <c r="AC152" i="36" s="1"/>
  <c r="AD153" i="36" s="1"/>
  <c r="AC153" i="36" s="1"/>
  <c r="AD154" i="36" s="1"/>
  <c r="AC154" i="36" s="1"/>
  <c r="AD155" i="36" s="1"/>
  <c r="AC155" i="36" s="1"/>
  <c r="AD156" i="36" s="1"/>
  <c r="AC156" i="36" s="1"/>
  <c r="AD157" i="36" s="1"/>
  <c r="AC157" i="36" s="1"/>
  <c r="AD158" i="36" s="1"/>
  <c r="AC158" i="36" s="1"/>
  <c r="AD159" i="36" s="1"/>
  <c r="AC159" i="36" s="1"/>
  <c r="AD160" i="36" s="1"/>
  <c r="AC160" i="36" s="1"/>
  <c r="AD161" i="36" s="1"/>
  <c r="AC161" i="36" s="1"/>
  <c r="AD162" i="36" s="1"/>
  <c r="AC162" i="36" s="1"/>
  <c r="AD163" i="36" s="1"/>
  <c r="AC163" i="36" s="1"/>
  <c r="AD164" i="36" s="1"/>
  <c r="AC164" i="36" s="1"/>
  <c r="AD165" i="36" s="1"/>
  <c r="AC165" i="36" s="1"/>
  <c r="AD166" i="36" s="1"/>
  <c r="AC166" i="36" s="1"/>
  <c r="AD167" i="36" s="1"/>
  <c r="AC167" i="36" s="1"/>
  <c r="AD168" i="36" s="1"/>
  <c r="AC168" i="36" s="1"/>
  <c r="AD169" i="36" s="1"/>
  <c r="AC169" i="36" s="1"/>
  <c r="AD170" i="36" s="1"/>
  <c r="AC170" i="36" s="1"/>
  <c r="AD171" i="36" s="1"/>
  <c r="AC171" i="36" s="1"/>
  <c r="AD172" i="36" s="1"/>
  <c r="AC172" i="36" s="1"/>
  <c r="AD173" i="36" s="1"/>
  <c r="AC173" i="36" s="1"/>
  <c r="AD174" i="36" s="1"/>
  <c r="AC174" i="36" s="1"/>
  <c r="AD175" i="36" s="1"/>
  <c r="AC175" i="36" s="1"/>
  <c r="AD176" i="36" s="1"/>
  <c r="AC176" i="36" s="1"/>
  <c r="AD177" i="36" s="1"/>
  <c r="AC177" i="36" s="1"/>
  <c r="AD178" i="36" s="1"/>
  <c r="AC178" i="36" s="1"/>
  <c r="AD179" i="36" s="1"/>
  <c r="AC179" i="36" s="1"/>
  <c r="AD180" i="36" s="1"/>
  <c r="AC180" i="36" s="1"/>
  <c r="AD181" i="36" s="1"/>
  <c r="AC181" i="36" s="1"/>
  <c r="AD182" i="36" s="1"/>
  <c r="AC182" i="36" s="1"/>
  <c r="AD183" i="36" s="1"/>
  <c r="AC183" i="36" s="1"/>
  <c r="AD184" i="36" s="1"/>
  <c r="AC184" i="36" s="1"/>
  <c r="AD185" i="36" s="1"/>
  <c r="AC185" i="36" s="1"/>
  <c r="AD186" i="36" s="1"/>
  <c r="AC186" i="36" s="1"/>
  <c r="AD187" i="36" s="1"/>
  <c r="AC187" i="36" s="1"/>
  <c r="AD188" i="36" s="1"/>
  <c r="AC188" i="36" s="1"/>
  <c r="AD189" i="36" s="1"/>
  <c r="AC189" i="36" s="1"/>
  <c r="AD190" i="36" s="1"/>
  <c r="AC190" i="36" s="1"/>
  <c r="AD191" i="36" s="1"/>
  <c r="AC191" i="36" s="1"/>
  <c r="AD192" i="36" s="1"/>
  <c r="AC192" i="36" s="1"/>
  <c r="AD193" i="36" s="1"/>
  <c r="AC193" i="36" s="1"/>
  <c r="AD194" i="36" s="1"/>
  <c r="AC194" i="36" s="1"/>
  <c r="AD195" i="36" s="1"/>
  <c r="AC195" i="36" s="1"/>
  <c r="AD196" i="36" s="1"/>
  <c r="AC196" i="36" s="1"/>
  <c r="AD197" i="36" s="1"/>
  <c r="AC197" i="36" s="1"/>
  <c r="AD198" i="36" s="1"/>
  <c r="AC198" i="36" s="1"/>
  <c r="AD199" i="36" s="1"/>
  <c r="AC199" i="36" s="1"/>
  <c r="AD200" i="36" s="1"/>
  <c r="AC200" i="36" s="1"/>
  <c r="AD201" i="36" s="1"/>
  <c r="AC201" i="36" s="1"/>
  <c r="AD202" i="36" s="1"/>
  <c r="AC202" i="36" s="1"/>
  <c r="AD203" i="36" s="1"/>
  <c r="AC203" i="36" s="1"/>
  <c r="AD204" i="36" s="1"/>
  <c r="AC204" i="36" s="1"/>
  <c r="AD205" i="36" s="1"/>
  <c r="AC205" i="36" s="1"/>
  <c r="AD206" i="36" s="1"/>
  <c r="AC206" i="36" s="1"/>
  <c r="AD207" i="36" s="1"/>
  <c r="AC207" i="36" s="1"/>
  <c r="AD208" i="36" s="1"/>
  <c r="AC208" i="36" s="1"/>
  <c r="AD209" i="36" s="1"/>
  <c r="AC209" i="36" s="1"/>
  <c r="AD210" i="36" s="1"/>
  <c r="AC210" i="36" s="1"/>
  <c r="AD211" i="36" s="1"/>
  <c r="AC211" i="36" s="1"/>
  <c r="AD212" i="36" s="1"/>
  <c r="AC212" i="36" s="1"/>
  <c r="AD213" i="36" s="1"/>
  <c r="AC213" i="36" s="1"/>
  <c r="AD214" i="36" s="1"/>
  <c r="AC214" i="36" s="1"/>
  <c r="AD215" i="36" s="1"/>
  <c r="AC215" i="36" s="1"/>
  <c r="AD216" i="36" s="1"/>
  <c r="AC216" i="36" s="1"/>
  <c r="AD217" i="36" s="1"/>
  <c r="AC217" i="36" s="1"/>
  <c r="AD218" i="36" s="1"/>
  <c r="AC218" i="36" s="1"/>
  <c r="AD219" i="36" s="1"/>
  <c r="AC219" i="36" s="1"/>
  <c r="AD220" i="36" s="1"/>
  <c r="AC220" i="36" s="1"/>
  <c r="AD221" i="36" s="1"/>
  <c r="AC221" i="36" s="1"/>
  <c r="AD222" i="36" s="1"/>
  <c r="AC222" i="36" s="1"/>
  <c r="AD223" i="36" s="1"/>
  <c r="AC223" i="36" s="1"/>
  <c r="AD224" i="36" s="1"/>
  <c r="AC224" i="36" s="1"/>
  <c r="AD225" i="36" s="1"/>
  <c r="AC225" i="36" s="1"/>
  <c r="AD226" i="36" s="1"/>
  <c r="AC226" i="36" s="1"/>
  <c r="AD227" i="36" s="1"/>
  <c r="AC227" i="36" s="1"/>
  <c r="AD228" i="36" s="1"/>
  <c r="AC228" i="36" s="1"/>
  <c r="AD229" i="36" s="1"/>
  <c r="AC229" i="36" s="1"/>
  <c r="AD230" i="36" s="1"/>
  <c r="AC230" i="36" s="1"/>
  <c r="AD231" i="36" s="1"/>
  <c r="AC231" i="36" s="1"/>
  <c r="AD232" i="36" s="1"/>
  <c r="AC232" i="36" s="1"/>
  <c r="AD233" i="36" s="1"/>
  <c r="AC233" i="36" s="1"/>
  <c r="AD234" i="36" s="1"/>
  <c r="AC234" i="36" s="1"/>
  <c r="AD235" i="36" s="1"/>
  <c r="AC235" i="36" s="1"/>
  <c r="AD236" i="36" s="1"/>
  <c r="AC236" i="36" s="1"/>
  <c r="AD237" i="36" s="1"/>
  <c r="AC237" i="36" s="1"/>
  <c r="AD238" i="36" s="1"/>
  <c r="AC238" i="36" s="1"/>
  <c r="AD239" i="36" s="1"/>
  <c r="AC239" i="36" s="1"/>
  <c r="AD240" i="36" s="1"/>
  <c r="AC240" i="36" s="1"/>
  <c r="AD241" i="36" s="1"/>
  <c r="AC241" i="36" s="1"/>
  <c r="AD242" i="36" s="1"/>
  <c r="AC242" i="36" s="1"/>
  <c r="AD243" i="36" s="1"/>
  <c r="AC243" i="36" s="1"/>
  <c r="AD244" i="36" s="1"/>
  <c r="AC244" i="36" s="1"/>
  <c r="AD245" i="36" s="1"/>
  <c r="AC245" i="36" s="1"/>
  <c r="AD246" i="36" s="1"/>
  <c r="AC246" i="36" s="1"/>
  <c r="AD247" i="36" s="1"/>
  <c r="AC247" i="36" s="1"/>
  <c r="AD248" i="36" s="1"/>
  <c r="AC248" i="36" s="1"/>
  <c r="AD249" i="36" s="1"/>
  <c r="AC249" i="36" s="1"/>
  <c r="AD250" i="36" s="1"/>
  <c r="AC250" i="36" s="1"/>
  <c r="AD251" i="36" s="1"/>
  <c r="AC251" i="36" s="1"/>
  <c r="AD252" i="36" s="1"/>
  <c r="AC252" i="36" s="1"/>
  <c r="AD253" i="36" s="1"/>
  <c r="AC253" i="36" s="1"/>
  <c r="AD254" i="36" s="1"/>
  <c r="AC254" i="36" s="1"/>
  <c r="AD255" i="36" s="1"/>
  <c r="AC255" i="36" s="1"/>
  <c r="AD256" i="36" s="1"/>
  <c r="AC256" i="36" s="1"/>
  <c r="AD257" i="36" s="1"/>
  <c r="AC257" i="36" s="1"/>
  <c r="AD258" i="36" s="1"/>
  <c r="AC258" i="36" s="1"/>
  <c r="AD259" i="36" s="1"/>
  <c r="AC259" i="36" s="1"/>
  <c r="AD260" i="36" s="1"/>
  <c r="AC260" i="36" s="1"/>
  <c r="AD261" i="36" s="1"/>
  <c r="AC261" i="36" s="1"/>
  <c r="AD262" i="36" s="1"/>
  <c r="AC262" i="36" s="1"/>
  <c r="AD263" i="36" s="1"/>
  <c r="AC263" i="36" s="1"/>
  <c r="AD264" i="36" s="1"/>
  <c r="AC264" i="36" s="1"/>
  <c r="AD265" i="36" s="1"/>
  <c r="AC265" i="36" s="1"/>
  <c r="AD266" i="36" s="1"/>
  <c r="AC266" i="36" s="1"/>
  <c r="AD267" i="36" s="1"/>
  <c r="AC267" i="36" s="1"/>
  <c r="AD268" i="36" s="1"/>
  <c r="AC268" i="36" s="1"/>
  <c r="AD269" i="36" s="1"/>
  <c r="AC269" i="36" s="1"/>
  <c r="AD270" i="36" s="1"/>
  <c r="AC270" i="36" s="1"/>
  <c r="AD271" i="36" s="1"/>
  <c r="AC271" i="36" s="1"/>
  <c r="AD272" i="36" s="1"/>
  <c r="AC272" i="36" s="1"/>
  <c r="AD273" i="36" s="1"/>
  <c r="AC273" i="36" s="1"/>
  <c r="AD274" i="36" s="1"/>
  <c r="AC274" i="36" s="1"/>
  <c r="AD275" i="36" s="1"/>
  <c r="AC275" i="36" s="1"/>
  <c r="AD276" i="36" s="1"/>
  <c r="AC276" i="36" s="1"/>
  <c r="AD277" i="36" s="1"/>
  <c r="AC277" i="36" s="1"/>
  <c r="AD278" i="36" s="1"/>
  <c r="AC278" i="36" s="1"/>
  <c r="AD279" i="36" s="1"/>
  <c r="AC279" i="36" s="1"/>
  <c r="AD280" i="36" s="1"/>
  <c r="AC280" i="36" s="1"/>
  <c r="AD281" i="36" s="1"/>
  <c r="AC281" i="36" s="1"/>
  <c r="AD282" i="36" s="1"/>
  <c r="AC282" i="36" s="1"/>
  <c r="AD283" i="36" s="1"/>
  <c r="AC283" i="36" s="1"/>
  <c r="AD284" i="36" s="1"/>
  <c r="AC284" i="36" s="1"/>
  <c r="AD285" i="36" s="1"/>
  <c r="AC285" i="36" s="1"/>
  <c r="AD286" i="36" s="1"/>
  <c r="AC286" i="36" s="1"/>
  <c r="AD287" i="36" s="1"/>
  <c r="AC287" i="36" s="1"/>
  <c r="AD288" i="36" s="1"/>
  <c r="AC288" i="36" s="1"/>
  <c r="AD289" i="36" s="1"/>
  <c r="AC289" i="36" s="1"/>
  <c r="AD290" i="36" s="1"/>
  <c r="AC290" i="36" s="1"/>
  <c r="AD291" i="36" s="1"/>
  <c r="AC291" i="36" s="1"/>
  <c r="AD292" i="36" s="1"/>
  <c r="AC292" i="36" s="1"/>
  <c r="AD293" i="36" s="1"/>
  <c r="AC293" i="36" s="1"/>
  <c r="AD294" i="36" s="1"/>
  <c r="AC294" i="36" s="1"/>
  <c r="AD295" i="36" s="1"/>
  <c r="AC295" i="36" s="1"/>
  <c r="AD296" i="36" s="1"/>
  <c r="AC296" i="36" s="1"/>
  <c r="AD297" i="36" s="1"/>
  <c r="AC297" i="36" s="1"/>
  <c r="AD298" i="36" s="1"/>
  <c r="AC298" i="36" s="1"/>
  <c r="AD299" i="36" s="1"/>
  <c r="AC299" i="36" s="1"/>
  <c r="AD300" i="36" s="1"/>
  <c r="AC300" i="36" s="1"/>
  <c r="AD301" i="36" s="1"/>
  <c r="AC301" i="36" s="1"/>
  <c r="AD302" i="36" s="1"/>
  <c r="AC302" i="36" s="1"/>
  <c r="AD303" i="36" s="1"/>
  <c r="AC303" i="36" s="1"/>
  <c r="AD304" i="36" s="1"/>
  <c r="AC304" i="36" s="1"/>
  <c r="AD305" i="36" s="1"/>
  <c r="AC305" i="36" s="1"/>
  <c r="AD306" i="36" s="1"/>
  <c r="AC306" i="36" s="1"/>
  <c r="AD307" i="36" s="1"/>
  <c r="AC307" i="36" s="1"/>
  <c r="AD308" i="36" s="1"/>
  <c r="AC308" i="36" s="1"/>
  <c r="AD309" i="36" s="1"/>
  <c r="AC309" i="36" s="1"/>
  <c r="AD310" i="36" s="1"/>
  <c r="AC310" i="36" s="1"/>
  <c r="AD311" i="36" s="1"/>
  <c r="AC311" i="36" s="1"/>
  <c r="AD312" i="36" s="1"/>
  <c r="AC312" i="36" s="1"/>
  <c r="AD313" i="36" s="1"/>
  <c r="AC313" i="36" s="1"/>
  <c r="AD314" i="36" s="1"/>
  <c r="AC314" i="36" s="1"/>
  <c r="AD315" i="36" s="1"/>
  <c r="AC315" i="36" s="1"/>
  <c r="AD316" i="36" s="1"/>
  <c r="AC316" i="36" s="1"/>
  <c r="AD317" i="36" s="1"/>
  <c r="AC317" i="36" s="1"/>
  <c r="AD318" i="36" s="1"/>
  <c r="AC318" i="36" s="1"/>
  <c r="AD319" i="36" s="1"/>
  <c r="AC319" i="36" s="1"/>
  <c r="AD320" i="36" s="1"/>
  <c r="AC320" i="36" s="1"/>
  <c r="AD321" i="36" s="1"/>
  <c r="AC321" i="36" s="1"/>
  <c r="AD322" i="36" s="1"/>
  <c r="AC322" i="36" s="1"/>
  <c r="AD323" i="36" s="1"/>
  <c r="AC323" i="36" s="1"/>
  <c r="AD324" i="36" s="1"/>
  <c r="AC324" i="36" s="1"/>
  <c r="AD325" i="36" s="1"/>
  <c r="AC325" i="36" s="1"/>
  <c r="AD326" i="36" s="1"/>
  <c r="AC326" i="36" s="1"/>
  <c r="AD327" i="36" s="1"/>
  <c r="AC327" i="36" s="1"/>
  <c r="AD328" i="36" s="1"/>
  <c r="AC328" i="36" s="1"/>
  <c r="AD329" i="36" s="1"/>
  <c r="AC329" i="36" s="1"/>
  <c r="AD330" i="36" s="1"/>
  <c r="AC330" i="36" s="1"/>
  <c r="AD331" i="36" s="1"/>
  <c r="AC331" i="36" s="1"/>
  <c r="AD332" i="36" s="1"/>
  <c r="AC332" i="36" s="1"/>
  <c r="AD333" i="36" s="1"/>
  <c r="AC333" i="36" s="1"/>
  <c r="AD334" i="36" s="1"/>
  <c r="AC334" i="36" s="1"/>
  <c r="AD335" i="36" s="1"/>
  <c r="AC335" i="36" s="1"/>
  <c r="AD336" i="36" s="1"/>
  <c r="AC336" i="36" s="1"/>
  <c r="AD337" i="36" s="1"/>
  <c r="AC337" i="36" s="1"/>
  <c r="AD338" i="36" s="1"/>
  <c r="AC338" i="36" s="1"/>
  <c r="AD339" i="36" s="1"/>
  <c r="AC339" i="36" s="1"/>
  <c r="AD340" i="36" s="1"/>
  <c r="AC340" i="36" s="1"/>
  <c r="AD341" i="36" s="1"/>
  <c r="AC341" i="36" s="1"/>
  <c r="AD342" i="36" s="1"/>
  <c r="AC342" i="36" s="1"/>
  <c r="AD343" i="36" s="1"/>
  <c r="AC343" i="36" s="1"/>
  <c r="AD344" i="36" s="1"/>
  <c r="AC344" i="36" s="1"/>
  <c r="AD345" i="36" s="1"/>
  <c r="AC345" i="36" s="1"/>
  <c r="AD346" i="36" s="1"/>
  <c r="AC346" i="36" s="1"/>
  <c r="AD347" i="36" s="1"/>
  <c r="AC347" i="36" s="1"/>
  <c r="AD348" i="36" s="1"/>
  <c r="AC348" i="36" s="1"/>
  <c r="AD349" i="36" s="1"/>
  <c r="AC349" i="36" s="1"/>
  <c r="AD350" i="36" s="1"/>
  <c r="AC350" i="36" s="1"/>
  <c r="AD351" i="36" s="1"/>
  <c r="AC351" i="36" s="1"/>
  <c r="AD352" i="36" s="1"/>
  <c r="AC352" i="36" s="1"/>
  <c r="AD353" i="36" s="1"/>
  <c r="AC353" i="36" s="1"/>
  <c r="AD354" i="36" s="1"/>
  <c r="AC354" i="36" s="1"/>
  <c r="AD355" i="36" s="1"/>
  <c r="AC355" i="36" s="1"/>
  <c r="AD356" i="36" s="1"/>
  <c r="AC356" i="36" s="1"/>
  <c r="AD357" i="36" s="1"/>
  <c r="AC357" i="36" s="1"/>
  <c r="AD358" i="36" s="1"/>
  <c r="AC358" i="36" s="1"/>
  <c r="AD359" i="36" s="1"/>
  <c r="AC359" i="36" s="1"/>
  <c r="AD360" i="36" s="1"/>
  <c r="AC360" i="36" s="1"/>
  <c r="AD361" i="36" s="1"/>
  <c r="AC361" i="36" s="1"/>
  <c r="AD362" i="36" s="1"/>
  <c r="AC362" i="36" s="1"/>
  <c r="AD363" i="36" s="1"/>
  <c r="AC363" i="36" s="1"/>
  <c r="AD364" i="36" s="1"/>
  <c r="AC364" i="36" s="1"/>
  <c r="AD365" i="36" s="1"/>
  <c r="AC365" i="36" s="1"/>
  <c r="AD366" i="36" s="1"/>
  <c r="AC366" i="36" s="1"/>
  <c r="AD367" i="36" s="1"/>
  <c r="AC367" i="36" s="1"/>
  <c r="AD368" i="36" s="1"/>
  <c r="AC368" i="36" s="1"/>
  <c r="AD369" i="36" s="1"/>
  <c r="AC369" i="36" s="1"/>
  <c r="AD370" i="36" s="1"/>
  <c r="AC370" i="36" s="1"/>
  <c r="AD371" i="36" s="1"/>
  <c r="AC371" i="36" s="1"/>
  <c r="AD372" i="36" s="1"/>
  <c r="AC372" i="36" s="1"/>
  <c r="AD373" i="36" s="1"/>
  <c r="AC373" i="36" s="1"/>
  <c r="AD374" i="36" s="1"/>
  <c r="AC374" i="36" s="1"/>
  <c r="AD375" i="36" s="1"/>
  <c r="AC375" i="36" s="1"/>
  <c r="AD376" i="36" s="1"/>
  <c r="AC376" i="36" s="1"/>
  <c r="AD377" i="36" s="1"/>
  <c r="AC377" i="36" s="1"/>
  <c r="AD378" i="36" s="1"/>
  <c r="AC378" i="36" s="1"/>
  <c r="AD379" i="36" s="1"/>
  <c r="AC379" i="36" s="1"/>
  <c r="AD380" i="36" s="1"/>
  <c r="AC380" i="36" s="1"/>
  <c r="AD381" i="36" s="1"/>
  <c r="AC381" i="36" s="1"/>
  <c r="AD382" i="36" s="1"/>
  <c r="AC382" i="36" s="1"/>
  <c r="AD383" i="36" s="1"/>
  <c r="AC383" i="36" s="1"/>
  <c r="AD384" i="36" s="1"/>
  <c r="AC384" i="36" s="1"/>
  <c r="AD385" i="36" s="1"/>
  <c r="AC385" i="36" s="1"/>
  <c r="AD386" i="36" s="1"/>
  <c r="AC386" i="36" s="1"/>
  <c r="AD387" i="36" s="1"/>
  <c r="AC387" i="36" s="1"/>
  <c r="AD388" i="36" s="1"/>
  <c r="AC388" i="36" s="1"/>
  <c r="AD389" i="36" s="1"/>
  <c r="AC389" i="36" s="1"/>
  <c r="AD390" i="36" s="1"/>
  <c r="AC390" i="36" s="1"/>
  <c r="AD391" i="36" s="1"/>
  <c r="AC391" i="36" s="1"/>
  <c r="AD392" i="36" s="1"/>
  <c r="AC392" i="36" s="1"/>
  <c r="AD393" i="36" s="1"/>
  <c r="AC393" i="36" s="1"/>
  <c r="AD394" i="36" s="1"/>
  <c r="AC394" i="36" s="1"/>
  <c r="AD395" i="36" s="1"/>
  <c r="AC395" i="36" s="1"/>
  <c r="AD396" i="36" s="1"/>
  <c r="AC396" i="36" s="1"/>
  <c r="AD397" i="36" s="1"/>
  <c r="AC397" i="36" s="1"/>
  <c r="AD398" i="36" s="1"/>
  <c r="AC398" i="36" s="1"/>
  <c r="AD399" i="36" s="1"/>
  <c r="AC399" i="36" s="1"/>
  <c r="AD400" i="36" s="1"/>
  <c r="AC400" i="36" s="1"/>
  <c r="AD401" i="36" s="1"/>
  <c r="AC401" i="36" s="1"/>
  <c r="AD402" i="36" s="1"/>
  <c r="AC402" i="36" s="1"/>
  <c r="AD403" i="36" s="1"/>
  <c r="AC403" i="36" s="1"/>
  <c r="AD404" i="36" s="1"/>
  <c r="AC404" i="36" s="1"/>
  <c r="AD405" i="36" s="1"/>
  <c r="AC405" i="36" s="1"/>
  <c r="AD406" i="36" s="1"/>
  <c r="AC406" i="36" s="1"/>
  <c r="AD407" i="36" s="1"/>
  <c r="AC407" i="36" s="1"/>
  <c r="AD408" i="36" s="1"/>
  <c r="AC408" i="36" s="1"/>
  <c r="AD409" i="36" s="1"/>
  <c r="AC409" i="36" s="1"/>
  <c r="AD410" i="36" s="1"/>
  <c r="AC410" i="36" s="1"/>
  <c r="AD411" i="36" s="1"/>
  <c r="AC411" i="36" s="1"/>
  <c r="AD412" i="36" s="1"/>
  <c r="AC412" i="36" s="1"/>
  <c r="AD413" i="36" s="1"/>
  <c r="AC413" i="36" s="1"/>
  <c r="AD414" i="36" s="1"/>
  <c r="AC414" i="36" s="1"/>
  <c r="AD415" i="36" s="1"/>
  <c r="AC415" i="36" s="1"/>
  <c r="AD416" i="36" s="1"/>
  <c r="AC416" i="36" s="1"/>
  <c r="AD417" i="36" s="1"/>
  <c r="AC417" i="36" s="1"/>
  <c r="AD418" i="36" s="1"/>
  <c r="AC418" i="36" s="1"/>
  <c r="AD419" i="36" s="1"/>
  <c r="AC419" i="36" s="1"/>
  <c r="AD420" i="36" s="1"/>
  <c r="AC420" i="36" s="1"/>
  <c r="AD421" i="36" s="1"/>
  <c r="AC421" i="36" s="1"/>
  <c r="AD422" i="36" s="1"/>
  <c r="AC422" i="36" s="1"/>
  <c r="AD423" i="36" s="1"/>
  <c r="AC423" i="36" s="1"/>
  <c r="AD424" i="36" s="1"/>
  <c r="AC424" i="36" s="1"/>
  <c r="AD425" i="36" s="1"/>
  <c r="AC425" i="36" s="1"/>
  <c r="AD426" i="36" s="1"/>
  <c r="AC426" i="36" s="1"/>
  <c r="AD427" i="36" s="1"/>
  <c r="AC427" i="36" s="1"/>
  <c r="AD428" i="36" s="1"/>
  <c r="AC428" i="36" s="1"/>
  <c r="AD429" i="36" s="1"/>
  <c r="AC429" i="36" s="1"/>
  <c r="AD430" i="36" s="1"/>
  <c r="AC430" i="36" s="1"/>
  <c r="AD431" i="36" s="1"/>
  <c r="AC431" i="36" s="1"/>
  <c r="AD432" i="36" s="1"/>
  <c r="AC432" i="36" s="1"/>
  <c r="AD433" i="36" s="1"/>
  <c r="AC433" i="36" s="1"/>
  <c r="AD434" i="36" s="1"/>
  <c r="AC434" i="36" s="1"/>
  <c r="AD435" i="36" s="1"/>
  <c r="AC435" i="36" s="1"/>
  <c r="AD436" i="36" s="1"/>
  <c r="AC436" i="36" s="1"/>
  <c r="AD437" i="36" s="1"/>
  <c r="AC437" i="36" s="1"/>
  <c r="AD438" i="36" s="1"/>
  <c r="AC438" i="36" s="1"/>
  <c r="AD439" i="36" s="1"/>
  <c r="AC439" i="36" s="1"/>
  <c r="AD440" i="36" s="1"/>
  <c r="AC440" i="36" s="1"/>
  <c r="AD441" i="36" s="1"/>
  <c r="AC441" i="36" s="1"/>
  <c r="AD442" i="36" s="1"/>
  <c r="AC442" i="36" s="1"/>
  <c r="AD443" i="36" s="1"/>
  <c r="AC443" i="36" s="1"/>
  <c r="AD444" i="36" s="1"/>
  <c r="AC444" i="36" s="1"/>
  <c r="AD445" i="36" s="1"/>
  <c r="AC445" i="36" s="1"/>
  <c r="AD446" i="36" s="1"/>
  <c r="AC446" i="36" s="1"/>
  <c r="AD447" i="36" s="1"/>
  <c r="AC447" i="36" s="1"/>
  <c r="AD448" i="36" s="1"/>
  <c r="AC448" i="36" s="1"/>
  <c r="AD449" i="36" s="1"/>
  <c r="AC449" i="36" s="1"/>
  <c r="AD450" i="36" s="1"/>
  <c r="AC450" i="36" s="1"/>
  <c r="AD451" i="36" s="1"/>
  <c r="AC451" i="36" s="1"/>
  <c r="AD452" i="36" s="1"/>
  <c r="AC452" i="36" s="1"/>
  <c r="AD453" i="36" s="1"/>
  <c r="AC453" i="36" s="1"/>
  <c r="AD454" i="36" s="1"/>
  <c r="AC454" i="36" s="1"/>
  <c r="AD455" i="36" s="1"/>
  <c r="AC455" i="36" s="1"/>
  <c r="AD456" i="36" s="1"/>
  <c r="AC456" i="36" s="1"/>
  <c r="AD457" i="36" s="1"/>
  <c r="AC457" i="36" s="1"/>
  <c r="AD458" i="36" s="1"/>
  <c r="AC458" i="36" s="1"/>
  <c r="AD459" i="36" s="1"/>
  <c r="AC459" i="36" s="1"/>
  <c r="AD460" i="36" s="1"/>
  <c r="AC460" i="36" s="1"/>
  <c r="AD461" i="36" s="1"/>
  <c r="AC461" i="36" s="1"/>
  <c r="AD462" i="36" s="1"/>
  <c r="AC462" i="36" s="1"/>
  <c r="AD463" i="36" s="1"/>
  <c r="AC463" i="36" s="1"/>
  <c r="AD464" i="36" s="1"/>
  <c r="AC464" i="36" s="1"/>
  <c r="AD465" i="36" s="1"/>
  <c r="AC465" i="36" s="1"/>
  <c r="AD466" i="36" s="1"/>
  <c r="AC466" i="36" s="1"/>
  <c r="AD467" i="36" s="1"/>
  <c r="AC467" i="36" s="1"/>
  <c r="AD468" i="36" s="1"/>
  <c r="AC468" i="36" s="1"/>
  <c r="AD469" i="36" s="1"/>
  <c r="AC469" i="36" s="1"/>
  <c r="AD470" i="36" s="1"/>
  <c r="AC470" i="36" s="1"/>
  <c r="AD471" i="36" s="1"/>
  <c r="AC471" i="36" s="1"/>
  <c r="AD472" i="36" s="1"/>
  <c r="AC472" i="36" s="1"/>
  <c r="AD473" i="36" s="1"/>
  <c r="AC473" i="36" s="1"/>
  <c r="AD474" i="36" s="1"/>
  <c r="AC474" i="36" s="1"/>
  <c r="AD475" i="36" s="1"/>
  <c r="AC475" i="36" s="1"/>
  <c r="AD476" i="36" s="1"/>
  <c r="AC476" i="36" s="1"/>
  <c r="AD477" i="36" s="1"/>
  <c r="AC477" i="36" s="1"/>
  <c r="AD478" i="36" s="1"/>
  <c r="AC478" i="36" s="1"/>
  <c r="AD479" i="36" s="1"/>
  <c r="AC479" i="36" s="1"/>
  <c r="AD480" i="36" s="1"/>
  <c r="AC480" i="36" s="1"/>
  <c r="AD481" i="36" s="1"/>
  <c r="AC481" i="36" s="1"/>
  <c r="AD482" i="36" s="1"/>
  <c r="AC482" i="36" s="1"/>
  <c r="AD483" i="36" s="1"/>
  <c r="AC483" i="36" s="1"/>
  <c r="AD484" i="36" s="1"/>
  <c r="AC484" i="36" s="1"/>
  <c r="AD485" i="36" s="1"/>
  <c r="AC485" i="36" s="1"/>
  <c r="AD486" i="36" s="1"/>
  <c r="AC486" i="36" s="1"/>
  <c r="AD487" i="36" s="1"/>
  <c r="AC487" i="36" s="1"/>
  <c r="AD488" i="36" s="1"/>
  <c r="AC488" i="36" s="1"/>
  <c r="AD489" i="36" s="1"/>
  <c r="AC489" i="36" s="1"/>
  <c r="AD490" i="36" s="1"/>
  <c r="AC490" i="36" s="1"/>
  <c r="AD491" i="36" s="1"/>
  <c r="AC491" i="36" s="1"/>
  <c r="AD492" i="36" s="1"/>
  <c r="AC492" i="36" s="1"/>
  <c r="AD493" i="36" s="1"/>
  <c r="AC493" i="36" s="1"/>
  <c r="AD494" i="36" s="1"/>
  <c r="AC494" i="36" s="1"/>
  <c r="AD495" i="36" s="1"/>
  <c r="AC495" i="36" s="1"/>
  <c r="AD496" i="36" s="1"/>
  <c r="AC496" i="36" s="1"/>
  <c r="AD497" i="36" s="1"/>
  <c r="AC497" i="36" s="1"/>
  <c r="AD498" i="36" s="1"/>
  <c r="AC498" i="36" s="1"/>
  <c r="AD499" i="36" s="1"/>
  <c r="AC499" i="36" s="1"/>
  <c r="AD500" i="36" s="1"/>
  <c r="AC500" i="36" s="1"/>
  <c r="AD501" i="36" s="1"/>
  <c r="AC501" i="36" s="1"/>
  <c r="AD502" i="36" s="1"/>
  <c r="AC502" i="36" s="1"/>
  <c r="AD503" i="36" s="1"/>
  <c r="AC503" i="36" s="1"/>
  <c r="AD504" i="36" s="1"/>
  <c r="AC504" i="36" s="1"/>
  <c r="AD505" i="36" s="1"/>
  <c r="AC505" i="36" s="1"/>
  <c r="AD506" i="36" s="1"/>
  <c r="AC506" i="36" s="1"/>
  <c r="AD507" i="36" s="1"/>
  <c r="AC507" i="36" s="1"/>
  <c r="AD508" i="36" s="1"/>
  <c r="AC508" i="36" s="1"/>
  <c r="AD509" i="36" s="1"/>
  <c r="AC509" i="36" s="1"/>
  <c r="AD510" i="36" s="1"/>
  <c r="AC510" i="36" s="1"/>
  <c r="AD511" i="36" s="1"/>
  <c r="AC511" i="36" s="1"/>
  <c r="AD512" i="36" s="1"/>
  <c r="AC512" i="36" s="1"/>
  <c r="AD513" i="36" s="1"/>
  <c r="AC513" i="36" s="1"/>
  <c r="AD514" i="36" s="1"/>
  <c r="AC514" i="36" s="1"/>
  <c r="AD515" i="36" s="1"/>
  <c r="AC515" i="36" s="1"/>
  <c r="AD516" i="36" s="1"/>
  <c r="AC516" i="36" s="1"/>
  <c r="AD517" i="36" s="1"/>
  <c r="AC517" i="36" s="1"/>
  <c r="AD518" i="36" s="1"/>
  <c r="AC518" i="36" s="1"/>
  <c r="AD519" i="36" s="1"/>
  <c r="AC519" i="36" s="1"/>
  <c r="AD520" i="36" s="1"/>
  <c r="AC520" i="36" s="1"/>
  <c r="AD521" i="36" s="1"/>
  <c r="AC521" i="36" s="1"/>
  <c r="AD522" i="36" s="1"/>
  <c r="AC522" i="36" s="1"/>
  <c r="AD523" i="36" s="1"/>
  <c r="AC523" i="36" s="1"/>
  <c r="AD524" i="36" s="1"/>
  <c r="AC524" i="36" s="1"/>
  <c r="AD525" i="36" s="1"/>
  <c r="AC525" i="36" s="1"/>
  <c r="AD526" i="36" s="1"/>
  <c r="AC526" i="36" s="1"/>
  <c r="AD527" i="36" s="1"/>
  <c r="AC527" i="36" s="1"/>
  <c r="AD528" i="36" s="1"/>
  <c r="AC528" i="36" s="1"/>
  <c r="AD529" i="36" s="1"/>
  <c r="AC529" i="36" s="1"/>
  <c r="AD530" i="36" s="1"/>
  <c r="AC530" i="36" s="1"/>
  <c r="AD531" i="36" s="1"/>
  <c r="AC531" i="36" s="1"/>
  <c r="AD532" i="36" s="1"/>
  <c r="AC532" i="36" s="1"/>
  <c r="AD533" i="36" s="1"/>
  <c r="AC533" i="36" s="1"/>
  <c r="AD534" i="36" s="1"/>
  <c r="AC534" i="36" s="1"/>
  <c r="AD535" i="36" s="1"/>
  <c r="AC535" i="36" s="1"/>
  <c r="AD536" i="36" s="1"/>
  <c r="AC536" i="36" s="1"/>
  <c r="AD537" i="36" s="1"/>
  <c r="AC537" i="36" s="1"/>
  <c r="AD538" i="36" s="1"/>
  <c r="AC538" i="36" s="1"/>
  <c r="AD539" i="36" s="1"/>
  <c r="AC539" i="36" s="1"/>
  <c r="AD540" i="36" s="1"/>
  <c r="AC540" i="36" s="1"/>
  <c r="AD541" i="36" s="1"/>
  <c r="AC541" i="36" s="1"/>
  <c r="AD542" i="36" s="1"/>
  <c r="AC542" i="36" s="1"/>
  <c r="AD543" i="36" s="1"/>
  <c r="AC543" i="36" s="1"/>
  <c r="AD544" i="36" s="1"/>
  <c r="AC544" i="36" s="1"/>
  <c r="AD545" i="36" s="1"/>
  <c r="AC545" i="36" s="1"/>
  <c r="AD546" i="36" s="1"/>
  <c r="AC546" i="36" s="1"/>
  <c r="AD547" i="36" s="1"/>
  <c r="AC547" i="36" s="1"/>
  <c r="AD548" i="36" s="1"/>
  <c r="AC548" i="36" s="1"/>
  <c r="AD549" i="36" s="1"/>
  <c r="AC549" i="36" s="1"/>
  <c r="AD550" i="36" s="1"/>
  <c r="AC550" i="36" s="1"/>
  <c r="AD551" i="36" s="1"/>
  <c r="AC551" i="36" s="1"/>
  <c r="AD552" i="36" s="1"/>
  <c r="AC552" i="36" s="1"/>
  <c r="AD553" i="36" s="1"/>
  <c r="AC553" i="36" s="1"/>
  <c r="AD554" i="36" s="1"/>
  <c r="AC554" i="36" s="1"/>
  <c r="AD555" i="36" s="1"/>
  <c r="AC555" i="36" s="1"/>
  <c r="AD556" i="36" s="1"/>
  <c r="AC556" i="36" s="1"/>
  <c r="AD557" i="36" s="1"/>
  <c r="AC557" i="36" s="1"/>
  <c r="AD558" i="36" s="1"/>
  <c r="AC558" i="36" s="1"/>
  <c r="AD559" i="36" s="1"/>
  <c r="AC559" i="36" s="1"/>
  <c r="AD560" i="36" s="1"/>
  <c r="AC560" i="36" s="1"/>
  <c r="AD561" i="36" s="1"/>
  <c r="AC561" i="36" s="1"/>
  <c r="AD562" i="36" s="1"/>
  <c r="AC562" i="36" s="1"/>
  <c r="AD563" i="36" s="1"/>
  <c r="AC563" i="36" s="1"/>
  <c r="AD564" i="36" s="1"/>
  <c r="AC564" i="36" s="1"/>
  <c r="AD565" i="36" s="1"/>
  <c r="AC565" i="36" s="1"/>
  <c r="AD566" i="36" s="1"/>
  <c r="AC566" i="36" s="1"/>
  <c r="AD567" i="36" s="1"/>
  <c r="AC567" i="36" s="1"/>
  <c r="AD568" i="36" s="1"/>
  <c r="AC568" i="36" s="1"/>
  <c r="AD569" i="36" s="1"/>
  <c r="AC569" i="36" s="1"/>
  <c r="AD570" i="36" s="1"/>
  <c r="AC570" i="36" s="1"/>
  <c r="AD571" i="36" s="1"/>
  <c r="AC571" i="36" s="1"/>
  <c r="AD572" i="36" s="1"/>
  <c r="AC572" i="36" s="1"/>
  <c r="AD573" i="36" s="1"/>
  <c r="AC573" i="36" s="1"/>
  <c r="AD574" i="36" s="1"/>
  <c r="AC574" i="36" s="1"/>
  <c r="AD575" i="36" s="1"/>
  <c r="AC575" i="36" s="1"/>
  <c r="AD576" i="36" s="1"/>
  <c r="AC576" i="36" s="1"/>
  <c r="AD577" i="36" s="1"/>
  <c r="AC577" i="36" s="1"/>
  <c r="AD578" i="36" s="1"/>
  <c r="AC578" i="36" s="1"/>
  <c r="AD579" i="36" s="1"/>
  <c r="AC579" i="36" s="1"/>
  <c r="AD580" i="36" s="1"/>
  <c r="AC580" i="36" s="1"/>
  <c r="AD581" i="36" s="1"/>
  <c r="AC581" i="36" s="1"/>
  <c r="AD582" i="36" s="1"/>
  <c r="AC582" i="36" s="1"/>
  <c r="AD583" i="36" s="1"/>
  <c r="AC583" i="36" s="1"/>
  <c r="AD584" i="36" s="1"/>
  <c r="AC584" i="36" s="1"/>
  <c r="AD585" i="36" s="1"/>
  <c r="AC585" i="36" s="1"/>
  <c r="AD586" i="36" s="1"/>
  <c r="AC586" i="36" s="1"/>
  <c r="AD587" i="36" s="1"/>
  <c r="AC587" i="36" s="1"/>
  <c r="AD588" i="36" s="1"/>
  <c r="AC588" i="36" s="1"/>
  <c r="AD589" i="36" s="1"/>
  <c r="AC589" i="36" s="1"/>
  <c r="AD590" i="36" s="1"/>
  <c r="AC590" i="36" s="1"/>
  <c r="AD591" i="36" s="1"/>
  <c r="AC591" i="36" s="1"/>
  <c r="AD592" i="36" s="1"/>
  <c r="AC592" i="36" s="1"/>
  <c r="AD593" i="36" s="1"/>
  <c r="AC593" i="36" s="1"/>
  <c r="AD594" i="36" s="1"/>
  <c r="AC594" i="36" s="1"/>
  <c r="AD595" i="36" s="1"/>
  <c r="AC595" i="36" s="1"/>
  <c r="AD596" i="36" s="1"/>
  <c r="AC596" i="36" s="1"/>
  <c r="AD597" i="36" s="1"/>
  <c r="AC597" i="36" s="1"/>
  <c r="AD598" i="36" s="1"/>
  <c r="AC598" i="36" s="1"/>
  <c r="AD599" i="36" s="1"/>
  <c r="AC599" i="36" s="1"/>
  <c r="AD600" i="36" s="1"/>
  <c r="AC600" i="36" s="1"/>
  <c r="AD601" i="36" s="1"/>
  <c r="AC601" i="36" s="1"/>
  <c r="AD602" i="36" s="1"/>
  <c r="AC602" i="36" s="1"/>
  <c r="AD603" i="36" s="1"/>
  <c r="AC603" i="36" s="1"/>
  <c r="AD604" i="36" s="1"/>
  <c r="AC604" i="36" s="1"/>
  <c r="AD605" i="36" s="1"/>
  <c r="AC605" i="36" s="1"/>
  <c r="AD606" i="36" s="1"/>
  <c r="AC606" i="36" s="1"/>
  <c r="AD607" i="36" s="1"/>
  <c r="AC607" i="36" s="1"/>
  <c r="AD608" i="36" s="1"/>
  <c r="AC608" i="36" s="1"/>
  <c r="AD609" i="36" s="1"/>
  <c r="AC609" i="36" s="1"/>
  <c r="AD610" i="36" s="1"/>
  <c r="AC610" i="36" s="1"/>
  <c r="AD611" i="36" s="1"/>
  <c r="AC611" i="36" s="1"/>
  <c r="AD612" i="36" s="1"/>
  <c r="AC612" i="36" s="1"/>
  <c r="AD613" i="36" s="1"/>
  <c r="AC613" i="36" s="1"/>
  <c r="AD614" i="36" s="1"/>
  <c r="AC614" i="36" s="1"/>
  <c r="AD615" i="36" s="1"/>
  <c r="AC615" i="36" s="1"/>
  <c r="AD616" i="36" s="1"/>
  <c r="AC616" i="36" s="1"/>
  <c r="AD617" i="36" s="1"/>
  <c r="AC617" i="36" s="1"/>
  <c r="AD618" i="36" s="1"/>
  <c r="AC618" i="36" s="1"/>
  <c r="AD619" i="36" s="1"/>
  <c r="AC619" i="36" s="1"/>
  <c r="AD620" i="36" s="1"/>
  <c r="AC620" i="36" s="1"/>
  <c r="AD621" i="36" s="1"/>
  <c r="AC621" i="36" s="1"/>
  <c r="AD622" i="36" s="1"/>
  <c r="AC622" i="36" s="1"/>
  <c r="AD623" i="36" s="1"/>
  <c r="AC623" i="36" s="1"/>
  <c r="AD624" i="36" s="1"/>
  <c r="AC624" i="36" s="1"/>
  <c r="AD625" i="36" s="1"/>
  <c r="AC625" i="36" s="1"/>
  <c r="AD626" i="36" s="1"/>
  <c r="AC626" i="36" s="1"/>
  <c r="AD627" i="36" s="1"/>
  <c r="AC627" i="36" s="1"/>
  <c r="AD628" i="36" s="1"/>
  <c r="AC628" i="36" s="1"/>
  <c r="AD629" i="36" s="1"/>
  <c r="AC629" i="36" s="1"/>
  <c r="AD630" i="36" s="1"/>
  <c r="AC630" i="36" s="1"/>
  <c r="AD631" i="36" s="1"/>
  <c r="AC631" i="36" s="1"/>
  <c r="AD632" i="36" s="1"/>
  <c r="AC632" i="36" s="1"/>
  <c r="AD633" i="36" s="1"/>
  <c r="AC633" i="36" s="1"/>
  <c r="AD634" i="36" s="1"/>
  <c r="AC634" i="36" s="1"/>
  <c r="AD635" i="36" s="1"/>
  <c r="AC635" i="36" s="1"/>
  <c r="AD636" i="36" s="1"/>
  <c r="AC636" i="36" s="1"/>
  <c r="AD637" i="36" s="1"/>
  <c r="AC637" i="36" s="1"/>
  <c r="AD638" i="36" s="1"/>
  <c r="AC638" i="36" s="1"/>
  <c r="AD639" i="36" s="1"/>
  <c r="AC639" i="36" s="1"/>
  <c r="AD640" i="36" s="1"/>
  <c r="AC640" i="36" s="1"/>
  <c r="AD641" i="36" s="1"/>
  <c r="AC641" i="36" s="1"/>
  <c r="AD642" i="36" s="1"/>
  <c r="AC642" i="36" s="1"/>
  <c r="AD643" i="36" s="1"/>
  <c r="AC643" i="36" s="1"/>
  <c r="AD644" i="36" s="1"/>
  <c r="AC644" i="36" s="1"/>
  <c r="AD645" i="36" s="1"/>
  <c r="AC645" i="36" s="1"/>
  <c r="AD646" i="36" s="1"/>
  <c r="AC646" i="36" s="1"/>
  <c r="AD647" i="36" s="1"/>
  <c r="AC647" i="36" s="1"/>
  <c r="AD648" i="36" s="1"/>
  <c r="AC648" i="36" s="1"/>
  <c r="AD649" i="36" s="1"/>
  <c r="AC649" i="36" s="1"/>
  <c r="AD650" i="36" s="1"/>
  <c r="AC650" i="36" s="1"/>
  <c r="AD651" i="36" s="1"/>
  <c r="AC651" i="36" s="1"/>
  <c r="AD652" i="36" s="1"/>
  <c r="AC652" i="36" s="1"/>
  <c r="AD653" i="36" s="1"/>
  <c r="AC653" i="36" s="1"/>
  <c r="AD654" i="36" s="1"/>
  <c r="AC654" i="36" s="1"/>
  <c r="AD655" i="36" s="1"/>
  <c r="AC655" i="36" s="1"/>
  <c r="AD656" i="36" s="1"/>
  <c r="AC656" i="36" s="1"/>
  <c r="AD657" i="36" s="1"/>
  <c r="AC657" i="36" s="1"/>
  <c r="AD658" i="36" s="1"/>
  <c r="AC658" i="36" s="1"/>
  <c r="AD659" i="36" s="1"/>
  <c r="AC659" i="36" s="1"/>
  <c r="AD660" i="36" s="1"/>
  <c r="AC660" i="36" s="1"/>
  <c r="AD661" i="36" s="1"/>
  <c r="AC661" i="36" s="1"/>
  <c r="AD662" i="36" s="1"/>
  <c r="AC662" i="36" s="1"/>
  <c r="AD663" i="36" s="1"/>
  <c r="AC663" i="36" s="1"/>
  <c r="AD664" i="36" s="1"/>
  <c r="AC664" i="36" s="1"/>
  <c r="AD665" i="36" s="1"/>
  <c r="AC665" i="36" s="1"/>
  <c r="AD666" i="36" s="1"/>
  <c r="AC666" i="36" s="1"/>
  <c r="AD667" i="36" s="1"/>
  <c r="AC667" i="36" s="1"/>
  <c r="AD668" i="36" s="1"/>
  <c r="AC668" i="36" s="1"/>
  <c r="AD669" i="36" s="1"/>
  <c r="AC669" i="36" s="1"/>
  <c r="AD670" i="36" s="1"/>
  <c r="AC670" i="36" s="1"/>
  <c r="AD671" i="36" s="1"/>
  <c r="AC671" i="36" s="1"/>
  <c r="AD672" i="36" s="1"/>
  <c r="AC672" i="36" s="1"/>
  <c r="AD673" i="36" s="1"/>
  <c r="AC673" i="36" s="1"/>
  <c r="AD674" i="36" s="1"/>
  <c r="AC674" i="36" s="1"/>
  <c r="AD675" i="36" s="1"/>
  <c r="AC675" i="36" s="1"/>
  <c r="AD676" i="36" s="1"/>
  <c r="AC676" i="36" s="1"/>
  <c r="AD677" i="36" s="1"/>
  <c r="AC677" i="36" s="1"/>
  <c r="AD678" i="36" s="1"/>
  <c r="AC678" i="36" s="1"/>
  <c r="AD679" i="36" s="1"/>
  <c r="AC679" i="36" s="1"/>
  <c r="AD680" i="36" s="1"/>
  <c r="AC680" i="36" s="1"/>
  <c r="AD681" i="36" s="1"/>
  <c r="AC681" i="36" s="1"/>
  <c r="AD682" i="36" s="1"/>
  <c r="AC682" i="36" s="1"/>
  <c r="AD683" i="36" s="1"/>
  <c r="AC683" i="36" s="1"/>
  <c r="AD684" i="36" s="1"/>
  <c r="AC684" i="36" s="1"/>
  <c r="AD685" i="36" s="1"/>
  <c r="AC685" i="36" s="1"/>
  <c r="AD686" i="36" s="1"/>
  <c r="AC686" i="36" s="1"/>
  <c r="AD687" i="36" s="1"/>
  <c r="AC687" i="36" s="1"/>
  <c r="AD688" i="36" s="1"/>
  <c r="AC688" i="36" s="1"/>
  <c r="AD689" i="36" s="1"/>
  <c r="AC689" i="36" s="1"/>
  <c r="AD690" i="36" s="1"/>
  <c r="AC690" i="36" s="1"/>
  <c r="AD691" i="36" s="1"/>
  <c r="AC691" i="36" s="1"/>
  <c r="AD692" i="36" s="1"/>
  <c r="AC692" i="36" s="1"/>
  <c r="AD693" i="36" s="1"/>
  <c r="AC693" i="36" s="1"/>
  <c r="AD694" i="36" s="1"/>
  <c r="AC694" i="36" s="1"/>
  <c r="AD695" i="36" s="1"/>
  <c r="AC695" i="36" s="1"/>
  <c r="AD696" i="36" s="1"/>
  <c r="AC696" i="36" s="1"/>
  <c r="AD697" i="36" s="1"/>
  <c r="AC697" i="36" s="1"/>
  <c r="AD698" i="36" s="1"/>
  <c r="AC698" i="36" s="1"/>
  <c r="AD699" i="36" s="1"/>
  <c r="AC699" i="36" s="1"/>
  <c r="AD700" i="36" s="1"/>
  <c r="AC700" i="36" s="1"/>
  <c r="AD701" i="36" s="1"/>
  <c r="AC701" i="36" s="1"/>
  <c r="AD702" i="36" s="1"/>
  <c r="AC702" i="36" s="1"/>
  <c r="AD703" i="36" s="1"/>
  <c r="AC703" i="36" s="1"/>
  <c r="AD704" i="36" s="1"/>
  <c r="AC704" i="36" s="1"/>
  <c r="AD705" i="36" s="1"/>
  <c r="AC705" i="36" s="1"/>
  <c r="AD706" i="36" s="1"/>
  <c r="AC706" i="36" s="1"/>
  <c r="AD707" i="36" s="1"/>
  <c r="AC707" i="36" s="1"/>
  <c r="AD708" i="36" s="1"/>
  <c r="AC708" i="36" s="1"/>
  <c r="AD709" i="36" s="1"/>
  <c r="AC709" i="36" s="1"/>
  <c r="AD710" i="36" s="1"/>
  <c r="AC710" i="36" s="1"/>
  <c r="AD711" i="36" s="1"/>
  <c r="AC711" i="36" s="1"/>
  <c r="AD712" i="36" s="1"/>
  <c r="AC712" i="36" s="1"/>
  <c r="AD713" i="36" s="1"/>
  <c r="AC713" i="36" s="1"/>
  <c r="AD714" i="36" s="1"/>
  <c r="AC714" i="36" s="1"/>
  <c r="AD715" i="36" s="1"/>
  <c r="AC715" i="36" s="1"/>
  <c r="AD716" i="36" s="1"/>
  <c r="AC716" i="36" s="1"/>
  <c r="AD717" i="36" s="1"/>
  <c r="AC717" i="36" s="1"/>
  <c r="AD718" i="36" s="1"/>
  <c r="AC718" i="36" s="1"/>
  <c r="AD719" i="36" s="1"/>
  <c r="AC719" i="36" s="1"/>
  <c r="AD720" i="36" s="1"/>
  <c r="AC720" i="36" s="1"/>
  <c r="AD721" i="36" s="1"/>
  <c r="AC721" i="36" s="1"/>
  <c r="AD722" i="36" s="1"/>
  <c r="AC722" i="36" s="1"/>
  <c r="AD723" i="36" s="1"/>
  <c r="AC723" i="36" s="1"/>
  <c r="AD724" i="36" s="1"/>
  <c r="AF12" i="7"/>
  <c r="E13" i="7"/>
  <c r="I21" i="5"/>
  <c r="J21" i="5" s="1"/>
  <c r="B25" i="5"/>
  <c r="C23" i="5"/>
  <c r="D23" i="5" s="1"/>
  <c r="H24" i="5"/>
  <c r="F22" i="5"/>
  <c r="G22" i="5"/>
  <c r="K22" i="5" s="1"/>
  <c r="E22" i="5"/>
  <c r="S12" i="13"/>
  <c r="S13" i="28"/>
  <c r="E14" i="28"/>
  <c r="E17" i="27"/>
  <c r="Q13" i="1"/>
  <c r="T9" i="1" l="1"/>
  <c r="S9" i="1"/>
  <c r="E14" i="13"/>
  <c r="R14" i="13" s="1"/>
  <c r="T14" i="13" s="1"/>
  <c r="U14" i="13" s="1"/>
  <c r="AE13" i="13"/>
  <c r="AF13" i="13" s="1"/>
  <c r="AF12" i="13"/>
  <c r="R13" i="13"/>
  <c r="S13" i="13" s="1"/>
  <c r="O10" i="1"/>
  <c r="X10" i="1" s="1"/>
  <c r="U9" i="1"/>
  <c r="V9" i="1" s="1"/>
  <c r="W9" i="1" s="1"/>
  <c r="AD9" i="1" s="1"/>
  <c r="V8" i="1"/>
  <c r="W8" i="1" s="1"/>
  <c r="AD8" i="1" s="1"/>
  <c r="AC724" i="36"/>
  <c r="AD725" i="36" s="1"/>
  <c r="AF13" i="7"/>
  <c r="E14" i="7"/>
  <c r="I22" i="5"/>
  <c r="J22" i="5" s="1"/>
  <c r="G23" i="5"/>
  <c r="K23" i="5" s="1"/>
  <c r="F23" i="5"/>
  <c r="E23" i="5"/>
  <c r="H25" i="5"/>
  <c r="B26" i="5"/>
  <c r="C24" i="5"/>
  <c r="D24" i="5" s="1"/>
  <c r="S14" i="28"/>
  <c r="E15" i="28"/>
  <c r="E18" i="27"/>
  <c r="Q14" i="1"/>
  <c r="E15" i="13" l="1"/>
  <c r="K15" i="13" s="1"/>
  <c r="K14" i="13"/>
  <c r="AE14" i="13"/>
  <c r="AF14" i="13" s="1"/>
  <c r="AG13" i="13"/>
  <c r="AH13" i="13" s="1"/>
  <c r="T13" i="13"/>
  <c r="U13" i="13" s="1"/>
  <c r="T10" i="1"/>
  <c r="S10" i="1"/>
  <c r="O11" i="1"/>
  <c r="T11" i="1" s="1"/>
  <c r="U10" i="1"/>
  <c r="AC725" i="36"/>
  <c r="AD726" i="36" s="1"/>
  <c r="AF14" i="7"/>
  <c r="E15" i="7"/>
  <c r="S14" i="13"/>
  <c r="I23" i="5"/>
  <c r="J23" i="5" s="1"/>
  <c r="G24" i="5"/>
  <c r="K24" i="5" s="1"/>
  <c r="F24" i="5"/>
  <c r="E24" i="5"/>
  <c r="B27" i="5"/>
  <c r="H26" i="5"/>
  <c r="C25" i="5"/>
  <c r="D25" i="5" s="1"/>
  <c r="S15" i="28"/>
  <c r="E16" i="28"/>
  <c r="E19" i="27"/>
  <c r="Q15" i="1"/>
  <c r="E16" i="13" l="1"/>
  <c r="AE16" i="13" s="1"/>
  <c r="AF16" i="13" s="1"/>
  <c r="R15" i="13"/>
  <c r="T15" i="13" s="1"/>
  <c r="U15" i="13" s="1"/>
  <c r="AE15" i="13"/>
  <c r="AG15" i="13" s="1"/>
  <c r="AH15" i="13" s="1"/>
  <c r="AG14" i="13"/>
  <c r="AH14" i="13" s="1"/>
  <c r="V10" i="1"/>
  <c r="W10" i="1" s="1"/>
  <c r="AD10" i="1" s="1"/>
  <c r="X11" i="1"/>
  <c r="S11" i="1"/>
  <c r="O12" i="1"/>
  <c r="S12" i="1" s="1"/>
  <c r="U11" i="1"/>
  <c r="AC726" i="36"/>
  <c r="AD727" i="36" s="1"/>
  <c r="AC727" i="36" s="1"/>
  <c r="AD728" i="36" s="1"/>
  <c r="AC728" i="36" s="1"/>
  <c r="AD729" i="36" s="1"/>
  <c r="AC729" i="36" s="1"/>
  <c r="AD730" i="36" s="1"/>
  <c r="AC730" i="36" s="1"/>
  <c r="AD731" i="36" s="1"/>
  <c r="AC731" i="36" s="1"/>
  <c r="AD732" i="36" s="1"/>
  <c r="AC732" i="36" s="1"/>
  <c r="AD733" i="36" s="1"/>
  <c r="AC733" i="36" s="1"/>
  <c r="AD734" i="36" s="1"/>
  <c r="AC734" i="36" s="1"/>
  <c r="AD735" i="36" s="1"/>
  <c r="AC735" i="36" s="1"/>
  <c r="AD736" i="36" s="1"/>
  <c r="AC736" i="36" s="1"/>
  <c r="AD737" i="36" s="1"/>
  <c r="AC737" i="36" s="1"/>
  <c r="AD738" i="36" s="1"/>
  <c r="AC738" i="36" s="1"/>
  <c r="AD739" i="36" s="1"/>
  <c r="AC739" i="36" s="1"/>
  <c r="AD740" i="36" s="1"/>
  <c r="AC740" i="36" s="1"/>
  <c r="AD741" i="36" s="1"/>
  <c r="AC741" i="36" s="1"/>
  <c r="AD742" i="36" s="1"/>
  <c r="AC742" i="36" s="1"/>
  <c r="AD743" i="36" s="1"/>
  <c r="AC743" i="36" s="1"/>
  <c r="AD744" i="36" s="1"/>
  <c r="AC744" i="36" s="1"/>
  <c r="AD745" i="36" s="1"/>
  <c r="AC745" i="36" s="1"/>
  <c r="AD746" i="36" s="1"/>
  <c r="AC746" i="36" s="1"/>
  <c r="AD747" i="36" s="1"/>
  <c r="AC747" i="36" s="1"/>
  <c r="AD748" i="36" s="1"/>
  <c r="AC748" i="36" s="1"/>
  <c r="AD749" i="36" s="1"/>
  <c r="AC749" i="36" s="1"/>
  <c r="AD750" i="36" s="1"/>
  <c r="AC750" i="36" s="1"/>
  <c r="AD751" i="36" s="1"/>
  <c r="AC751" i="36" s="1"/>
  <c r="AD752" i="36" s="1"/>
  <c r="AC752" i="36" s="1"/>
  <c r="AD753" i="36" s="1"/>
  <c r="AC753" i="36" s="1"/>
  <c r="AD754" i="36" s="1"/>
  <c r="AF15" i="7"/>
  <c r="E16" i="7"/>
  <c r="I24" i="5"/>
  <c r="J24" i="5" s="1"/>
  <c r="F25" i="5"/>
  <c r="E25" i="5"/>
  <c r="G25" i="5"/>
  <c r="K25" i="5" s="1"/>
  <c r="C26" i="5"/>
  <c r="D26" i="5" s="1"/>
  <c r="H27" i="5"/>
  <c r="B28" i="5"/>
  <c r="S16" i="28"/>
  <c r="E17" i="28"/>
  <c r="E20" i="27"/>
  <c r="Q16" i="1"/>
  <c r="S15" i="13" l="1"/>
  <c r="E17" i="13"/>
  <c r="R17" i="13" s="1"/>
  <c r="T17" i="13" s="1"/>
  <c r="U17" i="13" s="1"/>
  <c r="R16" i="13"/>
  <c r="T16" i="13" s="1"/>
  <c r="U16" i="13" s="1"/>
  <c r="K16" i="13"/>
  <c r="AF15" i="13"/>
  <c r="X12" i="1"/>
  <c r="T12" i="1"/>
  <c r="V11" i="1"/>
  <c r="W11" i="1" s="1"/>
  <c r="AD11" i="1" s="1"/>
  <c r="U12" i="1"/>
  <c r="O13" i="1"/>
  <c r="AC754" i="36"/>
  <c r="AD755" i="36"/>
  <c r="AC755" i="36" s="1"/>
  <c r="I16" i="36" s="1"/>
  <c r="J16" i="36" s="1"/>
  <c r="AF16" i="7"/>
  <c r="E17" i="7"/>
  <c r="H28" i="5"/>
  <c r="C27" i="5"/>
  <c r="D27" i="5" s="1"/>
  <c r="B29" i="5"/>
  <c r="I25" i="5"/>
  <c r="J25" i="5" s="1"/>
  <c r="F26" i="5"/>
  <c r="E26" i="5"/>
  <c r="G26" i="5"/>
  <c r="K26" i="5" s="1"/>
  <c r="AG16" i="13"/>
  <c r="AH16" i="13" s="1"/>
  <c r="S17" i="28"/>
  <c r="E18" i="28"/>
  <c r="Q17" i="1"/>
  <c r="E21" i="27"/>
  <c r="E18" i="13" l="1"/>
  <c r="R18" i="13" s="1"/>
  <c r="T18" i="13" s="1"/>
  <c r="U18" i="13" s="1"/>
  <c r="K17" i="13"/>
  <c r="AE17" i="13"/>
  <c r="AG17" i="13" s="1"/>
  <c r="AH17" i="13" s="1"/>
  <c r="S16" i="13"/>
  <c r="V12" i="1"/>
  <c r="W12" i="1" s="1"/>
  <c r="AD12" i="1" s="1"/>
  <c r="X13" i="1"/>
  <c r="T13" i="1"/>
  <c r="O14" i="1"/>
  <c r="U13" i="1"/>
  <c r="S13" i="1"/>
  <c r="AF17" i="7"/>
  <c r="E18" i="7"/>
  <c r="S17" i="13"/>
  <c r="H29" i="5"/>
  <c r="C28" i="5"/>
  <c r="D28" i="5" s="1"/>
  <c r="B30" i="5"/>
  <c r="I26" i="5"/>
  <c r="J26" i="5" s="1"/>
  <c r="E27" i="5"/>
  <c r="F27" i="5"/>
  <c r="G27" i="5"/>
  <c r="K27" i="5" s="1"/>
  <c r="S18" i="28"/>
  <c r="E19" i="28"/>
  <c r="E22" i="27"/>
  <c r="Q18" i="1"/>
  <c r="E19" i="13" l="1"/>
  <c r="K19" i="13" s="1"/>
  <c r="AF17" i="13"/>
  <c r="AE18" i="13"/>
  <c r="AG18" i="13" s="1"/>
  <c r="AH18" i="13" s="1"/>
  <c r="T14" i="1"/>
  <c r="X14" i="1"/>
  <c r="O15" i="1"/>
  <c r="U14" i="1"/>
  <c r="S14" i="1"/>
  <c r="V13" i="1"/>
  <c r="W13" i="1" s="1"/>
  <c r="AD13" i="1" s="1"/>
  <c r="AF18" i="7"/>
  <c r="E19" i="7"/>
  <c r="S18" i="13"/>
  <c r="H30" i="5"/>
  <c r="C29" i="5"/>
  <c r="D29" i="5" s="1"/>
  <c r="B31" i="5"/>
  <c r="E28" i="5"/>
  <c r="F28" i="5"/>
  <c r="G28" i="5"/>
  <c r="K28" i="5" s="1"/>
  <c r="I27" i="5"/>
  <c r="J27" i="5" s="1"/>
  <c r="S19" i="28"/>
  <c r="E20" i="28"/>
  <c r="Q19" i="1"/>
  <c r="E23" i="27"/>
  <c r="E20" i="13" l="1"/>
  <c r="AE20" i="13" s="1"/>
  <c r="AF20" i="13" s="1"/>
  <c r="R19" i="13"/>
  <c r="S19" i="13" s="1"/>
  <c r="AE19" i="13"/>
  <c r="AG19" i="13" s="1"/>
  <c r="AH19" i="13" s="1"/>
  <c r="AF18" i="13"/>
  <c r="V14" i="1"/>
  <c r="W14" i="1" s="1"/>
  <c r="AD14" i="1" s="1"/>
  <c r="T15" i="1"/>
  <c r="X15" i="1"/>
  <c r="O16" i="1"/>
  <c r="S15" i="1"/>
  <c r="U15" i="1"/>
  <c r="AF19" i="7"/>
  <c r="E20" i="7"/>
  <c r="I28" i="5"/>
  <c r="J28" i="5" s="1"/>
  <c r="C30" i="5"/>
  <c r="D30" i="5" s="1"/>
  <c r="H31" i="5"/>
  <c r="B32" i="5"/>
  <c r="G29" i="5"/>
  <c r="K29" i="5" s="1"/>
  <c r="F29" i="5"/>
  <c r="E29" i="5"/>
  <c r="S20" i="28"/>
  <c r="E21" i="28"/>
  <c r="E24" i="27"/>
  <c r="Q20" i="1"/>
  <c r="R20" i="13" l="1"/>
  <c r="T20" i="13" s="1"/>
  <c r="U20" i="13" s="1"/>
  <c r="K20" i="13"/>
  <c r="E21" i="13"/>
  <c r="K21" i="13" s="1"/>
  <c r="T19" i="13"/>
  <c r="U19" i="13" s="1"/>
  <c r="AF19" i="13"/>
  <c r="V15" i="1"/>
  <c r="W15" i="1" s="1"/>
  <c r="AD15" i="1" s="1"/>
  <c r="S16" i="1"/>
  <c r="U16" i="1"/>
  <c r="X16" i="1"/>
  <c r="T16" i="1"/>
  <c r="O17" i="1"/>
  <c r="AF20" i="7"/>
  <c r="E21" i="7"/>
  <c r="AG20" i="13"/>
  <c r="AH20" i="13" s="1"/>
  <c r="H32" i="5"/>
  <c r="C31" i="5"/>
  <c r="D31" i="5" s="1"/>
  <c r="B33" i="5"/>
  <c r="I29" i="5"/>
  <c r="J29" i="5" s="1"/>
  <c r="E30" i="5"/>
  <c r="F30" i="5"/>
  <c r="G30" i="5"/>
  <c r="K30" i="5" s="1"/>
  <c r="S21" i="28"/>
  <c r="E22" i="28"/>
  <c r="Q21" i="1"/>
  <c r="E25" i="27"/>
  <c r="AE21" i="13" l="1"/>
  <c r="AG21" i="13" s="1"/>
  <c r="AH21" i="13" s="1"/>
  <c r="S20" i="13"/>
  <c r="R21" i="13"/>
  <c r="T21" i="13" s="1"/>
  <c r="U21" i="13" s="1"/>
  <c r="E22" i="13"/>
  <c r="K22" i="13" s="1"/>
  <c r="V16" i="1"/>
  <c r="W16" i="1" s="1"/>
  <c r="AD16" i="1" s="1"/>
  <c r="O18" i="1"/>
  <c r="U17" i="1"/>
  <c r="T17" i="1"/>
  <c r="X17" i="1"/>
  <c r="S17" i="1"/>
  <c r="AF21" i="7"/>
  <c r="E22" i="7"/>
  <c r="AF21" i="13"/>
  <c r="C32" i="5"/>
  <c r="D32" i="5" s="1"/>
  <c r="H33" i="5"/>
  <c r="B34" i="5"/>
  <c r="G31" i="5"/>
  <c r="K31" i="5" s="1"/>
  <c r="F31" i="5"/>
  <c r="E31" i="5"/>
  <c r="I30" i="5"/>
  <c r="J30" i="5" s="1"/>
  <c r="S22" i="28"/>
  <c r="E23" i="28"/>
  <c r="Q22" i="1"/>
  <c r="E26" i="27"/>
  <c r="S21" i="13" l="1"/>
  <c r="E23" i="13"/>
  <c r="K23" i="13" s="1"/>
  <c r="R22" i="13"/>
  <c r="T22" i="13" s="1"/>
  <c r="U22" i="13" s="1"/>
  <c r="AE22" i="13"/>
  <c r="AG22" i="13" s="1"/>
  <c r="AH22" i="13" s="1"/>
  <c r="V17" i="1"/>
  <c r="W17" i="1" s="1"/>
  <c r="AD17" i="1" s="1"/>
  <c r="T18" i="1"/>
  <c r="S18" i="1"/>
  <c r="U18" i="1"/>
  <c r="O19" i="1"/>
  <c r="X18" i="1"/>
  <c r="AF22" i="7"/>
  <c r="E23" i="7"/>
  <c r="B35" i="5"/>
  <c r="H34" i="5"/>
  <c r="C33" i="5"/>
  <c r="D33" i="5" s="1"/>
  <c r="I31" i="5"/>
  <c r="J31" i="5" s="1"/>
  <c r="G32" i="5"/>
  <c r="K32" i="5" s="1"/>
  <c r="E32" i="5"/>
  <c r="F32" i="5"/>
  <c r="S23" i="28"/>
  <c r="E24" i="28"/>
  <c r="E27" i="27"/>
  <c r="Q23" i="1"/>
  <c r="S22" i="13" l="1"/>
  <c r="AE23" i="13"/>
  <c r="AF23" i="13" s="1"/>
  <c r="E24" i="13"/>
  <c r="AE24" i="13" s="1"/>
  <c r="AF24" i="13" s="1"/>
  <c r="AF22" i="13"/>
  <c r="R23" i="13"/>
  <c r="T23" i="13" s="1"/>
  <c r="U23" i="13" s="1"/>
  <c r="X19" i="1"/>
  <c r="T19" i="1"/>
  <c r="U19" i="1"/>
  <c r="O20" i="1"/>
  <c r="S19" i="1"/>
  <c r="V18" i="1"/>
  <c r="W18" i="1" s="1"/>
  <c r="AD18" i="1" s="1"/>
  <c r="AF23" i="7"/>
  <c r="E24" i="7"/>
  <c r="E33" i="5"/>
  <c r="F33" i="5"/>
  <c r="G33" i="5"/>
  <c r="K33" i="5" s="1"/>
  <c r="I32" i="5"/>
  <c r="J32" i="5" s="1"/>
  <c r="H35" i="5"/>
  <c r="C34" i="5"/>
  <c r="D34" i="5" s="1"/>
  <c r="B36" i="5"/>
  <c r="S24" i="28"/>
  <c r="E25" i="28"/>
  <c r="Q24" i="1"/>
  <c r="E28" i="27"/>
  <c r="E25" i="13" l="1"/>
  <c r="K25" i="13" s="1"/>
  <c r="R24" i="13"/>
  <c r="T24" i="13" s="1"/>
  <c r="U24" i="13" s="1"/>
  <c r="AG23" i="13"/>
  <c r="AH23" i="13" s="1"/>
  <c r="S23" i="13"/>
  <c r="K24" i="13"/>
  <c r="X20" i="1"/>
  <c r="S20" i="1"/>
  <c r="U20" i="1"/>
  <c r="O21" i="1"/>
  <c r="T20" i="1"/>
  <c r="V19" i="1"/>
  <c r="W19" i="1" s="1"/>
  <c r="AD19" i="1" s="1"/>
  <c r="AG24" i="13"/>
  <c r="AH24" i="13" s="1"/>
  <c r="AF24" i="7"/>
  <c r="E25" i="7"/>
  <c r="H36" i="5"/>
  <c r="C35" i="5"/>
  <c r="D35" i="5" s="1"/>
  <c r="B37" i="5"/>
  <c r="G34" i="5"/>
  <c r="K34" i="5" s="1"/>
  <c r="F34" i="5"/>
  <c r="E34" i="5"/>
  <c r="I33" i="5"/>
  <c r="J33" i="5" s="1"/>
  <c r="E26" i="28"/>
  <c r="S25" i="28"/>
  <c r="Q25" i="1"/>
  <c r="E29" i="27"/>
  <c r="E26" i="13" l="1"/>
  <c r="R26" i="13" s="1"/>
  <c r="S26" i="13" s="1"/>
  <c r="S24" i="13"/>
  <c r="AE25" i="13"/>
  <c r="AG25" i="13" s="1"/>
  <c r="AH25" i="13" s="1"/>
  <c r="R25" i="13"/>
  <c r="S25" i="13" s="1"/>
  <c r="V20" i="1"/>
  <c r="W20" i="1" s="1"/>
  <c r="AD20" i="1" s="1"/>
  <c r="T21" i="1"/>
  <c r="U21" i="1"/>
  <c r="S21" i="1"/>
  <c r="O22" i="1"/>
  <c r="X21" i="1"/>
  <c r="AF25" i="7"/>
  <c r="E26" i="7"/>
  <c r="B38" i="5"/>
  <c r="H37" i="5"/>
  <c r="C36" i="5"/>
  <c r="D36" i="5" s="1"/>
  <c r="I34" i="5"/>
  <c r="J34" i="5" s="1"/>
  <c r="F35" i="5"/>
  <c r="E35" i="5"/>
  <c r="G35" i="5"/>
  <c r="K35" i="5" s="1"/>
  <c r="S26" i="28"/>
  <c r="E27" i="28"/>
  <c r="Q26" i="1"/>
  <c r="E30" i="27"/>
  <c r="E27" i="13" l="1"/>
  <c r="AE27" i="13" s="1"/>
  <c r="AG27" i="13" s="1"/>
  <c r="AH27" i="13" s="1"/>
  <c r="K26" i="13"/>
  <c r="AE26" i="13"/>
  <c r="AF26" i="13" s="1"/>
  <c r="AF25" i="13"/>
  <c r="T25" i="13"/>
  <c r="U25" i="13" s="1"/>
  <c r="U22" i="1"/>
  <c r="T22" i="1"/>
  <c r="X22" i="1"/>
  <c r="O23" i="1"/>
  <c r="S22" i="1"/>
  <c r="V21" i="1"/>
  <c r="W21" i="1" s="1"/>
  <c r="AD21" i="1" s="1"/>
  <c r="T26" i="13"/>
  <c r="U26" i="13" s="1"/>
  <c r="AF26" i="7"/>
  <c r="E27" i="7"/>
  <c r="G36" i="5"/>
  <c r="K36" i="5" s="1"/>
  <c r="F36" i="5"/>
  <c r="E36" i="5"/>
  <c r="I35" i="5"/>
  <c r="J35" i="5" s="1"/>
  <c r="C37" i="5"/>
  <c r="D37" i="5" s="1"/>
  <c r="B39" i="5"/>
  <c r="H38" i="5"/>
  <c r="E28" i="28"/>
  <c r="S27" i="28"/>
  <c r="E31" i="27"/>
  <c r="Q27" i="1"/>
  <c r="R27" i="13" l="1"/>
  <c r="S27" i="13" s="1"/>
  <c r="E28" i="13"/>
  <c r="AE28" i="13" s="1"/>
  <c r="AG28" i="13" s="1"/>
  <c r="AH28" i="13" s="1"/>
  <c r="AG26" i="13"/>
  <c r="AH26" i="13" s="1"/>
  <c r="K27" i="13"/>
  <c r="V22" i="1"/>
  <c r="W22" i="1" s="1"/>
  <c r="AD22" i="1" s="1"/>
  <c r="S23" i="1"/>
  <c r="O24" i="1"/>
  <c r="X23" i="1"/>
  <c r="T23" i="1"/>
  <c r="U23" i="1"/>
  <c r="AF27" i="13"/>
  <c r="AF27" i="7"/>
  <c r="E28" i="7"/>
  <c r="I36" i="5"/>
  <c r="J36" i="5" s="1"/>
  <c r="B40" i="5"/>
  <c r="C38" i="5"/>
  <c r="D38" i="5" s="1"/>
  <c r="H39" i="5"/>
  <c r="G37" i="5"/>
  <c r="K37" i="5" s="1"/>
  <c r="E37" i="5"/>
  <c r="F37" i="5"/>
  <c r="S28" i="28"/>
  <c r="E29" i="28"/>
  <c r="Q28" i="1"/>
  <c r="E32" i="27"/>
  <c r="T27" i="13" l="1"/>
  <c r="U27" i="13" s="1"/>
  <c r="E29" i="13"/>
  <c r="R29" i="13" s="1"/>
  <c r="S29" i="13" s="1"/>
  <c r="R28" i="13"/>
  <c r="T28" i="13" s="1"/>
  <c r="U28" i="13" s="1"/>
  <c r="K28" i="13"/>
  <c r="V23" i="1"/>
  <c r="W23" i="1" s="1"/>
  <c r="AD23" i="1" s="1"/>
  <c r="S24" i="1"/>
  <c r="X24" i="1"/>
  <c r="T24" i="1"/>
  <c r="O25" i="1"/>
  <c r="U24" i="1"/>
  <c r="AF28" i="13"/>
  <c r="AF28" i="7"/>
  <c r="E29" i="7"/>
  <c r="F38" i="5"/>
  <c r="E38" i="5"/>
  <c r="G38" i="5"/>
  <c r="K38" i="5" s="1"/>
  <c r="I37" i="5"/>
  <c r="J37" i="5" s="1"/>
  <c r="B41" i="5"/>
  <c r="H40" i="5"/>
  <c r="C39" i="5"/>
  <c r="D39" i="5" s="1"/>
  <c r="S29" i="28"/>
  <c r="E30" i="28"/>
  <c r="E33" i="27"/>
  <c r="Q29" i="1"/>
  <c r="AE29" i="13" l="1"/>
  <c r="AG29" i="13" s="1"/>
  <c r="AH29" i="13" s="1"/>
  <c r="E30" i="13"/>
  <c r="R30" i="13" s="1"/>
  <c r="T30" i="13" s="1"/>
  <c r="U30" i="13" s="1"/>
  <c r="K29" i="13"/>
  <c r="S28" i="13"/>
  <c r="T25" i="1"/>
  <c r="X25" i="1"/>
  <c r="U25" i="1"/>
  <c r="O26" i="1"/>
  <c r="S25" i="1"/>
  <c r="V24" i="1"/>
  <c r="W24" i="1" s="1"/>
  <c r="AD24" i="1" s="1"/>
  <c r="T29" i="13"/>
  <c r="U29" i="13" s="1"/>
  <c r="AF29" i="7"/>
  <c r="E30" i="7"/>
  <c r="E39" i="5"/>
  <c r="F39" i="5"/>
  <c r="G39" i="5"/>
  <c r="K39" i="5" s="1"/>
  <c r="I38" i="5"/>
  <c r="J38" i="5" s="1"/>
  <c r="B42" i="5"/>
  <c r="H41" i="5"/>
  <c r="C40" i="5"/>
  <c r="D40" i="5" s="1"/>
  <c r="S30" i="28"/>
  <c r="E31" i="28"/>
  <c r="Q30" i="1"/>
  <c r="E34" i="27"/>
  <c r="E31" i="13" l="1"/>
  <c r="K31" i="13" s="1"/>
  <c r="AE30" i="13"/>
  <c r="AF30" i="13" s="1"/>
  <c r="AF29" i="13"/>
  <c r="V25" i="1"/>
  <c r="W25" i="1" s="1"/>
  <c r="AD25" i="1" s="1"/>
  <c r="U26" i="1"/>
  <c r="X26" i="1"/>
  <c r="O27" i="1"/>
  <c r="S26" i="1"/>
  <c r="T26" i="1"/>
  <c r="S30" i="13"/>
  <c r="AF30" i="7"/>
  <c r="E31" i="7"/>
  <c r="F40" i="5"/>
  <c r="G40" i="5"/>
  <c r="K40" i="5" s="1"/>
  <c r="E40" i="5"/>
  <c r="C41" i="5"/>
  <c r="D41" i="5" s="1"/>
  <c r="H42" i="5"/>
  <c r="B43" i="5"/>
  <c r="I39" i="5"/>
  <c r="J39" i="5" s="1"/>
  <c r="S31" i="28"/>
  <c r="E32" i="28"/>
  <c r="E35" i="27"/>
  <c r="Q31" i="1"/>
  <c r="AG30" i="13" l="1"/>
  <c r="AH30" i="13" s="1"/>
  <c r="E32" i="13"/>
  <c r="AE32" i="13" s="1"/>
  <c r="AF32" i="13" s="1"/>
  <c r="R31" i="13"/>
  <c r="T31" i="13" s="1"/>
  <c r="U31" i="13" s="1"/>
  <c r="AE31" i="13"/>
  <c r="AG31" i="13" s="1"/>
  <c r="AH31" i="13" s="1"/>
  <c r="V26" i="1"/>
  <c r="W26" i="1" s="1"/>
  <c r="AD26" i="1" s="1"/>
  <c r="O28" i="1"/>
  <c r="S27" i="1"/>
  <c r="X27" i="1"/>
  <c r="U27" i="1"/>
  <c r="T27" i="1"/>
  <c r="AF31" i="7"/>
  <c r="E32" i="7"/>
  <c r="G41" i="5"/>
  <c r="K41" i="5" s="1"/>
  <c r="F41" i="5"/>
  <c r="E41" i="5"/>
  <c r="I40" i="5"/>
  <c r="J40" i="5" s="1"/>
  <c r="B44" i="5"/>
  <c r="H43" i="5"/>
  <c r="C42" i="5"/>
  <c r="D42" i="5" s="1"/>
  <c r="S32" i="28"/>
  <c r="E33" i="28"/>
  <c r="E36" i="27"/>
  <c r="Q32" i="1"/>
  <c r="R32" i="13" l="1"/>
  <c r="S32" i="13" s="1"/>
  <c r="E33" i="13"/>
  <c r="AE33" i="13" s="1"/>
  <c r="AF33" i="13" s="1"/>
  <c r="AF31" i="13"/>
  <c r="K32" i="13"/>
  <c r="S31" i="13"/>
  <c r="V27" i="1"/>
  <c r="W27" i="1" s="1"/>
  <c r="AD27" i="1" s="1"/>
  <c r="O29" i="1"/>
  <c r="X28" i="1"/>
  <c r="U28" i="1"/>
  <c r="S28" i="1"/>
  <c r="T28" i="1"/>
  <c r="AG32" i="13"/>
  <c r="AH32" i="13" s="1"/>
  <c r="AF32" i="7"/>
  <c r="E33" i="7"/>
  <c r="F42" i="5"/>
  <c r="G42" i="5"/>
  <c r="K42" i="5" s="1"/>
  <c r="E42" i="5"/>
  <c r="I41" i="5"/>
  <c r="J41" i="5" s="1"/>
  <c r="H44" i="5"/>
  <c r="C43" i="5"/>
  <c r="D43" i="5" s="1"/>
  <c r="B45" i="5"/>
  <c r="S33" i="28"/>
  <c r="E34" i="28"/>
  <c r="Q33" i="1"/>
  <c r="E37" i="27"/>
  <c r="K33" i="13" l="1"/>
  <c r="E34" i="13"/>
  <c r="R34" i="13" s="1"/>
  <c r="S34" i="13" s="1"/>
  <c r="R33" i="13"/>
  <c r="T33" i="13" s="1"/>
  <c r="U33" i="13" s="1"/>
  <c r="T32" i="13"/>
  <c r="U32" i="13" s="1"/>
  <c r="V28" i="1"/>
  <c r="W28" i="1" s="1"/>
  <c r="AD28" i="1" s="1"/>
  <c r="T29" i="1"/>
  <c r="X29" i="1"/>
  <c r="S29" i="1"/>
  <c r="U29" i="1"/>
  <c r="O30" i="1"/>
  <c r="AG33" i="13"/>
  <c r="AH33" i="13" s="1"/>
  <c r="AF33" i="7"/>
  <c r="E34" i="7"/>
  <c r="I42" i="5"/>
  <c r="J42" i="5" s="1"/>
  <c r="B46" i="5"/>
  <c r="C44" i="5"/>
  <c r="D44" i="5" s="1"/>
  <c r="H45" i="5"/>
  <c r="F43" i="5"/>
  <c r="G43" i="5"/>
  <c r="K43" i="5" s="1"/>
  <c r="E43" i="5"/>
  <c r="S34" i="28"/>
  <c r="E35" i="28"/>
  <c r="E38" i="27"/>
  <c r="Q34" i="1"/>
  <c r="S33" i="13" l="1"/>
  <c r="E35" i="13"/>
  <c r="K35" i="13" s="1"/>
  <c r="AE34" i="13"/>
  <c r="AG34" i="13" s="1"/>
  <c r="AH34" i="13" s="1"/>
  <c r="K34" i="13"/>
  <c r="X30" i="1"/>
  <c r="S30" i="1"/>
  <c r="U30" i="1"/>
  <c r="O31" i="1"/>
  <c r="T30" i="1"/>
  <c r="V29" i="1"/>
  <c r="W29" i="1" s="1"/>
  <c r="AD29" i="1" s="1"/>
  <c r="T34" i="13"/>
  <c r="U34" i="13" s="1"/>
  <c r="AF34" i="7"/>
  <c r="E35" i="7"/>
  <c r="I43" i="5"/>
  <c r="J43" i="5" s="1"/>
  <c r="F44" i="5"/>
  <c r="G44" i="5"/>
  <c r="K44" i="5" s="1"/>
  <c r="E44" i="5"/>
  <c r="C45" i="5"/>
  <c r="D45" i="5" s="1"/>
  <c r="H46" i="5"/>
  <c r="B47" i="5"/>
  <c r="E36" i="28"/>
  <c r="S35" i="28"/>
  <c r="Q35" i="1"/>
  <c r="E39" i="27"/>
  <c r="AE35" i="13" l="1"/>
  <c r="AF35" i="13" s="1"/>
  <c r="E36" i="13"/>
  <c r="K36" i="13" s="1"/>
  <c r="R35" i="13"/>
  <c r="T35" i="13" s="1"/>
  <c r="U35" i="13" s="1"/>
  <c r="AF34" i="13"/>
  <c r="V30" i="1"/>
  <c r="W30" i="1" s="1"/>
  <c r="AD30" i="1" s="1"/>
  <c r="X31" i="1"/>
  <c r="O32" i="1"/>
  <c r="U31" i="1"/>
  <c r="S31" i="1"/>
  <c r="T31" i="1"/>
  <c r="AF35" i="7"/>
  <c r="E36" i="7"/>
  <c r="I44" i="5"/>
  <c r="J44" i="5" s="1"/>
  <c r="C46" i="5"/>
  <c r="D46" i="5" s="1"/>
  <c r="H47" i="5"/>
  <c r="B48" i="5"/>
  <c r="F45" i="5"/>
  <c r="E45" i="5"/>
  <c r="G45" i="5"/>
  <c r="K45" i="5" s="1"/>
  <c r="E37" i="28"/>
  <c r="S36" i="28"/>
  <c r="Q36" i="1"/>
  <c r="E40" i="27"/>
  <c r="AG35" i="13" l="1"/>
  <c r="AH35" i="13" s="1"/>
  <c r="AE36" i="13"/>
  <c r="AF36" i="13" s="1"/>
  <c r="R36" i="13"/>
  <c r="S36" i="13" s="1"/>
  <c r="E37" i="13"/>
  <c r="AE37" i="13" s="1"/>
  <c r="AG37" i="13" s="1"/>
  <c r="AH37" i="13" s="1"/>
  <c r="S35" i="13"/>
  <c r="V31" i="1"/>
  <c r="W31" i="1" s="1"/>
  <c r="AD31" i="1" s="1"/>
  <c r="T32" i="1"/>
  <c r="U32" i="1"/>
  <c r="O33" i="1"/>
  <c r="S32" i="1"/>
  <c r="X32" i="1"/>
  <c r="AF36" i="7"/>
  <c r="E37" i="7"/>
  <c r="H48" i="5"/>
  <c r="C47" i="5"/>
  <c r="D47" i="5" s="1"/>
  <c r="B49" i="5"/>
  <c r="I45" i="5"/>
  <c r="J45" i="5" s="1"/>
  <c r="E46" i="5"/>
  <c r="G46" i="5"/>
  <c r="K46" i="5" s="1"/>
  <c r="F46" i="5"/>
  <c r="S37" i="28"/>
  <c r="E38" i="28"/>
  <c r="Q37" i="1"/>
  <c r="E41" i="27"/>
  <c r="AG36" i="13" l="1"/>
  <c r="AH36" i="13" s="1"/>
  <c r="T36" i="13"/>
  <c r="U36" i="13" s="1"/>
  <c r="R37" i="13"/>
  <c r="S37" i="13" s="1"/>
  <c r="K37" i="13"/>
  <c r="E38" i="13"/>
  <c r="K38" i="13" s="1"/>
  <c r="AF37" i="13"/>
  <c r="X33" i="1"/>
  <c r="S33" i="1"/>
  <c r="U33" i="1"/>
  <c r="T33" i="1"/>
  <c r="O34" i="1"/>
  <c r="V32" i="1"/>
  <c r="W32" i="1" s="1"/>
  <c r="AD32" i="1" s="1"/>
  <c r="AF37" i="7"/>
  <c r="E38" i="7"/>
  <c r="C48" i="5"/>
  <c r="D48" i="5" s="1"/>
  <c r="B50" i="5"/>
  <c r="H49" i="5"/>
  <c r="E47" i="5"/>
  <c r="G47" i="5"/>
  <c r="K47" i="5" s="1"/>
  <c r="F47" i="5"/>
  <c r="I46" i="5"/>
  <c r="J46" i="5" s="1"/>
  <c r="S38" i="28"/>
  <c r="E39" i="28"/>
  <c r="Q38" i="1"/>
  <c r="E42" i="27"/>
  <c r="T37" i="13" l="1"/>
  <c r="U37" i="13" s="1"/>
  <c r="R38" i="13"/>
  <c r="S38" i="13" s="1"/>
  <c r="AE38" i="13"/>
  <c r="AG38" i="13" s="1"/>
  <c r="AH38" i="13" s="1"/>
  <c r="E39" i="13"/>
  <c r="R39" i="13" s="1"/>
  <c r="S39" i="13" s="1"/>
  <c r="V33" i="1"/>
  <c r="W33" i="1" s="1"/>
  <c r="AD33" i="1" s="1"/>
  <c r="S34" i="1"/>
  <c r="T34" i="1"/>
  <c r="U34" i="1"/>
  <c r="O35" i="1"/>
  <c r="X34" i="1"/>
  <c r="AF38" i="13"/>
  <c r="AF38" i="7"/>
  <c r="E39" i="7"/>
  <c r="I47" i="5"/>
  <c r="J47" i="5" s="1"/>
  <c r="B51" i="5"/>
  <c r="C49" i="5"/>
  <c r="D49" i="5" s="1"/>
  <c r="H50" i="5"/>
  <c r="G48" i="5"/>
  <c r="K48" i="5" s="1"/>
  <c r="F48" i="5"/>
  <c r="E48" i="5"/>
  <c r="E40" i="28"/>
  <c r="S39" i="28"/>
  <c r="E43" i="27"/>
  <c r="Q39" i="1"/>
  <c r="T38" i="13" l="1"/>
  <c r="U38" i="13" s="1"/>
  <c r="K39" i="13"/>
  <c r="E40" i="13"/>
  <c r="AE40" i="13" s="1"/>
  <c r="AG40" i="13" s="1"/>
  <c r="AH40" i="13" s="1"/>
  <c r="AE39" i="13"/>
  <c r="AF39" i="13" s="1"/>
  <c r="T39" i="13"/>
  <c r="U39" i="13" s="1"/>
  <c r="S35" i="1"/>
  <c r="X35" i="1"/>
  <c r="T35" i="1"/>
  <c r="O36" i="1"/>
  <c r="U35" i="1"/>
  <c r="V34" i="1"/>
  <c r="W34" i="1" s="1"/>
  <c r="AD34" i="1" s="1"/>
  <c r="AF39" i="7"/>
  <c r="E40" i="7"/>
  <c r="I48" i="5"/>
  <c r="J48" i="5" s="1"/>
  <c r="F49" i="5"/>
  <c r="E49" i="5"/>
  <c r="G49" i="5"/>
  <c r="K49" i="5" s="1"/>
  <c r="C50" i="5"/>
  <c r="D50" i="5" s="1"/>
  <c r="H51" i="5"/>
  <c r="B52" i="5"/>
  <c r="E41" i="28"/>
  <c r="S40" i="28"/>
  <c r="Q40" i="1"/>
  <c r="E44" i="27"/>
  <c r="AG39" i="13" l="1"/>
  <c r="AH39" i="13" s="1"/>
  <c r="E41" i="13"/>
  <c r="R41" i="13" s="1"/>
  <c r="S41" i="13" s="1"/>
  <c r="K40" i="13"/>
  <c r="R40" i="13"/>
  <c r="T40" i="13" s="1"/>
  <c r="U40" i="13" s="1"/>
  <c r="AF40" i="13"/>
  <c r="V35" i="1"/>
  <c r="W35" i="1" s="1"/>
  <c r="AD35" i="1" s="1"/>
  <c r="O37" i="1"/>
  <c r="S36" i="1"/>
  <c r="T36" i="1"/>
  <c r="U36" i="1"/>
  <c r="X36" i="1"/>
  <c r="AF40" i="7"/>
  <c r="E41" i="7"/>
  <c r="B53" i="5"/>
  <c r="C51" i="5"/>
  <c r="D51" i="5" s="1"/>
  <c r="H52" i="5"/>
  <c r="I49" i="5"/>
  <c r="J49" i="5" s="1"/>
  <c r="G50" i="5"/>
  <c r="K50" i="5" s="1"/>
  <c r="E50" i="5"/>
  <c r="F50" i="5"/>
  <c r="S41" i="28"/>
  <c r="E42" i="28"/>
  <c r="E45" i="27"/>
  <c r="Q41" i="1"/>
  <c r="AE41" i="13" l="1"/>
  <c r="AF41" i="13" s="1"/>
  <c r="S40" i="13"/>
  <c r="E42" i="13"/>
  <c r="R42" i="13" s="1"/>
  <c r="T42" i="13" s="1"/>
  <c r="U42" i="13" s="1"/>
  <c r="K41" i="13"/>
  <c r="T41" i="13"/>
  <c r="U41" i="13" s="1"/>
  <c r="V36" i="1"/>
  <c r="W36" i="1" s="1"/>
  <c r="AD36" i="1" s="1"/>
  <c r="O38" i="1"/>
  <c r="S37" i="1"/>
  <c r="X37" i="1"/>
  <c r="U37" i="1"/>
  <c r="T37" i="1"/>
  <c r="AF41" i="7"/>
  <c r="E42" i="7"/>
  <c r="I50" i="5"/>
  <c r="J50" i="5" s="1"/>
  <c r="G51" i="5"/>
  <c r="K51" i="5" s="1"/>
  <c r="E51" i="5"/>
  <c r="F51" i="5"/>
  <c r="C52" i="5"/>
  <c r="D52" i="5" s="1"/>
  <c r="B54" i="5"/>
  <c r="H53" i="5"/>
  <c r="S42" i="28"/>
  <c r="E43" i="28"/>
  <c r="Q42" i="1"/>
  <c r="E46" i="27"/>
  <c r="S42" i="13" l="1"/>
  <c r="AG41" i="13"/>
  <c r="AH41" i="13" s="1"/>
  <c r="AE42" i="13"/>
  <c r="AG42" i="13" s="1"/>
  <c r="AH42" i="13" s="1"/>
  <c r="K42" i="13"/>
  <c r="E43" i="13"/>
  <c r="K43" i="13" s="1"/>
  <c r="V37" i="1"/>
  <c r="W37" i="1" s="1"/>
  <c r="AD37" i="1" s="1"/>
  <c r="U38" i="1"/>
  <c r="S38" i="1"/>
  <c r="T38" i="1"/>
  <c r="O39" i="1"/>
  <c r="X38" i="1"/>
  <c r="AF42" i="7"/>
  <c r="E43" i="7"/>
  <c r="I51" i="5"/>
  <c r="J51" i="5" s="1"/>
  <c r="C53" i="5"/>
  <c r="D53" i="5" s="1"/>
  <c r="H54" i="5"/>
  <c r="B55" i="5"/>
  <c r="F52" i="5"/>
  <c r="E52" i="5"/>
  <c r="G52" i="5"/>
  <c r="K52" i="5" s="1"/>
  <c r="S43" i="28"/>
  <c r="E44" i="28"/>
  <c r="E47" i="27"/>
  <c r="Q43" i="1"/>
  <c r="AF42" i="13" l="1"/>
  <c r="AE43" i="13"/>
  <c r="AG43" i="13" s="1"/>
  <c r="AH43" i="13" s="1"/>
  <c r="E44" i="13"/>
  <c r="AE44" i="13" s="1"/>
  <c r="AF44" i="13" s="1"/>
  <c r="R43" i="13"/>
  <c r="S43" i="13" s="1"/>
  <c r="V38" i="1"/>
  <c r="W38" i="1" s="1"/>
  <c r="AD38" i="1" s="1"/>
  <c r="T39" i="1"/>
  <c r="S39" i="1"/>
  <c r="O40" i="1"/>
  <c r="U39" i="1"/>
  <c r="X39" i="1"/>
  <c r="AF43" i="7"/>
  <c r="E44" i="7"/>
  <c r="H55" i="5"/>
  <c r="B56" i="5"/>
  <c r="C54" i="5"/>
  <c r="D54" i="5" s="1"/>
  <c r="I52" i="5"/>
  <c r="J52" i="5" s="1"/>
  <c r="F53" i="5"/>
  <c r="E53" i="5"/>
  <c r="G53" i="5"/>
  <c r="K53" i="5" s="1"/>
  <c r="E45" i="28"/>
  <c r="S44" i="28"/>
  <c r="E48" i="27"/>
  <c r="Q44" i="1"/>
  <c r="AF43" i="13" l="1"/>
  <c r="E45" i="13"/>
  <c r="R45" i="13" s="1"/>
  <c r="T45" i="13" s="1"/>
  <c r="U45" i="13" s="1"/>
  <c r="R44" i="13"/>
  <c r="T44" i="13" s="1"/>
  <c r="U44" i="13" s="1"/>
  <c r="T43" i="13"/>
  <c r="U43" i="13" s="1"/>
  <c r="K44" i="13"/>
  <c r="AG44" i="13"/>
  <c r="AH44" i="13" s="1"/>
  <c r="V39" i="1"/>
  <c r="W39" i="1" s="1"/>
  <c r="AD39" i="1" s="1"/>
  <c r="O41" i="1"/>
  <c r="S40" i="1"/>
  <c r="X40" i="1"/>
  <c r="U40" i="1"/>
  <c r="T40" i="1"/>
  <c r="AF44" i="7"/>
  <c r="E45" i="7"/>
  <c r="E54" i="5"/>
  <c r="G54" i="5"/>
  <c r="K54" i="5" s="1"/>
  <c r="F54" i="5"/>
  <c r="I53" i="5"/>
  <c r="J53" i="5" s="1"/>
  <c r="B57" i="5"/>
  <c r="H56" i="5"/>
  <c r="C55" i="5"/>
  <c r="D55" i="5" s="1"/>
  <c r="E46" i="28"/>
  <c r="S45" i="28"/>
  <c r="Q45" i="1"/>
  <c r="E49" i="27"/>
  <c r="K45" i="13" l="1"/>
  <c r="AE45" i="13"/>
  <c r="AF45" i="13" s="1"/>
  <c r="E46" i="13"/>
  <c r="R46" i="13" s="1"/>
  <c r="T46" i="13" s="1"/>
  <c r="U46" i="13" s="1"/>
  <c r="S44" i="13"/>
  <c r="S45" i="13"/>
  <c r="V40" i="1"/>
  <c r="W40" i="1" s="1"/>
  <c r="AD40" i="1" s="1"/>
  <c r="X41" i="1"/>
  <c r="O42" i="1"/>
  <c r="T41" i="1"/>
  <c r="S41" i="1"/>
  <c r="U41" i="1"/>
  <c r="AF45" i="7"/>
  <c r="E46" i="7"/>
  <c r="F55" i="5"/>
  <c r="G55" i="5"/>
  <c r="K55" i="5" s="1"/>
  <c r="E55" i="5"/>
  <c r="B58" i="5"/>
  <c r="H57" i="5"/>
  <c r="C56" i="5"/>
  <c r="D56" i="5" s="1"/>
  <c r="I54" i="5"/>
  <c r="J54" i="5" s="1"/>
  <c r="S46" i="28"/>
  <c r="E47" i="28"/>
  <c r="E50" i="27"/>
  <c r="Q46" i="1"/>
  <c r="S46" i="13" l="1"/>
  <c r="AG45" i="13"/>
  <c r="AH45" i="13" s="1"/>
  <c r="K46" i="13"/>
  <c r="AE46" i="13"/>
  <c r="AF46" i="13" s="1"/>
  <c r="E47" i="13"/>
  <c r="K47" i="13" s="1"/>
  <c r="V41" i="1"/>
  <c r="W41" i="1" s="1"/>
  <c r="AD41" i="1" s="1"/>
  <c r="U42" i="1"/>
  <c r="T42" i="1"/>
  <c r="S42" i="1"/>
  <c r="X42" i="1"/>
  <c r="O43" i="1"/>
  <c r="AF46" i="7"/>
  <c r="E47" i="7"/>
  <c r="H58" i="5"/>
  <c r="B59" i="5"/>
  <c r="C57" i="5"/>
  <c r="D57" i="5" s="1"/>
  <c r="I55" i="5"/>
  <c r="J55" i="5" s="1"/>
  <c r="G56" i="5"/>
  <c r="K56" i="5" s="1"/>
  <c r="F56" i="5"/>
  <c r="E56" i="5"/>
  <c r="E48" i="28"/>
  <c r="S47" i="28"/>
  <c r="Q48" i="1"/>
  <c r="E51" i="27"/>
  <c r="AE47" i="13" l="1"/>
  <c r="AF47" i="13" s="1"/>
  <c r="R47" i="13"/>
  <c r="S47" i="13" s="1"/>
  <c r="E48" i="13"/>
  <c r="K48" i="13" s="1"/>
  <c r="AG46" i="13"/>
  <c r="AH46" i="13" s="1"/>
  <c r="V42" i="1"/>
  <c r="W42" i="1" s="1"/>
  <c r="AD42" i="1" s="1"/>
  <c r="X43" i="1"/>
  <c r="U43" i="1"/>
  <c r="O44" i="1"/>
  <c r="S43" i="1"/>
  <c r="T43" i="1"/>
  <c r="AF47" i="7"/>
  <c r="E48" i="7"/>
  <c r="I56" i="5"/>
  <c r="J56" i="5" s="1"/>
  <c r="E57" i="5"/>
  <c r="F57" i="5"/>
  <c r="G57" i="5"/>
  <c r="K57" i="5" s="1"/>
  <c r="H59" i="5"/>
  <c r="C58" i="5"/>
  <c r="D58" i="5" s="1"/>
  <c r="B60" i="5"/>
  <c r="S48" i="28"/>
  <c r="E49" i="28"/>
  <c r="E52" i="27"/>
  <c r="Q49" i="1"/>
  <c r="T47" i="13" l="1"/>
  <c r="U47" i="13" s="1"/>
  <c r="AG47" i="13"/>
  <c r="AH47" i="13" s="1"/>
  <c r="E49" i="13"/>
  <c r="E50" i="13" s="1"/>
  <c r="K50" i="13" s="1"/>
  <c r="R48" i="13"/>
  <c r="T48" i="13" s="1"/>
  <c r="U48" i="13" s="1"/>
  <c r="AE48" i="13"/>
  <c r="AF48" i="13" s="1"/>
  <c r="V43" i="1"/>
  <c r="W43" i="1" s="1"/>
  <c r="AD43" i="1" s="1"/>
  <c r="T44" i="1"/>
  <c r="S44" i="1"/>
  <c r="X44" i="1"/>
  <c r="U44" i="1"/>
  <c r="O45" i="1"/>
  <c r="AF48" i="7"/>
  <c r="E49" i="7"/>
  <c r="G58" i="5"/>
  <c r="K58" i="5" s="1"/>
  <c r="F58" i="5"/>
  <c r="E58" i="5"/>
  <c r="I57" i="5"/>
  <c r="J57" i="5" s="1"/>
  <c r="C59" i="5"/>
  <c r="D59" i="5" s="1"/>
  <c r="B61" i="5"/>
  <c r="H60" i="5"/>
  <c r="S49" i="28"/>
  <c r="E50" i="28"/>
  <c r="E53" i="27"/>
  <c r="Q50" i="1"/>
  <c r="AG48" i="13" l="1"/>
  <c r="AH48" i="13" s="1"/>
  <c r="AE49" i="13"/>
  <c r="AF49" i="13" s="1"/>
  <c r="R49" i="13"/>
  <c r="S49" i="13" s="1"/>
  <c r="K49" i="13"/>
  <c r="S48" i="13"/>
  <c r="AE50" i="13"/>
  <c r="AG50" i="13" s="1"/>
  <c r="AH50" i="13" s="1"/>
  <c r="R50" i="13"/>
  <c r="S50" i="13" s="1"/>
  <c r="E51" i="13"/>
  <c r="K51" i="13" s="1"/>
  <c r="O46" i="1"/>
  <c r="S45" i="1"/>
  <c r="T45" i="1"/>
  <c r="X45" i="1"/>
  <c r="U45" i="1"/>
  <c r="V44" i="1"/>
  <c r="W44" i="1" s="1"/>
  <c r="AD44" i="1" s="1"/>
  <c r="AF49" i="7"/>
  <c r="E50" i="7"/>
  <c r="I58" i="5"/>
  <c r="J58" i="5" s="1"/>
  <c r="H61" i="5"/>
  <c r="C60" i="5"/>
  <c r="D60" i="5" s="1"/>
  <c r="B62" i="5"/>
  <c r="E59" i="5"/>
  <c r="F59" i="5"/>
  <c r="G59" i="5"/>
  <c r="K59" i="5" s="1"/>
  <c r="E51" i="28"/>
  <c r="S50" i="28"/>
  <c r="E54" i="27"/>
  <c r="Q51" i="1"/>
  <c r="AG49" i="13" l="1"/>
  <c r="AH49" i="13" s="1"/>
  <c r="T49" i="13"/>
  <c r="U49" i="13" s="1"/>
  <c r="AF50" i="13"/>
  <c r="AE51" i="13"/>
  <c r="AG51" i="13" s="1"/>
  <c r="AH51" i="13" s="1"/>
  <c r="E52" i="13"/>
  <c r="K52" i="13" s="1"/>
  <c r="T50" i="13"/>
  <c r="U50" i="13" s="1"/>
  <c r="R51" i="13"/>
  <c r="T51" i="13" s="1"/>
  <c r="U51" i="13" s="1"/>
  <c r="V45" i="1"/>
  <c r="W45" i="1" s="1"/>
  <c r="AD45" i="1" s="1"/>
  <c r="X46" i="1"/>
  <c r="U46" i="1"/>
  <c r="T46" i="1"/>
  <c r="S46" i="1"/>
  <c r="O48" i="1"/>
  <c r="AF50" i="7"/>
  <c r="E51" i="7"/>
  <c r="C61" i="5"/>
  <c r="D61" i="5" s="1"/>
  <c r="B63" i="5"/>
  <c r="H62" i="5"/>
  <c r="G60" i="5"/>
  <c r="K60" i="5" s="1"/>
  <c r="F60" i="5"/>
  <c r="E60" i="5"/>
  <c r="I59" i="5"/>
  <c r="J59" i="5" s="1"/>
  <c r="E52" i="28"/>
  <c r="S51" i="28"/>
  <c r="E55" i="27"/>
  <c r="Q52" i="1"/>
  <c r="AF51" i="13" l="1"/>
  <c r="S51" i="13"/>
  <c r="E53" i="13"/>
  <c r="K53" i="13" s="1"/>
  <c r="R52" i="13"/>
  <c r="S52" i="13" s="1"/>
  <c r="AE52" i="13"/>
  <c r="AG52" i="13" s="1"/>
  <c r="AH52" i="13" s="1"/>
  <c r="V46" i="1"/>
  <c r="W46" i="1" s="1"/>
  <c r="AD46" i="1" s="1"/>
  <c r="X48" i="1"/>
  <c r="U48" i="1"/>
  <c r="O49" i="1"/>
  <c r="S48" i="1"/>
  <c r="T48" i="1"/>
  <c r="AF51" i="7"/>
  <c r="E52" i="7"/>
  <c r="I60" i="5"/>
  <c r="J60" i="5" s="1"/>
  <c r="H63" i="5"/>
  <c r="C62" i="5"/>
  <c r="D62" i="5" s="1"/>
  <c r="B64" i="5"/>
  <c r="F61" i="5"/>
  <c r="G61" i="5"/>
  <c r="K61" i="5" s="1"/>
  <c r="E61" i="5"/>
  <c r="E53" i="28"/>
  <c r="S52" i="28"/>
  <c r="Q53" i="1"/>
  <c r="E56" i="27"/>
  <c r="AF52" i="13" l="1"/>
  <c r="T52" i="13"/>
  <c r="U52" i="13" s="1"/>
  <c r="R53" i="13"/>
  <c r="S53" i="13" s="1"/>
  <c r="E54" i="13"/>
  <c r="K54" i="13" s="1"/>
  <c r="AE53" i="13"/>
  <c r="AF53" i="13" s="1"/>
  <c r="V48" i="1"/>
  <c r="W48" i="1" s="1"/>
  <c r="AD48" i="1" s="1"/>
  <c r="U49" i="1"/>
  <c r="T49" i="1"/>
  <c r="S49" i="1"/>
  <c r="X49" i="1"/>
  <c r="O50" i="1"/>
  <c r="AF52" i="7"/>
  <c r="E53" i="7"/>
  <c r="H64" i="5"/>
  <c r="B65" i="5"/>
  <c r="C63" i="5"/>
  <c r="D63" i="5" s="1"/>
  <c r="I61" i="5"/>
  <c r="J61" i="5" s="1"/>
  <c r="E62" i="5"/>
  <c r="F62" i="5"/>
  <c r="G62" i="5"/>
  <c r="K62" i="5" s="1"/>
  <c r="E54" i="28"/>
  <c r="S53" i="28"/>
  <c r="E57" i="27"/>
  <c r="Q54" i="1"/>
  <c r="AG53" i="13" l="1"/>
  <c r="AH53" i="13" s="1"/>
  <c r="T53" i="13"/>
  <c r="U53" i="13" s="1"/>
  <c r="R54" i="13"/>
  <c r="T54" i="13" s="1"/>
  <c r="U54" i="13" s="1"/>
  <c r="E55" i="13"/>
  <c r="K55" i="13" s="1"/>
  <c r="AE54" i="13"/>
  <c r="AF54" i="13" s="1"/>
  <c r="V49" i="1"/>
  <c r="W49" i="1" s="1"/>
  <c r="AD49" i="1" s="1"/>
  <c r="O51" i="1"/>
  <c r="X50" i="1"/>
  <c r="S50" i="1"/>
  <c r="T50" i="1"/>
  <c r="U50" i="1"/>
  <c r="AF53" i="7"/>
  <c r="E54" i="7"/>
  <c r="F63" i="5"/>
  <c r="E63" i="5"/>
  <c r="G63" i="5"/>
  <c r="K63" i="5" s="1"/>
  <c r="H65" i="5"/>
  <c r="C64" i="5"/>
  <c r="D64" i="5" s="1"/>
  <c r="B66" i="5"/>
  <c r="I62" i="5"/>
  <c r="J62" i="5" s="1"/>
  <c r="S54" i="28"/>
  <c r="E55" i="28"/>
  <c r="Q55" i="1"/>
  <c r="E58" i="27"/>
  <c r="AG54" i="13" l="1"/>
  <c r="AH54" i="13" s="1"/>
  <c r="E56" i="13"/>
  <c r="R56" i="13" s="1"/>
  <c r="R55" i="13"/>
  <c r="S55" i="13" s="1"/>
  <c r="S54" i="13"/>
  <c r="AE55" i="13"/>
  <c r="AF55" i="13" s="1"/>
  <c r="X51" i="1"/>
  <c r="T51" i="1"/>
  <c r="S51" i="1"/>
  <c r="O52" i="1"/>
  <c r="U51" i="1"/>
  <c r="V50" i="1"/>
  <c r="W50" i="1" s="1"/>
  <c r="AD50" i="1" s="1"/>
  <c r="AF54" i="7"/>
  <c r="E55" i="7"/>
  <c r="C65" i="5"/>
  <c r="D65" i="5" s="1"/>
  <c r="H66" i="5"/>
  <c r="B67" i="5"/>
  <c r="I63" i="5"/>
  <c r="J63" i="5" s="1"/>
  <c r="F64" i="5"/>
  <c r="G64" i="5"/>
  <c r="K64" i="5" s="1"/>
  <c r="E64" i="5"/>
  <c r="S55" i="28"/>
  <c r="E56" i="28"/>
  <c r="E59" i="27"/>
  <c r="Q56" i="1"/>
  <c r="T55" i="13" l="1"/>
  <c r="U55" i="13" s="1"/>
  <c r="AG55" i="13"/>
  <c r="AH55" i="13" s="1"/>
  <c r="E57" i="13"/>
  <c r="K57" i="13" s="1"/>
  <c r="K56" i="13"/>
  <c r="AE56" i="13"/>
  <c r="AF56" i="13" s="1"/>
  <c r="V51" i="1"/>
  <c r="W51" i="1" s="1"/>
  <c r="AD51" i="1" s="1"/>
  <c r="U52" i="1"/>
  <c r="X52" i="1"/>
  <c r="T52" i="1"/>
  <c r="O53" i="1"/>
  <c r="S52" i="1"/>
  <c r="AF55" i="7"/>
  <c r="E56" i="7"/>
  <c r="I64" i="5"/>
  <c r="J64" i="5" s="1"/>
  <c r="H67" i="5"/>
  <c r="C66" i="5"/>
  <c r="D66" i="5" s="1"/>
  <c r="B68" i="5"/>
  <c r="G65" i="5"/>
  <c r="K65" i="5" s="1"/>
  <c r="E65" i="5"/>
  <c r="F65" i="5"/>
  <c r="S56" i="28"/>
  <c r="E57" i="28"/>
  <c r="E60" i="27"/>
  <c r="T56" i="13"/>
  <c r="U56" i="13" s="1"/>
  <c r="S56" i="13"/>
  <c r="Q57" i="1"/>
  <c r="AG56" i="13" l="1"/>
  <c r="AH56" i="13" s="1"/>
  <c r="AE57" i="13"/>
  <c r="AF57" i="13" s="1"/>
  <c r="R57" i="13"/>
  <c r="S57" i="13" s="1"/>
  <c r="E58" i="13"/>
  <c r="K58" i="13" s="1"/>
  <c r="V52" i="1"/>
  <c r="W52" i="1" s="1"/>
  <c r="AD52" i="1" s="1"/>
  <c r="U53" i="1"/>
  <c r="T53" i="1"/>
  <c r="O54" i="1"/>
  <c r="X53" i="1"/>
  <c r="S53" i="1"/>
  <c r="AF56" i="7"/>
  <c r="E57" i="7"/>
  <c r="C67" i="5"/>
  <c r="D67" i="5" s="1"/>
  <c r="B69" i="5"/>
  <c r="H68" i="5"/>
  <c r="F66" i="5"/>
  <c r="E66" i="5"/>
  <c r="G66" i="5"/>
  <c r="K66" i="5" s="1"/>
  <c r="I65" i="5"/>
  <c r="J65" i="5" s="1"/>
  <c r="E58" i="28"/>
  <c r="S57" i="28"/>
  <c r="Q58" i="1"/>
  <c r="E61" i="27"/>
  <c r="R58" i="13" l="1"/>
  <c r="S58" i="13" s="1"/>
  <c r="T57" i="13"/>
  <c r="U57" i="13" s="1"/>
  <c r="AG57" i="13"/>
  <c r="AH57" i="13" s="1"/>
  <c r="AE58" i="13"/>
  <c r="AG58" i="13" s="1"/>
  <c r="AH58" i="13" s="1"/>
  <c r="E59" i="13"/>
  <c r="K59" i="13" s="1"/>
  <c r="T54" i="1"/>
  <c r="U54" i="1"/>
  <c r="S54" i="1"/>
  <c r="X54" i="1"/>
  <c r="O55" i="1"/>
  <c r="V53" i="1"/>
  <c r="W53" i="1" s="1"/>
  <c r="AD53" i="1" s="1"/>
  <c r="AF57" i="7"/>
  <c r="E58" i="7"/>
  <c r="B70" i="5"/>
  <c r="C68" i="5"/>
  <c r="D68" i="5" s="1"/>
  <c r="H69" i="5"/>
  <c r="I66" i="5"/>
  <c r="J66" i="5" s="1"/>
  <c r="E67" i="5"/>
  <c r="G67" i="5"/>
  <c r="K67" i="5" s="1"/>
  <c r="F67" i="5"/>
  <c r="S58" i="28"/>
  <c r="E59" i="28"/>
  <c r="E62" i="27"/>
  <c r="Q59" i="1"/>
  <c r="T58" i="13"/>
  <c r="U58" i="13" s="1"/>
  <c r="E60" i="13" l="1"/>
  <c r="K60" i="13" s="1"/>
  <c r="AF58" i="13"/>
  <c r="AE59" i="13"/>
  <c r="AF59" i="13" s="1"/>
  <c r="R59" i="13"/>
  <c r="S59" i="13" s="1"/>
  <c r="O56" i="1"/>
  <c r="U55" i="1"/>
  <c r="S55" i="1"/>
  <c r="T55" i="1"/>
  <c r="X55" i="1"/>
  <c r="V54" i="1"/>
  <c r="W54" i="1" s="1"/>
  <c r="AD54" i="1" s="1"/>
  <c r="AF58" i="7"/>
  <c r="E59" i="7"/>
  <c r="F68" i="5"/>
  <c r="G68" i="5"/>
  <c r="K68" i="5" s="1"/>
  <c r="E68" i="5"/>
  <c r="I67" i="5"/>
  <c r="J67" i="5" s="1"/>
  <c r="B71" i="5"/>
  <c r="C69" i="5"/>
  <c r="D69" i="5" s="1"/>
  <c r="H70" i="5"/>
  <c r="E60" i="28"/>
  <c r="S59" i="28"/>
  <c r="E63" i="27"/>
  <c r="Q60" i="1"/>
  <c r="E61" i="13" l="1"/>
  <c r="K61" i="13" s="1"/>
  <c r="R60" i="13"/>
  <c r="T60" i="13" s="1"/>
  <c r="U60" i="13" s="1"/>
  <c r="AE60" i="13"/>
  <c r="AF60" i="13" s="1"/>
  <c r="T59" i="13"/>
  <c r="U59" i="13" s="1"/>
  <c r="AG59" i="13"/>
  <c r="AH59" i="13" s="1"/>
  <c r="V55" i="1"/>
  <c r="W55" i="1" s="1"/>
  <c r="AD55" i="1" s="1"/>
  <c r="S56" i="1"/>
  <c r="X56" i="1"/>
  <c r="O57" i="1"/>
  <c r="T56" i="1"/>
  <c r="U56" i="1"/>
  <c r="AF59" i="7"/>
  <c r="E60" i="7"/>
  <c r="I68" i="5"/>
  <c r="J68" i="5" s="1"/>
  <c r="F69" i="5"/>
  <c r="E69" i="5"/>
  <c r="G69" i="5"/>
  <c r="K69" i="5" s="1"/>
  <c r="C70" i="5"/>
  <c r="D70" i="5" s="1"/>
  <c r="H71" i="5"/>
  <c r="B72" i="5"/>
  <c r="E61" i="28"/>
  <c r="S60" i="28"/>
  <c r="E64" i="27"/>
  <c r="Q61" i="1"/>
  <c r="E62" i="13" l="1"/>
  <c r="K62" i="13" s="1"/>
  <c r="R61" i="13"/>
  <c r="S61" i="13" s="1"/>
  <c r="AE61" i="13"/>
  <c r="AG61" i="13" s="1"/>
  <c r="AH61" i="13" s="1"/>
  <c r="S60" i="13"/>
  <c r="AG60" i="13"/>
  <c r="AH60" i="13" s="1"/>
  <c r="V56" i="1"/>
  <c r="W56" i="1" s="1"/>
  <c r="AD56" i="1" s="1"/>
  <c r="X57" i="1"/>
  <c r="U57" i="1"/>
  <c r="T57" i="1"/>
  <c r="S57" i="1"/>
  <c r="O58" i="1"/>
  <c r="AF60" i="7"/>
  <c r="E61" i="7"/>
  <c r="B73" i="5"/>
  <c r="H72" i="5"/>
  <c r="C71" i="5"/>
  <c r="D71" i="5" s="1"/>
  <c r="I69" i="5"/>
  <c r="J69" i="5" s="1"/>
  <c r="E70" i="5"/>
  <c r="F70" i="5"/>
  <c r="G70" i="5"/>
  <c r="K70" i="5" s="1"/>
  <c r="S61" i="28"/>
  <c r="E62" i="28"/>
  <c r="AF61" i="13"/>
  <c r="E65" i="27"/>
  <c r="Q62" i="1"/>
  <c r="E63" i="13" l="1"/>
  <c r="AE63" i="13" s="1"/>
  <c r="R62" i="13"/>
  <c r="T62" i="13" s="1"/>
  <c r="U62" i="13" s="1"/>
  <c r="AE62" i="13"/>
  <c r="AF62" i="13" s="1"/>
  <c r="T61" i="13"/>
  <c r="U61" i="13" s="1"/>
  <c r="V57" i="1"/>
  <c r="W57" i="1" s="1"/>
  <c r="AD57" i="1" s="1"/>
  <c r="X58" i="1"/>
  <c r="U58" i="1"/>
  <c r="S58" i="1"/>
  <c r="T58" i="1"/>
  <c r="O59" i="1"/>
  <c r="AF61" i="7"/>
  <c r="E62" i="7"/>
  <c r="G71" i="5"/>
  <c r="K71" i="5" s="1"/>
  <c r="E71" i="5"/>
  <c r="F71" i="5"/>
  <c r="I70" i="5"/>
  <c r="J70" i="5" s="1"/>
  <c r="B74" i="5"/>
  <c r="C72" i="5"/>
  <c r="D72" i="5" s="1"/>
  <c r="H73" i="5"/>
  <c r="S62" i="28"/>
  <c r="E63" i="28"/>
  <c r="Q63" i="1"/>
  <c r="E66" i="27"/>
  <c r="K63" i="13" l="1"/>
  <c r="AG62" i="13"/>
  <c r="AH62" i="13" s="1"/>
  <c r="S62" i="13"/>
  <c r="E64" i="13"/>
  <c r="E65" i="13" s="1"/>
  <c r="R63" i="13"/>
  <c r="S63" i="13" s="1"/>
  <c r="V58" i="1"/>
  <c r="W58" i="1" s="1"/>
  <c r="AD58" i="1" s="1"/>
  <c r="X59" i="1"/>
  <c r="S59" i="1"/>
  <c r="U59" i="1"/>
  <c r="T59" i="1"/>
  <c r="O60" i="1"/>
  <c r="AF62" i="7"/>
  <c r="E63" i="7"/>
  <c r="E72" i="5"/>
  <c r="F72" i="5"/>
  <c r="G72" i="5"/>
  <c r="K72" i="5" s="1"/>
  <c r="I71" i="5"/>
  <c r="J71" i="5" s="1"/>
  <c r="B75" i="5"/>
  <c r="H74" i="5"/>
  <c r="C73" i="5"/>
  <c r="D73" i="5" s="1"/>
  <c r="E64" i="28"/>
  <c r="S63" i="28"/>
  <c r="AG63" i="13"/>
  <c r="AH63" i="13" s="1"/>
  <c r="AF63" i="13"/>
  <c r="E67" i="27"/>
  <c r="Q64" i="1"/>
  <c r="T63" i="13" l="1"/>
  <c r="U63" i="13" s="1"/>
  <c r="AE64" i="13"/>
  <c r="AF64" i="13" s="1"/>
  <c r="R64" i="13"/>
  <c r="T64" i="13" s="1"/>
  <c r="U64" i="13" s="1"/>
  <c r="K64" i="13"/>
  <c r="K65" i="13"/>
  <c r="V59" i="1"/>
  <c r="W59" i="1" s="1"/>
  <c r="AD59" i="1" s="1"/>
  <c r="X60" i="1"/>
  <c r="T60" i="1"/>
  <c r="S60" i="1"/>
  <c r="O61" i="1"/>
  <c r="U60" i="1"/>
  <c r="AF63" i="7"/>
  <c r="E64" i="7"/>
  <c r="E73" i="5"/>
  <c r="G73" i="5"/>
  <c r="K73" i="5" s="1"/>
  <c r="F73" i="5"/>
  <c r="H75" i="5"/>
  <c r="B76" i="5"/>
  <c r="C74" i="5"/>
  <c r="D74" i="5" s="1"/>
  <c r="I72" i="5"/>
  <c r="J72" i="5" s="1"/>
  <c r="S64" i="28"/>
  <c r="E65" i="28"/>
  <c r="Q65" i="1"/>
  <c r="S64" i="13"/>
  <c r="AE65" i="13"/>
  <c r="E66" i="13"/>
  <c r="R65" i="13"/>
  <c r="E68" i="27"/>
  <c r="AG64" i="13" l="1"/>
  <c r="AH64" i="13" s="1"/>
  <c r="K66" i="13"/>
  <c r="V60" i="1"/>
  <c r="W60" i="1" s="1"/>
  <c r="AD60" i="1" s="1"/>
  <c r="U61" i="1"/>
  <c r="O62" i="1"/>
  <c r="S61" i="1"/>
  <c r="X61" i="1"/>
  <c r="T61" i="1"/>
  <c r="AF64" i="7"/>
  <c r="E65" i="7"/>
  <c r="G74" i="5"/>
  <c r="K74" i="5" s="1"/>
  <c r="E74" i="5"/>
  <c r="F74" i="5"/>
  <c r="C75" i="5"/>
  <c r="D75" i="5" s="1"/>
  <c r="B77" i="5"/>
  <c r="H76" i="5"/>
  <c r="I73" i="5"/>
  <c r="J73" i="5" s="1"/>
  <c r="S65" i="28"/>
  <c r="E66" i="28"/>
  <c r="AG65" i="13"/>
  <c r="AH65" i="13" s="1"/>
  <c r="AF65" i="13"/>
  <c r="Q66" i="1"/>
  <c r="T65" i="13"/>
  <c r="U65" i="13" s="1"/>
  <c r="S65" i="13"/>
  <c r="E69" i="27"/>
  <c r="AE66" i="13"/>
  <c r="E67" i="13"/>
  <c r="R66" i="13"/>
  <c r="K67" i="13" l="1"/>
  <c r="V61" i="1"/>
  <c r="W61" i="1" s="1"/>
  <c r="AD61" i="1" s="1"/>
  <c r="X62" i="1"/>
  <c r="U62" i="1"/>
  <c r="O63" i="1"/>
  <c r="S62" i="1"/>
  <c r="T62" i="1"/>
  <c r="AF65" i="7"/>
  <c r="E66" i="7"/>
  <c r="G75" i="5"/>
  <c r="K75" i="5" s="1"/>
  <c r="F75" i="5"/>
  <c r="E75" i="5"/>
  <c r="I74" i="5"/>
  <c r="J74" i="5" s="1"/>
  <c r="B78" i="5"/>
  <c r="H77" i="5"/>
  <c r="C76" i="5"/>
  <c r="D76" i="5" s="1"/>
  <c r="S66" i="28"/>
  <c r="E67" i="28"/>
  <c r="S66" i="13"/>
  <c r="T66" i="13"/>
  <c r="U66" i="13" s="1"/>
  <c r="AG66" i="13"/>
  <c r="AH66" i="13" s="1"/>
  <c r="AF66" i="13"/>
  <c r="E70" i="27"/>
  <c r="Q67" i="1"/>
  <c r="AE67" i="13"/>
  <c r="R67" i="13"/>
  <c r="E68" i="13"/>
  <c r="K68" i="13" l="1"/>
  <c r="V62" i="1"/>
  <c r="W62" i="1" s="1"/>
  <c r="AD62" i="1" s="1"/>
  <c r="X63" i="1"/>
  <c r="O64" i="1"/>
  <c r="U63" i="1"/>
  <c r="T63" i="1"/>
  <c r="S63" i="1"/>
  <c r="AF66" i="7"/>
  <c r="E67" i="7"/>
  <c r="G76" i="5"/>
  <c r="K76" i="5" s="1"/>
  <c r="F76" i="5"/>
  <c r="E76" i="5"/>
  <c r="I75" i="5"/>
  <c r="J75" i="5" s="1"/>
  <c r="C77" i="5"/>
  <c r="D77" i="5" s="1"/>
  <c r="H78" i="5"/>
  <c r="B79" i="5"/>
  <c r="S67" i="28"/>
  <c r="E68" i="28"/>
  <c r="R68" i="13"/>
  <c r="E69" i="13"/>
  <c r="AE68" i="13"/>
  <c r="T67" i="13"/>
  <c r="U67" i="13" s="1"/>
  <c r="S67" i="13"/>
  <c r="Q68" i="1"/>
  <c r="AG67" i="13"/>
  <c r="AH67" i="13" s="1"/>
  <c r="AF67" i="13"/>
  <c r="E71" i="27"/>
  <c r="K69" i="13" l="1"/>
  <c r="V63" i="1"/>
  <c r="W63" i="1" s="1"/>
  <c r="AD63" i="1" s="1"/>
  <c r="U64" i="1"/>
  <c r="T64" i="1"/>
  <c r="S64" i="1"/>
  <c r="O65" i="1"/>
  <c r="X64" i="1"/>
  <c r="AF67" i="7"/>
  <c r="E68" i="7"/>
  <c r="C78" i="5"/>
  <c r="D78" i="5" s="1"/>
  <c r="B80" i="5"/>
  <c r="H79" i="5"/>
  <c r="I76" i="5"/>
  <c r="J76" i="5" s="1"/>
  <c r="G77" i="5"/>
  <c r="K77" i="5" s="1"/>
  <c r="E77" i="5"/>
  <c r="F77" i="5"/>
  <c r="E69" i="28"/>
  <c r="S68" i="28"/>
  <c r="E72" i="27"/>
  <c r="Q69" i="1"/>
  <c r="AG68" i="13"/>
  <c r="AH68" i="13" s="1"/>
  <c r="AF68" i="13"/>
  <c r="T68" i="13"/>
  <c r="U68" i="13" s="1"/>
  <c r="S68" i="13"/>
  <c r="E70" i="13"/>
  <c r="AE69" i="13"/>
  <c r="R69" i="13"/>
  <c r="K70" i="13" l="1"/>
  <c r="V64" i="1"/>
  <c r="W64" i="1" s="1"/>
  <c r="AD64" i="1" s="1"/>
  <c r="T65" i="1"/>
  <c r="O66" i="1"/>
  <c r="X65" i="1"/>
  <c r="U65" i="1"/>
  <c r="S65" i="1"/>
  <c r="AF68" i="7"/>
  <c r="E69" i="7"/>
  <c r="I77" i="5"/>
  <c r="J77" i="5" s="1"/>
  <c r="H80" i="5"/>
  <c r="B81" i="5"/>
  <c r="C79" i="5"/>
  <c r="D79" i="5" s="1"/>
  <c r="E78" i="5"/>
  <c r="G78" i="5"/>
  <c r="K78" i="5" s="1"/>
  <c r="F78" i="5"/>
  <c r="S69" i="28"/>
  <c r="E70" i="28"/>
  <c r="R70" i="13"/>
  <c r="E71" i="13"/>
  <c r="AE70" i="13"/>
  <c r="AF69" i="13"/>
  <c r="AG69" i="13"/>
  <c r="AH69" i="13" s="1"/>
  <c r="S69" i="13"/>
  <c r="T69" i="13"/>
  <c r="U69" i="13" s="1"/>
  <c r="E73" i="27"/>
  <c r="Q70" i="1"/>
  <c r="K71" i="13" l="1"/>
  <c r="T66" i="1"/>
  <c r="U66" i="1"/>
  <c r="S66" i="1"/>
  <c r="O67" i="1"/>
  <c r="X66" i="1"/>
  <c r="V65" i="1"/>
  <c r="W65" i="1" s="1"/>
  <c r="AD65" i="1" s="1"/>
  <c r="AF69" i="7"/>
  <c r="E70" i="7"/>
  <c r="F79" i="5"/>
  <c r="E79" i="5"/>
  <c r="G79" i="5"/>
  <c r="K79" i="5" s="1"/>
  <c r="H81" i="5"/>
  <c r="B82" i="5"/>
  <c r="C80" i="5"/>
  <c r="D80" i="5" s="1"/>
  <c r="I78" i="5"/>
  <c r="J78" i="5" s="1"/>
  <c r="S70" i="28"/>
  <c r="E71" i="28"/>
  <c r="AG70" i="13"/>
  <c r="AH70" i="13" s="1"/>
  <c r="AF70" i="13"/>
  <c r="T70" i="13"/>
  <c r="U70" i="13" s="1"/>
  <c r="S70" i="13"/>
  <c r="Q71" i="1"/>
  <c r="R71" i="13"/>
  <c r="AE71" i="13"/>
  <c r="E72" i="13"/>
  <c r="E74" i="27"/>
  <c r="K72" i="13" l="1"/>
  <c r="T67" i="1"/>
  <c r="U67" i="1"/>
  <c r="S67" i="1"/>
  <c r="O68" i="1"/>
  <c r="X67" i="1"/>
  <c r="V66" i="1"/>
  <c r="W66" i="1" s="1"/>
  <c r="AD66" i="1" s="1"/>
  <c r="AF70" i="7"/>
  <c r="E71" i="7"/>
  <c r="E80" i="5"/>
  <c r="F80" i="5"/>
  <c r="G80" i="5"/>
  <c r="K80" i="5" s="1"/>
  <c r="I79" i="5"/>
  <c r="J79" i="5" s="1"/>
  <c r="B83" i="5"/>
  <c r="C81" i="5"/>
  <c r="D81" i="5" s="1"/>
  <c r="H82" i="5"/>
  <c r="E72" i="28"/>
  <c r="S71" i="28"/>
  <c r="E75" i="27"/>
  <c r="T71" i="13"/>
  <c r="U71" i="13" s="1"/>
  <c r="S71" i="13"/>
  <c r="AE72" i="13"/>
  <c r="E73" i="13"/>
  <c r="R72" i="13"/>
  <c r="AG71" i="13"/>
  <c r="AH71" i="13" s="1"/>
  <c r="AF71" i="13"/>
  <c r="Q72" i="1"/>
  <c r="K73" i="13" l="1"/>
  <c r="X68" i="1"/>
  <c r="T68" i="1"/>
  <c r="U68" i="1"/>
  <c r="O69" i="1"/>
  <c r="S68" i="1"/>
  <c r="V67" i="1"/>
  <c r="W67" i="1" s="1"/>
  <c r="AD67" i="1" s="1"/>
  <c r="AF71" i="7"/>
  <c r="E72" i="7"/>
  <c r="E81" i="5"/>
  <c r="F81" i="5"/>
  <c r="G81" i="5"/>
  <c r="K81" i="5" s="1"/>
  <c r="B84" i="5"/>
  <c r="C82" i="5"/>
  <c r="D82" i="5" s="1"/>
  <c r="H83" i="5"/>
  <c r="I80" i="5"/>
  <c r="J80" i="5" s="1"/>
  <c r="E73" i="28"/>
  <c r="S72" i="28"/>
  <c r="S72" i="13"/>
  <c r="T72" i="13"/>
  <c r="U72" i="13" s="1"/>
  <c r="R73" i="13"/>
  <c r="E74" i="13"/>
  <c r="AE73" i="13"/>
  <c r="E76" i="27"/>
  <c r="Q73" i="1"/>
  <c r="AG72" i="13"/>
  <c r="AH72" i="13" s="1"/>
  <c r="AF72" i="13"/>
  <c r="K74" i="13" l="1"/>
  <c r="V68" i="1"/>
  <c r="W68" i="1" s="1"/>
  <c r="AD68" i="1" s="1"/>
  <c r="X69" i="1"/>
  <c r="T69" i="1"/>
  <c r="O70" i="1"/>
  <c r="U69" i="1"/>
  <c r="S69" i="1"/>
  <c r="AF72" i="7"/>
  <c r="E73" i="7"/>
  <c r="C83" i="5"/>
  <c r="D83" i="5" s="1"/>
  <c r="H84" i="5"/>
  <c r="B85" i="5"/>
  <c r="G82" i="5"/>
  <c r="K82" i="5" s="1"/>
  <c r="F82" i="5"/>
  <c r="E82" i="5"/>
  <c r="I81" i="5"/>
  <c r="J81" i="5" s="1"/>
  <c r="S73" i="28"/>
  <c r="E74" i="28"/>
  <c r="Q74" i="1"/>
  <c r="E77" i="27"/>
  <c r="S73" i="13"/>
  <c r="T73" i="13"/>
  <c r="U73" i="13" s="1"/>
  <c r="AG73" i="13"/>
  <c r="AH73" i="13" s="1"/>
  <c r="AF73" i="13"/>
  <c r="AE74" i="13"/>
  <c r="R74" i="13"/>
  <c r="E75" i="13"/>
  <c r="K75" i="13" l="1"/>
  <c r="U70" i="1"/>
  <c r="O71" i="1"/>
  <c r="T70" i="1"/>
  <c r="S70" i="1"/>
  <c r="X70" i="1"/>
  <c r="V69" i="1"/>
  <c r="W69" i="1" s="1"/>
  <c r="AD69" i="1" s="1"/>
  <c r="AF73" i="7"/>
  <c r="E74" i="7"/>
  <c r="B86" i="5"/>
  <c r="H85" i="5"/>
  <c r="C84" i="5"/>
  <c r="D84" i="5" s="1"/>
  <c r="I82" i="5"/>
  <c r="J82" i="5" s="1"/>
  <c r="G83" i="5"/>
  <c r="K83" i="5" s="1"/>
  <c r="E83" i="5"/>
  <c r="F83" i="5"/>
  <c r="S74" i="28"/>
  <c r="E75" i="28"/>
  <c r="AG74" i="13"/>
  <c r="AH74" i="13" s="1"/>
  <c r="AF74" i="13"/>
  <c r="Q75" i="1"/>
  <c r="R75" i="13"/>
  <c r="AE75" i="13"/>
  <c r="E76" i="13"/>
  <c r="T74" i="13"/>
  <c r="U74" i="13" s="1"/>
  <c r="S74" i="13"/>
  <c r="E78" i="27"/>
  <c r="K76" i="13" l="1"/>
  <c r="V70" i="1"/>
  <c r="W70" i="1" s="1"/>
  <c r="AD70" i="1" s="1"/>
  <c r="S71" i="1"/>
  <c r="O72" i="1"/>
  <c r="U71" i="1"/>
  <c r="X71" i="1"/>
  <c r="T71" i="1"/>
  <c r="AF74" i="7"/>
  <c r="E75" i="7"/>
  <c r="F84" i="5"/>
  <c r="E84" i="5"/>
  <c r="G84" i="5"/>
  <c r="K84" i="5" s="1"/>
  <c r="I83" i="5"/>
  <c r="J83" i="5" s="1"/>
  <c r="H86" i="5"/>
  <c r="B87" i="5"/>
  <c r="C85" i="5"/>
  <c r="D85" i="5" s="1"/>
  <c r="S75" i="28"/>
  <c r="E76" i="28"/>
  <c r="T75" i="13"/>
  <c r="U75" i="13" s="1"/>
  <c r="S75" i="13"/>
  <c r="Q76" i="1"/>
  <c r="E79" i="27"/>
  <c r="E77" i="13"/>
  <c r="AE76" i="13"/>
  <c r="R76" i="13"/>
  <c r="AF75" i="13"/>
  <c r="AG75" i="13"/>
  <c r="AH75" i="13" s="1"/>
  <c r="K77" i="13" l="1"/>
  <c r="X72" i="1"/>
  <c r="O73" i="1"/>
  <c r="T72" i="1"/>
  <c r="U72" i="1"/>
  <c r="S72" i="1"/>
  <c r="V71" i="1"/>
  <c r="W71" i="1" s="1"/>
  <c r="AD71" i="1" s="1"/>
  <c r="AF75" i="7"/>
  <c r="E76" i="7"/>
  <c r="G85" i="5"/>
  <c r="K85" i="5" s="1"/>
  <c r="F85" i="5"/>
  <c r="E85" i="5"/>
  <c r="B88" i="5"/>
  <c r="C86" i="5"/>
  <c r="D86" i="5" s="1"/>
  <c r="H87" i="5"/>
  <c r="I84" i="5"/>
  <c r="J84" i="5" s="1"/>
  <c r="S76" i="28"/>
  <c r="E77" i="28"/>
  <c r="T76" i="13"/>
  <c r="U76" i="13" s="1"/>
  <c r="S76" i="13"/>
  <c r="AF76" i="13"/>
  <c r="AG76" i="13"/>
  <c r="AH76" i="13" s="1"/>
  <c r="R77" i="13"/>
  <c r="E78" i="13"/>
  <c r="AE77" i="13"/>
  <c r="E80" i="27"/>
  <c r="Q77" i="1"/>
  <c r="K78" i="13" l="1"/>
  <c r="V72" i="1"/>
  <c r="W72" i="1" s="1"/>
  <c r="AD72" i="1" s="1"/>
  <c r="T73" i="1"/>
  <c r="X73" i="1"/>
  <c r="O74" i="1"/>
  <c r="U73" i="1"/>
  <c r="S73" i="1"/>
  <c r="AF76" i="7"/>
  <c r="E77" i="7"/>
  <c r="B89" i="5"/>
  <c r="C87" i="5"/>
  <c r="D87" i="5" s="1"/>
  <c r="H88" i="5"/>
  <c r="I85" i="5"/>
  <c r="J85" i="5" s="1"/>
  <c r="G86" i="5"/>
  <c r="K86" i="5" s="1"/>
  <c r="E86" i="5"/>
  <c r="F86" i="5"/>
  <c r="S77" i="28"/>
  <c r="E78" i="28"/>
  <c r="AE78" i="13"/>
  <c r="E79" i="13"/>
  <c r="R78" i="13"/>
  <c r="E81" i="27"/>
  <c r="T77" i="13"/>
  <c r="U77" i="13" s="1"/>
  <c r="S77" i="13"/>
  <c r="Q78" i="1"/>
  <c r="AF77" i="13"/>
  <c r="AG77" i="13"/>
  <c r="AH77" i="13" s="1"/>
  <c r="K79" i="13" l="1"/>
  <c r="V73" i="1"/>
  <c r="W73" i="1" s="1"/>
  <c r="AD73" i="1" s="1"/>
  <c r="T74" i="1"/>
  <c r="X74" i="1"/>
  <c r="U74" i="1"/>
  <c r="O75" i="1"/>
  <c r="S74" i="1"/>
  <c r="AF77" i="7"/>
  <c r="E78" i="7"/>
  <c r="I86" i="5"/>
  <c r="J86" i="5" s="1"/>
  <c r="F87" i="5"/>
  <c r="G87" i="5"/>
  <c r="K87" i="5" s="1"/>
  <c r="E87" i="5"/>
  <c r="C88" i="5"/>
  <c r="D88" i="5" s="1"/>
  <c r="B90" i="5"/>
  <c r="H89" i="5"/>
  <c r="E79" i="28"/>
  <c r="S78" i="28"/>
  <c r="S78" i="13"/>
  <c r="T78" i="13"/>
  <c r="U78" i="13" s="1"/>
  <c r="E82" i="27"/>
  <c r="R79" i="13"/>
  <c r="AE79" i="13"/>
  <c r="E80" i="13"/>
  <c r="AG78" i="13"/>
  <c r="AH78" i="13" s="1"/>
  <c r="AF78" i="13"/>
  <c r="Q79" i="1"/>
  <c r="K80" i="13" l="1"/>
  <c r="V74" i="1"/>
  <c r="W74" i="1" s="1"/>
  <c r="AD74" i="1" s="1"/>
  <c r="T75" i="1"/>
  <c r="O76" i="1"/>
  <c r="S75" i="1"/>
  <c r="X75" i="1"/>
  <c r="U75" i="1"/>
  <c r="AF78" i="7"/>
  <c r="E79" i="7"/>
  <c r="I87" i="5"/>
  <c r="J87" i="5" s="1"/>
  <c r="B91" i="5"/>
  <c r="C89" i="5"/>
  <c r="D89" i="5" s="1"/>
  <c r="H90" i="5"/>
  <c r="F88" i="5"/>
  <c r="G88" i="5"/>
  <c r="K88" i="5" s="1"/>
  <c r="E88" i="5"/>
  <c r="S79" i="28"/>
  <c r="E80" i="28"/>
  <c r="AG79" i="13"/>
  <c r="AH79" i="13" s="1"/>
  <c r="AF79" i="13"/>
  <c r="T79" i="13"/>
  <c r="U79" i="13" s="1"/>
  <c r="S79" i="13"/>
  <c r="E83" i="27"/>
  <c r="Q80" i="1"/>
  <c r="R80" i="13"/>
  <c r="AE80" i="13"/>
  <c r="E81" i="13"/>
  <c r="K81" i="13" l="1"/>
  <c r="S76" i="1"/>
  <c r="U76" i="1"/>
  <c r="X76" i="1"/>
  <c r="T76" i="1"/>
  <c r="O77" i="1"/>
  <c r="V75" i="1"/>
  <c r="W75" i="1" s="1"/>
  <c r="AD75" i="1" s="1"/>
  <c r="AF79" i="7"/>
  <c r="E80" i="7"/>
  <c r="I88" i="5"/>
  <c r="J88" i="5" s="1"/>
  <c r="G89" i="5"/>
  <c r="K89" i="5" s="1"/>
  <c r="F89" i="5"/>
  <c r="E89" i="5"/>
  <c r="B92" i="5"/>
  <c r="H91" i="5"/>
  <c r="C90" i="5"/>
  <c r="D90" i="5" s="1"/>
  <c r="S80" i="28"/>
  <c r="E81" i="28"/>
  <c r="AE81" i="13"/>
  <c r="R81" i="13"/>
  <c r="E82" i="13"/>
  <c r="T80" i="13"/>
  <c r="U80" i="13" s="1"/>
  <c r="S80" i="13"/>
  <c r="Q81" i="1"/>
  <c r="AG80" i="13"/>
  <c r="AH80" i="13" s="1"/>
  <c r="AF80" i="13"/>
  <c r="E84" i="27"/>
  <c r="K82" i="13" l="1"/>
  <c r="V76" i="1"/>
  <c r="W76" i="1" s="1"/>
  <c r="AD76" i="1" s="1"/>
  <c r="U77" i="1"/>
  <c r="X77" i="1"/>
  <c r="T77" i="1"/>
  <c r="O78" i="1"/>
  <c r="S77" i="1"/>
  <c r="AF80" i="7"/>
  <c r="E81" i="7"/>
  <c r="F90" i="5"/>
  <c r="G90" i="5"/>
  <c r="K90" i="5" s="1"/>
  <c r="E90" i="5"/>
  <c r="I89" i="5"/>
  <c r="J89" i="5" s="1"/>
  <c r="C91" i="5"/>
  <c r="D91" i="5" s="1"/>
  <c r="B93" i="5"/>
  <c r="H92" i="5"/>
  <c r="S81" i="28"/>
  <c r="E82" i="28"/>
  <c r="AE82" i="13"/>
  <c r="E83" i="13"/>
  <c r="R82" i="13"/>
  <c r="T81" i="13"/>
  <c r="U81" i="13" s="1"/>
  <c r="S81" i="13"/>
  <c r="E85" i="27"/>
  <c r="Q82" i="1"/>
  <c r="AF81" i="13"/>
  <c r="AG81" i="13"/>
  <c r="AH81" i="13" s="1"/>
  <c r="K83" i="13" l="1"/>
  <c r="V77" i="1"/>
  <c r="W77" i="1" s="1"/>
  <c r="AD77" i="1" s="1"/>
  <c r="X78" i="1"/>
  <c r="U78" i="1"/>
  <c r="T78" i="1"/>
  <c r="O79" i="1"/>
  <c r="S78" i="1"/>
  <c r="AF81" i="7"/>
  <c r="E82" i="7"/>
  <c r="I90" i="5"/>
  <c r="J90" i="5" s="1"/>
  <c r="C92" i="5"/>
  <c r="D92" i="5" s="1"/>
  <c r="B94" i="5"/>
  <c r="H93" i="5"/>
  <c r="E91" i="5"/>
  <c r="F91" i="5"/>
  <c r="G91" i="5"/>
  <c r="K91" i="5" s="1"/>
  <c r="S82" i="28"/>
  <c r="E83" i="28"/>
  <c r="Q83" i="1"/>
  <c r="T82" i="13"/>
  <c r="U82" i="13" s="1"/>
  <c r="S82" i="13"/>
  <c r="E86" i="27"/>
  <c r="R83" i="13"/>
  <c r="AE83" i="13"/>
  <c r="E84" i="13"/>
  <c r="AF82" i="13"/>
  <c r="AG82" i="13"/>
  <c r="AH82" i="13" s="1"/>
  <c r="K84" i="13" l="1"/>
  <c r="V78" i="1"/>
  <c r="W78" i="1" s="1"/>
  <c r="AD78" i="1" s="1"/>
  <c r="O80" i="1"/>
  <c r="U79" i="1"/>
  <c r="T79" i="1"/>
  <c r="X79" i="1"/>
  <c r="S79" i="1"/>
  <c r="AF82" i="7"/>
  <c r="E83" i="7"/>
  <c r="H94" i="5"/>
  <c r="B95" i="5"/>
  <c r="C93" i="5"/>
  <c r="D93" i="5" s="1"/>
  <c r="F92" i="5"/>
  <c r="G92" i="5"/>
  <c r="K92" i="5" s="1"/>
  <c r="E92" i="5"/>
  <c r="I91" i="5"/>
  <c r="J91" i="5" s="1"/>
  <c r="S83" i="28"/>
  <c r="E84" i="28"/>
  <c r="S83" i="13"/>
  <c r="T83" i="13"/>
  <c r="U83" i="13" s="1"/>
  <c r="Q84" i="1"/>
  <c r="AE84" i="13"/>
  <c r="E85" i="13"/>
  <c r="R84" i="13"/>
  <c r="AF83" i="13"/>
  <c r="AG83" i="13"/>
  <c r="AH83" i="13" s="1"/>
  <c r="E87" i="27"/>
  <c r="K85" i="13" l="1"/>
  <c r="V79" i="1"/>
  <c r="W79" i="1" s="1"/>
  <c r="AD79" i="1" s="1"/>
  <c r="U80" i="1"/>
  <c r="X80" i="1"/>
  <c r="T80" i="1"/>
  <c r="S80" i="1"/>
  <c r="O81" i="1"/>
  <c r="AF83" i="7"/>
  <c r="E84" i="7"/>
  <c r="G93" i="5"/>
  <c r="K93" i="5" s="1"/>
  <c r="E93" i="5"/>
  <c r="F93" i="5"/>
  <c r="I92" i="5"/>
  <c r="J92" i="5" s="1"/>
  <c r="H95" i="5"/>
  <c r="C94" i="5"/>
  <c r="D94" i="5" s="1"/>
  <c r="B96" i="5"/>
  <c r="S84" i="28"/>
  <c r="E85" i="28"/>
  <c r="E88" i="27"/>
  <c r="AE85" i="13"/>
  <c r="E86" i="13"/>
  <c r="R85" i="13"/>
  <c r="AG84" i="13"/>
  <c r="AH84" i="13" s="1"/>
  <c r="AF84" i="13"/>
  <c r="Q85" i="1"/>
  <c r="S84" i="13"/>
  <c r="T84" i="13"/>
  <c r="U84" i="13" s="1"/>
  <c r="K86" i="13" l="1"/>
  <c r="V80" i="1"/>
  <c r="W80" i="1" s="1"/>
  <c r="AD80" i="1" s="1"/>
  <c r="S81" i="1"/>
  <c r="U81" i="1"/>
  <c r="O82" i="1"/>
  <c r="T81" i="1"/>
  <c r="X81" i="1"/>
  <c r="AF84" i="7"/>
  <c r="E85" i="7"/>
  <c r="C95" i="5"/>
  <c r="D95" i="5" s="1"/>
  <c r="H96" i="5"/>
  <c r="B97" i="5"/>
  <c r="F94" i="5"/>
  <c r="E94" i="5"/>
  <c r="G94" i="5"/>
  <c r="K94" i="5" s="1"/>
  <c r="I93" i="5"/>
  <c r="J93" i="5" s="1"/>
  <c r="E86" i="28"/>
  <c r="S85" i="28"/>
  <c r="T85" i="13"/>
  <c r="U85" i="13" s="1"/>
  <c r="S85" i="13"/>
  <c r="Q86" i="1"/>
  <c r="AE86" i="13"/>
  <c r="E87" i="13"/>
  <c r="R86" i="13"/>
  <c r="E89" i="27"/>
  <c r="AG85" i="13"/>
  <c r="AH85" i="13" s="1"/>
  <c r="AF85" i="13"/>
  <c r="K87" i="13" l="1"/>
  <c r="V81" i="1"/>
  <c r="W81" i="1" s="1"/>
  <c r="AD81" i="1" s="1"/>
  <c r="T82" i="1"/>
  <c r="U82" i="1"/>
  <c r="X82" i="1"/>
  <c r="O83" i="1"/>
  <c r="S82" i="1"/>
  <c r="AF85" i="7"/>
  <c r="E86" i="7"/>
  <c r="C96" i="5"/>
  <c r="D96" i="5" s="1"/>
  <c r="B98" i="5"/>
  <c r="H97" i="5"/>
  <c r="I94" i="5"/>
  <c r="J94" i="5" s="1"/>
  <c r="G95" i="5"/>
  <c r="K95" i="5" s="1"/>
  <c r="F95" i="5"/>
  <c r="E95" i="5"/>
  <c r="E87" i="28"/>
  <c r="S86" i="28"/>
  <c r="AG86" i="13"/>
  <c r="AH86" i="13" s="1"/>
  <c r="AF86" i="13"/>
  <c r="E90" i="27"/>
  <c r="S86" i="13"/>
  <c r="T86" i="13"/>
  <c r="U86" i="13" s="1"/>
  <c r="R87" i="13"/>
  <c r="E88" i="13"/>
  <c r="AE87" i="13"/>
  <c r="Q87" i="1"/>
  <c r="K88" i="13" l="1"/>
  <c r="V82" i="1"/>
  <c r="W82" i="1" s="1"/>
  <c r="AD82" i="1" s="1"/>
  <c r="T83" i="1"/>
  <c r="U83" i="1"/>
  <c r="S83" i="1"/>
  <c r="X83" i="1"/>
  <c r="O84" i="1"/>
  <c r="AF86" i="7"/>
  <c r="E87" i="7"/>
  <c r="I95" i="5"/>
  <c r="J95" i="5" s="1"/>
  <c r="C97" i="5"/>
  <c r="D97" i="5" s="1"/>
  <c r="H98" i="5"/>
  <c r="B99" i="5"/>
  <c r="G96" i="5"/>
  <c r="K96" i="5" s="1"/>
  <c r="F96" i="5"/>
  <c r="E96" i="5"/>
  <c r="S87" i="28"/>
  <c r="E88" i="28"/>
  <c r="Q88" i="1"/>
  <c r="AG87" i="13"/>
  <c r="AH87" i="13" s="1"/>
  <c r="AF87" i="13"/>
  <c r="E91" i="27"/>
  <c r="AE88" i="13"/>
  <c r="R88" i="13"/>
  <c r="E89" i="13"/>
  <c r="S87" i="13"/>
  <c r="T87" i="13"/>
  <c r="U87" i="13" s="1"/>
  <c r="K89" i="13" l="1"/>
  <c r="V83" i="1"/>
  <c r="W83" i="1" s="1"/>
  <c r="AD83" i="1" s="1"/>
  <c r="U84" i="1"/>
  <c r="S84" i="1"/>
  <c r="X84" i="1"/>
  <c r="O85" i="1"/>
  <c r="T84" i="1"/>
  <c r="AF87" i="7"/>
  <c r="E88" i="7"/>
  <c r="C98" i="5"/>
  <c r="D98" i="5" s="1"/>
  <c r="H99" i="5"/>
  <c r="B100" i="5"/>
  <c r="I96" i="5"/>
  <c r="J96" i="5" s="1"/>
  <c r="F97" i="5"/>
  <c r="E97" i="5"/>
  <c r="G97" i="5"/>
  <c r="K97" i="5" s="1"/>
  <c r="E89" i="28"/>
  <c r="S88" i="28"/>
  <c r="T88" i="13"/>
  <c r="U88" i="13" s="1"/>
  <c r="S88" i="13"/>
  <c r="Q89" i="1"/>
  <c r="AG88" i="13"/>
  <c r="AH88" i="13" s="1"/>
  <c r="AF88" i="13"/>
  <c r="E92" i="27"/>
  <c r="AE89" i="13"/>
  <c r="E90" i="13"/>
  <c r="R89" i="13"/>
  <c r="K90" i="13" l="1"/>
  <c r="V84" i="1"/>
  <c r="W84" i="1" s="1"/>
  <c r="AD84" i="1" s="1"/>
  <c r="S85" i="1"/>
  <c r="T85" i="1"/>
  <c r="U85" i="1"/>
  <c r="O86" i="1"/>
  <c r="X85" i="1"/>
  <c r="AF88" i="7"/>
  <c r="E89" i="7"/>
  <c r="B101" i="5"/>
  <c r="C99" i="5"/>
  <c r="D99" i="5" s="1"/>
  <c r="H100" i="5"/>
  <c r="I97" i="5"/>
  <c r="J97" i="5" s="1"/>
  <c r="F98" i="5"/>
  <c r="G98" i="5"/>
  <c r="K98" i="5" s="1"/>
  <c r="E98" i="5"/>
  <c r="S89" i="28"/>
  <c r="E90" i="28"/>
  <c r="Q90" i="1"/>
  <c r="AG89" i="13"/>
  <c r="AH89" i="13" s="1"/>
  <c r="AF89" i="13"/>
  <c r="T89" i="13"/>
  <c r="U89" i="13" s="1"/>
  <c r="S89" i="13"/>
  <c r="R90" i="13"/>
  <c r="AE90" i="13"/>
  <c r="E91" i="13"/>
  <c r="E93" i="27"/>
  <c r="K91" i="13" l="1"/>
  <c r="V85" i="1"/>
  <c r="W85" i="1" s="1"/>
  <c r="AD85" i="1" s="1"/>
  <c r="S86" i="1"/>
  <c r="O87" i="1"/>
  <c r="X86" i="1"/>
  <c r="T86" i="1"/>
  <c r="U86" i="1"/>
  <c r="AF89" i="7"/>
  <c r="E90" i="7"/>
  <c r="I98" i="5"/>
  <c r="J98" i="5" s="1"/>
  <c r="F99" i="5"/>
  <c r="E99" i="5"/>
  <c r="G99" i="5"/>
  <c r="K99" i="5" s="1"/>
  <c r="H101" i="5"/>
  <c r="B102" i="5"/>
  <c r="C100" i="5"/>
  <c r="D100" i="5" s="1"/>
  <c r="E91" i="28"/>
  <c r="S90" i="28"/>
  <c r="T90" i="13"/>
  <c r="U90" i="13" s="1"/>
  <c r="S90" i="13"/>
  <c r="E92" i="13"/>
  <c r="R91" i="13"/>
  <c r="AE91" i="13"/>
  <c r="Q91" i="1"/>
  <c r="E94" i="27"/>
  <c r="AF90" i="13"/>
  <c r="AG90" i="13"/>
  <c r="AH90" i="13" s="1"/>
  <c r="K92" i="13" l="1"/>
  <c r="V86" i="1"/>
  <c r="W86" i="1" s="1"/>
  <c r="AD86" i="1" s="1"/>
  <c r="U87" i="1"/>
  <c r="T87" i="1"/>
  <c r="X87" i="1"/>
  <c r="S87" i="1"/>
  <c r="O88" i="1"/>
  <c r="AF90" i="7"/>
  <c r="E91" i="7"/>
  <c r="F100" i="5"/>
  <c r="G100" i="5"/>
  <c r="K100" i="5" s="1"/>
  <c r="E100" i="5"/>
  <c r="I99" i="5"/>
  <c r="J99" i="5" s="1"/>
  <c r="H102" i="5"/>
  <c r="B103" i="5"/>
  <c r="C101" i="5"/>
  <c r="D101" i="5" s="1"/>
  <c r="S91" i="28"/>
  <c r="E92" i="28"/>
  <c r="AE92" i="13"/>
  <c r="R92" i="13"/>
  <c r="E93" i="13"/>
  <c r="E95" i="27"/>
  <c r="Q92" i="1"/>
  <c r="AG91" i="13"/>
  <c r="AH91" i="13" s="1"/>
  <c r="AF91" i="13"/>
  <c r="T91" i="13"/>
  <c r="U91" i="13" s="1"/>
  <c r="S91" i="13"/>
  <c r="K93" i="13" l="1"/>
  <c r="V87" i="1"/>
  <c r="W87" i="1" s="1"/>
  <c r="AD87" i="1" s="1"/>
  <c r="O89" i="1"/>
  <c r="X88" i="1"/>
  <c r="U88" i="1"/>
  <c r="S88" i="1"/>
  <c r="T88" i="1"/>
  <c r="AF91" i="7"/>
  <c r="E92" i="7"/>
  <c r="F101" i="5"/>
  <c r="G101" i="5"/>
  <c r="K101" i="5" s="1"/>
  <c r="E101" i="5"/>
  <c r="I100" i="5"/>
  <c r="J100" i="5" s="1"/>
  <c r="B104" i="5"/>
  <c r="H103" i="5"/>
  <c r="C102" i="5"/>
  <c r="D102" i="5" s="1"/>
  <c r="S92" i="28"/>
  <c r="E93" i="28"/>
  <c r="R93" i="13"/>
  <c r="AE93" i="13"/>
  <c r="E94" i="13"/>
  <c r="Q93" i="1"/>
  <c r="S92" i="13"/>
  <c r="T92" i="13"/>
  <c r="U92" i="13" s="1"/>
  <c r="AG92" i="13"/>
  <c r="AH92" i="13" s="1"/>
  <c r="AF92" i="13"/>
  <c r="E96" i="27"/>
  <c r="K94" i="13" l="1"/>
  <c r="V88" i="1"/>
  <c r="W88" i="1" s="1"/>
  <c r="AD88" i="1" s="1"/>
  <c r="S89" i="1"/>
  <c r="O90" i="1"/>
  <c r="U89" i="1"/>
  <c r="T89" i="1"/>
  <c r="X89" i="1"/>
  <c r="AF92" i="7"/>
  <c r="E93" i="7"/>
  <c r="G102" i="5"/>
  <c r="K102" i="5" s="1"/>
  <c r="E102" i="5"/>
  <c r="F102" i="5"/>
  <c r="I101" i="5"/>
  <c r="J101" i="5" s="1"/>
  <c r="H104" i="5"/>
  <c r="C103" i="5"/>
  <c r="D103" i="5" s="1"/>
  <c r="B105" i="5"/>
  <c r="E94" i="28"/>
  <c r="S93" i="28"/>
  <c r="Q94" i="1"/>
  <c r="R94" i="13"/>
  <c r="E95" i="13"/>
  <c r="AE94" i="13"/>
  <c r="E97" i="27"/>
  <c r="AG93" i="13"/>
  <c r="AH93" i="13" s="1"/>
  <c r="AF93" i="13"/>
  <c r="T93" i="13"/>
  <c r="U93" i="13" s="1"/>
  <c r="S93" i="13"/>
  <c r="K95" i="13" l="1"/>
  <c r="V89" i="1"/>
  <c r="W89" i="1" s="1"/>
  <c r="AD89" i="1" s="1"/>
  <c r="O91" i="1"/>
  <c r="U90" i="1"/>
  <c r="T90" i="1"/>
  <c r="S90" i="1"/>
  <c r="X90" i="1"/>
  <c r="AF93" i="7"/>
  <c r="E94" i="7"/>
  <c r="C104" i="5"/>
  <c r="D104" i="5" s="1"/>
  <c r="H105" i="5"/>
  <c r="B106" i="5"/>
  <c r="E103" i="5"/>
  <c r="G103" i="5"/>
  <c r="K103" i="5" s="1"/>
  <c r="F103" i="5"/>
  <c r="I102" i="5"/>
  <c r="J102" i="5" s="1"/>
  <c r="S94" i="28"/>
  <c r="E95" i="28"/>
  <c r="E98" i="27"/>
  <c r="R95" i="13"/>
  <c r="E96" i="13"/>
  <c r="AE95" i="13"/>
  <c r="Q95" i="1"/>
  <c r="T94" i="13"/>
  <c r="U94" i="13" s="1"/>
  <c r="S94" i="13"/>
  <c r="AG94" i="13"/>
  <c r="AH94" i="13" s="1"/>
  <c r="AF94" i="13"/>
  <c r="K96" i="13" l="1"/>
  <c r="V90" i="1"/>
  <c r="W90" i="1" s="1"/>
  <c r="AD90" i="1" s="1"/>
  <c r="O92" i="1"/>
  <c r="S91" i="1"/>
  <c r="U91" i="1"/>
  <c r="T91" i="1"/>
  <c r="X91" i="1"/>
  <c r="AF94" i="7"/>
  <c r="E95" i="7"/>
  <c r="I103" i="5"/>
  <c r="J103" i="5" s="1"/>
  <c r="C105" i="5"/>
  <c r="D105" i="5" s="1"/>
  <c r="B107" i="5"/>
  <c r="H106" i="5"/>
  <c r="G104" i="5"/>
  <c r="K104" i="5" s="1"/>
  <c r="F104" i="5"/>
  <c r="E104" i="5"/>
  <c r="S95" i="28"/>
  <c r="E96" i="28"/>
  <c r="T95" i="13"/>
  <c r="U95" i="13" s="1"/>
  <c r="S95" i="13"/>
  <c r="E99" i="27"/>
  <c r="Q96" i="1"/>
  <c r="AF95" i="13"/>
  <c r="AG95" i="13"/>
  <c r="AH95" i="13" s="1"/>
  <c r="E97" i="13"/>
  <c r="R96" i="13"/>
  <c r="AE96" i="13"/>
  <c r="K97" i="13" l="1"/>
  <c r="V91" i="1"/>
  <c r="W91" i="1" s="1"/>
  <c r="AD91" i="1" s="1"/>
  <c r="U92" i="1"/>
  <c r="O93" i="1"/>
  <c r="T92" i="1"/>
  <c r="S92" i="1"/>
  <c r="X92" i="1"/>
  <c r="AF95" i="7"/>
  <c r="E96" i="7"/>
  <c r="I104" i="5"/>
  <c r="J104" i="5" s="1"/>
  <c r="B108" i="5"/>
  <c r="C106" i="5"/>
  <c r="D106" i="5" s="1"/>
  <c r="H107" i="5"/>
  <c r="F105" i="5"/>
  <c r="G105" i="5"/>
  <c r="K105" i="5" s="1"/>
  <c r="E105" i="5"/>
  <c r="S96" i="28"/>
  <c r="E97" i="28"/>
  <c r="T96" i="13"/>
  <c r="U96" i="13" s="1"/>
  <c r="S96" i="13"/>
  <c r="Q97" i="1"/>
  <c r="R97" i="13"/>
  <c r="AE97" i="13"/>
  <c r="E98" i="13"/>
  <c r="AF96" i="13"/>
  <c r="AG96" i="13"/>
  <c r="AH96" i="13" s="1"/>
  <c r="E100" i="27"/>
  <c r="V92" i="1" l="1"/>
  <c r="W92" i="1" s="1"/>
  <c r="AD92" i="1" s="1"/>
  <c r="K98" i="13"/>
  <c r="X93" i="1"/>
  <c r="T93" i="1"/>
  <c r="O94" i="1"/>
  <c r="U93" i="1"/>
  <c r="S93" i="1"/>
  <c r="AF96" i="7"/>
  <c r="E97" i="7"/>
  <c r="I105" i="5"/>
  <c r="J105" i="5" s="1"/>
  <c r="G106" i="5"/>
  <c r="K106" i="5" s="1"/>
  <c r="F106" i="5"/>
  <c r="E106" i="5"/>
  <c r="C107" i="5"/>
  <c r="D107" i="5" s="1"/>
  <c r="H108" i="5"/>
  <c r="B109" i="5"/>
  <c r="S97" i="28"/>
  <c r="E98" i="28"/>
  <c r="E101" i="27"/>
  <c r="Q98" i="1"/>
  <c r="S97" i="13"/>
  <c r="T97" i="13"/>
  <c r="U97" i="13" s="1"/>
  <c r="AE98" i="13"/>
  <c r="E99" i="13"/>
  <c r="R98" i="13"/>
  <c r="AF97" i="13"/>
  <c r="AG97" i="13"/>
  <c r="AH97" i="13" s="1"/>
  <c r="K99" i="13" l="1"/>
  <c r="V93" i="1"/>
  <c r="W93" i="1" s="1"/>
  <c r="AD93" i="1" s="1"/>
  <c r="O95" i="1"/>
  <c r="T94" i="1"/>
  <c r="S94" i="1"/>
  <c r="X94" i="1"/>
  <c r="U94" i="1"/>
  <c r="AF97" i="7"/>
  <c r="E98" i="7"/>
  <c r="C108" i="5"/>
  <c r="D108" i="5" s="1"/>
  <c r="B110" i="5"/>
  <c r="H109" i="5"/>
  <c r="I106" i="5"/>
  <c r="J106" i="5" s="1"/>
  <c r="E107" i="5"/>
  <c r="G107" i="5"/>
  <c r="K107" i="5" s="1"/>
  <c r="F107" i="5"/>
  <c r="S98" i="28"/>
  <c r="E99" i="28"/>
  <c r="AG98" i="13"/>
  <c r="AH98" i="13" s="1"/>
  <c r="AF98" i="13"/>
  <c r="T98" i="13"/>
  <c r="U98" i="13" s="1"/>
  <c r="S98" i="13"/>
  <c r="Q99" i="1"/>
  <c r="E102" i="27"/>
  <c r="R99" i="13"/>
  <c r="E100" i="13"/>
  <c r="AE99" i="13"/>
  <c r="K100" i="13" l="1"/>
  <c r="V94" i="1"/>
  <c r="W94" i="1" s="1"/>
  <c r="AD94" i="1" s="1"/>
  <c r="O96" i="1"/>
  <c r="S95" i="1"/>
  <c r="X95" i="1"/>
  <c r="T95" i="1"/>
  <c r="U95" i="1"/>
  <c r="AF98" i="7"/>
  <c r="E99" i="7"/>
  <c r="B111" i="5"/>
  <c r="C109" i="5"/>
  <c r="D109" i="5" s="1"/>
  <c r="H110" i="5"/>
  <c r="I107" i="5"/>
  <c r="J107" i="5" s="1"/>
  <c r="G108" i="5"/>
  <c r="K108" i="5" s="1"/>
  <c r="E108" i="5"/>
  <c r="F108" i="5"/>
  <c r="S99" i="28"/>
  <c r="E100" i="28"/>
  <c r="AG99" i="13"/>
  <c r="AH99" i="13" s="1"/>
  <c r="AF99" i="13"/>
  <c r="AE100" i="13"/>
  <c r="R100" i="13"/>
  <c r="E101" i="13"/>
  <c r="E103" i="27"/>
  <c r="Q100" i="1"/>
  <c r="S99" i="13"/>
  <c r="T99" i="13"/>
  <c r="U99" i="13" s="1"/>
  <c r="K101" i="13" l="1"/>
  <c r="X96" i="1"/>
  <c r="U96" i="1"/>
  <c r="T96" i="1"/>
  <c r="S96" i="1"/>
  <c r="O97" i="1"/>
  <c r="V95" i="1"/>
  <c r="W95" i="1" s="1"/>
  <c r="AD95" i="1" s="1"/>
  <c r="AF99" i="7"/>
  <c r="E100" i="7"/>
  <c r="I108" i="5"/>
  <c r="J108" i="5" s="1"/>
  <c r="E109" i="5"/>
  <c r="G109" i="5"/>
  <c r="K109" i="5" s="1"/>
  <c r="F109" i="5"/>
  <c r="H111" i="5"/>
  <c r="B112" i="5"/>
  <c r="C110" i="5"/>
  <c r="D110" i="5" s="1"/>
  <c r="S100" i="28"/>
  <c r="E101" i="28"/>
  <c r="AF100" i="13"/>
  <c r="AG100" i="13"/>
  <c r="AH100" i="13" s="1"/>
  <c r="Q101" i="1"/>
  <c r="E104" i="27"/>
  <c r="AE101" i="13"/>
  <c r="R101" i="13"/>
  <c r="E102" i="13"/>
  <c r="T100" i="13"/>
  <c r="U100" i="13" s="1"/>
  <c r="S100" i="13"/>
  <c r="V96" i="1" l="1"/>
  <c r="W96" i="1" s="1"/>
  <c r="AD96" i="1" s="1"/>
  <c r="K102" i="13"/>
  <c r="X97" i="1"/>
  <c r="O98" i="1"/>
  <c r="T97" i="1"/>
  <c r="S97" i="1"/>
  <c r="U97" i="1"/>
  <c r="AF100" i="7"/>
  <c r="E101" i="7"/>
  <c r="F110" i="5"/>
  <c r="E110" i="5"/>
  <c r="G110" i="5"/>
  <c r="K110" i="5" s="1"/>
  <c r="C111" i="5"/>
  <c r="D111" i="5" s="1"/>
  <c r="H112" i="5"/>
  <c r="B113" i="5"/>
  <c r="I109" i="5"/>
  <c r="J109" i="5" s="1"/>
  <c r="S101" i="28"/>
  <c r="E102" i="28"/>
  <c r="T101" i="13"/>
  <c r="U101" i="13" s="1"/>
  <c r="S101" i="13"/>
  <c r="AG101" i="13"/>
  <c r="AH101" i="13" s="1"/>
  <c r="AF101" i="13"/>
  <c r="E105" i="27"/>
  <c r="R102" i="13"/>
  <c r="AE102" i="13"/>
  <c r="E103" i="13"/>
  <c r="Q102" i="1"/>
  <c r="K103" i="13" l="1"/>
  <c r="V97" i="1"/>
  <c r="W97" i="1" s="1"/>
  <c r="AD97" i="1" s="1"/>
  <c r="O99" i="1"/>
  <c r="T98" i="1"/>
  <c r="X98" i="1"/>
  <c r="S98" i="1"/>
  <c r="U98" i="1"/>
  <c r="AF101" i="7"/>
  <c r="E102" i="7"/>
  <c r="E111" i="5"/>
  <c r="F111" i="5"/>
  <c r="G111" i="5"/>
  <c r="K111" i="5" s="1"/>
  <c r="C112" i="5"/>
  <c r="D112" i="5" s="1"/>
  <c r="B114" i="5"/>
  <c r="H113" i="5"/>
  <c r="I110" i="5"/>
  <c r="J110" i="5" s="1"/>
  <c r="S102" i="28"/>
  <c r="E103" i="28"/>
  <c r="AF102" i="13"/>
  <c r="AG102" i="13"/>
  <c r="AH102" i="13" s="1"/>
  <c r="E106" i="27"/>
  <c r="Q103" i="1"/>
  <c r="R103" i="13"/>
  <c r="AE103" i="13"/>
  <c r="E104" i="13"/>
  <c r="S102" i="13"/>
  <c r="T102" i="13"/>
  <c r="U102" i="13" s="1"/>
  <c r="K104" i="13" l="1"/>
  <c r="V98" i="1"/>
  <c r="W98" i="1" s="1"/>
  <c r="AD98" i="1" s="1"/>
  <c r="S99" i="1"/>
  <c r="O100" i="1"/>
  <c r="U99" i="1"/>
  <c r="X99" i="1"/>
  <c r="T99" i="1"/>
  <c r="AF102" i="7"/>
  <c r="E103" i="7"/>
  <c r="E112" i="5"/>
  <c r="F112" i="5"/>
  <c r="G112" i="5"/>
  <c r="K112" i="5" s="1"/>
  <c r="C113" i="5"/>
  <c r="D113" i="5" s="1"/>
  <c r="H114" i="5"/>
  <c r="B115" i="5"/>
  <c r="I111" i="5"/>
  <c r="J111" i="5" s="1"/>
  <c r="E104" i="28"/>
  <c r="S103" i="28"/>
  <c r="AE104" i="13"/>
  <c r="E105" i="13"/>
  <c r="R104" i="13"/>
  <c r="AF103" i="13"/>
  <c r="AG103" i="13"/>
  <c r="AH103" i="13" s="1"/>
  <c r="Q104" i="1"/>
  <c r="E107" i="27"/>
  <c r="T103" i="13"/>
  <c r="U103" i="13" s="1"/>
  <c r="S103" i="13"/>
  <c r="K105" i="13" l="1"/>
  <c r="V99" i="1"/>
  <c r="W99" i="1" s="1"/>
  <c r="AD99" i="1" s="1"/>
  <c r="T100" i="1"/>
  <c r="S100" i="1"/>
  <c r="O101" i="1"/>
  <c r="X100" i="1"/>
  <c r="U100" i="1"/>
  <c r="AF103" i="7"/>
  <c r="E104" i="7"/>
  <c r="E113" i="5"/>
  <c r="G113" i="5"/>
  <c r="K113" i="5" s="1"/>
  <c r="F113" i="5"/>
  <c r="B116" i="5"/>
  <c r="H115" i="5"/>
  <c r="C114" i="5"/>
  <c r="D114" i="5" s="1"/>
  <c r="I112" i="5"/>
  <c r="J112" i="5" s="1"/>
  <c r="E105" i="28"/>
  <c r="S104" i="28"/>
  <c r="AG104" i="13"/>
  <c r="AH104" i="13" s="1"/>
  <c r="AF104" i="13"/>
  <c r="E108" i="27"/>
  <c r="Q105" i="1"/>
  <c r="S104" i="13"/>
  <c r="T104" i="13"/>
  <c r="U104" i="13" s="1"/>
  <c r="R105" i="13"/>
  <c r="E106" i="13"/>
  <c r="AE105" i="13"/>
  <c r="K106" i="13" l="1"/>
  <c r="T101" i="1"/>
  <c r="S101" i="1"/>
  <c r="O102" i="1"/>
  <c r="X101" i="1"/>
  <c r="U101" i="1"/>
  <c r="V100" i="1"/>
  <c r="W100" i="1" s="1"/>
  <c r="AD100" i="1" s="1"/>
  <c r="AF104" i="7"/>
  <c r="E105" i="7"/>
  <c r="B117" i="5"/>
  <c r="H116" i="5"/>
  <c r="C115" i="5"/>
  <c r="D115" i="5" s="1"/>
  <c r="E114" i="5"/>
  <c r="F114" i="5"/>
  <c r="G114" i="5"/>
  <c r="K114" i="5" s="1"/>
  <c r="I113" i="5"/>
  <c r="J113" i="5" s="1"/>
  <c r="S105" i="28"/>
  <c r="E106" i="28"/>
  <c r="AG105" i="13"/>
  <c r="AH105" i="13" s="1"/>
  <c r="AF105" i="13"/>
  <c r="R106" i="13"/>
  <c r="AE106" i="13"/>
  <c r="E107" i="13"/>
  <c r="Q106" i="1"/>
  <c r="E109" i="27"/>
  <c r="S105" i="13"/>
  <c r="T105" i="13"/>
  <c r="U105" i="13" s="1"/>
  <c r="K107" i="13" l="1"/>
  <c r="O103" i="1"/>
  <c r="U102" i="1"/>
  <c r="S102" i="1"/>
  <c r="X102" i="1"/>
  <c r="T102" i="1"/>
  <c r="V101" i="1"/>
  <c r="W101" i="1" s="1"/>
  <c r="AD101" i="1" s="1"/>
  <c r="AF105" i="7"/>
  <c r="E106" i="7"/>
  <c r="I114" i="5"/>
  <c r="J114" i="5" s="1"/>
  <c r="E115" i="5"/>
  <c r="F115" i="5"/>
  <c r="G115" i="5"/>
  <c r="K115" i="5" s="1"/>
  <c r="B118" i="5"/>
  <c r="H117" i="5"/>
  <c r="C116" i="5"/>
  <c r="D116" i="5" s="1"/>
  <c r="S106" i="28"/>
  <c r="E107" i="28"/>
  <c r="R107" i="13"/>
  <c r="E108" i="13"/>
  <c r="AE107" i="13"/>
  <c r="T106" i="13"/>
  <c r="U106" i="13" s="1"/>
  <c r="S106" i="13"/>
  <c r="Q107" i="1"/>
  <c r="E110" i="27"/>
  <c r="AF106" i="13"/>
  <c r="AG106" i="13"/>
  <c r="AH106" i="13" s="1"/>
  <c r="V102" i="1" l="1"/>
  <c r="W102" i="1" s="1"/>
  <c r="AD102" i="1" s="1"/>
  <c r="X103" i="1"/>
  <c r="T103" i="1"/>
  <c r="S103" i="1"/>
  <c r="O104" i="1"/>
  <c r="U103" i="1"/>
  <c r="AF106" i="7"/>
  <c r="E107" i="7"/>
  <c r="F116" i="5"/>
  <c r="G116" i="5"/>
  <c r="K116" i="5" s="1"/>
  <c r="E116" i="5"/>
  <c r="I115" i="5"/>
  <c r="J115" i="5" s="1"/>
  <c r="H118" i="5"/>
  <c r="B119" i="5"/>
  <c r="C117" i="5"/>
  <c r="D117" i="5" s="1"/>
  <c r="E108" i="28"/>
  <c r="S107" i="28"/>
  <c r="E111" i="27"/>
  <c r="Q108" i="1"/>
  <c r="AG107" i="13"/>
  <c r="AH107" i="13" s="1"/>
  <c r="AF107" i="13"/>
  <c r="R108" i="13"/>
  <c r="E109" i="13"/>
  <c r="AE108" i="13"/>
  <c r="S107" i="13"/>
  <c r="T107" i="13"/>
  <c r="U107" i="13" s="1"/>
  <c r="V103" i="1" l="1"/>
  <c r="W103" i="1" s="1"/>
  <c r="AD103" i="1" s="1"/>
  <c r="K109" i="13"/>
  <c r="T104" i="1"/>
  <c r="U104" i="1"/>
  <c r="O105" i="1"/>
  <c r="X104" i="1"/>
  <c r="S104" i="1"/>
  <c r="AF107" i="7"/>
  <c r="E108" i="7"/>
  <c r="G117" i="5"/>
  <c r="K117" i="5" s="1"/>
  <c r="E117" i="5"/>
  <c r="F117" i="5"/>
  <c r="I116" i="5"/>
  <c r="J116" i="5" s="1"/>
  <c r="C118" i="5"/>
  <c r="D118" i="5" s="1"/>
  <c r="H119" i="5"/>
  <c r="B120" i="5"/>
  <c r="S108" i="28"/>
  <c r="E109" i="28"/>
  <c r="AG108" i="13"/>
  <c r="AH108" i="13" s="1"/>
  <c r="AF108" i="13"/>
  <c r="R109" i="13"/>
  <c r="AE109" i="13"/>
  <c r="E110" i="13"/>
  <c r="Q109" i="1"/>
  <c r="T108" i="13"/>
  <c r="U108" i="13" s="1"/>
  <c r="S108" i="13"/>
  <c r="E112" i="27"/>
  <c r="K110" i="13" l="1"/>
  <c r="V104" i="1"/>
  <c r="W104" i="1" s="1"/>
  <c r="AD104" i="1" s="1"/>
  <c r="O106" i="1"/>
  <c r="X105" i="1"/>
  <c r="T105" i="1"/>
  <c r="S105" i="1"/>
  <c r="U105" i="1"/>
  <c r="AF108" i="7"/>
  <c r="E109" i="7"/>
  <c r="I117" i="5"/>
  <c r="J117" i="5" s="1"/>
  <c r="H120" i="5"/>
  <c r="B121" i="5"/>
  <c r="C119" i="5"/>
  <c r="D119" i="5" s="1"/>
  <c r="F118" i="5"/>
  <c r="G118" i="5"/>
  <c r="K118" i="5" s="1"/>
  <c r="E118" i="5"/>
  <c r="S109" i="28"/>
  <c r="E110" i="28"/>
  <c r="E113" i="27"/>
  <c r="Q110" i="1"/>
  <c r="AE110" i="13"/>
  <c r="R110" i="13"/>
  <c r="E111" i="13"/>
  <c r="T109" i="13"/>
  <c r="U109" i="13" s="1"/>
  <c r="S109" i="13"/>
  <c r="AG109" i="13"/>
  <c r="AH109" i="13" s="1"/>
  <c r="AF109" i="13"/>
  <c r="K111" i="13" l="1"/>
  <c r="V105" i="1"/>
  <c r="W105" i="1" s="1"/>
  <c r="AD105" i="1" s="1"/>
  <c r="O107" i="1"/>
  <c r="S106" i="1"/>
  <c r="U106" i="1"/>
  <c r="X106" i="1"/>
  <c r="T106" i="1"/>
  <c r="AF109" i="7"/>
  <c r="E110" i="7"/>
  <c r="G119" i="5"/>
  <c r="K119" i="5" s="1"/>
  <c r="E119" i="5"/>
  <c r="F119" i="5"/>
  <c r="I118" i="5"/>
  <c r="J118" i="5" s="1"/>
  <c r="H121" i="5"/>
  <c r="C120" i="5"/>
  <c r="D120" i="5" s="1"/>
  <c r="B122" i="5"/>
  <c r="E111" i="28"/>
  <c r="S110" i="28"/>
  <c r="T110" i="13"/>
  <c r="U110" i="13" s="1"/>
  <c r="S110" i="13"/>
  <c r="AG110" i="13"/>
  <c r="AH110" i="13" s="1"/>
  <c r="AF110" i="13"/>
  <c r="Q111" i="1"/>
  <c r="AE111" i="13"/>
  <c r="R111" i="13"/>
  <c r="E112" i="13"/>
  <c r="E114" i="27"/>
  <c r="K112" i="13" l="1"/>
  <c r="V106" i="1"/>
  <c r="W106" i="1" s="1"/>
  <c r="AD106" i="1" s="1"/>
  <c r="O108" i="1"/>
  <c r="X107" i="1"/>
  <c r="T107" i="1"/>
  <c r="S107" i="1"/>
  <c r="U107" i="1"/>
  <c r="AF110" i="7"/>
  <c r="E111" i="7"/>
  <c r="B123" i="5"/>
  <c r="C121" i="5"/>
  <c r="D121" i="5" s="1"/>
  <c r="H122" i="5"/>
  <c r="F120" i="5"/>
  <c r="G120" i="5"/>
  <c r="K120" i="5" s="1"/>
  <c r="E120" i="5"/>
  <c r="I119" i="5"/>
  <c r="J119" i="5" s="1"/>
  <c r="S111" i="28"/>
  <c r="E112" i="28"/>
  <c r="E115" i="27"/>
  <c r="Q112" i="1"/>
  <c r="AE112" i="13"/>
  <c r="R112" i="13"/>
  <c r="E113" i="13"/>
  <c r="AF111" i="13"/>
  <c r="AG111" i="13"/>
  <c r="AH111" i="13" s="1"/>
  <c r="T111" i="13"/>
  <c r="U111" i="13" s="1"/>
  <c r="S111" i="13"/>
  <c r="V107" i="1" l="1"/>
  <c r="W107" i="1" s="1"/>
  <c r="AD107" i="1" s="1"/>
  <c r="X108" i="1"/>
  <c r="S108" i="1"/>
  <c r="T108" i="1"/>
  <c r="O109" i="1"/>
  <c r="U108" i="1"/>
  <c r="AF111" i="7"/>
  <c r="E112" i="7"/>
  <c r="I120" i="5"/>
  <c r="J120" i="5" s="1"/>
  <c r="F121" i="5"/>
  <c r="E121" i="5"/>
  <c r="G121" i="5"/>
  <c r="K121" i="5" s="1"/>
  <c r="B124" i="5"/>
  <c r="C122" i="5"/>
  <c r="D122" i="5" s="1"/>
  <c r="H123" i="5"/>
  <c r="E113" i="28"/>
  <c r="S112" i="28"/>
  <c r="R113" i="13"/>
  <c r="AE113" i="13"/>
  <c r="E114" i="13"/>
  <c r="T112" i="13"/>
  <c r="U112" i="13" s="1"/>
  <c r="S112" i="13"/>
  <c r="Q113" i="1"/>
  <c r="E116" i="27"/>
  <c r="AG112" i="13"/>
  <c r="AH112" i="13" s="1"/>
  <c r="AF112" i="13"/>
  <c r="V108" i="1" l="1"/>
  <c r="W108" i="1" s="1"/>
  <c r="AD108" i="1" s="1"/>
  <c r="K114" i="13"/>
  <c r="O110" i="1"/>
  <c r="U109" i="1"/>
  <c r="S109" i="1"/>
  <c r="T109" i="1"/>
  <c r="X109" i="1"/>
  <c r="AF112" i="7"/>
  <c r="E113" i="7"/>
  <c r="I121" i="5"/>
  <c r="J121" i="5" s="1"/>
  <c r="F122" i="5"/>
  <c r="E122" i="5"/>
  <c r="G122" i="5"/>
  <c r="K122" i="5" s="1"/>
  <c r="B125" i="5"/>
  <c r="H124" i="5"/>
  <c r="C123" i="5"/>
  <c r="D123" i="5" s="1"/>
  <c r="E114" i="28"/>
  <c r="S113" i="28"/>
  <c r="AG113" i="13"/>
  <c r="AH113" i="13" s="1"/>
  <c r="AF113" i="13"/>
  <c r="Q114" i="1"/>
  <c r="S113" i="13"/>
  <c r="T113" i="13"/>
  <c r="U113" i="13" s="1"/>
  <c r="AE114" i="13"/>
  <c r="R114" i="13"/>
  <c r="E115" i="13"/>
  <c r="E117" i="27"/>
  <c r="K115" i="13" l="1"/>
  <c r="X110" i="1"/>
  <c r="U110" i="1"/>
  <c r="T110" i="1"/>
  <c r="S110" i="1"/>
  <c r="O111" i="1"/>
  <c r="V109" i="1"/>
  <c r="W109" i="1" s="1"/>
  <c r="AD109" i="1" s="1"/>
  <c r="AF113" i="7"/>
  <c r="E114" i="7"/>
  <c r="C124" i="5"/>
  <c r="D124" i="5" s="1"/>
  <c r="B126" i="5"/>
  <c r="H125" i="5"/>
  <c r="G123" i="5"/>
  <c r="K123" i="5" s="1"/>
  <c r="E123" i="5"/>
  <c r="F123" i="5"/>
  <c r="I122" i="5"/>
  <c r="J122" i="5" s="1"/>
  <c r="S114" i="28"/>
  <c r="E115" i="28"/>
  <c r="T114" i="13"/>
  <c r="U114" i="13" s="1"/>
  <c r="S114" i="13"/>
  <c r="AF114" i="13"/>
  <c r="AG114" i="13"/>
  <c r="AH114" i="13" s="1"/>
  <c r="Q115" i="1"/>
  <c r="E118" i="27"/>
  <c r="R115" i="13"/>
  <c r="AE115" i="13"/>
  <c r="E116" i="13"/>
  <c r="V110" i="1" l="1"/>
  <c r="W110" i="1" s="1"/>
  <c r="AD110" i="1" s="1"/>
  <c r="K116" i="13"/>
  <c r="X111" i="1"/>
  <c r="O112" i="1"/>
  <c r="S111" i="1"/>
  <c r="U111" i="1"/>
  <c r="T111" i="1"/>
  <c r="AF114" i="7"/>
  <c r="E115" i="7"/>
  <c r="C125" i="5"/>
  <c r="D125" i="5" s="1"/>
  <c r="H126" i="5"/>
  <c r="B127" i="5"/>
  <c r="I123" i="5"/>
  <c r="J123" i="5" s="1"/>
  <c r="F124" i="5"/>
  <c r="E124" i="5"/>
  <c r="G124" i="5"/>
  <c r="K124" i="5" s="1"/>
  <c r="S115" i="28"/>
  <c r="E116" i="28"/>
  <c r="R116" i="13"/>
  <c r="E117" i="13"/>
  <c r="AE116" i="13"/>
  <c r="T115" i="13"/>
  <c r="U115" i="13" s="1"/>
  <c r="S115" i="13"/>
  <c r="Q116" i="1"/>
  <c r="AF115" i="13"/>
  <c r="AG115" i="13"/>
  <c r="AH115" i="13" s="1"/>
  <c r="E119" i="27"/>
  <c r="K117" i="13" l="1"/>
  <c r="V111" i="1"/>
  <c r="W111" i="1" s="1"/>
  <c r="AD111" i="1" s="1"/>
  <c r="T112" i="1"/>
  <c r="S112" i="1"/>
  <c r="X112" i="1"/>
  <c r="O113" i="1"/>
  <c r="U112" i="1"/>
  <c r="AF115" i="7"/>
  <c r="E116" i="7"/>
  <c r="C126" i="5"/>
  <c r="D126" i="5" s="1"/>
  <c r="B128" i="5"/>
  <c r="H127" i="5"/>
  <c r="I124" i="5"/>
  <c r="J124" i="5" s="1"/>
  <c r="F125" i="5"/>
  <c r="G125" i="5"/>
  <c r="K125" i="5" s="1"/>
  <c r="E125" i="5"/>
  <c r="S116" i="28"/>
  <c r="E117" i="28"/>
  <c r="E118" i="13"/>
  <c r="R117" i="13"/>
  <c r="AE117" i="13"/>
  <c r="Q117" i="1"/>
  <c r="T116" i="13"/>
  <c r="U116" i="13" s="1"/>
  <c r="S116" i="13"/>
  <c r="E120" i="27"/>
  <c r="AG116" i="13"/>
  <c r="AH116" i="13" s="1"/>
  <c r="AF116" i="13"/>
  <c r="K118" i="13" l="1"/>
  <c r="X113" i="1"/>
  <c r="U113" i="1"/>
  <c r="T113" i="1"/>
  <c r="O114" i="1"/>
  <c r="S113" i="1"/>
  <c r="V112" i="1"/>
  <c r="W112" i="1" s="1"/>
  <c r="AD112" i="1" s="1"/>
  <c r="AF116" i="7"/>
  <c r="E117" i="7"/>
  <c r="I125" i="5"/>
  <c r="J125" i="5" s="1"/>
  <c r="B129" i="5"/>
  <c r="C127" i="5"/>
  <c r="D127" i="5" s="1"/>
  <c r="H128" i="5"/>
  <c r="E126" i="5"/>
  <c r="F126" i="5"/>
  <c r="G126" i="5"/>
  <c r="K126" i="5" s="1"/>
  <c r="S117" i="28"/>
  <c r="E118" i="28"/>
  <c r="Q118" i="1"/>
  <c r="AG117" i="13"/>
  <c r="AH117" i="13" s="1"/>
  <c r="AF117" i="13"/>
  <c r="T117" i="13"/>
  <c r="U117" i="13" s="1"/>
  <c r="S117" i="13"/>
  <c r="R118" i="13"/>
  <c r="E119" i="13"/>
  <c r="AE118" i="13"/>
  <c r="E121" i="27"/>
  <c r="V113" i="1" l="1"/>
  <c r="W113" i="1" s="1"/>
  <c r="AD113" i="1" s="1"/>
  <c r="K119" i="13"/>
  <c r="S114" i="1"/>
  <c r="T114" i="1"/>
  <c r="X114" i="1"/>
  <c r="O115" i="1"/>
  <c r="U114" i="1"/>
  <c r="AF117" i="7"/>
  <c r="E118" i="7"/>
  <c r="I126" i="5"/>
  <c r="J126" i="5" s="1"/>
  <c r="E127" i="5"/>
  <c r="G127" i="5"/>
  <c r="K127" i="5" s="1"/>
  <c r="F127" i="5"/>
  <c r="B130" i="5"/>
  <c r="C128" i="5"/>
  <c r="D128" i="5" s="1"/>
  <c r="H129" i="5"/>
  <c r="E119" i="28"/>
  <c r="S118" i="28"/>
  <c r="AG118" i="13"/>
  <c r="AH118" i="13" s="1"/>
  <c r="AF118" i="13"/>
  <c r="AE119" i="13"/>
  <c r="E120" i="13"/>
  <c r="R119" i="13"/>
  <c r="S118" i="13"/>
  <c r="T118" i="13"/>
  <c r="U118" i="13" s="1"/>
  <c r="Q119" i="1"/>
  <c r="E122" i="27"/>
  <c r="K120" i="13" l="1"/>
  <c r="V114" i="1"/>
  <c r="W114" i="1" s="1"/>
  <c r="AD114" i="1" s="1"/>
  <c r="S115" i="1"/>
  <c r="O116" i="1"/>
  <c r="X115" i="1"/>
  <c r="T115" i="1"/>
  <c r="U115" i="1"/>
  <c r="AF118" i="7"/>
  <c r="E119" i="7"/>
  <c r="C129" i="5"/>
  <c r="D129" i="5" s="1"/>
  <c r="B131" i="5"/>
  <c r="H130" i="5"/>
  <c r="F128" i="5"/>
  <c r="E128" i="5"/>
  <c r="G128" i="5"/>
  <c r="K128" i="5" s="1"/>
  <c r="I127" i="5"/>
  <c r="J127" i="5" s="1"/>
  <c r="E120" i="28"/>
  <c r="S119" i="28"/>
  <c r="E123" i="27"/>
  <c r="S119" i="13"/>
  <c r="T119" i="13"/>
  <c r="U119" i="13" s="1"/>
  <c r="Q120" i="1"/>
  <c r="AE120" i="13"/>
  <c r="R120" i="13"/>
  <c r="E121" i="13"/>
  <c r="AG119" i="13"/>
  <c r="AH119" i="13" s="1"/>
  <c r="AF119" i="13"/>
  <c r="K121" i="13" l="1"/>
  <c r="V115" i="1"/>
  <c r="W115" i="1" s="1"/>
  <c r="AD115" i="1" s="1"/>
  <c r="O117" i="1"/>
  <c r="U116" i="1"/>
  <c r="X116" i="1"/>
  <c r="T116" i="1"/>
  <c r="S116" i="1"/>
  <c r="AF119" i="7"/>
  <c r="E120" i="7"/>
  <c r="B132" i="5"/>
  <c r="C130" i="5"/>
  <c r="D130" i="5" s="1"/>
  <c r="H131" i="5"/>
  <c r="I128" i="5"/>
  <c r="J128" i="5" s="1"/>
  <c r="F129" i="5"/>
  <c r="G129" i="5"/>
  <c r="K129" i="5" s="1"/>
  <c r="E129" i="5"/>
  <c r="E121" i="28"/>
  <c r="S120" i="28"/>
  <c r="S120" i="13"/>
  <c r="T120" i="13"/>
  <c r="U120" i="13" s="1"/>
  <c r="AG120" i="13"/>
  <c r="AH120" i="13" s="1"/>
  <c r="AF120" i="13"/>
  <c r="E124" i="27"/>
  <c r="Q121" i="1"/>
  <c r="E122" i="13"/>
  <c r="R121" i="13"/>
  <c r="AE121" i="13"/>
  <c r="K122" i="13" l="1"/>
  <c r="V116" i="1"/>
  <c r="W116" i="1" s="1"/>
  <c r="AD116" i="1" s="1"/>
  <c r="O118" i="1"/>
  <c r="X117" i="1"/>
  <c r="T117" i="1"/>
  <c r="U117" i="1"/>
  <c r="S117" i="1"/>
  <c r="AF120" i="7"/>
  <c r="E121" i="7"/>
  <c r="I129" i="5"/>
  <c r="J129" i="5" s="1"/>
  <c r="F130" i="5"/>
  <c r="G130" i="5"/>
  <c r="K130" i="5" s="1"/>
  <c r="E130" i="5"/>
  <c r="C131" i="5"/>
  <c r="D131" i="5" s="1"/>
  <c r="B133" i="5"/>
  <c r="H132" i="5"/>
  <c r="S121" i="28"/>
  <c r="E122" i="28"/>
  <c r="AE122" i="13"/>
  <c r="R122" i="13"/>
  <c r="E123" i="13"/>
  <c r="AF121" i="13"/>
  <c r="AG121" i="13"/>
  <c r="AH121" i="13" s="1"/>
  <c r="Q122" i="1"/>
  <c r="T121" i="13"/>
  <c r="U121" i="13" s="1"/>
  <c r="S121" i="13"/>
  <c r="E125" i="27"/>
  <c r="K123" i="13" l="1"/>
  <c r="V117" i="1"/>
  <c r="W117" i="1" s="1"/>
  <c r="AD117" i="1" s="1"/>
  <c r="O119" i="1"/>
  <c r="X118" i="1"/>
  <c r="T118" i="1"/>
  <c r="U118" i="1"/>
  <c r="S118" i="1"/>
  <c r="AF121" i="7"/>
  <c r="E122" i="7"/>
  <c r="E131" i="5"/>
  <c r="F131" i="5"/>
  <c r="G131" i="5"/>
  <c r="K131" i="5" s="1"/>
  <c r="I130" i="5"/>
  <c r="J130" i="5" s="1"/>
  <c r="B134" i="5"/>
  <c r="H133" i="5"/>
  <c r="C132" i="5"/>
  <c r="D132" i="5" s="1"/>
  <c r="E123" i="28"/>
  <c r="S122" i="28"/>
  <c r="Q123" i="1"/>
  <c r="E126" i="27"/>
  <c r="R123" i="13"/>
  <c r="AE123" i="13"/>
  <c r="E124" i="13"/>
  <c r="S122" i="13"/>
  <c r="T122" i="13"/>
  <c r="U122" i="13" s="1"/>
  <c r="AG122" i="13"/>
  <c r="AH122" i="13" s="1"/>
  <c r="AF122" i="13"/>
  <c r="K124" i="13" l="1"/>
  <c r="V118" i="1"/>
  <c r="W118" i="1" s="1"/>
  <c r="AD118" i="1" s="1"/>
  <c r="T119" i="1"/>
  <c r="U119" i="1"/>
  <c r="X119" i="1"/>
  <c r="S119" i="1"/>
  <c r="O120" i="1"/>
  <c r="AF122" i="7"/>
  <c r="E123" i="7"/>
  <c r="E132" i="5"/>
  <c r="G132" i="5"/>
  <c r="K132" i="5" s="1"/>
  <c r="F132" i="5"/>
  <c r="C133" i="5"/>
  <c r="D133" i="5" s="1"/>
  <c r="H134" i="5"/>
  <c r="B135" i="5"/>
  <c r="I131" i="5"/>
  <c r="J131" i="5" s="1"/>
  <c r="S123" i="28"/>
  <c r="E124" i="28"/>
  <c r="T123" i="13"/>
  <c r="U123" i="13" s="1"/>
  <c r="S123" i="13"/>
  <c r="AE124" i="13"/>
  <c r="E125" i="13"/>
  <c r="R124" i="13"/>
  <c r="E127" i="27"/>
  <c r="Q124" i="1"/>
  <c r="AG123" i="13"/>
  <c r="AH123" i="13" s="1"/>
  <c r="AF123" i="13"/>
  <c r="K125" i="13" l="1"/>
  <c r="V119" i="1"/>
  <c r="W119" i="1" s="1"/>
  <c r="AD119" i="1" s="1"/>
  <c r="U120" i="1"/>
  <c r="T120" i="1"/>
  <c r="O121" i="1"/>
  <c r="S120" i="1"/>
  <c r="X120" i="1"/>
  <c r="AF123" i="7"/>
  <c r="E124" i="7"/>
  <c r="C134" i="5"/>
  <c r="D134" i="5" s="1"/>
  <c r="H135" i="5"/>
  <c r="B136" i="5"/>
  <c r="F133" i="5"/>
  <c r="G133" i="5"/>
  <c r="K133" i="5" s="1"/>
  <c r="E133" i="5"/>
  <c r="I132" i="5"/>
  <c r="J132" i="5" s="1"/>
  <c r="S124" i="28"/>
  <c r="E125" i="28"/>
  <c r="E128" i="27"/>
  <c r="AG124" i="13"/>
  <c r="AH124" i="13" s="1"/>
  <c r="AF124" i="13"/>
  <c r="T124" i="13"/>
  <c r="U124" i="13" s="1"/>
  <c r="S124" i="13"/>
  <c r="Q125" i="1"/>
  <c r="R125" i="13"/>
  <c r="AE125" i="13"/>
  <c r="E126" i="13"/>
  <c r="K126" i="13" l="1"/>
  <c r="V120" i="1"/>
  <c r="W120" i="1" s="1"/>
  <c r="AD120" i="1" s="1"/>
  <c r="U121" i="1"/>
  <c r="S121" i="1"/>
  <c r="T121" i="1"/>
  <c r="O122" i="1"/>
  <c r="X121" i="1"/>
  <c r="AF124" i="7"/>
  <c r="E125" i="7"/>
  <c r="C135" i="5"/>
  <c r="D135" i="5" s="1"/>
  <c r="H136" i="5"/>
  <c r="B137" i="5"/>
  <c r="I133" i="5"/>
  <c r="J133" i="5" s="1"/>
  <c r="F134" i="5"/>
  <c r="G134" i="5"/>
  <c r="K134" i="5" s="1"/>
  <c r="E134" i="5"/>
  <c r="E126" i="28"/>
  <c r="S125" i="28"/>
  <c r="AE126" i="13"/>
  <c r="R126" i="13"/>
  <c r="E127" i="13"/>
  <c r="E129" i="27"/>
  <c r="AG125" i="13"/>
  <c r="AH125" i="13" s="1"/>
  <c r="AF125" i="13"/>
  <c r="S125" i="13"/>
  <c r="T125" i="13"/>
  <c r="U125" i="13" s="1"/>
  <c r="Q126" i="1"/>
  <c r="K127" i="13" l="1"/>
  <c r="V121" i="1"/>
  <c r="W121" i="1" s="1"/>
  <c r="AD121" i="1" s="1"/>
  <c r="T122" i="1"/>
  <c r="X122" i="1"/>
  <c r="O123" i="1"/>
  <c r="U122" i="1"/>
  <c r="S122" i="1"/>
  <c r="AF125" i="7"/>
  <c r="E126" i="7"/>
  <c r="I134" i="5"/>
  <c r="J134" i="5" s="1"/>
  <c r="B138" i="5"/>
  <c r="C136" i="5"/>
  <c r="D136" i="5" s="1"/>
  <c r="H137" i="5"/>
  <c r="F135" i="5"/>
  <c r="G135" i="5"/>
  <c r="K135" i="5" s="1"/>
  <c r="E135" i="5"/>
  <c r="S126" i="28"/>
  <c r="E127" i="28"/>
  <c r="E130" i="27"/>
  <c r="Q127" i="1"/>
  <c r="R127" i="13"/>
  <c r="AE127" i="13"/>
  <c r="E128" i="13"/>
  <c r="AF126" i="13"/>
  <c r="AG126" i="13"/>
  <c r="AH126" i="13" s="1"/>
  <c r="S126" i="13"/>
  <c r="T126" i="13"/>
  <c r="U126" i="13" s="1"/>
  <c r="K128" i="13" l="1"/>
  <c r="S123" i="1"/>
  <c r="O124" i="1"/>
  <c r="T123" i="1"/>
  <c r="U123" i="1"/>
  <c r="X123" i="1"/>
  <c r="V122" i="1"/>
  <c r="W122" i="1" s="1"/>
  <c r="AD122" i="1" s="1"/>
  <c r="AF126" i="7"/>
  <c r="E127" i="7"/>
  <c r="I135" i="5"/>
  <c r="J135" i="5" s="1"/>
  <c r="F136" i="5"/>
  <c r="E136" i="5"/>
  <c r="G136" i="5"/>
  <c r="K136" i="5" s="1"/>
  <c r="H138" i="5"/>
  <c r="B139" i="5"/>
  <c r="C137" i="5"/>
  <c r="D137" i="5" s="1"/>
  <c r="S127" i="28"/>
  <c r="E128" i="28"/>
  <c r="AG127" i="13"/>
  <c r="AH127" i="13" s="1"/>
  <c r="AF127" i="13"/>
  <c r="R128" i="13"/>
  <c r="AE128" i="13"/>
  <c r="E129" i="13"/>
  <c r="S127" i="13"/>
  <c r="T127" i="13"/>
  <c r="U127" i="13" s="1"/>
  <c r="E131" i="27"/>
  <c r="Q128" i="1"/>
  <c r="K129" i="13" l="1"/>
  <c r="V123" i="1"/>
  <c r="W123" i="1" s="1"/>
  <c r="AD123" i="1" s="1"/>
  <c r="S124" i="1"/>
  <c r="T124" i="1"/>
  <c r="O125" i="1"/>
  <c r="X124" i="1"/>
  <c r="U124" i="1"/>
  <c r="AF127" i="7"/>
  <c r="E128" i="7"/>
  <c r="G137" i="5"/>
  <c r="K137" i="5" s="1"/>
  <c r="E137" i="5"/>
  <c r="F137" i="5"/>
  <c r="I136" i="5"/>
  <c r="J136" i="5" s="1"/>
  <c r="B140" i="5"/>
  <c r="H139" i="5"/>
  <c r="C138" i="5"/>
  <c r="D138" i="5" s="1"/>
  <c r="S128" i="28"/>
  <c r="E129" i="28"/>
  <c r="Q129" i="1"/>
  <c r="AG128" i="13"/>
  <c r="AH128" i="13" s="1"/>
  <c r="AF128" i="13"/>
  <c r="T128" i="13"/>
  <c r="U128" i="13" s="1"/>
  <c r="S128" i="13"/>
  <c r="E132" i="27"/>
  <c r="AE129" i="13"/>
  <c r="R129" i="13"/>
  <c r="E130" i="13"/>
  <c r="K130" i="13" l="1"/>
  <c r="V124" i="1"/>
  <c r="W124" i="1" s="1"/>
  <c r="AD124" i="1" s="1"/>
  <c r="X125" i="1"/>
  <c r="T125" i="1"/>
  <c r="S125" i="1"/>
  <c r="O126" i="1"/>
  <c r="U125" i="1"/>
  <c r="AF128" i="7"/>
  <c r="E129" i="7"/>
  <c r="F138" i="5"/>
  <c r="G138" i="5"/>
  <c r="K138" i="5" s="1"/>
  <c r="E138" i="5"/>
  <c r="I137" i="5"/>
  <c r="J137" i="5" s="1"/>
  <c r="H140" i="5"/>
  <c r="B141" i="5"/>
  <c r="C139" i="5"/>
  <c r="D139" i="5" s="1"/>
  <c r="S129" i="28"/>
  <c r="E130" i="28"/>
  <c r="R130" i="13"/>
  <c r="AE130" i="13"/>
  <c r="E131" i="13"/>
  <c r="T129" i="13"/>
  <c r="U129" i="13" s="1"/>
  <c r="S129" i="13"/>
  <c r="AG129" i="13"/>
  <c r="AH129" i="13" s="1"/>
  <c r="AF129" i="13"/>
  <c r="E133" i="27"/>
  <c r="Q130" i="1"/>
  <c r="K131" i="13" l="1"/>
  <c r="V125" i="1"/>
  <c r="W125" i="1" s="1"/>
  <c r="AD125" i="1" s="1"/>
  <c r="S126" i="1"/>
  <c r="O127" i="1"/>
  <c r="U126" i="1"/>
  <c r="T126" i="1"/>
  <c r="X126" i="1"/>
  <c r="AF129" i="7"/>
  <c r="E130" i="7"/>
  <c r="F139" i="5"/>
  <c r="E139" i="5"/>
  <c r="G139" i="5"/>
  <c r="K139" i="5" s="1"/>
  <c r="I138" i="5"/>
  <c r="J138" i="5" s="1"/>
  <c r="H141" i="5"/>
  <c r="B142" i="5"/>
  <c r="C140" i="5"/>
  <c r="D140" i="5" s="1"/>
  <c r="S130" i="28"/>
  <c r="E131" i="28"/>
  <c r="Q131" i="1"/>
  <c r="AE131" i="13"/>
  <c r="R131" i="13"/>
  <c r="E132" i="13"/>
  <c r="AF130" i="13"/>
  <c r="AG130" i="13"/>
  <c r="AH130" i="13" s="1"/>
  <c r="S130" i="13"/>
  <c r="T130" i="13"/>
  <c r="U130" i="13" s="1"/>
  <c r="E134" i="27"/>
  <c r="K132" i="13" l="1"/>
  <c r="V126" i="1"/>
  <c r="W126" i="1" s="1"/>
  <c r="AD126" i="1" s="1"/>
  <c r="U127" i="1"/>
  <c r="O128" i="1"/>
  <c r="X127" i="1"/>
  <c r="T127" i="1"/>
  <c r="S127" i="1"/>
  <c r="AF130" i="7"/>
  <c r="E131" i="7"/>
  <c r="E140" i="5"/>
  <c r="G140" i="5"/>
  <c r="K140" i="5" s="1"/>
  <c r="F140" i="5"/>
  <c r="B143" i="5"/>
  <c r="C141" i="5"/>
  <c r="D141" i="5" s="1"/>
  <c r="H142" i="5"/>
  <c r="I139" i="5"/>
  <c r="J139" i="5" s="1"/>
  <c r="S131" i="28"/>
  <c r="E132" i="28"/>
  <c r="R132" i="13"/>
  <c r="AE132" i="13"/>
  <c r="E133" i="13"/>
  <c r="T131" i="13"/>
  <c r="U131" i="13" s="1"/>
  <c r="S131" i="13"/>
  <c r="Q132" i="1"/>
  <c r="E135" i="27"/>
  <c r="AF131" i="13"/>
  <c r="AG131" i="13"/>
  <c r="AH131" i="13" s="1"/>
  <c r="K133" i="13" l="1"/>
  <c r="V127" i="1"/>
  <c r="W127" i="1" s="1"/>
  <c r="AD127" i="1" s="1"/>
  <c r="O129" i="1"/>
  <c r="U128" i="1"/>
  <c r="T128" i="1"/>
  <c r="S128" i="1"/>
  <c r="X128" i="1"/>
  <c r="AF131" i="7"/>
  <c r="E132" i="7"/>
  <c r="B144" i="5"/>
  <c r="H143" i="5"/>
  <c r="C142" i="5"/>
  <c r="D142" i="5" s="1"/>
  <c r="F141" i="5"/>
  <c r="G141" i="5"/>
  <c r="K141" i="5" s="1"/>
  <c r="E141" i="5"/>
  <c r="I140" i="5"/>
  <c r="J140" i="5" s="1"/>
  <c r="S132" i="28"/>
  <c r="E133" i="28"/>
  <c r="S132" i="13"/>
  <c r="T132" i="13"/>
  <c r="U132" i="13" s="1"/>
  <c r="E136" i="27"/>
  <c r="Q133" i="1"/>
  <c r="AE133" i="13"/>
  <c r="R133" i="13"/>
  <c r="E134" i="13"/>
  <c r="AF132" i="13"/>
  <c r="AG132" i="13"/>
  <c r="AH132" i="13" s="1"/>
  <c r="K134" i="13" l="1"/>
  <c r="V128" i="1"/>
  <c r="W128" i="1" s="1"/>
  <c r="AD128" i="1" s="1"/>
  <c r="T129" i="1"/>
  <c r="O130" i="1"/>
  <c r="U129" i="1"/>
  <c r="X129" i="1"/>
  <c r="S129" i="1"/>
  <c r="AF132" i="7"/>
  <c r="E133" i="7"/>
  <c r="B145" i="5"/>
  <c r="H144" i="5"/>
  <c r="C143" i="5"/>
  <c r="D143" i="5" s="1"/>
  <c r="G142" i="5"/>
  <c r="K142" i="5" s="1"/>
  <c r="F142" i="5"/>
  <c r="E142" i="5"/>
  <c r="I141" i="5"/>
  <c r="J141" i="5" s="1"/>
  <c r="S133" i="28"/>
  <c r="E134" i="28"/>
  <c r="S133" i="13"/>
  <c r="T133" i="13"/>
  <c r="U133" i="13" s="1"/>
  <c r="E137" i="27"/>
  <c r="Q134" i="1"/>
  <c r="AG133" i="13"/>
  <c r="AH133" i="13" s="1"/>
  <c r="AF133" i="13"/>
  <c r="AE134" i="13"/>
  <c r="E135" i="13"/>
  <c r="R134" i="13"/>
  <c r="K135" i="13" l="1"/>
  <c r="V129" i="1"/>
  <c r="W129" i="1" s="1"/>
  <c r="AD129" i="1" s="1"/>
  <c r="O131" i="1"/>
  <c r="S130" i="1"/>
  <c r="X130" i="1"/>
  <c r="U130" i="1"/>
  <c r="T130" i="1"/>
  <c r="AF133" i="7"/>
  <c r="E134" i="7"/>
  <c r="F143" i="5"/>
  <c r="E143" i="5"/>
  <c r="G143" i="5"/>
  <c r="K143" i="5" s="1"/>
  <c r="I142" i="5"/>
  <c r="J142" i="5" s="1"/>
  <c r="H145" i="5"/>
  <c r="B146" i="5"/>
  <c r="C144" i="5"/>
  <c r="D144" i="5" s="1"/>
  <c r="S134" i="28"/>
  <c r="E135" i="28"/>
  <c r="AE135" i="13"/>
  <c r="E136" i="13"/>
  <c r="R135" i="13"/>
  <c r="AF134" i="13"/>
  <c r="AG134" i="13"/>
  <c r="AH134" i="13" s="1"/>
  <c r="E138" i="27"/>
  <c r="T134" i="13"/>
  <c r="U134" i="13" s="1"/>
  <c r="S134" i="13"/>
  <c r="Q135" i="1"/>
  <c r="K136" i="13" l="1"/>
  <c r="V130" i="1"/>
  <c r="W130" i="1" s="1"/>
  <c r="AD130" i="1" s="1"/>
  <c r="O132" i="1"/>
  <c r="T131" i="1"/>
  <c r="S131" i="1"/>
  <c r="X131" i="1"/>
  <c r="U131" i="1"/>
  <c r="AF134" i="7"/>
  <c r="E135" i="7"/>
  <c r="F144" i="5"/>
  <c r="E144" i="5"/>
  <c r="G144" i="5"/>
  <c r="K144" i="5" s="1"/>
  <c r="H146" i="5"/>
  <c r="C145" i="5"/>
  <c r="D145" i="5" s="1"/>
  <c r="B147" i="5"/>
  <c r="I143" i="5"/>
  <c r="J143" i="5" s="1"/>
  <c r="S135" i="28"/>
  <c r="E136" i="28"/>
  <c r="Q136" i="1"/>
  <c r="AG135" i="13"/>
  <c r="AH135" i="13" s="1"/>
  <c r="AF135" i="13"/>
  <c r="E139" i="27"/>
  <c r="T135" i="13"/>
  <c r="U135" i="13" s="1"/>
  <c r="S135" i="13"/>
  <c r="R136" i="13"/>
  <c r="AE136" i="13"/>
  <c r="E137" i="13"/>
  <c r="V131" i="1" l="1"/>
  <c r="W131" i="1" s="1"/>
  <c r="AD131" i="1" s="1"/>
  <c r="U132" i="1"/>
  <c r="X132" i="1"/>
  <c r="O133" i="1"/>
  <c r="S132" i="1"/>
  <c r="T132" i="1"/>
  <c r="AF135" i="7"/>
  <c r="E136" i="7"/>
  <c r="H147" i="5"/>
  <c r="C146" i="5"/>
  <c r="D146" i="5" s="1"/>
  <c r="B148" i="5"/>
  <c r="I144" i="5"/>
  <c r="J144" i="5" s="1"/>
  <c r="F145" i="5"/>
  <c r="G145" i="5"/>
  <c r="K145" i="5" s="1"/>
  <c r="E145" i="5"/>
  <c r="E137" i="28"/>
  <c r="S136" i="28"/>
  <c r="R137" i="13"/>
  <c r="E138" i="13"/>
  <c r="AE137" i="13"/>
  <c r="AF136" i="13"/>
  <c r="AG136" i="13"/>
  <c r="AH136" i="13" s="1"/>
  <c r="E140" i="27"/>
  <c r="Q137" i="1"/>
  <c r="S136" i="13"/>
  <c r="T136" i="13"/>
  <c r="U136" i="13" s="1"/>
  <c r="K138" i="13" l="1"/>
  <c r="V132" i="1"/>
  <c r="W132" i="1" s="1"/>
  <c r="AD132" i="1" s="1"/>
  <c r="T133" i="1"/>
  <c r="X133" i="1"/>
  <c r="O134" i="1"/>
  <c r="U133" i="1"/>
  <c r="S133" i="1"/>
  <c r="AF136" i="7"/>
  <c r="E137" i="7"/>
  <c r="I145" i="5"/>
  <c r="J145" i="5" s="1"/>
  <c r="C147" i="5"/>
  <c r="D147" i="5" s="1"/>
  <c r="H148" i="5"/>
  <c r="B149" i="5"/>
  <c r="E146" i="5"/>
  <c r="G146" i="5"/>
  <c r="K146" i="5" s="1"/>
  <c r="F146" i="5"/>
  <c r="E138" i="28"/>
  <c r="S137" i="28"/>
  <c r="AF137" i="13"/>
  <c r="AG137" i="13"/>
  <c r="AH137" i="13" s="1"/>
  <c r="E141" i="27"/>
  <c r="R138" i="13"/>
  <c r="AE138" i="13"/>
  <c r="E139" i="13"/>
  <c r="Q138" i="1"/>
  <c r="S137" i="13"/>
  <c r="T137" i="13"/>
  <c r="U137" i="13" s="1"/>
  <c r="K139" i="13" l="1"/>
  <c r="V133" i="1"/>
  <c r="W133" i="1" s="1"/>
  <c r="AD133" i="1" s="1"/>
  <c r="X134" i="1"/>
  <c r="U134" i="1"/>
  <c r="O135" i="1"/>
  <c r="S134" i="1"/>
  <c r="T134" i="1"/>
  <c r="AF137" i="7"/>
  <c r="E138" i="7"/>
  <c r="C148" i="5"/>
  <c r="D148" i="5" s="1"/>
  <c r="B150" i="5"/>
  <c r="H149" i="5"/>
  <c r="F147" i="5"/>
  <c r="G147" i="5"/>
  <c r="K147" i="5" s="1"/>
  <c r="E147" i="5"/>
  <c r="I146" i="5"/>
  <c r="J146" i="5" s="1"/>
  <c r="S138" i="28"/>
  <c r="E139" i="28"/>
  <c r="Q139" i="1"/>
  <c r="R139" i="13"/>
  <c r="AE139" i="13"/>
  <c r="E140" i="13"/>
  <c r="E142" i="27"/>
  <c r="AG138" i="13"/>
  <c r="AH138" i="13" s="1"/>
  <c r="AF138" i="13"/>
  <c r="T138" i="13"/>
  <c r="U138" i="13" s="1"/>
  <c r="S138" i="13"/>
  <c r="K140" i="13" l="1"/>
  <c r="V134" i="1"/>
  <c r="W134" i="1" s="1"/>
  <c r="AD134" i="1" s="1"/>
  <c r="T135" i="1"/>
  <c r="U135" i="1"/>
  <c r="X135" i="1"/>
  <c r="O136" i="1"/>
  <c r="S135" i="1"/>
  <c r="AF138" i="7"/>
  <c r="E139" i="7"/>
  <c r="I147" i="5"/>
  <c r="J147" i="5" s="1"/>
  <c r="B151" i="5"/>
  <c r="C149" i="5"/>
  <c r="D149" i="5" s="1"/>
  <c r="H150" i="5"/>
  <c r="F148" i="5"/>
  <c r="G148" i="5"/>
  <c r="K148" i="5" s="1"/>
  <c r="E148" i="5"/>
  <c r="S139" i="28"/>
  <c r="E140" i="28"/>
  <c r="AE140" i="13"/>
  <c r="E141" i="13"/>
  <c r="R140" i="13"/>
  <c r="T139" i="13"/>
  <c r="U139" i="13" s="1"/>
  <c r="S139" i="13"/>
  <c r="AG139" i="13"/>
  <c r="AH139" i="13" s="1"/>
  <c r="AF139" i="13"/>
  <c r="E143" i="27"/>
  <c r="Q140" i="1"/>
  <c r="K141" i="13" l="1"/>
  <c r="V135" i="1"/>
  <c r="W135" i="1" s="1"/>
  <c r="AD135" i="1" s="1"/>
  <c r="X136" i="1"/>
  <c r="S136" i="1"/>
  <c r="T136" i="1"/>
  <c r="U136" i="1"/>
  <c r="O137" i="1"/>
  <c r="AF139" i="7"/>
  <c r="E140" i="7"/>
  <c r="I148" i="5"/>
  <c r="J148" i="5" s="1"/>
  <c r="F149" i="5"/>
  <c r="E149" i="5"/>
  <c r="G149" i="5"/>
  <c r="K149" i="5" s="1"/>
  <c r="H151" i="5"/>
  <c r="B152" i="5"/>
  <c r="C150" i="5"/>
  <c r="D150" i="5" s="1"/>
  <c r="S140" i="28"/>
  <c r="E141" i="28"/>
  <c r="Q141" i="1"/>
  <c r="R141" i="13"/>
  <c r="AE141" i="13"/>
  <c r="E142" i="13"/>
  <c r="AF140" i="13"/>
  <c r="AG140" i="13"/>
  <c r="AH140" i="13" s="1"/>
  <c r="E144" i="27"/>
  <c r="T140" i="13"/>
  <c r="U140" i="13" s="1"/>
  <c r="S140" i="13"/>
  <c r="K142" i="13" l="1"/>
  <c r="V136" i="1"/>
  <c r="W136" i="1" s="1"/>
  <c r="AD136" i="1" s="1"/>
  <c r="U137" i="1"/>
  <c r="T137" i="1"/>
  <c r="S137" i="1"/>
  <c r="O138" i="1"/>
  <c r="X137" i="1"/>
  <c r="AF140" i="7"/>
  <c r="E141" i="7"/>
  <c r="F150" i="5"/>
  <c r="G150" i="5"/>
  <c r="K150" i="5" s="1"/>
  <c r="E150" i="5"/>
  <c r="I149" i="5"/>
  <c r="J149" i="5" s="1"/>
  <c r="C151" i="5"/>
  <c r="D151" i="5" s="1"/>
  <c r="B153" i="5"/>
  <c r="H152" i="5"/>
  <c r="S141" i="28"/>
  <c r="E142" i="28"/>
  <c r="AG141" i="13"/>
  <c r="AH141" i="13" s="1"/>
  <c r="AF141" i="13"/>
  <c r="AE142" i="13"/>
  <c r="R142" i="13"/>
  <c r="E143" i="13"/>
  <c r="S141" i="13"/>
  <c r="T141" i="13"/>
  <c r="U141" i="13" s="1"/>
  <c r="E145" i="27"/>
  <c r="Q142" i="1"/>
  <c r="K143" i="13" l="1"/>
  <c r="O139" i="1"/>
  <c r="T138" i="1"/>
  <c r="S138" i="1"/>
  <c r="X138" i="1"/>
  <c r="U138" i="1"/>
  <c r="V137" i="1"/>
  <c r="W137" i="1" s="1"/>
  <c r="AD137" i="1" s="1"/>
  <c r="AF141" i="7"/>
  <c r="E142" i="7"/>
  <c r="I150" i="5"/>
  <c r="J150" i="5" s="1"/>
  <c r="C152" i="5"/>
  <c r="D152" i="5" s="1"/>
  <c r="H153" i="5"/>
  <c r="B154" i="5"/>
  <c r="E151" i="5"/>
  <c r="G151" i="5"/>
  <c r="K151" i="5" s="1"/>
  <c r="F151" i="5"/>
  <c r="S142" i="28"/>
  <c r="E143" i="28"/>
  <c r="Q143" i="1"/>
  <c r="AF142" i="13"/>
  <c r="AG142" i="13"/>
  <c r="AH142" i="13" s="1"/>
  <c r="E144" i="13"/>
  <c r="R143" i="13"/>
  <c r="AE143" i="13"/>
  <c r="T142" i="13"/>
  <c r="U142" i="13" s="1"/>
  <c r="S142" i="13"/>
  <c r="E146" i="27"/>
  <c r="K144" i="13" l="1"/>
  <c r="X139" i="1"/>
  <c r="T139" i="1"/>
  <c r="O140" i="1"/>
  <c r="U139" i="1"/>
  <c r="S139" i="1"/>
  <c r="V138" i="1"/>
  <c r="W138" i="1" s="1"/>
  <c r="AD138" i="1" s="1"/>
  <c r="AF142" i="7"/>
  <c r="E143" i="7"/>
  <c r="B155" i="5"/>
  <c r="C153" i="5"/>
  <c r="D153" i="5" s="1"/>
  <c r="H154" i="5"/>
  <c r="E152" i="5"/>
  <c r="F152" i="5"/>
  <c r="G152" i="5"/>
  <c r="K152" i="5" s="1"/>
  <c r="I151" i="5"/>
  <c r="J151" i="5" s="1"/>
  <c r="E144" i="28"/>
  <c r="S143" i="28"/>
  <c r="T143" i="13"/>
  <c r="U143" i="13" s="1"/>
  <c r="S143" i="13"/>
  <c r="Q144" i="1"/>
  <c r="E147" i="27"/>
  <c r="AE144" i="13"/>
  <c r="E145" i="13"/>
  <c r="R144" i="13"/>
  <c r="AG143" i="13"/>
  <c r="AH143" i="13" s="1"/>
  <c r="AF143" i="13"/>
  <c r="K145" i="13" l="1"/>
  <c r="T140" i="1"/>
  <c r="O141" i="1"/>
  <c r="X140" i="1"/>
  <c r="U140" i="1"/>
  <c r="S140" i="1"/>
  <c r="V139" i="1"/>
  <c r="W139" i="1" s="1"/>
  <c r="AD139" i="1" s="1"/>
  <c r="AF143" i="7"/>
  <c r="E144" i="7"/>
  <c r="I152" i="5"/>
  <c r="J152" i="5" s="1"/>
  <c r="G153" i="5"/>
  <c r="K153" i="5" s="1"/>
  <c r="E153" i="5"/>
  <c r="F153" i="5"/>
  <c r="H155" i="5"/>
  <c r="C154" i="5"/>
  <c r="D154" i="5" s="1"/>
  <c r="B156" i="5"/>
  <c r="S144" i="28"/>
  <c r="E145" i="28"/>
  <c r="Q145" i="1"/>
  <c r="AE145" i="13"/>
  <c r="R145" i="13"/>
  <c r="E146" i="13"/>
  <c r="AF144" i="13"/>
  <c r="AG144" i="13"/>
  <c r="AH144" i="13" s="1"/>
  <c r="E148" i="27"/>
  <c r="T144" i="13"/>
  <c r="U144" i="13" s="1"/>
  <c r="S144" i="13"/>
  <c r="K146" i="13" l="1"/>
  <c r="S141" i="1"/>
  <c r="X141" i="1"/>
  <c r="U141" i="1"/>
  <c r="O142" i="1"/>
  <c r="T141" i="1"/>
  <c r="V140" i="1"/>
  <c r="W140" i="1" s="1"/>
  <c r="AD140" i="1" s="1"/>
  <c r="AF144" i="7"/>
  <c r="E145" i="7"/>
  <c r="I153" i="5"/>
  <c r="J153" i="5" s="1"/>
  <c r="B157" i="5"/>
  <c r="C155" i="5"/>
  <c r="D155" i="5" s="1"/>
  <c r="H156" i="5"/>
  <c r="F154" i="5"/>
  <c r="G154" i="5"/>
  <c r="K154" i="5" s="1"/>
  <c r="E154" i="5"/>
  <c r="E146" i="28"/>
  <c r="S145" i="28"/>
  <c r="AF145" i="13"/>
  <c r="AG145" i="13"/>
  <c r="AH145" i="13" s="1"/>
  <c r="E149" i="27"/>
  <c r="AE146" i="13"/>
  <c r="R146" i="13"/>
  <c r="E147" i="13"/>
  <c r="Q146" i="1"/>
  <c r="T145" i="13"/>
  <c r="U145" i="13" s="1"/>
  <c r="S145" i="13"/>
  <c r="K147" i="13" l="1"/>
  <c r="V141" i="1"/>
  <c r="W141" i="1" s="1"/>
  <c r="AD141" i="1" s="1"/>
  <c r="O143" i="1"/>
  <c r="U142" i="1"/>
  <c r="T142" i="1"/>
  <c r="X142" i="1"/>
  <c r="S142" i="1"/>
  <c r="AF145" i="7"/>
  <c r="E146" i="7"/>
  <c r="I154" i="5"/>
  <c r="J154" i="5" s="1"/>
  <c r="E155" i="5"/>
  <c r="F155" i="5"/>
  <c r="G155" i="5"/>
  <c r="K155" i="5" s="1"/>
  <c r="H157" i="5"/>
  <c r="B158" i="5"/>
  <c r="C156" i="5"/>
  <c r="D156" i="5" s="1"/>
  <c r="S146" i="28"/>
  <c r="E147" i="28"/>
  <c r="R147" i="13"/>
  <c r="E148" i="13"/>
  <c r="AE147" i="13"/>
  <c r="E150" i="27"/>
  <c r="T146" i="13"/>
  <c r="U146" i="13" s="1"/>
  <c r="S146" i="13"/>
  <c r="Q147" i="1"/>
  <c r="AF146" i="13"/>
  <c r="AG146" i="13"/>
  <c r="AH146" i="13" s="1"/>
  <c r="V142" i="1" l="1"/>
  <c r="W142" i="1" s="1"/>
  <c r="AD142" i="1" s="1"/>
  <c r="S143" i="1"/>
  <c r="T143" i="1"/>
  <c r="O144" i="1"/>
  <c r="U143" i="1"/>
  <c r="X143" i="1"/>
  <c r="AF146" i="7"/>
  <c r="E147" i="7"/>
  <c r="B159" i="5"/>
  <c r="C157" i="5"/>
  <c r="D157" i="5" s="1"/>
  <c r="H158" i="5"/>
  <c r="I155" i="5"/>
  <c r="J155" i="5" s="1"/>
  <c r="G156" i="5"/>
  <c r="K156" i="5" s="1"/>
  <c r="F156" i="5"/>
  <c r="E156" i="5"/>
  <c r="E148" i="28"/>
  <c r="S147" i="28"/>
  <c r="Q148" i="1"/>
  <c r="AF147" i="13"/>
  <c r="AG147" i="13"/>
  <c r="AH147" i="13" s="1"/>
  <c r="AE148" i="13"/>
  <c r="E149" i="13"/>
  <c r="R148" i="13"/>
  <c r="E151" i="27"/>
  <c r="S147" i="13"/>
  <c r="T147" i="13"/>
  <c r="U147" i="13" s="1"/>
  <c r="K149" i="13" l="1"/>
  <c r="V143" i="1"/>
  <c r="W143" i="1" s="1"/>
  <c r="AD143" i="1" s="1"/>
  <c r="X144" i="1"/>
  <c r="T144" i="1"/>
  <c r="U144" i="1"/>
  <c r="O145" i="1"/>
  <c r="S144" i="1"/>
  <c r="AF147" i="7"/>
  <c r="E148" i="7"/>
  <c r="I156" i="5"/>
  <c r="J156" i="5" s="1"/>
  <c r="G157" i="5"/>
  <c r="K157" i="5" s="1"/>
  <c r="E157" i="5"/>
  <c r="F157" i="5"/>
  <c r="B160" i="5"/>
  <c r="H159" i="5"/>
  <c r="C158" i="5"/>
  <c r="D158" i="5" s="1"/>
  <c r="E149" i="28"/>
  <c r="S148" i="28"/>
  <c r="R149" i="13"/>
  <c r="AE149" i="13"/>
  <c r="E150" i="13"/>
  <c r="AG148" i="13"/>
  <c r="AH148" i="13" s="1"/>
  <c r="AF148" i="13"/>
  <c r="Q149" i="1"/>
  <c r="E152" i="27"/>
  <c r="T148" i="13"/>
  <c r="U148" i="13" s="1"/>
  <c r="S148" i="13"/>
  <c r="K150" i="13" l="1"/>
  <c r="V144" i="1"/>
  <c r="W144" i="1" s="1"/>
  <c r="AD144" i="1" s="1"/>
  <c r="X145" i="1"/>
  <c r="T145" i="1"/>
  <c r="S145" i="1"/>
  <c r="O146" i="1"/>
  <c r="U145" i="1"/>
  <c r="AF148" i="7"/>
  <c r="E149" i="7"/>
  <c r="G158" i="5"/>
  <c r="K158" i="5" s="1"/>
  <c r="F158" i="5"/>
  <c r="E158" i="5"/>
  <c r="I157" i="5"/>
  <c r="J157" i="5" s="1"/>
  <c r="C159" i="5"/>
  <c r="D159" i="5" s="1"/>
  <c r="B161" i="5"/>
  <c r="H160" i="5"/>
  <c r="S149" i="28"/>
  <c r="E150" i="28"/>
  <c r="E153" i="27"/>
  <c r="R150" i="13"/>
  <c r="AE150" i="13"/>
  <c r="E151" i="13"/>
  <c r="Q150" i="1"/>
  <c r="AF149" i="13"/>
  <c r="AG149" i="13"/>
  <c r="AH149" i="13" s="1"/>
  <c r="T149" i="13"/>
  <c r="U149" i="13" s="1"/>
  <c r="S149" i="13"/>
  <c r="K151" i="13" l="1"/>
  <c r="O147" i="1"/>
  <c r="S146" i="1"/>
  <c r="U146" i="1"/>
  <c r="X146" i="1"/>
  <c r="T146" i="1"/>
  <c r="V145" i="1"/>
  <c r="W145" i="1" s="1"/>
  <c r="AD145" i="1" s="1"/>
  <c r="AF149" i="7"/>
  <c r="E150" i="7"/>
  <c r="I158" i="5"/>
  <c r="J158" i="5" s="1"/>
  <c r="H161" i="5"/>
  <c r="B162" i="5"/>
  <c r="C160" i="5"/>
  <c r="D160" i="5" s="1"/>
  <c r="E159" i="5"/>
  <c r="F159" i="5"/>
  <c r="G159" i="5"/>
  <c r="K159" i="5" s="1"/>
  <c r="S150" i="28"/>
  <c r="E151" i="28"/>
  <c r="E154" i="27"/>
  <c r="Q151" i="1"/>
  <c r="AG150" i="13"/>
  <c r="AH150" i="13" s="1"/>
  <c r="AF150" i="13"/>
  <c r="R151" i="13"/>
  <c r="E152" i="13"/>
  <c r="AE151" i="13"/>
  <c r="T150" i="13"/>
  <c r="U150" i="13" s="1"/>
  <c r="S150" i="13"/>
  <c r="K152" i="13" l="1"/>
  <c r="V146" i="1"/>
  <c r="W146" i="1" s="1"/>
  <c r="AD146" i="1" s="1"/>
  <c r="O148" i="1"/>
  <c r="S147" i="1"/>
  <c r="X147" i="1"/>
  <c r="U147" i="1"/>
  <c r="T147" i="1"/>
  <c r="AF150" i="7"/>
  <c r="E151" i="7"/>
  <c r="G160" i="5"/>
  <c r="K160" i="5" s="1"/>
  <c r="E160" i="5"/>
  <c r="F160" i="5"/>
  <c r="C161" i="5"/>
  <c r="D161" i="5" s="1"/>
  <c r="H162" i="5"/>
  <c r="B163" i="5"/>
  <c r="I159" i="5"/>
  <c r="J159" i="5" s="1"/>
  <c r="S151" i="28"/>
  <c r="E152" i="28"/>
  <c r="AG151" i="13"/>
  <c r="AH151" i="13" s="1"/>
  <c r="AF151" i="13"/>
  <c r="T151" i="13"/>
  <c r="U151" i="13" s="1"/>
  <c r="S151" i="13"/>
  <c r="Q152" i="1"/>
  <c r="E155" i="27"/>
  <c r="R152" i="13"/>
  <c r="AE152" i="13"/>
  <c r="E153" i="13"/>
  <c r="K153" i="13" l="1"/>
  <c r="V147" i="1"/>
  <c r="W147" i="1" s="1"/>
  <c r="AD147" i="1" s="1"/>
  <c r="T148" i="1"/>
  <c r="S148" i="1"/>
  <c r="O149" i="1"/>
  <c r="U148" i="1"/>
  <c r="X148" i="1"/>
  <c r="AF151" i="7"/>
  <c r="E152" i="7"/>
  <c r="F161" i="5"/>
  <c r="G161" i="5"/>
  <c r="K161" i="5" s="1"/>
  <c r="E161" i="5"/>
  <c r="B164" i="5"/>
  <c r="H163" i="5"/>
  <c r="C162" i="5"/>
  <c r="D162" i="5" s="1"/>
  <c r="I160" i="5"/>
  <c r="J160" i="5" s="1"/>
  <c r="S152" i="28"/>
  <c r="E153" i="28"/>
  <c r="E156" i="27"/>
  <c r="E154" i="13"/>
  <c r="R153" i="13"/>
  <c r="AE153" i="13"/>
  <c r="AG152" i="13"/>
  <c r="AH152" i="13" s="1"/>
  <c r="AF152" i="13"/>
  <c r="S152" i="13"/>
  <c r="T152" i="13"/>
  <c r="U152" i="13" s="1"/>
  <c r="Q153" i="1"/>
  <c r="K154" i="13" l="1"/>
  <c r="X149" i="1"/>
  <c r="O150" i="1"/>
  <c r="S149" i="1"/>
  <c r="U149" i="1"/>
  <c r="T149" i="1"/>
  <c r="V148" i="1"/>
  <c r="W148" i="1" s="1"/>
  <c r="AD148" i="1" s="1"/>
  <c r="AF152" i="7"/>
  <c r="E153" i="7"/>
  <c r="C163" i="5"/>
  <c r="D163" i="5" s="1"/>
  <c r="H164" i="5"/>
  <c r="B165" i="5"/>
  <c r="I161" i="5"/>
  <c r="J161" i="5" s="1"/>
  <c r="G162" i="5"/>
  <c r="K162" i="5" s="1"/>
  <c r="E162" i="5"/>
  <c r="F162" i="5"/>
  <c r="S153" i="28"/>
  <c r="E154" i="28"/>
  <c r="R154" i="13"/>
  <c r="E155" i="13"/>
  <c r="AE154" i="13"/>
  <c r="AG153" i="13"/>
  <c r="AH153" i="13" s="1"/>
  <c r="AF153" i="13"/>
  <c r="E157" i="27"/>
  <c r="Q154" i="1"/>
  <c r="S153" i="13"/>
  <c r="T153" i="13"/>
  <c r="U153" i="13" s="1"/>
  <c r="K155" i="13" l="1"/>
  <c r="V149" i="1"/>
  <c r="W149" i="1" s="1"/>
  <c r="AD149" i="1" s="1"/>
  <c r="T150" i="1"/>
  <c r="S150" i="1"/>
  <c r="O151" i="1"/>
  <c r="U150" i="1"/>
  <c r="X150" i="1"/>
  <c r="AF153" i="7"/>
  <c r="E154" i="7"/>
  <c r="B166" i="5"/>
  <c r="H165" i="5"/>
  <c r="C164" i="5"/>
  <c r="D164" i="5" s="1"/>
  <c r="I162" i="5"/>
  <c r="J162" i="5" s="1"/>
  <c r="E163" i="5"/>
  <c r="F163" i="5"/>
  <c r="G163" i="5"/>
  <c r="K163" i="5" s="1"/>
  <c r="S154" i="28"/>
  <c r="E155" i="28"/>
  <c r="Q155" i="1"/>
  <c r="T154" i="13"/>
  <c r="U154" i="13" s="1"/>
  <c r="S154" i="13"/>
  <c r="E158" i="27"/>
  <c r="AG154" i="13"/>
  <c r="AH154" i="13" s="1"/>
  <c r="AF154" i="13"/>
  <c r="R155" i="13"/>
  <c r="AE155" i="13"/>
  <c r="E156" i="13"/>
  <c r="K156" i="13" l="1"/>
  <c r="S151" i="1"/>
  <c r="O152" i="1"/>
  <c r="T151" i="1"/>
  <c r="X151" i="1"/>
  <c r="U151" i="1"/>
  <c r="V150" i="1"/>
  <c r="W150" i="1" s="1"/>
  <c r="AD150" i="1" s="1"/>
  <c r="AF154" i="7"/>
  <c r="E155" i="7"/>
  <c r="G164" i="5"/>
  <c r="K164" i="5" s="1"/>
  <c r="F164" i="5"/>
  <c r="E164" i="5"/>
  <c r="I163" i="5"/>
  <c r="J163" i="5" s="1"/>
  <c r="H166" i="5"/>
  <c r="C165" i="5"/>
  <c r="D165" i="5" s="1"/>
  <c r="B167" i="5"/>
  <c r="S155" i="28"/>
  <c r="E156" i="28"/>
  <c r="R156" i="13"/>
  <c r="E157" i="13"/>
  <c r="AE156" i="13"/>
  <c r="AG155" i="13"/>
  <c r="AH155" i="13" s="1"/>
  <c r="AF155" i="13"/>
  <c r="S155" i="13"/>
  <c r="T155" i="13"/>
  <c r="U155" i="13" s="1"/>
  <c r="E159" i="27"/>
  <c r="Q156" i="1"/>
  <c r="K157" i="13" l="1"/>
  <c r="V151" i="1"/>
  <c r="W151" i="1" s="1"/>
  <c r="AD151" i="1" s="1"/>
  <c r="U152" i="1"/>
  <c r="T152" i="1"/>
  <c r="O153" i="1"/>
  <c r="X152" i="1"/>
  <c r="S152" i="1"/>
  <c r="AF155" i="7"/>
  <c r="E156" i="7"/>
  <c r="F165" i="5"/>
  <c r="E165" i="5"/>
  <c r="G165" i="5"/>
  <c r="K165" i="5" s="1"/>
  <c r="H167" i="5"/>
  <c r="B168" i="5"/>
  <c r="C166" i="5"/>
  <c r="D166" i="5" s="1"/>
  <c r="I164" i="5"/>
  <c r="J164" i="5" s="1"/>
  <c r="S156" i="28"/>
  <c r="E157" i="28"/>
  <c r="Q157" i="1"/>
  <c r="E158" i="13"/>
  <c r="AE157" i="13"/>
  <c r="R157" i="13"/>
  <c r="S156" i="13"/>
  <c r="T156" i="13"/>
  <c r="U156" i="13" s="1"/>
  <c r="E160" i="27"/>
  <c r="AG156" i="13"/>
  <c r="AH156" i="13" s="1"/>
  <c r="AF156" i="13"/>
  <c r="V152" i="1" l="1"/>
  <c r="W152" i="1" s="1"/>
  <c r="AD152" i="1" s="1"/>
  <c r="K158" i="13"/>
  <c r="U153" i="1"/>
  <c r="O154" i="1"/>
  <c r="S153" i="1"/>
  <c r="T153" i="1"/>
  <c r="X153" i="1"/>
  <c r="AF156" i="7"/>
  <c r="E157" i="7"/>
  <c r="E166" i="5"/>
  <c r="G166" i="5"/>
  <c r="K166" i="5" s="1"/>
  <c r="F166" i="5"/>
  <c r="I165" i="5"/>
  <c r="J165" i="5" s="1"/>
  <c r="H168" i="5"/>
  <c r="B169" i="5"/>
  <c r="C167" i="5"/>
  <c r="D167" i="5" s="1"/>
  <c r="S157" i="28"/>
  <c r="E158" i="28"/>
  <c r="E161" i="27"/>
  <c r="S157" i="13"/>
  <c r="T157" i="13"/>
  <c r="U157" i="13" s="1"/>
  <c r="AF157" i="13"/>
  <c r="AG157" i="13"/>
  <c r="AH157" i="13" s="1"/>
  <c r="Q158" i="1"/>
  <c r="R158" i="13"/>
  <c r="E159" i="13"/>
  <c r="AE158" i="13"/>
  <c r="K159" i="13" l="1"/>
  <c r="V153" i="1"/>
  <c r="W153" i="1" s="1"/>
  <c r="AD153" i="1" s="1"/>
  <c r="S154" i="1"/>
  <c r="U154" i="1"/>
  <c r="X154" i="1"/>
  <c r="T154" i="1"/>
  <c r="O155" i="1"/>
  <c r="AF157" i="7"/>
  <c r="E158" i="7"/>
  <c r="G167" i="5"/>
  <c r="K167" i="5" s="1"/>
  <c r="F167" i="5"/>
  <c r="E167" i="5"/>
  <c r="C168" i="5"/>
  <c r="D168" i="5" s="1"/>
  <c r="B170" i="5"/>
  <c r="H169" i="5"/>
  <c r="I166" i="5"/>
  <c r="J166" i="5" s="1"/>
  <c r="E159" i="28"/>
  <c r="S158" i="28"/>
  <c r="AF158" i="13"/>
  <c r="AG158" i="13"/>
  <c r="AH158" i="13" s="1"/>
  <c r="R159" i="13"/>
  <c r="E160" i="13"/>
  <c r="AE159" i="13"/>
  <c r="S158" i="13"/>
  <c r="T158" i="13"/>
  <c r="U158" i="13" s="1"/>
  <c r="Q159" i="1"/>
  <c r="E162" i="27"/>
  <c r="V154" i="1" l="1"/>
  <c r="W154" i="1" s="1"/>
  <c r="AD154" i="1" s="1"/>
  <c r="U155" i="1"/>
  <c r="X155" i="1"/>
  <c r="T155" i="1"/>
  <c r="S155" i="1"/>
  <c r="O156" i="1"/>
  <c r="AF158" i="7"/>
  <c r="E159" i="7"/>
  <c r="E168" i="5"/>
  <c r="G168" i="5"/>
  <c r="K168" i="5" s="1"/>
  <c r="F168" i="5"/>
  <c r="I167" i="5"/>
  <c r="J167" i="5" s="1"/>
  <c r="H170" i="5"/>
  <c r="B171" i="5"/>
  <c r="C169" i="5"/>
  <c r="D169" i="5" s="1"/>
  <c r="S159" i="28"/>
  <c r="E160" i="28"/>
  <c r="Q160" i="1"/>
  <c r="E163" i="27"/>
  <c r="AF159" i="13"/>
  <c r="AG159" i="13"/>
  <c r="AH159" i="13" s="1"/>
  <c r="AE160" i="13"/>
  <c r="E161" i="13"/>
  <c r="R160" i="13"/>
  <c r="T159" i="13"/>
  <c r="U159" i="13" s="1"/>
  <c r="S159" i="13"/>
  <c r="V155" i="1" l="1"/>
  <c r="W155" i="1" s="1"/>
  <c r="AD155" i="1" s="1"/>
  <c r="U156" i="1"/>
  <c r="S156" i="1"/>
  <c r="O157" i="1"/>
  <c r="T156" i="1"/>
  <c r="X156" i="1"/>
  <c r="AF159" i="7"/>
  <c r="E160" i="7"/>
  <c r="F169" i="5"/>
  <c r="E169" i="5"/>
  <c r="G169" i="5"/>
  <c r="K169" i="5" s="1"/>
  <c r="C170" i="5"/>
  <c r="D170" i="5" s="1"/>
  <c r="B172" i="5"/>
  <c r="H171" i="5"/>
  <c r="I168" i="5"/>
  <c r="J168" i="5" s="1"/>
  <c r="S160" i="28"/>
  <c r="E161" i="28"/>
  <c r="AG160" i="13"/>
  <c r="AH160" i="13" s="1"/>
  <c r="AF160" i="13"/>
  <c r="Q161" i="1"/>
  <c r="T160" i="13"/>
  <c r="U160" i="13" s="1"/>
  <c r="S160" i="13"/>
  <c r="R161" i="13"/>
  <c r="E162" i="13"/>
  <c r="AE161" i="13"/>
  <c r="E164" i="27"/>
  <c r="K162" i="13" l="1"/>
  <c r="V156" i="1"/>
  <c r="W156" i="1" s="1"/>
  <c r="AD156" i="1" s="1"/>
  <c r="S157" i="1"/>
  <c r="U157" i="1"/>
  <c r="O158" i="1"/>
  <c r="X157" i="1"/>
  <c r="T157" i="1"/>
  <c r="AF160" i="7"/>
  <c r="E161" i="7"/>
  <c r="F170" i="5"/>
  <c r="G170" i="5"/>
  <c r="K170" i="5" s="1"/>
  <c r="E170" i="5"/>
  <c r="I169" i="5"/>
  <c r="J169" i="5" s="1"/>
  <c r="C171" i="5"/>
  <c r="D171" i="5" s="1"/>
  <c r="B173" i="5"/>
  <c r="H172" i="5"/>
  <c r="S161" i="28"/>
  <c r="E162" i="28"/>
  <c r="E165" i="27"/>
  <c r="AG161" i="13"/>
  <c r="AH161" i="13" s="1"/>
  <c r="AF161" i="13"/>
  <c r="R162" i="13"/>
  <c r="AE162" i="13"/>
  <c r="E163" i="13"/>
  <c r="S161" i="13"/>
  <c r="T161" i="13"/>
  <c r="U161" i="13" s="1"/>
  <c r="Q162" i="1"/>
  <c r="K163" i="13" l="1"/>
  <c r="V157" i="1"/>
  <c r="W157" i="1" s="1"/>
  <c r="AD157" i="1" s="1"/>
  <c r="O159" i="1"/>
  <c r="U158" i="1"/>
  <c r="X158" i="1"/>
  <c r="S158" i="1"/>
  <c r="T158" i="1"/>
  <c r="AF161" i="7"/>
  <c r="E162" i="7"/>
  <c r="I170" i="5"/>
  <c r="J170" i="5" s="1"/>
  <c r="B174" i="5"/>
  <c r="H173" i="5"/>
  <c r="C172" i="5"/>
  <c r="D172" i="5" s="1"/>
  <c r="E171" i="5"/>
  <c r="G171" i="5"/>
  <c r="K171" i="5" s="1"/>
  <c r="F171" i="5"/>
  <c r="S162" i="28"/>
  <c r="E163" i="28"/>
  <c r="T162" i="13"/>
  <c r="U162" i="13" s="1"/>
  <c r="S162" i="13"/>
  <c r="Q163" i="1"/>
  <c r="AE163" i="13"/>
  <c r="R163" i="13"/>
  <c r="E164" i="13"/>
  <c r="AG162" i="13"/>
  <c r="AH162" i="13" s="1"/>
  <c r="AF162" i="13"/>
  <c r="E166" i="27"/>
  <c r="K164" i="13" l="1"/>
  <c r="V158" i="1"/>
  <c r="W158" i="1" s="1"/>
  <c r="AD158" i="1" s="1"/>
  <c r="T159" i="1"/>
  <c r="S159" i="1"/>
  <c r="X159" i="1"/>
  <c r="O160" i="1"/>
  <c r="U159" i="1"/>
  <c r="AF162" i="7"/>
  <c r="E163" i="7"/>
  <c r="F172" i="5"/>
  <c r="G172" i="5"/>
  <c r="K172" i="5" s="1"/>
  <c r="E172" i="5"/>
  <c r="C173" i="5"/>
  <c r="D173" i="5" s="1"/>
  <c r="B175" i="5"/>
  <c r="H174" i="5"/>
  <c r="I171" i="5"/>
  <c r="J171" i="5" s="1"/>
  <c r="S163" i="28"/>
  <c r="E164" i="28"/>
  <c r="Q164" i="1"/>
  <c r="E167" i="27"/>
  <c r="T163" i="13"/>
  <c r="U163" i="13" s="1"/>
  <c r="S163" i="13"/>
  <c r="AG163" i="13"/>
  <c r="AH163" i="13" s="1"/>
  <c r="AF163" i="13"/>
  <c r="AE164" i="13"/>
  <c r="R164" i="13"/>
  <c r="E165" i="13"/>
  <c r="K165" i="13" l="1"/>
  <c r="V159" i="1"/>
  <c r="W159" i="1" s="1"/>
  <c r="AD159" i="1" s="1"/>
  <c r="S160" i="1"/>
  <c r="T160" i="1"/>
  <c r="O161" i="1"/>
  <c r="X160" i="1"/>
  <c r="U160" i="1"/>
  <c r="AF163" i="7"/>
  <c r="E164" i="7"/>
  <c r="F173" i="5"/>
  <c r="G173" i="5"/>
  <c r="K173" i="5" s="1"/>
  <c r="E173" i="5"/>
  <c r="I172" i="5"/>
  <c r="J172" i="5" s="1"/>
  <c r="H175" i="5"/>
  <c r="C174" i="5"/>
  <c r="D174" i="5" s="1"/>
  <c r="B176" i="5"/>
  <c r="S164" i="28"/>
  <c r="E165" i="28"/>
  <c r="E166" i="13"/>
  <c r="R165" i="13"/>
  <c r="AE165" i="13"/>
  <c r="T164" i="13"/>
  <c r="U164" i="13" s="1"/>
  <c r="S164" i="13"/>
  <c r="E168" i="27"/>
  <c r="AF164" i="13"/>
  <c r="AG164" i="13"/>
  <c r="AH164" i="13" s="1"/>
  <c r="Q165" i="1"/>
  <c r="K166" i="13" l="1"/>
  <c r="T161" i="1"/>
  <c r="U161" i="1"/>
  <c r="O162" i="1"/>
  <c r="X161" i="1"/>
  <c r="S161" i="1"/>
  <c r="V160" i="1"/>
  <c r="W160" i="1" s="1"/>
  <c r="AD160" i="1" s="1"/>
  <c r="AF164" i="7"/>
  <c r="E165" i="7"/>
  <c r="C175" i="5"/>
  <c r="D175" i="5" s="1"/>
  <c r="H176" i="5"/>
  <c r="B177" i="5"/>
  <c r="I173" i="5"/>
  <c r="J173" i="5" s="1"/>
  <c r="G174" i="5"/>
  <c r="K174" i="5" s="1"/>
  <c r="F174" i="5"/>
  <c r="E174" i="5"/>
  <c r="S165" i="28"/>
  <c r="E166" i="28"/>
  <c r="AE166" i="13"/>
  <c r="E167" i="13"/>
  <c r="R166" i="13"/>
  <c r="T165" i="13"/>
  <c r="U165" i="13" s="1"/>
  <c r="S165" i="13"/>
  <c r="Q166" i="1"/>
  <c r="E169" i="27"/>
  <c r="AG165" i="13"/>
  <c r="AH165" i="13" s="1"/>
  <c r="AF165" i="13"/>
  <c r="K167" i="13" l="1"/>
  <c r="O163" i="1"/>
  <c r="T162" i="1"/>
  <c r="S162" i="1"/>
  <c r="X162" i="1"/>
  <c r="U162" i="1"/>
  <c r="V161" i="1"/>
  <c r="W161" i="1" s="1"/>
  <c r="AD161" i="1" s="1"/>
  <c r="AF165" i="7"/>
  <c r="E166" i="7"/>
  <c r="I174" i="5"/>
  <c r="J174" i="5" s="1"/>
  <c r="H177" i="5"/>
  <c r="C176" i="5"/>
  <c r="D176" i="5" s="1"/>
  <c r="B178" i="5"/>
  <c r="E175" i="5"/>
  <c r="G175" i="5"/>
  <c r="K175" i="5" s="1"/>
  <c r="F175" i="5"/>
  <c r="S166" i="28"/>
  <c r="E167" i="28"/>
  <c r="T166" i="13"/>
  <c r="U166" i="13" s="1"/>
  <c r="S166" i="13"/>
  <c r="R167" i="13"/>
  <c r="AE167" i="13"/>
  <c r="E168" i="13"/>
  <c r="E170" i="27"/>
  <c r="Q167" i="1"/>
  <c r="AG166" i="13"/>
  <c r="AH166" i="13" s="1"/>
  <c r="AF166" i="13"/>
  <c r="K168" i="13" l="1"/>
  <c r="V162" i="1"/>
  <c r="W162" i="1" s="1"/>
  <c r="AD162" i="1" s="1"/>
  <c r="S163" i="1"/>
  <c r="X163" i="1"/>
  <c r="T163" i="1"/>
  <c r="O164" i="1"/>
  <c r="U163" i="1"/>
  <c r="AF166" i="7"/>
  <c r="E167" i="7"/>
  <c r="C177" i="5"/>
  <c r="D177" i="5" s="1"/>
  <c r="H178" i="5"/>
  <c r="B179" i="5"/>
  <c r="G176" i="5"/>
  <c r="K176" i="5" s="1"/>
  <c r="F176" i="5"/>
  <c r="E176" i="5"/>
  <c r="I175" i="5"/>
  <c r="J175" i="5" s="1"/>
  <c r="S167" i="28"/>
  <c r="E168" i="28"/>
  <c r="AG167" i="13"/>
  <c r="AH167" i="13" s="1"/>
  <c r="AF167" i="13"/>
  <c r="Q168" i="1"/>
  <c r="T167" i="13"/>
  <c r="U167" i="13" s="1"/>
  <c r="S167" i="13"/>
  <c r="E171" i="27"/>
  <c r="E169" i="13"/>
  <c r="AE168" i="13"/>
  <c r="R168" i="13"/>
  <c r="K169" i="13" l="1"/>
  <c r="V163" i="1"/>
  <c r="W163" i="1" s="1"/>
  <c r="AD163" i="1" s="1"/>
  <c r="U164" i="1"/>
  <c r="S164" i="1"/>
  <c r="T164" i="1"/>
  <c r="O165" i="1"/>
  <c r="X164" i="1"/>
  <c r="AF167" i="7"/>
  <c r="E168" i="7"/>
  <c r="B180" i="5"/>
  <c r="H179" i="5"/>
  <c r="C178" i="5"/>
  <c r="D178" i="5" s="1"/>
  <c r="I176" i="5"/>
  <c r="J176" i="5" s="1"/>
  <c r="F177" i="5"/>
  <c r="E177" i="5"/>
  <c r="G177" i="5"/>
  <c r="K177" i="5" s="1"/>
  <c r="S168" i="28"/>
  <c r="E169" i="28"/>
  <c r="S168" i="13"/>
  <c r="T168" i="13"/>
  <c r="U168" i="13" s="1"/>
  <c r="AG168" i="13"/>
  <c r="AH168" i="13" s="1"/>
  <c r="AF168" i="13"/>
  <c r="AE169" i="13"/>
  <c r="E170" i="13"/>
  <c r="R169" i="13"/>
  <c r="E172" i="27"/>
  <c r="Q169" i="1"/>
  <c r="K170" i="13" l="1"/>
  <c r="O166" i="1"/>
  <c r="S165" i="1"/>
  <c r="U165" i="1"/>
  <c r="X165" i="1"/>
  <c r="T165" i="1"/>
  <c r="V164" i="1"/>
  <c r="W164" i="1" s="1"/>
  <c r="AD164" i="1" s="1"/>
  <c r="AF168" i="7"/>
  <c r="E169" i="7"/>
  <c r="G178" i="5"/>
  <c r="K178" i="5" s="1"/>
  <c r="E178" i="5"/>
  <c r="F178" i="5"/>
  <c r="I177" i="5"/>
  <c r="J177" i="5" s="1"/>
  <c r="H180" i="5"/>
  <c r="B181" i="5"/>
  <c r="C179" i="5"/>
  <c r="D179" i="5" s="1"/>
  <c r="E170" i="28"/>
  <c r="S169" i="28"/>
  <c r="E173" i="27"/>
  <c r="AF169" i="13"/>
  <c r="AG169" i="13"/>
  <c r="AH169" i="13" s="1"/>
  <c r="Q170" i="1"/>
  <c r="T169" i="13"/>
  <c r="U169" i="13" s="1"/>
  <c r="S169" i="13"/>
  <c r="R170" i="13"/>
  <c r="AE170" i="13"/>
  <c r="E171" i="13"/>
  <c r="K171" i="13" l="1"/>
  <c r="V165" i="1"/>
  <c r="W165" i="1" s="1"/>
  <c r="AD165" i="1" s="1"/>
  <c r="S166" i="1"/>
  <c r="X166" i="1"/>
  <c r="O167" i="1"/>
  <c r="T166" i="1"/>
  <c r="U166" i="1"/>
  <c r="AF169" i="7"/>
  <c r="E170" i="7"/>
  <c r="E179" i="5"/>
  <c r="G179" i="5"/>
  <c r="K179" i="5" s="1"/>
  <c r="F179" i="5"/>
  <c r="C180" i="5"/>
  <c r="D180" i="5" s="1"/>
  <c r="B182" i="5"/>
  <c r="H181" i="5"/>
  <c r="I178" i="5"/>
  <c r="J178" i="5" s="1"/>
  <c r="E171" i="28"/>
  <c r="S170" i="28"/>
  <c r="T170" i="13"/>
  <c r="U170" i="13" s="1"/>
  <c r="S170" i="13"/>
  <c r="Q171" i="1"/>
  <c r="E172" i="13"/>
  <c r="R171" i="13"/>
  <c r="AE171" i="13"/>
  <c r="E174" i="27"/>
  <c r="AF170" i="13"/>
  <c r="AG170" i="13"/>
  <c r="AH170" i="13" s="1"/>
  <c r="K172" i="13" l="1"/>
  <c r="S167" i="1"/>
  <c r="U167" i="1"/>
  <c r="X167" i="1"/>
  <c r="O168" i="1"/>
  <c r="T167" i="1"/>
  <c r="V166" i="1"/>
  <c r="W166" i="1" s="1"/>
  <c r="AD166" i="1" s="1"/>
  <c r="AF170" i="7"/>
  <c r="E171" i="7"/>
  <c r="E180" i="5"/>
  <c r="F180" i="5"/>
  <c r="G180" i="5"/>
  <c r="K180" i="5" s="1"/>
  <c r="B183" i="5"/>
  <c r="C181" i="5"/>
  <c r="D181" i="5" s="1"/>
  <c r="H182" i="5"/>
  <c r="I179" i="5"/>
  <c r="J179" i="5" s="1"/>
  <c r="S171" i="28"/>
  <c r="E172" i="28"/>
  <c r="E175" i="27"/>
  <c r="S171" i="13"/>
  <c r="T171" i="13"/>
  <c r="U171" i="13" s="1"/>
  <c r="E173" i="13"/>
  <c r="AE172" i="13"/>
  <c r="R172" i="13"/>
  <c r="Q172" i="1"/>
  <c r="AG171" i="13"/>
  <c r="AH171" i="13" s="1"/>
  <c r="AF171" i="13"/>
  <c r="K173" i="13" l="1"/>
  <c r="T168" i="1"/>
  <c r="U168" i="1"/>
  <c r="X168" i="1"/>
  <c r="O169" i="1"/>
  <c r="S168" i="1"/>
  <c r="V167" i="1"/>
  <c r="W167" i="1" s="1"/>
  <c r="AD167" i="1" s="1"/>
  <c r="AF171" i="7"/>
  <c r="E172" i="7"/>
  <c r="C182" i="5"/>
  <c r="D182" i="5" s="1"/>
  <c r="B184" i="5"/>
  <c r="H183" i="5"/>
  <c r="F181" i="5"/>
  <c r="E181" i="5"/>
  <c r="G181" i="5"/>
  <c r="K181" i="5" s="1"/>
  <c r="I180" i="5"/>
  <c r="J180" i="5" s="1"/>
  <c r="E173" i="28"/>
  <c r="S172" i="28"/>
  <c r="E176" i="27"/>
  <c r="T172" i="13"/>
  <c r="U172" i="13" s="1"/>
  <c r="S172" i="13"/>
  <c r="AG172" i="13"/>
  <c r="AH172" i="13" s="1"/>
  <c r="AF172" i="13"/>
  <c r="Q173" i="1"/>
  <c r="R173" i="13"/>
  <c r="AE173" i="13"/>
  <c r="E174" i="13"/>
  <c r="X169" i="1" l="1"/>
  <c r="O170" i="1"/>
  <c r="S169" i="1"/>
  <c r="U169" i="1"/>
  <c r="T169" i="1"/>
  <c r="V168" i="1"/>
  <c r="W168" i="1" s="1"/>
  <c r="AD168" i="1" s="1"/>
  <c r="AF172" i="7"/>
  <c r="E173" i="7"/>
  <c r="C183" i="5"/>
  <c r="D183" i="5" s="1"/>
  <c r="H184" i="5"/>
  <c r="B185" i="5"/>
  <c r="I181" i="5"/>
  <c r="J181" i="5" s="1"/>
  <c r="F182" i="5"/>
  <c r="G182" i="5"/>
  <c r="K182" i="5" s="1"/>
  <c r="E182" i="5"/>
  <c r="S173" i="28"/>
  <c r="E174" i="28"/>
  <c r="AG173" i="13"/>
  <c r="AH173" i="13" s="1"/>
  <c r="AF173" i="13"/>
  <c r="E177" i="27"/>
  <c r="R174" i="13"/>
  <c r="E175" i="13"/>
  <c r="AE174" i="13"/>
  <c r="S173" i="13"/>
  <c r="T173" i="13"/>
  <c r="U173" i="13" s="1"/>
  <c r="Q174" i="1"/>
  <c r="K175" i="13" l="1"/>
  <c r="T170" i="1"/>
  <c r="O171" i="1"/>
  <c r="S170" i="1"/>
  <c r="U170" i="1"/>
  <c r="X170" i="1"/>
  <c r="V169" i="1"/>
  <c r="W169" i="1" s="1"/>
  <c r="AD169" i="1" s="1"/>
  <c r="AF173" i="7"/>
  <c r="E174" i="7"/>
  <c r="I182" i="5"/>
  <c r="J182" i="5" s="1"/>
  <c r="C184" i="5"/>
  <c r="D184" i="5" s="1"/>
  <c r="B186" i="5"/>
  <c r="H185" i="5"/>
  <c r="G183" i="5"/>
  <c r="K183" i="5" s="1"/>
  <c r="E183" i="5"/>
  <c r="F183" i="5"/>
  <c r="E175" i="28"/>
  <c r="S174" i="28"/>
  <c r="E178" i="27"/>
  <c r="Q175" i="1"/>
  <c r="AF174" i="13"/>
  <c r="AG174" i="13"/>
  <c r="AH174" i="13" s="1"/>
  <c r="T174" i="13"/>
  <c r="U174" i="13" s="1"/>
  <c r="S174" i="13"/>
  <c r="R175" i="13"/>
  <c r="E176" i="13"/>
  <c r="AE175" i="13"/>
  <c r="K176" i="13" l="1"/>
  <c r="X171" i="1"/>
  <c r="U171" i="1"/>
  <c r="S171" i="1"/>
  <c r="O172" i="1"/>
  <c r="T171" i="1"/>
  <c r="V170" i="1"/>
  <c r="W170" i="1" s="1"/>
  <c r="AD170" i="1" s="1"/>
  <c r="AF174" i="7"/>
  <c r="E175" i="7"/>
  <c r="H186" i="5"/>
  <c r="C185" i="5"/>
  <c r="D185" i="5" s="1"/>
  <c r="B187" i="5"/>
  <c r="I183" i="5"/>
  <c r="J183" i="5" s="1"/>
  <c r="G184" i="5"/>
  <c r="K184" i="5" s="1"/>
  <c r="F184" i="5"/>
  <c r="E184" i="5"/>
  <c r="S175" i="28"/>
  <c r="E176" i="28"/>
  <c r="T175" i="13"/>
  <c r="U175" i="13" s="1"/>
  <c r="S175" i="13"/>
  <c r="Q176" i="1"/>
  <c r="AG175" i="13"/>
  <c r="AH175" i="13" s="1"/>
  <c r="AF175" i="13"/>
  <c r="R176" i="13"/>
  <c r="AE176" i="13"/>
  <c r="E177" i="13"/>
  <c r="E179" i="27"/>
  <c r="K177" i="13" l="1"/>
  <c r="V171" i="1"/>
  <c r="W171" i="1" s="1"/>
  <c r="AD171" i="1" s="1"/>
  <c r="T172" i="1"/>
  <c r="X172" i="1"/>
  <c r="O173" i="1"/>
  <c r="U172" i="1"/>
  <c r="S172" i="1"/>
  <c r="AF175" i="7"/>
  <c r="E176" i="7"/>
  <c r="I184" i="5"/>
  <c r="J184" i="5" s="1"/>
  <c r="C186" i="5"/>
  <c r="D186" i="5" s="1"/>
  <c r="H187" i="5"/>
  <c r="B188" i="5"/>
  <c r="G185" i="5"/>
  <c r="K185" i="5" s="1"/>
  <c r="E185" i="5"/>
  <c r="F185" i="5"/>
  <c r="S176" i="28"/>
  <c r="E177" i="28"/>
  <c r="E180" i="27"/>
  <c r="AG176" i="13"/>
  <c r="AH176" i="13" s="1"/>
  <c r="AF176" i="13"/>
  <c r="Q177" i="1"/>
  <c r="S176" i="13"/>
  <c r="T176" i="13"/>
  <c r="U176" i="13" s="1"/>
  <c r="R177" i="13"/>
  <c r="AE177" i="13"/>
  <c r="E178" i="13"/>
  <c r="K178" i="13" l="1"/>
  <c r="O174" i="1"/>
  <c r="S173" i="1"/>
  <c r="X173" i="1"/>
  <c r="U173" i="1"/>
  <c r="T173" i="1"/>
  <c r="V172" i="1"/>
  <c r="W172" i="1" s="1"/>
  <c r="AD172" i="1" s="1"/>
  <c r="AF176" i="7"/>
  <c r="E177" i="7"/>
  <c r="B189" i="5"/>
  <c r="C187" i="5"/>
  <c r="D187" i="5" s="1"/>
  <c r="H188" i="5"/>
  <c r="I185" i="5"/>
  <c r="J185" i="5" s="1"/>
  <c r="G186" i="5"/>
  <c r="K186" i="5" s="1"/>
  <c r="F186" i="5"/>
  <c r="E186" i="5"/>
  <c r="S177" i="28"/>
  <c r="E178" i="28"/>
  <c r="T177" i="13"/>
  <c r="U177" i="13" s="1"/>
  <c r="S177" i="13"/>
  <c r="Q178" i="1"/>
  <c r="E181" i="27"/>
  <c r="AE178" i="13"/>
  <c r="R178" i="13"/>
  <c r="E179" i="13"/>
  <c r="AG177" i="13"/>
  <c r="AH177" i="13" s="1"/>
  <c r="AF177" i="13"/>
  <c r="K179" i="13" l="1"/>
  <c r="V173" i="1"/>
  <c r="W173" i="1" s="1"/>
  <c r="AD173" i="1" s="1"/>
  <c r="O175" i="1"/>
  <c r="S174" i="1"/>
  <c r="X174" i="1"/>
  <c r="U174" i="1"/>
  <c r="T174" i="1"/>
  <c r="AF177" i="7"/>
  <c r="E178" i="7"/>
  <c r="I186" i="5"/>
  <c r="J186" i="5" s="1"/>
  <c r="E187" i="5"/>
  <c r="F187" i="5"/>
  <c r="G187" i="5"/>
  <c r="K187" i="5" s="1"/>
  <c r="H189" i="5"/>
  <c r="C188" i="5"/>
  <c r="D188" i="5" s="1"/>
  <c r="B190" i="5"/>
  <c r="S178" i="28"/>
  <c r="E179" i="28"/>
  <c r="R179" i="13"/>
  <c r="AE179" i="13"/>
  <c r="E180" i="13"/>
  <c r="Q179" i="1"/>
  <c r="T178" i="13"/>
  <c r="U178" i="13" s="1"/>
  <c r="S178" i="13"/>
  <c r="AG178" i="13"/>
  <c r="AH178" i="13" s="1"/>
  <c r="AF178" i="13"/>
  <c r="E182" i="27"/>
  <c r="K180" i="13" l="1"/>
  <c r="V174" i="1"/>
  <c r="W174" i="1" s="1"/>
  <c r="AD174" i="1" s="1"/>
  <c r="O176" i="1"/>
  <c r="S175" i="1"/>
  <c r="X175" i="1"/>
  <c r="T175" i="1"/>
  <c r="U175" i="1"/>
  <c r="AF178" i="7"/>
  <c r="E179" i="7"/>
  <c r="G188" i="5"/>
  <c r="K188" i="5" s="1"/>
  <c r="F188" i="5"/>
  <c r="E188" i="5"/>
  <c r="I187" i="5"/>
  <c r="J187" i="5" s="1"/>
  <c r="B191" i="5"/>
  <c r="C189" i="5"/>
  <c r="D189" i="5" s="1"/>
  <c r="H190" i="5"/>
  <c r="S179" i="28"/>
  <c r="E180" i="28"/>
  <c r="E183" i="27"/>
  <c r="AF179" i="13"/>
  <c r="AG179" i="13"/>
  <c r="AH179" i="13" s="1"/>
  <c r="T179" i="13"/>
  <c r="U179" i="13" s="1"/>
  <c r="S179" i="13"/>
  <c r="Q180" i="1"/>
  <c r="R180" i="13"/>
  <c r="AE180" i="13"/>
  <c r="E181" i="13"/>
  <c r="K181" i="13" l="1"/>
  <c r="V175" i="1"/>
  <c r="W175" i="1" s="1"/>
  <c r="AD175" i="1" s="1"/>
  <c r="T176" i="1"/>
  <c r="X176" i="1"/>
  <c r="S176" i="1"/>
  <c r="O177" i="1"/>
  <c r="U176" i="1"/>
  <c r="AF179" i="7"/>
  <c r="E180" i="7"/>
  <c r="I188" i="5"/>
  <c r="J188" i="5" s="1"/>
  <c r="E189" i="5"/>
  <c r="F189" i="5"/>
  <c r="G189" i="5"/>
  <c r="K189" i="5" s="1"/>
  <c r="C190" i="5"/>
  <c r="D190" i="5" s="1"/>
  <c r="H191" i="5"/>
  <c r="B192" i="5"/>
  <c r="E181" i="28"/>
  <c r="S180" i="28"/>
  <c r="Q181" i="1"/>
  <c r="R181" i="13"/>
  <c r="AE181" i="13"/>
  <c r="E182" i="13"/>
  <c r="S180" i="13"/>
  <c r="T180" i="13"/>
  <c r="U180" i="13" s="1"/>
  <c r="AF180" i="13"/>
  <c r="AG180" i="13"/>
  <c r="AH180" i="13" s="1"/>
  <c r="E184" i="27"/>
  <c r="K182" i="13" l="1"/>
  <c r="O178" i="1"/>
  <c r="U177" i="1"/>
  <c r="S177" i="1"/>
  <c r="T177" i="1"/>
  <c r="X177" i="1"/>
  <c r="V176" i="1"/>
  <c r="W176" i="1" s="1"/>
  <c r="AD176" i="1" s="1"/>
  <c r="AF180" i="7"/>
  <c r="E181" i="7"/>
  <c r="I189" i="5"/>
  <c r="J189" i="5" s="1"/>
  <c r="H192" i="5"/>
  <c r="C191" i="5"/>
  <c r="D191" i="5" s="1"/>
  <c r="B193" i="5"/>
  <c r="G190" i="5"/>
  <c r="K190" i="5" s="1"/>
  <c r="E190" i="5"/>
  <c r="F190" i="5"/>
  <c r="S181" i="28"/>
  <c r="E182" i="28"/>
  <c r="R182" i="13"/>
  <c r="AE182" i="13"/>
  <c r="E183" i="13"/>
  <c r="E185" i="27"/>
  <c r="AF181" i="13"/>
  <c r="AG181" i="13"/>
  <c r="AH181" i="13" s="1"/>
  <c r="Q182" i="1"/>
  <c r="T181" i="13"/>
  <c r="U181" i="13" s="1"/>
  <c r="S181" i="13"/>
  <c r="K183" i="13" l="1"/>
  <c r="V177" i="1"/>
  <c r="W177" i="1" s="1"/>
  <c r="AD177" i="1" s="1"/>
  <c r="U178" i="1"/>
  <c r="X178" i="1"/>
  <c r="O179" i="1"/>
  <c r="S178" i="1"/>
  <c r="T178" i="1"/>
  <c r="AF181" i="7"/>
  <c r="E182" i="7"/>
  <c r="H193" i="5"/>
  <c r="C192" i="5"/>
  <c r="D192" i="5" s="1"/>
  <c r="B194" i="5"/>
  <c r="E191" i="5"/>
  <c r="G191" i="5"/>
  <c r="K191" i="5" s="1"/>
  <c r="F191" i="5"/>
  <c r="I190" i="5"/>
  <c r="J190" i="5" s="1"/>
  <c r="E183" i="28"/>
  <c r="S182" i="28"/>
  <c r="Q183" i="1"/>
  <c r="AG182" i="13"/>
  <c r="AH182" i="13" s="1"/>
  <c r="AF182" i="13"/>
  <c r="E186" i="27"/>
  <c r="S182" i="13"/>
  <c r="T182" i="13"/>
  <c r="U182" i="13" s="1"/>
  <c r="AE183" i="13"/>
  <c r="E184" i="13"/>
  <c r="R183" i="13"/>
  <c r="K184" i="13" l="1"/>
  <c r="V178" i="1"/>
  <c r="W178" i="1" s="1"/>
  <c r="AD178" i="1" s="1"/>
  <c r="U179" i="1"/>
  <c r="S179" i="1"/>
  <c r="O180" i="1"/>
  <c r="X179" i="1"/>
  <c r="T179" i="1"/>
  <c r="AF182" i="7"/>
  <c r="E183" i="7"/>
  <c r="I191" i="5"/>
  <c r="J191" i="5" s="1"/>
  <c r="H194" i="5"/>
  <c r="B195" i="5"/>
  <c r="C193" i="5"/>
  <c r="D193" i="5" s="1"/>
  <c r="E192" i="5"/>
  <c r="G192" i="5"/>
  <c r="K192" i="5" s="1"/>
  <c r="F192" i="5"/>
  <c r="E184" i="28"/>
  <c r="S183" i="28"/>
  <c r="AG183" i="13"/>
  <c r="AH183" i="13" s="1"/>
  <c r="AF183" i="13"/>
  <c r="E187" i="27"/>
  <c r="Q184" i="1"/>
  <c r="T183" i="13"/>
  <c r="U183" i="13" s="1"/>
  <c r="S183" i="13"/>
  <c r="R184" i="13"/>
  <c r="AE184" i="13"/>
  <c r="E185" i="13"/>
  <c r="K185" i="13" l="1"/>
  <c r="U180" i="1"/>
  <c r="X180" i="1"/>
  <c r="O181" i="1"/>
  <c r="S180" i="1"/>
  <c r="T180" i="1"/>
  <c r="V179" i="1"/>
  <c r="W179" i="1" s="1"/>
  <c r="AD179" i="1" s="1"/>
  <c r="AF183" i="7"/>
  <c r="E184" i="7"/>
  <c r="G193" i="5"/>
  <c r="K193" i="5" s="1"/>
  <c r="F193" i="5"/>
  <c r="E193" i="5"/>
  <c r="H195" i="5"/>
  <c r="B196" i="5"/>
  <c r="C194" i="5"/>
  <c r="D194" i="5" s="1"/>
  <c r="I192" i="5"/>
  <c r="J192" i="5" s="1"/>
  <c r="E185" i="28"/>
  <c r="S184" i="28"/>
  <c r="E188" i="27"/>
  <c r="AE185" i="13"/>
  <c r="R185" i="13"/>
  <c r="E186" i="13"/>
  <c r="Q185" i="1"/>
  <c r="T184" i="13"/>
  <c r="U184" i="13" s="1"/>
  <c r="S184" i="13"/>
  <c r="AF184" i="13"/>
  <c r="AG184" i="13"/>
  <c r="AH184" i="13" s="1"/>
  <c r="K186" i="13" l="1"/>
  <c r="V180" i="1"/>
  <c r="W180" i="1" s="1"/>
  <c r="AD180" i="1" s="1"/>
  <c r="S181" i="1"/>
  <c r="U181" i="1"/>
  <c r="T181" i="1"/>
  <c r="O182" i="1"/>
  <c r="X181" i="1"/>
  <c r="AF184" i="7"/>
  <c r="E185" i="7"/>
  <c r="I193" i="5"/>
  <c r="J193" i="5" s="1"/>
  <c r="F194" i="5"/>
  <c r="E194" i="5"/>
  <c r="G194" i="5"/>
  <c r="K194" i="5" s="1"/>
  <c r="C195" i="5"/>
  <c r="D195" i="5" s="1"/>
  <c r="H196" i="5"/>
  <c r="B197" i="5"/>
  <c r="S185" i="28"/>
  <c r="E186" i="28"/>
  <c r="R186" i="13"/>
  <c r="AE186" i="13"/>
  <c r="E187" i="13"/>
  <c r="AG185" i="13"/>
  <c r="AH185" i="13" s="1"/>
  <c r="AF185" i="13"/>
  <c r="Q186" i="1"/>
  <c r="S185" i="13"/>
  <c r="T185" i="13"/>
  <c r="U185" i="13" s="1"/>
  <c r="E189" i="27"/>
  <c r="K187" i="13" l="1"/>
  <c r="V181" i="1"/>
  <c r="W181" i="1" s="1"/>
  <c r="AD181" i="1" s="1"/>
  <c r="U182" i="1"/>
  <c r="S182" i="1"/>
  <c r="X182" i="1"/>
  <c r="O183" i="1"/>
  <c r="T182" i="1"/>
  <c r="AF185" i="7"/>
  <c r="E186" i="7"/>
  <c r="C196" i="5"/>
  <c r="D196" i="5" s="1"/>
  <c r="H197" i="5"/>
  <c r="B198" i="5"/>
  <c r="I194" i="5"/>
  <c r="J194" i="5" s="1"/>
  <c r="F195" i="5"/>
  <c r="E195" i="5"/>
  <c r="G195" i="5"/>
  <c r="K195" i="5" s="1"/>
  <c r="S186" i="28"/>
  <c r="E187" i="28"/>
  <c r="S186" i="13"/>
  <c r="T186" i="13"/>
  <c r="U186" i="13" s="1"/>
  <c r="Q187" i="1"/>
  <c r="E188" i="13"/>
  <c r="AE187" i="13"/>
  <c r="R187" i="13"/>
  <c r="E190" i="27"/>
  <c r="AG186" i="13"/>
  <c r="AH186" i="13" s="1"/>
  <c r="AF186" i="13"/>
  <c r="V182" i="1" l="1"/>
  <c r="W182" i="1" s="1"/>
  <c r="AD182" i="1" s="1"/>
  <c r="S183" i="1"/>
  <c r="O184" i="1"/>
  <c r="T183" i="1"/>
  <c r="U183" i="1"/>
  <c r="X183" i="1"/>
  <c r="AF186" i="7"/>
  <c r="E187" i="7"/>
  <c r="C197" i="5"/>
  <c r="D197" i="5" s="1"/>
  <c r="B199" i="5"/>
  <c r="H198" i="5"/>
  <c r="I195" i="5"/>
  <c r="J195" i="5" s="1"/>
  <c r="G196" i="5"/>
  <c r="K196" i="5" s="1"/>
  <c r="E196" i="5"/>
  <c r="F196" i="5"/>
  <c r="S187" i="28"/>
  <c r="E188" i="28"/>
  <c r="S187" i="13"/>
  <c r="T187" i="13"/>
  <c r="U187" i="13" s="1"/>
  <c r="Q188" i="1"/>
  <c r="E191" i="27"/>
  <c r="AG187" i="13"/>
  <c r="AH187" i="13" s="1"/>
  <c r="AF187" i="13"/>
  <c r="AE188" i="13"/>
  <c r="R188" i="13"/>
  <c r="E189" i="13"/>
  <c r="V183" i="1" l="1"/>
  <c r="W183" i="1" s="1"/>
  <c r="AD183" i="1" s="1"/>
  <c r="S184" i="1"/>
  <c r="T184" i="1"/>
  <c r="U184" i="1"/>
  <c r="O185" i="1"/>
  <c r="X184" i="1"/>
  <c r="AF187" i="7"/>
  <c r="E188" i="7"/>
  <c r="I196" i="5"/>
  <c r="J196" i="5" s="1"/>
  <c r="B200" i="5"/>
  <c r="H199" i="5"/>
  <c r="C198" i="5"/>
  <c r="D198" i="5" s="1"/>
  <c r="G197" i="5"/>
  <c r="K197" i="5" s="1"/>
  <c r="F197" i="5"/>
  <c r="E197" i="5"/>
  <c r="S188" i="28"/>
  <c r="E189" i="28"/>
  <c r="AG188" i="13"/>
  <c r="AH188" i="13" s="1"/>
  <c r="AF188" i="13"/>
  <c r="Q189" i="1"/>
  <c r="R189" i="13"/>
  <c r="AE189" i="13"/>
  <c r="E190" i="13"/>
  <c r="T188" i="13"/>
  <c r="U188" i="13" s="1"/>
  <c r="S188" i="13"/>
  <c r="E192" i="27"/>
  <c r="K190" i="13" l="1"/>
  <c r="V184" i="1"/>
  <c r="W184" i="1" s="1"/>
  <c r="AD184" i="1" s="1"/>
  <c r="O186" i="1"/>
  <c r="U185" i="1"/>
  <c r="S185" i="1"/>
  <c r="X185" i="1"/>
  <c r="T185" i="1"/>
  <c r="AF188" i="7"/>
  <c r="E189" i="7"/>
  <c r="F198" i="5"/>
  <c r="G198" i="5"/>
  <c r="K198" i="5" s="1"/>
  <c r="E198" i="5"/>
  <c r="I197" i="5"/>
  <c r="J197" i="5" s="1"/>
  <c r="B201" i="5"/>
  <c r="C199" i="5"/>
  <c r="D199" i="5" s="1"/>
  <c r="H200" i="5"/>
  <c r="E190" i="28"/>
  <c r="S189" i="28"/>
  <c r="AF189" i="13"/>
  <c r="AG189" i="13"/>
  <c r="AH189" i="13" s="1"/>
  <c r="E193" i="27"/>
  <c r="AE190" i="13"/>
  <c r="R190" i="13"/>
  <c r="E191" i="13"/>
  <c r="Q190" i="1"/>
  <c r="S189" i="13"/>
  <c r="T189" i="13"/>
  <c r="U189" i="13" s="1"/>
  <c r="K191" i="13" l="1"/>
  <c r="V185" i="1"/>
  <c r="W185" i="1" s="1"/>
  <c r="AD185" i="1" s="1"/>
  <c r="X186" i="1"/>
  <c r="T186" i="1"/>
  <c r="S186" i="1"/>
  <c r="U186" i="1"/>
  <c r="O187" i="1"/>
  <c r="AF189" i="7"/>
  <c r="E190" i="7"/>
  <c r="I198" i="5"/>
  <c r="J198" i="5" s="1"/>
  <c r="F199" i="5"/>
  <c r="E199" i="5"/>
  <c r="G199" i="5"/>
  <c r="K199" i="5" s="1"/>
  <c r="B202" i="5"/>
  <c r="H201" i="5"/>
  <c r="C200" i="5"/>
  <c r="D200" i="5" s="1"/>
  <c r="S190" i="28"/>
  <c r="E191" i="28"/>
  <c r="AG190" i="13"/>
  <c r="AH190" i="13" s="1"/>
  <c r="AF190" i="13"/>
  <c r="AE191" i="13"/>
  <c r="E192" i="13"/>
  <c r="R191" i="13"/>
  <c r="E194" i="27"/>
  <c r="T190" i="13"/>
  <c r="U190" i="13" s="1"/>
  <c r="S190" i="13"/>
  <c r="Q191" i="1"/>
  <c r="V186" i="1" l="1"/>
  <c r="W186" i="1" s="1"/>
  <c r="AD186" i="1" s="1"/>
  <c r="X187" i="1"/>
  <c r="S187" i="1"/>
  <c r="U187" i="1"/>
  <c r="O188" i="1"/>
  <c r="T187" i="1"/>
  <c r="AF190" i="7"/>
  <c r="E191" i="7"/>
  <c r="E200" i="5"/>
  <c r="G200" i="5"/>
  <c r="K200" i="5" s="1"/>
  <c r="F200" i="5"/>
  <c r="I199" i="5"/>
  <c r="J199" i="5" s="1"/>
  <c r="C201" i="5"/>
  <c r="D201" i="5" s="1"/>
  <c r="H202" i="5"/>
  <c r="B203" i="5"/>
  <c r="E192" i="28"/>
  <c r="S191" i="28"/>
  <c r="T191" i="13"/>
  <c r="U191" i="13" s="1"/>
  <c r="S191" i="13"/>
  <c r="Q192" i="1"/>
  <c r="E193" i="13"/>
  <c r="R192" i="13"/>
  <c r="AE192" i="13"/>
  <c r="E195" i="27"/>
  <c r="AF191" i="13"/>
  <c r="AG191" i="13"/>
  <c r="AH191" i="13" s="1"/>
  <c r="K193" i="13" l="1"/>
  <c r="V187" i="1"/>
  <c r="W187" i="1" s="1"/>
  <c r="AD187" i="1" s="1"/>
  <c r="T188" i="1"/>
  <c r="U188" i="1"/>
  <c r="X188" i="1"/>
  <c r="S188" i="1"/>
  <c r="O189" i="1"/>
  <c r="AF191" i="7"/>
  <c r="E192" i="7"/>
  <c r="C202" i="5"/>
  <c r="D202" i="5" s="1"/>
  <c r="B204" i="5"/>
  <c r="H203" i="5"/>
  <c r="G201" i="5"/>
  <c r="K201" i="5" s="1"/>
  <c r="F201" i="5"/>
  <c r="E201" i="5"/>
  <c r="I200" i="5"/>
  <c r="J200" i="5" s="1"/>
  <c r="S192" i="28"/>
  <c r="E193" i="28"/>
  <c r="T192" i="13"/>
  <c r="U192" i="13" s="1"/>
  <c r="S192" i="13"/>
  <c r="AE193" i="13"/>
  <c r="R193" i="13"/>
  <c r="E194" i="13"/>
  <c r="E196" i="27"/>
  <c r="AG192" i="13"/>
  <c r="AH192" i="13" s="1"/>
  <c r="AF192" i="13"/>
  <c r="Q193" i="1"/>
  <c r="K194" i="13" l="1"/>
  <c r="X189" i="1"/>
  <c r="O190" i="1"/>
  <c r="T189" i="1"/>
  <c r="S189" i="1"/>
  <c r="U189" i="1"/>
  <c r="V188" i="1"/>
  <c r="W188" i="1" s="1"/>
  <c r="AD188" i="1" s="1"/>
  <c r="AF192" i="7"/>
  <c r="E193" i="7"/>
  <c r="I201" i="5"/>
  <c r="J201" i="5" s="1"/>
  <c r="B205" i="5"/>
  <c r="H204" i="5"/>
  <c r="C203" i="5"/>
  <c r="D203" i="5" s="1"/>
  <c r="F202" i="5"/>
  <c r="E202" i="5"/>
  <c r="G202" i="5"/>
  <c r="K202" i="5" s="1"/>
  <c r="S193" i="28"/>
  <c r="E194" i="28"/>
  <c r="E197" i="27"/>
  <c r="AG193" i="13"/>
  <c r="AH193" i="13" s="1"/>
  <c r="AF193" i="13"/>
  <c r="Q194" i="1"/>
  <c r="AE194" i="13"/>
  <c r="R194" i="13"/>
  <c r="E195" i="13"/>
  <c r="T193" i="13"/>
  <c r="U193" i="13" s="1"/>
  <c r="S193" i="13"/>
  <c r="K195" i="13" l="1"/>
  <c r="V189" i="1"/>
  <c r="W189" i="1" s="1"/>
  <c r="AD189" i="1" s="1"/>
  <c r="X190" i="1"/>
  <c r="U190" i="1"/>
  <c r="O191" i="1"/>
  <c r="S190" i="1"/>
  <c r="T190" i="1"/>
  <c r="AF193" i="7"/>
  <c r="E194" i="7"/>
  <c r="F203" i="5"/>
  <c r="E203" i="5"/>
  <c r="G203" i="5"/>
  <c r="K203" i="5" s="1"/>
  <c r="I202" i="5"/>
  <c r="J202" i="5" s="1"/>
  <c r="H205" i="5"/>
  <c r="C204" i="5"/>
  <c r="D204" i="5" s="1"/>
  <c r="B206" i="5"/>
  <c r="S194" i="28"/>
  <c r="E195" i="28"/>
  <c r="AF194" i="13"/>
  <c r="AG194" i="13"/>
  <c r="AH194" i="13" s="1"/>
  <c r="E198" i="27"/>
  <c r="R195" i="13"/>
  <c r="AE195" i="13"/>
  <c r="E196" i="13"/>
  <c r="T194" i="13"/>
  <c r="U194" i="13" s="1"/>
  <c r="S194" i="13"/>
  <c r="Q195" i="1"/>
  <c r="K196" i="13" l="1"/>
  <c r="V190" i="1"/>
  <c r="W190" i="1" s="1"/>
  <c r="AD190" i="1" s="1"/>
  <c r="U191" i="1"/>
  <c r="O192" i="1"/>
  <c r="X191" i="1"/>
  <c r="S191" i="1"/>
  <c r="T191" i="1"/>
  <c r="AF194" i="7"/>
  <c r="E195" i="7"/>
  <c r="C205" i="5"/>
  <c r="D205" i="5" s="1"/>
  <c r="B207" i="5"/>
  <c r="H206" i="5"/>
  <c r="E204" i="5"/>
  <c r="F204" i="5"/>
  <c r="G204" i="5"/>
  <c r="K204" i="5" s="1"/>
  <c r="I203" i="5"/>
  <c r="J203" i="5" s="1"/>
  <c r="S195" i="28"/>
  <c r="E196" i="28"/>
  <c r="AF195" i="13"/>
  <c r="AG195" i="13"/>
  <c r="AH195" i="13" s="1"/>
  <c r="E199" i="27"/>
  <c r="Q196" i="1"/>
  <c r="T195" i="13"/>
  <c r="U195" i="13" s="1"/>
  <c r="S195" i="13"/>
  <c r="AE196" i="13"/>
  <c r="R196" i="13"/>
  <c r="E197" i="13"/>
  <c r="K197" i="13" l="1"/>
  <c r="V191" i="1"/>
  <c r="W191" i="1" s="1"/>
  <c r="AD191" i="1" s="1"/>
  <c r="T192" i="1"/>
  <c r="O193" i="1"/>
  <c r="S192" i="1"/>
  <c r="U192" i="1"/>
  <c r="X192" i="1"/>
  <c r="AF195" i="7"/>
  <c r="E196" i="7"/>
  <c r="I204" i="5"/>
  <c r="J204" i="5" s="1"/>
  <c r="C206" i="5"/>
  <c r="D206" i="5" s="1"/>
  <c r="H207" i="5"/>
  <c r="B208" i="5"/>
  <c r="G205" i="5"/>
  <c r="K205" i="5" s="1"/>
  <c r="E205" i="5"/>
  <c r="F205" i="5"/>
  <c r="E197" i="28"/>
  <c r="S196" i="28"/>
  <c r="E200" i="27"/>
  <c r="AG196" i="13"/>
  <c r="AH196" i="13" s="1"/>
  <c r="AF196" i="13"/>
  <c r="AE197" i="13"/>
  <c r="R197" i="13"/>
  <c r="E198" i="13"/>
  <c r="Q197" i="1"/>
  <c r="S196" i="13"/>
  <c r="T196" i="13"/>
  <c r="U196" i="13" s="1"/>
  <c r="K198" i="13" l="1"/>
  <c r="S193" i="1"/>
  <c r="O194" i="1"/>
  <c r="U193" i="1"/>
  <c r="T193" i="1"/>
  <c r="X193" i="1"/>
  <c r="V192" i="1"/>
  <c r="W192" i="1" s="1"/>
  <c r="AD192" i="1" s="1"/>
  <c r="AF196" i="7"/>
  <c r="E197" i="7"/>
  <c r="C207" i="5"/>
  <c r="D207" i="5" s="1"/>
  <c r="H208" i="5"/>
  <c r="B209" i="5"/>
  <c r="I205" i="5"/>
  <c r="J205" i="5" s="1"/>
  <c r="G206" i="5"/>
  <c r="K206" i="5" s="1"/>
  <c r="E206" i="5"/>
  <c r="F206" i="5"/>
  <c r="S197" i="28"/>
  <c r="E198" i="28"/>
  <c r="AE198" i="13"/>
  <c r="R198" i="13"/>
  <c r="E199" i="13"/>
  <c r="S197" i="13"/>
  <c r="T197" i="13"/>
  <c r="U197" i="13" s="1"/>
  <c r="E201" i="27"/>
  <c r="Q198" i="1"/>
  <c r="AF197" i="13"/>
  <c r="AG197" i="13"/>
  <c r="AH197" i="13" s="1"/>
  <c r="K199" i="13" l="1"/>
  <c r="V193" i="1"/>
  <c r="W193" i="1" s="1"/>
  <c r="AD193" i="1" s="1"/>
  <c r="U194" i="1"/>
  <c r="T194" i="1"/>
  <c r="X194" i="1"/>
  <c r="S194" i="1"/>
  <c r="O195" i="1"/>
  <c r="AF197" i="7"/>
  <c r="E198" i="7"/>
  <c r="B210" i="5"/>
  <c r="H209" i="5"/>
  <c r="C208" i="5"/>
  <c r="D208" i="5" s="1"/>
  <c r="I206" i="5"/>
  <c r="J206" i="5" s="1"/>
  <c r="G207" i="5"/>
  <c r="K207" i="5" s="1"/>
  <c r="E207" i="5"/>
  <c r="F207" i="5"/>
  <c r="S198" i="28"/>
  <c r="E199" i="28"/>
  <c r="S198" i="13"/>
  <c r="T198" i="13"/>
  <c r="U198" i="13" s="1"/>
  <c r="E202" i="27"/>
  <c r="Q199" i="1"/>
  <c r="R199" i="13"/>
  <c r="E200" i="13"/>
  <c r="AE199" i="13"/>
  <c r="AG198" i="13"/>
  <c r="AH198" i="13" s="1"/>
  <c r="AF198" i="13"/>
  <c r="K200" i="13" l="1"/>
  <c r="V194" i="1"/>
  <c r="W194" i="1" s="1"/>
  <c r="AD194" i="1" s="1"/>
  <c r="T195" i="1"/>
  <c r="S195" i="1"/>
  <c r="O196" i="1"/>
  <c r="X195" i="1"/>
  <c r="U195" i="1"/>
  <c r="AF198" i="7"/>
  <c r="E199" i="7"/>
  <c r="G208" i="5"/>
  <c r="K208" i="5" s="1"/>
  <c r="F208" i="5"/>
  <c r="E208" i="5"/>
  <c r="I207" i="5"/>
  <c r="J207" i="5" s="1"/>
  <c r="B211" i="5"/>
  <c r="C209" i="5"/>
  <c r="D209" i="5" s="1"/>
  <c r="H210" i="5"/>
  <c r="E200" i="28"/>
  <c r="S199" i="28"/>
  <c r="AG199" i="13"/>
  <c r="AH199" i="13" s="1"/>
  <c r="AF199" i="13"/>
  <c r="T199" i="13"/>
  <c r="U199" i="13" s="1"/>
  <c r="S199" i="13"/>
  <c r="E203" i="27"/>
  <c r="E201" i="13"/>
  <c r="R200" i="13"/>
  <c r="AE200" i="13"/>
  <c r="Q200" i="1"/>
  <c r="K201" i="13" l="1"/>
  <c r="U196" i="1"/>
  <c r="X196" i="1"/>
  <c r="S196" i="1"/>
  <c r="O197" i="1"/>
  <c r="T196" i="1"/>
  <c r="V195" i="1"/>
  <c r="W195" i="1" s="1"/>
  <c r="AD195" i="1" s="1"/>
  <c r="AF199" i="7"/>
  <c r="E200" i="7"/>
  <c r="E209" i="5"/>
  <c r="F209" i="5"/>
  <c r="G209" i="5"/>
  <c r="K209" i="5" s="1"/>
  <c r="I208" i="5"/>
  <c r="J208" i="5" s="1"/>
  <c r="H211" i="5"/>
  <c r="C210" i="5"/>
  <c r="D210" i="5" s="1"/>
  <c r="B212" i="5"/>
  <c r="S200" i="28"/>
  <c r="E201" i="28"/>
  <c r="S200" i="13"/>
  <c r="T200" i="13"/>
  <c r="U200" i="13" s="1"/>
  <c r="E204" i="27"/>
  <c r="E202" i="13"/>
  <c r="AE201" i="13"/>
  <c r="R201" i="13"/>
  <c r="Q201" i="1"/>
  <c r="AF200" i="13"/>
  <c r="AG200" i="13"/>
  <c r="AH200" i="13" s="1"/>
  <c r="K202" i="13" l="1"/>
  <c r="V196" i="1"/>
  <c r="W196" i="1" s="1"/>
  <c r="AD196" i="1" s="1"/>
  <c r="S197" i="1"/>
  <c r="O198" i="1"/>
  <c r="T197" i="1"/>
  <c r="U197" i="1"/>
  <c r="X197" i="1"/>
  <c r="AF200" i="7"/>
  <c r="E201" i="7"/>
  <c r="G210" i="5"/>
  <c r="K210" i="5" s="1"/>
  <c r="F210" i="5"/>
  <c r="E210" i="5"/>
  <c r="H212" i="5"/>
  <c r="C211" i="5"/>
  <c r="D211" i="5" s="1"/>
  <c r="B213" i="5"/>
  <c r="I209" i="5"/>
  <c r="J209" i="5" s="1"/>
  <c r="E202" i="28"/>
  <c r="S201" i="28"/>
  <c r="AF201" i="13"/>
  <c r="AG201" i="13"/>
  <c r="AH201" i="13" s="1"/>
  <c r="AE202" i="13"/>
  <c r="E203" i="13"/>
  <c r="R202" i="13"/>
  <c r="E205" i="27"/>
  <c r="Q202" i="1"/>
  <c r="S201" i="13"/>
  <c r="T201" i="13"/>
  <c r="U201" i="13" s="1"/>
  <c r="K203" i="13" l="1"/>
  <c r="V197" i="1"/>
  <c r="W197" i="1" s="1"/>
  <c r="AD197" i="1" s="1"/>
  <c r="T198" i="1"/>
  <c r="O199" i="1"/>
  <c r="X198" i="1"/>
  <c r="U198" i="1"/>
  <c r="S198" i="1"/>
  <c r="AF201" i="7"/>
  <c r="E202" i="7"/>
  <c r="I210" i="5"/>
  <c r="J210" i="5" s="1"/>
  <c r="H213" i="5"/>
  <c r="B214" i="5"/>
  <c r="C212" i="5"/>
  <c r="D212" i="5" s="1"/>
  <c r="E211" i="5"/>
  <c r="G211" i="5"/>
  <c r="K211" i="5" s="1"/>
  <c r="F211" i="5"/>
  <c r="S202" i="28"/>
  <c r="E203" i="28"/>
  <c r="Q203" i="1"/>
  <c r="T202" i="13"/>
  <c r="U202" i="13" s="1"/>
  <c r="S202" i="13"/>
  <c r="E206" i="27"/>
  <c r="AG202" i="13"/>
  <c r="AH202" i="13" s="1"/>
  <c r="AF202" i="13"/>
  <c r="R203" i="13"/>
  <c r="E204" i="13"/>
  <c r="AE203" i="13"/>
  <c r="K204" i="13" l="1"/>
  <c r="V198" i="1"/>
  <c r="W198" i="1" s="1"/>
  <c r="AD198" i="1" s="1"/>
  <c r="O200" i="1"/>
  <c r="T199" i="1"/>
  <c r="S199" i="1"/>
  <c r="X199" i="1"/>
  <c r="U199" i="1"/>
  <c r="AF202" i="7"/>
  <c r="E203" i="7"/>
  <c r="G212" i="5"/>
  <c r="K212" i="5" s="1"/>
  <c r="E212" i="5"/>
  <c r="F212" i="5"/>
  <c r="C213" i="5"/>
  <c r="D213" i="5" s="1"/>
  <c r="H214" i="5"/>
  <c r="B215" i="5"/>
  <c r="I211" i="5"/>
  <c r="J211" i="5" s="1"/>
  <c r="E204" i="28"/>
  <c r="S203" i="28"/>
  <c r="S203" i="13"/>
  <c r="T203" i="13"/>
  <c r="U203" i="13" s="1"/>
  <c r="E207" i="27"/>
  <c r="AG203" i="13"/>
  <c r="AH203" i="13" s="1"/>
  <c r="AF203" i="13"/>
  <c r="Q204" i="1"/>
  <c r="AE204" i="13"/>
  <c r="R204" i="13"/>
  <c r="E205" i="13"/>
  <c r="K205" i="13" l="1"/>
  <c r="V199" i="1"/>
  <c r="W199" i="1" s="1"/>
  <c r="AD199" i="1" s="1"/>
  <c r="T200" i="1"/>
  <c r="X200" i="1"/>
  <c r="U200" i="1"/>
  <c r="O201" i="1"/>
  <c r="S200" i="1"/>
  <c r="AF203" i="7"/>
  <c r="E204" i="7"/>
  <c r="F213" i="5"/>
  <c r="G213" i="5"/>
  <c r="K213" i="5" s="1"/>
  <c r="E213" i="5"/>
  <c r="H215" i="5"/>
  <c r="C214" i="5"/>
  <c r="D214" i="5" s="1"/>
  <c r="B216" i="5"/>
  <c r="I212" i="5"/>
  <c r="J212" i="5" s="1"/>
  <c r="S204" i="28"/>
  <c r="E205" i="28"/>
  <c r="S204" i="13"/>
  <c r="T204" i="13"/>
  <c r="U204" i="13" s="1"/>
  <c r="E208" i="27"/>
  <c r="AF204" i="13"/>
  <c r="AG204" i="13"/>
  <c r="AH204" i="13" s="1"/>
  <c r="Q205" i="1"/>
  <c r="R205" i="13"/>
  <c r="AE205" i="13"/>
  <c r="E206" i="13"/>
  <c r="K206" i="13" l="1"/>
  <c r="V200" i="1"/>
  <c r="W200" i="1" s="1"/>
  <c r="AD200" i="1" s="1"/>
  <c r="S201" i="1"/>
  <c r="O202" i="1"/>
  <c r="U201" i="1"/>
  <c r="T201" i="1"/>
  <c r="X201" i="1"/>
  <c r="AF204" i="7"/>
  <c r="E205" i="7"/>
  <c r="I213" i="5"/>
  <c r="J213" i="5" s="1"/>
  <c r="H216" i="5"/>
  <c r="B217" i="5"/>
  <c r="C215" i="5"/>
  <c r="D215" i="5" s="1"/>
  <c r="G214" i="5"/>
  <c r="K214" i="5" s="1"/>
  <c r="E214" i="5"/>
  <c r="F214" i="5"/>
  <c r="S205" i="28"/>
  <c r="E206" i="28"/>
  <c r="E209" i="27"/>
  <c r="Q206" i="1"/>
  <c r="AE206" i="13"/>
  <c r="R206" i="13"/>
  <c r="E207" i="13"/>
  <c r="AF205" i="13"/>
  <c r="AG205" i="13"/>
  <c r="AH205" i="13" s="1"/>
  <c r="T205" i="13"/>
  <c r="U205" i="13" s="1"/>
  <c r="S205" i="13"/>
  <c r="K207" i="13" l="1"/>
  <c r="V201" i="1"/>
  <c r="W201" i="1" s="1"/>
  <c r="AD201" i="1" s="1"/>
  <c r="S202" i="1"/>
  <c r="T202" i="1"/>
  <c r="U202" i="1"/>
  <c r="X202" i="1"/>
  <c r="O203" i="1"/>
  <c r="AF205" i="7"/>
  <c r="E206" i="7"/>
  <c r="F215" i="5"/>
  <c r="G215" i="5"/>
  <c r="K215" i="5" s="1"/>
  <c r="E215" i="5"/>
  <c r="H217" i="5"/>
  <c r="C216" i="5"/>
  <c r="D216" i="5" s="1"/>
  <c r="B218" i="5"/>
  <c r="I214" i="5"/>
  <c r="J214" i="5" s="1"/>
  <c r="S206" i="28"/>
  <c r="E207" i="28"/>
  <c r="R207" i="13"/>
  <c r="E208" i="13"/>
  <c r="AE207" i="13"/>
  <c r="E210" i="27"/>
  <c r="Q207" i="1"/>
  <c r="T206" i="13"/>
  <c r="U206" i="13" s="1"/>
  <c r="S206" i="13"/>
  <c r="AF206" i="13"/>
  <c r="AG206" i="13"/>
  <c r="AH206" i="13" s="1"/>
  <c r="K208" i="13" l="1"/>
  <c r="V202" i="1"/>
  <c r="W202" i="1" s="1"/>
  <c r="AD202" i="1" s="1"/>
  <c r="X203" i="1"/>
  <c r="U203" i="1"/>
  <c r="O204" i="1"/>
  <c r="T203" i="1"/>
  <c r="S203" i="1"/>
  <c r="AF206" i="7"/>
  <c r="E207" i="7"/>
  <c r="I215" i="5"/>
  <c r="J215" i="5" s="1"/>
  <c r="C217" i="5"/>
  <c r="D217" i="5" s="1"/>
  <c r="H218" i="5"/>
  <c r="B219" i="5"/>
  <c r="G216" i="5"/>
  <c r="K216" i="5" s="1"/>
  <c r="E216" i="5"/>
  <c r="F216" i="5"/>
  <c r="E208" i="28"/>
  <c r="S207" i="28"/>
  <c r="AG207" i="13"/>
  <c r="AH207" i="13" s="1"/>
  <c r="AF207" i="13"/>
  <c r="E209" i="13"/>
  <c r="AE208" i="13"/>
  <c r="R208" i="13"/>
  <c r="Q208" i="1"/>
  <c r="E211" i="27"/>
  <c r="T207" i="13"/>
  <c r="U207" i="13" s="1"/>
  <c r="S207" i="13"/>
  <c r="K209" i="13" l="1"/>
  <c r="V203" i="1"/>
  <c r="W203" i="1" s="1"/>
  <c r="AD203" i="1" s="1"/>
  <c r="O205" i="1"/>
  <c r="X204" i="1"/>
  <c r="S204" i="1"/>
  <c r="U204" i="1"/>
  <c r="T204" i="1"/>
  <c r="AF207" i="7"/>
  <c r="E208" i="7"/>
  <c r="B220" i="5"/>
  <c r="H219" i="5"/>
  <c r="C218" i="5"/>
  <c r="D218" i="5" s="1"/>
  <c r="I216" i="5"/>
  <c r="J216" i="5" s="1"/>
  <c r="F217" i="5"/>
  <c r="G217" i="5"/>
  <c r="K217" i="5" s="1"/>
  <c r="E217" i="5"/>
  <c r="S208" i="28"/>
  <c r="E209" i="28"/>
  <c r="AG208" i="13"/>
  <c r="AH208" i="13" s="1"/>
  <c r="AF208" i="13"/>
  <c r="E210" i="13"/>
  <c r="R209" i="13"/>
  <c r="AE209" i="13"/>
  <c r="E212" i="27"/>
  <c r="Q209" i="1"/>
  <c r="S208" i="13"/>
  <c r="T208" i="13"/>
  <c r="U208" i="13" s="1"/>
  <c r="K210" i="13" l="1"/>
  <c r="V204" i="1"/>
  <c r="W204" i="1" s="1"/>
  <c r="AD204" i="1" s="1"/>
  <c r="S205" i="1"/>
  <c r="U205" i="1"/>
  <c r="O206" i="1"/>
  <c r="T205" i="1"/>
  <c r="X205" i="1"/>
  <c r="AF208" i="7"/>
  <c r="E209" i="7"/>
  <c r="I217" i="5"/>
  <c r="J217" i="5" s="1"/>
  <c r="E218" i="5"/>
  <c r="F218" i="5"/>
  <c r="G218" i="5"/>
  <c r="K218" i="5" s="1"/>
  <c r="B221" i="5"/>
  <c r="H220" i="5"/>
  <c r="C219" i="5"/>
  <c r="D219" i="5" s="1"/>
  <c r="S209" i="28"/>
  <c r="E210" i="28"/>
  <c r="T209" i="13"/>
  <c r="U209" i="13" s="1"/>
  <c r="S209" i="13"/>
  <c r="AE210" i="13"/>
  <c r="R210" i="13"/>
  <c r="E211" i="13"/>
  <c r="Q210" i="1"/>
  <c r="E213" i="27"/>
  <c r="AG209" i="13"/>
  <c r="AH209" i="13" s="1"/>
  <c r="AF209" i="13"/>
  <c r="K211" i="13" l="1"/>
  <c r="V205" i="1"/>
  <c r="W205" i="1" s="1"/>
  <c r="AD205" i="1" s="1"/>
  <c r="U206" i="1"/>
  <c r="O207" i="1"/>
  <c r="X206" i="1"/>
  <c r="T206" i="1"/>
  <c r="S206" i="1"/>
  <c r="AF209" i="7"/>
  <c r="E210" i="7"/>
  <c r="G219" i="5"/>
  <c r="K219" i="5" s="1"/>
  <c r="F219" i="5"/>
  <c r="E219" i="5"/>
  <c r="I218" i="5"/>
  <c r="J218" i="5" s="1"/>
  <c r="H221" i="5"/>
  <c r="C220" i="5"/>
  <c r="D220" i="5" s="1"/>
  <c r="B222" i="5"/>
  <c r="S210" i="28"/>
  <c r="E211" i="28"/>
  <c r="E214" i="27"/>
  <c r="AE211" i="13"/>
  <c r="R211" i="13"/>
  <c r="E212" i="13"/>
  <c r="AG210" i="13"/>
  <c r="AH210" i="13" s="1"/>
  <c r="AF210" i="13"/>
  <c r="T210" i="13"/>
  <c r="U210" i="13" s="1"/>
  <c r="S210" i="13"/>
  <c r="Q211" i="1"/>
  <c r="K212" i="13" l="1"/>
  <c r="V206" i="1"/>
  <c r="W206" i="1" s="1"/>
  <c r="AD206" i="1" s="1"/>
  <c r="T207" i="1"/>
  <c r="O208" i="1"/>
  <c r="X207" i="1"/>
  <c r="S207" i="1"/>
  <c r="U207" i="1"/>
  <c r="AF210" i="7"/>
  <c r="E211" i="7"/>
  <c r="G220" i="5"/>
  <c r="K220" i="5" s="1"/>
  <c r="E220" i="5"/>
  <c r="F220" i="5"/>
  <c r="H222" i="5"/>
  <c r="B223" i="5"/>
  <c r="C221" i="5"/>
  <c r="D221" i="5" s="1"/>
  <c r="I219" i="5"/>
  <c r="J219" i="5" s="1"/>
  <c r="S211" i="28"/>
  <c r="E212" i="28"/>
  <c r="T211" i="13"/>
  <c r="U211" i="13" s="1"/>
  <c r="S211" i="13"/>
  <c r="AE212" i="13"/>
  <c r="E213" i="13"/>
  <c r="R212" i="13"/>
  <c r="AG211" i="13"/>
  <c r="AH211" i="13" s="1"/>
  <c r="AF211" i="13"/>
  <c r="Q212" i="1"/>
  <c r="E215" i="27"/>
  <c r="K213" i="13" l="1"/>
  <c r="S208" i="1"/>
  <c r="X208" i="1"/>
  <c r="U208" i="1"/>
  <c r="O209" i="1"/>
  <c r="T208" i="1"/>
  <c r="V207" i="1"/>
  <c r="W207" i="1" s="1"/>
  <c r="AD207" i="1" s="1"/>
  <c r="AF211" i="7"/>
  <c r="E212" i="7"/>
  <c r="G221" i="5"/>
  <c r="K221" i="5" s="1"/>
  <c r="E221" i="5"/>
  <c r="F221" i="5"/>
  <c r="I220" i="5"/>
  <c r="J220" i="5" s="1"/>
  <c r="B224" i="5"/>
  <c r="H223" i="5"/>
  <c r="C222" i="5"/>
  <c r="D222" i="5" s="1"/>
  <c r="S212" i="28"/>
  <c r="E213" i="28"/>
  <c r="E216" i="27"/>
  <c r="T212" i="13"/>
  <c r="U212" i="13" s="1"/>
  <c r="S212" i="13"/>
  <c r="Q213" i="1"/>
  <c r="R213" i="13"/>
  <c r="AE213" i="13"/>
  <c r="E214" i="13"/>
  <c r="AG212" i="13"/>
  <c r="AH212" i="13" s="1"/>
  <c r="AF212" i="13"/>
  <c r="K214" i="13" l="1"/>
  <c r="V208" i="1"/>
  <c r="W208" i="1" s="1"/>
  <c r="AD208" i="1" s="1"/>
  <c r="T209" i="1"/>
  <c r="X209" i="1"/>
  <c r="U209" i="1"/>
  <c r="O210" i="1"/>
  <c r="S209" i="1"/>
  <c r="AF212" i="7"/>
  <c r="E213" i="7"/>
  <c r="I221" i="5"/>
  <c r="J221" i="5" s="1"/>
  <c r="G222" i="5"/>
  <c r="K222" i="5" s="1"/>
  <c r="E222" i="5"/>
  <c r="F222" i="5"/>
  <c r="H224" i="5"/>
  <c r="B225" i="5"/>
  <c r="C223" i="5"/>
  <c r="D223" i="5" s="1"/>
  <c r="S213" i="28"/>
  <c r="E214" i="28"/>
  <c r="AE214" i="13"/>
  <c r="R214" i="13"/>
  <c r="E215" i="13"/>
  <c r="AG213" i="13"/>
  <c r="AH213" i="13" s="1"/>
  <c r="AF213" i="13"/>
  <c r="S213" i="13"/>
  <c r="T213" i="13"/>
  <c r="U213" i="13" s="1"/>
  <c r="Q214" i="1"/>
  <c r="E217" i="27"/>
  <c r="K215" i="13" l="1"/>
  <c r="V209" i="1"/>
  <c r="W209" i="1" s="1"/>
  <c r="AD209" i="1" s="1"/>
  <c r="X210" i="1"/>
  <c r="U210" i="1"/>
  <c r="S210" i="1"/>
  <c r="O211" i="1"/>
  <c r="T210" i="1"/>
  <c r="AF213" i="7"/>
  <c r="E214" i="7"/>
  <c r="F223" i="5"/>
  <c r="E223" i="5"/>
  <c r="G223" i="5"/>
  <c r="K223" i="5" s="1"/>
  <c r="I222" i="5"/>
  <c r="J222" i="5" s="1"/>
  <c r="B226" i="5"/>
  <c r="C224" i="5"/>
  <c r="D224" i="5" s="1"/>
  <c r="H225" i="5"/>
  <c r="S214" i="28"/>
  <c r="E215" i="28"/>
  <c r="Q215" i="1"/>
  <c r="T214" i="13"/>
  <c r="U214" i="13" s="1"/>
  <c r="S214" i="13"/>
  <c r="E218" i="27"/>
  <c r="AG214" i="13"/>
  <c r="AH214" i="13" s="1"/>
  <c r="AF214" i="13"/>
  <c r="AE215" i="13"/>
  <c r="E216" i="13"/>
  <c r="R215" i="13"/>
  <c r="K216" i="13" l="1"/>
  <c r="V210" i="1"/>
  <c r="W210" i="1" s="1"/>
  <c r="AD210" i="1" s="1"/>
  <c r="T211" i="1"/>
  <c r="O212" i="1"/>
  <c r="U211" i="1"/>
  <c r="S211" i="1"/>
  <c r="X211" i="1"/>
  <c r="AF214" i="7"/>
  <c r="E215" i="7"/>
  <c r="G224" i="5"/>
  <c r="K224" i="5" s="1"/>
  <c r="E224" i="5"/>
  <c r="F224" i="5"/>
  <c r="I223" i="5"/>
  <c r="J223" i="5" s="1"/>
  <c r="C225" i="5"/>
  <c r="D225" i="5" s="1"/>
  <c r="B227" i="5"/>
  <c r="H226" i="5"/>
  <c r="S215" i="28"/>
  <c r="E216" i="28"/>
  <c r="T215" i="13"/>
  <c r="U215" i="13" s="1"/>
  <c r="S215" i="13"/>
  <c r="AF215" i="13"/>
  <c r="AG215" i="13"/>
  <c r="AH215" i="13" s="1"/>
  <c r="E219" i="27"/>
  <c r="Q216" i="1"/>
  <c r="AE216" i="13"/>
  <c r="E217" i="13"/>
  <c r="R216" i="13"/>
  <c r="K217" i="13" l="1"/>
  <c r="O213" i="1"/>
  <c r="T212" i="1"/>
  <c r="X212" i="1"/>
  <c r="S212" i="1"/>
  <c r="U212" i="1"/>
  <c r="V211" i="1"/>
  <c r="W211" i="1" s="1"/>
  <c r="AD211" i="1" s="1"/>
  <c r="AF215" i="7"/>
  <c r="E216" i="7"/>
  <c r="C226" i="5"/>
  <c r="D226" i="5" s="1"/>
  <c r="H227" i="5"/>
  <c r="B228" i="5"/>
  <c r="I224" i="5"/>
  <c r="J224" i="5" s="1"/>
  <c r="E225" i="5"/>
  <c r="F225" i="5"/>
  <c r="G225" i="5"/>
  <c r="K225" i="5" s="1"/>
  <c r="S216" i="28"/>
  <c r="E217" i="28"/>
  <c r="R217" i="13"/>
  <c r="E218" i="13"/>
  <c r="AE217" i="13"/>
  <c r="E220" i="27"/>
  <c r="AF216" i="13"/>
  <c r="AG216" i="13"/>
  <c r="AH216" i="13" s="1"/>
  <c r="Q217" i="1"/>
  <c r="S216" i="13"/>
  <c r="T216" i="13"/>
  <c r="U216" i="13" s="1"/>
  <c r="K218" i="13" l="1"/>
  <c r="V212" i="1"/>
  <c r="W212" i="1" s="1"/>
  <c r="AD212" i="1" s="1"/>
  <c r="S213" i="1"/>
  <c r="X213" i="1"/>
  <c r="O214" i="1"/>
  <c r="T213" i="1"/>
  <c r="U213" i="1"/>
  <c r="AF216" i="7"/>
  <c r="E217" i="7"/>
  <c r="H228" i="5"/>
  <c r="B229" i="5"/>
  <c r="C227" i="5"/>
  <c r="D227" i="5" s="1"/>
  <c r="I225" i="5"/>
  <c r="J225" i="5" s="1"/>
  <c r="G226" i="5"/>
  <c r="K226" i="5" s="1"/>
  <c r="F226" i="5"/>
  <c r="E226" i="5"/>
  <c r="S217" i="28"/>
  <c r="E218" i="28"/>
  <c r="Q218" i="1"/>
  <c r="AE218" i="13"/>
  <c r="E219" i="13"/>
  <c r="R218" i="13"/>
  <c r="T217" i="13"/>
  <c r="U217" i="13" s="1"/>
  <c r="S217" i="13"/>
  <c r="E221" i="27"/>
  <c r="AG217" i="13"/>
  <c r="AH217" i="13" s="1"/>
  <c r="AF217" i="13"/>
  <c r="K219" i="13" l="1"/>
  <c r="V213" i="1"/>
  <c r="W213" i="1" s="1"/>
  <c r="AD213" i="1" s="1"/>
  <c r="S214" i="1"/>
  <c r="U214" i="1"/>
  <c r="X214" i="1"/>
  <c r="O215" i="1"/>
  <c r="T214" i="1"/>
  <c r="AF217" i="7"/>
  <c r="E218" i="7"/>
  <c r="I226" i="5"/>
  <c r="J226" i="5" s="1"/>
  <c r="F227" i="5"/>
  <c r="G227" i="5"/>
  <c r="K227" i="5" s="1"/>
  <c r="E227" i="5"/>
  <c r="C228" i="5"/>
  <c r="D228" i="5" s="1"/>
  <c r="B230" i="5"/>
  <c r="H229" i="5"/>
  <c r="E219" i="28"/>
  <c r="S218" i="28"/>
  <c r="E222" i="27"/>
  <c r="AF218" i="13"/>
  <c r="AG218" i="13"/>
  <c r="AH218" i="13" s="1"/>
  <c r="S218" i="13"/>
  <c r="T218" i="13"/>
  <c r="U218" i="13" s="1"/>
  <c r="Q219" i="1"/>
  <c r="R219" i="13"/>
  <c r="E220" i="13"/>
  <c r="AE219" i="13"/>
  <c r="V214" i="1" l="1"/>
  <c r="W214" i="1" s="1"/>
  <c r="AD214" i="1" s="1"/>
  <c r="O216" i="1"/>
  <c r="S215" i="1"/>
  <c r="X215" i="1"/>
  <c r="U215" i="1"/>
  <c r="T215" i="1"/>
  <c r="AF218" i="7"/>
  <c r="E219" i="7"/>
  <c r="I227" i="5"/>
  <c r="J227" i="5" s="1"/>
  <c r="H230" i="5"/>
  <c r="B231" i="5"/>
  <c r="C229" i="5"/>
  <c r="D229" i="5" s="1"/>
  <c r="G228" i="5"/>
  <c r="K228" i="5" s="1"/>
  <c r="E228" i="5"/>
  <c r="F228" i="5"/>
  <c r="S219" i="28"/>
  <c r="E220" i="28"/>
  <c r="AE220" i="13"/>
  <c r="R220" i="13"/>
  <c r="E221" i="13"/>
  <c r="AG219" i="13"/>
  <c r="AH219" i="13" s="1"/>
  <c r="AF219" i="13"/>
  <c r="Q220" i="1"/>
  <c r="E223" i="27"/>
  <c r="S219" i="13"/>
  <c r="T219" i="13"/>
  <c r="U219" i="13" s="1"/>
  <c r="K221" i="13" l="1"/>
  <c r="V215" i="1"/>
  <c r="W215" i="1" s="1"/>
  <c r="AD215" i="1" s="1"/>
  <c r="O217" i="1"/>
  <c r="X216" i="1"/>
  <c r="U216" i="1"/>
  <c r="S216" i="1"/>
  <c r="T216" i="1"/>
  <c r="AF219" i="7"/>
  <c r="E220" i="7"/>
  <c r="F229" i="5"/>
  <c r="G229" i="5"/>
  <c r="K229" i="5" s="1"/>
  <c r="E229" i="5"/>
  <c r="C230" i="5"/>
  <c r="D230" i="5" s="1"/>
  <c r="B232" i="5"/>
  <c r="H231" i="5"/>
  <c r="I228" i="5"/>
  <c r="J228" i="5" s="1"/>
  <c r="S220" i="28"/>
  <c r="E221" i="28"/>
  <c r="Q221" i="1"/>
  <c r="AG220" i="13"/>
  <c r="AH220" i="13" s="1"/>
  <c r="AF220" i="13"/>
  <c r="E224" i="27"/>
  <c r="AE221" i="13"/>
  <c r="E222" i="13"/>
  <c r="R221" i="13"/>
  <c r="T220" i="13"/>
  <c r="U220" i="13" s="1"/>
  <c r="S220" i="13"/>
  <c r="K222" i="13" l="1"/>
  <c r="V216" i="1"/>
  <c r="W216" i="1" s="1"/>
  <c r="AD216" i="1" s="1"/>
  <c r="U217" i="1"/>
  <c r="O218" i="1"/>
  <c r="T217" i="1"/>
  <c r="S217" i="1"/>
  <c r="X217" i="1"/>
  <c r="AF220" i="7"/>
  <c r="E221" i="7"/>
  <c r="G230" i="5"/>
  <c r="K230" i="5" s="1"/>
  <c r="F230" i="5"/>
  <c r="E230" i="5"/>
  <c r="I229" i="5"/>
  <c r="J229" i="5" s="1"/>
  <c r="B233" i="5"/>
  <c r="C231" i="5"/>
  <c r="D231" i="5" s="1"/>
  <c r="H232" i="5"/>
  <c r="S221" i="28"/>
  <c r="E222" i="28"/>
  <c r="E225" i="27"/>
  <c r="Q222" i="1"/>
  <c r="T221" i="13"/>
  <c r="U221" i="13" s="1"/>
  <c r="S221" i="13"/>
  <c r="AE222" i="13"/>
  <c r="R222" i="13"/>
  <c r="E223" i="13"/>
  <c r="AF221" i="13"/>
  <c r="AG221" i="13"/>
  <c r="AH221" i="13" s="1"/>
  <c r="K223" i="13" l="1"/>
  <c r="V217" i="1"/>
  <c r="W217" i="1" s="1"/>
  <c r="AD217" i="1" s="1"/>
  <c r="T218" i="1"/>
  <c r="X218" i="1"/>
  <c r="U218" i="1"/>
  <c r="O219" i="1"/>
  <c r="S218" i="1"/>
  <c r="AF221" i="7"/>
  <c r="E222" i="7"/>
  <c r="I230" i="5"/>
  <c r="J230" i="5" s="1"/>
  <c r="G231" i="5"/>
  <c r="K231" i="5" s="1"/>
  <c r="F231" i="5"/>
  <c r="E231" i="5"/>
  <c r="B234" i="5"/>
  <c r="H233" i="5"/>
  <c r="C232" i="5"/>
  <c r="D232" i="5" s="1"/>
  <c r="S222" i="28"/>
  <c r="E223" i="28"/>
  <c r="Q223" i="1"/>
  <c r="R223" i="13"/>
  <c r="E224" i="13"/>
  <c r="AE223" i="13"/>
  <c r="T222" i="13"/>
  <c r="U222" i="13" s="1"/>
  <c r="S222" i="13"/>
  <c r="AF222" i="13"/>
  <c r="AG222" i="13"/>
  <c r="AH222" i="13" s="1"/>
  <c r="E226" i="27"/>
  <c r="K224" i="13" l="1"/>
  <c r="V218" i="1"/>
  <c r="W218" i="1" s="1"/>
  <c r="AD218" i="1" s="1"/>
  <c r="T219" i="1"/>
  <c r="O220" i="1"/>
  <c r="U219" i="1"/>
  <c r="S219" i="1"/>
  <c r="X219" i="1"/>
  <c r="AF222" i="7"/>
  <c r="E223" i="7"/>
  <c r="I231" i="5"/>
  <c r="J231" i="5" s="1"/>
  <c r="F232" i="5"/>
  <c r="G232" i="5"/>
  <c r="K232" i="5" s="1"/>
  <c r="E232" i="5"/>
  <c r="C233" i="5"/>
  <c r="D233" i="5" s="1"/>
  <c r="B235" i="5"/>
  <c r="H234" i="5"/>
  <c r="S223" i="28"/>
  <c r="E224" i="28"/>
  <c r="E227" i="27"/>
  <c r="R224" i="13"/>
  <c r="AE224" i="13"/>
  <c r="E225" i="13"/>
  <c r="S223" i="13"/>
  <c r="T223" i="13"/>
  <c r="U223" i="13" s="1"/>
  <c r="Q224" i="1"/>
  <c r="AF223" i="13"/>
  <c r="AG223" i="13"/>
  <c r="AH223" i="13" s="1"/>
  <c r="K225" i="13" l="1"/>
  <c r="S220" i="1"/>
  <c r="O221" i="1"/>
  <c r="T220" i="1"/>
  <c r="X220" i="1"/>
  <c r="U220" i="1"/>
  <c r="V219" i="1"/>
  <c r="W219" i="1" s="1"/>
  <c r="AD219" i="1" s="1"/>
  <c r="AF223" i="7"/>
  <c r="E224" i="7"/>
  <c r="I232" i="5"/>
  <c r="J232" i="5" s="1"/>
  <c r="H235" i="5"/>
  <c r="B236" i="5"/>
  <c r="C234" i="5"/>
  <c r="D234" i="5" s="1"/>
  <c r="F233" i="5"/>
  <c r="E233" i="5"/>
  <c r="G233" i="5"/>
  <c r="K233" i="5" s="1"/>
  <c r="E225" i="28"/>
  <c r="S224" i="28"/>
  <c r="AG224" i="13"/>
  <c r="AH224" i="13" s="1"/>
  <c r="AF224" i="13"/>
  <c r="AE225" i="13"/>
  <c r="R225" i="13"/>
  <c r="E226" i="13"/>
  <c r="Q225" i="1"/>
  <c r="S224" i="13"/>
  <c r="T224" i="13"/>
  <c r="U224" i="13" s="1"/>
  <c r="E228" i="27"/>
  <c r="K226" i="13" l="1"/>
  <c r="V220" i="1"/>
  <c r="W220" i="1" s="1"/>
  <c r="AD220" i="1" s="1"/>
  <c r="U221" i="1"/>
  <c r="T221" i="1"/>
  <c r="S221" i="1"/>
  <c r="X221" i="1"/>
  <c r="O222" i="1"/>
  <c r="AF224" i="7"/>
  <c r="E225" i="7"/>
  <c r="G234" i="5"/>
  <c r="K234" i="5" s="1"/>
  <c r="E234" i="5"/>
  <c r="F234" i="5"/>
  <c r="B237" i="5"/>
  <c r="C235" i="5"/>
  <c r="D235" i="5" s="1"/>
  <c r="H236" i="5"/>
  <c r="I233" i="5"/>
  <c r="J233" i="5" s="1"/>
  <c r="S225" i="28"/>
  <c r="E226" i="28"/>
  <c r="Q226" i="1"/>
  <c r="E229" i="27"/>
  <c r="T225" i="13"/>
  <c r="U225" i="13" s="1"/>
  <c r="S225" i="13"/>
  <c r="R226" i="13"/>
  <c r="AE226" i="13"/>
  <c r="E227" i="13"/>
  <c r="AG225" i="13"/>
  <c r="AH225" i="13" s="1"/>
  <c r="AF225" i="13"/>
  <c r="K227" i="13" l="1"/>
  <c r="V221" i="1"/>
  <c r="W221" i="1" s="1"/>
  <c r="AD221" i="1" s="1"/>
  <c r="U222" i="1"/>
  <c r="X222" i="1"/>
  <c r="O223" i="1"/>
  <c r="T222" i="1"/>
  <c r="S222" i="1"/>
  <c r="AF225" i="7"/>
  <c r="E226" i="7"/>
  <c r="C236" i="5"/>
  <c r="D236" i="5" s="1"/>
  <c r="H237" i="5"/>
  <c r="B238" i="5"/>
  <c r="I234" i="5"/>
  <c r="J234" i="5" s="1"/>
  <c r="E235" i="5"/>
  <c r="F235" i="5"/>
  <c r="G235" i="5"/>
  <c r="K235" i="5" s="1"/>
  <c r="E227" i="28"/>
  <c r="S226" i="28"/>
  <c r="R227" i="13"/>
  <c r="AE227" i="13"/>
  <c r="E228" i="13"/>
  <c r="Q227" i="1"/>
  <c r="T226" i="13"/>
  <c r="U226" i="13" s="1"/>
  <c r="S226" i="13"/>
  <c r="AG226" i="13"/>
  <c r="AH226" i="13" s="1"/>
  <c r="AF226" i="13"/>
  <c r="E230" i="27"/>
  <c r="K228" i="13" l="1"/>
  <c r="V222" i="1"/>
  <c r="W222" i="1" s="1"/>
  <c r="AD222" i="1" s="1"/>
  <c r="X223" i="1"/>
  <c r="S223" i="1"/>
  <c r="U223" i="1"/>
  <c r="O224" i="1"/>
  <c r="T223" i="1"/>
  <c r="AF226" i="7"/>
  <c r="E227" i="7"/>
  <c r="B239" i="5"/>
  <c r="H238" i="5"/>
  <c r="C237" i="5"/>
  <c r="D237" i="5" s="1"/>
  <c r="I235" i="5"/>
  <c r="J235" i="5" s="1"/>
  <c r="F236" i="5"/>
  <c r="G236" i="5"/>
  <c r="K236" i="5" s="1"/>
  <c r="E236" i="5"/>
  <c r="S227" i="28"/>
  <c r="E228" i="28"/>
  <c r="AF227" i="13"/>
  <c r="AG227" i="13"/>
  <c r="AH227" i="13" s="1"/>
  <c r="E231" i="27"/>
  <c r="T227" i="13"/>
  <c r="U227" i="13" s="1"/>
  <c r="S227" i="13"/>
  <c r="Q228" i="1"/>
  <c r="AE228" i="13"/>
  <c r="R228" i="13"/>
  <c r="E229" i="13"/>
  <c r="K229" i="13" l="1"/>
  <c r="V223" i="1"/>
  <c r="W223" i="1" s="1"/>
  <c r="AD223" i="1" s="1"/>
  <c r="T224" i="1"/>
  <c r="X224" i="1"/>
  <c r="O225" i="1"/>
  <c r="U224" i="1"/>
  <c r="S224" i="1"/>
  <c r="AF227" i="7"/>
  <c r="E228" i="7"/>
  <c r="I236" i="5"/>
  <c r="J236" i="5" s="1"/>
  <c r="F237" i="5"/>
  <c r="G237" i="5"/>
  <c r="K237" i="5" s="1"/>
  <c r="E237" i="5"/>
  <c r="B240" i="5"/>
  <c r="C238" i="5"/>
  <c r="D238" i="5" s="1"/>
  <c r="H239" i="5"/>
  <c r="S228" i="28"/>
  <c r="E229" i="28"/>
  <c r="E232" i="27"/>
  <c r="S228" i="13"/>
  <c r="T228" i="13"/>
  <c r="U228" i="13" s="1"/>
  <c r="AE229" i="13"/>
  <c r="E230" i="13"/>
  <c r="R229" i="13"/>
  <c r="AG228" i="13"/>
  <c r="AH228" i="13" s="1"/>
  <c r="AF228" i="13"/>
  <c r="Q229" i="1"/>
  <c r="K230" i="13" l="1"/>
  <c r="O226" i="1"/>
  <c r="T225" i="1"/>
  <c r="S225" i="1"/>
  <c r="U225" i="1"/>
  <c r="X225" i="1"/>
  <c r="V224" i="1"/>
  <c r="W224" i="1" s="1"/>
  <c r="AD224" i="1" s="1"/>
  <c r="AF228" i="7"/>
  <c r="E229" i="7"/>
  <c r="I237" i="5"/>
  <c r="J237" i="5" s="1"/>
  <c r="F238" i="5"/>
  <c r="G238" i="5"/>
  <c r="K238" i="5" s="1"/>
  <c r="E238" i="5"/>
  <c r="H240" i="5"/>
  <c r="C239" i="5"/>
  <c r="D239" i="5" s="1"/>
  <c r="B241" i="5"/>
  <c r="S229" i="28"/>
  <c r="E230" i="28"/>
  <c r="AG229" i="13"/>
  <c r="AH229" i="13" s="1"/>
  <c r="AF229" i="13"/>
  <c r="E233" i="27"/>
  <c r="S229" i="13"/>
  <c r="T229" i="13"/>
  <c r="U229" i="13" s="1"/>
  <c r="Q230" i="1"/>
  <c r="AE230" i="13"/>
  <c r="R230" i="13"/>
  <c r="E231" i="13"/>
  <c r="K231" i="13" l="1"/>
  <c r="V225" i="1"/>
  <c r="W225" i="1" s="1"/>
  <c r="AD225" i="1" s="1"/>
  <c r="S226" i="1"/>
  <c r="U226" i="1"/>
  <c r="X226" i="1"/>
  <c r="O227" i="1"/>
  <c r="T226" i="1"/>
  <c r="AF229" i="7"/>
  <c r="E230" i="7"/>
  <c r="I238" i="5"/>
  <c r="J238" i="5" s="1"/>
  <c r="C240" i="5"/>
  <c r="D240" i="5" s="1"/>
  <c r="B242" i="5"/>
  <c r="H241" i="5"/>
  <c r="F239" i="5"/>
  <c r="G239" i="5"/>
  <c r="K239" i="5" s="1"/>
  <c r="E239" i="5"/>
  <c r="S230" i="28"/>
  <c r="E231" i="28"/>
  <c r="E234" i="27"/>
  <c r="AF230" i="13"/>
  <c r="AG230" i="13"/>
  <c r="AH230" i="13" s="1"/>
  <c r="AE231" i="13"/>
  <c r="R231" i="13"/>
  <c r="E232" i="13"/>
  <c r="T230" i="13"/>
  <c r="U230" i="13" s="1"/>
  <c r="S230" i="13"/>
  <c r="Q231" i="1"/>
  <c r="K232" i="13" l="1"/>
  <c r="V226" i="1"/>
  <c r="W226" i="1" s="1"/>
  <c r="AD226" i="1" s="1"/>
  <c r="X227" i="1"/>
  <c r="O228" i="1"/>
  <c r="U227" i="1"/>
  <c r="T227" i="1"/>
  <c r="S227" i="1"/>
  <c r="AF230" i="7"/>
  <c r="E231" i="7"/>
  <c r="I239" i="5"/>
  <c r="J239" i="5" s="1"/>
  <c r="H242" i="5"/>
  <c r="C241" i="5"/>
  <c r="D241" i="5" s="1"/>
  <c r="B243" i="5"/>
  <c r="G240" i="5"/>
  <c r="K240" i="5" s="1"/>
  <c r="E240" i="5"/>
  <c r="F240" i="5"/>
  <c r="S231" i="28"/>
  <c r="E232" i="28"/>
  <c r="AG231" i="13"/>
  <c r="AH231" i="13" s="1"/>
  <c r="AF231" i="13"/>
  <c r="E235" i="27"/>
  <c r="T231" i="13"/>
  <c r="U231" i="13" s="1"/>
  <c r="S231" i="13"/>
  <c r="Q232" i="1"/>
  <c r="R232" i="13"/>
  <c r="AE232" i="13"/>
  <c r="E233" i="13"/>
  <c r="K233" i="13" l="1"/>
  <c r="V227" i="1"/>
  <c r="W227" i="1" s="1"/>
  <c r="AD227" i="1" s="1"/>
  <c r="T228" i="1"/>
  <c r="O229" i="1"/>
  <c r="S228" i="1"/>
  <c r="U228" i="1"/>
  <c r="X228" i="1"/>
  <c r="AF231" i="7"/>
  <c r="E232" i="7"/>
  <c r="C242" i="5"/>
  <c r="D242" i="5" s="1"/>
  <c r="B244" i="5"/>
  <c r="H243" i="5"/>
  <c r="G241" i="5"/>
  <c r="K241" i="5" s="1"/>
  <c r="E241" i="5"/>
  <c r="F241" i="5"/>
  <c r="I240" i="5"/>
  <c r="J240" i="5" s="1"/>
  <c r="S232" i="28"/>
  <c r="E233" i="28"/>
  <c r="T232" i="13"/>
  <c r="U232" i="13" s="1"/>
  <c r="S232" i="13"/>
  <c r="Q233" i="1"/>
  <c r="AE233" i="13"/>
  <c r="R233" i="13"/>
  <c r="E234" i="13"/>
  <c r="AF232" i="13"/>
  <c r="AG232" i="13"/>
  <c r="AH232" i="13" s="1"/>
  <c r="E236" i="27"/>
  <c r="K234" i="13" l="1"/>
  <c r="X229" i="1"/>
  <c r="O230" i="1"/>
  <c r="U229" i="1"/>
  <c r="T229" i="1"/>
  <c r="S229" i="1"/>
  <c r="V228" i="1"/>
  <c r="W228" i="1" s="1"/>
  <c r="AD228" i="1" s="1"/>
  <c r="AF232" i="7"/>
  <c r="E233" i="7"/>
  <c r="H244" i="5"/>
  <c r="C243" i="5"/>
  <c r="D243" i="5" s="1"/>
  <c r="B245" i="5"/>
  <c r="I241" i="5"/>
  <c r="J241" i="5" s="1"/>
  <c r="E242" i="5"/>
  <c r="G242" i="5"/>
  <c r="K242" i="5" s="1"/>
  <c r="F242" i="5"/>
  <c r="E234" i="28"/>
  <c r="S233" i="28"/>
  <c r="T233" i="13"/>
  <c r="U233" i="13" s="1"/>
  <c r="S233" i="13"/>
  <c r="E237" i="27"/>
  <c r="Q234" i="1"/>
  <c r="R234" i="13"/>
  <c r="AE234" i="13"/>
  <c r="E235" i="13"/>
  <c r="AF233" i="13"/>
  <c r="AG233" i="13"/>
  <c r="AH233" i="13" s="1"/>
  <c r="K235" i="13" l="1"/>
  <c r="V229" i="1"/>
  <c r="W229" i="1" s="1"/>
  <c r="AD229" i="1" s="1"/>
  <c r="X230" i="1"/>
  <c r="S230" i="1"/>
  <c r="U230" i="1"/>
  <c r="O231" i="1"/>
  <c r="T230" i="1"/>
  <c r="AF233" i="7"/>
  <c r="E234" i="7"/>
  <c r="C244" i="5"/>
  <c r="D244" i="5" s="1"/>
  <c r="B246" i="5"/>
  <c r="H245" i="5"/>
  <c r="F243" i="5"/>
  <c r="E243" i="5"/>
  <c r="G243" i="5"/>
  <c r="K243" i="5" s="1"/>
  <c r="I242" i="5"/>
  <c r="J242" i="5" s="1"/>
  <c r="E235" i="28"/>
  <c r="S234" i="28"/>
  <c r="AF234" i="13"/>
  <c r="AG234" i="13"/>
  <c r="AH234" i="13" s="1"/>
  <c r="Q235" i="1"/>
  <c r="E238" i="27"/>
  <c r="R235" i="13"/>
  <c r="E236" i="13"/>
  <c r="AE235" i="13"/>
  <c r="S234" i="13"/>
  <c r="T234" i="13"/>
  <c r="U234" i="13" s="1"/>
  <c r="K236" i="13" l="1"/>
  <c r="V230" i="1"/>
  <c r="W230" i="1" s="1"/>
  <c r="AD230" i="1" s="1"/>
  <c r="X231" i="1"/>
  <c r="T231" i="1"/>
  <c r="S231" i="1"/>
  <c r="O232" i="1"/>
  <c r="U231" i="1"/>
  <c r="AF234" i="7"/>
  <c r="E235" i="7"/>
  <c r="H246" i="5"/>
  <c r="B247" i="5"/>
  <c r="C245" i="5"/>
  <c r="D245" i="5" s="1"/>
  <c r="I243" i="5"/>
  <c r="J243" i="5" s="1"/>
  <c r="E244" i="5"/>
  <c r="F244" i="5"/>
  <c r="G244" i="5"/>
  <c r="K244" i="5" s="1"/>
  <c r="S235" i="28"/>
  <c r="E236" i="28"/>
  <c r="R236" i="13"/>
  <c r="E237" i="13"/>
  <c r="AE236" i="13"/>
  <c r="E239" i="27"/>
  <c r="AG235" i="13"/>
  <c r="AH235" i="13" s="1"/>
  <c r="AF235" i="13"/>
  <c r="T235" i="13"/>
  <c r="U235" i="13" s="1"/>
  <c r="S235" i="13"/>
  <c r="Q236" i="1"/>
  <c r="K237" i="13" l="1"/>
  <c r="V231" i="1"/>
  <c r="W231" i="1" s="1"/>
  <c r="AD231" i="1" s="1"/>
  <c r="T232" i="1"/>
  <c r="S232" i="1"/>
  <c r="X232" i="1"/>
  <c r="O233" i="1"/>
  <c r="U232" i="1"/>
  <c r="AF235" i="7"/>
  <c r="E236" i="7"/>
  <c r="G245" i="5"/>
  <c r="K245" i="5" s="1"/>
  <c r="F245" i="5"/>
  <c r="E245" i="5"/>
  <c r="B248" i="5"/>
  <c r="C246" i="5"/>
  <c r="D246" i="5" s="1"/>
  <c r="H247" i="5"/>
  <c r="I244" i="5"/>
  <c r="J244" i="5" s="1"/>
  <c r="S236" i="28"/>
  <c r="E237" i="28"/>
  <c r="AF236" i="13"/>
  <c r="AG236" i="13"/>
  <c r="AH236" i="13" s="1"/>
  <c r="Q237" i="1"/>
  <c r="R237" i="13"/>
  <c r="AE237" i="13"/>
  <c r="E238" i="13"/>
  <c r="E240" i="27"/>
  <c r="S236" i="13"/>
  <c r="T236" i="13"/>
  <c r="U236" i="13" s="1"/>
  <c r="X233" i="1" l="1"/>
  <c r="O234" i="1"/>
  <c r="S233" i="1"/>
  <c r="U233" i="1"/>
  <c r="T233" i="1"/>
  <c r="V232" i="1"/>
  <c r="W232" i="1" s="1"/>
  <c r="AD232" i="1" s="1"/>
  <c r="K238" i="13"/>
  <c r="AF236" i="7"/>
  <c r="E237" i="7"/>
  <c r="H248" i="5"/>
  <c r="B249" i="5"/>
  <c r="C247" i="5"/>
  <c r="D247" i="5" s="1"/>
  <c r="I245" i="5"/>
  <c r="J245" i="5" s="1"/>
  <c r="G246" i="5"/>
  <c r="K246" i="5" s="1"/>
  <c r="E246" i="5"/>
  <c r="F246" i="5"/>
  <c r="E238" i="28"/>
  <c r="S237" i="28"/>
  <c r="R238" i="13"/>
  <c r="AE238" i="13"/>
  <c r="E239" i="13"/>
  <c r="AG237" i="13"/>
  <c r="AH237" i="13" s="1"/>
  <c r="AF237" i="13"/>
  <c r="E241" i="27"/>
  <c r="T237" i="13"/>
  <c r="U237" i="13" s="1"/>
  <c r="S237" i="13"/>
  <c r="Q238" i="1"/>
  <c r="X234" i="1" l="1"/>
  <c r="O235" i="1"/>
  <c r="S234" i="1"/>
  <c r="U234" i="1"/>
  <c r="T234" i="1"/>
  <c r="V233" i="1"/>
  <c r="W233" i="1" s="1"/>
  <c r="AD233" i="1" s="1"/>
  <c r="K239" i="13"/>
  <c r="AF237" i="7"/>
  <c r="E238" i="7"/>
  <c r="E247" i="5"/>
  <c r="F247" i="5"/>
  <c r="G247" i="5"/>
  <c r="K247" i="5" s="1"/>
  <c r="I246" i="5"/>
  <c r="J246" i="5" s="1"/>
  <c r="C248" i="5"/>
  <c r="D248" i="5" s="1"/>
  <c r="B250" i="5"/>
  <c r="H249" i="5"/>
  <c r="S238" i="28"/>
  <c r="E239" i="28"/>
  <c r="E242" i="27"/>
  <c r="Q239" i="1"/>
  <c r="R239" i="13"/>
  <c r="AE239" i="13"/>
  <c r="E240" i="13"/>
  <c r="AF238" i="13"/>
  <c r="AG238" i="13"/>
  <c r="AH238" i="13" s="1"/>
  <c r="T238" i="13"/>
  <c r="U238" i="13" s="1"/>
  <c r="S238" i="13"/>
  <c r="U235" i="1" l="1"/>
  <c r="O236" i="1"/>
  <c r="T235" i="1"/>
  <c r="X235" i="1"/>
  <c r="S235" i="1"/>
  <c r="V234" i="1"/>
  <c r="W234" i="1" s="1"/>
  <c r="AD234" i="1" s="1"/>
  <c r="K240" i="13"/>
  <c r="AF238" i="7"/>
  <c r="E239" i="7"/>
  <c r="C249" i="5"/>
  <c r="D249" i="5" s="1"/>
  <c r="H250" i="5"/>
  <c r="B251" i="5"/>
  <c r="E248" i="5"/>
  <c r="G248" i="5"/>
  <c r="K248" i="5" s="1"/>
  <c r="F248" i="5"/>
  <c r="I247" i="5"/>
  <c r="J247" i="5" s="1"/>
  <c r="S239" i="28"/>
  <c r="E240" i="28"/>
  <c r="Q240" i="1"/>
  <c r="AE240" i="13"/>
  <c r="R240" i="13"/>
  <c r="E241" i="13"/>
  <c r="T239" i="13"/>
  <c r="U239" i="13" s="1"/>
  <c r="S239" i="13"/>
  <c r="E243" i="27"/>
  <c r="AG239" i="13"/>
  <c r="AH239" i="13" s="1"/>
  <c r="AF239" i="13"/>
  <c r="V235" i="1" l="1"/>
  <c r="W235" i="1" s="1"/>
  <c r="AD235" i="1" s="1"/>
  <c r="S236" i="1"/>
  <c r="O237" i="1"/>
  <c r="U236" i="1"/>
  <c r="X236" i="1"/>
  <c r="T236" i="1"/>
  <c r="K241" i="13"/>
  <c r="AF239" i="7"/>
  <c r="E240" i="7"/>
  <c r="I248" i="5"/>
  <c r="J248" i="5" s="1"/>
  <c r="B252" i="5"/>
  <c r="C250" i="5"/>
  <c r="D250" i="5" s="1"/>
  <c r="H251" i="5"/>
  <c r="F249" i="5"/>
  <c r="E249" i="5"/>
  <c r="G249" i="5"/>
  <c r="K249" i="5" s="1"/>
  <c r="S240" i="28"/>
  <c r="E241" i="28"/>
  <c r="T240" i="13"/>
  <c r="U240" i="13" s="1"/>
  <c r="S240" i="13"/>
  <c r="Q241" i="1"/>
  <c r="AF240" i="13"/>
  <c r="AG240" i="13"/>
  <c r="AH240" i="13" s="1"/>
  <c r="E244" i="27"/>
  <c r="AE241" i="13"/>
  <c r="E242" i="13"/>
  <c r="R241" i="13"/>
  <c r="S237" i="1" l="1"/>
  <c r="O238" i="1"/>
  <c r="U237" i="1"/>
  <c r="X237" i="1"/>
  <c r="T237" i="1"/>
  <c r="V236" i="1"/>
  <c r="W236" i="1" s="1"/>
  <c r="AD236" i="1" s="1"/>
  <c r="K242" i="13"/>
  <c r="AF240" i="7"/>
  <c r="E241" i="7"/>
  <c r="F250" i="5"/>
  <c r="E250" i="5"/>
  <c r="G250" i="5"/>
  <c r="K250" i="5" s="1"/>
  <c r="I249" i="5"/>
  <c r="J249" i="5" s="1"/>
  <c r="H252" i="5"/>
  <c r="B253" i="5"/>
  <c r="C251" i="5"/>
  <c r="D251" i="5" s="1"/>
  <c r="E242" i="28"/>
  <c r="S241" i="28"/>
  <c r="T241" i="13"/>
  <c r="U241" i="13" s="1"/>
  <c r="S241" i="13"/>
  <c r="AG241" i="13"/>
  <c r="AH241" i="13" s="1"/>
  <c r="AF241" i="13"/>
  <c r="AE242" i="13"/>
  <c r="R242" i="13"/>
  <c r="E243" i="13"/>
  <c r="E245" i="27"/>
  <c r="Q242" i="1"/>
  <c r="T238" i="1" l="1"/>
  <c r="X238" i="1"/>
  <c r="U238" i="1"/>
  <c r="O239" i="1"/>
  <c r="S238" i="1"/>
  <c r="V237" i="1"/>
  <c r="W237" i="1" s="1"/>
  <c r="AD237" i="1" s="1"/>
  <c r="K243" i="13"/>
  <c r="AF241" i="7"/>
  <c r="E242" i="7"/>
  <c r="F251" i="5"/>
  <c r="G251" i="5"/>
  <c r="K251" i="5" s="1"/>
  <c r="E251" i="5"/>
  <c r="C252" i="5"/>
  <c r="D252" i="5" s="1"/>
  <c r="H253" i="5"/>
  <c r="B254" i="5"/>
  <c r="I250" i="5"/>
  <c r="J250" i="5" s="1"/>
  <c r="S242" i="28"/>
  <c r="E243" i="28"/>
  <c r="Q243" i="1"/>
  <c r="R243" i="13"/>
  <c r="AE243" i="13"/>
  <c r="E244" i="13"/>
  <c r="T242" i="13"/>
  <c r="U242" i="13" s="1"/>
  <c r="S242" i="13"/>
  <c r="AF242" i="13"/>
  <c r="AG242" i="13"/>
  <c r="AH242" i="13" s="1"/>
  <c r="E246" i="27"/>
  <c r="U239" i="1" l="1"/>
  <c r="O240" i="1"/>
  <c r="T239" i="1"/>
  <c r="S239" i="1"/>
  <c r="X239" i="1"/>
  <c r="V238" i="1"/>
  <c r="W238" i="1" s="1"/>
  <c r="AD238" i="1" s="1"/>
  <c r="K244" i="13"/>
  <c r="AF242" i="7"/>
  <c r="E243" i="7"/>
  <c r="F252" i="5"/>
  <c r="E252" i="5"/>
  <c r="G252" i="5"/>
  <c r="K252" i="5" s="1"/>
  <c r="I251" i="5"/>
  <c r="J251" i="5" s="1"/>
  <c r="H254" i="5"/>
  <c r="B255" i="5"/>
  <c r="C253" i="5"/>
  <c r="D253" i="5" s="1"/>
  <c r="S243" i="28"/>
  <c r="E244" i="28"/>
  <c r="AE244" i="13"/>
  <c r="R244" i="13"/>
  <c r="E245" i="13"/>
  <c r="AG243" i="13"/>
  <c r="AH243" i="13" s="1"/>
  <c r="AF243" i="13"/>
  <c r="E247" i="27"/>
  <c r="T243" i="13"/>
  <c r="U243" i="13" s="1"/>
  <c r="S243" i="13"/>
  <c r="Q244" i="1"/>
  <c r="V239" i="1" l="1"/>
  <c r="W239" i="1" s="1"/>
  <c r="AD239" i="1" s="1"/>
  <c r="X240" i="1"/>
  <c r="T240" i="1"/>
  <c r="S240" i="1"/>
  <c r="U240" i="1"/>
  <c r="O241" i="1"/>
  <c r="K245" i="13"/>
  <c r="AF243" i="7"/>
  <c r="E244" i="7"/>
  <c r="G253" i="5"/>
  <c r="K253" i="5" s="1"/>
  <c r="F253" i="5"/>
  <c r="E253" i="5"/>
  <c r="C254" i="5"/>
  <c r="D254" i="5" s="1"/>
  <c r="B256" i="5"/>
  <c r="H255" i="5"/>
  <c r="I252" i="5"/>
  <c r="J252" i="5" s="1"/>
  <c r="S244" i="28"/>
  <c r="E245" i="28"/>
  <c r="AG244" i="13"/>
  <c r="AH244" i="13" s="1"/>
  <c r="AF244" i="13"/>
  <c r="E248" i="27"/>
  <c r="Q245" i="1"/>
  <c r="AE245" i="13"/>
  <c r="E246" i="13"/>
  <c r="R245" i="13"/>
  <c r="S244" i="13"/>
  <c r="T244" i="13"/>
  <c r="U244" i="13" s="1"/>
  <c r="V240" i="1" l="1"/>
  <c r="W240" i="1" s="1"/>
  <c r="AD240" i="1" s="1"/>
  <c r="T241" i="1"/>
  <c r="U241" i="1"/>
  <c r="O242" i="1"/>
  <c r="S241" i="1"/>
  <c r="X241" i="1"/>
  <c r="K246" i="13"/>
  <c r="AF244" i="7"/>
  <c r="E245" i="7"/>
  <c r="F254" i="5"/>
  <c r="G254" i="5"/>
  <c r="K254" i="5" s="1"/>
  <c r="E254" i="5"/>
  <c r="I253" i="5"/>
  <c r="J253" i="5" s="1"/>
  <c r="B257" i="5"/>
  <c r="C255" i="5"/>
  <c r="D255" i="5" s="1"/>
  <c r="H256" i="5"/>
  <c r="E246" i="28"/>
  <c r="S245" i="28"/>
  <c r="AE246" i="13"/>
  <c r="E247" i="13"/>
  <c r="R246" i="13"/>
  <c r="Q246" i="1"/>
  <c r="E249" i="27"/>
  <c r="T245" i="13"/>
  <c r="U245" i="13" s="1"/>
  <c r="S245" i="13"/>
  <c r="AG245" i="13"/>
  <c r="AH245" i="13" s="1"/>
  <c r="AF245" i="13"/>
  <c r="X242" i="1" l="1"/>
  <c r="S242" i="1"/>
  <c r="T242" i="1"/>
  <c r="U242" i="1"/>
  <c r="O243" i="1"/>
  <c r="V241" i="1"/>
  <c r="W241" i="1" s="1"/>
  <c r="AD241" i="1" s="1"/>
  <c r="K247" i="13"/>
  <c r="AF245" i="7"/>
  <c r="E246" i="7"/>
  <c r="C256" i="5"/>
  <c r="D256" i="5" s="1"/>
  <c r="H257" i="5"/>
  <c r="B258" i="5"/>
  <c r="I254" i="5"/>
  <c r="J254" i="5" s="1"/>
  <c r="E255" i="5"/>
  <c r="G255" i="5"/>
  <c r="K255" i="5" s="1"/>
  <c r="F255" i="5"/>
  <c r="S246" i="28"/>
  <c r="E247" i="28"/>
  <c r="AG246" i="13"/>
  <c r="AH246" i="13" s="1"/>
  <c r="AF246" i="13"/>
  <c r="T246" i="13"/>
  <c r="U246" i="13" s="1"/>
  <c r="S246" i="13"/>
  <c r="E250" i="27"/>
  <c r="Q247" i="1"/>
  <c r="AE247" i="13"/>
  <c r="R247" i="13"/>
  <c r="E248" i="13"/>
  <c r="V242" i="1" l="1"/>
  <c r="W242" i="1" s="1"/>
  <c r="AD242" i="1" s="1"/>
  <c r="U243" i="1"/>
  <c r="O244" i="1"/>
  <c r="X243" i="1"/>
  <c r="T243" i="1"/>
  <c r="S243" i="1"/>
  <c r="K248" i="13"/>
  <c r="AF246" i="7"/>
  <c r="E247" i="7"/>
  <c r="C257" i="5"/>
  <c r="D257" i="5" s="1"/>
  <c r="H258" i="5"/>
  <c r="B259" i="5"/>
  <c r="I255" i="5"/>
  <c r="J255" i="5" s="1"/>
  <c r="F256" i="5"/>
  <c r="G256" i="5"/>
  <c r="K256" i="5" s="1"/>
  <c r="E256" i="5"/>
  <c r="S247" i="28"/>
  <c r="E248" i="28"/>
  <c r="AG247" i="13"/>
  <c r="AH247" i="13" s="1"/>
  <c r="AF247" i="13"/>
  <c r="R248" i="13"/>
  <c r="AE248" i="13"/>
  <c r="E249" i="13"/>
  <c r="T247" i="13"/>
  <c r="U247" i="13" s="1"/>
  <c r="S247" i="13"/>
  <c r="E251" i="27"/>
  <c r="Q248" i="1"/>
  <c r="T244" i="1" l="1"/>
  <c r="U244" i="1"/>
  <c r="X244" i="1"/>
  <c r="S244" i="1"/>
  <c r="O245" i="1"/>
  <c r="V243" i="1"/>
  <c r="W243" i="1" s="1"/>
  <c r="AD243" i="1" s="1"/>
  <c r="K249" i="13"/>
  <c r="AF247" i="7"/>
  <c r="E248" i="7"/>
  <c r="I256" i="5"/>
  <c r="J256" i="5" s="1"/>
  <c r="H259" i="5"/>
  <c r="C258" i="5"/>
  <c r="D258" i="5" s="1"/>
  <c r="B260" i="5"/>
  <c r="G257" i="5"/>
  <c r="K257" i="5" s="1"/>
  <c r="F257" i="5"/>
  <c r="E257" i="5"/>
  <c r="E249" i="28"/>
  <c r="S248" i="28"/>
  <c r="AE249" i="13"/>
  <c r="E250" i="13"/>
  <c r="R249" i="13"/>
  <c r="AG248" i="13"/>
  <c r="AH248" i="13" s="1"/>
  <c r="AF248" i="13"/>
  <c r="Q249" i="1"/>
  <c r="E252" i="27"/>
  <c r="S248" i="13"/>
  <c r="T248" i="13"/>
  <c r="U248" i="13" s="1"/>
  <c r="U245" i="1" l="1"/>
  <c r="O246" i="1"/>
  <c r="S245" i="1"/>
  <c r="T245" i="1"/>
  <c r="X245" i="1"/>
  <c r="V244" i="1"/>
  <c r="W244" i="1" s="1"/>
  <c r="AD244" i="1" s="1"/>
  <c r="K250" i="13"/>
  <c r="AF248" i="7"/>
  <c r="E249" i="7"/>
  <c r="B261" i="5"/>
  <c r="H260" i="5"/>
  <c r="C259" i="5"/>
  <c r="D259" i="5" s="1"/>
  <c r="I257" i="5"/>
  <c r="J257" i="5" s="1"/>
  <c r="F258" i="5"/>
  <c r="G258" i="5"/>
  <c r="K258" i="5" s="1"/>
  <c r="E258" i="5"/>
  <c r="E250" i="28"/>
  <c r="S249" i="28"/>
  <c r="AG249" i="13"/>
  <c r="AH249" i="13" s="1"/>
  <c r="AF249" i="13"/>
  <c r="E253" i="27"/>
  <c r="T249" i="13"/>
  <c r="U249" i="13" s="1"/>
  <c r="S249" i="13"/>
  <c r="Q250" i="1"/>
  <c r="AE250" i="13"/>
  <c r="R250" i="13"/>
  <c r="E251" i="13"/>
  <c r="K251" i="13" l="1"/>
  <c r="V245" i="1"/>
  <c r="W245" i="1" s="1"/>
  <c r="AD245" i="1" s="1"/>
  <c r="X246" i="1"/>
  <c r="O247" i="1"/>
  <c r="U246" i="1"/>
  <c r="T246" i="1"/>
  <c r="S246" i="1"/>
  <c r="AF249" i="7"/>
  <c r="E250" i="7"/>
  <c r="I258" i="5"/>
  <c r="J258" i="5" s="1"/>
  <c r="F259" i="5"/>
  <c r="E259" i="5"/>
  <c r="G259" i="5"/>
  <c r="K259" i="5" s="1"/>
  <c r="H261" i="5"/>
  <c r="C260" i="5"/>
  <c r="D260" i="5" s="1"/>
  <c r="B262" i="5"/>
  <c r="E251" i="28"/>
  <c r="S250" i="28"/>
  <c r="Q251" i="1"/>
  <c r="S250" i="13"/>
  <c r="T250" i="13"/>
  <c r="U250" i="13" s="1"/>
  <c r="E254" i="27"/>
  <c r="AG250" i="13"/>
  <c r="AH250" i="13" s="1"/>
  <c r="AF250" i="13"/>
  <c r="R251" i="13"/>
  <c r="E252" i="13"/>
  <c r="AE251" i="13"/>
  <c r="V246" i="1" l="1"/>
  <c r="W246" i="1" s="1"/>
  <c r="AD246" i="1" s="1"/>
  <c r="T247" i="1"/>
  <c r="S247" i="1"/>
  <c r="O248" i="1"/>
  <c r="U247" i="1"/>
  <c r="X247" i="1"/>
  <c r="K252" i="13"/>
  <c r="AF250" i="7"/>
  <c r="E251" i="7"/>
  <c r="I259" i="5"/>
  <c r="J259" i="5" s="1"/>
  <c r="H262" i="5"/>
  <c r="B263" i="5"/>
  <c r="C261" i="5"/>
  <c r="D261" i="5" s="1"/>
  <c r="E260" i="5"/>
  <c r="G260" i="5"/>
  <c r="K260" i="5" s="1"/>
  <c r="F260" i="5"/>
  <c r="S251" i="28"/>
  <c r="E252" i="28"/>
  <c r="AG251" i="13"/>
  <c r="AH251" i="13" s="1"/>
  <c r="AF251" i="13"/>
  <c r="R252" i="13"/>
  <c r="AE252" i="13"/>
  <c r="E253" i="13"/>
  <c r="E255" i="27"/>
  <c r="Q252" i="1"/>
  <c r="T251" i="13"/>
  <c r="U251" i="13" s="1"/>
  <c r="S251" i="13"/>
  <c r="T248" i="1" l="1"/>
  <c r="O249" i="1"/>
  <c r="U248" i="1"/>
  <c r="X248" i="1"/>
  <c r="S248" i="1"/>
  <c r="V247" i="1"/>
  <c r="W247" i="1" s="1"/>
  <c r="AD247" i="1" s="1"/>
  <c r="K253" i="13"/>
  <c r="AF251" i="7"/>
  <c r="E252" i="7"/>
  <c r="I260" i="5"/>
  <c r="J260" i="5" s="1"/>
  <c r="G261" i="5"/>
  <c r="K261" i="5" s="1"/>
  <c r="E261" i="5"/>
  <c r="F261" i="5"/>
  <c r="B264" i="5"/>
  <c r="C262" i="5"/>
  <c r="D262" i="5" s="1"/>
  <c r="H263" i="5"/>
  <c r="S252" i="28"/>
  <c r="E253" i="28"/>
  <c r="AF252" i="13"/>
  <c r="AG252" i="13"/>
  <c r="AH252" i="13" s="1"/>
  <c r="Q253" i="1"/>
  <c r="E256" i="27"/>
  <c r="S252" i="13"/>
  <c r="T252" i="13"/>
  <c r="U252" i="13" s="1"/>
  <c r="AE253" i="13"/>
  <c r="R253" i="13"/>
  <c r="E254" i="13"/>
  <c r="U249" i="1" l="1"/>
  <c r="S249" i="1"/>
  <c r="X249" i="1"/>
  <c r="O250" i="1"/>
  <c r="T249" i="1"/>
  <c r="V248" i="1"/>
  <c r="W248" i="1" s="1"/>
  <c r="AD248" i="1" s="1"/>
  <c r="K254" i="13"/>
  <c r="AF252" i="7"/>
  <c r="E253" i="7"/>
  <c r="I261" i="5"/>
  <c r="J261" i="5" s="1"/>
  <c r="E262" i="5"/>
  <c r="F262" i="5"/>
  <c r="G262" i="5"/>
  <c r="K262" i="5" s="1"/>
  <c r="C263" i="5"/>
  <c r="D263" i="5" s="1"/>
  <c r="B265" i="5"/>
  <c r="H264" i="5"/>
  <c r="S253" i="28"/>
  <c r="E254" i="28"/>
  <c r="AG253" i="13"/>
  <c r="AH253" i="13" s="1"/>
  <c r="AF253" i="13"/>
  <c r="T253" i="13"/>
  <c r="U253" i="13" s="1"/>
  <c r="S253" i="13"/>
  <c r="Q254" i="1"/>
  <c r="E257" i="27"/>
  <c r="AE254" i="13"/>
  <c r="E255" i="13"/>
  <c r="R254" i="13"/>
  <c r="V249" i="1" l="1"/>
  <c r="W249" i="1" s="1"/>
  <c r="AD249" i="1" s="1"/>
  <c r="O251" i="1"/>
  <c r="X250" i="1"/>
  <c r="S250" i="1"/>
  <c r="T250" i="1"/>
  <c r="U250" i="1"/>
  <c r="K255" i="13"/>
  <c r="AF253" i="7"/>
  <c r="E254" i="7"/>
  <c r="B266" i="5"/>
  <c r="H265" i="5"/>
  <c r="C264" i="5"/>
  <c r="D264" i="5" s="1"/>
  <c r="I262" i="5"/>
  <c r="J262" i="5" s="1"/>
  <c r="E263" i="5"/>
  <c r="G263" i="5"/>
  <c r="K263" i="5" s="1"/>
  <c r="F263" i="5"/>
  <c r="S254" i="28"/>
  <c r="E255" i="28"/>
  <c r="S254" i="13"/>
  <c r="T254" i="13"/>
  <c r="U254" i="13" s="1"/>
  <c r="E258" i="27"/>
  <c r="Q255" i="1"/>
  <c r="R255" i="13"/>
  <c r="E256" i="13"/>
  <c r="AE255" i="13"/>
  <c r="AF254" i="13"/>
  <c r="AG254" i="13"/>
  <c r="AH254" i="13" s="1"/>
  <c r="V250" i="1" l="1"/>
  <c r="W250" i="1" s="1"/>
  <c r="AD250" i="1" s="1"/>
  <c r="U251" i="1"/>
  <c r="S251" i="1"/>
  <c r="X251" i="1"/>
  <c r="O252" i="1"/>
  <c r="T251" i="1"/>
  <c r="K256" i="13"/>
  <c r="AF254" i="7"/>
  <c r="E255" i="7"/>
  <c r="G264" i="5"/>
  <c r="K264" i="5" s="1"/>
  <c r="E264" i="5"/>
  <c r="F264" i="5"/>
  <c r="I263" i="5"/>
  <c r="J263" i="5" s="1"/>
  <c r="C265" i="5"/>
  <c r="D265" i="5" s="1"/>
  <c r="H266" i="5"/>
  <c r="B267" i="5"/>
  <c r="S255" i="28"/>
  <c r="E256" i="28"/>
  <c r="E259" i="27"/>
  <c r="AF255" i="13"/>
  <c r="AG255" i="13"/>
  <c r="AH255" i="13" s="1"/>
  <c r="Q256" i="1"/>
  <c r="R256" i="13"/>
  <c r="E257" i="13"/>
  <c r="AE256" i="13"/>
  <c r="S255" i="13"/>
  <c r="T255" i="13"/>
  <c r="U255" i="13" s="1"/>
  <c r="X252" i="1" l="1"/>
  <c r="U252" i="1"/>
  <c r="O253" i="1"/>
  <c r="S252" i="1"/>
  <c r="T252" i="1"/>
  <c r="V251" i="1"/>
  <c r="W251" i="1" s="1"/>
  <c r="AD251" i="1" s="1"/>
  <c r="K257" i="13"/>
  <c r="AF255" i="7"/>
  <c r="E256" i="7"/>
  <c r="H267" i="5"/>
  <c r="B268" i="5"/>
  <c r="C266" i="5"/>
  <c r="D266" i="5" s="1"/>
  <c r="I264" i="5"/>
  <c r="J264" i="5" s="1"/>
  <c r="F265" i="5"/>
  <c r="G265" i="5"/>
  <c r="K265" i="5" s="1"/>
  <c r="E265" i="5"/>
  <c r="S256" i="28"/>
  <c r="E257" i="28"/>
  <c r="E258" i="13"/>
  <c r="AE257" i="13"/>
  <c r="R257" i="13"/>
  <c r="AF256" i="13"/>
  <c r="AG256" i="13"/>
  <c r="AH256" i="13" s="1"/>
  <c r="T256" i="13"/>
  <c r="U256" i="13" s="1"/>
  <c r="S256" i="13"/>
  <c r="Q257" i="1"/>
  <c r="E260" i="27"/>
  <c r="V252" i="1" l="1"/>
  <c r="W252" i="1" s="1"/>
  <c r="AD252" i="1" s="1"/>
  <c r="T253" i="1"/>
  <c r="O254" i="1"/>
  <c r="S253" i="1"/>
  <c r="X253" i="1"/>
  <c r="U253" i="1"/>
  <c r="K258" i="13"/>
  <c r="AF256" i="7"/>
  <c r="E257" i="7"/>
  <c r="I265" i="5"/>
  <c r="J265" i="5" s="1"/>
  <c r="E266" i="5"/>
  <c r="F266" i="5"/>
  <c r="G266" i="5"/>
  <c r="K266" i="5" s="1"/>
  <c r="C267" i="5"/>
  <c r="D267" i="5" s="1"/>
  <c r="H268" i="5"/>
  <c r="B269" i="5"/>
  <c r="E258" i="28"/>
  <c r="S257" i="28"/>
  <c r="AF257" i="13"/>
  <c r="AG257" i="13"/>
  <c r="AH257" i="13" s="1"/>
  <c r="R258" i="13"/>
  <c r="AE258" i="13"/>
  <c r="E259" i="13"/>
  <c r="E261" i="27"/>
  <c r="Q258" i="1"/>
  <c r="S257" i="13"/>
  <c r="T257" i="13"/>
  <c r="U257" i="13" s="1"/>
  <c r="U254" i="1" l="1"/>
  <c r="O255" i="1"/>
  <c r="X254" i="1"/>
  <c r="T254" i="1"/>
  <c r="S254" i="1"/>
  <c r="V253" i="1"/>
  <c r="W253" i="1" s="1"/>
  <c r="AD253" i="1" s="1"/>
  <c r="K259" i="13"/>
  <c r="AF257" i="7"/>
  <c r="E258" i="7"/>
  <c r="B270" i="5"/>
  <c r="H269" i="5"/>
  <c r="C268" i="5"/>
  <c r="D268" i="5" s="1"/>
  <c r="I266" i="5"/>
  <c r="J266" i="5" s="1"/>
  <c r="G267" i="5"/>
  <c r="K267" i="5" s="1"/>
  <c r="E267" i="5"/>
  <c r="F267" i="5"/>
  <c r="E259" i="28"/>
  <c r="S258" i="28"/>
  <c r="Q259" i="1"/>
  <c r="S258" i="13"/>
  <c r="T258" i="13"/>
  <c r="U258" i="13" s="1"/>
  <c r="R259" i="13"/>
  <c r="AE259" i="13"/>
  <c r="E260" i="13"/>
  <c r="AG258" i="13"/>
  <c r="AH258" i="13" s="1"/>
  <c r="AF258" i="13"/>
  <c r="E262" i="27"/>
  <c r="V254" i="1" l="1"/>
  <c r="W254" i="1" s="1"/>
  <c r="AD254" i="1" s="1"/>
  <c r="X255" i="1"/>
  <c r="U255" i="1"/>
  <c r="T255" i="1"/>
  <c r="S255" i="1"/>
  <c r="O256" i="1"/>
  <c r="K260" i="13"/>
  <c r="AF258" i="7"/>
  <c r="E259" i="7"/>
  <c r="G268" i="5"/>
  <c r="K268" i="5" s="1"/>
  <c r="F268" i="5"/>
  <c r="E268" i="5"/>
  <c r="I267" i="5"/>
  <c r="J267" i="5" s="1"/>
  <c r="B271" i="5"/>
  <c r="H270" i="5"/>
  <c r="C269" i="5"/>
  <c r="D269" i="5" s="1"/>
  <c r="S259" i="28"/>
  <c r="E260" i="28"/>
  <c r="T259" i="13"/>
  <c r="U259" i="13" s="1"/>
  <c r="S259" i="13"/>
  <c r="R260" i="13"/>
  <c r="E261" i="13"/>
  <c r="AE260" i="13"/>
  <c r="E263" i="27"/>
  <c r="AF259" i="13"/>
  <c r="AG259" i="13"/>
  <c r="AH259" i="13" s="1"/>
  <c r="Q260" i="1"/>
  <c r="V255" i="1" l="1"/>
  <c r="W255" i="1" s="1"/>
  <c r="AD255" i="1" s="1"/>
  <c r="U256" i="1"/>
  <c r="O257" i="1"/>
  <c r="T256" i="1"/>
  <c r="X256" i="1"/>
  <c r="S256" i="1"/>
  <c r="K261" i="13"/>
  <c r="AF259" i="7"/>
  <c r="E260" i="7"/>
  <c r="G269" i="5"/>
  <c r="K269" i="5" s="1"/>
  <c r="E269" i="5"/>
  <c r="F269" i="5"/>
  <c r="I268" i="5"/>
  <c r="J268" i="5" s="1"/>
  <c r="B272" i="5"/>
  <c r="H271" i="5"/>
  <c r="C270" i="5"/>
  <c r="D270" i="5" s="1"/>
  <c r="E261" i="28"/>
  <c r="S260" i="28"/>
  <c r="E264" i="27"/>
  <c r="Q261" i="1"/>
  <c r="E262" i="13"/>
  <c r="AE261" i="13"/>
  <c r="R261" i="13"/>
  <c r="AG260" i="13"/>
  <c r="AH260" i="13" s="1"/>
  <c r="AF260" i="13"/>
  <c r="S260" i="13"/>
  <c r="T260" i="13"/>
  <c r="U260" i="13" s="1"/>
  <c r="V256" i="1" l="1"/>
  <c r="W256" i="1" s="1"/>
  <c r="AD256" i="1" s="1"/>
  <c r="U257" i="1"/>
  <c r="T257" i="1"/>
  <c r="O258" i="1"/>
  <c r="X257" i="1"/>
  <c r="S257" i="1"/>
  <c r="K262" i="13"/>
  <c r="AF260" i="7"/>
  <c r="E261" i="7"/>
  <c r="F270" i="5"/>
  <c r="G270" i="5"/>
  <c r="K270" i="5" s="1"/>
  <c r="E270" i="5"/>
  <c r="I269" i="5"/>
  <c r="J269" i="5" s="1"/>
  <c r="C271" i="5"/>
  <c r="D271" i="5" s="1"/>
  <c r="B273" i="5"/>
  <c r="H272" i="5"/>
  <c r="S261" i="28"/>
  <c r="E262" i="28"/>
  <c r="AG261" i="13"/>
  <c r="AH261" i="13" s="1"/>
  <c r="AF261" i="13"/>
  <c r="T261" i="13"/>
  <c r="U261" i="13" s="1"/>
  <c r="S261" i="13"/>
  <c r="E263" i="13"/>
  <c r="AE262" i="13"/>
  <c r="R262" i="13"/>
  <c r="Q262" i="1"/>
  <c r="E265" i="27"/>
  <c r="V257" i="1" l="1"/>
  <c r="W257" i="1" s="1"/>
  <c r="AD257" i="1" s="1"/>
  <c r="X258" i="1"/>
  <c r="O259" i="1"/>
  <c r="U258" i="1"/>
  <c r="S258" i="1"/>
  <c r="T258" i="1"/>
  <c r="K263" i="13"/>
  <c r="AF261" i="7"/>
  <c r="E262" i="7"/>
  <c r="I270" i="5"/>
  <c r="J270" i="5" s="1"/>
  <c r="H273" i="5"/>
  <c r="B274" i="5"/>
  <c r="C272" i="5"/>
  <c r="D272" i="5" s="1"/>
  <c r="E271" i="5"/>
  <c r="F271" i="5"/>
  <c r="G271" i="5"/>
  <c r="K271" i="5" s="1"/>
  <c r="S262" i="28"/>
  <c r="E263" i="28"/>
  <c r="Q263" i="1"/>
  <c r="AE263" i="13"/>
  <c r="R263" i="13"/>
  <c r="E264" i="13"/>
  <c r="E266" i="27"/>
  <c r="S262" i="13"/>
  <c r="T262" i="13"/>
  <c r="U262" i="13" s="1"/>
  <c r="AF262" i="13"/>
  <c r="AG262" i="13"/>
  <c r="AH262" i="13" s="1"/>
  <c r="V258" i="1" l="1"/>
  <c r="W258" i="1" s="1"/>
  <c r="AD258" i="1" s="1"/>
  <c r="O260" i="1"/>
  <c r="S259" i="1"/>
  <c r="U259" i="1"/>
  <c r="X259" i="1"/>
  <c r="T259" i="1"/>
  <c r="K264" i="13"/>
  <c r="AF262" i="7"/>
  <c r="E263" i="7"/>
  <c r="F272" i="5"/>
  <c r="E272" i="5"/>
  <c r="G272" i="5"/>
  <c r="K272" i="5" s="1"/>
  <c r="H274" i="5"/>
  <c r="B275" i="5"/>
  <c r="C273" i="5"/>
  <c r="D273" i="5" s="1"/>
  <c r="I271" i="5"/>
  <c r="J271" i="5" s="1"/>
  <c r="E264" i="28"/>
  <c r="S263" i="28"/>
  <c r="E267" i="27"/>
  <c r="AG263" i="13"/>
  <c r="AH263" i="13" s="1"/>
  <c r="AF263" i="13"/>
  <c r="E265" i="13"/>
  <c r="AE264" i="13"/>
  <c r="R264" i="13"/>
  <c r="S263" i="13"/>
  <c r="T263" i="13"/>
  <c r="U263" i="13" s="1"/>
  <c r="Q264" i="1"/>
  <c r="V259" i="1" l="1"/>
  <c r="W259" i="1" s="1"/>
  <c r="AD259" i="1" s="1"/>
  <c r="X260" i="1"/>
  <c r="U260" i="1"/>
  <c r="T260" i="1"/>
  <c r="O261" i="1"/>
  <c r="S260" i="1"/>
  <c r="K265" i="13"/>
  <c r="AF263" i="7"/>
  <c r="E264" i="7"/>
  <c r="F273" i="5"/>
  <c r="G273" i="5"/>
  <c r="K273" i="5" s="1"/>
  <c r="E273" i="5"/>
  <c r="I272" i="5"/>
  <c r="J272" i="5" s="1"/>
  <c r="B276" i="5"/>
  <c r="H275" i="5"/>
  <c r="C274" i="5"/>
  <c r="D274" i="5" s="1"/>
  <c r="E265" i="28"/>
  <c r="S264" i="28"/>
  <c r="E266" i="13"/>
  <c r="AE265" i="13"/>
  <c r="R265" i="13"/>
  <c r="E268" i="27"/>
  <c r="Q265" i="1"/>
  <c r="T264" i="13"/>
  <c r="U264" i="13" s="1"/>
  <c r="S264" i="13"/>
  <c r="AF264" i="13"/>
  <c r="AG264" i="13"/>
  <c r="AH264" i="13" s="1"/>
  <c r="V260" i="1" l="1"/>
  <c r="W260" i="1" s="1"/>
  <c r="AD260" i="1" s="1"/>
  <c r="S261" i="1"/>
  <c r="X261" i="1"/>
  <c r="U261" i="1"/>
  <c r="O262" i="1"/>
  <c r="T261" i="1"/>
  <c r="K266" i="13"/>
  <c r="AF264" i="7"/>
  <c r="E265" i="7"/>
  <c r="F274" i="5"/>
  <c r="G274" i="5"/>
  <c r="K274" i="5" s="1"/>
  <c r="E274" i="5"/>
  <c r="I273" i="5"/>
  <c r="J273" i="5" s="1"/>
  <c r="H276" i="5"/>
  <c r="B277" i="5"/>
  <c r="C275" i="5"/>
  <c r="D275" i="5" s="1"/>
  <c r="S265" i="28"/>
  <c r="E266" i="28"/>
  <c r="Q266" i="1"/>
  <c r="E269" i="27"/>
  <c r="R266" i="13"/>
  <c r="E267" i="13"/>
  <c r="AE266" i="13"/>
  <c r="T265" i="13"/>
  <c r="U265" i="13" s="1"/>
  <c r="S265" i="13"/>
  <c r="AF265" i="13"/>
  <c r="AG265" i="13"/>
  <c r="AH265" i="13" s="1"/>
  <c r="T262" i="1" l="1"/>
  <c r="U262" i="1"/>
  <c r="S262" i="1"/>
  <c r="X262" i="1"/>
  <c r="O263" i="1"/>
  <c r="V261" i="1"/>
  <c r="W261" i="1" s="1"/>
  <c r="AD261" i="1" s="1"/>
  <c r="AF265" i="7"/>
  <c r="E266" i="7"/>
  <c r="F275" i="5"/>
  <c r="E275" i="5"/>
  <c r="G275" i="5"/>
  <c r="K275" i="5" s="1"/>
  <c r="I274" i="5"/>
  <c r="J274" i="5" s="1"/>
  <c r="B278" i="5"/>
  <c r="C276" i="5"/>
  <c r="D276" i="5" s="1"/>
  <c r="H277" i="5"/>
  <c r="S266" i="28"/>
  <c r="E267" i="28"/>
  <c r="E270" i="27"/>
  <c r="AF266" i="13"/>
  <c r="AG266" i="13"/>
  <c r="AH266" i="13" s="1"/>
  <c r="S266" i="13"/>
  <c r="T266" i="13"/>
  <c r="U266" i="13" s="1"/>
  <c r="R267" i="13"/>
  <c r="AE267" i="13"/>
  <c r="E268" i="13"/>
  <c r="Q267" i="1"/>
  <c r="V262" i="1" l="1"/>
  <c r="W262" i="1" s="1"/>
  <c r="AD262" i="1" s="1"/>
  <c r="U263" i="1"/>
  <c r="T263" i="1"/>
  <c r="X263" i="1"/>
  <c r="O264" i="1"/>
  <c r="S263" i="1"/>
  <c r="K268" i="13"/>
  <c r="AF266" i="7"/>
  <c r="E267" i="7"/>
  <c r="E276" i="5"/>
  <c r="G276" i="5"/>
  <c r="K276" i="5" s="1"/>
  <c r="F276" i="5"/>
  <c r="I275" i="5"/>
  <c r="J275" i="5" s="1"/>
  <c r="C277" i="5"/>
  <c r="D277" i="5" s="1"/>
  <c r="H278" i="5"/>
  <c r="B279" i="5"/>
  <c r="S267" i="28"/>
  <c r="E268" i="28"/>
  <c r="AG267" i="13"/>
  <c r="AH267" i="13" s="1"/>
  <c r="AF267" i="13"/>
  <c r="Q268" i="1"/>
  <c r="R268" i="13"/>
  <c r="E269" i="13"/>
  <c r="AE268" i="13"/>
  <c r="T267" i="13"/>
  <c r="U267" i="13" s="1"/>
  <c r="S267" i="13"/>
  <c r="E271" i="27"/>
  <c r="V263" i="1" l="1"/>
  <c r="W263" i="1" s="1"/>
  <c r="AD263" i="1" s="1"/>
  <c r="T264" i="1"/>
  <c r="O265" i="1"/>
  <c r="S264" i="1"/>
  <c r="U264" i="1"/>
  <c r="X264" i="1"/>
  <c r="K269" i="13"/>
  <c r="AF267" i="7"/>
  <c r="E268" i="7"/>
  <c r="C278" i="5"/>
  <c r="D278" i="5" s="1"/>
  <c r="B280" i="5"/>
  <c r="H279" i="5"/>
  <c r="G277" i="5"/>
  <c r="K277" i="5" s="1"/>
  <c r="E277" i="5"/>
  <c r="F277" i="5"/>
  <c r="I276" i="5"/>
  <c r="J276" i="5" s="1"/>
  <c r="S268" i="28"/>
  <c r="E269" i="28"/>
  <c r="S268" i="13"/>
  <c r="T268" i="13"/>
  <c r="U268" i="13" s="1"/>
  <c r="AG268" i="13"/>
  <c r="AH268" i="13" s="1"/>
  <c r="AF268" i="13"/>
  <c r="E272" i="27"/>
  <c r="AE269" i="13"/>
  <c r="R269" i="13"/>
  <c r="E270" i="13"/>
  <c r="Q269" i="1"/>
  <c r="T265" i="1" l="1"/>
  <c r="U265" i="1"/>
  <c r="X265" i="1"/>
  <c r="S265" i="1"/>
  <c r="O266" i="1"/>
  <c r="V264" i="1"/>
  <c r="W264" i="1" s="1"/>
  <c r="AD264" i="1" s="1"/>
  <c r="K270" i="13"/>
  <c r="AF268" i="7"/>
  <c r="E269" i="7"/>
  <c r="C279" i="5"/>
  <c r="D279" i="5" s="1"/>
  <c r="B281" i="5"/>
  <c r="H280" i="5"/>
  <c r="I277" i="5"/>
  <c r="J277" i="5" s="1"/>
  <c r="E278" i="5"/>
  <c r="F278" i="5"/>
  <c r="G278" i="5"/>
  <c r="K278" i="5" s="1"/>
  <c r="E270" i="28"/>
  <c r="S269" i="28"/>
  <c r="Q270" i="1"/>
  <c r="E273" i="27"/>
  <c r="R270" i="13"/>
  <c r="AE270" i="13"/>
  <c r="E271" i="13"/>
  <c r="AF269" i="13"/>
  <c r="AG269" i="13"/>
  <c r="AH269" i="13" s="1"/>
  <c r="T269" i="13"/>
  <c r="U269" i="13" s="1"/>
  <c r="S269" i="13"/>
  <c r="V265" i="1" l="1"/>
  <c r="W265" i="1" s="1"/>
  <c r="AD265" i="1" s="1"/>
  <c r="X266" i="1"/>
  <c r="U266" i="1"/>
  <c r="S266" i="1"/>
  <c r="O267" i="1"/>
  <c r="T266" i="1"/>
  <c r="K271" i="13"/>
  <c r="AF269" i="7"/>
  <c r="E270" i="7"/>
  <c r="H281" i="5"/>
  <c r="C280" i="5"/>
  <c r="D280" i="5" s="1"/>
  <c r="B282" i="5"/>
  <c r="I278" i="5"/>
  <c r="J278" i="5" s="1"/>
  <c r="F279" i="5"/>
  <c r="E279" i="5"/>
  <c r="G279" i="5"/>
  <c r="K279" i="5" s="1"/>
  <c r="E271" i="28"/>
  <c r="S270" i="28"/>
  <c r="R271" i="13"/>
  <c r="AE271" i="13"/>
  <c r="E272" i="13"/>
  <c r="Q271" i="1"/>
  <c r="AG270" i="13"/>
  <c r="AH270" i="13" s="1"/>
  <c r="AF270" i="13"/>
  <c r="S270" i="13"/>
  <c r="T270" i="13"/>
  <c r="U270" i="13" s="1"/>
  <c r="E274" i="27"/>
  <c r="V266" i="1" l="1"/>
  <c r="W266" i="1" s="1"/>
  <c r="AD266" i="1" s="1"/>
  <c r="T267" i="1"/>
  <c r="X267" i="1"/>
  <c r="O268" i="1"/>
  <c r="S267" i="1"/>
  <c r="U267" i="1"/>
  <c r="K272" i="13"/>
  <c r="AF270" i="7"/>
  <c r="E271" i="7"/>
  <c r="H282" i="5"/>
  <c r="C281" i="5"/>
  <c r="D281" i="5" s="1"/>
  <c r="B283" i="5"/>
  <c r="I279" i="5"/>
  <c r="J279" i="5" s="1"/>
  <c r="E280" i="5"/>
  <c r="G280" i="5"/>
  <c r="K280" i="5" s="1"/>
  <c r="F280" i="5"/>
  <c r="S271" i="28"/>
  <c r="E272" i="28"/>
  <c r="Q272" i="1"/>
  <c r="E275" i="27"/>
  <c r="AG271" i="13"/>
  <c r="AH271" i="13" s="1"/>
  <c r="AF271" i="13"/>
  <c r="R272" i="13"/>
  <c r="AE272" i="13"/>
  <c r="E273" i="13"/>
  <c r="S271" i="13"/>
  <c r="T271" i="13"/>
  <c r="U271" i="13" s="1"/>
  <c r="T268" i="1" l="1"/>
  <c r="S268" i="1"/>
  <c r="X268" i="1"/>
  <c r="O269" i="1"/>
  <c r="U268" i="1"/>
  <c r="V267" i="1"/>
  <c r="W267" i="1" s="1"/>
  <c r="AD267" i="1" s="1"/>
  <c r="K273" i="13"/>
  <c r="AF271" i="7"/>
  <c r="E272" i="7"/>
  <c r="I280" i="5"/>
  <c r="J280" i="5" s="1"/>
  <c r="B284" i="5"/>
  <c r="C282" i="5"/>
  <c r="D282" i="5" s="1"/>
  <c r="H283" i="5"/>
  <c r="G281" i="5"/>
  <c r="K281" i="5" s="1"/>
  <c r="F281" i="5"/>
  <c r="E281" i="5"/>
  <c r="E273" i="28"/>
  <c r="S272" i="28"/>
  <c r="T272" i="13"/>
  <c r="U272" i="13" s="1"/>
  <c r="S272" i="13"/>
  <c r="E276" i="27"/>
  <c r="Q273" i="1"/>
  <c r="E274" i="13"/>
  <c r="AE273" i="13"/>
  <c r="R273" i="13"/>
  <c r="AF272" i="13"/>
  <c r="AG272" i="13"/>
  <c r="AH272" i="13" s="1"/>
  <c r="O270" i="1" l="1"/>
  <c r="U269" i="1"/>
  <c r="T269" i="1"/>
  <c r="X269" i="1"/>
  <c r="S269" i="1"/>
  <c r="V268" i="1"/>
  <c r="W268" i="1" s="1"/>
  <c r="AD268" i="1" s="1"/>
  <c r="K274" i="13"/>
  <c r="AF272" i="7"/>
  <c r="E273" i="7"/>
  <c r="I281" i="5"/>
  <c r="J281" i="5" s="1"/>
  <c r="F282" i="5"/>
  <c r="G282" i="5"/>
  <c r="K282" i="5" s="1"/>
  <c r="E282" i="5"/>
  <c r="H284" i="5"/>
  <c r="C283" i="5"/>
  <c r="D283" i="5" s="1"/>
  <c r="B285" i="5"/>
  <c r="S273" i="28"/>
  <c r="E274" i="28"/>
  <c r="AG273" i="13"/>
  <c r="AH273" i="13" s="1"/>
  <c r="AF273" i="13"/>
  <c r="E277" i="27"/>
  <c r="AE274" i="13"/>
  <c r="R274" i="13"/>
  <c r="E275" i="13"/>
  <c r="Q274" i="1"/>
  <c r="S273" i="13"/>
  <c r="T273" i="13"/>
  <c r="U273" i="13" s="1"/>
  <c r="V269" i="1" l="1"/>
  <c r="W269" i="1" s="1"/>
  <c r="AD269" i="1" s="1"/>
  <c r="U270" i="1"/>
  <c r="X270" i="1"/>
  <c r="O271" i="1"/>
  <c r="T270" i="1"/>
  <c r="S270" i="1"/>
  <c r="K275" i="13"/>
  <c r="AF273" i="7"/>
  <c r="E274" i="7"/>
  <c r="I282" i="5"/>
  <c r="J282" i="5" s="1"/>
  <c r="H285" i="5"/>
  <c r="C284" i="5"/>
  <c r="D284" i="5" s="1"/>
  <c r="B286" i="5"/>
  <c r="E283" i="5"/>
  <c r="G283" i="5"/>
  <c r="K283" i="5" s="1"/>
  <c r="F283" i="5"/>
  <c r="S274" i="28"/>
  <c r="E275" i="28"/>
  <c r="AE275" i="13"/>
  <c r="R275" i="13"/>
  <c r="E276" i="13"/>
  <c r="Q275" i="1"/>
  <c r="T274" i="13"/>
  <c r="U274" i="13" s="1"/>
  <c r="S274" i="13"/>
  <c r="AG274" i="13"/>
  <c r="AH274" i="13" s="1"/>
  <c r="AF274" i="13"/>
  <c r="E278" i="27"/>
  <c r="V270" i="1" l="1"/>
  <c r="W270" i="1" s="1"/>
  <c r="AD270" i="1" s="1"/>
  <c r="U271" i="1"/>
  <c r="O272" i="1"/>
  <c r="X271" i="1"/>
  <c r="T271" i="1"/>
  <c r="S271" i="1"/>
  <c r="K276" i="13"/>
  <c r="AF274" i="7"/>
  <c r="E275" i="7"/>
  <c r="I283" i="5"/>
  <c r="J283" i="5" s="1"/>
  <c r="B287" i="5"/>
  <c r="C285" i="5"/>
  <c r="D285" i="5" s="1"/>
  <c r="H286" i="5"/>
  <c r="F284" i="5"/>
  <c r="E284" i="5"/>
  <c r="G284" i="5"/>
  <c r="K284" i="5" s="1"/>
  <c r="S275" i="28"/>
  <c r="E276" i="28"/>
  <c r="T275" i="13"/>
  <c r="U275" i="13" s="1"/>
  <c r="S275" i="13"/>
  <c r="E279" i="27"/>
  <c r="Q276" i="1"/>
  <c r="R276" i="13"/>
  <c r="AE276" i="13"/>
  <c r="E277" i="13"/>
  <c r="AG275" i="13"/>
  <c r="AH275" i="13" s="1"/>
  <c r="AF275" i="13"/>
  <c r="V271" i="1" l="1"/>
  <c r="W271" i="1" s="1"/>
  <c r="AD271" i="1" s="1"/>
  <c r="S272" i="1"/>
  <c r="U272" i="1"/>
  <c r="T272" i="1"/>
  <c r="O273" i="1"/>
  <c r="X272" i="1"/>
  <c r="K277" i="13"/>
  <c r="AF275" i="7"/>
  <c r="E276" i="7"/>
  <c r="G285" i="5"/>
  <c r="K285" i="5" s="1"/>
  <c r="E285" i="5"/>
  <c r="F285" i="5"/>
  <c r="I284" i="5"/>
  <c r="J284" i="5" s="1"/>
  <c r="H287" i="5"/>
  <c r="C286" i="5"/>
  <c r="D286" i="5" s="1"/>
  <c r="B288" i="5"/>
  <c r="S276" i="28"/>
  <c r="E277" i="28"/>
  <c r="E278" i="13"/>
  <c r="R277" i="13"/>
  <c r="AE277" i="13"/>
  <c r="AG276" i="13"/>
  <c r="AH276" i="13" s="1"/>
  <c r="AF276" i="13"/>
  <c r="Q277" i="1"/>
  <c r="T276" i="13"/>
  <c r="U276" i="13" s="1"/>
  <c r="S276" i="13"/>
  <c r="E280" i="27"/>
  <c r="V272" i="1" l="1"/>
  <c r="W272" i="1" s="1"/>
  <c r="AD272" i="1" s="1"/>
  <c r="U273" i="1"/>
  <c r="S273" i="1"/>
  <c r="O274" i="1"/>
  <c r="T273" i="1"/>
  <c r="X273" i="1"/>
  <c r="K278" i="13"/>
  <c r="AF276" i="7"/>
  <c r="E277" i="7"/>
  <c r="C287" i="5"/>
  <c r="D287" i="5" s="1"/>
  <c r="B289" i="5"/>
  <c r="H288" i="5"/>
  <c r="G286" i="5"/>
  <c r="K286" i="5" s="1"/>
  <c r="E286" i="5"/>
  <c r="F286" i="5"/>
  <c r="I285" i="5"/>
  <c r="J285" i="5" s="1"/>
  <c r="S277" i="28"/>
  <c r="E278" i="28"/>
  <c r="E281" i="27"/>
  <c r="Q278" i="1"/>
  <c r="AF277" i="13"/>
  <c r="AG277" i="13"/>
  <c r="AH277" i="13" s="1"/>
  <c r="S277" i="13"/>
  <c r="T277" i="13"/>
  <c r="U277" i="13" s="1"/>
  <c r="AE278" i="13"/>
  <c r="R278" i="13"/>
  <c r="E279" i="13"/>
  <c r="V273" i="1" l="1"/>
  <c r="W273" i="1" s="1"/>
  <c r="AD273" i="1" s="1"/>
  <c r="U274" i="1"/>
  <c r="O275" i="1"/>
  <c r="X274" i="1"/>
  <c r="S274" i="1"/>
  <c r="T274" i="1"/>
  <c r="K279" i="13"/>
  <c r="AF277" i="7"/>
  <c r="E278" i="7"/>
  <c r="B290" i="5"/>
  <c r="H289" i="5"/>
  <c r="C288" i="5"/>
  <c r="D288" i="5" s="1"/>
  <c r="I286" i="5"/>
  <c r="J286" i="5" s="1"/>
  <c r="G287" i="5"/>
  <c r="K287" i="5" s="1"/>
  <c r="F287" i="5"/>
  <c r="E287" i="5"/>
  <c r="S278" i="28"/>
  <c r="E279" i="28"/>
  <c r="AE279" i="13"/>
  <c r="R279" i="13"/>
  <c r="E280" i="13"/>
  <c r="AF278" i="13"/>
  <c r="AG278" i="13"/>
  <c r="AH278" i="13" s="1"/>
  <c r="E282" i="27"/>
  <c r="S278" i="13"/>
  <c r="T278" i="13"/>
  <c r="U278" i="13" s="1"/>
  <c r="Q279" i="1"/>
  <c r="V274" i="1" l="1"/>
  <c r="W274" i="1" s="1"/>
  <c r="AD274" i="1" s="1"/>
  <c r="T275" i="1"/>
  <c r="S275" i="1"/>
  <c r="O276" i="1"/>
  <c r="U275" i="1"/>
  <c r="X275" i="1"/>
  <c r="K280" i="13"/>
  <c r="AF278" i="7"/>
  <c r="E279" i="7"/>
  <c r="I287" i="5"/>
  <c r="J287" i="5" s="1"/>
  <c r="G288" i="5"/>
  <c r="K288" i="5" s="1"/>
  <c r="E288" i="5"/>
  <c r="F288" i="5"/>
  <c r="B291" i="5"/>
  <c r="H290" i="5"/>
  <c r="C289" i="5"/>
  <c r="D289" i="5" s="1"/>
  <c r="E280" i="28"/>
  <c r="S279" i="28"/>
  <c r="E283" i="27"/>
  <c r="AE280" i="13"/>
  <c r="R280" i="13"/>
  <c r="E281" i="13"/>
  <c r="AF279" i="13"/>
  <c r="AG279" i="13"/>
  <c r="AH279" i="13" s="1"/>
  <c r="T279" i="13"/>
  <c r="U279" i="13" s="1"/>
  <c r="S279" i="13"/>
  <c r="Q280" i="1"/>
  <c r="S276" i="1" l="1"/>
  <c r="X276" i="1"/>
  <c r="U276" i="1"/>
  <c r="O277" i="1"/>
  <c r="T276" i="1"/>
  <c r="V275" i="1"/>
  <c r="W275" i="1" s="1"/>
  <c r="AD275" i="1" s="1"/>
  <c r="K281" i="13"/>
  <c r="AF279" i="7"/>
  <c r="E280" i="7"/>
  <c r="G289" i="5"/>
  <c r="K289" i="5" s="1"/>
  <c r="F289" i="5"/>
  <c r="E289" i="5"/>
  <c r="I288" i="5"/>
  <c r="J288" i="5" s="1"/>
  <c r="B292" i="5"/>
  <c r="H291" i="5"/>
  <c r="C290" i="5"/>
  <c r="D290" i="5" s="1"/>
  <c r="S280" i="28"/>
  <c r="E281" i="28"/>
  <c r="AF280" i="13"/>
  <c r="AG280" i="13"/>
  <c r="AH280" i="13" s="1"/>
  <c r="R281" i="13"/>
  <c r="E282" i="13"/>
  <c r="AE281" i="13"/>
  <c r="E284" i="27"/>
  <c r="Q281" i="1"/>
  <c r="T280" i="13"/>
  <c r="U280" i="13" s="1"/>
  <c r="S280" i="13"/>
  <c r="V276" i="1" l="1"/>
  <c r="W276" i="1" s="1"/>
  <c r="AD276" i="1" s="1"/>
  <c r="U277" i="1"/>
  <c r="O278" i="1"/>
  <c r="S277" i="1"/>
  <c r="X277" i="1"/>
  <c r="T277" i="1"/>
  <c r="K282" i="13"/>
  <c r="AF280" i="7"/>
  <c r="E281" i="7"/>
  <c r="E290" i="5"/>
  <c r="G290" i="5"/>
  <c r="K290" i="5" s="1"/>
  <c r="F290" i="5"/>
  <c r="I289" i="5"/>
  <c r="J289" i="5" s="1"/>
  <c r="B293" i="5"/>
  <c r="C291" i="5"/>
  <c r="D291" i="5" s="1"/>
  <c r="H292" i="5"/>
  <c r="E282" i="28"/>
  <c r="S281" i="28"/>
  <c r="E285" i="27"/>
  <c r="S281" i="13"/>
  <c r="T281" i="13"/>
  <c r="U281" i="13" s="1"/>
  <c r="Q282" i="1"/>
  <c r="AG281" i="13"/>
  <c r="AH281" i="13" s="1"/>
  <c r="AF281" i="13"/>
  <c r="R282" i="13"/>
  <c r="E283" i="13"/>
  <c r="AE282" i="13"/>
  <c r="V277" i="1" l="1"/>
  <c r="W277" i="1" s="1"/>
  <c r="AD277" i="1" s="1"/>
  <c r="X278" i="1"/>
  <c r="S278" i="1"/>
  <c r="T278" i="1"/>
  <c r="U278" i="1"/>
  <c r="O279" i="1"/>
  <c r="K283" i="13"/>
  <c r="AF281" i="7"/>
  <c r="E282" i="7"/>
  <c r="G291" i="5"/>
  <c r="K291" i="5" s="1"/>
  <c r="E291" i="5"/>
  <c r="F291" i="5"/>
  <c r="B294" i="5"/>
  <c r="C292" i="5"/>
  <c r="D292" i="5" s="1"/>
  <c r="H293" i="5"/>
  <c r="I290" i="5"/>
  <c r="J290" i="5" s="1"/>
  <c r="E283" i="28"/>
  <c r="S282" i="28"/>
  <c r="AE283" i="13"/>
  <c r="R283" i="13"/>
  <c r="E284" i="13"/>
  <c r="E286" i="27"/>
  <c r="AG282" i="13"/>
  <c r="AH282" i="13" s="1"/>
  <c r="AF282" i="13"/>
  <c r="T282" i="13"/>
  <c r="U282" i="13" s="1"/>
  <c r="S282" i="13"/>
  <c r="Q283" i="1"/>
  <c r="V278" i="1" l="1"/>
  <c r="W278" i="1" s="1"/>
  <c r="AD278" i="1" s="1"/>
  <c r="X279" i="1"/>
  <c r="O280" i="1"/>
  <c r="T279" i="1"/>
  <c r="S279" i="1"/>
  <c r="U279" i="1"/>
  <c r="K284" i="13"/>
  <c r="AF282" i="7"/>
  <c r="E283" i="7"/>
  <c r="B295" i="5"/>
  <c r="H294" i="5"/>
  <c r="C293" i="5"/>
  <c r="D293" i="5" s="1"/>
  <c r="I291" i="5"/>
  <c r="J291" i="5" s="1"/>
  <c r="E292" i="5"/>
  <c r="F292" i="5"/>
  <c r="G292" i="5"/>
  <c r="K292" i="5" s="1"/>
  <c r="E284" i="28"/>
  <c r="S283" i="28"/>
  <c r="Q284" i="1"/>
  <c r="T283" i="13"/>
  <c r="U283" i="13" s="1"/>
  <c r="S283" i="13"/>
  <c r="E287" i="27"/>
  <c r="AG283" i="13"/>
  <c r="AH283" i="13" s="1"/>
  <c r="AF283" i="13"/>
  <c r="AE284" i="13"/>
  <c r="R284" i="13"/>
  <c r="E285" i="13"/>
  <c r="V279" i="1" l="1"/>
  <c r="W279" i="1" s="1"/>
  <c r="AD279" i="1" s="1"/>
  <c r="U280" i="1"/>
  <c r="X280" i="1"/>
  <c r="O281" i="1"/>
  <c r="T280" i="1"/>
  <c r="S280" i="1"/>
  <c r="K285" i="13"/>
  <c r="AF283" i="7"/>
  <c r="E284" i="7"/>
  <c r="F293" i="5"/>
  <c r="G293" i="5"/>
  <c r="K293" i="5" s="1"/>
  <c r="E293" i="5"/>
  <c r="I292" i="5"/>
  <c r="J292" i="5" s="1"/>
  <c r="B296" i="5"/>
  <c r="H295" i="5"/>
  <c r="C294" i="5"/>
  <c r="D294" i="5" s="1"/>
  <c r="S284" i="28"/>
  <c r="E285" i="28"/>
  <c r="R285" i="13"/>
  <c r="E286" i="13"/>
  <c r="AE285" i="13"/>
  <c r="T284" i="13"/>
  <c r="U284" i="13" s="1"/>
  <c r="S284" i="13"/>
  <c r="E288" i="27"/>
  <c r="AF284" i="13"/>
  <c r="AG284" i="13"/>
  <c r="AH284" i="13" s="1"/>
  <c r="Q285" i="1"/>
  <c r="V280" i="1" l="1"/>
  <c r="W280" i="1" s="1"/>
  <c r="AD280" i="1" s="1"/>
  <c r="T281" i="1"/>
  <c r="U281" i="1"/>
  <c r="S281" i="1"/>
  <c r="O282" i="1"/>
  <c r="X281" i="1"/>
  <c r="K286" i="13"/>
  <c r="AF284" i="7"/>
  <c r="E285" i="7"/>
  <c r="F294" i="5"/>
  <c r="E294" i="5"/>
  <c r="G294" i="5"/>
  <c r="K294" i="5" s="1"/>
  <c r="I293" i="5"/>
  <c r="J293" i="5" s="1"/>
  <c r="B297" i="5"/>
  <c r="H296" i="5"/>
  <c r="C295" i="5"/>
  <c r="D295" i="5" s="1"/>
  <c r="E286" i="28"/>
  <c r="S285" i="28"/>
  <c r="AF285" i="13"/>
  <c r="AG285" i="13"/>
  <c r="AH285" i="13" s="1"/>
  <c r="AE286" i="13"/>
  <c r="R286" i="13"/>
  <c r="E287" i="13"/>
  <c r="Q286" i="1"/>
  <c r="T285" i="13"/>
  <c r="U285" i="13" s="1"/>
  <c r="S285" i="13"/>
  <c r="E289" i="27"/>
  <c r="X282" i="1" l="1"/>
  <c r="T282" i="1"/>
  <c r="S282" i="1"/>
  <c r="O283" i="1"/>
  <c r="U282" i="1"/>
  <c r="V281" i="1"/>
  <c r="W281" i="1" s="1"/>
  <c r="AD281" i="1" s="1"/>
  <c r="K287" i="13"/>
  <c r="AF285" i="7"/>
  <c r="E286" i="7"/>
  <c r="F295" i="5"/>
  <c r="G295" i="5"/>
  <c r="K295" i="5" s="1"/>
  <c r="E295" i="5"/>
  <c r="I294" i="5"/>
  <c r="J294" i="5" s="1"/>
  <c r="B298" i="5"/>
  <c r="H297" i="5"/>
  <c r="C296" i="5"/>
  <c r="D296" i="5" s="1"/>
  <c r="E287" i="28"/>
  <c r="S286" i="28"/>
  <c r="S286" i="13"/>
  <c r="T286" i="13"/>
  <c r="U286" i="13" s="1"/>
  <c r="E290" i="27"/>
  <c r="AG286" i="13"/>
  <c r="AH286" i="13" s="1"/>
  <c r="AF286" i="13"/>
  <c r="Q287" i="1"/>
  <c r="AE287" i="13"/>
  <c r="E288" i="13"/>
  <c r="R287" i="13"/>
  <c r="V282" i="1" l="1"/>
  <c r="W282" i="1" s="1"/>
  <c r="AD282" i="1" s="1"/>
  <c r="S283" i="1"/>
  <c r="X283" i="1"/>
  <c r="U283" i="1"/>
  <c r="O284" i="1"/>
  <c r="T283" i="1"/>
  <c r="K288" i="13"/>
  <c r="AF286" i="7"/>
  <c r="E287" i="7"/>
  <c r="I295" i="5"/>
  <c r="J295" i="5" s="1"/>
  <c r="G296" i="5"/>
  <c r="K296" i="5" s="1"/>
  <c r="F296" i="5"/>
  <c r="E296" i="5"/>
  <c r="H298" i="5"/>
  <c r="B299" i="5"/>
  <c r="C297" i="5"/>
  <c r="D297" i="5" s="1"/>
  <c r="S287" i="28"/>
  <c r="E288" i="28"/>
  <c r="T287" i="13"/>
  <c r="U287" i="13" s="1"/>
  <c r="S287" i="13"/>
  <c r="AG287" i="13"/>
  <c r="AH287" i="13" s="1"/>
  <c r="AF287" i="13"/>
  <c r="E291" i="27"/>
  <c r="R288" i="13"/>
  <c r="AE288" i="13"/>
  <c r="E289" i="13"/>
  <c r="Q288" i="1"/>
  <c r="V283" i="1" l="1"/>
  <c r="W283" i="1" s="1"/>
  <c r="AD283" i="1" s="1"/>
  <c r="X284" i="1"/>
  <c r="S284" i="1"/>
  <c r="O285" i="1"/>
  <c r="U284" i="1"/>
  <c r="T284" i="1"/>
  <c r="K289" i="13"/>
  <c r="AF287" i="7"/>
  <c r="E288" i="7"/>
  <c r="I296" i="5"/>
  <c r="J296" i="5" s="1"/>
  <c r="G297" i="5"/>
  <c r="K297" i="5" s="1"/>
  <c r="F297" i="5"/>
  <c r="E297" i="5"/>
  <c r="C298" i="5"/>
  <c r="D298" i="5" s="1"/>
  <c r="H299" i="5"/>
  <c r="B300" i="5"/>
  <c r="S288" i="28"/>
  <c r="E289" i="28"/>
  <c r="AE289" i="13"/>
  <c r="R289" i="13"/>
  <c r="E290" i="13"/>
  <c r="E292" i="27"/>
  <c r="AG288" i="13"/>
  <c r="AH288" i="13" s="1"/>
  <c r="AF288" i="13"/>
  <c r="Q289" i="1"/>
  <c r="T288" i="13"/>
  <c r="U288" i="13" s="1"/>
  <c r="S288" i="13"/>
  <c r="V284" i="1" l="1"/>
  <c r="W284" i="1" s="1"/>
  <c r="AD284" i="1" s="1"/>
  <c r="S285" i="1"/>
  <c r="O286" i="1"/>
  <c r="T285" i="1"/>
  <c r="U285" i="1"/>
  <c r="X285" i="1"/>
  <c r="K290" i="13"/>
  <c r="AF288" i="7"/>
  <c r="E289" i="7"/>
  <c r="I297" i="5"/>
  <c r="J297" i="5" s="1"/>
  <c r="H300" i="5"/>
  <c r="C299" i="5"/>
  <c r="D299" i="5" s="1"/>
  <c r="B301" i="5"/>
  <c r="E298" i="5"/>
  <c r="F298" i="5"/>
  <c r="G298" i="5"/>
  <c r="K298" i="5" s="1"/>
  <c r="E290" i="28"/>
  <c r="S289" i="28"/>
  <c r="Q290" i="1"/>
  <c r="T289" i="13"/>
  <c r="U289" i="13" s="1"/>
  <c r="S289" i="13"/>
  <c r="E293" i="27"/>
  <c r="AF289" i="13"/>
  <c r="AG289" i="13"/>
  <c r="AH289" i="13" s="1"/>
  <c r="AE290" i="13"/>
  <c r="R290" i="13"/>
  <c r="E291" i="13"/>
  <c r="V285" i="1" l="1"/>
  <c r="W285" i="1" s="1"/>
  <c r="AD285" i="1" s="1"/>
  <c r="X286" i="1"/>
  <c r="O287" i="1"/>
  <c r="T286" i="1"/>
  <c r="S286" i="1"/>
  <c r="U286" i="1"/>
  <c r="K291" i="13"/>
  <c r="AF289" i="7"/>
  <c r="E290" i="7"/>
  <c r="I298" i="5"/>
  <c r="J298" i="5" s="1"/>
  <c r="H301" i="5"/>
  <c r="B302" i="5"/>
  <c r="C300" i="5"/>
  <c r="D300" i="5" s="1"/>
  <c r="G299" i="5"/>
  <c r="K299" i="5" s="1"/>
  <c r="E299" i="5"/>
  <c r="F299" i="5"/>
  <c r="S290" i="28"/>
  <c r="E291" i="28"/>
  <c r="AE291" i="13"/>
  <c r="R291" i="13"/>
  <c r="E292" i="13"/>
  <c r="S290" i="13"/>
  <c r="T290" i="13"/>
  <c r="U290" i="13" s="1"/>
  <c r="AF290" i="13"/>
  <c r="AG290" i="13"/>
  <c r="AH290" i="13" s="1"/>
  <c r="E294" i="27"/>
  <c r="Q291" i="1"/>
  <c r="V286" i="1" l="1"/>
  <c r="W286" i="1" s="1"/>
  <c r="AD286" i="1" s="1"/>
  <c r="O288" i="1"/>
  <c r="X287" i="1"/>
  <c r="S287" i="1"/>
  <c r="T287" i="1"/>
  <c r="U287" i="1"/>
  <c r="AF290" i="7"/>
  <c r="E291" i="7"/>
  <c r="B303" i="5"/>
  <c r="H302" i="5"/>
  <c r="C301" i="5"/>
  <c r="D301" i="5" s="1"/>
  <c r="E300" i="5"/>
  <c r="F300" i="5"/>
  <c r="G300" i="5"/>
  <c r="K300" i="5" s="1"/>
  <c r="I299" i="5"/>
  <c r="J299" i="5" s="1"/>
  <c r="S291" i="28"/>
  <c r="E292" i="28"/>
  <c r="E295" i="27"/>
  <c r="AE292" i="13"/>
  <c r="R292" i="13"/>
  <c r="E293" i="13"/>
  <c r="Q292" i="1"/>
  <c r="S291" i="13"/>
  <c r="T291" i="13"/>
  <c r="U291" i="13" s="1"/>
  <c r="AG291" i="13"/>
  <c r="AH291" i="13" s="1"/>
  <c r="AF291" i="13"/>
  <c r="V287" i="1" l="1"/>
  <c r="W287" i="1" s="1"/>
  <c r="AD287" i="1" s="1"/>
  <c r="T288" i="1"/>
  <c r="O289" i="1"/>
  <c r="S288" i="1"/>
  <c r="U288" i="1"/>
  <c r="X288" i="1"/>
  <c r="K293" i="13"/>
  <c r="AF291" i="7"/>
  <c r="E292" i="7"/>
  <c r="I300" i="5"/>
  <c r="J300" i="5" s="1"/>
  <c r="F301" i="5"/>
  <c r="G301" i="5"/>
  <c r="K301" i="5" s="1"/>
  <c r="E301" i="5"/>
  <c r="C302" i="5"/>
  <c r="D302" i="5" s="1"/>
  <c r="H303" i="5"/>
  <c r="B304" i="5"/>
  <c r="S292" i="28"/>
  <c r="E293" i="28"/>
  <c r="AE293" i="13"/>
  <c r="R293" i="13"/>
  <c r="E294" i="13"/>
  <c r="S292" i="13"/>
  <c r="T292" i="13"/>
  <c r="U292" i="13" s="1"/>
  <c r="AG292" i="13"/>
  <c r="AH292" i="13" s="1"/>
  <c r="AF292" i="13"/>
  <c r="E296" i="27"/>
  <c r="Q293" i="1"/>
  <c r="X289" i="1" l="1"/>
  <c r="U289" i="1"/>
  <c r="T289" i="1"/>
  <c r="O290" i="1"/>
  <c r="S289" i="1"/>
  <c r="V288" i="1"/>
  <c r="W288" i="1" s="1"/>
  <c r="AD288" i="1" s="1"/>
  <c r="K294" i="13"/>
  <c r="AF292" i="7"/>
  <c r="E293" i="7"/>
  <c r="I301" i="5"/>
  <c r="J301" i="5" s="1"/>
  <c r="E302" i="5"/>
  <c r="G302" i="5"/>
  <c r="K302" i="5" s="1"/>
  <c r="F302" i="5"/>
  <c r="C303" i="5"/>
  <c r="D303" i="5" s="1"/>
  <c r="H304" i="5"/>
  <c r="B305" i="5"/>
  <c r="S293" i="28"/>
  <c r="E294" i="28"/>
  <c r="AF293" i="13"/>
  <c r="AG293" i="13"/>
  <c r="AH293" i="13" s="1"/>
  <c r="R294" i="13"/>
  <c r="AE294" i="13"/>
  <c r="E295" i="13"/>
  <c r="Q294" i="1"/>
  <c r="E297" i="27"/>
  <c r="T293" i="13"/>
  <c r="U293" i="13" s="1"/>
  <c r="S293" i="13"/>
  <c r="V289" i="1" l="1"/>
  <c r="W289" i="1" s="1"/>
  <c r="AD289" i="1" s="1"/>
  <c r="O291" i="1"/>
  <c r="X290" i="1"/>
  <c r="S290" i="1"/>
  <c r="U290" i="1"/>
  <c r="T290" i="1"/>
  <c r="K295" i="13"/>
  <c r="AF293" i="7"/>
  <c r="E294" i="7"/>
  <c r="E303" i="5"/>
  <c r="G303" i="5"/>
  <c r="K303" i="5" s="1"/>
  <c r="F303" i="5"/>
  <c r="C304" i="5"/>
  <c r="D304" i="5" s="1"/>
  <c r="B306" i="5"/>
  <c r="H305" i="5"/>
  <c r="I302" i="5"/>
  <c r="J302" i="5" s="1"/>
  <c r="S294" i="28"/>
  <c r="E295" i="28"/>
  <c r="AF294" i="13"/>
  <c r="AG294" i="13"/>
  <c r="AH294" i="13" s="1"/>
  <c r="T294" i="13"/>
  <c r="U294" i="13" s="1"/>
  <c r="S294" i="13"/>
  <c r="Q295" i="1"/>
  <c r="E298" i="27"/>
  <c r="E296" i="13"/>
  <c r="R295" i="13"/>
  <c r="AE295" i="13"/>
  <c r="V290" i="1" l="1"/>
  <c r="W290" i="1" s="1"/>
  <c r="AD290" i="1" s="1"/>
  <c r="U291" i="1"/>
  <c r="O292" i="1"/>
  <c r="S291" i="1"/>
  <c r="T291" i="1"/>
  <c r="X291" i="1"/>
  <c r="K296" i="13"/>
  <c r="AF294" i="7"/>
  <c r="E295" i="7"/>
  <c r="E304" i="5"/>
  <c r="F304" i="5"/>
  <c r="G304" i="5"/>
  <c r="K304" i="5" s="1"/>
  <c r="H306" i="5"/>
  <c r="C305" i="5"/>
  <c r="D305" i="5" s="1"/>
  <c r="B307" i="5"/>
  <c r="I303" i="5"/>
  <c r="J303" i="5" s="1"/>
  <c r="S295" i="28"/>
  <c r="E296" i="28"/>
  <c r="R296" i="13"/>
  <c r="AE296" i="13"/>
  <c r="E297" i="13"/>
  <c r="E299" i="27"/>
  <c r="AF295" i="13"/>
  <c r="AG295" i="13"/>
  <c r="AH295" i="13" s="1"/>
  <c r="S295" i="13"/>
  <c r="T295" i="13"/>
  <c r="U295" i="13" s="1"/>
  <c r="Q296" i="1"/>
  <c r="V291" i="1" l="1"/>
  <c r="W291" i="1" s="1"/>
  <c r="AD291" i="1" s="1"/>
  <c r="T292" i="1"/>
  <c r="O293" i="1"/>
  <c r="S292" i="1"/>
  <c r="X292" i="1"/>
  <c r="U292" i="1"/>
  <c r="K297" i="13"/>
  <c r="AF295" i="7"/>
  <c r="E296" i="7"/>
  <c r="H307" i="5"/>
  <c r="C306" i="5"/>
  <c r="D306" i="5" s="1"/>
  <c r="B308" i="5"/>
  <c r="E305" i="5"/>
  <c r="G305" i="5"/>
  <c r="K305" i="5" s="1"/>
  <c r="F305" i="5"/>
  <c r="I304" i="5"/>
  <c r="J304" i="5" s="1"/>
  <c r="E297" i="28"/>
  <c r="S296" i="28"/>
  <c r="E300" i="27"/>
  <c r="Q297" i="1"/>
  <c r="S296" i="13"/>
  <c r="T296" i="13"/>
  <c r="U296" i="13" s="1"/>
  <c r="AE297" i="13"/>
  <c r="R297" i="13"/>
  <c r="E298" i="13"/>
  <c r="AG296" i="13"/>
  <c r="AH296" i="13" s="1"/>
  <c r="AF296" i="13"/>
  <c r="T293" i="1" l="1"/>
  <c r="X293" i="1"/>
  <c r="S293" i="1"/>
  <c r="O294" i="1"/>
  <c r="U293" i="1"/>
  <c r="V292" i="1"/>
  <c r="W292" i="1" s="1"/>
  <c r="AD292" i="1" s="1"/>
  <c r="K298" i="13"/>
  <c r="AF296" i="7"/>
  <c r="E297" i="7"/>
  <c r="I305" i="5"/>
  <c r="J305" i="5" s="1"/>
  <c r="F306" i="5"/>
  <c r="G306" i="5"/>
  <c r="K306" i="5" s="1"/>
  <c r="E306" i="5"/>
  <c r="H308" i="5"/>
  <c r="C307" i="5"/>
  <c r="D307" i="5" s="1"/>
  <c r="B309" i="5"/>
  <c r="S297" i="28"/>
  <c r="E298" i="28"/>
  <c r="E301" i="27"/>
  <c r="S297" i="13"/>
  <c r="T297" i="13"/>
  <c r="U297" i="13" s="1"/>
  <c r="R298" i="13"/>
  <c r="E299" i="13"/>
  <c r="AE298" i="13"/>
  <c r="AG297" i="13"/>
  <c r="AH297" i="13" s="1"/>
  <c r="AF297" i="13"/>
  <c r="Q298" i="1"/>
  <c r="U294" i="1" l="1"/>
  <c r="T294" i="1"/>
  <c r="S294" i="1"/>
  <c r="O295" i="1"/>
  <c r="X294" i="1"/>
  <c r="V293" i="1"/>
  <c r="W293" i="1" s="1"/>
  <c r="AD293" i="1" s="1"/>
  <c r="K299" i="13"/>
  <c r="AF297" i="7"/>
  <c r="E298" i="7"/>
  <c r="I306" i="5"/>
  <c r="J306" i="5" s="1"/>
  <c r="H309" i="5"/>
  <c r="B310" i="5"/>
  <c r="C308" i="5"/>
  <c r="D308" i="5" s="1"/>
  <c r="E307" i="5"/>
  <c r="G307" i="5"/>
  <c r="K307" i="5" s="1"/>
  <c r="F307" i="5"/>
  <c r="S298" i="28"/>
  <c r="E299" i="28"/>
  <c r="E302" i="27"/>
  <c r="AE299" i="13"/>
  <c r="R299" i="13"/>
  <c r="E300" i="13"/>
  <c r="AF298" i="13"/>
  <c r="AG298" i="13"/>
  <c r="AH298" i="13" s="1"/>
  <c r="Q299" i="1"/>
  <c r="T298" i="13"/>
  <c r="U298" i="13" s="1"/>
  <c r="S298" i="13"/>
  <c r="V294" i="1" l="1"/>
  <c r="W294" i="1" s="1"/>
  <c r="AD294" i="1" s="1"/>
  <c r="O296" i="1"/>
  <c r="T295" i="1"/>
  <c r="X295" i="1"/>
  <c r="S295" i="1"/>
  <c r="U295" i="1"/>
  <c r="K300" i="13"/>
  <c r="AF298" i="7"/>
  <c r="E299" i="7"/>
  <c r="C309" i="5"/>
  <c r="D309" i="5" s="1"/>
  <c r="B311" i="5"/>
  <c r="H310" i="5"/>
  <c r="I307" i="5"/>
  <c r="J307" i="5" s="1"/>
  <c r="E308" i="5"/>
  <c r="G308" i="5"/>
  <c r="K308" i="5" s="1"/>
  <c r="F308" i="5"/>
  <c r="S299" i="28"/>
  <c r="E300" i="28"/>
  <c r="AG299" i="13"/>
  <c r="AH299" i="13" s="1"/>
  <c r="AF299" i="13"/>
  <c r="E303" i="27"/>
  <c r="Q300" i="1"/>
  <c r="E301" i="13"/>
  <c r="AE300" i="13"/>
  <c r="R300" i="13"/>
  <c r="T299" i="13"/>
  <c r="U299" i="13" s="1"/>
  <c r="S299" i="13"/>
  <c r="V295" i="1" l="1"/>
  <c r="W295" i="1" s="1"/>
  <c r="AD295" i="1" s="1"/>
  <c r="U296" i="1"/>
  <c r="O297" i="1"/>
  <c r="X296" i="1"/>
  <c r="S296" i="1"/>
  <c r="T296" i="1"/>
  <c r="K301" i="13"/>
  <c r="AF299" i="7"/>
  <c r="E300" i="7"/>
  <c r="H311" i="5"/>
  <c r="C310" i="5"/>
  <c r="D310" i="5" s="1"/>
  <c r="B312" i="5"/>
  <c r="I308" i="5"/>
  <c r="J308" i="5" s="1"/>
  <c r="G309" i="5"/>
  <c r="K309" i="5" s="1"/>
  <c r="F309" i="5"/>
  <c r="E309" i="5"/>
  <c r="S300" i="28"/>
  <c r="E301" i="28"/>
  <c r="T300" i="13"/>
  <c r="U300" i="13" s="1"/>
  <c r="S300" i="13"/>
  <c r="AG300" i="13"/>
  <c r="AH300" i="13" s="1"/>
  <c r="AF300" i="13"/>
  <c r="E302" i="13"/>
  <c r="R301" i="13"/>
  <c r="AE301" i="13"/>
  <c r="Q301" i="1"/>
  <c r="E304" i="27"/>
  <c r="V296" i="1" l="1"/>
  <c r="W296" i="1" s="1"/>
  <c r="AD296" i="1" s="1"/>
  <c r="T297" i="1"/>
  <c r="U297" i="1"/>
  <c r="O298" i="1"/>
  <c r="S297" i="1"/>
  <c r="X297" i="1"/>
  <c r="K302" i="13"/>
  <c r="AF300" i="7"/>
  <c r="E301" i="7"/>
  <c r="I309" i="5"/>
  <c r="J309" i="5" s="1"/>
  <c r="E310" i="5"/>
  <c r="F310" i="5"/>
  <c r="G310" i="5"/>
  <c r="K310" i="5" s="1"/>
  <c r="C311" i="5"/>
  <c r="D311" i="5" s="1"/>
  <c r="B313" i="5"/>
  <c r="H312" i="5"/>
  <c r="S301" i="28"/>
  <c r="E302" i="28"/>
  <c r="Q302" i="1"/>
  <c r="E305" i="27"/>
  <c r="AG301" i="13"/>
  <c r="AH301" i="13" s="1"/>
  <c r="AF301" i="13"/>
  <c r="T301" i="13"/>
  <c r="U301" i="13" s="1"/>
  <c r="S301" i="13"/>
  <c r="R302" i="13"/>
  <c r="AE302" i="13"/>
  <c r="E303" i="13"/>
  <c r="T298" i="1" l="1"/>
  <c r="O299" i="1"/>
  <c r="S298" i="1"/>
  <c r="U298" i="1"/>
  <c r="X298" i="1"/>
  <c r="V297" i="1"/>
  <c r="W297" i="1" s="1"/>
  <c r="AD297" i="1" s="1"/>
  <c r="K303" i="13"/>
  <c r="AF301" i="7"/>
  <c r="E302" i="7"/>
  <c r="G311" i="5"/>
  <c r="K311" i="5" s="1"/>
  <c r="F311" i="5"/>
  <c r="E311" i="5"/>
  <c r="H313" i="5"/>
  <c r="C312" i="5"/>
  <c r="D312" i="5" s="1"/>
  <c r="B314" i="5"/>
  <c r="I310" i="5"/>
  <c r="J310" i="5" s="1"/>
  <c r="S302" i="28"/>
  <c r="E303" i="28"/>
  <c r="AG302" i="13"/>
  <c r="AH302" i="13" s="1"/>
  <c r="AF302" i="13"/>
  <c r="E306" i="27"/>
  <c r="Q303" i="1"/>
  <c r="T302" i="13"/>
  <c r="U302" i="13" s="1"/>
  <c r="S302" i="13"/>
  <c r="R303" i="13"/>
  <c r="AE303" i="13"/>
  <c r="E304" i="13"/>
  <c r="L304" i="13" s="1"/>
  <c r="U299" i="1" l="1"/>
  <c r="T299" i="1"/>
  <c r="O300" i="1"/>
  <c r="X299" i="1"/>
  <c r="S299" i="1"/>
  <c r="V298" i="1"/>
  <c r="W298" i="1" s="1"/>
  <c r="AD298" i="1" s="1"/>
  <c r="K304" i="13"/>
  <c r="AF302" i="7"/>
  <c r="E303" i="7"/>
  <c r="I311" i="5"/>
  <c r="J311" i="5" s="1"/>
  <c r="C313" i="5"/>
  <c r="D313" i="5" s="1"/>
  <c r="H314" i="5"/>
  <c r="B315" i="5"/>
  <c r="F312" i="5"/>
  <c r="G312" i="5"/>
  <c r="K312" i="5" s="1"/>
  <c r="E312" i="5"/>
  <c r="E304" i="28"/>
  <c r="S303" i="28"/>
  <c r="S303" i="13"/>
  <c r="T303" i="13"/>
  <c r="U303" i="13" s="1"/>
  <c r="AE304" i="13"/>
  <c r="E305" i="13"/>
  <c r="L305" i="13" s="1"/>
  <c r="R304" i="13"/>
  <c r="AG303" i="13"/>
  <c r="AH303" i="13" s="1"/>
  <c r="AF303" i="13"/>
  <c r="E307" i="27"/>
  <c r="Q304" i="1"/>
  <c r="V299" i="1" l="1"/>
  <c r="W299" i="1" s="1"/>
  <c r="AD299" i="1" s="1"/>
  <c r="T300" i="1"/>
  <c r="O301" i="1"/>
  <c r="X300" i="1"/>
  <c r="S300" i="1"/>
  <c r="U300" i="1"/>
  <c r="K305" i="13"/>
  <c r="AF303" i="7"/>
  <c r="E304" i="7"/>
  <c r="H315" i="5"/>
  <c r="C314" i="5"/>
  <c r="D314" i="5" s="1"/>
  <c r="B316" i="5"/>
  <c r="I312" i="5"/>
  <c r="J312" i="5" s="1"/>
  <c r="G313" i="5"/>
  <c r="K313" i="5" s="1"/>
  <c r="E313" i="5"/>
  <c r="F313" i="5"/>
  <c r="E305" i="28"/>
  <c r="S304" i="28"/>
  <c r="E308" i="27"/>
  <c r="AF304" i="13"/>
  <c r="AG304" i="13"/>
  <c r="AH304" i="13" s="1"/>
  <c r="T304" i="13"/>
  <c r="U304" i="13" s="1"/>
  <c r="S304" i="13"/>
  <c r="Q305" i="1"/>
  <c r="E306" i="13"/>
  <c r="L306" i="13" s="1"/>
  <c r="AE305" i="13"/>
  <c r="R305" i="13"/>
  <c r="X301" i="1" l="1"/>
  <c r="O302" i="1"/>
  <c r="T301" i="1"/>
  <c r="S301" i="1"/>
  <c r="U301" i="1"/>
  <c r="V300" i="1"/>
  <c r="W300" i="1" s="1"/>
  <c r="AD300" i="1" s="1"/>
  <c r="K306" i="13"/>
  <c r="AF304" i="7"/>
  <c r="E305" i="7"/>
  <c r="H316" i="5"/>
  <c r="B317" i="5"/>
  <c r="C315" i="5"/>
  <c r="D315" i="5" s="1"/>
  <c r="I313" i="5"/>
  <c r="J313" i="5" s="1"/>
  <c r="E314" i="5"/>
  <c r="F314" i="5"/>
  <c r="G314" i="5"/>
  <c r="K314" i="5" s="1"/>
  <c r="S305" i="28"/>
  <c r="E306" i="28"/>
  <c r="AF305" i="13"/>
  <c r="AG305" i="13"/>
  <c r="AH305" i="13" s="1"/>
  <c r="R306" i="13"/>
  <c r="E307" i="13"/>
  <c r="L307" i="13" s="1"/>
  <c r="AE306" i="13"/>
  <c r="E309" i="27"/>
  <c r="S305" i="13"/>
  <c r="T305" i="13"/>
  <c r="U305" i="13" s="1"/>
  <c r="V301" i="1" l="1"/>
  <c r="W301" i="1" s="1"/>
  <c r="AD301" i="1" s="1"/>
  <c r="S302" i="1"/>
  <c r="U302" i="1"/>
  <c r="X302" i="1"/>
  <c r="T302" i="1"/>
  <c r="O303" i="1"/>
  <c r="K307" i="13"/>
  <c r="AF305" i="7"/>
  <c r="E306" i="7"/>
  <c r="G315" i="5"/>
  <c r="K315" i="5" s="1"/>
  <c r="E315" i="5"/>
  <c r="F315" i="5"/>
  <c r="B318" i="5"/>
  <c r="C316" i="5"/>
  <c r="D316" i="5" s="1"/>
  <c r="H317" i="5"/>
  <c r="I314" i="5"/>
  <c r="J314" i="5" s="1"/>
  <c r="S306" i="28"/>
  <c r="E307" i="28"/>
  <c r="R307" i="13"/>
  <c r="AE307" i="13"/>
  <c r="E308" i="13"/>
  <c r="L308" i="13" s="1"/>
  <c r="T306" i="13"/>
  <c r="U306" i="13" s="1"/>
  <c r="S306" i="13"/>
  <c r="AG306" i="13"/>
  <c r="AH306" i="13" s="1"/>
  <c r="AF306" i="13"/>
  <c r="E310" i="27"/>
  <c r="V302" i="1" l="1"/>
  <c r="W302" i="1" s="1"/>
  <c r="AD302" i="1" s="1"/>
  <c r="S303" i="1"/>
  <c r="X303" i="1"/>
  <c r="U303" i="1"/>
  <c r="T303" i="1"/>
  <c r="O304" i="1"/>
  <c r="K308" i="13"/>
  <c r="AF306" i="7"/>
  <c r="E307" i="7"/>
  <c r="I315" i="5"/>
  <c r="J315" i="5" s="1"/>
  <c r="B319" i="5"/>
  <c r="C317" i="5"/>
  <c r="D317" i="5" s="1"/>
  <c r="H318" i="5"/>
  <c r="E316" i="5"/>
  <c r="G316" i="5"/>
  <c r="K316" i="5" s="1"/>
  <c r="F316" i="5"/>
  <c r="S307" i="28"/>
  <c r="E308" i="28"/>
  <c r="AG307" i="13"/>
  <c r="AH307" i="13" s="1"/>
  <c r="AF307" i="13"/>
  <c r="E311" i="27"/>
  <c r="T307" i="13"/>
  <c r="U307" i="13" s="1"/>
  <c r="S307" i="13"/>
  <c r="R308" i="13"/>
  <c r="E309" i="13"/>
  <c r="L309" i="13" s="1"/>
  <c r="AE308" i="13"/>
  <c r="V303" i="1" l="1"/>
  <c r="W303" i="1" s="1"/>
  <c r="S304" i="1"/>
  <c r="T304" i="1"/>
  <c r="U304" i="1"/>
  <c r="O305" i="1"/>
  <c r="X304" i="1"/>
  <c r="K309" i="13"/>
  <c r="AF307" i="7"/>
  <c r="E308" i="7"/>
  <c r="E317" i="5"/>
  <c r="F317" i="5"/>
  <c r="G317" i="5"/>
  <c r="K317" i="5" s="1"/>
  <c r="H319" i="5"/>
  <c r="B320" i="5"/>
  <c r="C318" i="5"/>
  <c r="D318" i="5" s="1"/>
  <c r="I316" i="5"/>
  <c r="J316" i="5" s="1"/>
  <c r="S308" i="28"/>
  <c r="E309" i="28"/>
  <c r="T308" i="13"/>
  <c r="U308" i="13" s="1"/>
  <c r="S308" i="13"/>
  <c r="AF308" i="13"/>
  <c r="AG308" i="13"/>
  <c r="AH308" i="13" s="1"/>
  <c r="R309" i="13"/>
  <c r="E310" i="13"/>
  <c r="L310" i="13" s="1"/>
  <c r="AE309" i="13"/>
  <c r="E312" i="27"/>
  <c r="V304" i="1" l="1"/>
  <c r="W304" i="1" s="1"/>
  <c r="AD304" i="1" s="1"/>
  <c r="T305" i="1"/>
  <c r="S305" i="1"/>
  <c r="S2" i="1" s="1"/>
  <c r="U305" i="1"/>
  <c r="U2" i="1" s="1"/>
  <c r="X305" i="1"/>
  <c r="AD303" i="1"/>
  <c r="K310" i="13"/>
  <c r="AF308" i="7"/>
  <c r="E309" i="7"/>
  <c r="G318" i="5"/>
  <c r="K318" i="5" s="1"/>
  <c r="F318" i="5"/>
  <c r="E318" i="5"/>
  <c r="H320" i="5"/>
  <c r="C319" i="5"/>
  <c r="D319" i="5" s="1"/>
  <c r="B321" i="5"/>
  <c r="I317" i="5"/>
  <c r="J317" i="5" s="1"/>
  <c r="S309" i="28"/>
  <c r="E310" i="28"/>
  <c r="AE310" i="13"/>
  <c r="R310" i="13"/>
  <c r="E311" i="13"/>
  <c r="L311" i="13" s="1"/>
  <c r="T309" i="13"/>
  <c r="U309" i="13" s="1"/>
  <c r="S309" i="13"/>
  <c r="E313" i="27"/>
  <c r="AF309" i="13"/>
  <c r="AG309" i="13"/>
  <c r="AH309" i="13" s="1"/>
  <c r="B20" i="1" l="1"/>
  <c r="B21" i="1" s="1"/>
  <c r="W2" i="1"/>
  <c r="V305" i="1"/>
  <c r="V2" i="1" s="1"/>
  <c r="T2" i="1"/>
  <c r="K311" i="13"/>
  <c r="AF309" i="7"/>
  <c r="E310" i="7"/>
  <c r="I318" i="5"/>
  <c r="J318" i="5" s="1"/>
  <c r="C320" i="5"/>
  <c r="D320" i="5" s="1"/>
  <c r="H321" i="5"/>
  <c r="B322" i="5"/>
  <c r="E319" i="5"/>
  <c r="F319" i="5"/>
  <c r="G319" i="5"/>
  <c r="K319" i="5" s="1"/>
  <c r="E311" i="28"/>
  <c r="S310" i="28"/>
  <c r="E314" i="27"/>
  <c r="E312" i="13"/>
  <c r="L312" i="13" s="1"/>
  <c r="R311" i="13"/>
  <c r="AE311" i="13"/>
  <c r="S310" i="13"/>
  <c r="T310" i="13"/>
  <c r="U310" i="13" s="1"/>
  <c r="AF310" i="13"/>
  <c r="AG310" i="13"/>
  <c r="AH310" i="13" s="1"/>
  <c r="B46" i="1" l="1"/>
  <c r="B51" i="1" s="1"/>
  <c r="C28" i="1"/>
  <c r="C30" i="1" s="1"/>
  <c r="B28" i="1"/>
  <c r="B30" i="1" s="1"/>
  <c r="I8" i="1" s="1"/>
  <c r="I5" i="1"/>
  <c r="I11" i="1" s="1"/>
  <c r="C21" i="1"/>
  <c r="K312" i="13"/>
  <c r="AF310" i="7"/>
  <c r="E311" i="7"/>
  <c r="B323" i="5"/>
  <c r="H322" i="5"/>
  <c r="C321" i="5"/>
  <c r="D321" i="5" s="1"/>
  <c r="E320" i="5"/>
  <c r="G320" i="5"/>
  <c r="K320" i="5" s="1"/>
  <c r="F320" i="5"/>
  <c r="I319" i="5"/>
  <c r="J319" i="5" s="1"/>
  <c r="E312" i="28"/>
  <c r="S311" i="28"/>
  <c r="AG311" i="13"/>
  <c r="AH311" i="13" s="1"/>
  <c r="AF311" i="13"/>
  <c r="S311" i="13"/>
  <c r="T311" i="13"/>
  <c r="U311" i="13" s="1"/>
  <c r="E315" i="27"/>
  <c r="R312" i="13"/>
  <c r="AE312" i="13"/>
  <c r="E313" i="13"/>
  <c r="L313" i="13" s="1"/>
  <c r="B63" i="1" l="1"/>
  <c r="B62" i="1"/>
  <c r="B64" i="1" s="1"/>
  <c r="B76" i="1"/>
  <c r="B77" i="1" s="1"/>
  <c r="B78" i="1" s="1"/>
  <c r="H420" i="45" s="1"/>
  <c r="B47" i="1"/>
  <c r="B56" i="1" s="1"/>
  <c r="B55" i="1"/>
  <c r="C35" i="1"/>
  <c r="K313" i="13"/>
  <c r="AF311" i="7"/>
  <c r="E312" i="7"/>
  <c r="I320" i="5"/>
  <c r="J320" i="5" s="1"/>
  <c r="G321" i="5"/>
  <c r="K321" i="5" s="1"/>
  <c r="F321" i="5"/>
  <c r="E321" i="5"/>
  <c r="C322" i="5"/>
  <c r="D322" i="5" s="1"/>
  <c r="H323" i="5"/>
  <c r="B324" i="5"/>
  <c r="S312" i="28"/>
  <c r="E313" i="28"/>
  <c r="E316" i="27"/>
  <c r="S312" i="13"/>
  <c r="T312" i="13"/>
  <c r="U312" i="13" s="1"/>
  <c r="AG312" i="13"/>
  <c r="AH312" i="13" s="1"/>
  <c r="AF312" i="13"/>
  <c r="AE313" i="13"/>
  <c r="R313" i="13"/>
  <c r="E314" i="13"/>
  <c r="L314" i="13" s="1"/>
  <c r="D64" i="1" l="1"/>
  <c r="E64" i="1" s="1"/>
  <c r="D66" i="1"/>
  <c r="B66" i="1"/>
  <c r="E66" i="1" s="1"/>
  <c r="B58" i="1"/>
  <c r="B53" i="1"/>
  <c r="G23" i="22" s="1"/>
  <c r="H419" i="45"/>
  <c r="H95" i="22"/>
  <c r="K314" i="13"/>
  <c r="AF312" i="7"/>
  <c r="E313" i="7"/>
  <c r="E322" i="5"/>
  <c r="F322" i="5"/>
  <c r="G322" i="5"/>
  <c r="K322" i="5" s="1"/>
  <c r="I321" i="5"/>
  <c r="J321" i="5" s="1"/>
  <c r="H324" i="5"/>
  <c r="B325" i="5"/>
  <c r="C323" i="5"/>
  <c r="D323" i="5" s="1"/>
  <c r="E314" i="28"/>
  <c r="S313" i="28"/>
  <c r="AE314" i="13"/>
  <c r="R314" i="13"/>
  <c r="E315" i="13"/>
  <c r="L315" i="13" s="1"/>
  <c r="AF313" i="13"/>
  <c r="AG313" i="13"/>
  <c r="AH313" i="13" s="1"/>
  <c r="E317" i="27"/>
  <c r="S313" i="13"/>
  <c r="T313" i="13"/>
  <c r="U313" i="13" s="1"/>
  <c r="B65" i="1" l="1"/>
  <c r="D69" i="1"/>
  <c r="K315" i="13"/>
  <c r="AF313" i="7"/>
  <c r="E314" i="7"/>
  <c r="F323" i="5"/>
  <c r="E323" i="5"/>
  <c r="G323" i="5"/>
  <c r="K323" i="5" s="1"/>
  <c r="B326" i="5"/>
  <c r="C324" i="5"/>
  <c r="D324" i="5" s="1"/>
  <c r="H325" i="5"/>
  <c r="I322" i="5"/>
  <c r="J322" i="5" s="1"/>
  <c r="E315" i="28"/>
  <c r="S314" i="28"/>
  <c r="E318" i="27"/>
  <c r="AE315" i="13"/>
  <c r="E316" i="13"/>
  <c r="L316" i="13" s="1"/>
  <c r="R315" i="13"/>
  <c r="T314" i="13"/>
  <c r="U314" i="13" s="1"/>
  <c r="S314" i="13"/>
  <c r="AG314" i="13"/>
  <c r="AH314" i="13" s="1"/>
  <c r="AF314" i="13"/>
  <c r="B67" i="1" l="1"/>
  <c r="B69" i="1" s="1"/>
  <c r="K316" i="13"/>
  <c r="AF314" i="7"/>
  <c r="E315" i="7"/>
  <c r="B327" i="5"/>
  <c r="H326" i="5"/>
  <c r="C325" i="5"/>
  <c r="D325" i="5" s="1"/>
  <c r="I323" i="5"/>
  <c r="J323" i="5" s="1"/>
  <c r="E324" i="5"/>
  <c r="G324" i="5"/>
  <c r="K324" i="5" s="1"/>
  <c r="F324" i="5"/>
  <c r="E316" i="28"/>
  <c r="S315" i="28"/>
  <c r="E319" i="27"/>
  <c r="T315" i="13"/>
  <c r="U315" i="13" s="1"/>
  <c r="S315" i="13"/>
  <c r="AE316" i="13"/>
  <c r="R316" i="13"/>
  <c r="E317" i="13"/>
  <c r="L317" i="13" s="1"/>
  <c r="AG315" i="13"/>
  <c r="AH315" i="13" s="1"/>
  <c r="AF315" i="13"/>
  <c r="B68" i="1" l="1"/>
  <c r="B71" i="1"/>
  <c r="B57" i="1" s="1"/>
  <c r="K317" i="13"/>
  <c r="AF315" i="7"/>
  <c r="E316" i="7"/>
  <c r="G325" i="5"/>
  <c r="K325" i="5" s="1"/>
  <c r="E325" i="5"/>
  <c r="F325" i="5"/>
  <c r="I324" i="5"/>
  <c r="J324" i="5" s="1"/>
  <c r="B328" i="5"/>
  <c r="H327" i="5"/>
  <c r="C326" i="5"/>
  <c r="D326" i="5" s="1"/>
  <c r="S316" i="28"/>
  <c r="E317" i="28"/>
  <c r="AE317" i="13"/>
  <c r="R317" i="13"/>
  <c r="E318" i="13"/>
  <c r="L318" i="13" s="1"/>
  <c r="AG316" i="13"/>
  <c r="AH316" i="13" s="1"/>
  <c r="AF316" i="13"/>
  <c r="S316" i="13"/>
  <c r="T316" i="13"/>
  <c r="U316" i="13" s="1"/>
  <c r="E320" i="27"/>
  <c r="I9" i="1" l="1"/>
  <c r="K318" i="13"/>
  <c r="AF316" i="7"/>
  <c r="E317" i="7"/>
  <c r="E326" i="5"/>
  <c r="F326" i="5"/>
  <c r="G326" i="5"/>
  <c r="K326" i="5" s="1"/>
  <c r="I325" i="5"/>
  <c r="J325" i="5" s="1"/>
  <c r="B329" i="5"/>
  <c r="H328" i="5"/>
  <c r="C327" i="5"/>
  <c r="D327" i="5" s="1"/>
  <c r="E318" i="28"/>
  <c r="S317" i="28"/>
  <c r="AE318" i="13"/>
  <c r="R318" i="13"/>
  <c r="E319" i="13"/>
  <c r="L319" i="13" s="1"/>
  <c r="AF317" i="13"/>
  <c r="AG317" i="13"/>
  <c r="AH317" i="13" s="1"/>
  <c r="E321" i="27"/>
  <c r="T317" i="13"/>
  <c r="U317" i="13" s="1"/>
  <c r="S317" i="13"/>
  <c r="G9" i="1" l="1"/>
  <c r="I10" i="1"/>
  <c r="G10" i="1" s="1"/>
  <c r="K319" i="13"/>
  <c r="AF317" i="7"/>
  <c r="E318" i="7"/>
  <c r="E327" i="5"/>
  <c r="G327" i="5"/>
  <c r="K327" i="5" s="1"/>
  <c r="F327" i="5"/>
  <c r="B330" i="5"/>
  <c r="H329" i="5"/>
  <c r="C328" i="5"/>
  <c r="D328" i="5" s="1"/>
  <c r="I326" i="5"/>
  <c r="J326" i="5" s="1"/>
  <c r="S318" i="28"/>
  <c r="E319" i="28"/>
  <c r="E322" i="27"/>
  <c r="R319" i="13"/>
  <c r="AE319" i="13"/>
  <c r="E320" i="13"/>
  <c r="L320" i="13" s="1"/>
  <c r="T318" i="13"/>
  <c r="U318" i="13" s="1"/>
  <c r="S318" i="13"/>
  <c r="AF318" i="13"/>
  <c r="AG318" i="13"/>
  <c r="AH318" i="13" s="1"/>
  <c r="G28" i="22" l="1"/>
  <c r="G49" i="22" s="1"/>
  <c r="K320" i="13"/>
  <c r="AF318" i="7"/>
  <c r="E319" i="7"/>
  <c r="B331" i="5"/>
  <c r="C329" i="5"/>
  <c r="D329" i="5" s="1"/>
  <c r="H330" i="5"/>
  <c r="F328" i="5"/>
  <c r="G328" i="5"/>
  <c r="K328" i="5" s="1"/>
  <c r="E328" i="5"/>
  <c r="I327" i="5"/>
  <c r="J327" i="5" s="1"/>
  <c r="S319" i="28"/>
  <c r="E320" i="28"/>
  <c r="AE320" i="13"/>
  <c r="R320" i="13"/>
  <c r="E321" i="13"/>
  <c r="L321" i="13" s="1"/>
  <c r="AF319" i="13"/>
  <c r="AG319" i="13"/>
  <c r="AH319" i="13" s="1"/>
  <c r="S319" i="13"/>
  <c r="T319" i="13"/>
  <c r="U319" i="13" s="1"/>
  <c r="E323" i="27"/>
  <c r="L10" i="30" l="1"/>
  <c r="L12" i="30" s="1"/>
  <c r="I422" i="45" s="1"/>
  <c r="F28" i="22"/>
  <c r="J10" i="30" s="1"/>
  <c r="J12" i="30" s="1"/>
  <c r="H422" i="45" s="1"/>
  <c r="H424" i="45" s="1"/>
  <c r="K321" i="13"/>
  <c r="AF319" i="7"/>
  <c r="E320" i="7"/>
  <c r="I328" i="5"/>
  <c r="J328" i="5" s="1"/>
  <c r="G329" i="5"/>
  <c r="K329" i="5" s="1"/>
  <c r="F329" i="5"/>
  <c r="E329" i="5"/>
  <c r="B332" i="5"/>
  <c r="H331" i="5"/>
  <c r="C330" i="5"/>
  <c r="D330" i="5" s="1"/>
  <c r="E321" i="28"/>
  <c r="S320" i="28"/>
  <c r="AE321" i="13"/>
  <c r="R321" i="13"/>
  <c r="E322" i="13"/>
  <c r="L322" i="13" s="1"/>
  <c r="E324" i="27"/>
  <c r="S320" i="13"/>
  <c r="T320" i="13"/>
  <c r="U320" i="13" s="1"/>
  <c r="AF320" i="13"/>
  <c r="AG320" i="13"/>
  <c r="AH320" i="13" s="1"/>
  <c r="I424" i="45" l="1"/>
  <c r="K322" i="13"/>
  <c r="AF320" i="7"/>
  <c r="E321" i="7"/>
  <c r="I329" i="5"/>
  <c r="J329" i="5" s="1"/>
  <c r="F330" i="5"/>
  <c r="E330" i="5"/>
  <c r="G330" i="5"/>
  <c r="K330" i="5" s="1"/>
  <c r="C331" i="5"/>
  <c r="D331" i="5" s="1"/>
  <c r="H332" i="5"/>
  <c r="B333" i="5"/>
  <c r="S321" i="28"/>
  <c r="E322" i="28"/>
  <c r="AF321" i="13"/>
  <c r="AG321" i="13"/>
  <c r="AH321" i="13" s="1"/>
  <c r="E323" i="13"/>
  <c r="L323" i="13" s="1"/>
  <c r="R322" i="13"/>
  <c r="AE322" i="13"/>
  <c r="E325" i="27"/>
  <c r="S321" i="13"/>
  <c r="T321" i="13"/>
  <c r="U321" i="13" s="1"/>
  <c r="K323" i="13" l="1"/>
  <c r="AF321" i="7"/>
  <c r="E322" i="7"/>
  <c r="F331" i="5"/>
  <c r="G331" i="5"/>
  <c r="K331" i="5" s="1"/>
  <c r="E331" i="5"/>
  <c r="B334" i="5"/>
  <c r="C332" i="5"/>
  <c r="D332" i="5" s="1"/>
  <c r="H333" i="5"/>
  <c r="I330" i="5"/>
  <c r="J330" i="5" s="1"/>
  <c r="S322" i="28"/>
  <c r="E323" i="28"/>
  <c r="E324" i="13"/>
  <c r="L324" i="13" s="1"/>
  <c r="R323" i="13"/>
  <c r="AE323" i="13"/>
  <c r="E326" i="27"/>
  <c r="AG322" i="13"/>
  <c r="AH322" i="13" s="1"/>
  <c r="AF322" i="13"/>
  <c r="T322" i="13"/>
  <c r="U322" i="13" s="1"/>
  <c r="S322" i="13"/>
  <c r="K324" i="13" l="1"/>
  <c r="AF322" i="7"/>
  <c r="E323" i="7"/>
  <c r="I331" i="5"/>
  <c r="J331" i="5" s="1"/>
  <c r="B335" i="5"/>
  <c r="H334" i="5"/>
  <c r="C333" i="5"/>
  <c r="D333" i="5" s="1"/>
  <c r="E332" i="5"/>
  <c r="F332" i="5"/>
  <c r="G332" i="5"/>
  <c r="K332" i="5" s="1"/>
  <c r="S323" i="28"/>
  <c r="E324" i="28"/>
  <c r="E327" i="27"/>
  <c r="AF323" i="13"/>
  <c r="AG323" i="13"/>
  <c r="AH323" i="13" s="1"/>
  <c r="S323" i="13"/>
  <c r="T323" i="13"/>
  <c r="U323" i="13" s="1"/>
  <c r="R324" i="13"/>
  <c r="AE324" i="13"/>
  <c r="E325" i="13"/>
  <c r="L325" i="13" s="1"/>
  <c r="K325" i="13" l="1"/>
  <c r="AF323" i="7"/>
  <c r="E324" i="7"/>
  <c r="H335" i="5"/>
  <c r="C334" i="5"/>
  <c r="D334" i="5" s="1"/>
  <c r="B336" i="5"/>
  <c r="E333" i="5"/>
  <c r="G333" i="5"/>
  <c r="K333" i="5" s="1"/>
  <c r="F333" i="5"/>
  <c r="I332" i="5"/>
  <c r="J332" i="5" s="1"/>
  <c r="E325" i="28"/>
  <c r="S324" i="28"/>
  <c r="AF324" i="13"/>
  <c r="AG324" i="13"/>
  <c r="AH324" i="13" s="1"/>
  <c r="E328" i="27"/>
  <c r="S324" i="13"/>
  <c r="T324" i="13"/>
  <c r="U324" i="13" s="1"/>
  <c r="R325" i="13"/>
  <c r="E326" i="13"/>
  <c r="L326" i="13" s="1"/>
  <c r="AE325" i="13"/>
  <c r="K326" i="13" l="1"/>
  <c r="AF324" i="7"/>
  <c r="E325" i="7"/>
  <c r="I333" i="5"/>
  <c r="J333" i="5" s="1"/>
  <c r="B337" i="5"/>
  <c r="H336" i="5"/>
  <c r="C335" i="5"/>
  <c r="D335" i="5" s="1"/>
  <c r="E334" i="5"/>
  <c r="F334" i="5"/>
  <c r="G334" i="5"/>
  <c r="K334" i="5" s="1"/>
  <c r="S325" i="28"/>
  <c r="E326" i="28"/>
  <c r="AF325" i="13"/>
  <c r="AG325" i="13"/>
  <c r="AH325" i="13" s="1"/>
  <c r="S325" i="13"/>
  <c r="T325" i="13"/>
  <c r="U325" i="13" s="1"/>
  <c r="E329" i="27"/>
  <c r="R326" i="13"/>
  <c r="AE326" i="13"/>
  <c r="E327" i="13"/>
  <c r="L327" i="13" s="1"/>
  <c r="K327" i="13" l="1"/>
  <c r="AF325" i="7"/>
  <c r="E326" i="7"/>
  <c r="F335" i="5"/>
  <c r="E335" i="5"/>
  <c r="G335" i="5"/>
  <c r="K335" i="5" s="1"/>
  <c r="C336" i="5"/>
  <c r="D336" i="5" s="1"/>
  <c r="B338" i="5"/>
  <c r="H337" i="5"/>
  <c r="I334" i="5"/>
  <c r="J334" i="5" s="1"/>
  <c r="S326" i="28"/>
  <c r="E327" i="28"/>
  <c r="E330" i="27"/>
  <c r="AF326" i="13"/>
  <c r="AG326" i="13"/>
  <c r="AH326" i="13" s="1"/>
  <c r="R327" i="13"/>
  <c r="E328" i="13"/>
  <c r="L328" i="13" s="1"/>
  <c r="AE327" i="13"/>
  <c r="T326" i="13"/>
  <c r="U326" i="13" s="1"/>
  <c r="S326" i="13"/>
  <c r="K328" i="13" l="1"/>
  <c r="AF326" i="7"/>
  <c r="E327" i="7"/>
  <c r="C337" i="5"/>
  <c r="D337" i="5" s="1"/>
  <c r="H338" i="5"/>
  <c r="B339" i="5"/>
  <c r="E336" i="5"/>
  <c r="G336" i="5"/>
  <c r="K336" i="5" s="1"/>
  <c r="F336" i="5"/>
  <c r="I335" i="5"/>
  <c r="J335" i="5" s="1"/>
  <c r="E328" i="28"/>
  <c r="S327" i="28"/>
  <c r="T327" i="13"/>
  <c r="U327" i="13" s="1"/>
  <c r="S327" i="13"/>
  <c r="E331" i="27"/>
  <c r="AF327" i="13"/>
  <c r="AG327" i="13"/>
  <c r="AH327" i="13" s="1"/>
  <c r="R328" i="13"/>
  <c r="E329" i="13"/>
  <c r="L329" i="13" s="1"/>
  <c r="AE328" i="13"/>
  <c r="K329" i="13" l="1"/>
  <c r="AF327" i="7"/>
  <c r="E328" i="7"/>
  <c r="I336" i="5"/>
  <c r="J336" i="5" s="1"/>
  <c r="C338" i="5"/>
  <c r="D338" i="5" s="1"/>
  <c r="H339" i="5"/>
  <c r="B340" i="5"/>
  <c r="F337" i="5"/>
  <c r="E337" i="5"/>
  <c r="G337" i="5"/>
  <c r="K337" i="5" s="1"/>
  <c r="E329" i="28"/>
  <c r="S328" i="28"/>
  <c r="AG328" i="13"/>
  <c r="AH328" i="13" s="1"/>
  <c r="AF328" i="13"/>
  <c r="R329" i="13"/>
  <c r="E330" i="13"/>
  <c r="L330" i="13" s="1"/>
  <c r="AE329" i="13"/>
  <c r="T328" i="13"/>
  <c r="U328" i="13" s="1"/>
  <c r="S328" i="13"/>
  <c r="E332" i="27"/>
  <c r="K330" i="13" l="1"/>
  <c r="AF328" i="7"/>
  <c r="E329" i="7"/>
  <c r="C339" i="5"/>
  <c r="D339" i="5" s="1"/>
  <c r="B341" i="5"/>
  <c r="H340" i="5"/>
  <c r="I337" i="5"/>
  <c r="J337" i="5" s="1"/>
  <c r="G338" i="5"/>
  <c r="K338" i="5" s="1"/>
  <c r="E338" i="5"/>
  <c r="F338" i="5"/>
  <c r="S329" i="28"/>
  <c r="E330" i="28"/>
  <c r="AF329" i="13"/>
  <c r="AG329" i="13"/>
  <c r="AH329" i="13" s="1"/>
  <c r="E333" i="27"/>
  <c r="R330" i="13"/>
  <c r="AE330" i="13"/>
  <c r="E331" i="13"/>
  <c r="L331" i="13" s="1"/>
  <c r="T329" i="13"/>
  <c r="U329" i="13" s="1"/>
  <c r="S329" i="13"/>
  <c r="K331" i="13" l="1"/>
  <c r="AF329" i="7"/>
  <c r="E330" i="7"/>
  <c r="I338" i="5"/>
  <c r="J338" i="5" s="1"/>
  <c r="B342" i="5"/>
  <c r="H341" i="5"/>
  <c r="C340" i="5"/>
  <c r="D340" i="5" s="1"/>
  <c r="F339" i="5"/>
  <c r="E339" i="5"/>
  <c r="G339" i="5"/>
  <c r="K339" i="5" s="1"/>
  <c r="S330" i="28"/>
  <c r="E331" i="28"/>
  <c r="AE331" i="13"/>
  <c r="E332" i="13"/>
  <c r="L332" i="13" s="1"/>
  <c r="R331" i="13"/>
  <c r="AG330" i="13"/>
  <c r="AH330" i="13" s="1"/>
  <c r="AF330" i="13"/>
  <c r="T330" i="13"/>
  <c r="U330" i="13" s="1"/>
  <c r="S330" i="13"/>
  <c r="E334" i="27"/>
  <c r="K332" i="13" l="1"/>
  <c r="AF330" i="7"/>
  <c r="E331" i="7"/>
  <c r="G340" i="5"/>
  <c r="K340" i="5" s="1"/>
  <c r="E340" i="5"/>
  <c r="F340" i="5"/>
  <c r="I339" i="5"/>
  <c r="J339" i="5" s="1"/>
  <c r="H342" i="5"/>
  <c r="C341" i="5"/>
  <c r="D341" i="5" s="1"/>
  <c r="B343" i="5"/>
  <c r="E332" i="28"/>
  <c r="S331" i="28"/>
  <c r="E335" i="27"/>
  <c r="R332" i="13"/>
  <c r="E333" i="13"/>
  <c r="L333" i="13" s="1"/>
  <c r="AE332" i="13"/>
  <c r="AF331" i="13"/>
  <c r="AG331" i="13"/>
  <c r="AH331" i="13" s="1"/>
  <c r="T331" i="13"/>
  <c r="U331" i="13" s="1"/>
  <c r="S331" i="13"/>
  <c r="K333" i="13" l="1"/>
  <c r="AF331" i="7"/>
  <c r="E332" i="7"/>
  <c r="B344" i="5"/>
  <c r="C342" i="5"/>
  <c r="D342" i="5" s="1"/>
  <c r="H343" i="5"/>
  <c r="F341" i="5"/>
  <c r="G341" i="5"/>
  <c r="K341" i="5" s="1"/>
  <c r="E341" i="5"/>
  <c r="I340" i="5"/>
  <c r="J340" i="5" s="1"/>
  <c r="S332" i="28"/>
  <c r="E333" i="28"/>
  <c r="E336" i="27"/>
  <c r="AG332" i="13"/>
  <c r="AH332" i="13" s="1"/>
  <c r="AF332" i="13"/>
  <c r="R333" i="13"/>
  <c r="E334" i="13"/>
  <c r="L334" i="13" s="1"/>
  <c r="AE333" i="13"/>
  <c r="T332" i="13"/>
  <c r="U332" i="13" s="1"/>
  <c r="S332" i="13"/>
  <c r="K334" i="13" l="1"/>
  <c r="AF332" i="7"/>
  <c r="E333" i="7"/>
  <c r="I341" i="5"/>
  <c r="J341" i="5" s="1"/>
  <c r="F342" i="5"/>
  <c r="G342" i="5"/>
  <c r="K342" i="5" s="1"/>
  <c r="E342" i="5"/>
  <c r="C343" i="5"/>
  <c r="D343" i="5" s="1"/>
  <c r="H344" i="5"/>
  <c r="B345" i="5"/>
  <c r="S333" i="28"/>
  <c r="E334" i="28"/>
  <c r="R334" i="13"/>
  <c r="AE334" i="13"/>
  <c r="E335" i="13"/>
  <c r="L335" i="13" s="1"/>
  <c r="S333" i="13"/>
  <c r="T333" i="13"/>
  <c r="U333" i="13" s="1"/>
  <c r="E337" i="27"/>
  <c r="AF333" i="13"/>
  <c r="AG333" i="13"/>
  <c r="AH333" i="13" s="1"/>
  <c r="K335" i="13" l="1"/>
  <c r="AF333" i="7"/>
  <c r="E334" i="7"/>
  <c r="I342" i="5"/>
  <c r="J342" i="5" s="1"/>
  <c r="B346" i="5"/>
  <c r="C344" i="5"/>
  <c r="D344" i="5" s="1"/>
  <c r="H345" i="5"/>
  <c r="F343" i="5"/>
  <c r="G343" i="5"/>
  <c r="K343" i="5" s="1"/>
  <c r="E343" i="5"/>
  <c r="S334" i="28"/>
  <c r="E335" i="28"/>
  <c r="T334" i="13"/>
  <c r="U334" i="13" s="1"/>
  <c r="S334" i="13"/>
  <c r="E338" i="27"/>
  <c r="R335" i="13"/>
  <c r="E336" i="13"/>
  <c r="L336" i="13" s="1"/>
  <c r="AE335" i="13"/>
  <c r="AG334" i="13"/>
  <c r="AH334" i="13" s="1"/>
  <c r="AF334" i="13"/>
  <c r="K336" i="13" l="1"/>
  <c r="AF334" i="7"/>
  <c r="E335" i="7"/>
  <c r="I343" i="5"/>
  <c r="J343" i="5" s="1"/>
  <c r="G344" i="5"/>
  <c r="K344" i="5" s="1"/>
  <c r="E344" i="5"/>
  <c r="F344" i="5"/>
  <c r="B347" i="5"/>
  <c r="C345" i="5"/>
  <c r="D345" i="5" s="1"/>
  <c r="H346" i="5"/>
  <c r="E336" i="28"/>
  <c r="S335" i="28"/>
  <c r="E337" i="13"/>
  <c r="L337" i="13" s="1"/>
  <c r="R336" i="13"/>
  <c r="AE336" i="13"/>
  <c r="S335" i="13"/>
  <c r="T335" i="13"/>
  <c r="U335" i="13" s="1"/>
  <c r="E339" i="27"/>
  <c r="AF335" i="13"/>
  <c r="AG335" i="13"/>
  <c r="AH335" i="13" s="1"/>
  <c r="K337" i="13" l="1"/>
  <c r="AF335" i="7"/>
  <c r="E336" i="7"/>
  <c r="I344" i="5"/>
  <c r="J344" i="5" s="1"/>
  <c r="G345" i="5"/>
  <c r="K345" i="5" s="1"/>
  <c r="F345" i="5"/>
  <c r="E345" i="5"/>
  <c r="C346" i="5"/>
  <c r="D346" i="5" s="1"/>
  <c r="H347" i="5"/>
  <c r="B348" i="5"/>
  <c r="E337" i="28"/>
  <c r="S336" i="28"/>
  <c r="E338" i="13"/>
  <c r="L338" i="13" s="1"/>
  <c r="R337" i="13"/>
  <c r="AE337" i="13"/>
  <c r="AF336" i="13"/>
  <c r="AG336" i="13"/>
  <c r="AH336" i="13" s="1"/>
  <c r="E340" i="27"/>
  <c r="T336" i="13"/>
  <c r="U336" i="13" s="1"/>
  <c r="S336" i="13"/>
  <c r="K338" i="13" l="1"/>
  <c r="AF336" i="7"/>
  <c r="E337" i="7"/>
  <c r="G346" i="5"/>
  <c r="K346" i="5" s="1"/>
  <c r="F346" i="5"/>
  <c r="E346" i="5"/>
  <c r="I345" i="5"/>
  <c r="J345" i="5" s="1"/>
  <c r="H348" i="5"/>
  <c r="C347" i="5"/>
  <c r="D347" i="5" s="1"/>
  <c r="B349" i="5"/>
  <c r="E338" i="28"/>
  <c r="S337" i="28"/>
  <c r="AF337" i="13"/>
  <c r="AG337" i="13"/>
  <c r="AH337" i="13" s="1"/>
  <c r="S337" i="13"/>
  <c r="T337" i="13"/>
  <c r="U337" i="13" s="1"/>
  <c r="E341" i="27"/>
  <c r="R338" i="13"/>
  <c r="AE338" i="13"/>
  <c r="E339" i="13"/>
  <c r="L339" i="13" s="1"/>
  <c r="K339" i="13" l="1"/>
  <c r="AF337" i="7"/>
  <c r="E338" i="7"/>
  <c r="E347" i="5"/>
  <c r="F347" i="5"/>
  <c r="G347" i="5"/>
  <c r="K347" i="5" s="1"/>
  <c r="C348" i="5"/>
  <c r="D348" i="5" s="1"/>
  <c r="H349" i="5"/>
  <c r="B350" i="5"/>
  <c r="I346" i="5"/>
  <c r="J346" i="5" s="1"/>
  <c r="E339" i="28"/>
  <c r="S338" i="28"/>
  <c r="AF338" i="13"/>
  <c r="AG338" i="13"/>
  <c r="AH338" i="13" s="1"/>
  <c r="E342" i="27"/>
  <c r="S338" i="13"/>
  <c r="T338" i="13"/>
  <c r="U338" i="13" s="1"/>
  <c r="R339" i="13"/>
  <c r="AE339" i="13"/>
  <c r="E340" i="13"/>
  <c r="L340" i="13" s="1"/>
  <c r="K340" i="13" l="1"/>
  <c r="AF338" i="7"/>
  <c r="E339" i="7"/>
  <c r="E348" i="5"/>
  <c r="G348" i="5"/>
  <c r="K348" i="5" s="1"/>
  <c r="F348" i="5"/>
  <c r="H350" i="5"/>
  <c r="B351" i="5"/>
  <c r="C349" i="5"/>
  <c r="D349" i="5" s="1"/>
  <c r="I347" i="5"/>
  <c r="J347" i="5" s="1"/>
  <c r="S339" i="28"/>
  <c r="E340" i="28"/>
  <c r="AE340" i="13"/>
  <c r="E341" i="13"/>
  <c r="L341" i="13" s="1"/>
  <c r="R340" i="13"/>
  <c r="AF339" i="13"/>
  <c r="AG339" i="13"/>
  <c r="AH339" i="13" s="1"/>
  <c r="E343" i="27"/>
  <c r="S339" i="13"/>
  <c r="T339" i="13"/>
  <c r="U339" i="13" s="1"/>
  <c r="K341" i="13" l="1"/>
  <c r="AF339" i="7"/>
  <c r="E340" i="7"/>
  <c r="F349" i="5"/>
  <c r="G349" i="5"/>
  <c r="K349" i="5" s="1"/>
  <c r="E349" i="5"/>
  <c r="B352" i="5"/>
  <c r="H351" i="5"/>
  <c r="C350" i="5"/>
  <c r="D350" i="5" s="1"/>
  <c r="I348" i="5"/>
  <c r="J348" i="5" s="1"/>
  <c r="E341" i="28"/>
  <c r="S340" i="28"/>
  <c r="E344" i="27"/>
  <c r="S340" i="13"/>
  <c r="T340" i="13"/>
  <c r="U340" i="13" s="1"/>
  <c r="R341" i="13"/>
  <c r="E342" i="13"/>
  <c r="L342" i="13" s="1"/>
  <c r="AE341" i="13"/>
  <c r="AF340" i="13"/>
  <c r="AG340" i="13"/>
  <c r="AH340" i="13" s="1"/>
  <c r="K342" i="13" l="1"/>
  <c r="AF340" i="7"/>
  <c r="E341" i="7"/>
  <c r="C351" i="5"/>
  <c r="D351" i="5" s="1"/>
  <c r="B353" i="5"/>
  <c r="H352" i="5"/>
  <c r="I349" i="5"/>
  <c r="J349" i="5" s="1"/>
  <c r="F350" i="5"/>
  <c r="G350" i="5"/>
  <c r="K350" i="5" s="1"/>
  <c r="E350" i="5"/>
  <c r="S341" i="28"/>
  <c r="E342" i="28"/>
  <c r="AE342" i="13"/>
  <c r="E343" i="13"/>
  <c r="L343" i="13" s="1"/>
  <c r="R342" i="13"/>
  <c r="E345" i="27"/>
  <c r="AF341" i="13"/>
  <c r="AG341" i="13"/>
  <c r="AH341" i="13" s="1"/>
  <c r="S341" i="13"/>
  <c r="T341" i="13"/>
  <c r="U341" i="13" s="1"/>
  <c r="K343" i="13" l="1"/>
  <c r="AF341" i="7"/>
  <c r="E342" i="7"/>
  <c r="I350" i="5"/>
  <c r="J350" i="5" s="1"/>
  <c r="B354" i="5"/>
  <c r="H353" i="5"/>
  <c r="C352" i="5"/>
  <c r="D352" i="5" s="1"/>
  <c r="F351" i="5"/>
  <c r="E351" i="5"/>
  <c r="G351" i="5"/>
  <c r="K351" i="5" s="1"/>
  <c r="S342" i="28"/>
  <c r="E343" i="28"/>
  <c r="E346" i="27"/>
  <c r="R343" i="13"/>
  <c r="AE343" i="13"/>
  <c r="E344" i="13"/>
  <c r="L344" i="13" s="1"/>
  <c r="AG342" i="13"/>
  <c r="AH342" i="13" s="1"/>
  <c r="AF342" i="13"/>
  <c r="S342" i="13"/>
  <c r="T342" i="13"/>
  <c r="U342" i="13" s="1"/>
  <c r="K344" i="13" l="1"/>
  <c r="AF342" i="7"/>
  <c r="E343" i="7"/>
  <c r="G352" i="5"/>
  <c r="K352" i="5" s="1"/>
  <c r="E352" i="5"/>
  <c r="F352" i="5"/>
  <c r="I351" i="5"/>
  <c r="J351" i="5" s="1"/>
  <c r="H354" i="5"/>
  <c r="B355" i="5"/>
  <c r="C353" i="5"/>
  <c r="D353" i="5" s="1"/>
  <c r="S343" i="28"/>
  <c r="E344" i="28"/>
  <c r="E345" i="13"/>
  <c r="L345" i="13" s="1"/>
  <c r="AE344" i="13"/>
  <c r="R344" i="13"/>
  <c r="AG343" i="13"/>
  <c r="AH343" i="13" s="1"/>
  <c r="AF343" i="13"/>
  <c r="S343" i="13"/>
  <c r="T343" i="13"/>
  <c r="U343" i="13" s="1"/>
  <c r="E347" i="27"/>
  <c r="K345" i="13" l="1"/>
  <c r="AF343" i="7"/>
  <c r="E344" i="7"/>
  <c r="E353" i="5"/>
  <c r="F353" i="5"/>
  <c r="G353" i="5"/>
  <c r="K353" i="5" s="1"/>
  <c r="B356" i="5"/>
  <c r="H355" i="5"/>
  <c r="C354" i="5"/>
  <c r="D354" i="5" s="1"/>
  <c r="I352" i="5"/>
  <c r="J352" i="5" s="1"/>
  <c r="S344" i="28"/>
  <c r="E345" i="28"/>
  <c r="T344" i="13"/>
  <c r="U344" i="13" s="1"/>
  <c r="S344" i="13"/>
  <c r="AF344" i="13"/>
  <c r="AG344" i="13"/>
  <c r="AH344" i="13" s="1"/>
  <c r="E348" i="27"/>
  <c r="AE345" i="13"/>
  <c r="R345" i="13"/>
  <c r="E346" i="13"/>
  <c r="L346" i="13" s="1"/>
  <c r="K346" i="13" l="1"/>
  <c r="AF344" i="7"/>
  <c r="E345" i="7"/>
  <c r="C355" i="5"/>
  <c r="D355" i="5" s="1"/>
  <c r="H356" i="5"/>
  <c r="B357" i="5"/>
  <c r="G354" i="5"/>
  <c r="K354" i="5" s="1"/>
  <c r="F354" i="5"/>
  <c r="E354" i="5"/>
  <c r="I353" i="5"/>
  <c r="J353" i="5" s="1"/>
  <c r="E346" i="28"/>
  <c r="S345" i="28"/>
  <c r="AF345" i="13"/>
  <c r="AG345" i="13"/>
  <c r="AH345" i="13" s="1"/>
  <c r="AE346" i="13"/>
  <c r="R346" i="13"/>
  <c r="E347" i="13"/>
  <c r="L347" i="13" s="1"/>
  <c r="S345" i="13"/>
  <c r="T345" i="13"/>
  <c r="U345" i="13" s="1"/>
  <c r="E349" i="27"/>
  <c r="K347" i="13" l="1"/>
  <c r="AF345" i="7"/>
  <c r="E346" i="7"/>
  <c r="B358" i="5"/>
  <c r="H357" i="5"/>
  <c r="C356" i="5"/>
  <c r="D356" i="5" s="1"/>
  <c r="I354" i="5"/>
  <c r="J354" i="5" s="1"/>
  <c r="E355" i="5"/>
  <c r="F355" i="5"/>
  <c r="G355" i="5"/>
  <c r="K355" i="5" s="1"/>
  <c r="E347" i="28"/>
  <c r="S346" i="28"/>
  <c r="AG346" i="13"/>
  <c r="AH346" i="13" s="1"/>
  <c r="AF346" i="13"/>
  <c r="R347" i="13"/>
  <c r="AE347" i="13"/>
  <c r="E348" i="13"/>
  <c r="L348" i="13" s="1"/>
  <c r="E350" i="27"/>
  <c r="S346" i="13"/>
  <c r="T346" i="13"/>
  <c r="U346" i="13" s="1"/>
  <c r="K348" i="13" l="1"/>
  <c r="AF346" i="7"/>
  <c r="E347" i="7"/>
  <c r="F356" i="5"/>
  <c r="G356" i="5"/>
  <c r="K356" i="5" s="1"/>
  <c r="E356" i="5"/>
  <c r="I355" i="5"/>
  <c r="J355" i="5" s="1"/>
  <c r="H358" i="5"/>
  <c r="C357" i="5"/>
  <c r="D357" i="5" s="1"/>
  <c r="B359" i="5"/>
  <c r="E348" i="28"/>
  <c r="S347" i="28"/>
  <c r="AF347" i="13"/>
  <c r="AG347" i="13"/>
  <c r="AH347" i="13" s="1"/>
  <c r="E351" i="27"/>
  <c r="AE348" i="13"/>
  <c r="R348" i="13"/>
  <c r="E349" i="13"/>
  <c r="L349" i="13" s="1"/>
  <c r="T347" i="13"/>
  <c r="U347" i="13" s="1"/>
  <c r="S347" i="13"/>
  <c r="K349" i="13" l="1"/>
  <c r="AF347" i="7"/>
  <c r="E348" i="7"/>
  <c r="B360" i="5"/>
  <c r="C358" i="5"/>
  <c r="D358" i="5" s="1"/>
  <c r="H359" i="5"/>
  <c r="I356" i="5"/>
  <c r="J356" i="5" s="1"/>
  <c r="F357" i="5"/>
  <c r="G357" i="5"/>
  <c r="K357" i="5" s="1"/>
  <c r="E357" i="5"/>
  <c r="E349" i="28"/>
  <c r="S348" i="28"/>
  <c r="T348" i="13"/>
  <c r="U348" i="13" s="1"/>
  <c r="S348" i="13"/>
  <c r="E352" i="27"/>
  <c r="R349" i="13"/>
  <c r="AE349" i="13"/>
  <c r="E350" i="13"/>
  <c r="L350" i="13" s="1"/>
  <c r="AF348" i="13"/>
  <c r="AG348" i="13"/>
  <c r="AH348" i="13" s="1"/>
  <c r="K350" i="13" l="1"/>
  <c r="AF348" i="7"/>
  <c r="E349" i="7"/>
  <c r="I357" i="5"/>
  <c r="J357" i="5" s="1"/>
  <c r="E358" i="5"/>
  <c r="G358" i="5"/>
  <c r="K358" i="5" s="1"/>
  <c r="F358" i="5"/>
  <c r="C359" i="5"/>
  <c r="D359" i="5" s="1"/>
  <c r="H360" i="5"/>
  <c r="B361" i="5"/>
  <c r="S349" i="28"/>
  <c r="E350" i="28"/>
  <c r="R350" i="13"/>
  <c r="AE350" i="13"/>
  <c r="E351" i="13"/>
  <c r="L351" i="13" s="1"/>
  <c r="AG349" i="13"/>
  <c r="AH349" i="13" s="1"/>
  <c r="AF349" i="13"/>
  <c r="E353" i="27"/>
  <c r="T349" i="13"/>
  <c r="U349" i="13" s="1"/>
  <c r="S349" i="13"/>
  <c r="K351" i="13" l="1"/>
  <c r="AF349" i="7"/>
  <c r="E350" i="7"/>
  <c r="H361" i="5"/>
  <c r="B362" i="5"/>
  <c r="C360" i="5"/>
  <c r="D360" i="5" s="1"/>
  <c r="I358" i="5"/>
  <c r="J358" i="5" s="1"/>
  <c r="G359" i="5"/>
  <c r="K359" i="5" s="1"/>
  <c r="E359" i="5"/>
  <c r="F359" i="5"/>
  <c r="S350" i="28"/>
  <c r="E351" i="28"/>
  <c r="E352" i="13"/>
  <c r="L352" i="13" s="1"/>
  <c r="AE351" i="13"/>
  <c r="R351" i="13"/>
  <c r="E354" i="27"/>
  <c r="AF350" i="13"/>
  <c r="AG350" i="13"/>
  <c r="AH350" i="13" s="1"/>
  <c r="T350" i="13"/>
  <c r="U350" i="13" s="1"/>
  <c r="S350" i="13"/>
  <c r="K352" i="13" l="1"/>
  <c r="AF350" i="7"/>
  <c r="E351" i="7"/>
  <c r="E360" i="5"/>
  <c r="F360" i="5"/>
  <c r="G360" i="5"/>
  <c r="K360" i="5" s="1"/>
  <c r="I359" i="5"/>
  <c r="J359" i="5" s="1"/>
  <c r="B363" i="5"/>
  <c r="C361" i="5"/>
  <c r="D361" i="5" s="1"/>
  <c r="H362" i="5"/>
  <c r="S351" i="28"/>
  <c r="E352" i="28"/>
  <c r="AF351" i="13"/>
  <c r="AG351" i="13"/>
  <c r="AH351" i="13" s="1"/>
  <c r="R352" i="13"/>
  <c r="E353" i="13"/>
  <c r="L353" i="13" s="1"/>
  <c r="AE352" i="13"/>
  <c r="E355" i="27"/>
  <c r="T351" i="13"/>
  <c r="U351" i="13" s="1"/>
  <c r="S351" i="13"/>
  <c r="K353" i="13" l="1"/>
  <c r="AF351" i="7"/>
  <c r="E352" i="7"/>
  <c r="F361" i="5"/>
  <c r="E361" i="5"/>
  <c r="G361" i="5"/>
  <c r="K361" i="5" s="1"/>
  <c r="B364" i="5"/>
  <c r="C362" i="5"/>
  <c r="D362" i="5" s="1"/>
  <c r="H363" i="5"/>
  <c r="I360" i="5"/>
  <c r="J360" i="5" s="1"/>
  <c r="S352" i="28"/>
  <c r="E353" i="28"/>
  <c r="R353" i="13"/>
  <c r="E354" i="13"/>
  <c r="L354" i="13" s="1"/>
  <c r="AE353" i="13"/>
  <c r="S352" i="13"/>
  <c r="T352" i="13"/>
  <c r="U352" i="13" s="1"/>
  <c r="E356" i="27"/>
  <c r="AF352" i="13"/>
  <c r="AG352" i="13"/>
  <c r="AH352" i="13" s="1"/>
  <c r="K354" i="13" l="1"/>
  <c r="AF352" i="7"/>
  <c r="E353" i="7"/>
  <c r="F362" i="5"/>
  <c r="E362" i="5"/>
  <c r="G362" i="5"/>
  <c r="K362" i="5" s="1"/>
  <c r="H364" i="5"/>
  <c r="C363" i="5"/>
  <c r="D363" i="5" s="1"/>
  <c r="B365" i="5"/>
  <c r="I361" i="5"/>
  <c r="J361" i="5" s="1"/>
  <c r="E354" i="28"/>
  <c r="S353" i="28"/>
  <c r="E357" i="27"/>
  <c r="AG353" i="13"/>
  <c r="AH353" i="13" s="1"/>
  <c r="AF353" i="13"/>
  <c r="R354" i="13"/>
  <c r="AE354" i="13"/>
  <c r="E355" i="13"/>
  <c r="L355" i="13" s="1"/>
  <c r="T353" i="13"/>
  <c r="U353" i="13" s="1"/>
  <c r="S353" i="13"/>
  <c r="K355" i="13" l="1"/>
  <c r="AF353" i="7"/>
  <c r="E354" i="7"/>
  <c r="F363" i="5"/>
  <c r="G363" i="5"/>
  <c r="K363" i="5" s="1"/>
  <c r="E363" i="5"/>
  <c r="H365" i="5"/>
  <c r="B366" i="5"/>
  <c r="C364" i="5"/>
  <c r="D364" i="5" s="1"/>
  <c r="I362" i="5"/>
  <c r="J362" i="5" s="1"/>
  <c r="S354" i="28"/>
  <c r="E355" i="28"/>
  <c r="AG354" i="13"/>
  <c r="AH354" i="13" s="1"/>
  <c r="AF354" i="13"/>
  <c r="S354" i="13"/>
  <c r="T354" i="13"/>
  <c r="U354" i="13" s="1"/>
  <c r="E356" i="13"/>
  <c r="L356" i="13" s="1"/>
  <c r="R355" i="13"/>
  <c r="AE355" i="13"/>
  <c r="E358" i="27"/>
  <c r="K356" i="13" l="1"/>
  <c r="AF354" i="7"/>
  <c r="E355" i="7"/>
  <c r="F364" i="5"/>
  <c r="E364" i="5"/>
  <c r="G364" i="5"/>
  <c r="K364" i="5" s="1"/>
  <c r="B367" i="5"/>
  <c r="C365" i="5"/>
  <c r="D365" i="5" s="1"/>
  <c r="H366" i="5"/>
  <c r="I363" i="5"/>
  <c r="J363" i="5" s="1"/>
  <c r="S355" i="28"/>
  <c r="E356" i="28"/>
  <c r="AG355" i="13"/>
  <c r="AH355" i="13" s="1"/>
  <c r="AF355" i="13"/>
  <c r="R356" i="13"/>
  <c r="E357" i="13"/>
  <c r="L357" i="13" s="1"/>
  <c r="AE356" i="13"/>
  <c r="E359" i="27"/>
  <c r="T355" i="13"/>
  <c r="U355" i="13" s="1"/>
  <c r="S355" i="13"/>
  <c r="K357" i="13" l="1"/>
  <c r="AF355" i="7"/>
  <c r="E356" i="7"/>
  <c r="F365" i="5"/>
  <c r="E365" i="5"/>
  <c r="G365" i="5"/>
  <c r="K365" i="5" s="1"/>
  <c r="H367" i="5"/>
  <c r="B368" i="5"/>
  <c r="C366" i="5"/>
  <c r="D366" i="5" s="1"/>
  <c r="I364" i="5"/>
  <c r="J364" i="5" s="1"/>
  <c r="S356" i="28"/>
  <c r="E357" i="28"/>
  <c r="AG356" i="13"/>
  <c r="AH356" i="13" s="1"/>
  <c r="AF356" i="13"/>
  <c r="E358" i="13"/>
  <c r="L358" i="13" s="1"/>
  <c r="AE357" i="13"/>
  <c r="R357" i="13"/>
  <c r="E360" i="27"/>
  <c r="T356" i="13"/>
  <c r="U356" i="13" s="1"/>
  <c r="S356" i="13"/>
  <c r="K358" i="13" l="1"/>
  <c r="AF356" i="7"/>
  <c r="E357" i="7"/>
  <c r="B369" i="5"/>
  <c r="H368" i="5"/>
  <c r="C367" i="5"/>
  <c r="D367" i="5" s="1"/>
  <c r="E366" i="5"/>
  <c r="F366" i="5"/>
  <c r="G366" i="5"/>
  <c r="K366" i="5" s="1"/>
  <c r="I365" i="5"/>
  <c r="J365" i="5" s="1"/>
  <c r="S357" i="28"/>
  <c r="E358" i="28"/>
  <c r="AG357" i="13"/>
  <c r="AH357" i="13" s="1"/>
  <c r="AF357" i="13"/>
  <c r="AE358" i="13"/>
  <c r="R358" i="13"/>
  <c r="E359" i="13"/>
  <c r="L359" i="13" s="1"/>
  <c r="E361" i="27"/>
  <c r="S357" i="13"/>
  <c r="T357" i="13"/>
  <c r="U357" i="13" s="1"/>
  <c r="K359" i="13" l="1"/>
  <c r="AF357" i="7"/>
  <c r="E358" i="7"/>
  <c r="I366" i="5"/>
  <c r="J366" i="5" s="1"/>
  <c r="G367" i="5"/>
  <c r="K367" i="5" s="1"/>
  <c r="E367" i="5"/>
  <c r="F367" i="5"/>
  <c r="B370" i="5"/>
  <c r="H369" i="5"/>
  <c r="C368" i="5"/>
  <c r="D368" i="5" s="1"/>
  <c r="S358" i="28"/>
  <c r="E359" i="28"/>
  <c r="T358" i="13"/>
  <c r="U358" i="13" s="1"/>
  <c r="S358" i="13"/>
  <c r="E362" i="27"/>
  <c r="AF358" i="13"/>
  <c r="AG358" i="13"/>
  <c r="AH358" i="13" s="1"/>
  <c r="R359" i="13"/>
  <c r="E360" i="13"/>
  <c r="L360" i="13" s="1"/>
  <c r="AE359" i="13"/>
  <c r="K360" i="13" l="1"/>
  <c r="AF358" i="7"/>
  <c r="E359" i="7"/>
  <c r="F368" i="5"/>
  <c r="G368" i="5"/>
  <c r="K368" i="5" s="1"/>
  <c r="E368" i="5"/>
  <c r="I367" i="5"/>
  <c r="J367" i="5" s="1"/>
  <c r="B371" i="5"/>
  <c r="C369" i="5"/>
  <c r="D369" i="5" s="1"/>
  <c r="H370" i="5"/>
  <c r="E360" i="28"/>
  <c r="S359" i="28"/>
  <c r="E363" i="27"/>
  <c r="R360" i="13"/>
  <c r="E361" i="13"/>
  <c r="L361" i="13" s="1"/>
  <c r="AE360" i="13"/>
  <c r="S359" i="13"/>
  <c r="T359" i="13"/>
  <c r="U359" i="13" s="1"/>
  <c r="AF359" i="13"/>
  <c r="AG359" i="13"/>
  <c r="AH359" i="13" s="1"/>
  <c r="K361" i="13" l="1"/>
  <c r="AF359" i="7"/>
  <c r="E360" i="7"/>
  <c r="C370" i="5"/>
  <c r="D370" i="5" s="1"/>
  <c r="H371" i="5"/>
  <c r="B372" i="5"/>
  <c r="I368" i="5"/>
  <c r="J368" i="5" s="1"/>
  <c r="G369" i="5"/>
  <c r="K369" i="5" s="1"/>
  <c r="F369" i="5"/>
  <c r="E369" i="5"/>
  <c r="S360" i="28"/>
  <c r="E361" i="28"/>
  <c r="AF360" i="13"/>
  <c r="AG360" i="13"/>
  <c r="AH360" i="13" s="1"/>
  <c r="E364" i="27"/>
  <c r="AE361" i="13"/>
  <c r="R361" i="13"/>
  <c r="E362" i="13"/>
  <c r="L362" i="13" s="1"/>
  <c r="T360" i="13"/>
  <c r="U360" i="13" s="1"/>
  <c r="S360" i="13"/>
  <c r="K362" i="13" l="1"/>
  <c r="AF360" i="7"/>
  <c r="E361" i="7"/>
  <c r="I369" i="5"/>
  <c r="J369" i="5" s="1"/>
  <c r="H372" i="5"/>
  <c r="B373" i="5"/>
  <c r="C371" i="5"/>
  <c r="D371" i="5" s="1"/>
  <c r="G370" i="5"/>
  <c r="K370" i="5" s="1"/>
  <c r="E370" i="5"/>
  <c r="F370" i="5"/>
  <c r="S361" i="28"/>
  <c r="E362" i="28"/>
  <c r="AE362" i="13"/>
  <c r="R362" i="13"/>
  <c r="E363" i="13"/>
  <c r="L363" i="13" s="1"/>
  <c r="AG361" i="13"/>
  <c r="AH361" i="13" s="1"/>
  <c r="AF361" i="13"/>
  <c r="E365" i="27"/>
  <c r="S361" i="13"/>
  <c r="T361" i="13"/>
  <c r="U361" i="13" s="1"/>
  <c r="K363" i="13" l="1"/>
  <c r="AF361" i="7"/>
  <c r="E362" i="7"/>
  <c r="G371" i="5"/>
  <c r="K371" i="5" s="1"/>
  <c r="F371" i="5"/>
  <c r="E371" i="5"/>
  <c r="B374" i="5"/>
  <c r="C372" i="5"/>
  <c r="D372" i="5" s="1"/>
  <c r="H373" i="5"/>
  <c r="I370" i="5"/>
  <c r="J370" i="5" s="1"/>
  <c r="S362" i="28"/>
  <c r="E363" i="28"/>
  <c r="T362" i="13"/>
  <c r="U362" i="13" s="1"/>
  <c r="S362" i="13"/>
  <c r="E366" i="27"/>
  <c r="E364" i="13"/>
  <c r="L364" i="13" s="1"/>
  <c r="R363" i="13"/>
  <c r="AE363" i="13"/>
  <c r="AG362" i="13"/>
  <c r="AH362" i="13" s="1"/>
  <c r="AF362" i="13"/>
  <c r="K364" i="13" l="1"/>
  <c r="AF362" i="7"/>
  <c r="E363" i="7"/>
  <c r="H374" i="5"/>
  <c r="C373" i="5"/>
  <c r="D373" i="5" s="1"/>
  <c r="B375" i="5"/>
  <c r="G372" i="5"/>
  <c r="K372" i="5" s="1"/>
  <c r="F372" i="5"/>
  <c r="E372" i="5"/>
  <c r="I371" i="5"/>
  <c r="J371" i="5" s="1"/>
  <c r="S363" i="28"/>
  <c r="E364" i="28"/>
  <c r="S363" i="13"/>
  <c r="T363" i="13"/>
  <c r="U363" i="13" s="1"/>
  <c r="E367" i="27"/>
  <c r="AE364" i="13"/>
  <c r="E365" i="13"/>
  <c r="L365" i="13" s="1"/>
  <c r="R364" i="13"/>
  <c r="AF363" i="13"/>
  <c r="AG363" i="13"/>
  <c r="AH363" i="13" s="1"/>
  <c r="K365" i="13" l="1"/>
  <c r="AF363" i="7"/>
  <c r="E364" i="7"/>
  <c r="H375" i="5"/>
  <c r="C374" i="5"/>
  <c r="D374" i="5" s="1"/>
  <c r="B376" i="5"/>
  <c r="I372" i="5"/>
  <c r="J372" i="5" s="1"/>
  <c r="F373" i="5"/>
  <c r="G373" i="5"/>
  <c r="K373" i="5" s="1"/>
  <c r="E373" i="5"/>
  <c r="S364" i="28"/>
  <c r="E365" i="28"/>
  <c r="T364" i="13"/>
  <c r="U364" i="13" s="1"/>
  <c r="S364" i="13"/>
  <c r="R365" i="13"/>
  <c r="E366" i="13"/>
  <c r="L366" i="13" s="1"/>
  <c r="AE365" i="13"/>
  <c r="AG364" i="13"/>
  <c r="AH364" i="13" s="1"/>
  <c r="AF364" i="13"/>
  <c r="E368" i="27"/>
  <c r="K366" i="13" l="1"/>
  <c r="AF364" i="7"/>
  <c r="E365" i="7"/>
  <c r="I373" i="5"/>
  <c r="J373" i="5" s="1"/>
  <c r="C375" i="5"/>
  <c r="D375" i="5" s="1"/>
  <c r="B377" i="5"/>
  <c r="H376" i="5"/>
  <c r="F374" i="5"/>
  <c r="E374" i="5"/>
  <c r="G374" i="5"/>
  <c r="K374" i="5" s="1"/>
  <c r="S365" i="28"/>
  <c r="E366" i="28"/>
  <c r="E369" i="27"/>
  <c r="T365" i="13"/>
  <c r="U365" i="13" s="1"/>
  <c r="S365" i="13"/>
  <c r="AE366" i="13"/>
  <c r="R366" i="13"/>
  <c r="E367" i="13"/>
  <c r="L367" i="13" s="1"/>
  <c r="AG365" i="13"/>
  <c r="AH365" i="13" s="1"/>
  <c r="AF365" i="13"/>
  <c r="K367" i="13" l="1"/>
  <c r="AF365" i="7"/>
  <c r="E366" i="7"/>
  <c r="B378" i="5"/>
  <c r="C376" i="5"/>
  <c r="D376" i="5" s="1"/>
  <c r="H377" i="5"/>
  <c r="I374" i="5"/>
  <c r="J374" i="5" s="1"/>
  <c r="G375" i="5"/>
  <c r="K375" i="5" s="1"/>
  <c r="F375" i="5"/>
  <c r="E375" i="5"/>
  <c r="E367" i="28"/>
  <c r="S366" i="28"/>
  <c r="S366" i="13"/>
  <c r="T366" i="13"/>
  <c r="U366" i="13" s="1"/>
  <c r="AF366" i="13"/>
  <c r="AG366" i="13"/>
  <c r="AH366" i="13" s="1"/>
  <c r="E370" i="27"/>
  <c r="E368" i="13"/>
  <c r="L368" i="13" s="1"/>
  <c r="AE367" i="13"/>
  <c r="R367" i="13"/>
  <c r="K368" i="13" l="1"/>
  <c r="AF366" i="7"/>
  <c r="E367" i="7"/>
  <c r="I375" i="5"/>
  <c r="J375" i="5" s="1"/>
  <c r="F376" i="5"/>
  <c r="E376" i="5"/>
  <c r="G376" i="5"/>
  <c r="K376" i="5" s="1"/>
  <c r="H378" i="5"/>
  <c r="B379" i="5"/>
  <c r="C377" i="5"/>
  <c r="D377" i="5" s="1"/>
  <c r="E368" i="28"/>
  <c r="S367" i="28"/>
  <c r="AG367" i="13"/>
  <c r="AH367" i="13" s="1"/>
  <c r="AF367" i="13"/>
  <c r="AE368" i="13"/>
  <c r="R368" i="13"/>
  <c r="E369" i="13"/>
  <c r="L369" i="13" s="1"/>
  <c r="T367" i="13"/>
  <c r="U367" i="13" s="1"/>
  <c r="S367" i="13"/>
  <c r="E371" i="27"/>
  <c r="K369" i="13" l="1"/>
  <c r="AF367" i="7"/>
  <c r="E368" i="7"/>
  <c r="G377" i="5"/>
  <c r="K377" i="5" s="1"/>
  <c r="F377" i="5"/>
  <c r="E377" i="5"/>
  <c r="I376" i="5"/>
  <c r="J376" i="5" s="1"/>
  <c r="B380" i="5"/>
  <c r="H379" i="5"/>
  <c r="C378" i="5"/>
  <c r="D378" i="5" s="1"/>
  <c r="E369" i="28"/>
  <c r="S368" i="28"/>
  <c r="R369" i="13"/>
  <c r="AE369" i="13"/>
  <c r="E370" i="13"/>
  <c r="L370" i="13" s="1"/>
  <c r="AF368" i="13"/>
  <c r="AG368" i="13"/>
  <c r="AH368" i="13" s="1"/>
  <c r="E372" i="27"/>
  <c r="S368" i="13"/>
  <c r="T368" i="13"/>
  <c r="U368" i="13" s="1"/>
  <c r="K370" i="13" l="1"/>
  <c r="AF368" i="7"/>
  <c r="E369" i="7"/>
  <c r="F378" i="5"/>
  <c r="G378" i="5"/>
  <c r="K378" i="5" s="1"/>
  <c r="E378" i="5"/>
  <c r="I377" i="5"/>
  <c r="J377" i="5" s="1"/>
  <c r="C379" i="5"/>
  <c r="D379" i="5" s="1"/>
  <c r="H380" i="5"/>
  <c r="B381" i="5"/>
  <c r="S369" i="28"/>
  <c r="E370" i="28"/>
  <c r="S369" i="13"/>
  <c r="T369" i="13"/>
  <c r="U369" i="13" s="1"/>
  <c r="E373" i="27"/>
  <c r="AE370" i="13"/>
  <c r="R370" i="13"/>
  <c r="E371" i="13"/>
  <c r="L371" i="13" s="1"/>
  <c r="AF369" i="13"/>
  <c r="AG369" i="13"/>
  <c r="AH369" i="13" s="1"/>
  <c r="K371" i="13" l="1"/>
  <c r="AF369" i="7"/>
  <c r="E370" i="7"/>
  <c r="G379" i="5"/>
  <c r="K379" i="5" s="1"/>
  <c r="E379" i="5"/>
  <c r="F379" i="5"/>
  <c r="C380" i="5"/>
  <c r="D380" i="5" s="1"/>
  <c r="H381" i="5"/>
  <c r="B382" i="5"/>
  <c r="I378" i="5"/>
  <c r="J378" i="5" s="1"/>
  <c r="S370" i="28"/>
  <c r="E371" i="28"/>
  <c r="T370" i="13"/>
  <c r="U370" i="13" s="1"/>
  <c r="S370" i="13"/>
  <c r="E374" i="27"/>
  <c r="AE371" i="13"/>
  <c r="R371" i="13"/>
  <c r="E372" i="13"/>
  <c r="L372" i="13" s="1"/>
  <c r="AF370" i="13"/>
  <c r="AG370" i="13"/>
  <c r="AH370" i="13" s="1"/>
  <c r="K372" i="13" l="1"/>
  <c r="AF370" i="7"/>
  <c r="E371" i="7"/>
  <c r="G380" i="5"/>
  <c r="K380" i="5" s="1"/>
  <c r="E380" i="5"/>
  <c r="F380" i="5"/>
  <c r="C381" i="5"/>
  <c r="D381" i="5" s="1"/>
  <c r="H382" i="5"/>
  <c r="B383" i="5"/>
  <c r="I379" i="5"/>
  <c r="J379" i="5" s="1"/>
  <c r="S371" i="28"/>
  <c r="E372" i="28"/>
  <c r="E375" i="27"/>
  <c r="AG371" i="13"/>
  <c r="AH371" i="13" s="1"/>
  <c r="AF371" i="13"/>
  <c r="AE372" i="13"/>
  <c r="R372" i="13"/>
  <c r="E373" i="13"/>
  <c r="L373" i="13" s="1"/>
  <c r="S371" i="13"/>
  <c r="T371" i="13"/>
  <c r="U371" i="13" s="1"/>
  <c r="K373" i="13" l="1"/>
  <c r="AF371" i="7"/>
  <c r="E372" i="7"/>
  <c r="E381" i="5"/>
  <c r="F381" i="5"/>
  <c r="G381" i="5"/>
  <c r="K381" i="5" s="1"/>
  <c r="H383" i="5"/>
  <c r="B384" i="5"/>
  <c r="C382" i="5"/>
  <c r="D382" i="5" s="1"/>
  <c r="I380" i="5"/>
  <c r="J380" i="5" s="1"/>
  <c r="S372" i="28"/>
  <c r="E373" i="28"/>
  <c r="AE373" i="13"/>
  <c r="R373" i="13"/>
  <c r="E374" i="13"/>
  <c r="L374" i="13" s="1"/>
  <c r="AF372" i="13"/>
  <c r="AG372" i="13"/>
  <c r="AH372" i="13" s="1"/>
  <c r="S372" i="13"/>
  <c r="T372" i="13"/>
  <c r="U372" i="13" s="1"/>
  <c r="E376" i="27"/>
  <c r="K374" i="13" l="1"/>
  <c r="AF372" i="7"/>
  <c r="E373" i="7"/>
  <c r="G382" i="5"/>
  <c r="K382" i="5" s="1"/>
  <c r="F382" i="5"/>
  <c r="E382" i="5"/>
  <c r="H384" i="5"/>
  <c r="C383" i="5"/>
  <c r="D383" i="5" s="1"/>
  <c r="B385" i="5"/>
  <c r="I381" i="5"/>
  <c r="J381" i="5" s="1"/>
  <c r="S373" i="28"/>
  <c r="E374" i="28"/>
  <c r="AE374" i="13"/>
  <c r="E375" i="13"/>
  <c r="L375" i="13" s="1"/>
  <c r="R374" i="13"/>
  <c r="E377" i="27"/>
  <c r="T373" i="13"/>
  <c r="U373" i="13" s="1"/>
  <c r="S373" i="13"/>
  <c r="AG373" i="13"/>
  <c r="AH373" i="13" s="1"/>
  <c r="AF373" i="13"/>
  <c r="K375" i="13" l="1"/>
  <c r="AF373" i="7"/>
  <c r="E374" i="7"/>
  <c r="H385" i="5"/>
  <c r="C384" i="5"/>
  <c r="D384" i="5" s="1"/>
  <c r="B386" i="5"/>
  <c r="E383" i="5"/>
  <c r="G383" i="5"/>
  <c r="K383" i="5" s="1"/>
  <c r="F383" i="5"/>
  <c r="I382" i="5"/>
  <c r="J382" i="5" s="1"/>
  <c r="S374" i="28"/>
  <c r="E375" i="28"/>
  <c r="E378" i="27"/>
  <c r="AF374" i="13"/>
  <c r="AG374" i="13"/>
  <c r="AH374" i="13" s="1"/>
  <c r="S374" i="13"/>
  <c r="T374" i="13"/>
  <c r="U374" i="13" s="1"/>
  <c r="AE375" i="13"/>
  <c r="E376" i="13"/>
  <c r="L376" i="13" s="1"/>
  <c r="R375" i="13"/>
  <c r="AF374" i="7" l="1"/>
  <c r="E375" i="7"/>
  <c r="I383" i="5"/>
  <c r="J383" i="5" s="1"/>
  <c r="H386" i="5"/>
  <c r="B387" i="5"/>
  <c r="C385" i="5"/>
  <c r="D385" i="5" s="1"/>
  <c r="E384" i="5"/>
  <c r="F384" i="5"/>
  <c r="G384" i="5"/>
  <c r="K384" i="5" s="1"/>
  <c r="S375" i="28"/>
  <c r="E376" i="28"/>
  <c r="R376" i="13"/>
  <c r="E377" i="13"/>
  <c r="L377" i="13" s="1"/>
  <c r="AE376" i="13"/>
  <c r="T375" i="13"/>
  <c r="U375" i="13" s="1"/>
  <c r="S375" i="13"/>
  <c r="E379" i="27"/>
  <c r="AG375" i="13"/>
  <c r="AH375" i="13" s="1"/>
  <c r="AF375" i="13"/>
  <c r="K377" i="13" l="1"/>
  <c r="AF375" i="7"/>
  <c r="E376" i="7"/>
  <c r="G385" i="5"/>
  <c r="K385" i="5" s="1"/>
  <c r="E385" i="5"/>
  <c r="F385" i="5"/>
  <c r="H387" i="5"/>
  <c r="C386" i="5"/>
  <c r="D386" i="5" s="1"/>
  <c r="B388" i="5"/>
  <c r="I384" i="5"/>
  <c r="J384" i="5" s="1"/>
  <c r="E377" i="28"/>
  <c r="S376" i="28"/>
  <c r="AG376" i="13"/>
  <c r="AH376" i="13" s="1"/>
  <c r="AF376" i="13"/>
  <c r="T376" i="13"/>
  <c r="U376" i="13" s="1"/>
  <c r="S376" i="13"/>
  <c r="R377" i="13"/>
  <c r="AE377" i="13"/>
  <c r="E378" i="13"/>
  <c r="L378" i="13" s="1"/>
  <c r="E380" i="27"/>
  <c r="K378" i="13" l="1"/>
  <c r="AF376" i="7"/>
  <c r="E377" i="7"/>
  <c r="B389" i="5"/>
  <c r="C387" i="5"/>
  <c r="D387" i="5" s="1"/>
  <c r="H388" i="5"/>
  <c r="I385" i="5"/>
  <c r="J385" i="5" s="1"/>
  <c r="E386" i="5"/>
  <c r="F386" i="5"/>
  <c r="G386" i="5"/>
  <c r="K386" i="5" s="1"/>
  <c r="S377" i="28"/>
  <c r="E378" i="28"/>
  <c r="AE378" i="13"/>
  <c r="E379" i="13"/>
  <c r="L379" i="13" s="1"/>
  <c r="R378" i="13"/>
  <c r="S377" i="13"/>
  <c r="T377" i="13"/>
  <c r="U377" i="13" s="1"/>
  <c r="AF377" i="13"/>
  <c r="AG377" i="13"/>
  <c r="AH377" i="13" s="1"/>
  <c r="E381" i="27"/>
  <c r="K379" i="13" l="1"/>
  <c r="AF377" i="7"/>
  <c r="E378" i="7"/>
  <c r="F387" i="5"/>
  <c r="G387" i="5"/>
  <c r="K387" i="5" s="1"/>
  <c r="E387" i="5"/>
  <c r="I386" i="5"/>
  <c r="J386" i="5" s="1"/>
  <c r="C388" i="5"/>
  <c r="D388" i="5" s="1"/>
  <c r="B390" i="5"/>
  <c r="H389" i="5"/>
  <c r="E379" i="28"/>
  <c r="S378" i="28"/>
  <c r="T378" i="13"/>
  <c r="U378" i="13" s="1"/>
  <c r="S378" i="13"/>
  <c r="AG378" i="13"/>
  <c r="AH378" i="13" s="1"/>
  <c r="AF378" i="13"/>
  <c r="E382" i="27"/>
  <c r="R379" i="13"/>
  <c r="E380" i="13"/>
  <c r="L380" i="13" s="1"/>
  <c r="AE379" i="13"/>
  <c r="K380" i="13" l="1"/>
  <c r="AF378" i="7"/>
  <c r="E379" i="7"/>
  <c r="F388" i="5"/>
  <c r="E388" i="5"/>
  <c r="G388" i="5"/>
  <c r="K388" i="5" s="1"/>
  <c r="I387" i="5"/>
  <c r="J387" i="5" s="1"/>
  <c r="C389" i="5"/>
  <c r="D389" i="5" s="1"/>
  <c r="B391" i="5"/>
  <c r="H390" i="5"/>
  <c r="S379" i="28"/>
  <c r="E380" i="28"/>
  <c r="AG379" i="13"/>
  <c r="AH379" i="13" s="1"/>
  <c r="AF379" i="13"/>
  <c r="AE380" i="13"/>
  <c r="R380" i="13"/>
  <c r="E381" i="13"/>
  <c r="L381" i="13" s="1"/>
  <c r="S379" i="13"/>
  <c r="T379" i="13"/>
  <c r="U379" i="13" s="1"/>
  <c r="E383" i="27"/>
  <c r="K381" i="13" l="1"/>
  <c r="AF379" i="7"/>
  <c r="E380" i="7"/>
  <c r="E389" i="5"/>
  <c r="G389" i="5"/>
  <c r="K389" i="5" s="1"/>
  <c r="F389" i="5"/>
  <c r="H391" i="5"/>
  <c r="C390" i="5"/>
  <c r="D390" i="5" s="1"/>
  <c r="B392" i="5"/>
  <c r="I388" i="5"/>
  <c r="J388" i="5" s="1"/>
  <c r="E381" i="28"/>
  <c r="S380" i="28"/>
  <c r="AG380" i="13"/>
  <c r="AH380" i="13" s="1"/>
  <c r="AF380" i="13"/>
  <c r="R381" i="13"/>
  <c r="AE381" i="13"/>
  <c r="E382" i="13"/>
  <c r="L382" i="13" s="1"/>
  <c r="E384" i="27"/>
  <c r="S380" i="13"/>
  <c r="T380" i="13"/>
  <c r="U380" i="13" s="1"/>
  <c r="K382" i="13" l="1"/>
  <c r="AF380" i="7"/>
  <c r="E381" i="7"/>
  <c r="B393" i="5"/>
  <c r="H392" i="5"/>
  <c r="C391" i="5"/>
  <c r="D391" i="5" s="1"/>
  <c r="G390" i="5"/>
  <c r="K390" i="5" s="1"/>
  <c r="F390" i="5"/>
  <c r="E390" i="5"/>
  <c r="I389" i="5"/>
  <c r="J389" i="5" s="1"/>
  <c r="E382" i="28"/>
  <c r="S381" i="28"/>
  <c r="S381" i="13"/>
  <c r="T381" i="13"/>
  <c r="U381" i="13" s="1"/>
  <c r="R382" i="13"/>
  <c r="AE382" i="13"/>
  <c r="E383" i="13"/>
  <c r="L383" i="13" s="1"/>
  <c r="E385" i="27"/>
  <c r="AG381" i="13"/>
  <c r="AH381" i="13" s="1"/>
  <c r="AF381" i="13"/>
  <c r="K383" i="13" l="1"/>
  <c r="AF381" i="7"/>
  <c r="E382" i="7"/>
  <c r="G391" i="5"/>
  <c r="K391" i="5" s="1"/>
  <c r="E391" i="5"/>
  <c r="F391" i="5"/>
  <c r="I390" i="5"/>
  <c r="J390" i="5" s="1"/>
  <c r="B394" i="5"/>
  <c r="C392" i="5"/>
  <c r="D392" i="5" s="1"/>
  <c r="H393" i="5"/>
  <c r="S382" i="28"/>
  <c r="E383" i="28"/>
  <c r="E386" i="27"/>
  <c r="AG382" i="13"/>
  <c r="AH382" i="13" s="1"/>
  <c r="AF382" i="13"/>
  <c r="S382" i="13"/>
  <c r="T382" i="13"/>
  <c r="U382" i="13" s="1"/>
  <c r="AE383" i="13"/>
  <c r="R383" i="13"/>
  <c r="E384" i="13"/>
  <c r="L384" i="13" s="1"/>
  <c r="K384" i="13" l="1"/>
  <c r="AF382" i="7"/>
  <c r="E383" i="7"/>
  <c r="B395" i="5"/>
  <c r="C393" i="5"/>
  <c r="D393" i="5" s="1"/>
  <c r="H394" i="5"/>
  <c r="G392" i="5"/>
  <c r="K392" i="5" s="1"/>
  <c r="E392" i="5"/>
  <c r="F392" i="5"/>
  <c r="I391" i="5"/>
  <c r="J391" i="5" s="1"/>
  <c r="S383" i="28"/>
  <c r="E384" i="28"/>
  <c r="AE384" i="13"/>
  <c r="E385" i="13"/>
  <c r="L385" i="13" s="1"/>
  <c r="R384" i="13"/>
  <c r="T383" i="13"/>
  <c r="U383" i="13" s="1"/>
  <c r="S383" i="13"/>
  <c r="E387" i="27"/>
  <c r="AF383" i="13"/>
  <c r="AG383" i="13"/>
  <c r="AH383" i="13" s="1"/>
  <c r="K385" i="13" l="1"/>
  <c r="AF383" i="7"/>
  <c r="E384" i="7"/>
  <c r="E393" i="5"/>
  <c r="F393" i="5"/>
  <c r="G393" i="5"/>
  <c r="K393" i="5" s="1"/>
  <c r="I392" i="5"/>
  <c r="J392" i="5" s="1"/>
  <c r="C394" i="5"/>
  <c r="D394" i="5" s="1"/>
  <c r="B396" i="5"/>
  <c r="H395" i="5"/>
  <c r="E385" i="28"/>
  <c r="S384" i="28"/>
  <c r="E388" i="27"/>
  <c r="R385" i="13"/>
  <c r="E386" i="13"/>
  <c r="L386" i="13" s="1"/>
  <c r="AE385" i="13"/>
  <c r="AF384" i="13"/>
  <c r="AG384" i="13"/>
  <c r="AH384" i="13" s="1"/>
  <c r="T384" i="13"/>
  <c r="U384" i="13" s="1"/>
  <c r="S384" i="13"/>
  <c r="K386" i="13" l="1"/>
  <c r="AF384" i="7"/>
  <c r="E385" i="7"/>
  <c r="E394" i="5"/>
  <c r="G394" i="5"/>
  <c r="K394" i="5" s="1"/>
  <c r="F394" i="5"/>
  <c r="I393" i="5"/>
  <c r="J393" i="5" s="1"/>
  <c r="H396" i="5"/>
  <c r="B397" i="5"/>
  <c r="C395" i="5"/>
  <c r="D395" i="5" s="1"/>
  <c r="E386" i="28"/>
  <c r="S385" i="28"/>
  <c r="AE386" i="13"/>
  <c r="R386" i="13"/>
  <c r="E387" i="13"/>
  <c r="L387" i="13" s="1"/>
  <c r="T385" i="13"/>
  <c r="U385" i="13" s="1"/>
  <c r="S385" i="13"/>
  <c r="E389" i="27"/>
  <c r="AF385" i="13"/>
  <c r="AG385" i="13"/>
  <c r="AH385" i="13" s="1"/>
  <c r="K387" i="13" l="1"/>
  <c r="AF385" i="7"/>
  <c r="E386" i="7"/>
  <c r="H397" i="5"/>
  <c r="C396" i="5"/>
  <c r="D396" i="5" s="1"/>
  <c r="B398" i="5"/>
  <c r="G395" i="5"/>
  <c r="K395" i="5" s="1"/>
  <c r="E395" i="5"/>
  <c r="F395" i="5"/>
  <c r="I394" i="5"/>
  <c r="J394" i="5" s="1"/>
  <c r="E387" i="28"/>
  <c r="S386" i="28"/>
  <c r="AE387" i="13"/>
  <c r="R387" i="13"/>
  <c r="E388" i="13"/>
  <c r="L388" i="13" s="1"/>
  <c r="E390" i="27"/>
  <c r="T386" i="13"/>
  <c r="U386" i="13" s="1"/>
  <c r="S386" i="13"/>
  <c r="AF386" i="13"/>
  <c r="AG386" i="13"/>
  <c r="AH386" i="13" s="1"/>
  <c r="K388" i="13" l="1"/>
  <c r="AF386" i="7"/>
  <c r="E387" i="7"/>
  <c r="B399" i="5"/>
  <c r="H398" i="5"/>
  <c r="C397" i="5"/>
  <c r="D397" i="5" s="1"/>
  <c r="G396" i="5"/>
  <c r="K396" i="5" s="1"/>
  <c r="E396" i="5"/>
  <c r="F396" i="5"/>
  <c r="I395" i="5"/>
  <c r="J395" i="5" s="1"/>
  <c r="S387" i="28"/>
  <c r="E388" i="28"/>
  <c r="E391" i="27"/>
  <c r="S387" i="13"/>
  <c r="T387" i="13"/>
  <c r="U387" i="13" s="1"/>
  <c r="AF387" i="13"/>
  <c r="AG387" i="13"/>
  <c r="AH387" i="13" s="1"/>
  <c r="E389" i="13"/>
  <c r="L389" i="13" s="1"/>
  <c r="AE388" i="13"/>
  <c r="R388" i="13"/>
  <c r="K389" i="13" l="1"/>
  <c r="AF387" i="7"/>
  <c r="E388" i="7"/>
  <c r="E397" i="5"/>
  <c r="G397" i="5"/>
  <c r="K397" i="5" s="1"/>
  <c r="F397" i="5"/>
  <c r="I396" i="5"/>
  <c r="J396" i="5" s="1"/>
  <c r="B400" i="5"/>
  <c r="C398" i="5"/>
  <c r="D398" i="5" s="1"/>
  <c r="H399" i="5"/>
  <c r="S388" i="28"/>
  <c r="E389" i="28"/>
  <c r="AF388" i="13"/>
  <c r="AG388" i="13"/>
  <c r="AH388" i="13" s="1"/>
  <c r="T388" i="13"/>
  <c r="U388" i="13" s="1"/>
  <c r="S388" i="13"/>
  <c r="E392" i="27"/>
  <c r="R389" i="13"/>
  <c r="AE389" i="13"/>
  <c r="E390" i="13"/>
  <c r="L390" i="13" s="1"/>
  <c r="K390" i="13" l="1"/>
  <c r="AF388" i="7"/>
  <c r="E389" i="7"/>
  <c r="G398" i="5"/>
  <c r="K398" i="5" s="1"/>
  <c r="F398" i="5"/>
  <c r="E398" i="5"/>
  <c r="C399" i="5"/>
  <c r="D399" i="5" s="1"/>
  <c r="B401" i="5"/>
  <c r="H400" i="5"/>
  <c r="I397" i="5"/>
  <c r="J397" i="5" s="1"/>
  <c r="E390" i="28"/>
  <c r="S389" i="28"/>
  <c r="E391" i="13"/>
  <c r="L391" i="13" s="1"/>
  <c r="R390" i="13"/>
  <c r="AE390" i="13"/>
  <c r="E393" i="27"/>
  <c r="AG389" i="13"/>
  <c r="AH389" i="13" s="1"/>
  <c r="AF389" i="13"/>
  <c r="S389" i="13"/>
  <c r="T389" i="13"/>
  <c r="U389" i="13" s="1"/>
  <c r="K391" i="13" l="1"/>
  <c r="AF389" i="7"/>
  <c r="E390" i="7"/>
  <c r="E399" i="5"/>
  <c r="G399" i="5"/>
  <c r="K399" i="5" s="1"/>
  <c r="F399" i="5"/>
  <c r="I398" i="5"/>
  <c r="J398" i="5" s="1"/>
  <c r="B402" i="5"/>
  <c r="H401" i="5"/>
  <c r="C400" i="5"/>
  <c r="D400" i="5" s="1"/>
  <c r="E391" i="28"/>
  <c r="S390" i="28"/>
  <c r="S390" i="13"/>
  <c r="T390" i="13"/>
  <c r="U390" i="13" s="1"/>
  <c r="E394" i="27"/>
  <c r="R391" i="13"/>
  <c r="E392" i="13"/>
  <c r="L392" i="13" s="1"/>
  <c r="AE391" i="13"/>
  <c r="AG390" i="13"/>
  <c r="AH390" i="13" s="1"/>
  <c r="AF390" i="13"/>
  <c r="K392" i="13" l="1"/>
  <c r="AF390" i="7"/>
  <c r="E391" i="7"/>
  <c r="F400" i="5"/>
  <c r="G400" i="5"/>
  <c r="K400" i="5" s="1"/>
  <c r="E400" i="5"/>
  <c r="H402" i="5"/>
  <c r="B403" i="5"/>
  <c r="C401" i="5"/>
  <c r="D401" i="5" s="1"/>
  <c r="I399" i="5"/>
  <c r="J399" i="5" s="1"/>
  <c r="E392" i="28"/>
  <c r="S391" i="28"/>
  <c r="AE392" i="13"/>
  <c r="R392" i="13"/>
  <c r="E393" i="13"/>
  <c r="L393" i="13" s="1"/>
  <c r="E395" i="27"/>
  <c r="AF391" i="13"/>
  <c r="AG391" i="13"/>
  <c r="AH391" i="13" s="1"/>
  <c r="T391" i="13"/>
  <c r="U391" i="13" s="1"/>
  <c r="S391" i="13"/>
  <c r="K393" i="13" l="1"/>
  <c r="AF391" i="7"/>
  <c r="E392" i="7"/>
  <c r="H403" i="5"/>
  <c r="C402" i="5"/>
  <c r="D402" i="5" s="1"/>
  <c r="B404" i="5"/>
  <c r="G401" i="5"/>
  <c r="K401" i="5" s="1"/>
  <c r="F401" i="5"/>
  <c r="E401" i="5"/>
  <c r="I400" i="5"/>
  <c r="J400" i="5" s="1"/>
  <c r="S392" i="28"/>
  <c r="E393" i="28"/>
  <c r="AF392" i="13"/>
  <c r="AG392" i="13"/>
  <c r="AH392" i="13" s="1"/>
  <c r="E396" i="27"/>
  <c r="AE393" i="13"/>
  <c r="R393" i="13"/>
  <c r="E394" i="13"/>
  <c r="L394" i="13" s="1"/>
  <c r="S392" i="13"/>
  <c r="T392" i="13"/>
  <c r="U392" i="13" s="1"/>
  <c r="K394" i="13" l="1"/>
  <c r="AF392" i="7"/>
  <c r="E393" i="7"/>
  <c r="H404" i="5"/>
  <c r="B405" i="5"/>
  <c r="C403" i="5"/>
  <c r="D403" i="5" s="1"/>
  <c r="I401" i="5"/>
  <c r="J401" i="5" s="1"/>
  <c r="F402" i="5"/>
  <c r="E402" i="5"/>
  <c r="G402" i="5"/>
  <c r="K402" i="5" s="1"/>
  <c r="E394" i="28"/>
  <c r="S393" i="28"/>
  <c r="AF393" i="13"/>
  <c r="AG393" i="13"/>
  <c r="AH393" i="13" s="1"/>
  <c r="E397" i="27"/>
  <c r="AE394" i="13"/>
  <c r="R394" i="13"/>
  <c r="E395" i="13"/>
  <c r="L395" i="13" s="1"/>
  <c r="T393" i="13"/>
  <c r="U393" i="13" s="1"/>
  <c r="S393" i="13"/>
  <c r="K395" i="13" l="1"/>
  <c r="AF393" i="7"/>
  <c r="E394" i="7"/>
  <c r="F403" i="5"/>
  <c r="E403" i="5"/>
  <c r="G403" i="5"/>
  <c r="K403" i="5" s="1"/>
  <c r="I402" i="5"/>
  <c r="J402" i="5" s="1"/>
  <c r="B406" i="5"/>
  <c r="C404" i="5"/>
  <c r="D404" i="5" s="1"/>
  <c r="H405" i="5"/>
  <c r="S394" i="28"/>
  <c r="E395" i="28"/>
  <c r="S394" i="13"/>
  <c r="T394" i="13"/>
  <c r="U394" i="13" s="1"/>
  <c r="AG394" i="13"/>
  <c r="AH394" i="13" s="1"/>
  <c r="AF394" i="13"/>
  <c r="E398" i="27"/>
  <c r="R395" i="13"/>
  <c r="AE395" i="13"/>
  <c r="E396" i="13"/>
  <c r="L396" i="13" s="1"/>
  <c r="K396" i="13" l="1"/>
  <c r="AF394" i="7"/>
  <c r="E395" i="7"/>
  <c r="H406" i="5"/>
  <c r="B407" i="5"/>
  <c r="C405" i="5"/>
  <c r="D405" i="5" s="1"/>
  <c r="F404" i="5"/>
  <c r="E404" i="5"/>
  <c r="G404" i="5"/>
  <c r="K404" i="5" s="1"/>
  <c r="I403" i="5"/>
  <c r="J403" i="5" s="1"/>
  <c r="S395" i="28"/>
  <c r="E396" i="28"/>
  <c r="E399" i="27"/>
  <c r="AE396" i="13"/>
  <c r="R396" i="13"/>
  <c r="E397" i="13"/>
  <c r="L397" i="13" s="1"/>
  <c r="S395" i="13"/>
  <c r="T395" i="13"/>
  <c r="U395" i="13" s="1"/>
  <c r="AG395" i="13"/>
  <c r="AH395" i="13" s="1"/>
  <c r="AF395" i="13"/>
  <c r="K397" i="13" l="1"/>
  <c r="AF395" i="7"/>
  <c r="E396" i="7"/>
  <c r="G405" i="5"/>
  <c r="K405" i="5" s="1"/>
  <c r="E405" i="5"/>
  <c r="F405" i="5"/>
  <c r="C406" i="5"/>
  <c r="D406" i="5" s="1"/>
  <c r="B408" i="5"/>
  <c r="H407" i="5"/>
  <c r="I404" i="5"/>
  <c r="J404" i="5" s="1"/>
  <c r="S396" i="28"/>
  <c r="E397" i="28"/>
  <c r="T396" i="13"/>
  <c r="U396" i="13" s="1"/>
  <c r="S396" i="13"/>
  <c r="AF396" i="13"/>
  <c r="AG396" i="13"/>
  <c r="AH396" i="13" s="1"/>
  <c r="E400" i="27"/>
  <c r="AE397" i="13"/>
  <c r="E398" i="13"/>
  <c r="L398" i="13" s="1"/>
  <c r="R397" i="13"/>
  <c r="K398" i="13" l="1"/>
  <c r="AF396" i="7"/>
  <c r="E397" i="7"/>
  <c r="G406" i="5"/>
  <c r="K406" i="5" s="1"/>
  <c r="F406" i="5"/>
  <c r="E406" i="5"/>
  <c r="I405" i="5"/>
  <c r="J405" i="5" s="1"/>
  <c r="C407" i="5"/>
  <c r="D407" i="5" s="1"/>
  <c r="H408" i="5"/>
  <c r="B409" i="5"/>
  <c r="S397" i="28"/>
  <c r="E398" i="28"/>
  <c r="T397" i="13"/>
  <c r="U397" i="13" s="1"/>
  <c r="S397" i="13"/>
  <c r="AE398" i="13"/>
  <c r="E399" i="13"/>
  <c r="L399" i="13" s="1"/>
  <c r="R398" i="13"/>
  <c r="AF397" i="13"/>
  <c r="AG397" i="13"/>
  <c r="AH397" i="13" s="1"/>
  <c r="E401" i="27"/>
  <c r="K399" i="13" l="1"/>
  <c r="AF397" i="7"/>
  <c r="E398" i="7"/>
  <c r="C408" i="5"/>
  <c r="D408" i="5" s="1"/>
  <c r="H409" i="5"/>
  <c r="B410" i="5"/>
  <c r="I406" i="5"/>
  <c r="J406" i="5" s="1"/>
  <c r="G407" i="5"/>
  <c r="K407" i="5" s="1"/>
  <c r="F407" i="5"/>
  <c r="E407" i="5"/>
  <c r="S398" i="28"/>
  <c r="E399" i="28"/>
  <c r="E402" i="27"/>
  <c r="AF398" i="13"/>
  <c r="AG398" i="13"/>
  <c r="AH398" i="13" s="1"/>
  <c r="T398" i="13"/>
  <c r="U398" i="13" s="1"/>
  <c r="S398" i="13"/>
  <c r="AE399" i="13"/>
  <c r="R399" i="13"/>
  <c r="E400" i="13"/>
  <c r="L400" i="13" s="1"/>
  <c r="K400" i="13" l="1"/>
  <c r="AF398" i="7"/>
  <c r="E399" i="7"/>
  <c r="I407" i="5"/>
  <c r="J407" i="5" s="1"/>
  <c r="B411" i="5"/>
  <c r="H410" i="5"/>
  <c r="C409" i="5"/>
  <c r="D409" i="5" s="1"/>
  <c r="E408" i="5"/>
  <c r="G408" i="5"/>
  <c r="K408" i="5" s="1"/>
  <c r="F408" i="5"/>
  <c r="S399" i="28"/>
  <c r="E400" i="28"/>
  <c r="AF399" i="13"/>
  <c r="AG399" i="13"/>
  <c r="AH399" i="13" s="1"/>
  <c r="E403" i="27"/>
  <c r="AE400" i="13"/>
  <c r="E401" i="13"/>
  <c r="L401" i="13" s="1"/>
  <c r="R400" i="13"/>
  <c r="S399" i="13"/>
  <c r="T399" i="13"/>
  <c r="U399" i="13" s="1"/>
  <c r="K401" i="13" l="1"/>
  <c r="AF399" i="7"/>
  <c r="E400" i="7"/>
  <c r="C410" i="5"/>
  <c r="D410" i="5" s="1"/>
  <c r="H411" i="5"/>
  <c r="B412" i="5"/>
  <c r="G409" i="5"/>
  <c r="K409" i="5" s="1"/>
  <c r="E409" i="5"/>
  <c r="F409" i="5"/>
  <c r="I408" i="5"/>
  <c r="J408" i="5" s="1"/>
  <c r="S400" i="28"/>
  <c r="E401" i="28"/>
  <c r="T400" i="13"/>
  <c r="U400" i="13" s="1"/>
  <c r="S400" i="13"/>
  <c r="AG400" i="13"/>
  <c r="AH400" i="13" s="1"/>
  <c r="AF400" i="13"/>
  <c r="AE401" i="13"/>
  <c r="R401" i="13"/>
  <c r="E402" i="13"/>
  <c r="L402" i="13" s="1"/>
  <c r="E404" i="27"/>
  <c r="K402" i="13" l="1"/>
  <c r="AF400" i="7"/>
  <c r="E401" i="7"/>
  <c r="B413" i="5"/>
  <c r="C411" i="5"/>
  <c r="D411" i="5" s="1"/>
  <c r="H412" i="5"/>
  <c r="I409" i="5"/>
  <c r="J409" i="5" s="1"/>
  <c r="F410" i="5"/>
  <c r="E410" i="5"/>
  <c r="G410" i="5"/>
  <c r="K410" i="5" s="1"/>
  <c r="S401" i="28"/>
  <c r="E402" i="28"/>
  <c r="T401" i="13"/>
  <c r="U401" i="13" s="1"/>
  <c r="S401" i="13"/>
  <c r="AF401" i="13"/>
  <c r="AG401" i="13"/>
  <c r="AH401" i="13" s="1"/>
  <c r="E405" i="27"/>
  <c r="R402" i="13"/>
  <c r="AE402" i="13"/>
  <c r="E403" i="13"/>
  <c r="L403" i="13" s="1"/>
  <c r="K403" i="13" l="1"/>
  <c r="AF401" i="7"/>
  <c r="E402" i="7"/>
  <c r="I410" i="5"/>
  <c r="J410" i="5" s="1"/>
  <c r="F411" i="5"/>
  <c r="E411" i="5"/>
  <c r="G411" i="5"/>
  <c r="K411" i="5" s="1"/>
  <c r="H413" i="5"/>
  <c r="B414" i="5"/>
  <c r="C412" i="5"/>
  <c r="D412" i="5" s="1"/>
  <c r="S402" i="28"/>
  <c r="E403" i="28"/>
  <c r="R403" i="13"/>
  <c r="AE403" i="13"/>
  <c r="E404" i="13"/>
  <c r="L404" i="13" s="1"/>
  <c r="AG402" i="13"/>
  <c r="AH402" i="13" s="1"/>
  <c r="AF402" i="13"/>
  <c r="E406" i="27"/>
  <c r="T402" i="13"/>
  <c r="U402" i="13" s="1"/>
  <c r="S402" i="13"/>
  <c r="K404" i="13" l="1"/>
  <c r="AF402" i="7"/>
  <c r="E403" i="7"/>
  <c r="I411" i="5"/>
  <c r="J411" i="5" s="1"/>
  <c r="H414" i="5"/>
  <c r="B415" i="5"/>
  <c r="C413" i="5"/>
  <c r="D413" i="5" s="1"/>
  <c r="G412" i="5"/>
  <c r="K412" i="5" s="1"/>
  <c r="E412" i="5"/>
  <c r="F412" i="5"/>
  <c r="S403" i="28"/>
  <c r="E404" i="28"/>
  <c r="AE404" i="13"/>
  <c r="R404" i="13"/>
  <c r="E405" i="13"/>
  <c r="L405" i="13" s="1"/>
  <c r="E407" i="27"/>
  <c r="AF403" i="13"/>
  <c r="AG403" i="13"/>
  <c r="AH403" i="13" s="1"/>
  <c r="S403" i="13"/>
  <c r="T403" i="13"/>
  <c r="U403" i="13" s="1"/>
  <c r="K405" i="13" l="1"/>
  <c r="AF403" i="7"/>
  <c r="E404" i="7"/>
  <c r="H415" i="5"/>
  <c r="B416" i="5"/>
  <c r="C414" i="5"/>
  <c r="D414" i="5" s="1"/>
  <c r="G413" i="5"/>
  <c r="K413" i="5" s="1"/>
  <c r="F413" i="5"/>
  <c r="E413" i="5"/>
  <c r="I412" i="5"/>
  <c r="J412" i="5" s="1"/>
  <c r="S404" i="28"/>
  <c r="E405" i="28"/>
  <c r="E406" i="13"/>
  <c r="L406" i="13" s="1"/>
  <c r="AE405" i="13"/>
  <c r="R405" i="13"/>
  <c r="AG404" i="13"/>
  <c r="AH404" i="13" s="1"/>
  <c r="AF404" i="13"/>
  <c r="E408" i="27"/>
  <c r="T404" i="13"/>
  <c r="U404" i="13" s="1"/>
  <c r="S404" i="13"/>
  <c r="K406" i="13" l="1"/>
  <c r="AF404" i="7"/>
  <c r="E405" i="7"/>
  <c r="G414" i="5"/>
  <c r="K414" i="5" s="1"/>
  <c r="F414" i="5"/>
  <c r="E414" i="5"/>
  <c r="I413" i="5"/>
  <c r="J413" i="5" s="1"/>
  <c r="B417" i="5"/>
  <c r="H416" i="5"/>
  <c r="C415" i="5"/>
  <c r="D415" i="5" s="1"/>
  <c r="E406" i="28"/>
  <c r="S405" i="28"/>
  <c r="T405" i="13"/>
  <c r="U405" i="13" s="1"/>
  <c r="S405" i="13"/>
  <c r="E409" i="27"/>
  <c r="AG405" i="13"/>
  <c r="AH405" i="13" s="1"/>
  <c r="AF405" i="13"/>
  <c r="R406" i="13"/>
  <c r="AE406" i="13"/>
  <c r="E407" i="13"/>
  <c r="L407" i="13" s="1"/>
  <c r="K407" i="13" l="1"/>
  <c r="AF405" i="7"/>
  <c r="E406" i="7"/>
  <c r="I414" i="5"/>
  <c r="J414" i="5" s="1"/>
  <c r="G415" i="5"/>
  <c r="K415" i="5" s="1"/>
  <c r="F415" i="5"/>
  <c r="E415" i="5"/>
  <c r="H417" i="5"/>
  <c r="C416" i="5"/>
  <c r="D416" i="5" s="1"/>
  <c r="B418" i="5"/>
  <c r="S406" i="28"/>
  <c r="E407" i="28"/>
  <c r="E410" i="27"/>
  <c r="AE407" i="13"/>
  <c r="R407" i="13"/>
  <c r="E408" i="13"/>
  <c r="L408" i="13" s="1"/>
  <c r="AG406" i="13"/>
  <c r="AH406" i="13" s="1"/>
  <c r="AF406" i="13"/>
  <c r="S406" i="13"/>
  <c r="T406" i="13"/>
  <c r="U406" i="13" s="1"/>
  <c r="K408" i="13" l="1"/>
  <c r="AF406" i="7"/>
  <c r="E407" i="7"/>
  <c r="I415" i="5"/>
  <c r="J415" i="5" s="1"/>
  <c r="H418" i="5"/>
  <c r="B419" i="5"/>
  <c r="C417" i="5"/>
  <c r="D417" i="5" s="1"/>
  <c r="E416" i="5"/>
  <c r="G416" i="5"/>
  <c r="K416" i="5" s="1"/>
  <c r="F416" i="5"/>
  <c r="S407" i="28"/>
  <c r="E408" i="28"/>
  <c r="E409" i="13"/>
  <c r="L409" i="13" s="1"/>
  <c r="AE408" i="13"/>
  <c r="R408" i="13"/>
  <c r="E411" i="27"/>
  <c r="T407" i="13"/>
  <c r="U407" i="13" s="1"/>
  <c r="S407" i="13"/>
  <c r="AG407" i="13"/>
  <c r="AH407" i="13" s="1"/>
  <c r="AF407" i="13"/>
  <c r="K409" i="13" l="1"/>
  <c r="AF407" i="7"/>
  <c r="E408" i="7"/>
  <c r="I416" i="5"/>
  <c r="J416" i="5" s="1"/>
  <c r="F417" i="5"/>
  <c r="E417" i="5"/>
  <c r="G417" i="5"/>
  <c r="K417" i="5" s="1"/>
  <c r="C418" i="5"/>
  <c r="D418" i="5" s="1"/>
  <c r="H419" i="5"/>
  <c r="B420" i="5"/>
  <c r="S408" i="28"/>
  <c r="E409" i="28"/>
  <c r="S408" i="13"/>
  <c r="T408" i="13"/>
  <c r="U408" i="13" s="1"/>
  <c r="E412" i="27"/>
  <c r="AG408" i="13"/>
  <c r="AH408" i="13" s="1"/>
  <c r="AF408" i="13"/>
  <c r="R409" i="13"/>
  <c r="E410" i="13"/>
  <c r="L410" i="13" s="1"/>
  <c r="AE409" i="13"/>
  <c r="K410" i="13" l="1"/>
  <c r="AF408" i="7"/>
  <c r="E409" i="7"/>
  <c r="B421" i="5"/>
  <c r="C419" i="5"/>
  <c r="D419" i="5" s="1"/>
  <c r="H420" i="5"/>
  <c r="I417" i="5"/>
  <c r="J417" i="5" s="1"/>
  <c r="G418" i="5"/>
  <c r="K418" i="5" s="1"/>
  <c r="F418" i="5"/>
  <c r="E418" i="5"/>
  <c r="E410" i="28"/>
  <c r="S409" i="28"/>
  <c r="AF409" i="13"/>
  <c r="AG409" i="13"/>
  <c r="AH409" i="13" s="1"/>
  <c r="S409" i="13"/>
  <c r="T409" i="13"/>
  <c r="U409" i="13" s="1"/>
  <c r="E413" i="27"/>
  <c r="R410" i="13"/>
  <c r="AE410" i="13"/>
  <c r="E411" i="13"/>
  <c r="L411" i="13" s="1"/>
  <c r="K411" i="13" l="1"/>
  <c r="AF409" i="7"/>
  <c r="E410" i="7"/>
  <c r="I418" i="5"/>
  <c r="J418" i="5" s="1"/>
  <c r="F419" i="5"/>
  <c r="E419" i="5"/>
  <c r="G419" i="5"/>
  <c r="K419" i="5" s="1"/>
  <c r="C420" i="5"/>
  <c r="D420" i="5" s="1"/>
  <c r="H421" i="5"/>
  <c r="B422" i="5"/>
  <c r="S410" i="28"/>
  <c r="E411" i="28"/>
  <c r="AF410" i="13"/>
  <c r="AG410" i="13"/>
  <c r="AH410" i="13" s="1"/>
  <c r="T410" i="13"/>
  <c r="U410" i="13" s="1"/>
  <c r="S410" i="13"/>
  <c r="R411" i="13"/>
  <c r="AE411" i="13"/>
  <c r="E412" i="13"/>
  <c r="L412" i="13" s="1"/>
  <c r="E414" i="27"/>
  <c r="K412" i="13" l="1"/>
  <c r="AF410" i="7"/>
  <c r="E411" i="7"/>
  <c r="C421" i="5"/>
  <c r="D421" i="5" s="1"/>
  <c r="H422" i="5"/>
  <c r="B423" i="5"/>
  <c r="I419" i="5"/>
  <c r="J419" i="5" s="1"/>
  <c r="G420" i="5"/>
  <c r="K420" i="5" s="1"/>
  <c r="F420" i="5"/>
  <c r="E420" i="5"/>
  <c r="S411" i="28"/>
  <c r="E412" i="28"/>
  <c r="AG411" i="13"/>
  <c r="AH411" i="13" s="1"/>
  <c r="AF411" i="13"/>
  <c r="R412" i="13"/>
  <c r="AE412" i="13"/>
  <c r="E413" i="13"/>
  <c r="L413" i="13" s="1"/>
  <c r="T411" i="13"/>
  <c r="U411" i="13" s="1"/>
  <c r="S411" i="13"/>
  <c r="E415" i="27"/>
  <c r="K413" i="13" l="1"/>
  <c r="AF411" i="7"/>
  <c r="E412" i="7"/>
  <c r="I420" i="5"/>
  <c r="J420" i="5" s="1"/>
  <c r="H423" i="5"/>
  <c r="C422" i="5"/>
  <c r="D422" i="5" s="1"/>
  <c r="B424" i="5"/>
  <c r="G421" i="5"/>
  <c r="K421" i="5" s="1"/>
  <c r="F421" i="5"/>
  <c r="E421" i="5"/>
  <c r="E413" i="28"/>
  <c r="S412" i="28"/>
  <c r="E416" i="27"/>
  <c r="AE413" i="13"/>
  <c r="E414" i="13"/>
  <c r="L414" i="13" s="1"/>
  <c r="R413" i="13"/>
  <c r="AG412" i="13"/>
  <c r="AH412" i="13" s="1"/>
  <c r="AF412" i="13"/>
  <c r="S412" i="13"/>
  <c r="T412" i="13"/>
  <c r="U412" i="13" s="1"/>
  <c r="K414" i="13" l="1"/>
  <c r="AF412" i="7"/>
  <c r="E413" i="7"/>
  <c r="H424" i="5"/>
  <c r="B425" i="5"/>
  <c r="C423" i="5"/>
  <c r="D423" i="5" s="1"/>
  <c r="I421" i="5"/>
  <c r="J421" i="5" s="1"/>
  <c r="F422" i="5"/>
  <c r="G422" i="5"/>
  <c r="K422" i="5" s="1"/>
  <c r="E422" i="5"/>
  <c r="S413" i="28"/>
  <c r="E414" i="28"/>
  <c r="AE414" i="13"/>
  <c r="R414" i="13"/>
  <c r="E415" i="13"/>
  <c r="L415" i="13" s="1"/>
  <c r="T413" i="13"/>
  <c r="U413" i="13" s="1"/>
  <c r="S413" i="13"/>
  <c r="AF413" i="13"/>
  <c r="AG413" i="13"/>
  <c r="AH413" i="13" s="1"/>
  <c r="E417" i="27"/>
  <c r="K415" i="13" l="1"/>
  <c r="AF413" i="7"/>
  <c r="E414" i="7"/>
  <c r="I422" i="5"/>
  <c r="J422" i="5" s="1"/>
  <c r="F423" i="5"/>
  <c r="G423" i="5"/>
  <c r="K423" i="5" s="1"/>
  <c r="E423" i="5"/>
  <c r="B426" i="5"/>
  <c r="H425" i="5"/>
  <c r="C424" i="5"/>
  <c r="D424" i="5" s="1"/>
  <c r="E415" i="28"/>
  <c r="S414" i="28"/>
  <c r="E418" i="27"/>
  <c r="E416" i="13"/>
  <c r="L416" i="13" s="1"/>
  <c r="R415" i="13"/>
  <c r="AE415" i="13"/>
  <c r="T414" i="13"/>
  <c r="U414" i="13" s="1"/>
  <c r="S414" i="13"/>
  <c r="AF414" i="13"/>
  <c r="AG414" i="13"/>
  <c r="AH414" i="13" s="1"/>
  <c r="K416" i="13" l="1"/>
  <c r="AF414" i="7"/>
  <c r="E415" i="7"/>
  <c r="I423" i="5"/>
  <c r="J423" i="5" s="1"/>
  <c r="E424" i="5"/>
  <c r="F424" i="5"/>
  <c r="G424" i="5"/>
  <c r="K424" i="5" s="1"/>
  <c r="B427" i="5"/>
  <c r="C425" i="5"/>
  <c r="D425" i="5" s="1"/>
  <c r="H426" i="5"/>
  <c r="S415" i="28"/>
  <c r="E416" i="28"/>
  <c r="T415" i="13"/>
  <c r="U415" i="13" s="1"/>
  <c r="S415" i="13"/>
  <c r="E417" i="13"/>
  <c r="L417" i="13" s="1"/>
  <c r="R416" i="13"/>
  <c r="AE416" i="13"/>
  <c r="E419" i="27"/>
  <c r="AF415" i="13"/>
  <c r="AG415" i="13"/>
  <c r="AH415" i="13" s="1"/>
  <c r="K417" i="13" l="1"/>
  <c r="AF415" i="7"/>
  <c r="E416" i="7"/>
  <c r="E425" i="5"/>
  <c r="G425" i="5"/>
  <c r="K425" i="5" s="1"/>
  <c r="F425" i="5"/>
  <c r="I424" i="5"/>
  <c r="J424" i="5" s="1"/>
  <c r="C426" i="5"/>
  <c r="D426" i="5" s="1"/>
  <c r="H427" i="5"/>
  <c r="B428" i="5"/>
  <c r="S416" i="28"/>
  <c r="E417" i="28"/>
  <c r="AF416" i="13"/>
  <c r="AG416" i="13"/>
  <c r="AH416" i="13" s="1"/>
  <c r="E420" i="27"/>
  <c r="S416" i="13"/>
  <c r="T416" i="13"/>
  <c r="U416" i="13" s="1"/>
  <c r="R417" i="13"/>
  <c r="AE417" i="13"/>
  <c r="E418" i="13"/>
  <c r="L418" i="13" s="1"/>
  <c r="K418" i="13" l="1"/>
  <c r="AF416" i="7"/>
  <c r="E417" i="7"/>
  <c r="H428" i="5"/>
  <c r="B429" i="5"/>
  <c r="C427" i="5"/>
  <c r="D427" i="5" s="1"/>
  <c r="E426" i="5"/>
  <c r="F426" i="5"/>
  <c r="G426" i="5"/>
  <c r="K426" i="5" s="1"/>
  <c r="I425" i="5"/>
  <c r="J425" i="5" s="1"/>
  <c r="E418" i="28"/>
  <c r="S417" i="28"/>
  <c r="AE418" i="13"/>
  <c r="R418" i="13"/>
  <c r="E419" i="13"/>
  <c r="L419" i="13" s="1"/>
  <c r="AG417" i="13"/>
  <c r="AH417" i="13" s="1"/>
  <c r="AF417" i="13"/>
  <c r="T417" i="13"/>
  <c r="U417" i="13" s="1"/>
  <c r="S417" i="13"/>
  <c r="E421" i="27"/>
  <c r="K419" i="13" l="1"/>
  <c r="AF417" i="7"/>
  <c r="E418" i="7"/>
  <c r="I426" i="5"/>
  <c r="J426" i="5" s="1"/>
  <c r="F427" i="5"/>
  <c r="E427" i="5"/>
  <c r="G427" i="5"/>
  <c r="K427" i="5" s="1"/>
  <c r="C428" i="5"/>
  <c r="D428" i="5" s="1"/>
  <c r="B430" i="5"/>
  <c r="H429" i="5"/>
  <c r="E419" i="28"/>
  <c r="S418" i="28"/>
  <c r="AE419" i="13"/>
  <c r="E420" i="13"/>
  <c r="L420" i="13" s="1"/>
  <c r="R419" i="13"/>
  <c r="E422" i="27"/>
  <c r="S418" i="13"/>
  <c r="T418" i="13"/>
  <c r="U418" i="13" s="1"/>
  <c r="AF418" i="13"/>
  <c r="AG418" i="13"/>
  <c r="AH418" i="13" s="1"/>
  <c r="K420" i="13" l="1"/>
  <c r="AF418" i="7"/>
  <c r="E419" i="7"/>
  <c r="I427" i="5"/>
  <c r="J427" i="5" s="1"/>
  <c r="C429" i="5"/>
  <c r="D429" i="5" s="1"/>
  <c r="B431" i="5"/>
  <c r="H430" i="5"/>
  <c r="E428" i="5"/>
  <c r="F428" i="5"/>
  <c r="G428" i="5"/>
  <c r="K428" i="5" s="1"/>
  <c r="S419" i="28"/>
  <c r="E420" i="28"/>
  <c r="T419" i="13"/>
  <c r="U419" i="13" s="1"/>
  <c r="S419" i="13"/>
  <c r="R420" i="13"/>
  <c r="E421" i="13"/>
  <c r="L421" i="13" s="1"/>
  <c r="AE420" i="13"/>
  <c r="E423" i="27"/>
  <c r="AG419" i="13"/>
  <c r="AH419" i="13" s="1"/>
  <c r="AF419" i="13"/>
  <c r="K421" i="13" l="1"/>
  <c r="AF419" i="7"/>
  <c r="E420" i="7"/>
  <c r="C430" i="5"/>
  <c r="D430" i="5" s="1"/>
  <c r="H431" i="5"/>
  <c r="B432" i="5"/>
  <c r="G429" i="5"/>
  <c r="K429" i="5" s="1"/>
  <c r="F429" i="5"/>
  <c r="E429" i="5"/>
  <c r="I428" i="5"/>
  <c r="J428" i="5" s="1"/>
  <c r="S420" i="28"/>
  <c r="E421" i="28"/>
  <c r="AG420" i="13"/>
  <c r="AH420" i="13" s="1"/>
  <c r="AF420" i="13"/>
  <c r="E424" i="27"/>
  <c r="AE421" i="13"/>
  <c r="E422" i="13"/>
  <c r="L422" i="13" s="1"/>
  <c r="R421" i="13"/>
  <c r="T420" i="13"/>
  <c r="U420" i="13" s="1"/>
  <c r="S420" i="13"/>
  <c r="K422" i="13" l="1"/>
  <c r="AF420" i="7"/>
  <c r="E421" i="7"/>
  <c r="H432" i="5"/>
  <c r="C431" i="5"/>
  <c r="D431" i="5" s="1"/>
  <c r="B433" i="5"/>
  <c r="I429" i="5"/>
  <c r="J429" i="5" s="1"/>
  <c r="E430" i="5"/>
  <c r="G430" i="5"/>
  <c r="K430" i="5" s="1"/>
  <c r="F430" i="5"/>
  <c r="S421" i="28"/>
  <c r="E422" i="28"/>
  <c r="T421" i="13"/>
  <c r="U421" i="13" s="1"/>
  <c r="S421" i="13"/>
  <c r="E425" i="27"/>
  <c r="R422" i="13"/>
  <c r="AE422" i="13"/>
  <c r="E423" i="13"/>
  <c r="L423" i="13" s="1"/>
  <c r="AG421" i="13"/>
  <c r="AH421" i="13" s="1"/>
  <c r="AF421" i="13"/>
  <c r="K423" i="13" l="1"/>
  <c r="AF421" i="7"/>
  <c r="E422" i="7"/>
  <c r="B434" i="5"/>
  <c r="H433" i="5"/>
  <c r="C432" i="5"/>
  <c r="D432" i="5" s="1"/>
  <c r="E431" i="5"/>
  <c r="G431" i="5"/>
  <c r="K431" i="5" s="1"/>
  <c r="F431" i="5"/>
  <c r="I430" i="5"/>
  <c r="J430" i="5" s="1"/>
  <c r="E423" i="28"/>
  <c r="S422" i="28"/>
  <c r="AE423" i="13"/>
  <c r="R423" i="13"/>
  <c r="E424" i="13"/>
  <c r="L424" i="13" s="1"/>
  <c r="E426" i="27"/>
  <c r="AG422" i="13"/>
  <c r="AH422" i="13" s="1"/>
  <c r="AF422" i="13"/>
  <c r="T422" i="13"/>
  <c r="U422" i="13" s="1"/>
  <c r="S422" i="13"/>
  <c r="K424" i="13" l="1"/>
  <c r="AF422" i="7"/>
  <c r="E423" i="7"/>
  <c r="I431" i="5"/>
  <c r="J431" i="5" s="1"/>
  <c r="E432" i="5"/>
  <c r="F432" i="5"/>
  <c r="G432" i="5"/>
  <c r="K432" i="5" s="1"/>
  <c r="C433" i="5"/>
  <c r="D433" i="5" s="1"/>
  <c r="H434" i="5"/>
  <c r="B435" i="5"/>
  <c r="E424" i="28"/>
  <c r="S423" i="28"/>
  <c r="AE424" i="13"/>
  <c r="R424" i="13"/>
  <c r="E425" i="13"/>
  <c r="L425" i="13" s="1"/>
  <c r="AG423" i="13"/>
  <c r="AH423" i="13" s="1"/>
  <c r="AF423" i="13"/>
  <c r="E427" i="27"/>
  <c r="S423" i="13"/>
  <c r="T423" i="13"/>
  <c r="U423" i="13" s="1"/>
  <c r="K425" i="13" l="1"/>
  <c r="AF423" i="7"/>
  <c r="E424" i="7"/>
  <c r="I432" i="5"/>
  <c r="J432" i="5" s="1"/>
  <c r="B436" i="5"/>
  <c r="C434" i="5"/>
  <c r="D434" i="5" s="1"/>
  <c r="H435" i="5"/>
  <c r="G433" i="5"/>
  <c r="K433" i="5" s="1"/>
  <c r="E433" i="5"/>
  <c r="F433" i="5"/>
  <c r="S424" i="28"/>
  <c r="E425" i="28"/>
  <c r="T424" i="13"/>
  <c r="U424" i="13" s="1"/>
  <c r="S424" i="13"/>
  <c r="E428" i="27"/>
  <c r="AF424" i="13"/>
  <c r="AG424" i="13"/>
  <c r="AH424" i="13" s="1"/>
  <c r="AE425" i="13"/>
  <c r="E426" i="13"/>
  <c r="L426" i="13" s="1"/>
  <c r="R425" i="13"/>
  <c r="K426" i="13" l="1"/>
  <c r="AF424" i="7"/>
  <c r="E425" i="7"/>
  <c r="E434" i="5"/>
  <c r="G434" i="5"/>
  <c r="K434" i="5" s="1"/>
  <c r="F434" i="5"/>
  <c r="I433" i="5"/>
  <c r="J433" i="5" s="1"/>
  <c r="H436" i="5"/>
  <c r="B437" i="5"/>
  <c r="C435" i="5"/>
  <c r="D435" i="5" s="1"/>
  <c r="E426" i="28"/>
  <c r="S425" i="28"/>
  <c r="T425" i="13"/>
  <c r="U425" i="13" s="1"/>
  <c r="S425" i="13"/>
  <c r="AE426" i="13"/>
  <c r="R426" i="13"/>
  <c r="E427" i="13"/>
  <c r="L427" i="13" s="1"/>
  <c r="AG425" i="13"/>
  <c r="AH425" i="13" s="1"/>
  <c r="AF425" i="13"/>
  <c r="E429" i="27"/>
  <c r="K427" i="13" l="1"/>
  <c r="AF425" i="7"/>
  <c r="E426" i="7"/>
  <c r="B438" i="5"/>
  <c r="H437" i="5"/>
  <c r="C436" i="5"/>
  <c r="D436" i="5" s="1"/>
  <c r="E435" i="5"/>
  <c r="F435" i="5"/>
  <c r="G435" i="5"/>
  <c r="K435" i="5" s="1"/>
  <c r="I434" i="5"/>
  <c r="J434" i="5" s="1"/>
  <c r="S426" i="28"/>
  <c r="E427" i="28"/>
  <c r="AF426" i="13"/>
  <c r="AG426" i="13"/>
  <c r="AH426" i="13" s="1"/>
  <c r="E430" i="27"/>
  <c r="R427" i="13"/>
  <c r="AE427" i="13"/>
  <c r="E428" i="13"/>
  <c r="L428" i="13" s="1"/>
  <c r="S426" i="13"/>
  <c r="T426" i="13"/>
  <c r="U426" i="13" s="1"/>
  <c r="K428" i="13" l="1"/>
  <c r="AF426" i="7"/>
  <c r="E427" i="7"/>
  <c r="I435" i="5"/>
  <c r="J435" i="5" s="1"/>
  <c r="G436" i="5"/>
  <c r="K436" i="5" s="1"/>
  <c r="F436" i="5"/>
  <c r="E436" i="5"/>
  <c r="C437" i="5"/>
  <c r="D437" i="5" s="1"/>
  <c r="B439" i="5"/>
  <c r="H438" i="5"/>
  <c r="S427" i="28"/>
  <c r="E428" i="28"/>
  <c r="S427" i="13"/>
  <c r="T427" i="13"/>
  <c r="U427" i="13" s="1"/>
  <c r="E431" i="27"/>
  <c r="R428" i="13"/>
  <c r="E429" i="13"/>
  <c r="L429" i="13" s="1"/>
  <c r="AE428" i="13"/>
  <c r="AF427" i="13"/>
  <c r="AG427" i="13"/>
  <c r="AH427" i="13" s="1"/>
  <c r="K429" i="13" l="1"/>
  <c r="AF427" i="7"/>
  <c r="E428" i="7"/>
  <c r="I436" i="5"/>
  <c r="J436" i="5" s="1"/>
  <c r="H439" i="5"/>
  <c r="C438" i="5"/>
  <c r="D438" i="5" s="1"/>
  <c r="B440" i="5"/>
  <c r="F437" i="5"/>
  <c r="G437" i="5"/>
  <c r="K437" i="5" s="1"/>
  <c r="E437" i="5"/>
  <c r="S428" i="28"/>
  <c r="E429" i="28"/>
  <c r="T428" i="13"/>
  <c r="U428" i="13" s="1"/>
  <c r="S428" i="13"/>
  <c r="E432" i="27"/>
  <c r="AG428" i="13"/>
  <c r="AH428" i="13" s="1"/>
  <c r="AF428" i="13"/>
  <c r="AE429" i="13"/>
  <c r="R429" i="13"/>
  <c r="E430" i="13"/>
  <c r="L430" i="13" s="1"/>
  <c r="K430" i="13" l="1"/>
  <c r="AF428" i="7"/>
  <c r="E429" i="7"/>
  <c r="C439" i="5"/>
  <c r="D439" i="5" s="1"/>
  <c r="H440" i="5"/>
  <c r="B441" i="5"/>
  <c r="I437" i="5"/>
  <c r="J437" i="5" s="1"/>
  <c r="F438" i="5"/>
  <c r="G438" i="5"/>
  <c r="K438" i="5" s="1"/>
  <c r="E438" i="5"/>
  <c r="E430" i="28"/>
  <c r="S429" i="28"/>
  <c r="E433" i="27"/>
  <c r="AE430" i="13"/>
  <c r="E431" i="13"/>
  <c r="L431" i="13" s="1"/>
  <c r="R430" i="13"/>
  <c r="S429" i="13"/>
  <c r="T429" i="13"/>
  <c r="U429" i="13" s="1"/>
  <c r="AG429" i="13"/>
  <c r="AH429" i="13" s="1"/>
  <c r="AF429" i="13"/>
  <c r="K431" i="13" l="1"/>
  <c r="AF429" i="7"/>
  <c r="E430" i="7"/>
  <c r="I438" i="5"/>
  <c r="J438" i="5" s="1"/>
  <c r="C440" i="5"/>
  <c r="D440" i="5" s="1"/>
  <c r="B442" i="5"/>
  <c r="H441" i="5"/>
  <c r="E439" i="5"/>
  <c r="G439" i="5"/>
  <c r="K439" i="5" s="1"/>
  <c r="F439" i="5"/>
  <c r="S430" i="28"/>
  <c r="E431" i="28"/>
  <c r="S430" i="13"/>
  <c r="T430" i="13"/>
  <c r="U430" i="13" s="1"/>
  <c r="AE431" i="13"/>
  <c r="R431" i="13"/>
  <c r="E432" i="13"/>
  <c r="L432" i="13" s="1"/>
  <c r="AG430" i="13"/>
  <c r="AH430" i="13" s="1"/>
  <c r="AF430" i="13"/>
  <c r="E434" i="27"/>
  <c r="K432" i="13" l="1"/>
  <c r="AF430" i="7"/>
  <c r="E431" i="7"/>
  <c r="H442" i="5"/>
  <c r="B443" i="5"/>
  <c r="C441" i="5"/>
  <c r="D441" i="5" s="1"/>
  <c r="E440" i="5"/>
  <c r="G440" i="5"/>
  <c r="K440" i="5" s="1"/>
  <c r="F440" i="5"/>
  <c r="I439" i="5"/>
  <c r="J439" i="5" s="1"/>
  <c r="S431" i="28"/>
  <c r="E432" i="28"/>
  <c r="E435" i="27"/>
  <c r="S431" i="13"/>
  <c r="T431" i="13"/>
  <c r="U431" i="13" s="1"/>
  <c r="AG431" i="13"/>
  <c r="AH431" i="13" s="1"/>
  <c r="AF431" i="13"/>
  <c r="AE432" i="13"/>
  <c r="R432" i="13"/>
  <c r="E433" i="13"/>
  <c r="L433" i="13" s="1"/>
  <c r="K433" i="13" l="1"/>
  <c r="AF431" i="7"/>
  <c r="E432" i="7"/>
  <c r="I440" i="5"/>
  <c r="J440" i="5" s="1"/>
  <c r="F441" i="5"/>
  <c r="E441" i="5"/>
  <c r="G441" i="5"/>
  <c r="K441" i="5" s="1"/>
  <c r="H443" i="5"/>
  <c r="C442" i="5"/>
  <c r="D442" i="5" s="1"/>
  <c r="B444" i="5"/>
  <c r="S432" i="28"/>
  <c r="E433" i="28"/>
  <c r="S432" i="13"/>
  <c r="T432" i="13"/>
  <c r="U432" i="13" s="1"/>
  <c r="R433" i="13"/>
  <c r="AE433" i="13"/>
  <c r="E434" i="13"/>
  <c r="L434" i="13" s="1"/>
  <c r="AG432" i="13"/>
  <c r="AH432" i="13" s="1"/>
  <c r="AF432" i="13"/>
  <c r="E436" i="27"/>
  <c r="K434" i="13" l="1"/>
  <c r="AF432" i="7"/>
  <c r="E433" i="7"/>
  <c r="H444" i="5"/>
  <c r="C443" i="5"/>
  <c r="D443" i="5" s="1"/>
  <c r="B445" i="5"/>
  <c r="I441" i="5"/>
  <c r="J441" i="5" s="1"/>
  <c r="G442" i="5"/>
  <c r="K442" i="5" s="1"/>
  <c r="E442" i="5"/>
  <c r="F442" i="5"/>
  <c r="E434" i="28"/>
  <c r="S433" i="28"/>
  <c r="E437" i="27"/>
  <c r="AG433" i="13"/>
  <c r="AH433" i="13" s="1"/>
  <c r="AF433" i="13"/>
  <c r="R434" i="13"/>
  <c r="AE434" i="13"/>
  <c r="E435" i="13"/>
  <c r="L435" i="13" s="1"/>
  <c r="T433" i="13"/>
  <c r="U433" i="13" s="1"/>
  <c r="S433" i="13"/>
  <c r="K435" i="13" l="1"/>
  <c r="AF433" i="7"/>
  <c r="E434" i="7"/>
  <c r="C444" i="5"/>
  <c r="D444" i="5" s="1"/>
  <c r="B446" i="5"/>
  <c r="H445" i="5"/>
  <c r="I442" i="5"/>
  <c r="J442" i="5" s="1"/>
  <c r="G443" i="5"/>
  <c r="K443" i="5" s="1"/>
  <c r="F443" i="5"/>
  <c r="E443" i="5"/>
  <c r="E435" i="28"/>
  <c r="S434" i="28"/>
  <c r="T434" i="13"/>
  <c r="U434" i="13" s="1"/>
  <c r="S434" i="13"/>
  <c r="AE435" i="13"/>
  <c r="R435" i="13"/>
  <c r="E436" i="13"/>
  <c r="L436" i="13" s="1"/>
  <c r="AF434" i="13"/>
  <c r="AG434" i="13"/>
  <c r="AH434" i="13" s="1"/>
  <c r="E438" i="27"/>
  <c r="K436" i="13" l="1"/>
  <c r="AF434" i="7"/>
  <c r="E435" i="7"/>
  <c r="I443" i="5"/>
  <c r="J443" i="5" s="1"/>
  <c r="B447" i="5"/>
  <c r="C445" i="5"/>
  <c r="D445" i="5" s="1"/>
  <c r="H446" i="5"/>
  <c r="G444" i="5"/>
  <c r="K444" i="5" s="1"/>
  <c r="E444" i="5"/>
  <c r="F444" i="5"/>
  <c r="E436" i="28"/>
  <c r="S435" i="28"/>
  <c r="R436" i="13"/>
  <c r="AE436" i="13"/>
  <c r="E437" i="13"/>
  <c r="L437" i="13" s="1"/>
  <c r="S435" i="13"/>
  <c r="T435" i="13"/>
  <c r="U435" i="13" s="1"/>
  <c r="E439" i="27"/>
  <c r="AG435" i="13"/>
  <c r="AH435" i="13" s="1"/>
  <c r="AF435" i="13"/>
  <c r="K437" i="13" l="1"/>
  <c r="AF435" i="7"/>
  <c r="E436" i="7"/>
  <c r="F445" i="5"/>
  <c r="E445" i="5"/>
  <c r="G445" i="5"/>
  <c r="K445" i="5" s="1"/>
  <c r="I444" i="5"/>
  <c r="J444" i="5" s="1"/>
  <c r="B448" i="5"/>
  <c r="H447" i="5"/>
  <c r="C446" i="5"/>
  <c r="D446" i="5" s="1"/>
  <c r="E437" i="28"/>
  <c r="S436" i="28"/>
  <c r="E440" i="27"/>
  <c r="S436" i="13"/>
  <c r="T436" i="13"/>
  <c r="U436" i="13" s="1"/>
  <c r="AE437" i="13"/>
  <c r="R437" i="13"/>
  <c r="E438" i="13"/>
  <c r="L438" i="13" s="1"/>
  <c r="AG436" i="13"/>
  <c r="AH436" i="13" s="1"/>
  <c r="AF436" i="13"/>
  <c r="K438" i="13" l="1"/>
  <c r="AF436" i="7"/>
  <c r="E437" i="7"/>
  <c r="H448" i="5"/>
  <c r="C447" i="5"/>
  <c r="D447" i="5" s="1"/>
  <c r="B449" i="5"/>
  <c r="E446" i="5"/>
  <c r="F446" i="5"/>
  <c r="G446" i="5"/>
  <c r="K446" i="5" s="1"/>
  <c r="I445" i="5"/>
  <c r="J445" i="5" s="1"/>
  <c r="E438" i="28"/>
  <c r="S437" i="28"/>
  <c r="R438" i="13"/>
  <c r="AE438" i="13"/>
  <c r="E439" i="13"/>
  <c r="L439" i="13" s="1"/>
  <c r="S437" i="13"/>
  <c r="T437" i="13"/>
  <c r="U437" i="13" s="1"/>
  <c r="AG437" i="13"/>
  <c r="AH437" i="13" s="1"/>
  <c r="AF437" i="13"/>
  <c r="E441" i="27"/>
  <c r="K439" i="13" l="1"/>
  <c r="AF437" i="7"/>
  <c r="E438" i="7"/>
  <c r="I446" i="5"/>
  <c r="J446" i="5" s="1"/>
  <c r="H449" i="5"/>
  <c r="C448" i="5"/>
  <c r="D448" i="5" s="1"/>
  <c r="B450" i="5"/>
  <c r="F447" i="5"/>
  <c r="G447" i="5"/>
  <c r="K447" i="5" s="1"/>
  <c r="E447" i="5"/>
  <c r="E439" i="28"/>
  <c r="S438" i="28"/>
  <c r="S438" i="13"/>
  <c r="T438" i="13"/>
  <c r="U438" i="13" s="1"/>
  <c r="E442" i="27"/>
  <c r="E440" i="13"/>
  <c r="L440" i="13" s="1"/>
  <c r="AE439" i="13"/>
  <c r="R439" i="13"/>
  <c r="AF438" i="13"/>
  <c r="AG438" i="13"/>
  <c r="AH438" i="13" s="1"/>
  <c r="K440" i="13" l="1"/>
  <c r="AF438" i="7"/>
  <c r="E439" i="7"/>
  <c r="H450" i="5"/>
  <c r="B451" i="5"/>
  <c r="C449" i="5"/>
  <c r="D449" i="5" s="1"/>
  <c r="I447" i="5"/>
  <c r="J447" i="5" s="1"/>
  <c r="E448" i="5"/>
  <c r="G448" i="5"/>
  <c r="K448" i="5" s="1"/>
  <c r="F448" i="5"/>
  <c r="S439" i="28"/>
  <c r="E440" i="28"/>
  <c r="E443" i="27"/>
  <c r="T439" i="13"/>
  <c r="U439" i="13" s="1"/>
  <c r="S439" i="13"/>
  <c r="AF439" i="13"/>
  <c r="AG439" i="13"/>
  <c r="AH439" i="13" s="1"/>
  <c r="R440" i="13"/>
  <c r="AE440" i="13"/>
  <c r="E441" i="13"/>
  <c r="L441" i="13" s="1"/>
  <c r="K441" i="13" l="1"/>
  <c r="AF439" i="7"/>
  <c r="E440" i="7"/>
  <c r="E449" i="5"/>
  <c r="G449" i="5"/>
  <c r="K449" i="5" s="1"/>
  <c r="F449" i="5"/>
  <c r="B452" i="5"/>
  <c r="C450" i="5"/>
  <c r="D450" i="5" s="1"/>
  <c r="H451" i="5"/>
  <c r="I448" i="5"/>
  <c r="J448" i="5" s="1"/>
  <c r="E441" i="28"/>
  <c r="S440" i="28"/>
  <c r="AG440" i="13"/>
  <c r="AH440" i="13" s="1"/>
  <c r="AF440" i="13"/>
  <c r="AE441" i="13"/>
  <c r="R441" i="13"/>
  <c r="E442" i="13"/>
  <c r="L442" i="13" s="1"/>
  <c r="T440" i="13"/>
  <c r="U440" i="13" s="1"/>
  <c r="S440" i="13"/>
  <c r="E444" i="27"/>
  <c r="K442" i="13" l="1"/>
  <c r="AF440" i="7"/>
  <c r="E441" i="7"/>
  <c r="B453" i="5"/>
  <c r="H452" i="5"/>
  <c r="C451" i="5"/>
  <c r="D451" i="5" s="1"/>
  <c r="F450" i="5"/>
  <c r="E450" i="5"/>
  <c r="G450" i="5"/>
  <c r="K450" i="5" s="1"/>
  <c r="I449" i="5"/>
  <c r="J449" i="5" s="1"/>
  <c r="E442" i="28"/>
  <c r="S441" i="28"/>
  <c r="T441" i="13"/>
  <c r="U441" i="13" s="1"/>
  <c r="S441" i="13"/>
  <c r="E445" i="27"/>
  <c r="R442" i="13"/>
  <c r="E443" i="13"/>
  <c r="L443" i="13" s="1"/>
  <c r="AE442" i="13"/>
  <c r="AF441" i="13"/>
  <c r="AG441" i="13"/>
  <c r="AH441" i="13" s="1"/>
  <c r="K443" i="13" l="1"/>
  <c r="AF441" i="7"/>
  <c r="E442" i="7"/>
  <c r="G451" i="5"/>
  <c r="K451" i="5" s="1"/>
  <c r="E451" i="5"/>
  <c r="F451" i="5"/>
  <c r="I450" i="5"/>
  <c r="J450" i="5" s="1"/>
  <c r="C452" i="5"/>
  <c r="D452" i="5" s="1"/>
  <c r="H453" i="5"/>
  <c r="B454" i="5"/>
  <c r="E443" i="28"/>
  <c r="S442" i="28"/>
  <c r="S442" i="13"/>
  <c r="T442" i="13"/>
  <c r="U442" i="13" s="1"/>
  <c r="AG442" i="13"/>
  <c r="AH442" i="13" s="1"/>
  <c r="AF442" i="13"/>
  <c r="E446" i="27"/>
  <c r="AE443" i="13"/>
  <c r="E444" i="13"/>
  <c r="L444" i="13" s="1"/>
  <c r="R443" i="13"/>
  <c r="K444" i="13" l="1"/>
  <c r="AF442" i="7"/>
  <c r="E443" i="7"/>
  <c r="H454" i="5"/>
  <c r="B455" i="5"/>
  <c r="C453" i="5"/>
  <c r="D453" i="5" s="1"/>
  <c r="I451" i="5"/>
  <c r="J451" i="5" s="1"/>
  <c r="F452" i="5"/>
  <c r="E452" i="5"/>
  <c r="G452" i="5"/>
  <c r="K452" i="5" s="1"/>
  <c r="S443" i="28"/>
  <c r="E444" i="28"/>
  <c r="AE444" i="13"/>
  <c r="R444" i="13"/>
  <c r="E445" i="13"/>
  <c r="L445" i="13" s="1"/>
  <c r="E447" i="27"/>
  <c r="AG443" i="13"/>
  <c r="AH443" i="13" s="1"/>
  <c r="AF443" i="13"/>
  <c r="S443" i="13"/>
  <c r="T443" i="13"/>
  <c r="U443" i="13" s="1"/>
  <c r="K445" i="13" l="1"/>
  <c r="AF443" i="7"/>
  <c r="E444" i="7"/>
  <c r="F453" i="5"/>
  <c r="E453" i="5"/>
  <c r="G453" i="5"/>
  <c r="K453" i="5" s="1"/>
  <c r="I452" i="5"/>
  <c r="J452" i="5" s="1"/>
  <c r="C454" i="5"/>
  <c r="D454" i="5" s="1"/>
  <c r="H455" i="5"/>
  <c r="B456" i="5"/>
  <c r="E445" i="28"/>
  <c r="S444" i="28"/>
  <c r="S444" i="13"/>
  <c r="T444" i="13"/>
  <c r="U444" i="13" s="1"/>
  <c r="E448" i="27"/>
  <c r="AG444" i="13"/>
  <c r="AH444" i="13" s="1"/>
  <c r="AF444" i="13"/>
  <c r="R445" i="13"/>
  <c r="AE445" i="13"/>
  <c r="E446" i="13"/>
  <c r="L446" i="13" s="1"/>
  <c r="K446" i="13" l="1"/>
  <c r="AF444" i="7"/>
  <c r="E445" i="7"/>
  <c r="H456" i="5"/>
  <c r="C455" i="5"/>
  <c r="D455" i="5" s="1"/>
  <c r="B457" i="5"/>
  <c r="I453" i="5"/>
  <c r="J453" i="5" s="1"/>
  <c r="E454" i="5"/>
  <c r="G454" i="5"/>
  <c r="K454" i="5" s="1"/>
  <c r="F454" i="5"/>
  <c r="S445" i="28"/>
  <c r="E446" i="28"/>
  <c r="E449" i="27"/>
  <c r="AF445" i="13"/>
  <c r="AG445" i="13"/>
  <c r="AH445" i="13" s="1"/>
  <c r="R446" i="13"/>
  <c r="AE446" i="13"/>
  <c r="E447" i="13"/>
  <c r="L447" i="13" s="1"/>
  <c r="T445" i="13"/>
  <c r="U445" i="13" s="1"/>
  <c r="S445" i="13"/>
  <c r="K447" i="13" l="1"/>
  <c r="AF445" i="7"/>
  <c r="E446" i="7"/>
  <c r="G455" i="5"/>
  <c r="K455" i="5" s="1"/>
  <c r="F455" i="5"/>
  <c r="E455" i="5"/>
  <c r="B458" i="5"/>
  <c r="H457" i="5"/>
  <c r="C456" i="5"/>
  <c r="D456" i="5" s="1"/>
  <c r="I454" i="5"/>
  <c r="J454" i="5" s="1"/>
  <c r="E447" i="28"/>
  <c r="S446" i="28"/>
  <c r="S446" i="13"/>
  <c r="T446" i="13"/>
  <c r="U446" i="13" s="1"/>
  <c r="E450" i="27"/>
  <c r="R447" i="13"/>
  <c r="E448" i="13"/>
  <c r="L448" i="13" s="1"/>
  <c r="AE447" i="13"/>
  <c r="AF446" i="13"/>
  <c r="AG446" i="13"/>
  <c r="AH446" i="13" s="1"/>
  <c r="K448" i="13" l="1"/>
  <c r="AF446" i="7"/>
  <c r="E447" i="7"/>
  <c r="I455" i="5"/>
  <c r="J455" i="5" s="1"/>
  <c r="C457" i="5"/>
  <c r="D457" i="5" s="1"/>
  <c r="H458" i="5"/>
  <c r="B459" i="5"/>
  <c r="G456" i="5"/>
  <c r="K456" i="5" s="1"/>
  <c r="F456" i="5"/>
  <c r="E456" i="5"/>
  <c r="E448" i="28"/>
  <c r="S447" i="28"/>
  <c r="AG447" i="13"/>
  <c r="AH447" i="13" s="1"/>
  <c r="AF447" i="13"/>
  <c r="AE448" i="13"/>
  <c r="E449" i="13"/>
  <c r="L449" i="13" s="1"/>
  <c r="R448" i="13"/>
  <c r="S447" i="13"/>
  <c r="T447" i="13"/>
  <c r="U447" i="13" s="1"/>
  <c r="E451" i="27"/>
  <c r="K449" i="13" l="1"/>
  <c r="AF447" i="7"/>
  <c r="E448" i="7"/>
  <c r="G457" i="5"/>
  <c r="K457" i="5" s="1"/>
  <c r="E457" i="5"/>
  <c r="F457" i="5"/>
  <c r="B460" i="5"/>
  <c r="C458" i="5"/>
  <c r="D458" i="5" s="1"/>
  <c r="H459" i="5"/>
  <c r="I456" i="5"/>
  <c r="J456" i="5" s="1"/>
  <c r="S448" i="28"/>
  <c r="E449" i="28"/>
  <c r="AG448" i="13"/>
  <c r="AH448" i="13" s="1"/>
  <c r="AF448" i="13"/>
  <c r="E452" i="27"/>
  <c r="S448" i="13"/>
  <c r="T448" i="13"/>
  <c r="U448" i="13" s="1"/>
  <c r="R449" i="13"/>
  <c r="AE449" i="13"/>
  <c r="E450" i="13"/>
  <c r="L450" i="13" s="1"/>
  <c r="K450" i="13" l="1"/>
  <c r="AF448" i="7"/>
  <c r="E449" i="7"/>
  <c r="B461" i="5"/>
  <c r="H460" i="5"/>
  <c r="C459" i="5"/>
  <c r="D459" i="5" s="1"/>
  <c r="I457" i="5"/>
  <c r="J457" i="5" s="1"/>
  <c r="G458" i="5"/>
  <c r="K458" i="5" s="1"/>
  <c r="F458" i="5"/>
  <c r="E458" i="5"/>
  <c r="E450" i="28"/>
  <c r="S449" i="28"/>
  <c r="T449" i="13"/>
  <c r="U449" i="13" s="1"/>
  <c r="S449" i="13"/>
  <c r="AE450" i="13"/>
  <c r="R450" i="13"/>
  <c r="E451" i="13"/>
  <c r="L451" i="13" s="1"/>
  <c r="AG449" i="13"/>
  <c r="AH449" i="13" s="1"/>
  <c r="AF449" i="13"/>
  <c r="E453" i="27"/>
  <c r="K451" i="13" l="1"/>
  <c r="AF449" i="7"/>
  <c r="E450" i="7"/>
  <c r="I458" i="5"/>
  <c r="J458" i="5" s="1"/>
  <c r="E459" i="5"/>
  <c r="G459" i="5"/>
  <c r="K459" i="5" s="1"/>
  <c r="F459" i="5"/>
  <c r="H461" i="5"/>
  <c r="B462" i="5"/>
  <c r="C460" i="5"/>
  <c r="D460" i="5" s="1"/>
  <c r="S450" i="28"/>
  <c r="E451" i="28"/>
  <c r="T450" i="13"/>
  <c r="U450" i="13" s="1"/>
  <c r="S450" i="13"/>
  <c r="E454" i="27"/>
  <c r="AG450" i="13"/>
  <c r="AH450" i="13" s="1"/>
  <c r="AF450" i="13"/>
  <c r="E452" i="13"/>
  <c r="L452" i="13" s="1"/>
  <c r="R451" i="13"/>
  <c r="AE451" i="13"/>
  <c r="K452" i="13" l="1"/>
  <c r="AF450" i="7"/>
  <c r="E451" i="7"/>
  <c r="E460" i="5"/>
  <c r="F460" i="5"/>
  <c r="G460" i="5"/>
  <c r="K460" i="5" s="1"/>
  <c r="H462" i="5"/>
  <c r="B463" i="5"/>
  <c r="C461" i="5"/>
  <c r="D461" i="5" s="1"/>
  <c r="I459" i="5"/>
  <c r="J459" i="5" s="1"/>
  <c r="E452" i="28"/>
  <c r="S451" i="28"/>
  <c r="AG451" i="13"/>
  <c r="AH451" i="13" s="1"/>
  <c r="AF451" i="13"/>
  <c r="E455" i="27"/>
  <c r="T451" i="13"/>
  <c r="U451" i="13" s="1"/>
  <c r="S451" i="13"/>
  <c r="R452" i="13"/>
  <c r="AE452" i="13"/>
  <c r="E453" i="13"/>
  <c r="L453" i="13" s="1"/>
  <c r="K453" i="13" l="1"/>
  <c r="AF451" i="7"/>
  <c r="E452" i="7"/>
  <c r="F461" i="5"/>
  <c r="G461" i="5"/>
  <c r="K461" i="5" s="1"/>
  <c r="E461" i="5"/>
  <c r="B464" i="5"/>
  <c r="C462" i="5"/>
  <c r="D462" i="5" s="1"/>
  <c r="H463" i="5"/>
  <c r="I460" i="5"/>
  <c r="J460" i="5" s="1"/>
  <c r="E453" i="28"/>
  <c r="S452" i="28"/>
  <c r="E456" i="27"/>
  <c r="E454" i="13"/>
  <c r="L454" i="13" s="1"/>
  <c r="R453" i="13"/>
  <c r="AE453" i="13"/>
  <c r="T452" i="13"/>
  <c r="U452" i="13" s="1"/>
  <c r="S452" i="13"/>
  <c r="AF452" i="13"/>
  <c r="AG452" i="13"/>
  <c r="AH452" i="13" s="1"/>
  <c r="K454" i="13" l="1"/>
  <c r="AF452" i="7"/>
  <c r="E453" i="7"/>
  <c r="B465" i="5"/>
  <c r="H464" i="5"/>
  <c r="C463" i="5"/>
  <c r="D463" i="5" s="1"/>
  <c r="F462" i="5"/>
  <c r="E462" i="5"/>
  <c r="G462" i="5"/>
  <c r="K462" i="5" s="1"/>
  <c r="I461" i="5"/>
  <c r="J461" i="5" s="1"/>
  <c r="E454" i="28"/>
  <c r="S453" i="28"/>
  <c r="R454" i="13"/>
  <c r="AE454" i="13"/>
  <c r="E455" i="13"/>
  <c r="L455" i="13" s="1"/>
  <c r="AF453" i="13"/>
  <c r="AG453" i="13"/>
  <c r="AH453" i="13" s="1"/>
  <c r="E457" i="27"/>
  <c r="T453" i="13"/>
  <c r="U453" i="13" s="1"/>
  <c r="S453" i="13"/>
  <c r="K455" i="13" l="1"/>
  <c r="AF453" i="7"/>
  <c r="E454" i="7"/>
  <c r="E463" i="5"/>
  <c r="G463" i="5"/>
  <c r="K463" i="5" s="1"/>
  <c r="F463" i="5"/>
  <c r="I462" i="5"/>
  <c r="J462" i="5" s="1"/>
  <c r="B466" i="5"/>
  <c r="H465" i="5"/>
  <c r="C464" i="5"/>
  <c r="D464" i="5" s="1"/>
  <c r="S454" i="28"/>
  <c r="E455" i="28"/>
  <c r="T454" i="13"/>
  <c r="U454" i="13" s="1"/>
  <c r="S454" i="13"/>
  <c r="E458" i="27"/>
  <c r="AE455" i="13"/>
  <c r="E456" i="13"/>
  <c r="L456" i="13" s="1"/>
  <c r="R455" i="13"/>
  <c r="AF454" i="13"/>
  <c r="AG454" i="13"/>
  <c r="AH454" i="13" s="1"/>
  <c r="K456" i="13" l="1"/>
  <c r="AF454" i="7"/>
  <c r="E455" i="7"/>
  <c r="E464" i="5"/>
  <c r="G464" i="5"/>
  <c r="K464" i="5" s="1"/>
  <c r="F464" i="5"/>
  <c r="C465" i="5"/>
  <c r="D465" i="5" s="1"/>
  <c r="B467" i="5"/>
  <c r="H466" i="5"/>
  <c r="I463" i="5"/>
  <c r="J463" i="5" s="1"/>
  <c r="E456" i="28"/>
  <c r="S455" i="28"/>
  <c r="S455" i="13"/>
  <c r="T455" i="13"/>
  <c r="U455" i="13" s="1"/>
  <c r="E459" i="27"/>
  <c r="AE456" i="13"/>
  <c r="R456" i="13"/>
  <c r="E457" i="13"/>
  <c r="L457" i="13" s="1"/>
  <c r="AG455" i="13"/>
  <c r="AH455" i="13" s="1"/>
  <c r="AF455" i="13"/>
  <c r="K457" i="13" l="1"/>
  <c r="AF455" i="7"/>
  <c r="E456" i="7"/>
  <c r="E465" i="5"/>
  <c r="G465" i="5"/>
  <c r="K465" i="5" s="1"/>
  <c r="F465" i="5"/>
  <c r="C466" i="5"/>
  <c r="D466" i="5" s="1"/>
  <c r="H467" i="5"/>
  <c r="B468" i="5"/>
  <c r="I464" i="5"/>
  <c r="J464" i="5" s="1"/>
  <c r="S456" i="28"/>
  <c r="E457" i="28"/>
  <c r="AF456" i="13"/>
  <c r="AG456" i="13"/>
  <c r="AH456" i="13" s="1"/>
  <c r="R457" i="13"/>
  <c r="AE457" i="13"/>
  <c r="E458" i="13"/>
  <c r="L458" i="13" s="1"/>
  <c r="E460" i="27"/>
  <c r="T456" i="13"/>
  <c r="U456" i="13" s="1"/>
  <c r="S456" i="13"/>
  <c r="K458" i="13" l="1"/>
  <c r="AF456" i="7"/>
  <c r="E457" i="7"/>
  <c r="H468" i="5"/>
  <c r="B469" i="5"/>
  <c r="C467" i="5"/>
  <c r="D467" i="5" s="1"/>
  <c r="F466" i="5"/>
  <c r="G466" i="5"/>
  <c r="K466" i="5" s="1"/>
  <c r="E466" i="5"/>
  <c r="I465" i="5"/>
  <c r="J465" i="5" s="1"/>
  <c r="E458" i="28"/>
  <c r="S457" i="28"/>
  <c r="AG457" i="13"/>
  <c r="AH457" i="13" s="1"/>
  <c r="AF457" i="13"/>
  <c r="E461" i="27"/>
  <c r="T457" i="13"/>
  <c r="U457" i="13" s="1"/>
  <c r="S457" i="13"/>
  <c r="AE458" i="13"/>
  <c r="R458" i="13"/>
  <c r="E459" i="13"/>
  <c r="L459" i="13" s="1"/>
  <c r="K459" i="13" l="1"/>
  <c r="AF457" i="7"/>
  <c r="E458" i="7"/>
  <c r="F467" i="5"/>
  <c r="G467" i="5"/>
  <c r="K467" i="5" s="1"/>
  <c r="E467" i="5"/>
  <c r="I466" i="5"/>
  <c r="J466" i="5" s="1"/>
  <c r="B470" i="5"/>
  <c r="C468" i="5"/>
  <c r="D468" i="5" s="1"/>
  <c r="H469" i="5"/>
  <c r="S458" i="28"/>
  <c r="E459" i="28"/>
  <c r="AE459" i="13"/>
  <c r="R459" i="13"/>
  <c r="E460" i="13"/>
  <c r="L460" i="13" s="1"/>
  <c r="AF458" i="13"/>
  <c r="AG458" i="13"/>
  <c r="AH458" i="13" s="1"/>
  <c r="E462" i="27"/>
  <c r="S458" i="13"/>
  <c r="T458" i="13"/>
  <c r="U458" i="13" s="1"/>
  <c r="K460" i="13" l="1"/>
  <c r="AF458" i="7"/>
  <c r="E459" i="7"/>
  <c r="I467" i="5"/>
  <c r="J467" i="5" s="1"/>
  <c r="F468" i="5"/>
  <c r="G468" i="5"/>
  <c r="K468" i="5" s="1"/>
  <c r="E468" i="5"/>
  <c r="H470" i="5"/>
  <c r="B471" i="5"/>
  <c r="C469" i="5"/>
  <c r="D469" i="5" s="1"/>
  <c r="S459" i="28"/>
  <c r="E460" i="28"/>
  <c r="E463" i="27"/>
  <c r="AG459" i="13"/>
  <c r="AH459" i="13" s="1"/>
  <c r="AF459" i="13"/>
  <c r="R460" i="13"/>
  <c r="E461" i="13"/>
  <c r="L461" i="13" s="1"/>
  <c r="AE460" i="13"/>
  <c r="T459" i="13"/>
  <c r="U459" i="13" s="1"/>
  <c r="S459" i="13"/>
  <c r="K461" i="13" l="1"/>
  <c r="AF459" i="7"/>
  <c r="E460" i="7"/>
  <c r="I468" i="5"/>
  <c r="J468" i="5" s="1"/>
  <c r="G469" i="5"/>
  <c r="K469" i="5" s="1"/>
  <c r="F469" i="5"/>
  <c r="E469" i="5"/>
  <c r="H471" i="5"/>
  <c r="B472" i="5"/>
  <c r="C470" i="5"/>
  <c r="D470" i="5" s="1"/>
  <c r="S460" i="28"/>
  <c r="E461" i="28"/>
  <c r="AE461" i="13"/>
  <c r="R461" i="13"/>
  <c r="E462" i="13"/>
  <c r="L462" i="13" s="1"/>
  <c r="E464" i="27"/>
  <c r="T460" i="13"/>
  <c r="U460" i="13" s="1"/>
  <c r="S460" i="13"/>
  <c r="AF460" i="13"/>
  <c r="AG460" i="13"/>
  <c r="AH460" i="13" s="1"/>
  <c r="K462" i="13" l="1"/>
  <c r="AF460" i="7"/>
  <c r="E461" i="7"/>
  <c r="I469" i="5"/>
  <c r="J469" i="5" s="1"/>
  <c r="E470" i="5"/>
  <c r="F470" i="5"/>
  <c r="G470" i="5"/>
  <c r="K470" i="5" s="1"/>
  <c r="H472" i="5"/>
  <c r="B473" i="5"/>
  <c r="C471" i="5"/>
  <c r="D471" i="5" s="1"/>
  <c r="T461" i="28"/>
  <c r="E462" i="28"/>
  <c r="S461" i="28"/>
  <c r="S461" i="13"/>
  <c r="T461" i="13"/>
  <c r="U461" i="13" s="1"/>
  <c r="E465" i="27"/>
  <c r="R462" i="13"/>
  <c r="AE462" i="13"/>
  <c r="E463" i="13"/>
  <c r="L463" i="13" s="1"/>
  <c r="AF461" i="13"/>
  <c r="AG461" i="13"/>
  <c r="AH461" i="13" s="1"/>
  <c r="K463" i="13" l="1"/>
  <c r="AF461" i="7"/>
  <c r="E462" i="7"/>
  <c r="H473" i="5"/>
  <c r="B474" i="5"/>
  <c r="C472" i="5"/>
  <c r="D472" i="5" s="1"/>
  <c r="I470" i="5"/>
  <c r="J470" i="5" s="1"/>
  <c r="G471" i="5"/>
  <c r="K471" i="5" s="1"/>
  <c r="E471" i="5"/>
  <c r="F471" i="5"/>
  <c r="E463" i="28"/>
  <c r="S462" i="28"/>
  <c r="T462" i="28"/>
  <c r="AF462" i="13"/>
  <c r="AG462" i="13"/>
  <c r="AH462" i="13" s="1"/>
  <c r="R463" i="13"/>
  <c r="AE463" i="13"/>
  <c r="E464" i="13"/>
  <c r="L464" i="13" s="1"/>
  <c r="E466" i="27"/>
  <c r="S462" i="13"/>
  <c r="T462" i="13"/>
  <c r="U462" i="13" s="1"/>
  <c r="K464" i="13" l="1"/>
  <c r="AF462" i="7"/>
  <c r="E463" i="7"/>
  <c r="F472" i="5"/>
  <c r="G472" i="5"/>
  <c r="K472" i="5" s="1"/>
  <c r="E472" i="5"/>
  <c r="I471" i="5"/>
  <c r="J471" i="5" s="1"/>
  <c r="H474" i="5"/>
  <c r="C473" i="5"/>
  <c r="D473" i="5" s="1"/>
  <c r="B475" i="5"/>
  <c r="E464" i="28"/>
  <c r="T463" i="28"/>
  <c r="S463" i="28"/>
  <c r="E467" i="27"/>
  <c r="AE464" i="13"/>
  <c r="E465" i="13"/>
  <c r="L465" i="13" s="1"/>
  <c r="R464" i="13"/>
  <c r="S463" i="13"/>
  <c r="T463" i="13"/>
  <c r="U463" i="13" s="1"/>
  <c r="AF463" i="13"/>
  <c r="AG463" i="13"/>
  <c r="AH463" i="13" s="1"/>
  <c r="K465" i="13" l="1"/>
  <c r="AF463" i="7"/>
  <c r="E464" i="7"/>
  <c r="C474" i="5"/>
  <c r="D474" i="5" s="1"/>
  <c r="B476" i="5"/>
  <c r="H475" i="5"/>
  <c r="I472" i="5"/>
  <c r="J472" i="5" s="1"/>
  <c r="F473" i="5"/>
  <c r="G473" i="5"/>
  <c r="K473" i="5" s="1"/>
  <c r="E473" i="5"/>
  <c r="T464" i="28"/>
  <c r="S464" i="28"/>
  <c r="E465" i="28"/>
  <c r="E468" i="27"/>
  <c r="T464" i="13"/>
  <c r="U464" i="13" s="1"/>
  <c r="S464" i="13"/>
  <c r="AE465" i="13"/>
  <c r="E466" i="13"/>
  <c r="L466" i="13" s="1"/>
  <c r="R465" i="13"/>
  <c r="AF464" i="13"/>
  <c r="AG464" i="13"/>
  <c r="AH464" i="13" s="1"/>
  <c r="K466" i="13" l="1"/>
  <c r="AF464" i="7"/>
  <c r="E465" i="7"/>
  <c r="I473" i="5"/>
  <c r="J473" i="5" s="1"/>
  <c r="H476" i="5"/>
  <c r="C475" i="5"/>
  <c r="D475" i="5" s="1"/>
  <c r="B477" i="5"/>
  <c r="G474" i="5"/>
  <c r="K474" i="5" s="1"/>
  <c r="E474" i="5"/>
  <c r="F474" i="5"/>
  <c r="S465" i="28"/>
  <c r="T465" i="28"/>
  <c r="E466" i="28"/>
  <c r="AG465" i="13"/>
  <c r="AH465" i="13" s="1"/>
  <c r="AF465" i="13"/>
  <c r="T465" i="13"/>
  <c r="U465" i="13" s="1"/>
  <c r="S465" i="13"/>
  <c r="R466" i="13"/>
  <c r="E467" i="13"/>
  <c r="L467" i="13" s="1"/>
  <c r="AE466" i="13"/>
  <c r="E469" i="27"/>
  <c r="K467" i="13" l="1"/>
  <c r="AF465" i="7"/>
  <c r="E466" i="7"/>
  <c r="F475" i="5"/>
  <c r="G475" i="5"/>
  <c r="K475" i="5" s="1"/>
  <c r="E475" i="5"/>
  <c r="B478" i="5"/>
  <c r="C476" i="5"/>
  <c r="D476" i="5" s="1"/>
  <c r="H477" i="5"/>
  <c r="I474" i="5"/>
  <c r="J474" i="5" s="1"/>
  <c r="S466" i="28"/>
  <c r="T466" i="28"/>
  <c r="E467" i="28"/>
  <c r="E470" i="27"/>
  <c r="AG466" i="13"/>
  <c r="AH466" i="13" s="1"/>
  <c r="AF466" i="13"/>
  <c r="AE467" i="13"/>
  <c r="R467" i="13"/>
  <c r="E468" i="13"/>
  <c r="L468" i="13" s="1"/>
  <c r="T466" i="13"/>
  <c r="U466" i="13" s="1"/>
  <c r="S466" i="13"/>
  <c r="K468" i="13" l="1"/>
  <c r="AF466" i="7"/>
  <c r="E467" i="7"/>
  <c r="H478" i="5"/>
  <c r="C477" i="5"/>
  <c r="D477" i="5" s="1"/>
  <c r="B479" i="5"/>
  <c r="I475" i="5"/>
  <c r="J475" i="5" s="1"/>
  <c r="G476" i="5"/>
  <c r="K476" i="5" s="1"/>
  <c r="F476" i="5"/>
  <c r="E476" i="5"/>
  <c r="T467" i="28"/>
  <c r="E468" i="28"/>
  <c r="S467" i="28"/>
  <c r="E471" i="27"/>
  <c r="S467" i="13"/>
  <c r="T467" i="13"/>
  <c r="U467" i="13" s="1"/>
  <c r="AF467" i="13"/>
  <c r="AG467" i="13"/>
  <c r="AH467" i="13" s="1"/>
  <c r="R468" i="13"/>
  <c r="AE468" i="13"/>
  <c r="E469" i="13"/>
  <c r="L469" i="13" s="1"/>
  <c r="K469" i="13" l="1"/>
  <c r="AF467" i="7"/>
  <c r="E468" i="7"/>
  <c r="I476" i="5"/>
  <c r="J476" i="5" s="1"/>
  <c r="C478" i="5"/>
  <c r="D478" i="5" s="1"/>
  <c r="H479" i="5"/>
  <c r="B480" i="5"/>
  <c r="F477" i="5"/>
  <c r="G477" i="5"/>
  <c r="K477" i="5" s="1"/>
  <c r="E477" i="5"/>
  <c r="T468" i="28"/>
  <c r="S468" i="28"/>
  <c r="E469" i="28"/>
  <c r="R469" i="13"/>
  <c r="AE469" i="13"/>
  <c r="E470" i="13"/>
  <c r="L470" i="13" s="1"/>
  <c r="E472" i="27"/>
  <c r="AG468" i="13"/>
  <c r="AH468" i="13" s="1"/>
  <c r="AF468" i="13"/>
  <c r="S468" i="13"/>
  <c r="T468" i="13"/>
  <c r="U468" i="13" s="1"/>
  <c r="K470" i="13" l="1"/>
  <c r="AF468" i="7"/>
  <c r="E469" i="7"/>
  <c r="H480" i="5"/>
  <c r="C479" i="5"/>
  <c r="D479" i="5" s="1"/>
  <c r="B481" i="5"/>
  <c r="I477" i="5"/>
  <c r="J477" i="5" s="1"/>
  <c r="F478" i="5"/>
  <c r="G478" i="5"/>
  <c r="K478" i="5" s="1"/>
  <c r="E478" i="5"/>
  <c r="S469" i="28"/>
  <c r="T469" i="28"/>
  <c r="E470" i="28"/>
  <c r="AF469" i="13"/>
  <c r="AG469" i="13"/>
  <c r="AH469" i="13" s="1"/>
  <c r="R470" i="13"/>
  <c r="AE470" i="13"/>
  <c r="E471" i="13"/>
  <c r="L471" i="13" s="1"/>
  <c r="T469" i="13"/>
  <c r="U469" i="13" s="1"/>
  <c r="S469" i="13"/>
  <c r="E473" i="27"/>
  <c r="K471" i="13" l="1"/>
  <c r="AF469" i="7"/>
  <c r="E470" i="7"/>
  <c r="I478" i="5"/>
  <c r="J478" i="5" s="1"/>
  <c r="H481" i="5"/>
  <c r="B482" i="5"/>
  <c r="C480" i="5"/>
  <c r="D480" i="5" s="1"/>
  <c r="G479" i="5"/>
  <c r="K479" i="5" s="1"/>
  <c r="F479" i="5"/>
  <c r="E479" i="5"/>
  <c r="E471" i="28"/>
  <c r="T470" i="28"/>
  <c r="S470" i="28"/>
  <c r="AG470" i="13"/>
  <c r="AH470" i="13" s="1"/>
  <c r="AF470" i="13"/>
  <c r="E474" i="27"/>
  <c r="S470" i="13"/>
  <c r="T470" i="13"/>
  <c r="U470" i="13" s="1"/>
  <c r="AE471" i="13"/>
  <c r="R471" i="13"/>
  <c r="E472" i="13"/>
  <c r="L472" i="13" s="1"/>
  <c r="K472" i="13" l="1"/>
  <c r="AF470" i="7"/>
  <c r="E471" i="7"/>
  <c r="G480" i="5"/>
  <c r="K480" i="5" s="1"/>
  <c r="F480" i="5"/>
  <c r="E480" i="5"/>
  <c r="I479" i="5"/>
  <c r="J479" i="5" s="1"/>
  <c r="H482" i="5"/>
  <c r="B483" i="5"/>
  <c r="C481" i="5"/>
  <c r="D481" i="5" s="1"/>
  <c r="T471" i="28"/>
  <c r="S471" i="28"/>
  <c r="E472" i="28"/>
  <c r="AG471" i="13"/>
  <c r="AH471" i="13" s="1"/>
  <c r="AF471" i="13"/>
  <c r="AE472" i="13"/>
  <c r="R472" i="13"/>
  <c r="E473" i="13"/>
  <c r="L473" i="13" s="1"/>
  <c r="E475" i="27"/>
  <c r="T471" i="13"/>
  <c r="U471" i="13" s="1"/>
  <c r="S471" i="13"/>
  <c r="K473" i="13" l="1"/>
  <c r="AF471" i="7"/>
  <c r="E472" i="7"/>
  <c r="C482" i="5"/>
  <c r="D482" i="5" s="1"/>
  <c r="H483" i="5"/>
  <c r="B484" i="5"/>
  <c r="E481" i="5"/>
  <c r="G481" i="5"/>
  <c r="K481" i="5" s="1"/>
  <c r="F481" i="5"/>
  <c r="I480" i="5"/>
  <c r="J480" i="5" s="1"/>
  <c r="T472" i="28"/>
  <c r="E473" i="28"/>
  <c r="S472" i="28"/>
  <c r="R473" i="13"/>
  <c r="E474" i="13"/>
  <c r="L474" i="13" s="1"/>
  <c r="AE473" i="13"/>
  <c r="AF472" i="13"/>
  <c r="AG472" i="13"/>
  <c r="AH472" i="13" s="1"/>
  <c r="E476" i="27"/>
  <c r="T472" i="13"/>
  <c r="U472" i="13" s="1"/>
  <c r="S472" i="13"/>
  <c r="K474" i="13" l="1"/>
  <c r="AF472" i="7"/>
  <c r="E473" i="7"/>
  <c r="I481" i="5"/>
  <c r="J481" i="5" s="1"/>
  <c r="C483" i="5"/>
  <c r="D483" i="5" s="1"/>
  <c r="B485" i="5"/>
  <c r="H484" i="5"/>
  <c r="G482" i="5"/>
  <c r="K482" i="5" s="1"/>
  <c r="F482" i="5"/>
  <c r="E482" i="5"/>
  <c r="E474" i="28"/>
  <c r="S473" i="28"/>
  <c r="T473" i="28"/>
  <c r="E477" i="27"/>
  <c r="AE474" i="13"/>
  <c r="R474" i="13"/>
  <c r="E475" i="13"/>
  <c r="L475" i="13" s="1"/>
  <c r="T473" i="13"/>
  <c r="U473" i="13" s="1"/>
  <c r="S473" i="13"/>
  <c r="AG473" i="13"/>
  <c r="AH473" i="13" s="1"/>
  <c r="AF473" i="13"/>
  <c r="K475" i="13" l="1"/>
  <c r="AF473" i="7"/>
  <c r="E474" i="7"/>
  <c r="I482" i="5"/>
  <c r="J482" i="5" s="1"/>
  <c r="C484" i="5"/>
  <c r="D484" i="5" s="1"/>
  <c r="H485" i="5"/>
  <c r="B486" i="5"/>
  <c r="F483" i="5"/>
  <c r="E483" i="5"/>
  <c r="G483" i="5"/>
  <c r="K483" i="5" s="1"/>
  <c r="T474" i="28"/>
  <c r="S474" i="28"/>
  <c r="E475" i="28"/>
  <c r="AE475" i="13"/>
  <c r="R475" i="13"/>
  <c r="E476" i="13"/>
  <c r="L476" i="13" s="1"/>
  <c r="S474" i="13"/>
  <c r="T474" i="13"/>
  <c r="U474" i="13" s="1"/>
  <c r="E478" i="27"/>
  <c r="AF474" i="13"/>
  <c r="AG474" i="13"/>
  <c r="AH474" i="13" s="1"/>
  <c r="K476" i="13" l="1"/>
  <c r="AF474" i="7"/>
  <c r="E475" i="7"/>
  <c r="C485" i="5"/>
  <c r="D485" i="5" s="1"/>
  <c r="B487" i="5"/>
  <c r="H486" i="5"/>
  <c r="I483" i="5"/>
  <c r="J483" i="5" s="1"/>
  <c r="E484" i="5"/>
  <c r="G484" i="5"/>
  <c r="K484" i="5" s="1"/>
  <c r="F484" i="5"/>
  <c r="S475" i="28"/>
  <c r="T475" i="28"/>
  <c r="E476" i="28"/>
  <c r="E479" i="27"/>
  <c r="S475" i="13"/>
  <c r="T475" i="13"/>
  <c r="U475" i="13" s="1"/>
  <c r="E477" i="13"/>
  <c r="L477" i="13" s="1"/>
  <c r="R476" i="13"/>
  <c r="AE476" i="13"/>
  <c r="AG475" i="13"/>
  <c r="AH475" i="13" s="1"/>
  <c r="AF475" i="13"/>
  <c r="K477" i="13" l="1"/>
  <c r="AF475" i="7"/>
  <c r="E476" i="7"/>
  <c r="H487" i="5"/>
  <c r="B488" i="5"/>
  <c r="C486" i="5"/>
  <c r="D486" i="5" s="1"/>
  <c r="I484" i="5"/>
  <c r="J484" i="5" s="1"/>
  <c r="G485" i="5"/>
  <c r="K485" i="5" s="1"/>
  <c r="E485" i="5"/>
  <c r="F485" i="5"/>
  <c r="T476" i="28"/>
  <c r="S476" i="28"/>
  <c r="E477" i="28"/>
  <c r="T476" i="13"/>
  <c r="U476" i="13" s="1"/>
  <c r="S476" i="13"/>
  <c r="E480" i="27"/>
  <c r="R477" i="13"/>
  <c r="E478" i="13"/>
  <c r="L478" i="13" s="1"/>
  <c r="AE477" i="13"/>
  <c r="AG476" i="13"/>
  <c r="AH476" i="13" s="1"/>
  <c r="AF476" i="13"/>
  <c r="K478" i="13" l="1"/>
  <c r="AF476" i="7"/>
  <c r="E477" i="7"/>
  <c r="G486" i="5"/>
  <c r="K486" i="5" s="1"/>
  <c r="E486" i="5"/>
  <c r="F486" i="5"/>
  <c r="I485" i="5"/>
  <c r="J485" i="5" s="1"/>
  <c r="B489" i="5"/>
  <c r="H488" i="5"/>
  <c r="C487" i="5"/>
  <c r="D487" i="5" s="1"/>
  <c r="E478" i="28"/>
  <c r="T477" i="28"/>
  <c r="S477" i="28"/>
  <c r="S477" i="13"/>
  <c r="T477" i="13"/>
  <c r="U477" i="13" s="1"/>
  <c r="E481" i="27"/>
  <c r="AG477" i="13"/>
  <c r="AH477" i="13" s="1"/>
  <c r="AF477" i="13"/>
  <c r="AE478" i="13"/>
  <c r="R478" i="13"/>
  <c r="E479" i="13"/>
  <c r="L479" i="13" s="1"/>
  <c r="K479" i="13" l="1"/>
  <c r="AF477" i="7"/>
  <c r="E478" i="7"/>
  <c r="C488" i="5"/>
  <c r="D488" i="5" s="1"/>
  <c r="B490" i="5"/>
  <c r="H489" i="5"/>
  <c r="G487" i="5"/>
  <c r="K487" i="5" s="1"/>
  <c r="F487" i="5"/>
  <c r="E487" i="5"/>
  <c r="I486" i="5"/>
  <c r="J486" i="5" s="1"/>
  <c r="E479" i="28"/>
  <c r="T478" i="28"/>
  <c r="S478" i="28"/>
  <c r="AF478" i="13"/>
  <c r="AG478" i="13"/>
  <c r="AH478" i="13" s="1"/>
  <c r="E482" i="27"/>
  <c r="AE479" i="13"/>
  <c r="R479" i="13"/>
  <c r="E480" i="13"/>
  <c r="L480" i="13" s="1"/>
  <c r="T478" i="13"/>
  <c r="U478" i="13" s="1"/>
  <c r="S478" i="13"/>
  <c r="K480" i="13" l="1"/>
  <c r="AF478" i="7"/>
  <c r="E479" i="7"/>
  <c r="I487" i="5"/>
  <c r="J487" i="5" s="1"/>
  <c r="B491" i="5"/>
  <c r="H490" i="5"/>
  <c r="C489" i="5"/>
  <c r="D489" i="5" s="1"/>
  <c r="G488" i="5"/>
  <c r="K488" i="5" s="1"/>
  <c r="E488" i="5"/>
  <c r="F488" i="5"/>
  <c r="S479" i="28"/>
  <c r="T479" i="28"/>
  <c r="E480" i="28"/>
  <c r="AG479" i="13"/>
  <c r="AH479" i="13" s="1"/>
  <c r="AF479" i="13"/>
  <c r="R480" i="13"/>
  <c r="E481" i="13"/>
  <c r="L481" i="13" s="1"/>
  <c r="AE480" i="13"/>
  <c r="E483" i="27"/>
  <c r="T479" i="13"/>
  <c r="U479" i="13" s="1"/>
  <c r="S479" i="13"/>
  <c r="K481" i="13" l="1"/>
  <c r="AF479" i="7"/>
  <c r="E480" i="7"/>
  <c r="G489" i="5"/>
  <c r="K489" i="5" s="1"/>
  <c r="F489" i="5"/>
  <c r="E489" i="5"/>
  <c r="I488" i="5"/>
  <c r="J488" i="5" s="1"/>
  <c r="H491" i="5"/>
  <c r="C490" i="5"/>
  <c r="D490" i="5" s="1"/>
  <c r="B492" i="5"/>
  <c r="T480" i="28"/>
  <c r="S480" i="28"/>
  <c r="E481" i="28"/>
  <c r="AG480" i="13"/>
  <c r="AH480" i="13" s="1"/>
  <c r="AF480" i="13"/>
  <c r="R481" i="13"/>
  <c r="E482" i="13"/>
  <c r="L482" i="13" s="1"/>
  <c r="AE481" i="13"/>
  <c r="E484" i="27"/>
  <c r="S480" i="13"/>
  <c r="T480" i="13"/>
  <c r="U480" i="13" s="1"/>
  <c r="K482" i="13" l="1"/>
  <c r="AF480" i="7"/>
  <c r="E481" i="7"/>
  <c r="H492" i="5"/>
  <c r="B493" i="5"/>
  <c r="C491" i="5"/>
  <c r="D491" i="5" s="1"/>
  <c r="I489" i="5"/>
  <c r="J489" i="5" s="1"/>
  <c r="E490" i="5"/>
  <c r="F490" i="5"/>
  <c r="G490" i="5"/>
  <c r="K490" i="5" s="1"/>
  <c r="T481" i="28"/>
  <c r="S481" i="28"/>
  <c r="E482" i="28"/>
  <c r="E485" i="27"/>
  <c r="T481" i="13"/>
  <c r="U481" i="13" s="1"/>
  <c r="S481" i="13"/>
  <c r="AF481" i="13"/>
  <c r="AG481" i="13"/>
  <c r="AH481" i="13" s="1"/>
  <c r="AE482" i="13"/>
  <c r="R482" i="13"/>
  <c r="E483" i="13"/>
  <c r="L483" i="13" s="1"/>
  <c r="K483" i="13" l="1"/>
  <c r="AF481" i="7"/>
  <c r="E482" i="7"/>
  <c r="F491" i="5"/>
  <c r="E491" i="5"/>
  <c r="G491" i="5"/>
  <c r="K491" i="5" s="1"/>
  <c r="B494" i="5"/>
  <c r="H493" i="5"/>
  <c r="C492" i="5"/>
  <c r="D492" i="5" s="1"/>
  <c r="I490" i="5"/>
  <c r="J490" i="5" s="1"/>
  <c r="S482" i="28"/>
  <c r="E483" i="28"/>
  <c r="T482" i="28"/>
  <c r="T482" i="13"/>
  <c r="U482" i="13" s="1"/>
  <c r="S482" i="13"/>
  <c r="AF482" i="13"/>
  <c r="AG482" i="13"/>
  <c r="AH482" i="13" s="1"/>
  <c r="E486" i="27"/>
  <c r="R483" i="13"/>
  <c r="AE483" i="13"/>
  <c r="E484" i="13"/>
  <c r="L484" i="13" s="1"/>
  <c r="K484" i="13" l="1"/>
  <c r="AF482" i="7"/>
  <c r="E483" i="7"/>
  <c r="C493" i="5"/>
  <c r="D493" i="5" s="1"/>
  <c r="B495" i="5"/>
  <c r="H494" i="5"/>
  <c r="G492" i="5"/>
  <c r="K492" i="5" s="1"/>
  <c r="E492" i="5"/>
  <c r="F492" i="5"/>
  <c r="I491" i="5"/>
  <c r="J491" i="5" s="1"/>
  <c r="T483" i="28"/>
  <c r="S483" i="28"/>
  <c r="E484" i="28"/>
  <c r="AF483" i="13"/>
  <c r="AG483" i="13"/>
  <c r="AH483" i="13" s="1"/>
  <c r="S483" i="13"/>
  <c r="T483" i="13"/>
  <c r="U483" i="13" s="1"/>
  <c r="E487" i="27"/>
  <c r="R484" i="13"/>
  <c r="AE484" i="13"/>
  <c r="E485" i="13"/>
  <c r="L485" i="13" s="1"/>
  <c r="K485" i="13" l="1"/>
  <c r="AF483" i="7"/>
  <c r="E484" i="7"/>
  <c r="H495" i="5"/>
  <c r="C494" i="5"/>
  <c r="D494" i="5" s="1"/>
  <c r="B496" i="5"/>
  <c r="I492" i="5"/>
  <c r="J492" i="5" s="1"/>
  <c r="F493" i="5"/>
  <c r="G493" i="5"/>
  <c r="K493" i="5" s="1"/>
  <c r="E493" i="5"/>
  <c r="S484" i="28"/>
  <c r="T484" i="28"/>
  <c r="E485" i="28"/>
  <c r="AG484" i="13"/>
  <c r="AH484" i="13" s="1"/>
  <c r="AF484" i="13"/>
  <c r="AE485" i="13"/>
  <c r="E486" i="13"/>
  <c r="L486" i="13" s="1"/>
  <c r="R485" i="13"/>
  <c r="S484" i="13"/>
  <c r="T484" i="13"/>
  <c r="U484" i="13" s="1"/>
  <c r="E488" i="27"/>
  <c r="K486" i="13" l="1"/>
  <c r="AF484" i="7"/>
  <c r="E485" i="7"/>
  <c r="I493" i="5"/>
  <c r="J493" i="5" s="1"/>
  <c r="C495" i="5"/>
  <c r="D495" i="5" s="1"/>
  <c r="B497" i="5"/>
  <c r="H496" i="5"/>
  <c r="F494" i="5"/>
  <c r="G494" i="5"/>
  <c r="K494" i="5" s="1"/>
  <c r="E494" i="5"/>
  <c r="T485" i="28"/>
  <c r="S485" i="28"/>
  <c r="E486" i="28"/>
  <c r="T485" i="13"/>
  <c r="U485" i="13" s="1"/>
  <c r="S485" i="13"/>
  <c r="R486" i="13"/>
  <c r="AE486" i="13"/>
  <c r="E487" i="13"/>
  <c r="L487" i="13" s="1"/>
  <c r="E489" i="27"/>
  <c r="AF485" i="13"/>
  <c r="AG485" i="13"/>
  <c r="AH485" i="13" s="1"/>
  <c r="K487" i="13" l="1"/>
  <c r="AF485" i="7"/>
  <c r="E486" i="7"/>
  <c r="I494" i="5"/>
  <c r="J494" i="5" s="1"/>
  <c r="C496" i="5"/>
  <c r="D496" i="5" s="1"/>
  <c r="H497" i="5"/>
  <c r="B498" i="5"/>
  <c r="F495" i="5"/>
  <c r="E495" i="5"/>
  <c r="G495" i="5"/>
  <c r="K495" i="5" s="1"/>
  <c r="T486" i="28"/>
  <c r="E487" i="28"/>
  <c r="S486" i="28"/>
  <c r="E490" i="27"/>
  <c r="AE487" i="13"/>
  <c r="R487" i="13"/>
  <c r="E488" i="13"/>
  <c r="L488" i="13" s="1"/>
  <c r="AG486" i="13"/>
  <c r="AH486" i="13" s="1"/>
  <c r="AF486" i="13"/>
  <c r="T486" i="13"/>
  <c r="U486" i="13" s="1"/>
  <c r="S486" i="13"/>
  <c r="K488" i="13" l="1"/>
  <c r="AF486" i="7"/>
  <c r="E487" i="7"/>
  <c r="H498" i="5"/>
  <c r="C497" i="5"/>
  <c r="D497" i="5" s="1"/>
  <c r="B499" i="5"/>
  <c r="I495" i="5"/>
  <c r="J495" i="5" s="1"/>
  <c r="E496" i="5"/>
  <c r="F496" i="5"/>
  <c r="G496" i="5"/>
  <c r="K496" i="5" s="1"/>
  <c r="T487" i="28"/>
  <c r="S487" i="28"/>
  <c r="E488" i="28"/>
  <c r="AE488" i="13"/>
  <c r="R488" i="13"/>
  <c r="E489" i="13"/>
  <c r="L489" i="13" s="1"/>
  <c r="S487" i="13"/>
  <c r="T487" i="13"/>
  <c r="U487" i="13" s="1"/>
  <c r="AF487" i="13"/>
  <c r="AG487" i="13"/>
  <c r="AH487" i="13" s="1"/>
  <c r="E491" i="27"/>
  <c r="K489" i="13" l="1"/>
  <c r="AF487" i="7"/>
  <c r="E488" i="7"/>
  <c r="B500" i="5"/>
  <c r="C498" i="5"/>
  <c r="D498" i="5" s="1"/>
  <c r="H499" i="5"/>
  <c r="G497" i="5"/>
  <c r="K497" i="5" s="1"/>
  <c r="E497" i="5"/>
  <c r="F497" i="5"/>
  <c r="I496" i="5"/>
  <c r="J496" i="5" s="1"/>
  <c r="T488" i="28"/>
  <c r="S488" i="28"/>
  <c r="E489" i="28"/>
  <c r="AF488" i="13"/>
  <c r="AG488" i="13"/>
  <c r="AH488" i="13" s="1"/>
  <c r="E492" i="27"/>
  <c r="AE489" i="13"/>
  <c r="E490" i="13"/>
  <c r="L490" i="13" s="1"/>
  <c r="R489" i="13"/>
  <c r="T488" i="13"/>
  <c r="U488" i="13" s="1"/>
  <c r="S488" i="13"/>
  <c r="K490" i="13" l="1"/>
  <c r="AF488" i="7"/>
  <c r="E489" i="7"/>
  <c r="G498" i="5"/>
  <c r="K498" i="5" s="1"/>
  <c r="F498" i="5"/>
  <c r="E498" i="5"/>
  <c r="I497" i="5"/>
  <c r="J497" i="5" s="1"/>
  <c r="C499" i="5"/>
  <c r="D499" i="5" s="1"/>
  <c r="B501" i="5"/>
  <c r="H500" i="5"/>
  <c r="T489" i="28"/>
  <c r="S489" i="28"/>
  <c r="E490" i="28"/>
  <c r="AG489" i="13"/>
  <c r="AH489" i="13" s="1"/>
  <c r="AF489" i="13"/>
  <c r="S489" i="13"/>
  <c r="T489" i="13"/>
  <c r="U489" i="13" s="1"/>
  <c r="AE490" i="13"/>
  <c r="R490" i="13"/>
  <c r="E491" i="13"/>
  <c r="L491" i="13" s="1"/>
  <c r="E493" i="27"/>
  <c r="K491" i="13" l="1"/>
  <c r="AF489" i="7"/>
  <c r="E490" i="7"/>
  <c r="F499" i="5"/>
  <c r="E499" i="5"/>
  <c r="G499" i="5"/>
  <c r="K499" i="5" s="1"/>
  <c r="I498" i="5"/>
  <c r="J498" i="5" s="1"/>
  <c r="C500" i="5"/>
  <c r="D500" i="5" s="1"/>
  <c r="H501" i="5"/>
  <c r="B502" i="5"/>
  <c r="E491" i="28"/>
  <c r="T490" i="28"/>
  <c r="S490" i="28"/>
  <c r="S490" i="13"/>
  <c r="T490" i="13"/>
  <c r="U490" i="13" s="1"/>
  <c r="AF490" i="13"/>
  <c r="AG490" i="13"/>
  <c r="AH490" i="13" s="1"/>
  <c r="AE491" i="13"/>
  <c r="R491" i="13"/>
  <c r="E492" i="13"/>
  <c r="L492" i="13" s="1"/>
  <c r="E494" i="27"/>
  <c r="K492" i="13" l="1"/>
  <c r="AF490" i="7"/>
  <c r="E491" i="7"/>
  <c r="H502" i="5"/>
  <c r="B503" i="5"/>
  <c r="C501" i="5"/>
  <c r="D501" i="5" s="1"/>
  <c r="I499" i="5"/>
  <c r="J499" i="5" s="1"/>
  <c r="G500" i="5"/>
  <c r="K500" i="5" s="1"/>
  <c r="E500" i="5"/>
  <c r="F500" i="5"/>
  <c r="S491" i="28"/>
  <c r="T491" i="28"/>
  <c r="E492" i="28"/>
  <c r="T491" i="13"/>
  <c r="U491" i="13" s="1"/>
  <c r="S491" i="13"/>
  <c r="AG491" i="13"/>
  <c r="AH491" i="13" s="1"/>
  <c r="AF491" i="13"/>
  <c r="E495" i="27"/>
  <c r="R492" i="13"/>
  <c r="AE492" i="13"/>
  <c r="E493" i="13"/>
  <c r="L493" i="13" s="1"/>
  <c r="K493" i="13" l="1"/>
  <c r="AF491" i="7"/>
  <c r="E492" i="7"/>
  <c r="E501" i="5"/>
  <c r="G501" i="5"/>
  <c r="K501" i="5" s="1"/>
  <c r="F501" i="5"/>
  <c r="I500" i="5"/>
  <c r="J500" i="5" s="1"/>
  <c r="H503" i="5"/>
  <c r="C502" i="5"/>
  <c r="D502" i="5" s="1"/>
  <c r="B504" i="5"/>
  <c r="E493" i="28"/>
  <c r="T492" i="28"/>
  <c r="S492" i="28"/>
  <c r="R493" i="13"/>
  <c r="AE493" i="13"/>
  <c r="E494" i="13"/>
  <c r="L494" i="13" s="1"/>
  <c r="T492" i="13"/>
  <c r="U492" i="13" s="1"/>
  <c r="S492" i="13"/>
  <c r="E496" i="27"/>
  <c r="AG492" i="13"/>
  <c r="AH492" i="13" s="1"/>
  <c r="AF492" i="13"/>
  <c r="K494" i="13" l="1"/>
  <c r="AF492" i="7"/>
  <c r="E493" i="7"/>
  <c r="B505" i="5"/>
  <c r="C503" i="5"/>
  <c r="D503" i="5" s="1"/>
  <c r="H504" i="5"/>
  <c r="F502" i="5"/>
  <c r="E502" i="5"/>
  <c r="G502" i="5"/>
  <c r="K502" i="5" s="1"/>
  <c r="I501" i="5"/>
  <c r="J501" i="5" s="1"/>
  <c r="E494" i="28"/>
  <c r="S493" i="28"/>
  <c r="T493" i="28"/>
  <c r="T493" i="13"/>
  <c r="U493" i="13" s="1"/>
  <c r="S493" i="13"/>
  <c r="E497" i="27"/>
  <c r="E495" i="13"/>
  <c r="L495" i="13" s="1"/>
  <c r="R494" i="13"/>
  <c r="AE494" i="13"/>
  <c r="AF493" i="13"/>
  <c r="AG493" i="13"/>
  <c r="AH493" i="13" s="1"/>
  <c r="K495" i="13" l="1"/>
  <c r="AF493" i="7"/>
  <c r="E494" i="7"/>
  <c r="E503" i="5"/>
  <c r="G503" i="5"/>
  <c r="K503" i="5" s="1"/>
  <c r="F503" i="5"/>
  <c r="I502" i="5"/>
  <c r="J502" i="5" s="1"/>
  <c r="C504" i="5"/>
  <c r="D504" i="5" s="1"/>
  <c r="H505" i="5"/>
  <c r="B506" i="5"/>
  <c r="S494" i="28"/>
  <c r="E495" i="28"/>
  <c r="T494" i="28"/>
  <c r="T494" i="13"/>
  <c r="U494" i="13" s="1"/>
  <c r="S494" i="13"/>
  <c r="AE495" i="13"/>
  <c r="R495" i="13"/>
  <c r="E496" i="13"/>
  <c r="L496" i="13" s="1"/>
  <c r="AF494" i="13"/>
  <c r="AG494" i="13"/>
  <c r="AH494" i="13" s="1"/>
  <c r="E498" i="27"/>
  <c r="K496" i="13" l="1"/>
  <c r="AF494" i="7"/>
  <c r="E495" i="7"/>
  <c r="H506" i="5"/>
  <c r="C505" i="5"/>
  <c r="D505" i="5" s="1"/>
  <c r="B507" i="5"/>
  <c r="G504" i="5"/>
  <c r="K504" i="5" s="1"/>
  <c r="E504" i="5"/>
  <c r="F504" i="5"/>
  <c r="I503" i="5"/>
  <c r="J503" i="5" s="1"/>
  <c r="E496" i="28"/>
  <c r="S495" i="28"/>
  <c r="T495" i="28"/>
  <c r="T495" i="13"/>
  <c r="U495" i="13" s="1"/>
  <c r="S495" i="13"/>
  <c r="E499" i="27"/>
  <c r="AE496" i="13"/>
  <c r="E497" i="13"/>
  <c r="L497" i="13" s="1"/>
  <c r="R496" i="13"/>
  <c r="AF495" i="13"/>
  <c r="AG495" i="13"/>
  <c r="AH495" i="13" s="1"/>
  <c r="K497" i="13" l="1"/>
  <c r="AF495" i="7"/>
  <c r="E496" i="7"/>
  <c r="C506" i="5"/>
  <c r="D506" i="5" s="1"/>
  <c r="B508" i="5"/>
  <c r="H507" i="5"/>
  <c r="G505" i="5"/>
  <c r="K505" i="5" s="1"/>
  <c r="E505" i="5"/>
  <c r="F505" i="5"/>
  <c r="I504" i="5"/>
  <c r="J504" i="5" s="1"/>
  <c r="T496" i="28"/>
  <c r="E497" i="28"/>
  <c r="S496" i="28"/>
  <c r="E500" i="27"/>
  <c r="S496" i="13"/>
  <c r="T496" i="13"/>
  <c r="U496" i="13" s="1"/>
  <c r="AF496" i="13"/>
  <c r="AG496" i="13"/>
  <c r="AH496" i="13" s="1"/>
  <c r="AE497" i="13"/>
  <c r="R497" i="13"/>
  <c r="E498" i="13"/>
  <c r="L498" i="13" s="1"/>
  <c r="K498" i="13" l="1"/>
  <c r="AF496" i="7"/>
  <c r="E497" i="7"/>
  <c r="H508" i="5"/>
  <c r="C507" i="5"/>
  <c r="D507" i="5" s="1"/>
  <c r="B509" i="5"/>
  <c r="I505" i="5"/>
  <c r="J505" i="5" s="1"/>
  <c r="F506" i="5"/>
  <c r="G506" i="5"/>
  <c r="K506" i="5" s="1"/>
  <c r="E506" i="5"/>
  <c r="T497" i="28"/>
  <c r="S497" i="28"/>
  <c r="E498" i="28"/>
  <c r="AE498" i="13"/>
  <c r="R498" i="13"/>
  <c r="E499" i="13"/>
  <c r="L499" i="13" s="1"/>
  <c r="T497" i="13"/>
  <c r="U497" i="13" s="1"/>
  <c r="S497" i="13"/>
  <c r="AG497" i="13"/>
  <c r="AH497" i="13" s="1"/>
  <c r="AF497" i="13"/>
  <c r="E501" i="27"/>
  <c r="K499" i="13" l="1"/>
  <c r="AF497" i="7"/>
  <c r="E498" i="7"/>
  <c r="I506" i="5"/>
  <c r="J506" i="5" s="1"/>
  <c r="C508" i="5"/>
  <c r="D508" i="5" s="1"/>
  <c r="H509" i="5"/>
  <c r="B510" i="5"/>
  <c r="G507" i="5"/>
  <c r="K507" i="5" s="1"/>
  <c r="F507" i="5"/>
  <c r="E507" i="5"/>
  <c r="T498" i="28"/>
  <c r="S498" i="28"/>
  <c r="E499" i="28"/>
  <c r="E502" i="27"/>
  <c r="E500" i="13"/>
  <c r="L500" i="13" s="1"/>
  <c r="R499" i="13"/>
  <c r="AE499" i="13"/>
  <c r="AG498" i="13"/>
  <c r="AH498" i="13" s="1"/>
  <c r="AF498" i="13"/>
  <c r="T498" i="13"/>
  <c r="U498" i="13" s="1"/>
  <c r="S498" i="13"/>
  <c r="K500" i="13" l="1"/>
  <c r="AF498" i="7"/>
  <c r="E499" i="7"/>
  <c r="C509" i="5"/>
  <c r="D509" i="5" s="1"/>
  <c r="H510" i="5"/>
  <c r="B511" i="5"/>
  <c r="I507" i="5"/>
  <c r="J507" i="5" s="1"/>
  <c r="E508" i="5"/>
  <c r="G508" i="5"/>
  <c r="K508" i="5" s="1"/>
  <c r="F508" i="5"/>
  <c r="E500" i="28"/>
  <c r="T499" i="28"/>
  <c r="S499" i="28"/>
  <c r="E503" i="27"/>
  <c r="R500" i="13"/>
  <c r="AE500" i="13"/>
  <c r="E501" i="13"/>
  <c r="L501" i="13" s="1"/>
  <c r="AG499" i="13"/>
  <c r="AH499" i="13" s="1"/>
  <c r="AF499" i="13"/>
  <c r="S499" i="13"/>
  <c r="T499" i="13"/>
  <c r="U499" i="13" s="1"/>
  <c r="K501" i="13" l="1"/>
  <c r="AF499" i="7"/>
  <c r="E500" i="7"/>
  <c r="H511" i="5"/>
  <c r="B512" i="5"/>
  <c r="C510" i="5"/>
  <c r="D510" i="5" s="1"/>
  <c r="I508" i="5"/>
  <c r="J508" i="5" s="1"/>
  <c r="G509" i="5"/>
  <c r="K509" i="5" s="1"/>
  <c r="E509" i="5"/>
  <c r="F509" i="5"/>
  <c r="T500" i="28"/>
  <c r="E501" i="28"/>
  <c r="S500" i="28"/>
  <c r="AG500" i="13"/>
  <c r="AH500" i="13" s="1"/>
  <c r="AF500" i="13"/>
  <c r="E504" i="27"/>
  <c r="S500" i="13"/>
  <c r="T500" i="13"/>
  <c r="U500" i="13" s="1"/>
  <c r="R501" i="13"/>
  <c r="E502" i="13"/>
  <c r="L502" i="13" s="1"/>
  <c r="AE501" i="13"/>
  <c r="K502" i="13" l="1"/>
  <c r="AF500" i="7"/>
  <c r="E501" i="7"/>
  <c r="F510" i="5"/>
  <c r="E510" i="5"/>
  <c r="G510" i="5"/>
  <c r="K510" i="5" s="1"/>
  <c r="I509" i="5"/>
  <c r="J509" i="5" s="1"/>
  <c r="H512" i="5"/>
  <c r="C511" i="5"/>
  <c r="D511" i="5" s="1"/>
  <c r="B513" i="5"/>
  <c r="S501" i="28"/>
  <c r="E502" i="28"/>
  <c r="T501" i="28"/>
  <c r="AG501" i="13"/>
  <c r="AH501" i="13" s="1"/>
  <c r="AF501" i="13"/>
  <c r="R502" i="13"/>
  <c r="AE502" i="13"/>
  <c r="E503" i="13"/>
  <c r="L503" i="13" s="1"/>
  <c r="S501" i="13"/>
  <c r="T501" i="13"/>
  <c r="U501" i="13" s="1"/>
  <c r="E505" i="27"/>
  <c r="K503" i="13" l="1"/>
  <c r="AF501" i="7"/>
  <c r="E502" i="7"/>
  <c r="H513" i="5"/>
  <c r="C512" i="5"/>
  <c r="D512" i="5" s="1"/>
  <c r="B514" i="5"/>
  <c r="E511" i="5"/>
  <c r="G511" i="5"/>
  <c r="K511" i="5" s="1"/>
  <c r="F511" i="5"/>
  <c r="I510" i="5"/>
  <c r="J510" i="5" s="1"/>
  <c r="S502" i="28"/>
  <c r="E503" i="28"/>
  <c r="T502" i="28"/>
  <c r="E506" i="27"/>
  <c r="R503" i="13"/>
  <c r="AE503" i="13"/>
  <c r="E504" i="13"/>
  <c r="L504" i="13" s="1"/>
  <c r="AF502" i="13"/>
  <c r="AG502" i="13"/>
  <c r="AH502" i="13" s="1"/>
  <c r="T502" i="13"/>
  <c r="U502" i="13" s="1"/>
  <c r="S502" i="13"/>
  <c r="K504" i="13" l="1"/>
  <c r="AF502" i="7"/>
  <c r="E503" i="7"/>
  <c r="I511" i="5"/>
  <c r="J511" i="5" s="1"/>
  <c r="C513" i="5"/>
  <c r="D513" i="5" s="1"/>
  <c r="B515" i="5"/>
  <c r="H514" i="5"/>
  <c r="F512" i="5"/>
  <c r="G512" i="5"/>
  <c r="K512" i="5" s="1"/>
  <c r="E512" i="5"/>
  <c r="S503" i="28"/>
  <c r="E504" i="28"/>
  <c r="T503" i="28"/>
  <c r="E507" i="27"/>
  <c r="AF503" i="13"/>
  <c r="AG503" i="13"/>
  <c r="AH503" i="13" s="1"/>
  <c r="AE504" i="13"/>
  <c r="E505" i="13"/>
  <c r="L505" i="13" s="1"/>
  <c r="R504" i="13"/>
  <c r="S503" i="13"/>
  <c r="T503" i="13"/>
  <c r="U503" i="13" s="1"/>
  <c r="K505" i="13" l="1"/>
  <c r="AF503" i="7"/>
  <c r="E504" i="7"/>
  <c r="I512" i="5"/>
  <c r="J512" i="5" s="1"/>
  <c r="H515" i="5"/>
  <c r="C514" i="5"/>
  <c r="D514" i="5" s="1"/>
  <c r="B516" i="5"/>
  <c r="E513" i="5"/>
  <c r="G513" i="5"/>
  <c r="K513" i="5" s="1"/>
  <c r="F513" i="5"/>
  <c r="T504" i="28"/>
  <c r="S504" i="28"/>
  <c r="E505" i="28"/>
  <c r="AE505" i="13"/>
  <c r="E506" i="13"/>
  <c r="L506" i="13" s="1"/>
  <c r="R505" i="13"/>
  <c r="E508" i="27"/>
  <c r="AF504" i="13"/>
  <c r="AG504" i="13"/>
  <c r="AH504" i="13" s="1"/>
  <c r="T504" i="13"/>
  <c r="U504" i="13" s="1"/>
  <c r="S504" i="13"/>
  <c r="K506" i="13" l="1"/>
  <c r="AF504" i="7"/>
  <c r="E505" i="7"/>
  <c r="F514" i="5"/>
  <c r="E514" i="5"/>
  <c r="G514" i="5"/>
  <c r="K514" i="5" s="1"/>
  <c r="H516" i="5"/>
  <c r="B517" i="5"/>
  <c r="C515" i="5"/>
  <c r="D515" i="5" s="1"/>
  <c r="I513" i="5"/>
  <c r="J513" i="5" s="1"/>
  <c r="T505" i="28"/>
  <c r="E506" i="28"/>
  <c r="S505" i="28"/>
  <c r="E509" i="27"/>
  <c r="AG505" i="13"/>
  <c r="AH505" i="13" s="1"/>
  <c r="AF505" i="13"/>
  <c r="S505" i="13"/>
  <c r="T505" i="13"/>
  <c r="U505" i="13" s="1"/>
  <c r="AE506" i="13"/>
  <c r="E507" i="13"/>
  <c r="L507" i="13" s="1"/>
  <c r="R506" i="13"/>
  <c r="K507" i="13" l="1"/>
  <c r="AF505" i="7"/>
  <c r="E506" i="7"/>
  <c r="B518" i="5"/>
  <c r="H517" i="5"/>
  <c r="C516" i="5"/>
  <c r="D516" i="5" s="1"/>
  <c r="G515" i="5"/>
  <c r="K515" i="5" s="1"/>
  <c r="E515" i="5"/>
  <c r="F515" i="5"/>
  <c r="I514" i="5"/>
  <c r="J514" i="5" s="1"/>
  <c r="E507" i="28"/>
  <c r="S506" i="28"/>
  <c r="T506" i="28"/>
  <c r="AE507" i="13"/>
  <c r="R507" i="13"/>
  <c r="E508" i="13"/>
  <c r="L508" i="13" s="1"/>
  <c r="E510" i="27"/>
  <c r="T506" i="13"/>
  <c r="U506" i="13" s="1"/>
  <c r="S506" i="13"/>
  <c r="AG506" i="13"/>
  <c r="AH506" i="13" s="1"/>
  <c r="AF506" i="13"/>
  <c r="K508" i="13" l="1"/>
  <c r="AF506" i="7"/>
  <c r="E507" i="7"/>
  <c r="G516" i="5"/>
  <c r="K516" i="5" s="1"/>
  <c r="E516" i="5"/>
  <c r="F516" i="5"/>
  <c r="I515" i="5"/>
  <c r="J515" i="5" s="1"/>
  <c r="H518" i="5"/>
  <c r="B519" i="5"/>
  <c r="C517" i="5"/>
  <c r="D517" i="5" s="1"/>
  <c r="E508" i="28"/>
  <c r="S507" i="28"/>
  <c r="T507" i="28"/>
  <c r="E511" i="27"/>
  <c r="R508" i="13"/>
  <c r="AE508" i="13"/>
  <c r="E509" i="13"/>
  <c r="L509" i="13" s="1"/>
  <c r="S507" i="13"/>
  <c r="T507" i="13"/>
  <c r="U507" i="13" s="1"/>
  <c r="AF507" i="13"/>
  <c r="AG507" i="13"/>
  <c r="AH507" i="13" s="1"/>
  <c r="K509" i="13" l="1"/>
  <c r="AF507" i="7"/>
  <c r="E508" i="7"/>
  <c r="G517" i="5"/>
  <c r="K517" i="5" s="1"/>
  <c r="F517" i="5"/>
  <c r="E517" i="5"/>
  <c r="C518" i="5"/>
  <c r="D518" i="5" s="1"/>
  <c r="B520" i="5"/>
  <c r="H519" i="5"/>
  <c r="I516" i="5"/>
  <c r="J516" i="5" s="1"/>
  <c r="S508" i="28"/>
  <c r="T508" i="28"/>
  <c r="E509" i="28"/>
  <c r="AG508" i="13"/>
  <c r="AH508" i="13" s="1"/>
  <c r="AF508" i="13"/>
  <c r="T508" i="13"/>
  <c r="U508" i="13" s="1"/>
  <c r="S508" i="13"/>
  <c r="E510" i="13"/>
  <c r="L510" i="13" s="1"/>
  <c r="R509" i="13"/>
  <c r="AE509" i="13"/>
  <c r="E512" i="27"/>
  <c r="K510" i="13" l="1"/>
  <c r="AF508" i="7"/>
  <c r="E509" i="7"/>
  <c r="G518" i="5"/>
  <c r="K518" i="5" s="1"/>
  <c r="E518" i="5"/>
  <c r="F518" i="5"/>
  <c r="I517" i="5"/>
  <c r="J517" i="5" s="1"/>
  <c r="C519" i="5"/>
  <c r="D519" i="5" s="1"/>
  <c r="B521" i="5"/>
  <c r="H520" i="5"/>
  <c r="S509" i="28"/>
  <c r="T509" i="28"/>
  <c r="E510" i="28"/>
  <c r="S509" i="13"/>
  <c r="T509" i="13"/>
  <c r="U509" i="13" s="1"/>
  <c r="AG509" i="13"/>
  <c r="AH509" i="13" s="1"/>
  <c r="AF509" i="13"/>
  <c r="E513" i="27"/>
  <c r="R510" i="13"/>
  <c r="E511" i="13"/>
  <c r="L511" i="13" s="1"/>
  <c r="AE510" i="13"/>
  <c r="K511" i="13" l="1"/>
  <c r="AF509" i="7"/>
  <c r="E510" i="7"/>
  <c r="H521" i="5"/>
  <c r="C520" i="5"/>
  <c r="D520" i="5" s="1"/>
  <c r="B522" i="5"/>
  <c r="I518" i="5"/>
  <c r="J518" i="5" s="1"/>
  <c r="G519" i="5"/>
  <c r="K519" i="5" s="1"/>
  <c r="E519" i="5"/>
  <c r="F519" i="5"/>
  <c r="S510" i="28"/>
  <c r="T510" i="28"/>
  <c r="E511" i="28"/>
  <c r="T510" i="13"/>
  <c r="U510" i="13" s="1"/>
  <c r="S510" i="13"/>
  <c r="AG510" i="13"/>
  <c r="AH510" i="13" s="1"/>
  <c r="AF510" i="13"/>
  <c r="AE511" i="13"/>
  <c r="R511" i="13"/>
  <c r="E512" i="13"/>
  <c r="L512" i="13" s="1"/>
  <c r="E514" i="27"/>
  <c r="K512" i="13" l="1"/>
  <c r="AF510" i="7"/>
  <c r="E511" i="7"/>
  <c r="H522" i="5"/>
  <c r="C521" i="5"/>
  <c r="D521" i="5" s="1"/>
  <c r="B523" i="5"/>
  <c r="I519" i="5"/>
  <c r="J519" i="5" s="1"/>
  <c r="F520" i="5"/>
  <c r="E520" i="5"/>
  <c r="G520" i="5"/>
  <c r="K520" i="5" s="1"/>
  <c r="T511" i="28"/>
  <c r="E512" i="28"/>
  <c r="S511" i="28"/>
  <c r="E515" i="27"/>
  <c r="S511" i="13"/>
  <c r="T511" i="13"/>
  <c r="U511" i="13" s="1"/>
  <c r="R512" i="13"/>
  <c r="AE512" i="13"/>
  <c r="E513" i="13"/>
  <c r="L513" i="13" s="1"/>
  <c r="AF511" i="13"/>
  <c r="AG511" i="13"/>
  <c r="AH511" i="13" s="1"/>
  <c r="K513" i="13" l="1"/>
  <c r="AF511" i="7"/>
  <c r="E512" i="7"/>
  <c r="B524" i="5"/>
  <c r="H523" i="5"/>
  <c r="C522" i="5"/>
  <c r="D522" i="5" s="1"/>
  <c r="I520" i="5"/>
  <c r="J520" i="5" s="1"/>
  <c r="E521" i="5"/>
  <c r="G521" i="5"/>
  <c r="K521" i="5" s="1"/>
  <c r="F521" i="5"/>
  <c r="S512" i="28"/>
  <c r="E513" i="28"/>
  <c r="T512" i="28"/>
  <c r="AE513" i="13"/>
  <c r="E514" i="13"/>
  <c r="L514" i="13" s="1"/>
  <c r="R513" i="13"/>
  <c r="AG512" i="13"/>
  <c r="AH512" i="13" s="1"/>
  <c r="AF512" i="13"/>
  <c r="S512" i="13"/>
  <c r="T512" i="13"/>
  <c r="U512" i="13" s="1"/>
  <c r="E516" i="27"/>
  <c r="K514" i="13" l="1"/>
  <c r="AF512" i="7"/>
  <c r="E513" i="7"/>
  <c r="E522" i="5"/>
  <c r="G522" i="5"/>
  <c r="K522" i="5" s="1"/>
  <c r="F522" i="5"/>
  <c r="I521" i="5"/>
  <c r="J521" i="5" s="1"/>
  <c r="C523" i="5"/>
  <c r="D523" i="5" s="1"/>
  <c r="B525" i="5"/>
  <c r="H524" i="5"/>
  <c r="S513" i="28"/>
  <c r="T513" i="28"/>
  <c r="E514" i="28"/>
  <c r="AF513" i="13"/>
  <c r="AG513" i="13"/>
  <c r="AH513" i="13" s="1"/>
  <c r="E517" i="27"/>
  <c r="S513" i="13"/>
  <c r="T513" i="13"/>
  <c r="U513" i="13" s="1"/>
  <c r="AE514" i="13"/>
  <c r="R514" i="13"/>
  <c r="E515" i="13"/>
  <c r="L515" i="13" s="1"/>
  <c r="K515" i="13" l="1"/>
  <c r="AF513" i="7"/>
  <c r="E514" i="7"/>
  <c r="B526" i="5"/>
  <c r="H525" i="5"/>
  <c r="C524" i="5"/>
  <c r="D524" i="5" s="1"/>
  <c r="G523" i="5"/>
  <c r="K523" i="5" s="1"/>
  <c r="E523" i="5"/>
  <c r="F523" i="5"/>
  <c r="I522" i="5"/>
  <c r="J522" i="5" s="1"/>
  <c r="T514" i="28"/>
  <c r="S514" i="28"/>
  <c r="E515" i="28"/>
  <c r="R515" i="13"/>
  <c r="E516" i="13"/>
  <c r="L516" i="13" s="1"/>
  <c r="AE515" i="13"/>
  <c r="T514" i="13"/>
  <c r="U514" i="13" s="1"/>
  <c r="S514" i="13"/>
  <c r="AG514" i="13"/>
  <c r="AH514" i="13" s="1"/>
  <c r="AF514" i="13"/>
  <c r="E518" i="27"/>
  <c r="K516" i="13" l="1"/>
  <c r="AF514" i="7"/>
  <c r="E515" i="7"/>
  <c r="F524" i="5"/>
  <c r="G524" i="5"/>
  <c r="K524" i="5" s="1"/>
  <c r="E524" i="5"/>
  <c r="I523" i="5"/>
  <c r="J523" i="5" s="1"/>
  <c r="H526" i="5"/>
  <c r="C525" i="5"/>
  <c r="D525" i="5" s="1"/>
  <c r="B527" i="5"/>
  <c r="S515" i="28"/>
  <c r="T515" i="28"/>
  <c r="E516" i="28"/>
  <c r="T515" i="13"/>
  <c r="U515" i="13" s="1"/>
  <c r="S515" i="13"/>
  <c r="AG515" i="13"/>
  <c r="AH515" i="13" s="1"/>
  <c r="AF515" i="13"/>
  <c r="R516" i="13"/>
  <c r="E517" i="13"/>
  <c r="L517" i="13" s="1"/>
  <c r="AE516" i="13"/>
  <c r="E519" i="27"/>
  <c r="K517" i="13" l="1"/>
  <c r="AF515" i="7"/>
  <c r="E516" i="7"/>
  <c r="C526" i="5"/>
  <c r="D526" i="5" s="1"/>
  <c r="B528" i="5"/>
  <c r="H527" i="5"/>
  <c r="I524" i="5"/>
  <c r="J524" i="5" s="1"/>
  <c r="G525" i="5"/>
  <c r="K525" i="5" s="1"/>
  <c r="F525" i="5"/>
  <c r="E525" i="5"/>
  <c r="S516" i="28"/>
  <c r="T516" i="28"/>
  <c r="E517" i="28"/>
  <c r="E520" i="27"/>
  <c r="AF516" i="13"/>
  <c r="AG516" i="13"/>
  <c r="AH516" i="13" s="1"/>
  <c r="R517" i="13"/>
  <c r="E518" i="13"/>
  <c r="L518" i="13" s="1"/>
  <c r="AE517" i="13"/>
  <c r="S516" i="13"/>
  <c r="T516" i="13"/>
  <c r="U516" i="13" s="1"/>
  <c r="K518" i="13" l="1"/>
  <c r="AF516" i="7"/>
  <c r="E517" i="7"/>
  <c r="I525" i="5"/>
  <c r="J525" i="5" s="1"/>
  <c r="H528" i="5"/>
  <c r="C527" i="5"/>
  <c r="D527" i="5" s="1"/>
  <c r="B529" i="5"/>
  <c r="E526" i="5"/>
  <c r="F526" i="5"/>
  <c r="G526" i="5"/>
  <c r="K526" i="5" s="1"/>
  <c r="T517" i="28"/>
  <c r="E518" i="28"/>
  <c r="S517" i="28"/>
  <c r="T517" i="13"/>
  <c r="U517" i="13" s="1"/>
  <c r="S517" i="13"/>
  <c r="AG517" i="13"/>
  <c r="AH517" i="13" s="1"/>
  <c r="AF517" i="13"/>
  <c r="R518" i="13"/>
  <c r="AE518" i="13"/>
  <c r="E519" i="13"/>
  <c r="L519" i="13" s="1"/>
  <c r="E521" i="27"/>
  <c r="K519" i="13" l="1"/>
  <c r="AF517" i="7"/>
  <c r="E518" i="7"/>
  <c r="C528" i="5"/>
  <c r="D528" i="5" s="1"/>
  <c r="B530" i="5"/>
  <c r="H529" i="5"/>
  <c r="E527" i="5"/>
  <c r="G527" i="5"/>
  <c r="K527" i="5" s="1"/>
  <c r="F527" i="5"/>
  <c r="I526" i="5"/>
  <c r="J526" i="5" s="1"/>
  <c r="S518" i="28"/>
  <c r="E519" i="28"/>
  <c r="T518" i="28"/>
  <c r="T518" i="13"/>
  <c r="U518" i="13" s="1"/>
  <c r="S518" i="13"/>
  <c r="AE519" i="13"/>
  <c r="R519" i="13"/>
  <c r="E520" i="13"/>
  <c r="L520" i="13" s="1"/>
  <c r="AG518" i="13"/>
  <c r="AH518" i="13" s="1"/>
  <c r="AF518" i="13"/>
  <c r="E522" i="27"/>
  <c r="K520" i="13" l="1"/>
  <c r="AF518" i="7"/>
  <c r="E519" i="7"/>
  <c r="I527" i="5"/>
  <c r="J527" i="5" s="1"/>
  <c r="H530" i="5"/>
  <c r="B531" i="5"/>
  <c r="C529" i="5"/>
  <c r="D529" i="5" s="1"/>
  <c r="F528" i="5"/>
  <c r="E528" i="5"/>
  <c r="G528" i="5"/>
  <c r="K528" i="5" s="1"/>
  <c r="T519" i="28"/>
  <c r="S519" i="28"/>
  <c r="E520" i="28"/>
  <c r="R520" i="13"/>
  <c r="E521" i="13"/>
  <c r="L521" i="13" s="1"/>
  <c r="AE520" i="13"/>
  <c r="AG519" i="13"/>
  <c r="AH519" i="13" s="1"/>
  <c r="AF519" i="13"/>
  <c r="T519" i="13"/>
  <c r="U519" i="13" s="1"/>
  <c r="S519" i="13"/>
  <c r="E523" i="27"/>
  <c r="K521" i="13" l="1"/>
  <c r="AF519" i="7"/>
  <c r="E520" i="7"/>
  <c r="G529" i="5"/>
  <c r="K529" i="5" s="1"/>
  <c r="F529" i="5"/>
  <c r="E529" i="5"/>
  <c r="H531" i="5"/>
  <c r="C530" i="5"/>
  <c r="D530" i="5" s="1"/>
  <c r="B532" i="5"/>
  <c r="I528" i="5"/>
  <c r="J528" i="5" s="1"/>
  <c r="S520" i="28"/>
  <c r="E521" i="28"/>
  <c r="T520" i="28"/>
  <c r="E524" i="27"/>
  <c r="AF520" i="13"/>
  <c r="AG520" i="13"/>
  <c r="AH520" i="13" s="1"/>
  <c r="E522" i="13"/>
  <c r="L522" i="13" s="1"/>
  <c r="R521" i="13"/>
  <c r="AE521" i="13"/>
  <c r="S520" i="13"/>
  <c r="T520" i="13"/>
  <c r="U520" i="13" s="1"/>
  <c r="K522" i="13" l="1"/>
  <c r="AF520" i="7"/>
  <c r="E521" i="7"/>
  <c r="G530" i="5"/>
  <c r="K530" i="5" s="1"/>
  <c r="F530" i="5"/>
  <c r="E530" i="5"/>
  <c r="C531" i="5"/>
  <c r="D531" i="5" s="1"/>
  <c r="H532" i="5"/>
  <c r="B533" i="5"/>
  <c r="I529" i="5"/>
  <c r="J529" i="5" s="1"/>
  <c r="S521" i="28"/>
  <c r="E522" i="28"/>
  <c r="T521" i="28"/>
  <c r="T521" i="13"/>
  <c r="U521" i="13" s="1"/>
  <c r="S521" i="13"/>
  <c r="E525" i="27"/>
  <c r="AE522" i="13"/>
  <c r="E523" i="13"/>
  <c r="L523" i="13" s="1"/>
  <c r="R522" i="13"/>
  <c r="AG521" i="13"/>
  <c r="AH521" i="13" s="1"/>
  <c r="AF521" i="13"/>
  <c r="K523" i="13" l="1"/>
  <c r="AF521" i="7"/>
  <c r="E522" i="7"/>
  <c r="B534" i="5"/>
  <c r="H533" i="5"/>
  <c r="C532" i="5"/>
  <c r="D532" i="5" s="1"/>
  <c r="E531" i="5"/>
  <c r="G531" i="5"/>
  <c r="K531" i="5" s="1"/>
  <c r="F531" i="5"/>
  <c r="I530" i="5"/>
  <c r="J530" i="5" s="1"/>
  <c r="S522" i="28"/>
  <c r="T522" i="28"/>
  <c r="E523" i="28"/>
  <c r="T522" i="13"/>
  <c r="U522" i="13" s="1"/>
  <c r="S522" i="13"/>
  <c r="AE523" i="13"/>
  <c r="R523" i="13"/>
  <c r="E524" i="13"/>
  <c r="L524" i="13" s="1"/>
  <c r="E526" i="27"/>
  <c r="AG522" i="13"/>
  <c r="AH522" i="13" s="1"/>
  <c r="AF522" i="13"/>
  <c r="K524" i="13" l="1"/>
  <c r="AF522" i="7"/>
  <c r="E523" i="7"/>
  <c r="I531" i="5"/>
  <c r="J531" i="5" s="1"/>
  <c r="G532" i="5"/>
  <c r="K532" i="5" s="1"/>
  <c r="F532" i="5"/>
  <c r="E532" i="5"/>
  <c r="C533" i="5"/>
  <c r="D533" i="5" s="1"/>
  <c r="H534" i="5"/>
  <c r="B535" i="5"/>
  <c r="T523" i="28"/>
  <c r="S523" i="28"/>
  <c r="E524" i="28"/>
  <c r="AG523" i="13"/>
  <c r="AH523" i="13" s="1"/>
  <c r="AF523" i="13"/>
  <c r="E527" i="27"/>
  <c r="R524" i="13"/>
  <c r="AE524" i="13"/>
  <c r="E525" i="13"/>
  <c r="L525" i="13" s="1"/>
  <c r="T523" i="13"/>
  <c r="U523" i="13" s="1"/>
  <c r="S523" i="13"/>
  <c r="K525" i="13" l="1"/>
  <c r="AF523" i="7"/>
  <c r="E524" i="7"/>
  <c r="I532" i="5"/>
  <c r="J532" i="5" s="1"/>
  <c r="B536" i="5"/>
  <c r="H535" i="5"/>
  <c r="C534" i="5"/>
  <c r="D534" i="5" s="1"/>
  <c r="F533" i="5"/>
  <c r="G533" i="5"/>
  <c r="K533" i="5" s="1"/>
  <c r="E533" i="5"/>
  <c r="T524" i="28"/>
  <c r="S524" i="28"/>
  <c r="E525" i="28"/>
  <c r="AG524" i="13"/>
  <c r="AH524" i="13" s="1"/>
  <c r="AF524" i="13"/>
  <c r="E528" i="27"/>
  <c r="R525" i="13"/>
  <c r="E526" i="13"/>
  <c r="L526" i="13" s="1"/>
  <c r="AE525" i="13"/>
  <c r="S524" i="13"/>
  <c r="T524" i="13"/>
  <c r="U524" i="13" s="1"/>
  <c r="K526" i="13" l="1"/>
  <c r="AF524" i="7"/>
  <c r="E525" i="7"/>
  <c r="F534" i="5"/>
  <c r="G534" i="5"/>
  <c r="K534" i="5" s="1"/>
  <c r="E534" i="5"/>
  <c r="I533" i="5"/>
  <c r="J533" i="5" s="1"/>
  <c r="C535" i="5"/>
  <c r="D535" i="5" s="1"/>
  <c r="H536" i="5"/>
  <c r="B537" i="5"/>
  <c r="S525" i="28"/>
  <c r="T525" i="28"/>
  <c r="E526" i="28"/>
  <c r="R526" i="13"/>
  <c r="AE526" i="13"/>
  <c r="E527" i="13"/>
  <c r="L527" i="13" s="1"/>
  <c r="T525" i="13"/>
  <c r="U525" i="13" s="1"/>
  <c r="S525" i="13"/>
  <c r="AG525" i="13"/>
  <c r="AH525" i="13" s="1"/>
  <c r="AF525" i="13"/>
  <c r="E529" i="27"/>
  <c r="K527" i="13" l="1"/>
  <c r="AF525" i="7"/>
  <c r="E526" i="7"/>
  <c r="E535" i="5"/>
  <c r="F535" i="5"/>
  <c r="G535" i="5"/>
  <c r="K535" i="5" s="1"/>
  <c r="H537" i="5"/>
  <c r="C536" i="5"/>
  <c r="D536" i="5" s="1"/>
  <c r="B538" i="5"/>
  <c r="I534" i="5"/>
  <c r="J534" i="5" s="1"/>
  <c r="T526" i="28"/>
  <c r="S526" i="28"/>
  <c r="E527" i="28"/>
  <c r="E530" i="27"/>
  <c r="R527" i="13"/>
  <c r="AE527" i="13"/>
  <c r="E528" i="13"/>
  <c r="L528" i="13" s="1"/>
  <c r="AG526" i="13"/>
  <c r="AH526" i="13" s="1"/>
  <c r="AF526" i="13"/>
  <c r="T526" i="13"/>
  <c r="U526" i="13" s="1"/>
  <c r="S526" i="13"/>
  <c r="K528" i="13" l="1"/>
  <c r="AF526" i="7"/>
  <c r="E527" i="7"/>
  <c r="C537" i="5"/>
  <c r="D537" i="5" s="1"/>
  <c r="H538" i="5"/>
  <c r="B539" i="5"/>
  <c r="F536" i="5"/>
  <c r="G536" i="5"/>
  <c r="K536" i="5" s="1"/>
  <c r="E536" i="5"/>
  <c r="I535" i="5"/>
  <c r="J535" i="5" s="1"/>
  <c r="S527" i="28"/>
  <c r="E528" i="28"/>
  <c r="T527" i="28"/>
  <c r="E529" i="13"/>
  <c r="L529" i="13" s="1"/>
  <c r="R528" i="13"/>
  <c r="AE528" i="13"/>
  <c r="S527" i="13"/>
  <c r="T527" i="13"/>
  <c r="U527" i="13" s="1"/>
  <c r="AG527" i="13"/>
  <c r="AH527" i="13" s="1"/>
  <c r="AF527" i="13"/>
  <c r="E531" i="27"/>
  <c r="K529" i="13" l="1"/>
  <c r="AF527" i="7"/>
  <c r="E528" i="7"/>
  <c r="H539" i="5"/>
  <c r="C538" i="5"/>
  <c r="D538" i="5" s="1"/>
  <c r="B540" i="5"/>
  <c r="I536" i="5"/>
  <c r="J536" i="5" s="1"/>
  <c r="G537" i="5"/>
  <c r="K537" i="5" s="1"/>
  <c r="E537" i="5"/>
  <c r="F537" i="5"/>
  <c r="S528" i="28"/>
  <c r="T528" i="28"/>
  <c r="E529" i="28"/>
  <c r="R529" i="13"/>
  <c r="E530" i="13"/>
  <c r="L530" i="13" s="1"/>
  <c r="AE529" i="13"/>
  <c r="E532" i="27"/>
  <c r="AG528" i="13"/>
  <c r="AH528" i="13" s="1"/>
  <c r="AF528" i="13"/>
  <c r="S528" i="13"/>
  <c r="T528" i="13"/>
  <c r="U528" i="13" s="1"/>
  <c r="K530" i="13" l="1"/>
  <c r="AF528" i="7"/>
  <c r="E529" i="7"/>
  <c r="H540" i="5"/>
  <c r="B541" i="5"/>
  <c r="C539" i="5"/>
  <c r="D539" i="5" s="1"/>
  <c r="I537" i="5"/>
  <c r="J537" i="5" s="1"/>
  <c r="F538" i="5"/>
  <c r="E538" i="5"/>
  <c r="G538" i="5"/>
  <c r="K538" i="5" s="1"/>
  <c r="S529" i="28"/>
  <c r="E530" i="28"/>
  <c r="T529" i="28"/>
  <c r="AF529" i="13"/>
  <c r="AG529" i="13"/>
  <c r="AH529" i="13" s="1"/>
  <c r="S529" i="13"/>
  <c r="T529" i="13"/>
  <c r="U529" i="13" s="1"/>
  <c r="E531" i="13"/>
  <c r="L531" i="13" s="1"/>
  <c r="AE530" i="13"/>
  <c r="R530" i="13"/>
  <c r="E533" i="27"/>
  <c r="K531" i="13" l="1"/>
  <c r="AF529" i="7"/>
  <c r="E530" i="7"/>
  <c r="I538" i="5"/>
  <c r="J538" i="5" s="1"/>
  <c r="H541" i="5"/>
  <c r="C540" i="5"/>
  <c r="D540" i="5" s="1"/>
  <c r="B542" i="5"/>
  <c r="E539" i="5"/>
  <c r="F539" i="5"/>
  <c r="G539" i="5"/>
  <c r="K539" i="5" s="1"/>
  <c r="T530" i="28"/>
  <c r="S530" i="28"/>
  <c r="E531" i="28"/>
  <c r="T530" i="13"/>
  <c r="U530" i="13" s="1"/>
  <c r="S530" i="13"/>
  <c r="AF530" i="13"/>
  <c r="AG530" i="13"/>
  <c r="AH530" i="13" s="1"/>
  <c r="R531" i="13"/>
  <c r="AE531" i="13"/>
  <c r="E532" i="13"/>
  <c r="L532" i="13" s="1"/>
  <c r="E534" i="27"/>
  <c r="K532" i="13" l="1"/>
  <c r="AF530" i="7"/>
  <c r="E531" i="7"/>
  <c r="E540" i="5"/>
  <c r="G540" i="5"/>
  <c r="K540" i="5" s="1"/>
  <c r="F540" i="5"/>
  <c r="B543" i="5"/>
  <c r="H542" i="5"/>
  <c r="C541" i="5"/>
  <c r="D541" i="5" s="1"/>
  <c r="I539" i="5"/>
  <c r="J539" i="5" s="1"/>
  <c r="E532" i="28"/>
  <c r="T531" i="28"/>
  <c r="S531" i="28"/>
  <c r="R532" i="13"/>
  <c r="E533" i="13"/>
  <c r="L533" i="13" s="1"/>
  <c r="AE532" i="13"/>
  <c r="AG531" i="13"/>
  <c r="AH531" i="13" s="1"/>
  <c r="AF531" i="13"/>
  <c r="E535" i="27"/>
  <c r="S531" i="13"/>
  <c r="T531" i="13"/>
  <c r="U531" i="13" s="1"/>
  <c r="K533" i="13" l="1"/>
  <c r="AF531" i="7"/>
  <c r="E532" i="7"/>
  <c r="H543" i="5"/>
  <c r="B544" i="5"/>
  <c r="C542" i="5"/>
  <c r="D542" i="5" s="1"/>
  <c r="F541" i="5"/>
  <c r="E541" i="5"/>
  <c r="G541" i="5"/>
  <c r="K541" i="5" s="1"/>
  <c r="I540" i="5"/>
  <c r="J540" i="5" s="1"/>
  <c r="E533" i="28"/>
  <c r="S532" i="28"/>
  <c r="T532" i="28"/>
  <c r="AF532" i="13"/>
  <c r="AG532" i="13"/>
  <c r="AH532" i="13" s="1"/>
  <c r="E536" i="27"/>
  <c r="AE533" i="13"/>
  <c r="R533" i="13"/>
  <c r="E534" i="13"/>
  <c r="L534" i="13" s="1"/>
  <c r="T532" i="13"/>
  <c r="U532" i="13" s="1"/>
  <c r="S532" i="13"/>
  <c r="K534" i="13" l="1"/>
  <c r="AF532" i="7"/>
  <c r="E533" i="7"/>
  <c r="F542" i="5"/>
  <c r="E542" i="5"/>
  <c r="G542" i="5"/>
  <c r="K542" i="5" s="1"/>
  <c r="H544" i="5"/>
  <c r="C543" i="5"/>
  <c r="D543" i="5" s="1"/>
  <c r="B545" i="5"/>
  <c r="I541" i="5"/>
  <c r="J541" i="5" s="1"/>
  <c r="T533" i="28"/>
  <c r="E534" i="28"/>
  <c r="S533" i="28"/>
  <c r="AE534" i="13"/>
  <c r="R534" i="13"/>
  <c r="E535" i="13"/>
  <c r="L535" i="13" s="1"/>
  <c r="S533" i="13"/>
  <c r="T533" i="13"/>
  <c r="U533" i="13" s="1"/>
  <c r="E537" i="27"/>
  <c r="AG533" i="13"/>
  <c r="AH533" i="13" s="1"/>
  <c r="AF533" i="13"/>
  <c r="K535" i="13" l="1"/>
  <c r="AF533" i="7"/>
  <c r="E534" i="7"/>
  <c r="C544" i="5"/>
  <c r="D544" i="5" s="1"/>
  <c r="B546" i="5"/>
  <c r="H545" i="5"/>
  <c r="I542" i="5"/>
  <c r="J542" i="5" s="1"/>
  <c r="F543" i="5"/>
  <c r="G543" i="5"/>
  <c r="K543" i="5" s="1"/>
  <c r="E543" i="5"/>
  <c r="E535" i="28"/>
  <c r="S534" i="28"/>
  <c r="T534" i="28"/>
  <c r="S534" i="13"/>
  <c r="T534" i="13"/>
  <c r="U534" i="13" s="1"/>
  <c r="AF534" i="13"/>
  <c r="AG534" i="13"/>
  <c r="AH534" i="13" s="1"/>
  <c r="E538" i="27"/>
  <c r="E536" i="13"/>
  <c r="L536" i="13" s="1"/>
  <c r="AE535" i="13"/>
  <c r="R535" i="13"/>
  <c r="K536" i="13" l="1"/>
  <c r="AF534" i="7"/>
  <c r="E535" i="7"/>
  <c r="I543" i="5"/>
  <c r="J543" i="5" s="1"/>
  <c r="C545" i="5"/>
  <c r="D545" i="5" s="1"/>
  <c r="B547" i="5"/>
  <c r="H546" i="5"/>
  <c r="G544" i="5"/>
  <c r="K544" i="5" s="1"/>
  <c r="E544" i="5"/>
  <c r="F544" i="5"/>
  <c r="T535" i="28"/>
  <c r="E536" i="28"/>
  <c r="S535" i="28"/>
  <c r="AF535" i="13"/>
  <c r="AG535" i="13"/>
  <c r="AH535" i="13" s="1"/>
  <c r="S535" i="13"/>
  <c r="T535" i="13"/>
  <c r="U535" i="13" s="1"/>
  <c r="R536" i="13"/>
  <c r="AE536" i="13"/>
  <c r="E537" i="13"/>
  <c r="L537" i="13" s="1"/>
  <c r="E539" i="27"/>
  <c r="K537" i="13" l="1"/>
  <c r="AF535" i="7"/>
  <c r="E536" i="7"/>
  <c r="H547" i="5"/>
  <c r="B548" i="5"/>
  <c r="C546" i="5"/>
  <c r="D546" i="5" s="1"/>
  <c r="I544" i="5"/>
  <c r="J544" i="5" s="1"/>
  <c r="G545" i="5"/>
  <c r="K545" i="5" s="1"/>
  <c r="F545" i="5"/>
  <c r="E545" i="5"/>
  <c r="T536" i="28"/>
  <c r="E537" i="28"/>
  <c r="S536" i="28"/>
  <c r="E540" i="27"/>
  <c r="S536" i="13"/>
  <c r="T536" i="13"/>
  <c r="U536" i="13" s="1"/>
  <c r="E538" i="13"/>
  <c r="L538" i="13" s="1"/>
  <c r="R537" i="13"/>
  <c r="AE537" i="13"/>
  <c r="AG536" i="13"/>
  <c r="AH536" i="13" s="1"/>
  <c r="AF536" i="13"/>
  <c r="K538" i="13" l="1"/>
  <c r="AF536" i="7"/>
  <c r="E537" i="7"/>
  <c r="I545" i="5"/>
  <c r="J545" i="5" s="1"/>
  <c r="G546" i="5"/>
  <c r="K546" i="5" s="1"/>
  <c r="E546" i="5"/>
  <c r="F546" i="5"/>
  <c r="C547" i="5"/>
  <c r="D547" i="5" s="1"/>
  <c r="B549" i="5"/>
  <c r="H548" i="5"/>
  <c r="S537" i="28"/>
  <c r="T537" i="28"/>
  <c r="E538" i="28"/>
  <c r="AG537" i="13"/>
  <c r="AH537" i="13" s="1"/>
  <c r="AF537" i="13"/>
  <c r="T537" i="13"/>
  <c r="U537" i="13" s="1"/>
  <c r="S537" i="13"/>
  <c r="E541" i="27"/>
  <c r="AE538" i="13"/>
  <c r="E539" i="13"/>
  <c r="L539" i="13" s="1"/>
  <c r="R538" i="13"/>
  <c r="K539" i="13" l="1"/>
  <c r="AF537" i="7"/>
  <c r="E538" i="7"/>
  <c r="I546" i="5"/>
  <c r="J546" i="5" s="1"/>
  <c r="C548" i="5"/>
  <c r="D548" i="5" s="1"/>
  <c r="B550" i="5"/>
  <c r="H549" i="5"/>
  <c r="F547" i="5"/>
  <c r="G547" i="5"/>
  <c r="K547" i="5" s="1"/>
  <c r="E547" i="5"/>
  <c r="E539" i="28"/>
  <c r="T538" i="28"/>
  <c r="S538" i="28"/>
  <c r="AG538" i="13"/>
  <c r="AH538" i="13" s="1"/>
  <c r="AF538" i="13"/>
  <c r="E542" i="27"/>
  <c r="AE539" i="13"/>
  <c r="R539" i="13"/>
  <c r="E540" i="13"/>
  <c r="L540" i="13" s="1"/>
  <c r="T538" i="13"/>
  <c r="U538" i="13" s="1"/>
  <c r="S538" i="13"/>
  <c r="K540" i="13" l="1"/>
  <c r="AF538" i="7"/>
  <c r="E539" i="7"/>
  <c r="I547" i="5"/>
  <c r="J547" i="5" s="1"/>
  <c r="C549" i="5"/>
  <c r="D549" i="5" s="1"/>
  <c r="B551" i="5"/>
  <c r="H550" i="5"/>
  <c r="G548" i="5"/>
  <c r="K548" i="5" s="1"/>
  <c r="F548" i="5"/>
  <c r="E548" i="5"/>
  <c r="E540" i="28"/>
  <c r="T539" i="28"/>
  <c r="S539" i="28"/>
  <c r="E543" i="27"/>
  <c r="R540" i="13"/>
  <c r="AE540" i="13"/>
  <c r="E541" i="13"/>
  <c r="L541" i="13" s="1"/>
  <c r="S539" i="13"/>
  <c r="T539" i="13"/>
  <c r="U539" i="13" s="1"/>
  <c r="AF539" i="13"/>
  <c r="AG539" i="13"/>
  <c r="AH539" i="13" s="1"/>
  <c r="K541" i="13" l="1"/>
  <c r="AF539" i="7"/>
  <c r="E540" i="7"/>
  <c r="I548" i="5"/>
  <c r="J548" i="5" s="1"/>
  <c r="B552" i="5"/>
  <c r="H551" i="5"/>
  <c r="C550" i="5"/>
  <c r="D550" i="5" s="1"/>
  <c r="G549" i="5"/>
  <c r="K549" i="5" s="1"/>
  <c r="E549" i="5"/>
  <c r="F549" i="5"/>
  <c r="S540" i="28"/>
  <c r="T540" i="28"/>
  <c r="E541" i="28"/>
  <c r="AG540" i="13"/>
  <c r="AH540" i="13" s="1"/>
  <c r="AF540" i="13"/>
  <c r="E544" i="27"/>
  <c r="T540" i="13"/>
  <c r="U540" i="13" s="1"/>
  <c r="S540" i="13"/>
  <c r="R541" i="13"/>
  <c r="E542" i="13"/>
  <c r="L542" i="13" s="1"/>
  <c r="AE541" i="13"/>
  <c r="K542" i="13" l="1"/>
  <c r="AF540" i="7"/>
  <c r="E541" i="7"/>
  <c r="F550" i="5"/>
  <c r="G550" i="5"/>
  <c r="K550" i="5" s="1"/>
  <c r="E550" i="5"/>
  <c r="I549" i="5"/>
  <c r="J549" i="5" s="1"/>
  <c r="H552" i="5"/>
  <c r="C551" i="5"/>
  <c r="D551" i="5" s="1"/>
  <c r="B553" i="5"/>
  <c r="T541" i="28"/>
  <c r="S541" i="28"/>
  <c r="E542" i="28"/>
  <c r="S541" i="13"/>
  <c r="T541" i="13"/>
  <c r="U541" i="13" s="1"/>
  <c r="AF541" i="13"/>
  <c r="AG541" i="13"/>
  <c r="AH541" i="13" s="1"/>
  <c r="E545" i="27"/>
  <c r="R542" i="13"/>
  <c r="AE542" i="13"/>
  <c r="E543" i="13"/>
  <c r="L543" i="13" s="1"/>
  <c r="K543" i="13" l="1"/>
  <c r="AF541" i="7"/>
  <c r="E542" i="7"/>
  <c r="H553" i="5"/>
  <c r="B554" i="5"/>
  <c r="C552" i="5"/>
  <c r="D552" i="5" s="1"/>
  <c r="I550" i="5"/>
  <c r="J550" i="5" s="1"/>
  <c r="G551" i="5"/>
  <c r="K551" i="5" s="1"/>
  <c r="F551" i="5"/>
  <c r="E551" i="5"/>
  <c r="T542" i="28"/>
  <c r="S542" i="28"/>
  <c r="E543" i="28"/>
  <c r="T542" i="13"/>
  <c r="U542" i="13" s="1"/>
  <c r="S542" i="13"/>
  <c r="AE543" i="13"/>
  <c r="R543" i="13"/>
  <c r="E544" i="13"/>
  <c r="L544" i="13" s="1"/>
  <c r="AG542" i="13"/>
  <c r="AH542" i="13" s="1"/>
  <c r="AF542" i="13"/>
  <c r="E546" i="27"/>
  <c r="K544" i="13" l="1"/>
  <c r="AF542" i="7"/>
  <c r="E543" i="7"/>
  <c r="I551" i="5"/>
  <c r="J551" i="5" s="1"/>
  <c r="G552" i="5"/>
  <c r="K552" i="5" s="1"/>
  <c r="F552" i="5"/>
  <c r="E552" i="5"/>
  <c r="C553" i="5"/>
  <c r="D553" i="5" s="1"/>
  <c r="B555" i="5"/>
  <c r="H554" i="5"/>
  <c r="T543" i="28"/>
  <c r="S543" i="28"/>
  <c r="E544" i="28"/>
  <c r="AG543" i="13"/>
  <c r="AH543" i="13" s="1"/>
  <c r="AF543" i="13"/>
  <c r="R544" i="13"/>
  <c r="AE544" i="13"/>
  <c r="E545" i="13"/>
  <c r="L545" i="13" s="1"/>
  <c r="S543" i="13"/>
  <c r="T543" i="13"/>
  <c r="U543" i="13" s="1"/>
  <c r="E547" i="27"/>
  <c r="K545" i="13" l="1"/>
  <c r="AF543" i="7"/>
  <c r="E544" i="7"/>
  <c r="I552" i="5"/>
  <c r="J552" i="5" s="1"/>
  <c r="H555" i="5"/>
  <c r="C554" i="5"/>
  <c r="D554" i="5" s="1"/>
  <c r="B556" i="5"/>
  <c r="G553" i="5"/>
  <c r="K553" i="5" s="1"/>
  <c r="F553" i="5"/>
  <c r="E553" i="5"/>
  <c r="E545" i="28"/>
  <c r="S544" i="28"/>
  <c r="T544" i="28"/>
  <c r="T544" i="13"/>
  <c r="U544" i="13" s="1"/>
  <c r="S544" i="13"/>
  <c r="E546" i="13"/>
  <c r="L546" i="13" s="1"/>
  <c r="AE545" i="13"/>
  <c r="R545" i="13"/>
  <c r="E548" i="27"/>
  <c r="AF544" i="13"/>
  <c r="AG544" i="13"/>
  <c r="AH544" i="13" s="1"/>
  <c r="K546" i="13" l="1"/>
  <c r="AF544" i="7"/>
  <c r="E545" i="7"/>
  <c r="H556" i="5"/>
  <c r="C555" i="5"/>
  <c r="D555" i="5" s="1"/>
  <c r="B557" i="5"/>
  <c r="I553" i="5"/>
  <c r="J553" i="5" s="1"/>
  <c r="F554" i="5"/>
  <c r="G554" i="5"/>
  <c r="K554" i="5" s="1"/>
  <c r="E554" i="5"/>
  <c r="S545" i="28"/>
  <c r="T545" i="28"/>
  <c r="E546" i="28"/>
  <c r="E549" i="27"/>
  <c r="T545" i="13"/>
  <c r="U545" i="13" s="1"/>
  <c r="S545" i="13"/>
  <c r="AG545" i="13"/>
  <c r="AH545" i="13" s="1"/>
  <c r="AF545" i="13"/>
  <c r="AE546" i="13"/>
  <c r="R546" i="13"/>
  <c r="E547" i="13"/>
  <c r="L547" i="13" s="1"/>
  <c r="K547" i="13" l="1"/>
  <c r="AF545" i="7"/>
  <c r="E546" i="7"/>
  <c r="I554" i="5"/>
  <c r="J554" i="5" s="1"/>
  <c r="B558" i="5"/>
  <c r="C556" i="5"/>
  <c r="D556" i="5" s="1"/>
  <c r="H557" i="5"/>
  <c r="G555" i="5"/>
  <c r="K555" i="5" s="1"/>
  <c r="E555" i="5"/>
  <c r="F555" i="5"/>
  <c r="E547" i="28"/>
  <c r="S546" i="28"/>
  <c r="T546" i="28"/>
  <c r="AG546" i="13"/>
  <c r="AH546" i="13" s="1"/>
  <c r="AF546" i="13"/>
  <c r="E550" i="27"/>
  <c r="R547" i="13"/>
  <c r="AE547" i="13"/>
  <c r="E548" i="13"/>
  <c r="L548" i="13" s="1"/>
  <c r="T546" i="13"/>
  <c r="U546" i="13" s="1"/>
  <c r="S546" i="13"/>
  <c r="K548" i="13" l="1"/>
  <c r="AF546" i="7"/>
  <c r="E547" i="7"/>
  <c r="G556" i="5"/>
  <c r="K556" i="5" s="1"/>
  <c r="E556" i="5"/>
  <c r="F556" i="5"/>
  <c r="I555" i="5"/>
  <c r="J555" i="5" s="1"/>
  <c r="H558" i="5"/>
  <c r="C557" i="5"/>
  <c r="D557" i="5" s="1"/>
  <c r="B559" i="5"/>
  <c r="T547" i="28"/>
  <c r="S547" i="28"/>
  <c r="E548" i="28"/>
  <c r="R548" i="13"/>
  <c r="AE548" i="13"/>
  <c r="E549" i="13"/>
  <c r="L549" i="13" s="1"/>
  <c r="E551" i="27"/>
  <c r="AF547" i="13"/>
  <c r="AG547" i="13"/>
  <c r="AH547" i="13" s="1"/>
  <c r="T547" i="13"/>
  <c r="U547" i="13" s="1"/>
  <c r="S547" i="13"/>
  <c r="K549" i="13" l="1"/>
  <c r="AF547" i="7"/>
  <c r="E548" i="7"/>
  <c r="C558" i="5"/>
  <c r="D558" i="5" s="1"/>
  <c r="B560" i="5"/>
  <c r="H559" i="5"/>
  <c r="E557" i="5"/>
  <c r="G557" i="5"/>
  <c r="K557" i="5" s="1"/>
  <c r="F557" i="5"/>
  <c r="I556" i="5"/>
  <c r="J556" i="5" s="1"/>
  <c r="E549" i="28"/>
  <c r="S548" i="28"/>
  <c r="T548" i="28"/>
  <c r="E552" i="27"/>
  <c r="S548" i="13"/>
  <c r="T548" i="13"/>
  <c r="U548" i="13" s="1"/>
  <c r="E550" i="13"/>
  <c r="L550" i="13" s="1"/>
  <c r="R549" i="13"/>
  <c r="AE549" i="13"/>
  <c r="AG548" i="13"/>
  <c r="AH548" i="13" s="1"/>
  <c r="AF548" i="13"/>
  <c r="K550" i="13" l="1"/>
  <c r="AF548" i="7"/>
  <c r="E549" i="7"/>
  <c r="I557" i="5"/>
  <c r="J557" i="5" s="1"/>
  <c r="B561" i="5"/>
  <c r="H560" i="5"/>
  <c r="C559" i="5"/>
  <c r="D559" i="5" s="1"/>
  <c r="E558" i="5"/>
  <c r="F558" i="5"/>
  <c r="G558" i="5"/>
  <c r="K558" i="5" s="1"/>
  <c r="S549" i="28"/>
  <c r="T549" i="28"/>
  <c r="E550" i="28"/>
  <c r="AG549" i="13"/>
  <c r="AH549" i="13" s="1"/>
  <c r="AF549" i="13"/>
  <c r="S549" i="13"/>
  <c r="T549" i="13"/>
  <c r="U549" i="13" s="1"/>
  <c r="E553" i="27"/>
  <c r="AE550" i="13"/>
  <c r="R550" i="13"/>
  <c r="E551" i="13"/>
  <c r="L551" i="13" s="1"/>
  <c r="K551" i="13" l="1"/>
  <c r="AF549" i="7"/>
  <c r="E550" i="7"/>
  <c r="I558" i="5"/>
  <c r="J558" i="5" s="1"/>
  <c r="F559" i="5"/>
  <c r="E559" i="5"/>
  <c r="G559" i="5"/>
  <c r="K559" i="5" s="1"/>
  <c r="H561" i="5"/>
  <c r="C560" i="5"/>
  <c r="D560" i="5" s="1"/>
  <c r="B562" i="5"/>
  <c r="T550" i="28"/>
  <c r="S550" i="28"/>
  <c r="E551" i="28"/>
  <c r="R551" i="13"/>
  <c r="AE551" i="13"/>
  <c r="E552" i="13"/>
  <c r="L552" i="13" s="1"/>
  <c r="E554" i="27"/>
  <c r="AF550" i="13"/>
  <c r="AG550" i="13"/>
  <c r="AH550" i="13" s="1"/>
  <c r="S550" i="13"/>
  <c r="T550" i="13"/>
  <c r="U550" i="13" s="1"/>
  <c r="K552" i="13" l="1"/>
  <c r="AF550" i="7"/>
  <c r="E551" i="7"/>
  <c r="C561" i="5"/>
  <c r="D561" i="5" s="1"/>
  <c r="H562" i="5"/>
  <c r="B563" i="5"/>
  <c r="I559" i="5"/>
  <c r="J559" i="5" s="1"/>
  <c r="F560" i="5"/>
  <c r="G560" i="5"/>
  <c r="K560" i="5" s="1"/>
  <c r="E560" i="5"/>
  <c r="T551" i="28"/>
  <c r="E552" i="28"/>
  <c r="S551" i="28"/>
  <c r="E555" i="27"/>
  <c r="AE552" i="13"/>
  <c r="R552" i="13"/>
  <c r="E553" i="13"/>
  <c r="L553" i="13" s="1"/>
  <c r="AF551" i="13"/>
  <c r="AG551" i="13"/>
  <c r="AH551" i="13" s="1"/>
  <c r="S551" i="13"/>
  <c r="T551" i="13"/>
  <c r="U551" i="13" s="1"/>
  <c r="K553" i="13" l="1"/>
  <c r="AF551" i="7"/>
  <c r="E552" i="7"/>
  <c r="I560" i="5"/>
  <c r="J560" i="5" s="1"/>
  <c r="B564" i="5"/>
  <c r="C562" i="5"/>
  <c r="D562" i="5" s="1"/>
  <c r="H563" i="5"/>
  <c r="F561" i="5"/>
  <c r="G561" i="5"/>
  <c r="K561" i="5" s="1"/>
  <c r="E561" i="5"/>
  <c r="T552" i="28"/>
  <c r="S552" i="28"/>
  <c r="E553" i="28"/>
  <c r="T552" i="13"/>
  <c r="U552" i="13" s="1"/>
  <c r="S552" i="13"/>
  <c r="AF552" i="13"/>
  <c r="AG552" i="13"/>
  <c r="AH552" i="13" s="1"/>
  <c r="E556" i="27"/>
  <c r="AE553" i="13"/>
  <c r="R553" i="13"/>
  <c r="E554" i="13"/>
  <c r="L554" i="13" s="1"/>
  <c r="K554" i="13" l="1"/>
  <c r="AF552" i="7"/>
  <c r="E553" i="7"/>
  <c r="I561" i="5"/>
  <c r="J561" i="5" s="1"/>
  <c r="F562" i="5"/>
  <c r="E562" i="5"/>
  <c r="G562" i="5"/>
  <c r="K562" i="5" s="1"/>
  <c r="C563" i="5"/>
  <c r="D563" i="5" s="1"/>
  <c r="H564" i="5"/>
  <c r="B565" i="5"/>
  <c r="T553" i="28"/>
  <c r="S553" i="28"/>
  <c r="E554" i="28"/>
  <c r="R554" i="13"/>
  <c r="AE554" i="13"/>
  <c r="E555" i="13"/>
  <c r="L555" i="13" s="1"/>
  <c r="T553" i="13"/>
  <c r="U553" i="13" s="1"/>
  <c r="S553" i="13"/>
  <c r="AG553" i="13"/>
  <c r="AH553" i="13" s="1"/>
  <c r="AF553" i="13"/>
  <c r="E557" i="27"/>
  <c r="K555" i="13" l="1"/>
  <c r="AF553" i="7"/>
  <c r="E554" i="7"/>
  <c r="H565" i="5"/>
  <c r="C564" i="5"/>
  <c r="D564" i="5" s="1"/>
  <c r="B566" i="5"/>
  <c r="I562" i="5"/>
  <c r="J562" i="5" s="1"/>
  <c r="G563" i="5"/>
  <c r="K563" i="5" s="1"/>
  <c r="F563" i="5"/>
  <c r="E563" i="5"/>
  <c r="S554" i="28"/>
  <c r="T554" i="28"/>
  <c r="E555" i="28"/>
  <c r="E558" i="27"/>
  <c r="AE555" i="13"/>
  <c r="R555" i="13"/>
  <c r="E556" i="13"/>
  <c r="L556" i="13" s="1"/>
  <c r="AF554" i="13"/>
  <c r="AG554" i="13"/>
  <c r="AH554" i="13" s="1"/>
  <c r="T554" i="13"/>
  <c r="U554" i="13" s="1"/>
  <c r="S554" i="13"/>
  <c r="K556" i="13" l="1"/>
  <c r="AF554" i="7"/>
  <c r="E555" i="7"/>
  <c r="I563" i="5"/>
  <c r="J563" i="5" s="1"/>
  <c r="G564" i="5"/>
  <c r="K564" i="5" s="1"/>
  <c r="F564" i="5"/>
  <c r="E564" i="5"/>
  <c r="C565" i="5"/>
  <c r="D565" i="5" s="1"/>
  <c r="H566" i="5"/>
  <c r="B567" i="5"/>
  <c r="T555" i="28"/>
  <c r="S555" i="28"/>
  <c r="E556" i="28"/>
  <c r="T555" i="13"/>
  <c r="U555" i="13" s="1"/>
  <c r="S555" i="13"/>
  <c r="AG555" i="13"/>
  <c r="AH555" i="13" s="1"/>
  <c r="AF555" i="13"/>
  <c r="E559" i="27"/>
  <c r="AE556" i="13"/>
  <c r="E557" i="13"/>
  <c r="L557" i="13" s="1"/>
  <c r="R556" i="13"/>
  <c r="K557" i="13" l="1"/>
  <c r="AF555" i="7"/>
  <c r="E556" i="7"/>
  <c r="I564" i="5"/>
  <c r="J564" i="5" s="1"/>
  <c r="E565" i="5"/>
  <c r="G565" i="5"/>
  <c r="K565" i="5" s="1"/>
  <c r="F565" i="5"/>
  <c r="H567" i="5"/>
  <c r="C566" i="5"/>
  <c r="D566" i="5" s="1"/>
  <c r="B568" i="5"/>
  <c r="T556" i="28"/>
  <c r="S556" i="28"/>
  <c r="E557" i="28"/>
  <c r="AE557" i="13"/>
  <c r="R557" i="13"/>
  <c r="E558" i="13"/>
  <c r="L558" i="13" s="1"/>
  <c r="AG556" i="13"/>
  <c r="AH556" i="13" s="1"/>
  <c r="AF556" i="13"/>
  <c r="T556" i="13"/>
  <c r="U556" i="13" s="1"/>
  <c r="S556" i="13"/>
  <c r="E560" i="27"/>
  <c r="K558" i="13" l="1"/>
  <c r="AF556" i="7"/>
  <c r="E557" i="7"/>
  <c r="C567" i="5"/>
  <c r="D567" i="5" s="1"/>
  <c r="B569" i="5"/>
  <c r="H568" i="5"/>
  <c r="F566" i="5"/>
  <c r="G566" i="5"/>
  <c r="K566" i="5" s="1"/>
  <c r="E566" i="5"/>
  <c r="I565" i="5"/>
  <c r="J565" i="5" s="1"/>
  <c r="S557" i="28"/>
  <c r="T557" i="28"/>
  <c r="E558" i="28"/>
  <c r="AE558" i="13"/>
  <c r="R558" i="13"/>
  <c r="E559" i="13"/>
  <c r="L559" i="13" s="1"/>
  <c r="S557" i="13"/>
  <c r="T557" i="13"/>
  <c r="U557" i="13" s="1"/>
  <c r="AF557" i="13"/>
  <c r="AG557" i="13"/>
  <c r="AH557" i="13" s="1"/>
  <c r="E561" i="27"/>
  <c r="K559" i="13" l="1"/>
  <c r="AF557" i="7"/>
  <c r="E558" i="7"/>
  <c r="I566" i="5"/>
  <c r="J566" i="5" s="1"/>
  <c r="C568" i="5"/>
  <c r="D568" i="5" s="1"/>
  <c r="H569" i="5"/>
  <c r="B570" i="5"/>
  <c r="F567" i="5"/>
  <c r="E567" i="5"/>
  <c r="G567" i="5"/>
  <c r="K567" i="5" s="1"/>
  <c r="T558" i="28"/>
  <c r="S558" i="28"/>
  <c r="E559" i="28"/>
  <c r="E562" i="27"/>
  <c r="AG558" i="13"/>
  <c r="AH558" i="13" s="1"/>
  <c r="AF558" i="13"/>
  <c r="AE559" i="13"/>
  <c r="E560" i="13"/>
  <c r="L560" i="13" s="1"/>
  <c r="R559" i="13"/>
  <c r="S558" i="13"/>
  <c r="T558" i="13"/>
  <c r="U558" i="13" s="1"/>
  <c r="K560" i="13" l="1"/>
  <c r="AF558" i="7"/>
  <c r="E559" i="7"/>
  <c r="C569" i="5"/>
  <c r="D569" i="5" s="1"/>
  <c r="B571" i="5"/>
  <c r="H570" i="5"/>
  <c r="I567" i="5"/>
  <c r="J567" i="5" s="1"/>
  <c r="F568" i="5"/>
  <c r="G568" i="5"/>
  <c r="K568" i="5" s="1"/>
  <c r="E568" i="5"/>
  <c r="S559" i="28"/>
  <c r="E560" i="28"/>
  <c r="T559" i="28"/>
  <c r="S559" i="13"/>
  <c r="T559" i="13"/>
  <c r="U559" i="13" s="1"/>
  <c r="E563" i="27"/>
  <c r="AG559" i="13"/>
  <c r="AH559" i="13" s="1"/>
  <c r="AF559" i="13"/>
  <c r="AE560" i="13"/>
  <c r="R560" i="13"/>
  <c r="E561" i="13"/>
  <c r="L561" i="13" s="1"/>
  <c r="K561" i="13" l="1"/>
  <c r="AF559" i="7"/>
  <c r="E560" i="7"/>
  <c r="I568" i="5"/>
  <c r="J568" i="5" s="1"/>
  <c r="C570" i="5"/>
  <c r="D570" i="5" s="1"/>
  <c r="B572" i="5"/>
  <c r="H571" i="5"/>
  <c r="F569" i="5"/>
  <c r="E569" i="5"/>
  <c r="G569" i="5"/>
  <c r="K569" i="5" s="1"/>
  <c r="E561" i="28"/>
  <c r="S560" i="28"/>
  <c r="T560" i="28"/>
  <c r="AE561" i="13"/>
  <c r="E562" i="13"/>
  <c r="L562" i="13" s="1"/>
  <c r="R561" i="13"/>
  <c r="AG560" i="13"/>
  <c r="AH560" i="13" s="1"/>
  <c r="AF560" i="13"/>
  <c r="S560" i="13"/>
  <c r="T560" i="13"/>
  <c r="U560" i="13" s="1"/>
  <c r="E564" i="27"/>
  <c r="K562" i="13" l="1"/>
  <c r="AF560" i="7"/>
  <c r="E561" i="7"/>
  <c r="C571" i="5"/>
  <c r="D571" i="5" s="1"/>
  <c r="H572" i="5"/>
  <c r="B573" i="5"/>
  <c r="I569" i="5"/>
  <c r="J569" i="5" s="1"/>
  <c r="G570" i="5"/>
  <c r="K570" i="5" s="1"/>
  <c r="F570" i="5"/>
  <c r="E570" i="5"/>
  <c r="T561" i="28"/>
  <c r="S561" i="28"/>
  <c r="E562" i="28"/>
  <c r="AF561" i="13"/>
  <c r="AG561" i="13"/>
  <c r="AH561" i="13" s="1"/>
  <c r="S561" i="13"/>
  <c r="T561" i="13"/>
  <c r="U561" i="13" s="1"/>
  <c r="E565" i="27"/>
  <c r="AE562" i="13"/>
  <c r="R562" i="13"/>
  <c r="E563" i="13"/>
  <c r="L563" i="13" s="1"/>
  <c r="K563" i="13" l="1"/>
  <c r="AF561" i="7"/>
  <c r="E562" i="7"/>
  <c r="I570" i="5"/>
  <c r="J570" i="5" s="1"/>
  <c r="B574" i="5"/>
  <c r="H573" i="5"/>
  <c r="C572" i="5"/>
  <c r="D572" i="5" s="1"/>
  <c r="F571" i="5"/>
  <c r="G571" i="5"/>
  <c r="K571" i="5" s="1"/>
  <c r="E571" i="5"/>
  <c r="S562" i="28"/>
  <c r="T562" i="28"/>
  <c r="E563" i="28"/>
  <c r="R563" i="13"/>
  <c r="AE563" i="13"/>
  <c r="E564" i="13"/>
  <c r="L564" i="13" s="1"/>
  <c r="AF562" i="13"/>
  <c r="AG562" i="13"/>
  <c r="AH562" i="13" s="1"/>
  <c r="S562" i="13"/>
  <c r="T562" i="13"/>
  <c r="U562" i="13" s="1"/>
  <c r="E566" i="27"/>
  <c r="K564" i="13" l="1"/>
  <c r="AF562" i="7"/>
  <c r="E563" i="7"/>
  <c r="G572" i="5"/>
  <c r="K572" i="5" s="1"/>
  <c r="F572" i="5"/>
  <c r="E572" i="5"/>
  <c r="I571" i="5"/>
  <c r="J571" i="5" s="1"/>
  <c r="B575" i="5"/>
  <c r="C573" i="5"/>
  <c r="D573" i="5" s="1"/>
  <c r="H574" i="5"/>
  <c r="S563" i="28"/>
  <c r="T563" i="28"/>
  <c r="E564" i="28"/>
  <c r="AE564" i="13"/>
  <c r="R564" i="13"/>
  <c r="E565" i="13"/>
  <c r="L565" i="13" s="1"/>
  <c r="E567" i="27"/>
  <c r="AG563" i="13"/>
  <c r="AH563" i="13" s="1"/>
  <c r="AF563" i="13"/>
  <c r="T563" i="13"/>
  <c r="U563" i="13" s="1"/>
  <c r="S563" i="13"/>
  <c r="K565" i="13" l="1"/>
  <c r="AF563" i="7"/>
  <c r="E564" i="7"/>
  <c r="I572" i="5"/>
  <c r="J572" i="5" s="1"/>
  <c r="F573" i="5"/>
  <c r="E573" i="5"/>
  <c r="G573" i="5"/>
  <c r="K573" i="5" s="1"/>
  <c r="B576" i="5"/>
  <c r="H575" i="5"/>
  <c r="C574" i="5"/>
  <c r="D574" i="5" s="1"/>
  <c r="S564" i="28"/>
  <c r="T564" i="28"/>
  <c r="E565" i="28"/>
  <c r="E568" i="27"/>
  <c r="AE565" i="13"/>
  <c r="R565" i="13"/>
  <c r="E566" i="13"/>
  <c r="L566" i="13" s="1"/>
  <c r="AF564" i="13"/>
  <c r="AG564" i="13"/>
  <c r="AH564" i="13" s="1"/>
  <c r="S564" i="13"/>
  <c r="T564" i="13"/>
  <c r="U564" i="13" s="1"/>
  <c r="K566" i="13" l="1"/>
  <c r="AF564" i="7"/>
  <c r="E565" i="7"/>
  <c r="G574" i="5"/>
  <c r="K574" i="5" s="1"/>
  <c r="F574" i="5"/>
  <c r="E574" i="5"/>
  <c r="I573" i="5"/>
  <c r="J573" i="5" s="1"/>
  <c r="H576" i="5"/>
  <c r="C575" i="5"/>
  <c r="D575" i="5" s="1"/>
  <c r="B577" i="5"/>
  <c r="S565" i="28"/>
  <c r="E566" i="28"/>
  <c r="T565" i="28"/>
  <c r="AE566" i="13"/>
  <c r="E567" i="13"/>
  <c r="L567" i="13" s="1"/>
  <c r="R566" i="13"/>
  <c r="S565" i="13"/>
  <c r="T565" i="13"/>
  <c r="U565" i="13" s="1"/>
  <c r="AF565" i="13"/>
  <c r="AG565" i="13"/>
  <c r="AH565" i="13" s="1"/>
  <c r="E569" i="27"/>
  <c r="K567" i="13" l="1"/>
  <c r="AF565" i="7"/>
  <c r="E566" i="7"/>
  <c r="I574" i="5"/>
  <c r="J574" i="5" s="1"/>
  <c r="B578" i="5"/>
  <c r="H577" i="5"/>
  <c r="C576" i="5"/>
  <c r="D576" i="5" s="1"/>
  <c r="E575" i="5"/>
  <c r="G575" i="5"/>
  <c r="K575" i="5" s="1"/>
  <c r="F575" i="5"/>
  <c r="S566" i="28"/>
  <c r="E567" i="28"/>
  <c r="T566" i="28"/>
  <c r="R567" i="13"/>
  <c r="AE567" i="13"/>
  <c r="E568" i="13"/>
  <c r="L568" i="13" s="1"/>
  <c r="AG566" i="13"/>
  <c r="AH566" i="13" s="1"/>
  <c r="AF566" i="13"/>
  <c r="E570" i="27"/>
  <c r="S566" i="13"/>
  <c r="T566" i="13"/>
  <c r="U566" i="13" s="1"/>
  <c r="K568" i="13" l="1"/>
  <c r="AF566" i="7"/>
  <c r="E567" i="7"/>
  <c r="H578" i="5"/>
  <c r="C577" i="5"/>
  <c r="D577" i="5" s="1"/>
  <c r="B579" i="5"/>
  <c r="I575" i="5"/>
  <c r="J575" i="5" s="1"/>
  <c r="G576" i="5"/>
  <c r="K576" i="5" s="1"/>
  <c r="E576" i="5"/>
  <c r="F576" i="5"/>
  <c r="E568" i="28"/>
  <c r="S567" i="28"/>
  <c r="T567" i="28"/>
  <c r="S567" i="13"/>
  <c r="T567" i="13"/>
  <c r="U567" i="13" s="1"/>
  <c r="AE568" i="13"/>
  <c r="R568" i="13"/>
  <c r="E569" i="13"/>
  <c r="L569" i="13" s="1"/>
  <c r="AG567" i="13"/>
  <c r="AH567" i="13" s="1"/>
  <c r="AF567" i="13"/>
  <c r="E571" i="27"/>
  <c r="K569" i="13" l="1"/>
  <c r="AF567" i="7"/>
  <c r="E568" i="7"/>
  <c r="C578" i="5"/>
  <c r="D578" i="5" s="1"/>
  <c r="H579" i="5"/>
  <c r="B580" i="5"/>
  <c r="I576" i="5"/>
  <c r="J576" i="5" s="1"/>
  <c r="E577" i="5"/>
  <c r="G577" i="5"/>
  <c r="K577" i="5" s="1"/>
  <c r="F577" i="5"/>
  <c r="S568" i="28"/>
  <c r="T568" i="28"/>
  <c r="E569" i="28"/>
  <c r="AF568" i="13"/>
  <c r="AG568" i="13"/>
  <c r="AH568" i="13" s="1"/>
  <c r="T568" i="13"/>
  <c r="U568" i="13" s="1"/>
  <c r="S568" i="13"/>
  <c r="E572" i="27"/>
  <c r="AE569" i="13"/>
  <c r="R569" i="13"/>
  <c r="E570" i="13"/>
  <c r="L570" i="13" s="1"/>
  <c r="K570" i="13" l="1"/>
  <c r="AF568" i="7"/>
  <c r="E569" i="7"/>
  <c r="H580" i="5"/>
  <c r="B581" i="5"/>
  <c r="C579" i="5"/>
  <c r="D579" i="5" s="1"/>
  <c r="I577" i="5"/>
  <c r="J577" i="5" s="1"/>
  <c r="G578" i="5"/>
  <c r="K578" i="5" s="1"/>
  <c r="F578" i="5"/>
  <c r="E578" i="5"/>
  <c r="S569" i="28"/>
  <c r="E570" i="28"/>
  <c r="T569" i="28"/>
  <c r="E573" i="27"/>
  <c r="AE570" i="13"/>
  <c r="R570" i="13"/>
  <c r="E571" i="13"/>
  <c r="L571" i="13" s="1"/>
  <c r="S569" i="13"/>
  <c r="T569" i="13"/>
  <c r="U569" i="13" s="1"/>
  <c r="AG569" i="13"/>
  <c r="AH569" i="13" s="1"/>
  <c r="AF569" i="13"/>
  <c r="K571" i="13" l="1"/>
  <c r="AF569" i="7"/>
  <c r="E570" i="7"/>
  <c r="I578" i="5"/>
  <c r="J578" i="5" s="1"/>
  <c r="G579" i="5"/>
  <c r="K579" i="5" s="1"/>
  <c r="E579" i="5"/>
  <c r="F579" i="5"/>
  <c r="H581" i="5"/>
  <c r="C580" i="5"/>
  <c r="D580" i="5" s="1"/>
  <c r="B582" i="5"/>
  <c r="E571" i="28"/>
  <c r="T570" i="28"/>
  <c r="S570" i="28"/>
  <c r="T570" i="13"/>
  <c r="U570" i="13" s="1"/>
  <c r="S570" i="13"/>
  <c r="AF570" i="13"/>
  <c r="AG570" i="13"/>
  <c r="AH570" i="13" s="1"/>
  <c r="R571" i="13"/>
  <c r="AE571" i="13"/>
  <c r="E572" i="13"/>
  <c r="L572" i="13" s="1"/>
  <c r="E574" i="27"/>
  <c r="K572" i="13" l="1"/>
  <c r="AF570" i="7"/>
  <c r="E571" i="7"/>
  <c r="H582" i="5"/>
  <c r="B583" i="5"/>
  <c r="C581" i="5"/>
  <c r="D581" i="5" s="1"/>
  <c r="I579" i="5"/>
  <c r="J579" i="5" s="1"/>
  <c r="E580" i="5"/>
  <c r="F580" i="5"/>
  <c r="G580" i="5"/>
  <c r="K580" i="5" s="1"/>
  <c r="S571" i="28"/>
  <c r="T571" i="28"/>
  <c r="E572" i="28"/>
  <c r="E573" i="13"/>
  <c r="L573" i="13" s="1"/>
  <c r="R572" i="13"/>
  <c r="AE572" i="13"/>
  <c r="AF571" i="13"/>
  <c r="AG571" i="13"/>
  <c r="AH571" i="13" s="1"/>
  <c r="E575" i="27"/>
  <c r="T571" i="13"/>
  <c r="U571" i="13" s="1"/>
  <c r="S571" i="13"/>
  <c r="K573" i="13" l="1"/>
  <c r="AF571" i="7"/>
  <c r="E572" i="7"/>
  <c r="F581" i="5"/>
  <c r="G581" i="5"/>
  <c r="K581" i="5" s="1"/>
  <c r="E581" i="5"/>
  <c r="C582" i="5"/>
  <c r="D582" i="5" s="1"/>
  <c r="H583" i="5"/>
  <c r="B584" i="5"/>
  <c r="I580" i="5"/>
  <c r="J580" i="5" s="1"/>
  <c r="S572" i="28"/>
  <c r="E573" i="28"/>
  <c r="T572" i="28"/>
  <c r="AG572" i="13"/>
  <c r="AH572" i="13" s="1"/>
  <c r="AF572" i="13"/>
  <c r="S572" i="13"/>
  <c r="T572" i="13"/>
  <c r="U572" i="13" s="1"/>
  <c r="E576" i="27"/>
  <c r="AE573" i="13"/>
  <c r="E574" i="13"/>
  <c r="L574" i="13" s="1"/>
  <c r="R573" i="13"/>
  <c r="K574" i="13" l="1"/>
  <c r="AF572" i="7"/>
  <c r="E573" i="7"/>
  <c r="F582" i="5"/>
  <c r="G582" i="5"/>
  <c r="K582" i="5" s="1"/>
  <c r="E582" i="5"/>
  <c r="I581" i="5"/>
  <c r="J581" i="5" s="1"/>
  <c r="H584" i="5"/>
  <c r="C583" i="5"/>
  <c r="D583" i="5" s="1"/>
  <c r="B585" i="5"/>
  <c r="T573" i="28"/>
  <c r="S573" i="28"/>
  <c r="E574" i="28"/>
  <c r="R574" i="13"/>
  <c r="AE574" i="13"/>
  <c r="E575" i="13"/>
  <c r="L575" i="13" s="1"/>
  <c r="S573" i="13"/>
  <c r="T573" i="13"/>
  <c r="U573" i="13" s="1"/>
  <c r="AG573" i="13"/>
  <c r="AH573" i="13" s="1"/>
  <c r="AF573" i="13"/>
  <c r="E577" i="27"/>
  <c r="K575" i="13" l="1"/>
  <c r="AF573" i="7"/>
  <c r="E574" i="7"/>
  <c r="B586" i="5"/>
  <c r="C584" i="5"/>
  <c r="D584" i="5" s="1"/>
  <c r="H585" i="5"/>
  <c r="I582" i="5"/>
  <c r="J582" i="5" s="1"/>
  <c r="E583" i="5"/>
  <c r="F583" i="5"/>
  <c r="G583" i="5"/>
  <c r="K583" i="5" s="1"/>
  <c r="S574" i="28"/>
  <c r="T574" i="28"/>
  <c r="E575" i="28"/>
  <c r="E578" i="27"/>
  <c r="AF574" i="13"/>
  <c r="AG574" i="13"/>
  <c r="AH574" i="13" s="1"/>
  <c r="R575" i="13"/>
  <c r="AE575" i="13"/>
  <c r="E576" i="13"/>
  <c r="L576" i="13" s="1"/>
  <c r="S574" i="13"/>
  <c r="T574" i="13"/>
  <c r="U574" i="13" s="1"/>
  <c r="K576" i="13" l="1"/>
  <c r="AF574" i="7"/>
  <c r="E575" i="7"/>
  <c r="G584" i="5"/>
  <c r="K584" i="5" s="1"/>
  <c r="F584" i="5"/>
  <c r="E584" i="5"/>
  <c r="I583" i="5"/>
  <c r="J583" i="5" s="1"/>
  <c r="C585" i="5"/>
  <c r="D585" i="5" s="1"/>
  <c r="H586" i="5"/>
  <c r="B587" i="5"/>
  <c r="S575" i="28"/>
  <c r="E576" i="28"/>
  <c r="T575" i="28"/>
  <c r="R576" i="13"/>
  <c r="E577" i="13"/>
  <c r="L577" i="13" s="1"/>
  <c r="AE576" i="13"/>
  <c r="E579" i="27"/>
  <c r="AF575" i="13"/>
  <c r="AG575" i="13"/>
  <c r="AH575" i="13" s="1"/>
  <c r="S575" i="13"/>
  <c r="T575" i="13"/>
  <c r="U575" i="13" s="1"/>
  <c r="K577" i="13" l="1"/>
  <c r="AF575" i="7"/>
  <c r="E576" i="7"/>
  <c r="H587" i="5"/>
  <c r="C586" i="5"/>
  <c r="D586" i="5" s="1"/>
  <c r="B588" i="5"/>
  <c r="I584" i="5"/>
  <c r="J584" i="5" s="1"/>
  <c r="G585" i="5"/>
  <c r="K585" i="5" s="1"/>
  <c r="F585" i="5"/>
  <c r="E585" i="5"/>
  <c r="E577" i="28"/>
  <c r="T576" i="28"/>
  <c r="S576" i="28"/>
  <c r="E580" i="27"/>
  <c r="AG576" i="13"/>
  <c r="AH576" i="13" s="1"/>
  <c r="AF576" i="13"/>
  <c r="T576" i="13"/>
  <c r="U576" i="13" s="1"/>
  <c r="S576" i="13"/>
  <c r="R577" i="13"/>
  <c r="E578" i="13"/>
  <c r="L578" i="13" s="1"/>
  <c r="AE577" i="13"/>
  <c r="K578" i="13" l="1"/>
  <c r="AF576" i="7"/>
  <c r="E577" i="7"/>
  <c r="I585" i="5"/>
  <c r="J585" i="5" s="1"/>
  <c r="B589" i="5"/>
  <c r="H588" i="5"/>
  <c r="C587" i="5"/>
  <c r="D587" i="5" s="1"/>
  <c r="G586" i="5"/>
  <c r="K586" i="5" s="1"/>
  <c r="F586" i="5"/>
  <c r="E586" i="5"/>
  <c r="S577" i="28"/>
  <c r="T577" i="28"/>
  <c r="E578" i="28"/>
  <c r="E581" i="27"/>
  <c r="AG577" i="13"/>
  <c r="AH577" i="13" s="1"/>
  <c r="AF577" i="13"/>
  <c r="AE578" i="13"/>
  <c r="R578" i="13"/>
  <c r="E579" i="13"/>
  <c r="L579" i="13" s="1"/>
  <c r="S577" i="13"/>
  <c r="T577" i="13"/>
  <c r="U577" i="13" s="1"/>
  <c r="K579" i="13" l="1"/>
  <c r="AF577" i="7"/>
  <c r="E578" i="7"/>
  <c r="F587" i="5"/>
  <c r="E587" i="5"/>
  <c r="G587" i="5"/>
  <c r="K587" i="5" s="1"/>
  <c r="I586" i="5"/>
  <c r="J586" i="5" s="1"/>
  <c r="H589" i="5"/>
  <c r="B590" i="5"/>
  <c r="C588" i="5"/>
  <c r="D588" i="5" s="1"/>
  <c r="S578" i="28"/>
  <c r="T578" i="28"/>
  <c r="E579" i="28"/>
  <c r="E582" i="27"/>
  <c r="AE579" i="13"/>
  <c r="R579" i="13"/>
  <c r="E580" i="13"/>
  <c r="L580" i="13" s="1"/>
  <c r="T578" i="13"/>
  <c r="U578" i="13" s="1"/>
  <c r="S578" i="13"/>
  <c r="AF578" i="13"/>
  <c r="AG578" i="13"/>
  <c r="AH578" i="13" s="1"/>
  <c r="K580" i="13" l="1"/>
  <c r="AF578" i="7"/>
  <c r="E579" i="7"/>
  <c r="F588" i="5"/>
  <c r="E588" i="5"/>
  <c r="G588" i="5"/>
  <c r="K588" i="5" s="1"/>
  <c r="H590" i="5"/>
  <c r="B591" i="5"/>
  <c r="C589" i="5"/>
  <c r="D589" i="5" s="1"/>
  <c r="I587" i="5"/>
  <c r="J587" i="5" s="1"/>
  <c r="E580" i="28"/>
  <c r="T579" i="28"/>
  <c r="S579" i="28"/>
  <c r="S579" i="13"/>
  <c r="T579" i="13"/>
  <c r="U579" i="13" s="1"/>
  <c r="E583" i="27"/>
  <c r="AG579" i="13"/>
  <c r="AH579" i="13" s="1"/>
  <c r="AF579" i="13"/>
  <c r="E581" i="13"/>
  <c r="L581" i="13" s="1"/>
  <c r="AE580" i="13"/>
  <c r="R580" i="13"/>
  <c r="K581" i="13" l="1"/>
  <c r="AF579" i="7"/>
  <c r="E580" i="7"/>
  <c r="F589" i="5"/>
  <c r="G589" i="5"/>
  <c r="K589" i="5" s="1"/>
  <c r="E589" i="5"/>
  <c r="I588" i="5"/>
  <c r="J588" i="5" s="1"/>
  <c r="H591" i="5"/>
  <c r="C590" i="5"/>
  <c r="D590" i="5" s="1"/>
  <c r="B592" i="5"/>
  <c r="S580" i="28"/>
  <c r="T580" i="28"/>
  <c r="E581" i="28"/>
  <c r="E584" i="27"/>
  <c r="R581" i="13"/>
  <c r="E582" i="13"/>
  <c r="L582" i="13" s="1"/>
  <c r="AE581" i="13"/>
  <c r="T580" i="13"/>
  <c r="U580" i="13" s="1"/>
  <c r="S580" i="13"/>
  <c r="AF580" i="13"/>
  <c r="AG580" i="13"/>
  <c r="AH580" i="13" s="1"/>
  <c r="K582" i="13" l="1"/>
  <c r="AF580" i="7"/>
  <c r="E581" i="7"/>
  <c r="H592" i="5"/>
  <c r="C591" i="5"/>
  <c r="D591" i="5" s="1"/>
  <c r="B593" i="5"/>
  <c r="I589" i="5"/>
  <c r="J589" i="5" s="1"/>
  <c r="F590" i="5"/>
  <c r="E590" i="5"/>
  <c r="G590" i="5"/>
  <c r="K590" i="5" s="1"/>
  <c r="T581" i="28"/>
  <c r="S581" i="28"/>
  <c r="E582" i="28"/>
  <c r="AG581" i="13"/>
  <c r="AH581" i="13" s="1"/>
  <c r="AF581" i="13"/>
  <c r="E585" i="27"/>
  <c r="E583" i="13"/>
  <c r="L583" i="13" s="1"/>
  <c r="R582" i="13"/>
  <c r="AE582" i="13"/>
  <c r="S581" i="13"/>
  <c r="T581" i="13"/>
  <c r="U581" i="13" s="1"/>
  <c r="K583" i="13" l="1"/>
  <c r="AF581" i="7"/>
  <c r="E582" i="7"/>
  <c r="B594" i="5"/>
  <c r="H593" i="5"/>
  <c r="C592" i="5"/>
  <c r="D592" i="5" s="1"/>
  <c r="I590" i="5"/>
  <c r="J590" i="5" s="1"/>
  <c r="G591" i="5"/>
  <c r="K591" i="5" s="1"/>
  <c r="E591" i="5"/>
  <c r="F591" i="5"/>
  <c r="T582" i="28"/>
  <c r="S582" i="28"/>
  <c r="E583" i="28"/>
  <c r="AG582" i="13"/>
  <c r="AH582" i="13" s="1"/>
  <c r="AF582" i="13"/>
  <c r="T582" i="13"/>
  <c r="U582" i="13" s="1"/>
  <c r="S582" i="13"/>
  <c r="E586" i="27"/>
  <c r="AE583" i="13"/>
  <c r="E584" i="13"/>
  <c r="L584" i="13" s="1"/>
  <c r="R583" i="13"/>
  <c r="K584" i="13" l="1"/>
  <c r="AF582" i="7"/>
  <c r="E583" i="7"/>
  <c r="F592" i="5"/>
  <c r="G592" i="5"/>
  <c r="K592" i="5" s="1"/>
  <c r="E592" i="5"/>
  <c r="I591" i="5"/>
  <c r="J591" i="5" s="1"/>
  <c r="B595" i="5"/>
  <c r="C593" i="5"/>
  <c r="D593" i="5" s="1"/>
  <c r="H594" i="5"/>
  <c r="T583" i="28"/>
  <c r="E584" i="28"/>
  <c r="S583" i="28"/>
  <c r="R584" i="13"/>
  <c r="AE584" i="13"/>
  <c r="E585" i="13"/>
  <c r="L585" i="13" s="1"/>
  <c r="AG583" i="13"/>
  <c r="AH583" i="13" s="1"/>
  <c r="AF583" i="13"/>
  <c r="E587" i="27"/>
  <c r="S583" i="13"/>
  <c r="T583" i="13"/>
  <c r="U583" i="13" s="1"/>
  <c r="K585" i="13" l="1"/>
  <c r="AF583" i="7"/>
  <c r="E584" i="7"/>
  <c r="I592" i="5"/>
  <c r="J592" i="5" s="1"/>
  <c r="G593" i="5"/>
  <c r="K593" i="5" s="1"/>
  <c r="F593" i="5"/>
  <c r="E593" i="5"/>
  <c r="H595" i="5"/>
  <c r="C594" i="5"/>
  <c r="D594" i="5" s="1"/>
  <c r="B596" i="5"/>
  <c r="S584" i="28"/>
  <c r="T584" i="28"/>
  <c r="E585" i="28"/>
  <c r="AF584" i="13"/>
  <c r="AG584" i="13"/>
  <c r="AH584" i="13" s="1"/>
  <c r="S584" i="13"/>
  <c r="T584" i="13"/>
  <c r="U584" i="13" s="1"/>
  <c r="E588" i="27"/>
  <c r="R585" i="13"/>
  <c r="AE585" i="13"/>
  <c r="E586" i="13"/>
  <c r="L586" i="13" s="1"/>
  <c r="K586" i="13" l="1"/>
  <c r="AF584" i="7"/>
  <c r="E585" i="7"/>
  <c r="I593" i="5"/>
  <c r="J593" i="5" s="1"/>
  <c r="H596" i="5"/>
  <c r="B597" i="5"/>
  <c r="C595" i="5"/>
  <c r="D595" i="5" s="1"/>
  <c r="E594" i="5"/>
  <c r="F594" i="5"/>
  <c r="G594" i="5"/>
  <c r="K594" i="5" s="1"/>
  <c r="T585" i="28"/>
  <c r="E586" i="28"/>
  <c r="S585" i="28"/>
  <c r="AE586" i="13"/>
  <c r="R586" i="13"/>
  <c r="E587" i="13"/>
  <c r="L587" i="13" s="1"/>
  <c r="AG585" i="13"/>
  <c r="AH585" i="13" s="1"/>
  <c r="AF585" i="13"/>
  <c r="E589" i="27"/>
  <c r="S585" i="13"/>
  <c r="T585" i="13"/>
  <c r="U585" i="13" s="1"/>
  <c r="K587" i="13" l="1"/>
  <c r="AF585" i="7"/>
  <c r="E586" i="7"/>
  <c r="I594" i="5"/>
  <c r="J594" i="5" s="1"/>
  <c r="F595" i="5"/>
  <c r="E595" i="5"/>
  <c r="G595" i="5"/>
  <c r="K595" i="5" s="1"/>
  <c r="B598" i="5"/>
  <c r="H597" i="5"/>
  <c r="C596" i="5"/>
  <c r="D596" i="5" s="1"/>
  <c r="S586" i="28"/>
  <c r="T586" i="28"/>
  <c r="E587" i="28"/>
  <c r="AE587" i="13"/>
  <c r="R587" i="13"/>
  <c r="E588" i="13"/>
  <c r="L588" i="13" s="1"/>
  <c r="T586" i="13"/>
  <c r="U586" i="13" s="1"/>
  <c r="S586" i="13"/>
  <c r="E590" i="27"/>
  <c r="AF586" i="13"/>
  <c r="AG586" i="13"/>
  <c r="AH586" i="13" s="1"/>
  <c r="K588" i="13" l="1"/>
  <c r="AF586" i="7"/>
  <c r="E587" i="7"/>
  <c r="G596" i="5"/>
  <c r="K596" i="5" s="1"/>
  <c r="E596" i="5"/>
  <c r="F596" i="5"/>
  <c r="I595" i="5"/>
  <c r="J595" i="5" s="1"/>
  <c r="H598" i="5"/>
  <c r="C597" i="5"/>
  <c r="D597" i="5" s="1"/>
  <c r="B599" i="5"/>
  <c r="T587" i="28"/>
  <c r="S587" i="28"/>
  <c r="E588" i="28"/>
  <c r="T587" i="13"/>
  <c r="U587" i="13" s="1"/>
  <c r="S587" i="13"/>
  <c r="AF587" i="13"/>
  <c r="AG587" i="13"/>
  <c r="AH587" i="13" s="1"/>
  <c r="E591" i="27"/>
  <c r="AE588" i="13"/>
  <c r="E589" i="13"/>
  <c r="L589" i="13" s="1"/>
  <c r="R588" i="13"/>
  <c r="K589" i="13" l="1"/>
  <c r="AF587" i="7"/>
  <c r="E588" i="7"/>
  <c r="H599" i="5"/>
  <c r="C598" i="5"/>
  <c r="D598" i="5" s="1"/>
  <c r="B600" i="5"/>
  <c r="G597" i="5"/>
  <c r="K597" i="5" s="1"/>
  <c r="E597" i="5"/>
  <c r="F597" i="5"/>
  <c r="I596" i="5"/>
  <c r="J596" i="5" s="1"/>
  <c r="E589" i="28"/>
  <c r="S588" i="28"/>
  <c r="T588" i="28"/>
  <c r="E592" i="27"/>
  <c r="T588" i="13"/>
  <c r="U588" i="13" s="1"/>
  <c r="S588" i="13"/>
  <c r="AG588" i="13"/>
  <c r="AH588" i="13" s="1"/>
  <c r="AF588" i="13"/>
  <c r="AE589" i="13"/>
  <c r="R589" i="13"/>
  <c r="E590" i="13"/>
  <c r="L590" i="13" s="1"/>
  <c r="K590" i="13" l="1"/>
  <c r="AF588" i="7"/>
  <c r="E589" i="7"/>
  <c r="C599" i="5"/>
  <c r="D599" i="5" s="1"/>
  <c r="H600" i="5"/>
  <c r="B601" i="5"/>
  <c r="F598" i="5"/>
  <c r="E598" i="5"/>
  <c r="G598" i="5"/>
  <c r="K598" i="5" s="1"/>
  <c r="I597" i="5"/>
  <c r="J597" i="5" s="1"/>
  <c r="S589" i="28"/>
  <c r="T589" i="28"/>
  <c r="E590" i="28"/>
  <c r="R590" i="13"/>
  <c r="E591" i="13"/>
  <c r="L591" i="13" s="1"/>
  <c r="AE590" i="13"/>
  <c r="T589" i="13"/>
  <c r="U589" i="13" s="1"/>
  <c r="S589" i="13"/>
  <c r="E593" i="27"/>
  <c r="AG589" i="13"/>
  <c r="AH589" i="13" s="1"/>
  <c r="AF589" i="13"/>
  <c r="K591" i="13" l="1"/>
  <c r="AF589" i="7"/>
  <c r="E590" i="7"/>
  <c r="C600" i="5"/>
  <c r="D600" i="5" s="1"/>
  <c r="H601" i="5"/>
  <c r="B602" i="5"/>
  <c r="I598" i="5"/>
  <c r="J598" i="5" s="1"/>
  <c r="G599" i="5"/>
  <c r="K599" i="5" s="1"/>
  <c r="E599" i="5"/>
  <c r="F599" i="5"/>
  <c r="T590" i="28"/>
  <c r="S590" i="28"/>
  <c r="E591" i="28"/>
  <c r="AG590" i="13"/>
  <c r="AH590" i="13" s="1"/>
  <c r="AF590" i="13"/>
  <c r="AE591" i="13"/>
  <c r="E592" i="13"/>
  <c r="L592" i="13" s="1"/>
  <c r="R591" i="13"/>
  <c r="E594" i="27"/>
  <c r="T590" i="13"/>
  <c r="U590" i="13" s="1"/>
  <c r="S590" i="13"/>
  <c r="K592" i="13" l="1"/>
  <c r="AF590" i="7"/>
  <c r="E591" i="7"/>
  <c r="H602" i="5"/>
  <c r="B603" i="5"/>
  <c r="C601" i="5"/>
  <c r="D601" i="5" s="1"/>
  <c r="I599" i="5"/>
  <c r="J599" i="5" s="1"/>
  <c r="E600" i="5"/>
  <c r="G600" i="5"/>
  <c r="K600" i="5" s="1"/>
  <c r="F600" i="5"/>
  <c r="E592" i="28"/>
  <c r="S591" i="28"/>
  <c r="T591" i="28"/>
  <c r="AE592" i="13"/>
  <c r="R592" i="13"/>
  <c r="E593" i="13"/>
  <c r="L593" i="13" s="1"/>
  <c r="E595" i="27"/>
  <c r="T591" i="13"/>
  <c r="U591" i="13" s="1"/>
  <c r="S591" i="13"/>
  <c r="AG591" i="13"/>
  <c r="AH591" i="13" s="1"/>
  <c r="AF591" i="13"/>
  <c r="K593" i="13" l="1"/>
  <c r="AF591" i="7"/>
  <c r="E592" i="7"/>
  <c r="F601" i="5"/>
  <c r="G601" i="5"/>
  <c r="K601" i="5" s="1"/>
  <c r="E601" i="5"/>
  <c r="C602" i="5"/>
  <c r="D602" i="5" s="1"/>
  <c r="H603" i="5"/>
  <c r="B604" i="5"/>
  <c r="I600" i="5"/>
  <c r="J600" i="5" s="1"/>
  <c r="E593" i="28"/>
  <c r="S592" i="28"/>
  <c r="T592" i="28"/>
  <c r="E596" i="27"/>
  <c r="S592" i="13"/>
  <c r="T592" i="13"/>
  <c r="U592" i="13" s="1"/>
  <c r="AG592" i="13"/>
  <c r="AH592" i="13" s="1"/>
  <c r="AF592" i="13"/>
  <c r="AE593" i="13"/>
  <c r="R593" i="13"/>
  <c r="E594" i="13"/>
  <c r="L594" i="13" s="1"/>
  <c r="K594" i="13" l="1"/>
  <c r="AF592" i="7"/>
  <c r="E593" i="7"/>
  <c r="I601" i="5"/>
  <c r="J601" i="5" s="1"/>
  <c r="F602" i="5"/>
  <c r="E602" i="5"/>
  <c r="G602" i="5"/>
  <c r="K602" i="5" s="1"/>
  <c r="C603" i="5"/>
  <c r="D603" i="5" s="1"/>
  <c r="B605" i="5"/>
  <c r="H604" i="5"/>
  <c r="S593" i="28"/>
  <c r="T593" i="28"/>
  <c r="E594" i="28"/>
  <c r="S593" i="13"/>
  <c r="T593" i="13"/>
  <c r="U593" i="13" s="1"/>
  <c r="E597" i="27"/>
  <c r="AF593" i="13"/>
  <c r="AG593" i="13"/>
  <c r="AH593" i="13" s="1"/>
  <c r="AE594" i="13"/>
  <c r="E595" i="13"/>
  <c r="L595" i="13" s="1"/>
  <c r="R594" i="13"/>
  <c r="K595" i="13" l="1"/>
  <c r="AF593" i="7"/>
  <c r="E594" i="7"/>
  <c r="F603" i="5"/>
  <c r="G603" i="5"/>
  <c r="K603" i="5" s="1"/>
  <c r="E603" i="5"/>
  <c r="I602" i="5"/>
  <c r="J602" i="5" s="1"/>
  <c r="B606" i="5"/>
  <c r="C604" i="5"/>
  <c r="D604" i="5" s="1"/>
  <c r="H605" i="5"/>
  <c r="E595" i="28"/>
  <c r="S594" i="28"/>
  <c r="T594" i="28"/>
  <c r="AF594" i="13"/>
  <c r="AG594" i="13"/>
  <c r="AH594" i="13" s="1"/>
  <c r="T594" i="13"/>
  <c r="U594" i="13" s="1"/>
  <c r="S594" i="13"/>
  <c r="AE595" i="13"/>
  <c r="R595" i="13"/>
  <c r="E596" i="13"/>
  <c r="L596" i="13" s="1"/>
  <c r="E598" i="27"/>
  <c r="K596" i="13" l="1"/>
  <c r="AF594" i="7"/>
  <c r="E595" i="7"/>
  <c r="B607" i="5"/>
  <c r="C605" i="5"/>
  <c r="D605" i="5" s="1"/>
  <c r="H606" i="5"/>
  <c r="I603" i="5"/>
  <c r="J603" i="5" s="1"/>
  <c r="E604" i="5"/>
  <c r="F604" i="5"/>
  <c r="G604" i="5"/>
  <c r="K604" i="5" s="1"/>
  <c r="S595" i="28"/>
  <c r="T595" i="28"/>
  <c r="E596" i="28"/>
  <c r="AE596" i="13"/>
  <c r="R596" i="13"/>
  <c r="E597" i="13"/>
  <c r="L597" i="13" s="1"/>
  <c r="T595" i="13"/>
  <c r="U595" i="13" s="1"/>
  <c r="S595" i="13"/>
  <c r="E599" i="27"/>
  <c r="AF595" i="13"/>
  <c r="AG595" i="13"/>
  <c r="AH595" i="13" s="1"/>
  <c r="K597" i="13" l="1"/>
  <c r="AF595" i="7"/>
  <c r="E596" i="7"/>
  <c r="F605" i="5"/>
  <c r="G605" i="5"/>
  <c r="K605" i="5" s="1"/>
  <c r="E605" i="5"/>
  <c r="I604" i="5"/>
  <c r="J604" i="5" s="1"/>
  <c r="C606" i="5"/>
  <c r="D606" i="5" s="1"/>
  <c r="H607" i="5"/>
  <c r="B608" i="5"/>
  <c r="S596" i="28"/>
  <c r="T596" i="28"/>
  <c r="E597" i="28"/>
  <c r="T596" i="13"/>
  <c r="U596" i="13" s="1"/>
  <c r="S596" i="13"/>
  <c r="AG596" i="13"/>
  <c r="AH596" i="13" s="1"/>
  <c r="AF596" i="13"/>
  <c r="E600" i="27"/>
  <c r="R597" i="13"/>
  <c r="AE597" i="13"/>
  <c r="E598" i="13"/>
  <c r="L598" i="13" s="1"/>
  <c r="K598" i="13" l="1"/>
  <c r="AF596" i="7"/>
  <c r="E597" i="7"/>
  <c r="G606" i="5"/>
  <c r="K606" i="5" s="1"/>
  <c r="E606" i="5"/>
  <c r="F606" i="5"/>
  <c r="H608" i="5"/>
  <c r="B609" i="5"/>
  <c r="C607" i="5"/>
  <c r="D607" i="5" s="1"/>
  <c r="I605" i="5"/>
  <c r="J605" i="5" s="1"/>
  <c r="S597" i="28"/>
  <c r="E598" i="28"/>
  <c r="T597" i="28"/>
  <c r="AF597" i="13"/>
  <c r="AG597" i="13"/>
  <c r="AH597" i="13" s="1"/>
  <c r="E599" i="13"/>
  <c r="L599" i="13" s="1"/>
  <c r="R598" i="13"/>
  <c r="AE598" i="13"/>
  <c r="S597" i="13"/>
  <c r="T597" i="13"/>
  <c r="U597" i="13" s="1"/>
  <c r="E601" i="27"/>
  <c r="K599" i="13" l="1"/>
  <c r="AF597" i="7"/>
  <c r="E598" i="7"/>
  <c r="F607" i="5"/>
  <c r="E607" i="5"/>
  <c r="G607" i="5"/>
  <c r="K607" i="5" s="1"/>
  <c r="I606" i="5"/>
  <c r="J606" i="5" s="1"/>
  <c r="H609" i="5"/>
  <c r="B610" i="5"/>
  <c r="C608" i="5"/>
  <c r="D608" i="5" s="1"/>
  <c r="S598" i="28"/>
  <c r="T598" i="28"/>
  <c r="E599" i="28"/>
  <c r="AE599" i="13"/>
  <c r="R599" i="13"/>
  <c r="E600" i="13"/>
  <c r="L600" i="13" s="1"/>
  <c r="E602" i="27"/>
  <c r="AF598" i="13"/>
  <c r="AG598" i="13"/>
  <c r="AH598" i="13" s="1"/>
  <c r="T598" i="13"/>
  <c r="U598" i="13" s="1"/>
  <c r="S598" i="13"/>
  <c r="K600" i="13" l="1"/>
  <c r="AF598" i="7"/>
  <c r="E599" i="7"/>
  <c r="E608" i="5"/>
  <c r="F608" i="5"/>
  <c r="G608" i="5"/>
  <c r="K608" i="5" s="1"/>
  <c r="H610" i="5"/>
  <c r="C609" i="5"/>
  <c r="D609" i="5" s="1"/>
  <c r="B611" i="5"/>
  <c r="I607" i="5"/>
  <c r="J607" i="5" s="1"/>
  <c r="E600" i="28"/>
  <c r="S599" i="28"/>
  <c r="T599" i="28"/>
  <c r="AE600" i="13"/>
  <c r="E601" i="13"/>
  <c r="L601" i="13" s="1"/>
  <c r="R600" i="13"/>
  <c r="S599" i="13"/>
  <c r="T599" i="13"/>
  <c r="U599" i="13" s="1"/>
  <c r="E603" i="27"/>
  <c r="AF599" i="13"/>
  <c r="AG599" i="13"/>
  <c r="AH599" i="13" s="1"/>
  <c r="K601" i="13" l="1"/>
  <c r="AF599" i="7"/>
  <c r="E600" i="7"/>
  <c r="C610" i="5"/>
  <c r="D610" i="5" s="1"/>
  <c r="H611" i="5"/>
  <c r="B612" i="5"/>
  <c r="F609" i="5"/>
  <c r="G609" i="5"/>
  <c r="K609" i="5" s="1"/>
  <c r="E609" i="5"/>
  <c r="I608" i="5"/>
  <c r="J608" i="5" s="1"/>
  <c r="S600" i="28"/>
  <c r="T600" i="28"/>
  <c r="E601" i="28"/>
  <c r="E604" i="27"/>
  <c r="T600" i="13"/>
  <c r="U600" i="13" s="1"/>
  <c r="S600" i="13"/>
  <c r="R601" i="13"/>
  <c r="AE601" i="13"/>
  <c r="E602" i="13"/>
  <c r="L602" i="13" s="1"/>
  <c r="AF600" i="13"/>
  <c r="AG600" i="13"/>
  <c r="AH600" i="13" s="1"/>
  <c r="K602" i="13" l="1"/>
  <c r="AF600" i="7"/>
  <c r="E601" i="7"/>
  <c r="H612" i="5"/>
  <c r="C611" i="5"/>
  <c r="D611" i="5" s="1"/>
  <c r="B613" i="5"/>
  <c r="I609" i="5"/>
  <c r="J609" i="5" s="1"/>
  <c r="F610" i="5"/>
  <c r="E610" i="5"/>
  <c r="G610" i="5"/>
  <c r="K610" i="5" s="1"/>
  <c r="S601" i="28"/>
  <c r="T601" i="28"/>
  <c r="E602" i="28"/>
  <c r="AF601" i="13"/>
  <c r="AG601" i="13"/>
  <c r="AH601" i="13" s="1"/>
  <c r="E605" i="27"/>
  <c r="T601" i="13"/>
  <c r="U601" i="13" s="1"/>
  <c r="S601" i="13"/>
  <c r="R602" i="13"/>
  <c r="AE602" i="13"/>
  <c r="E603" i="13"/>
  <c r="L603" i="13" s="1"/>
  <c r="K603" i="13" l="1"/>
  <c r="AF601" i="7"/>
  <c r="E602" i="7"/>
  <c r="H613" i="5"/>
  <c r="C612" i="5"/>
  <c r="D612" i="5" s="1"/>
  <c r="B614" i="5"/>
  <c r="I610" i="5"/>
  <c r="J610" i="5" s="1"/>
  <c r="G611" i="5"/>
  <c r="K611" i="5" s="1"/>
  <c r="E611" i="5"/>
  <c r="F611" i="5"/>
  <c r="S602" i="28"/>
  <c r="T602" i="28"/>
  <c r="E603" i="28"/>
  <c r="S602" i="13"/>
  <c r="T602" i="13"/>
  <c r="U602" i="13" s="1"/>
  <c r="R603" i="13"/>
  <c r="E604" i="13"/>
  <c r="L604" i="13" s="1"/>
  <c r="AE603" i="13"/>
  <c r="E606" i="27"/>
  <c r="AG602" i="13"/>
  <c r="AH602" i="13" s="1"/>
  <c r="AF602" i="13"/>
  <c r="K604" i="13" l="1"/>
  <c r="AF602" i="7"/>
  <c r="E603" i="7"/>
  <c r="H614" i="5"/>
  <c r="B615" i="5"/>
  <c r="C613" i="5"/>
  <c r="D613" i="5" s="1"/>
  <c r="I611" i="5"/>
  <c r="J611" i="5" s="1"/>
  <c r="F612" i="5"/>
  <c r="G612" i="5"/>
  <c r="K612" i="5" s="1"/>
  <c r="E612" i="5"/>
  <c r="S603" i="28"/>
  <c r="E604" i="28"/>
  <c r="T603" i="28"/>
  <c r="AF603" i="13"/>
  <c r="AG603" i="13"/>
  <c r="AH603" i="13" s="1"/>
  <c r="S603" i="13"/>
  <c r="T603" i="13"/>
  <c r="U603" i="13" s="1"/>
  <c r="E607" i="27"/>
  <c r="R604" i="13"/>
  <c r="AE604" i="13"/>
  <c r="E605" i="13"/>
  <c r="L605" i="13" s="1"/>
  <c r="K605" i="13" l="1"/>
  <c r="AF603" i="7"/>
  <c r="E604" i="7"/>
  <c r="I612" i="5"/>
  <c r="J612" i="5" s="1"/>
  <c r="G613" i="5"/>
  <c r="K613" i="5" s="1"/>
  <c r="F613" i="5"/>
  <c r="E613" i="5"/>
  <c r="C614" i="5"/>
  <c r="D614" i="5" s="1"/>
  <c r="B616" i="5"/>
  <c r="H615" i="5"/>
  <c r="S604" i="28"/>
  <c r="T604" i="28"/>
  <c r="E605" i="28"/>
  <c r="E608" i="27"/>
  <c r="AG604" i="13"/>
  <c r="AH604" i="13" s="1"/>
  <c r="AF604" i="13"/>
  <c r="T604" i="13"/>
  <c r="U604" i="13" s="1"/>
  <c r="S604" i="13"/>
  <c r="R605" i="13"/>
  <c r="E606" i="13"/>
  <c r="L606" i="13" s="1"/>
  <c r="AE605" i="13"/>
  <c r="K606" i="13" l="1"/>
  <c r="AF604" i="7"/>
  <c r="E605" i="7"/>
  <c r="I613" i="5"/>
  <c r="J613" i="5" s="1"/>
  <c r="H616" i="5"/>
  <c r="B617" i="5"/>
  <c r="C615" i="5"/>
  <c r="D615" i="5" s="1"/>
  <c r="F614" i="5"/>
  <c r="E614" i="5"/>
  <c r="G614" i="5"/>
  <c r="K614" i="5" s="1"/>
  <c r="S605" i="28"/>
  <c r="T605" i="28"/>
  <c r="E606" i="28"/>
  <c r="S605" i="13"/>
  <c r="T605" i="13"/>
  <c r="U605" i="13" s="1"/>
  <c r="E609" i="27"/>
  <c r="AF605" i="13"/>
  <c r="AG605" i="13"/>
  <c r="AH605" i="13" s="1"/>
  <c r="R606" i="13"/>
  <c r="AE606" i="13"/>
  <c r="E607" i="13"/>
  <c r="L607" i="13" s="1"/>
  <c r="K607" i="13" l="1"/>
  <c r="AF605" i="7"/>
  <c r="E606" i="7"/>
  <c r="G615" i="5"/>
  <c r="K615" i="5" s="1"/>
  <c r="F615" i="5"/>
  <c r="E615" i="5"/>
  <c r="H617" i="5"/>
  <c r="B618" i="5"/>
  <c r="C616" i="5"/>
  <c r="D616" i="5" s="1"/>
  <c r="I614" i="5"/>
  <c r="J614" i="5" s="1"/>
  <c r="T606" i="28"/>
  <c r="S606" i="28"/>
  <c r="E607" i="28"/>
  <c r="T606" i="13"/>
  <c r="U606" i="13" s="1"/>
  <c r="S606" i="13"/>
  <c r="E610" i="27"/>
  <c r="R607" i="13"/>
  <c r="E608" i="13"/>
  <c r="L608" i="13" s="1"/>
  <c r="AE607" i="13"/>
  <c r="AF606" i="13"/>
  <c r="AG606" i="13"/>
  <c r="AH606" i="13" s="1"/>
  <c r="K608" i="13" l="1"/>
  <c r="AF606" i="7"/>
  <c r="E607" i="7"/>
  <c r="I615" i="5"/>
  <c r="J615" i="5" s="1"/>
  <c r="G616" i="5"/>
  <c r="K616" i="5" s="1"/>
  <c r="F616" i="5"/>
  <c r="E616" i="5"/>
  <c r="C617" i="5"/>
  <c r="D617" i="5" s="1"/>
  <c r="B619" i="5"/>
  <c r="H618" i="5"/>
  <c r="S607" i="28"/>
  <c r="T607" i="28"/>
  <c r="E608" i="28"/>
  <c r="S607" i="13"/>
  <c r="T607" i="13"/>
  <c r="U607" i="13" s="1"/>
  <c r="AF607" i="13"/>
  <c r="AG607" i="13"/>
  <c r="AH607" i="13" s="1"/>
  <c r="R608" i="13"/>
  <c r="E609" i="13"/>
  <c r="L609" i="13" s="1"/>
  <c r="AE608" i="13"/>
  <c r="E611" i="27"/>
  <c r="K609" i="13" l="1"/>
  <c r="AF607" i="7"/>
  <c r="E608" i="7"/>
  <c r="I616" i="5"/>
  <c r="J616" i="5" s="1"/>
  <c r="H619" i="5"/>
  <c r="C618" i="5"/>
  <c r="D618" i="5" s="1"/>
  <c r="B620" i="5"/>
  <c r="G617" i="5"/>
  <c r="K617" i="5" s="1"/>
  <c r="E617" i="5"/>
  <c r="F617" i="5"/>
  <c r="T608" i="28"/>
  <c r="S608" i="28"/>
  <c r="E609" i="28"/>
  <c r="E612" i="27"/>
  <c r="AF608" i="13"/>
  <c r="AG608" i="13"/>
  <c r="AH608" i="13" s="1"/>
  <c r="T608" i="13"/>
  <c r="U608" i="13" s="1"/>
  <c r="S608" i="13"/>
  <c r="AE609" i="13"/>
  <c r="E610" i="13"/>
  <c r="L610" i="13" s="1"/>
  <c r="R609" i="13"/>
  <c r="K610" i="13" l="1"/>
  <c r="AF608" i="7"/>
  <c r="E609" i="7"/>
  <c r="H620" i="5"/>
  <c r="C619" i="5"/>
  <c r="D619" i="5" s="1"/>
  <c r="B621" i="5"/>
  <c r="E618" i="5"/>
  <c r="G618" i="5"/>
  <c r="K618" i="5" s="1"/>
  <c r="F618" i="5"/>
  <c r="I617" i="5"/>
  <c r="J617" i="5" s="1"/>
  <c r="S609" i="28"/>
  <c r="T609" i="28"/>
  <c r="E610" i="28"/>
  <c r="AF609" i="13"/>
  <c r="AG609" i="13"/>
  <c r="AH609" i="13" s="1"/>
  <c r="T609" i="13"/>
  <c r="U609" i="13" s="1"/>
  <c r="S609" i="13"/>
  <c r="E613" i="27"/>
  <c r="R610" i="13"/>
  <c r="E611" i="13"/>
  <c r="L611" i="13" s="1"/>
  <c r="AE610" i="13"/>
  <c r="K611" i="13" l="1"/>
  <c r="AF609" i="7"/>
  <c r="E610" i="7"/>
  <c r="I618" i="5"/>
  <c r="J618" i="5" s="1"/>
  <c r="B622" i="5"/>
  <c r="C620" i="5"/>
  <c r="D620" i="5" s="1"/>
  <c r="H621" i="5"/>
  <c r="F619" i="5"/>
  <c r="E619" i="5"/>
  <c r="G619" i="5"/>
  <c r="K619" i="5" s="1"/>
  <c r="T610" i="28"/>
  <c r="E611" i="28"/>
  <c r="S610" i="28"/>
  <c r="R611" i="13"/>
  <c r="AE611" i="13"/>
  <c r="E612" i="13"/>
  <c r="L612" i="13" s="1"/>
  <c r="T610" i="13"/>
  <c r="U610" i="13" s="1"/>
  <c r="S610" i="13"/>
  <c r="AG610" i="13"/>
  <c r="AH610" i="13" s="1"/>
  <c r="AF610" i="13"/>
  <c r="E614" i="27"/>
  <c r="K612" i="13" l="1"/>
  <c r="AF610" i="7"/>
  <c r="E611" i="7"/>
  <c r="F620" i="5"/>
  <c r="G620" i="5"/>
  <c r="K620" i="5" s="1"/>
  <c r="E620" i="5"/>
  <c r="I619" i="5"/>
  <c r="J619" i="5" s="1"/>
  <c r="B623" i="5"/>
  <c r="C621" i="5"/>
  <c r="D621" i="5" s="1"/>
  <c r="H622" i="5"/>
  <c r="E612" i="28"/>
  <c r="T611" i="28"/>
  <c r="S611" i="28"/>
  <c r="AG611" i="13"/>
  <c r="AH611" i="13" s="1"/>
  <c r="AF611" i="13"/>
  <c r="R612" i="13"/>
  <c r="AE612" i="13"/>
  <c r="E613" i="13"/>
  <c r="L613" i="13" s="1"/>
  <c r="S611" i="13"/>
  <c r="T611" i="13"/>
  <c r="U611" i="13" s="1"/>
  <c r="E615" i="27"/>
  <c r="K613" i="13" l="1"/>
  <c r="AF611" i="7"/>
  <c r="E612" i="7"/>
  <c r="I620" i="5"/>
  <c r="J620" i="5" s="1"/>
  <c r="F621" i="5"/>
  <c r="E621" i="5"/>
  <c r="G621" i="5"/>
  <c r="K621" i="5" s="1"/>
  <c r="H623" i="5"/>
  <c r="B624" i="5"/>
  <c r="C622" i="5"/>
  <c r="D622" i="5" s="1"/>
  <c r="S612" i="28"/>
  <c r="T612" i="28"/>
  <c r="E613" i="28"/>
  <c r="S612" i="13"/>
  <c r="T612" i="13"/>
  <c r="U612" i="13" s="1"/>
  <c r="R613" i="13"/>
  <c r="AE613" i="13"/>
  <c r="E614" i="13"/>
  <c r="L614" i="13" s="1"/>
  <c r="AF612" i="13"/>
  <c r="AG612" i="13"/>
  <c r="AH612" i="13" s="1"/>
  <c r="E616" i="27"/>
  <c r="K614" i="13" l="1"/>
  <c r="AF612" i="7"/>
  <c r="E613" i="7"/>
  <c r="F622" i="5"/>
  <c r="G622" i="5"/>
  <c r="K622" i="5" s="1"/>
  <c r="E622" i="5"/>
  <c r="I621" i="5"/>
  <c r="J621" i="5" s="1"/>
  <c r="B625" i="5"/>
  <c r="H624" i="5"/>
  <c r="C623" i="5"/>
  <c r="D623" i="5" s="1"/>
  <c r="T613" i="28"/>
  <c r="S613" i="28"/>
  <c r="E614" i="28"/>
  <c r="E617" i="27"/>
  <c r="AE614" i="13"/>
  <c r="R614" i="13"/>
  <c r="E615" i="13"/>
  <c r="L615" i="13" s="1"/>
  <c r="AG613" i="13"/>
  <c r="AH613" i="13" s="1"/>
  <c r="AF613" i="13"/>
  <c r="S613" i="13"/>
  <c r="T613" i="13"/>
  <c r="U613" i="13" s="1"/>
  <c r="K615" i="13" l="1"/>
  <c r="AF613" i="7"/>
  <c r="E614" i="7"/>
  <c r="E623" i="5"/>
  <c r="G623" i="5"/>
  <c r="K623" i="5" s="1"/>
  <c r="F623" i="5"/>
  <c r="I622" i="5"/>
  <c r="J622" i="5" s="1"/>
  <c r="H625" i="5"/>
  <c r="B626" i="5"/>
  <c r="C624" i="5"/>
  <c r="D624" i="5" s="1"/>
  <c r="T614" i="28"/>
  <c r="E615" i="28"/>
  <c r="S614" i="28"/>
  <c r="AE615" i="13"/>
  <c r="E616" i="13"/>
  <c r="L616" i="13" s="1"/>
  <c r="R615" i="13"/>
  <c r="S614" i="13"/>
  <c r="T614" i="13"/>
  <c r="U614" i="13" s="1"/>
  <c r="E618" i="27"/>
  <c r="AF614" i="13"/>
  <c r="AG614" i="13"/>
  <c r="AH614" i="13" s="1"/>
  <c r="K616" i="13" l="1"/>
  <c r="AF614" i="7"/>
  <c r="E615" i="7"/>
  <c r="E624" i="5"/>
  <c r="G624" i="5"/>
  <c r="K624" i="5" s="1"/>
  <c r="F624" i="5"/>
  <c r="B627" i="5"/>
  <c r="H626" i="5"/>
  <c r="C625" i="5"/>
  <c r="D625" i="5" s="1"/>
  <c r="I623" i="5"/>
  <c r="J623" i="5" s="1"/>
  <c r="E616" i="28"/>
  <c r="S615" i="28"/>
  <c r="T615" i="28"/>
  <c r="R616" i="13"/>
  <c r="E617" i="13"/>
  <c r="L617" i="13" s="1"/>
  <c r="AE616" i="13"/>
  <c r="E619" i="27"/>
  <c r="AG615" i="13"/>
  <c r="AH615" i="13" s="1"/>
  <c r="AF615" i="13"/>
  <c r="T615" i="13"/>
  <c r="U615" i="13" s="1"/>
  <c r="S615" i="13"/>
  <c r="K617" i="13" l="1"/>
  <c r="AF615" i="7"/>
  <c r="E616" i="7"/>
  <c r="H627" i="5"/>
  <c r="B628" i="5"/>
  <c r="C626" i="5"/>
  <c r="D626" i="5" s="1"/>
  <c r="E625" i="5"/>
  <c r="G625" i="5"/>
  <c r="K625" i="5" s="1"/>
  <c r="F625" i="5"/>
  <c r="I624" i="5"/>
  <c r="J624" i="5" s="1"/>
  <c r="T616" i="28"/>
  <c r="S616" i="28"/>
  <c r="E617" i="28"/>
  <c r="R617" i="13"/>
  <c r="E618" i="13"/>
  <c r="L618" i="13" s="1"/>
  <c r="AE617" i="13"/>
  <c r="E620" i="27"/>
  <c r="S616" i="13"/>
  <c r="T616" i="13"/>
  <c r="U616" i="13" s="1"/>
  <c r="AG616" i="13"/>
  <c r="AH616" i="13" s="1"/>
  <c r="AF616" i="13"/>
  <c r="K618" i="13" l="1"/>
  <c r="AF616" i="7"/>
  <c r="E617" i="7"/>
  <c r="I625" i="5"/>
  <c r="J625" i="5" s="1"/>
  <c r="E626" i="5"/>
  <c r="F626" i="5"/>
  <c r="G626" i="5"/>
  <c r="K626" i="5" s="1"/>
  <c r="H628" i="5"/>
  <c r="B629" i="5"/>
  <c r="C627" i="5"/>
  <c r="D627" i="5" s="1"/>
  <c r="S617" i="28"/>
  <c r="T617" i="28"/>
  <c r="E618" i="28"/>
  <c r="S617" i="13"/>
  <c r="T617" i="13"/>
  <c r="U617" i="13" s="1"/>
  <c r="E621" i="27"/>
  <c r="AG617" i="13"/>
  <c r="AH617" i="13" s="1"/>
  <c r="AF617" i="13"/>
  <c r="R618" i="13"/>
  <c r="E619" i="13"/>
  <c r="L619" i="13" s="1"/>
  <c r="AE618" i="13"/>
  <c r="K619" i="13" l="1"/>
  <c r="AF617" i="7"/>
  <c r="E618" i="7"/>
  <c r="E627" i="5"/>
  <c r="F627" i="5"/>
  <c r="G627" i="5"/>
  <c r="K627" i="5" s="1"/>
  <c r="B630" i="5"/>
  <c r="H629" i="5"/>
  <c r="C628" i="5"/>
  <c r="D628" i="5" s="1"/>
  <c r="I626" i="5"/>
  <c r="J626" i="5" s="1"/>
  <c r="S618" i="28"/>
  <c r="E619" i="28"/>
  <c r="T618" i="28"/>
  <c r="T618" i="13"/>
  <c r="U618" i="13" s="1"/>
  <c r="S618" i="13"/>
  <c r="E622" i="27"/>
  <c r="AG618" i="13"/>
  <c r="AH618" i="13" s="1"/>
  <c r="AF618" i="13"/>
  <c r="AE619" i="13"/>
  <c r="R619" i="13"/>
  <c r="E620" i="13"/>
  <c r="L620" i="13" s="1"/>
  <c r="K620" i="13" l="1"/>
  <c r="AF618" i="7"/>
  <c r="E619" i="7"/>
  <c r="C629" i="5"/>
  <c r="D629" i="5" s="1"/>
  <c r="B631" i="5"/>
  <c r="H630" i="5"/>
  <c r="G628" i="5"/>
  <c r="K628" i="5" s="1"/>
  <c r="F628" i="5"/>
  <c r="E628" i="5"/>
  <c r="I627" i="5"/>
  <c r="J627" i="5" s="1"/>
  <c r="T619" i="28"/>
  <c r="S619" i="28"/>
  <c r="E620" i="28"/>
  <c r="E623" i="27"/>
  <c r="AG619" i="13"/>
  <c r="AH619" i="13" s="1"/>
  <c r="AF619" i="13"/>
  <c r="T619" i="13"/>
  <c r="U619" i="13" s="1"/>
  <c r="S619" i="13"/>
  <c r="R620" i="13"/>
  <c r="E621" i="13"/>
  <c r="L621" i="13" s="1"/>
  <c r="AE620" i="13"/>
  <c r="K621" i="13" l="1"/>
  <c r="AF619" i="7"/>
  <c r="E620" i="7"/>
  <c r="I628" i="5"/>
  <c r="J628" i="5" s="1"/>
  <c r="C630" i="5"/>
  <c r="D630" i="5" s="1"/>
  <c r="B632" i="5"/>
  <c r="H631" i="5"/>
  <c r="E629" i="5"/>
  <c r="G629" i="5"/>
  <c r="K629" i="5" s="1"/>
  <c r="F629" i="5"/>
  <c r="S620" i="28"/>
  <c r="E621" i="28"/>
  <c r="T620" i="28"/>
  <c r="AF620" i="13"/>
  <c r="AG620" i="13"/>
  <c r="AH620" i="13" s="1"/>
  <c r="T620" i="13"/>
  <c r="U620" i="13" s="1"/>
  <c r="S620" i="13"/>
  <c r="E624" i="27"/>
  <c r="AE621" i="13"/>
  <c r="E622" i="13"/>
  <c r="L622" i="13" s="1"/>
  <c r="R621" i="13"/>
  <c r="K622" i="13" l="1"/>
  <c r="AF620" i="7"/>
  <c r="E621" i="7"/>
  <c r="H632" i="5"/>
  <c r="B633" i="5"/>
  <c r="C631" i="5"/>
  <c r="D631" i="5" s="1"/>
  <c r="F630" i="5"/>
  <c r="G630" i="5"/>
  <c r="K630" i="5" s="1"/>
  <c r="E630" i="5"/>
  <c r="I629" i="5"/>
  <c r="J629" i="5" s="1"/>
  <c r="S621" i="28"/>
  <c r="T621" i="28"/>
  <c r="E622" i="28"/>
  <c r="T621" i="13"/>
  <c r="U621" i="13" s="1"/>
  <c r="S621" i="13"/>
  <c r="AG621" i="13"/>
  <c r="AH621" i="13" s="1"/>
  <c r="AF621" i="13"/>
  <c r="R622" i="13"/>
  <c r="E623" i="13"/>
  <c r="L623" i="13" s="1"/>
  <c r="AE622" i="13"/>
  <c r="E625" i="27"/>
  <c r="K623" i="13" l="1"/>
  <c r="AF621" i="7"/>
  <c r="E622" i="7"/>
  <c r="F631" i="5"/>
  <c r="G631" i="5"/>
  <c r="K631" i="5" s="1"/>
  <c r="E631" i="5"/>
  <c r="I630" i="5"/>
  <c r="J630" i="5" s="1"/>
  <c r="B634" i="5"/>
  <c r="H633" i="5"/>
  <c r="C632" i="5"/>
  <c r="D632" i="5" s="1"/>
  <c r="S622" i="28"/>
  <c r="E623" i="28"/>
  <c r="T622" i="28"/>
  <c r="AG622" i="13"/>
  <c r="AH622" i="13" s="1"/>
  <c r="AF622" i="13"/>
  <c r="AE623" i="13"/>
  <c r="R623" i="13"/>
  <c r="E624" i="13"/>
  <c r="L624" i="13" s="1"/>
  <c r="E626" i="27"/>
  <c r="S622" i="13"/>
  <c r="T622" i="13"/>
  <c r="U622" i="13" s="1"/>
  <c r="K624" i="13" l="1"/>
  <c r="AF622" i="7"/>
  <c r="E623" i="7"/>
  <c r="E632" i="5"/>
  <c r="F632" i="5"/>
  <c r="G632" i="5"/>
  <c r="K632" i="5" s="1"/>
  <c r="I631" i="5"/>
  <c r="J631" i="5" s="1"/>
  <c r="C633" i="5"/>
  <c r="D633" i="5" s="1"/>
  <c r="B635" i="5"/>
  <c r="H634" i="5"/>
  <c r="S623" i="28"/>
  <c r="E624" i="28"/>
  <c r="T623" i="28"/>
  <c r="T623" i="13"/>
  <c r="U623" i="13" s="1"/>
  <c r="S623" i="13"/>
  <c r="AG623" i="13"/>
  <c r="AH623" i="13" s="1"/>
  <c r="AF623" i="13"/>
  <c r="E627" i="27"/>
  <c r="AE624" i="13"/>
  <c r="R624" i="13"/>
  <c r="E625" i="13"/>
  <c r="L625" i="13" s="1"/>
  <c r="K625" i="13" l="1"/>
  <c r="AF623" i="7"/>
  <c r="E624" i="7"/>
  <c r="C634" i="5"/>
  <c r="D634" i="5" s="1"/>
  <c r="H635" i="5"/>
  <c r="B636" i="5"/>
  <c r="G633" i="5"/>
  <c r="K633" i="5" s="1"/>
  <c r="F633" i="5"/>
  <c r="E633" i="5"/>
  <c r="I632" i="5"/>
  <c r="J632" i="5" s="1"/>
  <c r="S624" i="28"/>
  <c r="E625" i="28"/>
  <c r="T624" i="28"/>
  <c r="AF624" i="13"/>
  <c r="AG624" i="13"/>
  <c r="AH624" i="13" s="1"/>
  <c r="E628" i="27"/>
  <c r="R625" i="13"/>
  <c r="E626" i="13"/>
  <c r="L626" i="13" s="1"/>
  <c r="AE625" i="13"/>
  <c r="T624" i="13"/>
  <c r="U624" i="13" s="1"/>
  <c r="S624" i="13"/>
  <c r="K626" i="13" l="1"/>
  <c r="AF624" i="7"/>
  <c r="E625" i="7"/>
  <c r="C635" i="5"/>
  <c r="D635" i="5" s="1"/>
  <c r="H636" i="5"/>
  <c r="B637" i="5"/>
  <c r="I633" i="5"/>
  <c r="J633" i="5" s="1"/>
  <c r="F634" i="5"/>
  <c r="E634" i="5"/>
  <c r="G634" i="5"/>
  <c r="K634" i="5" s="1"/>
  <c r="T625" i="28"/>
  <c r="E626" i="28"/>
  <c r="S625" i="28"/>
  <c r="E629" i="27"/>
  <c r="S625" i="13"/>
  <c r="T625" i="13"/>
  <c r="U625" i="13" s="1"/>
  <c r="R626" i="13"/>
  <c r="AE626" i="13"/>
  <c r="E627" i="13"/>
  <c r="L627" i="13" s="1"/>
  <c r="AF625" i="13"/>
  <c r="AG625" i="13"/>
  <c r="AH625" i="13" s="1"/>
  <c r="K627" i="13" l="1"/>
  <c r="AF625" i="7"/>
  <c r="E626" i="7"/>
  <c r="H637" i="5"/>
  <c r="C636" i="5"/>
  <c r="D636" i="5" s="1"/>
  <c r="B638" i="5"/>
  <c r="I634" i="5"/>
  <c r="J634" i="5" s="1"/>
  <c r="E635" i="5"/>
  <c r="G635" i="5"/>
  <c r="K635" i="5" s="1"/>
  <c r="F635" i="5"/>
  <c r="E627" i="28"/>
  <c r="S626" i="28"/>
  <c r="T626" i="28"/>
  <c r="R627" i="13"/>
  <c r="E628" i="13"/>
  <c r="L628" i="13" s="1"/>
  <c r="AE627" i="13"/>
  <c r="AG626" i="13"/>
  <c r="AH626" i="13" s="1"/>
  <c r="AF626" i="13"/>
  <c r="E630" i="27"/>
  <c r="S626" i="13"/>
  <c r="T626" i="13"/>
  <c r="U626" i="13" s="1"/>
  <c r="K628" i="13" l="1"/>
  <c r="AF626" i="7"/>
  <c r="E627" i="7"/>
  <c r="B639" i="5"/>
  <c r="H638" i="5"/>
  <c r="C637" i="5"/>
  <c r="D637" i="5" s="1"/>
  <c r="G636" i="5"/>
  <c r="K636" i="5" s="1"/>
  <c r="F636" i="5"/>
  <c r="E636" i="5"/>
  <c r="I635" i="5"/>
  <c r="J635" i="5" s="1"/>
  <c r="T627" i="28"/>
  <c r="E628" i="28"/>
  <c r="S627" i="28"/>
  <c r="T627" i="13"/>
  <c r="U627" i="13" s="1"/>
  <c r="S627" i="13"/>
  <c r="E631" i="27"/>
  <c r="AF627" i="13"/>
  <c r="AG627" i="13"/>
  <c r="AH627" i="13" s="1"/>
  <c r="R628" i="13"/>
  <c r="AE628" i="13"/>
  <c r="E629" i="13"/>
  <c r="L629" i="13" s="1"/>
  <c r="K629" i="13" l="1"/>
  <c r="AF627" i="7"/>
  <c r="E628" i="7"/>
  <c r="F637" i="5"/>
  <c r="E637" i="5"/>
  <c r="G637" i="5"/>
  <c r="K637" i="5" s="1"/>
  <c r="I636" i="5"/>
  <c r="J636" i="5" s="1"/>
  <c r="B640" i="5"/>
  <c r="C638" i="5"/>
  <c r="D638" i="5" s="1"/>
  <c r="H639" i="5"/>
  <c r="S628" i="28"/>
  <c r="T628" i="28"/>
  <c r="E629" i="28"/>
  <c r="AF628" i="13"/>
  <c r="AG628" i="13"/>
  <c r="AH628" i="13" s="1"/>
  <c r="S628" i="13"/>
  <c r="T628" i="13"/>
  <c r="U628" i="13" s="1"/>
  <c r="R629" i="13"/>
  <c r="AE629" i="13"/>
  <c r="E630" i="13"/>
  <c r="L630" i="13" s="1"/>
  <c r="E632" i="27"/>
  <c r="K630" i="13" l="1"/>
  <c r="AF628" i="7"/>
  <c r="E629" i="7"/>
  <c r="H640" i="5"/>
  <c r="C639" i="5"/>
  <c r="D639" i="5" s="1"/>
  <c r="B641" i="5"/>
  <c r="E638" i="5"/>
  <c r="G638" i="5"/>
  <c r="K638" i="5" s="1"/>
  <c r="F638" i="5"/>
  <c r="I637" i="5"/>
  <c r="J637" i="5" s="1"/>
  <c r="E630" i="28"/>
  <c r="T629" i="28"/>
  <c r="S629" i="28"/>
  <c r="E633" i="27"/>
  <c r="T629" i="13"/>
  <c r="U629" i="13" s="1"/>
  <c r="S629" i="13"/>
  <c r="AE630" i="13"/>
  <c r="R630" i="13"/>
  <c r="E631" i="13"/>
  <c r="L631" i="13" s="1"/>
  <c r="AF629" i="13"/>
  <c r="AG629" i="13"/>
  <c r="AH629" i="13" s="1"/>
  <c r="K631" i="13" l="1"/>
  <c r="AF629" i="7"/>
  <c r="E630" i="7"/>
  <c r="I638" i="5"/>
  <c r="J638" i="5" s="1"/>
  <c r="B642" i="5"/>
  <c r="C640" i="5"/>
  <c r="D640" i="5" s="1"/>
  <c r="H641" i="5"/>
  <c r="G639" i="5"/>
  <c r="K639" i="5" s="1"/>
  <c r="F639" i="5"/>
  <c r="E639" i="5"/>
  <c r="S630" i="28"/>
  <c r="E631" i="28"/>
  <c r="T630" i="28"/>
  <c r="R631" i="13"/>
  <c r="AE631" i="13"/>
  <c r="E632" i="13"/>
  <c r="L632" i="13" s="1"/>
  <c r="T630" i="13"/>
  <c r="U630" i="13" s="1"/>
  <c r="S630" i="13"/>
  <c r="AG630" i="13"/>
  <c r="AH630" i="13" s="1"/>
  <c r="AF630" i="13"/>
  <c r="E634" i="27"/>
  <c r="K632" i="13" l="1"/>
  <c r="AF630" i="7"/>
  <c r="E631" i="7"/>
  <c r="I639" i="5"/>
  <c r="J639" i="5" s="1"/>
  <c r="F640" i="5"/>
  <c r="E640" i="5"/>
  <c r="G640" i="5"/>
  <c r="K640" i="5" s="1"/>
  <c r="B643" i="5"/>
  <c r="C641" i="5"/>
  <c r="D641" i="5" s="1"/>
  <c r="H642" i="5"/>
  <c r="S631" i="28"/>
  <c r="T631" i="28"/>
  <c r="E632" i="28"/>
  <c r="AF631" i="13"/>
  <c r="AG631" i="13"/>
  <c r="AH631" i="13" s="1"/>
  <c r="E635" i="27"/>
  <c r="T631" i="13"/>
  <c r="U631" i="13" s="1"/>
  <c r="S631" i="13"/>
  <c r="R632" i="13"/>
  <c r="E633" i="13"/>
  <c r="L633" i="13" s="1"/>
  <c r="AE632" i="13"/>
  <c r="K633" i="13" l="1"/>
  <c r="AF631" i="7"/>
  <c r="E632" i="7"/>
  <c r="G641" i="5"/>
  <c r="K641" i="5" s="1"/>
  <c r="F641" i="5"/>
  <c r="E641" i="5"/>
  <c r="I640" i="5"/>
  <c r="J640" i="5" s="1"/>
  <c r="C642" i="5"/>
  <c r="D642" i="5" s="1"/>
  <c r="H643" i="5"/>
  <c r="B644" i="5"/>
  <c r="T632" i="28"/>
  <c r="S632" i="28"/>
  <c r="E633" i="28"/>
  <c r="AG632" i="13"/>
  <c r="AH632" i="13" s="1"/>
  <c r="AF632" i="13"/>
  <c r="S632" i="13"/>
  <c r="T632" i="13"/>
  <c r="U632" i="13" s="1"/>
  <c r="R633" i="13"/>
  <c r="AE633" i="13"/>
  <c r="E634" i="13"/>
  <c r="L634" i="13" s="1"/>
  <c r="E636" i="27"/>
  <c r="K634" i="13" l="1"/>
  <c r="AF632" i="7"/>
  <c r="E633" i="7"/>
  <c r="H644" i="5"/>
  <c r="B645" i="5"/>
  <c r="C643" i="5"/>
  <c r="D643" i="5" s="1"/>
  <c r="I641" i="5"/>
  <c r="J641" i="5" s="1"/>
  <c r="E642" i="5"/>
  <c r="F642" i="5"/>
  <c r="G642" i="5"/>
  <c r="K642" i="5" s="1"/>
  <c r="E634" i="28"/>
  <c r="S633" i="28"/>
  <c r="T633" i="28"/>
  <c r="AE634" i="13"/>
  <c r="R634" i="13"/>
  <c r="E635" i="13"/>
  <c r="L635" i="13" s="1"/>
  <c r="AG633" i="13"/>
  <c r="AH633" i="13" s="1"/>
  <c r="AF633" i="13"/>
  <c r="E637" i="27"/>
  <c r="T633" i="13"/>
  <c r="U633" i="13" s="1"/>
  <c r="S633" i="13"/>
  <c r="K635" i="13" l="1"/>
  <c r="AF633" i="7"/>
  <c r="E634" i="7"/>
  <c r="G643" i="5"/>
  <c r="K643" i="5" s="1"/>
  <c r="E643" i="5"/>
  <c r="F643" i="5"/>
  <c r="H645" i="5"/>
  <c r="C644" i="5"/>
  <c r="D644" i="5" s="1"/>
  <c r="B646" i="5"/>
  <c r="I642" i="5"/>
  <c r="J642" i="5" s="1"/>
  <c r="S634" i="28"/>
  <c r="T634" i="28"/>
  <c r="E635" i="28"/>
  <c r="S634" i="13"/>
  <c r="T634" i="13"/>
  <c r="U634" i="13" s="1"/>
  <c r="AE635" i="13"/>
  <c r="R635" i="13"/>
  <c r="E636" i="13"/>
  <c r="L636" i="13" s="1"/>
  <c r="AG634" i="13"/>
  <c r="AH634" i="13" s="1"/>
  <c r="AF634" i="13"/>
  <c r="E638" i="27"/>
  <c r="K636" i="13" l="1"/>
  <c r="AF634" i="7"/>
  <c r="E635" i="7"/>
  <c r="F644" i="5"/>
  <c r="G644" i="5"/>
  <c r="K644" i="5" s="1"/>
  <c r="E644" i="5"/>
  <c r="H646" i="5"/>
  <c r="B647" i="5"/>
  <c r="C645" i="5"/>
  <c r="D645" i="5" s="1"/>
  <c r="I643" i="5"/>
  <c r="J643" i="5" s="1"/>
  <c r="T635" i="28"/>
  <c r="S635" i="28"/>
  <c r="E636" i="28"/>
  <c r="E639" i="27"/>
  <c r="T635" i="13"/>
  <c r="U635" i="13" s="1"/>
  <c r="S635" i="13"/>
  <c r="AG635" i="13"/>
  <c r="AH635" i="13" s="1"/>
  <c r="AF635" i="13"/>
  <c r="R636" i="13"/>
  <c r="E637" i="13"/>
  <c r="L637" i="13" s="1"/>
  <c r="AE636" i="13"/>
  <c r="K637" i="13" l="1"/>
  <c r="AF635" i="7"/>
  <c r="E636" i="7"/>
  <c r="B648" i="5"/>
  <c r="C646" i="5"/>
  <c r="D646" i="5" s="1"/>
  <c r="H647" i="5"/>
  <c r="I644" i="5"/>
  <c r="J644" i="5" s="1"/>
  <c r="G645" i="5"/>
  <c r="K645" i="5" s="1"/>
  <c r="F645" i="5"/>
  <c r="E645" i="5"/>
  <c r="S636" i="28"/>
  <c r="E637" i="28"/>
  <c r="T636" i="28"/>
  <c r="AE637" i="13"/>
  <c r="R637" i="13"/>
  <c r="E638" i="13"/>
  <c r="L638" i="13" s="1"/>
  <c r="E640" i="27"/>
  <c r="T636" i="13"/>
  <c r="U636" i="13" s="1"/>
  <c r="S636" i="13"/>
  <c r="AF636" i="13"/>
  <c r="AG636" i="13"/>
  <c r="AH636" i="13" s="1"/>
  <c r="K638" i="13" l="1"/>
  <c r="AF636" i="7"/>
  <c r="E637" i="7"/>
  <c r="I645" i="5"/>
  <c r="J645" i="5" s="1"/>
  <c r="F646" i="5"/>
  <c r="E646" i="5"/>
  <c r="G646" i="5"/>
  <c r="K646" i="5" s="1"/>
  <c r="H648" i="5"/>
  <c r="B649" i="5"/>
  <c r="C647" i="5"/>
  <c r="D647" i="5" s="1"/>
  <c r="T637" i="28"/>
  <c r="S637" i="28"/>
  <c r="E638" i="28"/>
  <c r="AG637" i="13"/>
  <c r="AH637" i="13" s="1"/>
  <c r="AF637" i="13"/>
  <c r="E641" i="27"/>
  <c r="R638" i="13"/>
  <c r="E639" i="13"/>
  <c r="L639" i="13" s="1"/>
  <c r="AE638" i="13"/>
  <c r="S637" i="13"/>
  <c r="T637" i="13"/>
  <c r="U637" i="13" s="1"/>
  <c r="K639" i="13" l="1"/>
  <c r="AF637" i="7"/>
  <c r="E638" i="7"/>
  <c r="E647" i="5"/>
  <c r="F647" i="5"/>
  <c r="G647" i="5"/>
  <c r="K647" i="5" s="1"/>
  <c r="I646" i="5"/>
  <c r="J646" i="5" s="1"/>
  <c r="B650" i="5"/>
  <c r="H649" i="5"/>
  <c r="C648" i="5"/>
  <c r="D648" i="5" s="1"/>
  <c r="T638" i="28"/>
  <c r="S638" i="28"/>
  <c r="E639" i="28"/>
  <c r="AG638" i="13"/>
  <c r="AH638" i="13" s="1"/>
  <c r="AF638" i="13"/>
  <c r="R639" i="13"/>
  <c r="AE639" i="13"/>
  <c r="E640" i="13"/>
  <c r="L640" i="13" s="1"/>
  <c r="S638" i="13"/>
  <c r="T638" i="13"/>
  <c r="U638" i="13" s="1"/>
  <c r="E642" i="27"/>
  <c r="K640" i="13" l="1"/>
  <c r="AF638" i="7"/>
  <c r="E639" i="7"/>
  <c r="F648" i="5"/>
  <c r="E648" i="5"/>
  <c r="G648" i="5"/>
  <c r="K648" i="5" s="1"/>
  <c r="H650" i="5"/>
  <c r="C649" i="5"/>
  <c r="D649" i="5" s="1"/>
  <c r="B651" i="5"/>
  <c r="I647" i="5"/>
  <c r="J647" i="5" s="1"/>
  <c r="T639" i="28"/>
  <c r="S639" i="28"/>
  <c r="E640" i="28"/>
  <c r="E643" i="27"/>
  <c r="AF639" i="13"/>
  <c r="AG639" i="13"/>
  <c r="AH639" i="13" s="1"/>
  <c r="T639" i="13"/>
  <c r="U639" i="13" s="1"/>
  <c r="S639" i="13"/>
  <c r="R640" i="13"/>
  <c r="AE640" i="13"/>
  <c r="E641" i="13"/>
  <c r="L641" i="13" s="1"/>
  <c r="K641" i="13" l="1"/>
  <c r="AF639" i="7"/>
  <c r="E640" i="7"/>
  <c r="B652" i="5"/>
  <c r="C650" i="5"/>
  <c r="D650" i="5" s="1"/>
  <c r="H651" i="5"/>
  <c r="I648" i="5"/>
  <c r="J648" i="5" s="1"/>
  <c r="F649" i="5"/>
  <c r="E649" i="5"/>
  <c r="G649" i="5"/>
  <c r="K649" i="5" s="1"/>
  <c r="E641" i="28"/>
  <c r="T640" i="28"/>
  <c r="S640" i="28"/>
  <c r="AF640" i="13"/>
  <c r="AG640" i="13"/>
  <c r="AH640" i="13" s="1"/>
  <c r="T640" i="13"/>
  <c r="U640" i="13" s="1"/>
  <c r="S640" i="13"/>
  <c r="E644" i="27"/>
  <c r="AE641" i="13"/>
  <c r="R641" i="13"/>
  <c r="E642" i="13"/>
  <c r="L642" i="13" s="1"/>
  <c r="K642" i="13" l="1"/>
  <c r="AF640" i="7"/>
  <c r="E641" i="7"/>
  <c r="I649" i="5"/>
  <c r="J649" i="5" s="1"/>
  <c r="E650" i="5"/>
  <c r="F650" i="5"/>
  <c r="G650" i="5"/>
  <c r="K650" i="5" s="1"/>
  <c r="H652" i="5"/>
  <c r="C651" i="5"/>
  <c r="D651" i="5" s="1"/>
  <c r="B653" i="5"/>
  <c r="E642" i="28"/>
  <c r="S641" i="28"/>
  <c r="T641" i="28"/>
  <c r="S641" i="13"/>
  <c r="T641" i="13"/>
  <c r="U641" i="13" s="1"/>
  <c r="E645" i="27"/>
  <c r="AG641" i="13"/>
  <c r="AH641" i="13" s="1"/>
  <c r="AF641" i="13"/>
  <c r="R642" i="13"/>
  <c r="AE642" i="13"/>
  <c r="E643" i="13"/>
  <c r="L643" i="13" s="1"/>
  <c r="K643" i="13" l="1"/>
  <c r="AF641" i="7"/>
  <c r="E642" i="7"/>
  <c r="C652" i="5"/>
  <c r="D652" i="5" s="1"/>
  <c r="B654" i="5"/>
  <c r="H653" i="5"/>
  <c r="F651" i="5"/>
  <c r="E651" i="5"/>
  <c r="G651" i="5"/>
  <c r="K651" i="5" s="1"/>
  <c r="I650" i="5"/>
  <c r="J650" i="5" s="1"/>
  <c r="T642" i="28"/>
  <c r="E643" i="28"/>
  <c r="S642" i="28"/>
  <c r="R643" i="13"/>
  <c r="E644" i="13"/>
  <c r="L644" i="13" s="1"/>
  <c r="AE643" i="13"/>
  <c r="E646" i="27"/>
  <c r="AF642" i="13"/>
  <c r="AG642" i="13"/>
  <c r="AH642" i="13" s="1"/>
  <c r="S642" i="13"/>
  <c r="T642" i="13"/>
  <c r="U642" i="13" s="1"/>
  <c r="K644" i="13" l="1"/>
  <c r="AF642" i="7"/>
  <c r="E643" i="7"/>
  <c r="C653" i="5"/>
  <c r="D653" i="5" s="1"/>
  <c r="H654" i="5"/>
  <c r="B655" i="5"/>
  <c r="I651" i="5"/>
  <c r="J651" i="5" s="1"/>
  <c r="E652" i="5"/>
  <c r="G652" i="5"/>
  <c r="K652" i="5" s="1"/>
  <c r="F652" i="5"/>
  <c r="S643" i="28"/>
  <c r="E644" i="28"/>
  <c r="T643" i="28"/>
  <c r="E647" i="27"/>
  <c r="AF643" i="13"/>
  <c r="AG643" i="13"/>
  <c r="AH643" i="13" s="1"/>
  <c r="AE644" i="13"/>
  <c r="R644" i="13"/>
  <c r="E645" i="13"/>
  <c r="L645" i="13" s="1"/>
  <c r="T643" i="13"/>
  <c r="U643" i="13" s="1"/>
  <c r="S643" i="13"/>
  <c r="K645" i="13" l="1"/>
  <c r="AF643" i="7"/>
  <c r="E644" i="7"/>
  <c r="B656" i="5"/>
  <c r="C654" i="5"/>
  <c r="D654" i="5" s="1"/>
  <c r="H655" i="5"/>
  <c r="I652" i="5"/>
  <c r="J652" i="5" s="1"/>
  <c r="F653" i="5"/>
  <c r="E653" i="5"/>
  <c r="G653" i="5"/>
  <c r="K653" i="5" s="1"/>
  <c r="T644" i="28"/>
  <c r="S644" i="28"/>
  <c r="E645" i="28"/>
  <c r="T644" i="13"/>
  <c r="U644" i="13" s="1"/>
  <c r="S644" i="13"/>
  <c r="E648" i="27"/>
  <c r="AG644" i="13"/>
  <c r="AH644" i="13" s="1"/>
  <c r="AF644" i="13"/>
  <c r="R645" i="13"/>
  <c r="AE645" i="13"/>
  <c r="E646" i="13"/>
  <c r="L646" i="13" s="1"/>
  <c r="K646" i="13" l="1"/>
  <c r="AF644" i="7"/>
  <c r="E645" i="7"/>
  <c r="I653" i="5"/>
  <c r="J653" i="5" s="1"/>
  <c r="G654" i="5"/>
  <c r="K654" i="5" s="1"/>
  <c r="E654" i="5"/>
  <c r="F654" i="5"/>
  <c r="C655" i="5"/>
  <c r="D655" i="5" s="1"/>
  <c r="H656" i="5"/>
  <c r="B657" i="5"/>
  <c r="E646" i="28"/>
  <c r="S645" i="28"/>
  <c r="T645" i="28"/>
  <c r="T645" i="13"/>
  <c r="U645" i="13" s="1"/>
  <c r="S645" i="13"/>
  <c r="AF645" i="13"/>
  <c r="AG645" i="13"/>
  <c r="AH645" i="13" s="1"/>
  <c r="E647" i="13"/>
  <c r="L647" i="13" s="1"/>
  <c r="AE646" i="13"/>
  <c r="R646" i="13"/>
  <c r="E649" i="27"/>
  <c r="K647" i="13" l="1"/>
  <c r="AF645" i="7"/>
  <c r="E646" i="7"/>
  <c r="C656" i="5"/>
  <c r="D656" i="5" s="1"/>
  <c r="H657" i="5"/>
  <c r="B658" i="5"/>
  <c r="I654" i="5"/>
  <c r="J654" i="5" s="1"/>
  <c r="G655" i="5"/>
  <c r="K655" i="5" s="1"/>
  <c r="F655" i="5"/>
  <c r="E655" i="5"/>
  <c r="T646" i="28"/>
  <c r="S646" i="28"/>
  <c r="E647" i="28"/>
  <c r="E650" i="27"/>
  <c r="AG646" i="13"/>
  <c r="AH646" i="13" s="1"/>
  <c r="AF646" i="13"/>
  <c r="T646" i="13"/>
  <c r="U646" i="13" s="1"/>
  <c r="S646" i="13"/>
  <c r="AE647" i="13"/>
  <c r="R647" i="13"/>
  <c r="E648" i="13"/>
  <c r="L648" i="13" s="1"/>
  <c r="K648" i="13" l="1"/>
  <c r="AF646" i="7"/>
  <c r="E647" i="7"/>
  <c r="I655" i="5"/>
  <c r="J655" i="5" s="1"/>
  <c r="B659" i="5"/>
  <c r="C657" i="5"/>
  <c r="D657" i="5" s="1"/>
  <c r="H658" i="5"/>
  <c r="G656" i="5"/>
  <c r="K656" i="5" s="1"/>
  <c r="E656" i="5"/>
  <c r="F656" i="5"/>
  <c r="S647" i="28"/>
  <c r="T647" i="28"/>
  <c r="E648" i="28"/>
  <c r="E649" i="13"/>
  <c r="L649" i="13" s="1"/>
  <c r="AE648" i="13"/>
  <c r="R648" i="13"/>
  <c r="AG647" i="13"/>
  <c r="AH647" i="13" s="1"/>
  <c r="AF647" i="13"/>
  <c r="E651" i="27"/>
  <c r="T647" i="13"/>
  <c r="U647" i="13" s="1"/>
  <c r="S647" i="13"/>
  <c r="K649" i="13" l="1"/>
  <c r="AF647" i="7"/>
  <c r="E648" i="7"/>
  <c r="F657" i="5"/>
  <c r="G657" i="5"/>
  <c r="K657" i="5" s="1"/>
  <c r="E657" i="5"/>
  <c r="I656" i="5"/>
  <c r="J656" i="5" s="1"/>
  <c r="H659" i="5"/>
  <c r="C658" i="5"/>
  <c r="D658" i="5" s="1"/>
  <c r="B660" i="5"/>
  <c r="T648" i="28"/>
  <c r="E649" i="28"/>
  <c r="S648" i="28"/>
  <c r="T648" i="13"/>
  <c r="U648" i="13" s="1"/>
  <c r="S648" i="13"/>
  <c r="AG648" i="13"/>
  <c r="AH648" i="13" s="1"/>
  <c r="AF648" i="13"/>
  <c r="E652" i="27"/>
  <c r="AE649" i="13"/>
  <c r="R649" i="13"/>
  <c r="E650" i="13"/>
  <c r="L650" i="13" s="1"/>
  <c r="K650" i="13" l="1"/>
  <c r="AF648" i="7"/>
  <c r="E649" i="7"/>
  <c r="H660" i="5"/>
  <c r="B661" i="5"/>
  <c r="C659" i="5"/>
  <c r="D659" i="5" s="1"/>
  <c r="I657" i="5"/>
  <c r="J657" i="5" s="1"/>
  <c r="G658" i="5"/>
  <c r="K658" i="5" s="1"/>
  <c r="E658" i="5"/>
  <c r="F658" i="5"/>
  <c r="S649" i="28"/>
  <c r="E650" i="28"/>
  <c r="T649" i="28"/>
  <c r="AG649" i="13"/>
  <c r="AH649" i="13" s="1"/>
  <c r="AF649" i="13"/>
  <c r="AE650" i="13"/>
  <c r="E651" i="13"/>
  <c r="L651" i="13" s="1"/>
  <c r="R650" i="13"/>
  <c r="T649" i="13"/>
  <c r="U649" i="13" s="1"/>
  <c r="S649" i="13"/>
  <c r="E653" i="27"/>
  <c r="K651" i="13" l="1"/>
  <c r="AF649" i="7"/>
  <c r="E650" i="7"/>
  <c r="E659" i="5"/>
  <c r="G659" i="5"/>
  <c r="K659" i="5" s="1"/>
  <c r="F659" i="5"/>
  <c r="I658" i="5"/>
  <c r="J658" i="5" s="1"/>
  <c r="B662" i="5"/>
  <c r="C660" i="5"/>
  <c r="D660" i="5" s="1"/>
  <c r="H661" i="5"/>
  <c r="S650" i="28"/>
  <c r="E651" i="28"/>
  <c r="T650" i="28"/>
  <c r="S650" i="13"/>
  <c r="T650" i="13"/>
  <c r="U650" i="13" s="1"/>
  <c r="R651" i="13"/>
  <c r="AE651" i="13"/>
  <c r="E652" i="13"/>
  <c r="L652" i="13" s="1"/>
  <c r="AG650" i="13"/>
  <c r="AH650" i="13" s="1"/>
  <c r="AF650" i="13"/>
  <c r="E654" i="27"/>
  <c r="K652" i="13" l="1"/>
  <c r="AF650" i="7"/>
  <c r="E651" i="7"/>
  <c r="E660" i="5"/>
  <c r="F660" i="5"/>
  <c r="G660" i="5"/>
  <c r="K660" i="5" s="1"/>
  <c r="B663" i="5"/>
  <c r="C661" i="5"/>
  <c r="D661" i="5" s="1"/>
  <c r="H662" i="5"/>
  <c r="I659" i="5"/>
  <c r="J659" i="5" s="1"/>
  <c r="E652" i="28"/>
  <c r="S651" i="28"/>
  <c r="T651" i="28"/>
  <c r="E655" i="27"/>
  <c r="AF651" i="13"/>
  <c r="AG651" i="13"/>
  <c r="AH651" i="13" s="1"/>
  <c r="AE652" i="13"/>
  <c r="R652" i="13"/>
  <c r="E653" i="13"/>
  <c r="L653" i="13" s="1"/>
  <c r="T651" i="13"/>
  <c r="U651" i="13" s="1"/>
  <c r="S651" i="13"/>
  <c r="K653" i="13" l="1"/>
  <c r="AF651" i="7"/>
  <c r="E652" i="7"/>
  <c r="C662" i="5"/>
  <c r="D662" i="5" s="1"/>
  <c r="H663" i="5"/>
  <c r="B664" i="5"/>
  <c r="G661" i="5"/>
  <c r="K661" i="5" s="1"/>
  <c r="F661" i="5"/>
  <c r="E661" i="5"/>
  <c r="I660" i="5"/>
  <c r="J660" i="5" s="1"/>
  <c r="T652" i="28"/>
  <c r="S652" i="28"/>
  <c r="E653" i="28"/>
  <c r="AF652" i="13"/>
  <c r="AG652" i="13"/>
  <c r="AH652" i="13" s="1"/>
  <c r="E654" i="13"/>
  <c r="L654" i="13" s="1"/>
  <c r="R653" i="13"/>
  <c r="AE653" i="13"/>
  <c r="T652" i="13"/>
  <c r="U652" i="13" s="1"/>
  <c r="S652" i="13"/>
  <c r="E656" i="27"/>
  <c r="K654" i="13" l="1"/>
  <c r="AF652" i="7"/>
  <c r="E653" i="7"/>
  <c r="H664" i="5"/>
  <c r="C663" i="5"/>
  <c r="D663" i="5" s="1"/>
  <c r="B665" i="5"/>
  <c r="I661" i="5"/>
  <c r="J661" i="5" s="1"/>
  <c r="F662" i="5"/>
  <c r="G662" i="5"/>
  <c r="K662" i="5" s="1"/>
  <c r="E662" i="5"/>
  <c r="E654" i="28"/>
  <c r="S653" i="28"/>
  <c r="T653" i="28"/>
  <c r="AG653" i="13"/>
  <c r="AH653" i="13" s="1"/>
  <c r="AF653" i="13"/>
  <c r="S653" i="13"/>
  <c r="T653" i="13"/>
  <c r="U653" i="13" s="1"/>
  <c r="E657" i="27"/>
  <c r="R654" i="13"/>
  <c r="AE654" i="13"/>
  <c r="E655" i="13"/>
  <c r="L655" i="13" s="1"/>
  <c r="K655" i="13" l="1"/>
  <c r="AF653" i="7"/>
  <c r="E654" i="7"/>
  <c r="I662" i="5"/>
  <c r="J662" i="5" s="1"/>
  <c r="B666" i="5"/>
  <c r="C664" i="5"/>
  <c r="D664" i="5" s="1"/>
  <c r="H665" i="5"/>
  <c r="E663" i="5"/>
  <c r="G663" i="5"/>
  <c r="K663" i="5" s="1"/>
  <c r="F663" i="5"/>
  <c r="S654" i="28"/>
  <c r="T654" i="28"/>
  <c r="E655" i="28"/>
  <c r="AF654" i="13"/>
  <c r="AG654" i="13"/>
  <c r="AH654" i="13" s="1"/>
  <c r="T654" i="13"/>
  <c r="U654" i="13" s="1"/>
  <c r="S654" i="13"/>
  <c r="E658" i="27"/>
  <c r="AE655" i="13"/>
  <c r="E656" i="13"/>
  <c r="L656" i="13" s="1"/>
  <c r="R655" i="13"/>
  <c r="K656" i="13" l="1"/>
  <c r="AF654" i="7"/>
  <c r="E655" i="7"/>
  <c r="I663" i="5"/>
  <c r="J663" i="5" s="1"/>
  <c r="G664" i="5"/>
  <c r="K664" i="5" s="1"/>
  <c r="F664" i="5"/>
  <c r="E664" i="5"/>
  <c r="B667" i="5"/>
  <c r="H666" i="5"/>
  <c r="C665" i="5"/>
  <c r="D665" i="5" s="1"/>
  <c r="S655" i="28"/>
  <c r="T655" i="28"/>
  <c r="E656" i="28"/>
  <c r="S655" i="13"/>
  <c r="T655" i="13"/>
  <c r="U655" i="13" s="1"/>
  <c r="AG655" i="13"/>
  <c r="AH655" i="13" s="1"/>
  <c r="AF655" i="13"/>
  <c r="E659" i="27"/>
  <c r="AE656" i="13"/>
  <c r="R656" i="13"/>
  <c r="E657" i="13"/>
  <c r="L657" i="13" s="1"/>
  <c r="K657" i="13" l="1"/>
  <c r="AF655" i="7"/>
  <c r="E656" i="7"/>
  <c r="I664" i="5"/>
  <c r="J664" i="5" s="1"/>
  <c r="E665" i="5"/>
  <c r="F665" i="5"/>
  <c r="G665" i="5"/>
  <c r="K665" i="5" s="1"/>
  <c r="H667" i="5"/>
  <c r="B668" i="5"/>
  <c r="C666" i="5"/>
  <c r="D666" i="5" s="1"/>
  <c r="S656" i="28"/>
  <c r="E657" i="28"/>
  <c r="T656" i="28"/>
  <c r="E660" i="27"/>
  <c r="AE657" i="13"/>
  <c r="E658" i="13"/>
  <c r="L658" i="13" s="1"/>
  <c r="R657" i="13"/>
  <c r="AG656" i="13"/>
  <c r="AH656" i="13" s="1"/>
  <c r="AF656" i="13"/>
  <c r="S656" i="13"/>
  <c r="T656" i="13"/>
  <c r="U656" i="13" s="1"/>
  <c r="K658" i="13" l="1"/>
  <c r="AF656" i="7"/>
  <c r="E657" i="7"/>
  <c r="G666" i="5"/>
  <c r="K666" i="5" s="1"/>
  <c r="E666" i="5"/>
  <c r="F666" i="5"/>
  <c r="C667" i="5"/>
  <c r="D667" i="5" s="1"/>
  <c r="H668" i="5"/>
  <c r="B669" i="5"/>
  <c r="I665" i="5"/>
  <c r="J665" i="5" s="1"/>
  <c r="T657" i="28"/>
  <c r="S657" i="28"/>
  <c r="E658" i="28"/>
  <c r="S657" i="13"/>
  <c r="T657" i="13"/>
  <c r="U657" i="13" s="1"/>
  <c r="AF657" i="13"/>
  <c r="AG657" i="13"/>
  <c r="AH657" i="13" s="1"/>
  <c r="AE658" i="13"/>
  <c r="R658" i="13"/>
  <c r="E659" i="13"/>
  <c r="L659" i="13" s="1"/>
  <c r="E661" i="27"/>
  <c r="K659" i="13" l="1"/>
  <c r="AF657" i="7"/>
  <c r="E658" i="7"/>
  <c r="G667" i="5"/>
  <c r="K667" i="5" s="1"/>
  <c r="F667" i="5"/>
  <c r="E667" i="5"/>
  <c r="B670" i="5"/>
  <c r="H669" i="5"/>
  <c r="C668" i="5"/>
  <c r="D668" i="5" s="1"/>
  <c r="I666" i="5"/>
  <c r="J666" i="5" s="1"/>
  <c r="S658" i="28"/>
  <c r="E659" i="28"/>
  <c r="T658" i="28"/>
  <c r="E662" i="27"/>
  <c r="R659" i="13"/>
  <c r="AE659" i="13"/>
  <c r="E660" i="13"/>
  <c r="L660" i="13" s="1"/>
  <c r="T658" i="13"/>
  <c r="U658" i="13" s="1"/>
  <c r="S658" i="13"/>
  <c r="AF658" i="13"/>
  <c r="AG658" i="13"/>
  <c r="AH658" i="13" s="1"/>
  <c r="K660" i="13" l="1"/>
  <c r="AF658" i="7"/>
  <c r="E659" i="7"/>
  <c r="G668" i="5"/>
  <c r="K668" i="5" s="1"/>
  <c r="F668" i="5"/>
  <c r="E668" i="5"/>
  <c r="H670" i="5"/>
  <c r="B671" i="5"/>
  <c r="C669" i="5"/>
  <c r="D669" i="5" s="1"/>
  <c r="I667" i="5"/>
  <c r="J667" i="5" s="1"/>
  <c r="T659" i="28"/>
  <c r="S659" i="28"/>
  <c r="E660" i="28"/>
  <c r="S659" i="13"/>
  <c r="T659" i="13"/>
  <c r="U659" i="13" s="1"/>
  <c r="E663" i="27"/>
  <c r="AE660" i="13"/>
  <c r="R660" i="13"/>
  <c r="E661" i="13"/>
  <c r="L661" i="13" s="1"/>
  <c r="AF659" i="13"/>
  <c r="AG659" i="13"/>
  <c r="AH659" i="13" s="1"/>
  <c r="K661" i="13" l="1"/>
  <c r="AF659" i="7"/>
  <c r="E660" i="7"/>
  <c r="I668" i="5"/>
  <c r="J668" i="5" s="1"/>
  <c r="B672" i="5"/>
  <c r="C670" i="5"/>
  <c r="D670" i="5" s="1"/>
  <c r="H671" i="5"/>
  <c r="F669" i="5"/>
  <c r="G669" i="5"/>
  <c r="K669" i="5" s="1"/>
  <c r="E669" i="5"/>
  <c r="S660" i="28"/>
  <c r="T660" i="28"/>
  <c r="E661" i="28"/>
  <c r="E664" i="27"/>
  <c r="AE661" i="13"/>
  <c r="R661" i="13"/>
  <c r="E662" i="13"/>
  <c r="L662" i="13" s="1"/>
  <c r="AF660" i="13"/>
  <c r="AG660" i="13"/>
  <c r="AH660" i="13" s="1"/>
  <c r="S660" i="13"/>
  <c r="T660" i="13"/>
  <c r="U660" i="13" s="1"/>
  <c r="K662" i="13" l="1"/>
  <c r="AF660" i="7"/>
  <c r="E661" i="7"/>
  <c r="I669" i="5"/>
  <c r="J669" i="5" s="1"/>
  <c r="E670" i="5"/>
  <c r="F670" i="5"/>
  <c r="G670" i="5"/>
  <c r="K670" i="5" s="1"/>
  <c r="H672" i="5"/>
  <c r="C671" i="5"/>
  <c r="D671" i="5" s="1"/>
  <c r="B673" i="5"/>
  <c r="T661" i="28"/>
  <c r="S661" i="28"/>
  <c r="E662" i="28"/>
  <c r="T661" i="13"/>
  <c r="U661" i="13" s="1"/>
  <c r="S661" i="13"/>
  <c r="AF661" i="13"/>
  <c r="AG661" i="13"/>
  <c r="AH661" i="13" s="1"/>
  <c r="E665" i="27"/>
  <c r="R662" i="13"/>
  <c r="AE662" i="13"/>
  <c r="E663" i="13"/>
  <c r="L663" i="13" s="1"/>
  <c r="K663" i="13" l="1"/>
  <c r="AF661" i="7"/>
  <c r="E662" i="7"/>
  <c r="F671" i="5"/>
  <c r="G671" i="5"/>
  <c r="K671" i="5" s="1"/>
  <c r="E671" i="5"/>
  <c r="I670" i="5"/>
  <c r="J670" i="5" s="1"/>
  <c r="H673" i="5"/>
  <c r="C672" i="5"/>
  <c r="D672" i="5" s="1"/>
  <c r="B674" i="5"/>
  <c r="S662" i="28"/>
  <c r="T662" i="28"/>
  <c r="E663" i="28"/>
  <c r="R663" i="13"/>
  <c r="AE663" i="13"/>
  <c r="E664" i="13"/>
  <c r="L664" i="13" s="1"/>
  <c r="AF662" i="13"/>
  <c r="AG662" i="13"/>
  <c r="AH662" i="13" s="1"/>
  <c r="T662" i="13"/>
  <c r="U662" i="13" s="1"/>
  <c r="S662" i="13"/>
  <c r="E666" i="27"/>
  <c r="K664" i="13" l="1"/>
  <c r="AF662" i="7"/>
  <c r="E663" i="7"/>
  <c r="C673" i="5"/>
  <c r="D673" i="5" s="1"/>
  <c r="B675" i="5"/>
  <c r="H674" i="5"/>
  <c r="I671" i="5"/>
  <c r="J671" i="5" s="1"/>
  <c r="F672" i="5"/>
  <c r="E672" i="5"/>
  <c r="G672" i="5"/>
  <c r="K672" i="5" s="1"/>
  <c r="S663" i="28"/>
  <c r="T663" i="28"/>
  <c r="E664" i="28"/>
  <c r="AG663" i="13"/>
  <c r="AH663" i="13" s="1"/>
  <c r="AF663" i="13"/>
  <c r="E667" i="27"/>
  <c r="R664" i="13"/>
  <c r="E665" i="13"/>
  <c r="L665" i="13" s="1"/>
  <c r="AE664" i="13"/>
  <c r="T663" i="13"/>
  <c r="U663" i="13" s="1"/>
  <c r="S663" i="13"/>
  <c r="K665" i="13" l="1"/>
  <c r="AF663" i="7"/>
  <c r="E664" i="7"/>
  <c r="I672" i="5"/>
  <c r="J672" i="5" s="1"/>
  <c r="B676" i="5"/>
  <c r="H675" i="5"/>
  <c r="C674" i="5"/>
  <c r="D674" i="5" s="1"/>
  <c r="G673" i="5"/>
  <c r="K673" i="5" s="1"/>
  <c r="F673" i="5"/>
  <c r="E673" i="5"/>
  <c r="S664" i="28"/>
  <c r="T664" i="28"/>
  <c r="E665" i="28"/>
  <c r="S664" i="13"/>
  <c r="T664" i="13"/>
  <c r="U664" i="13" s="1"/>
  <c r="AF664" i="13"/>
  <c r="AG664" i="13"/>
  <c r="AH664" i="13" s="1"/>
  <c r="R665" i="13"/>
  <c r="E666" i="13"/>
  <c r="L666" i="13" s="1"/>
  <c r="AE665" i="13"/>
  <c r="E668" i="27"/>
  <c r="K666" i="13" l="1"/>
  <c r="AF664" i="7"/>
  <c r="E665" i="7"/>
  <c r="F674" i="5"/>
  <c r="E674" i="5"/>
  <c r="G674" i="5"/>
  <c r="K674" i="5" s="1"/>
  <c r="I673" i="5"/>
  <c r="J673" i="5" s="1"/>
  <c r="C675" i="5"/>
  <c r="D675" i="5" s="1"/>
  <c r="H676" i="5"/>
  <c r="B677" i="5"/>
  <c r="E666" i="28"/>
  <c r="T665" i="28"/>
  <c r="S665" i="28"/>
  <c r="E667" i="13"/>
  <c r="L667" i="13" s="1"/>
  <c r="R666" i="13"/>
  <c r="AE666" i="13"/>
  <c r="E669" i="27"/>
  <c r="AG665" i="13"/>
  <c r="AH665" i="13" s="1"/>
  <c r="AF665" i="13"/>
  <c r="S665" i="13"/>
  <c r="T665" i="13"/>
  <c r="U665" i="13" s="1"/>
  <c r="K667" i="13" l="1"/>
  <c r="AF665" i="7"/>
  <c r="E666" i="7"/>
  <c r="C676" i="5"/>
  <c r="D676" i="5" s="1"/>
  <c r="H677" i="5"/>
  <c r="B678" i="5"/>
  <c r="I674" i="5"/>
  <c r="J674" i="5" s="1"/>
  <c r="E675" i="5"/>
  <c r="G675" i="5"/>
  <c r="K675" i="5" s="1"/>
  <c r="F675" i="5"/>
  <c r="S666" i="28"/>
  <c r="E667" i="28"/>
  <c r="T666" i="28"/>
  <c r="R667" i="13"/>
  <c r="AE667" i="13"/>
  <c r="E668" i="13"/>
  <c r="L668" i="13" s="1"/>
  <c r="E670" i="27"/>
  <c r="AF666" i="13"/>
  <c r="AG666" i="13"/>
  <c r="AH666" i="13" s="1"/>
  <c r="S666" i="13"/>
  <c r="T666" i="13"/>
  <c r="U666" i="13" s="1"/>
  <c r="K668" i="13" l="1"/>
  <c r="AF666" i="7"/>
  <c r="E667" i="7"/>
  <c r="H678" i="5"/>
  <c r="B679" i="5"/>
  <c r="C677" i="5"/>
  <c r="D677" i="5" s="1"/>
  <c r="I675" i="5"/>
  <c r="J675" i="5" s="1"/>
  <c r="G676" i="5"/>
  <c r="K676" i="5" s="1"/>
  <c r="F676" i="5"/>
  <c r="E676" i="5"/>
  <c r="S667" i="28"/>
  <c r="T667" i="28"/>
  <c r="E668" i="28"/>
  <c r="R668" i="13"/>
  <c r="E669" i="13"/>
  <c r="L669" i="13" s="1"/>
  <c r="AE668" i="13"/>
  <c r="S667" i="13"/>
  <c r="T667" i="13"/>
  <c r="U667" i="13" s="1"/>
  <c r="AG667" i="13"/>
  <c r="AH667" i="13" s="1"/>
  <c r="AF667" i="13"/>
  <c r="E671" i="27"/>
  <c r="K669" i="13" l="1"/>
  <c r="AF667" i="7"/>
  <c r="E668" i="7"/>
  <c r="I676" i="5"/>
  <c r="J676" i="5" s="1"/>
  <c r="E677" i="5"/>
  <c r="F677" i="5"/>
  <c r="G677" i="5"/>
  <c r="K677" i="5" s="1"/>
  <c r="C678" i="5"/>
  <c r="D678" i="5" s="1"/>
  <c r="H679" i="5"/>
  <c r="B680" i="5"/>
  <c r="T668" i="28"/>
  <c r="E669" i="28"/>
  <c r="S668" i="28"/>
  <c r="S668" i="13"/>
  <c r="T668" i="13"/>
  <c r="U668" i="13" s="1"/>
  <c r="AG668" i="13"/>
  <c r="AH668" i="13" s="1"/>
  <c r="AF668" i="13"/>
  <c r="E672" i="27"/>
  <c r="AE669" i="13"/>
  <c r="R669" i="13"/>
  <c r="E670" i="13"/>
  <c r="L670" i="13" s="1"/>
  <c r="K670" i="13" l="1"/>
  <c r="AF668" i="7"/>
  <c r="E669" i="7"/>
  <c r="H680" i="5"/>
  <c r="B681" i="5"/>
  <c r="C679" i="5"/>
  <c r="D679" i="5" s="1"/>
  <c r="I677" i="5"/>
  <c r="J677" i="5" s="1"/>
  <c r="G678" i="5"/>
  <c r="K678" i="5" s="1"/>
  <c r="E678" i="5"/>
  <c r="F678" i="5"/>
  <c r="T669" i="28"/>
  <c r="S669" i="28"/>
  <c r="E670" i="28"/>
  <c r="E671" i="13"/>
  <c r="L671" i="13" s="1"/>
  <c r="R670" i="13"/>
  <c r="AE670" i="13"/>
  <c r="T669" i="13"/>
  <c r="U669" i="13" s="1"/>
  <c r="S669" i="13"/>
  <c r="AF669" i="13"/>
  <c r="AG669" i="13"/>
  <c r="AH669" i="13" s="1"/>
  <c r="E673" i="27"/>
  <c r="K671" i="13" l="1"/>
  <c r="AF669" i="7"/>
  <c r="E670" i="7"/>
  <c r="G679" i="5"/>
  <c r="K679" i="5" s="1"/>
  <c r="F679" i="5"/>
  <c r="E679" i="5"/>
  <c r="I678" i="5"/>
  <c r="J678" i="5" s="1"/>
  <c r="C680" i="5"/>
  <c r="D680" i="5" s="1"/>
  <c r="B682" i="5"/>
  <c r="H681" i="5"/>
  <c r="S670" i="28"/>
  <c r="T670" i="28"/>
  <c r="E671" i="28"/>
  <c r="R671" i="13"/>
  <c r="E672" i="13"/>
  <c r="L672" i="13" s="1"/>
  <c r="AE671" i="13"/>
  <c r="AF670" i="13"/>
  <c r="AG670" i="13"/>
  <c r="AH670" i="13" s="1"/>
  <c r="E674" i="27"/>
  <c r="T670" i="13"/>
  <c r="U670" i="13" s="1"/>
  <c r="S670" i="13"/>
  <c r="K672" i="13" l="1"/>
  <c r="AF670" i="7"/>
  <c r="E671" i="7"/>
  <c r="C681" i="5"/>
  <c r="D681" i="5" s="1"/>
  <c r="H682" i="5"/>
  <c r="B683" i="5"/>
  <c r="I679" i="5"/>
  <c r="J679" i="5" s="1"/>
  <c r="G680" i="5"/>
  <c r="K680" i="5" s="1"/>
  <c r="E680" i="5"/>
  <c r="F680" i="5"/>
  <c r="T671" i="28"/>
  <c r="S671" i="28"/>
  <c r="E672" i="28"/>
  <c r="E675" i="27"/>
  <c r="T671" i="13"/>
  <c r="U671" i="13" s="1"/>
  <c r="S671" i="13"/>
  <c r="AF671" i="13"/>
  <c r="AG671" i="13"/>
  <c r="AH671" i="13" s="1"/>
  <c r="AE672" i="13"/>
  <c r="R672" i="13"/>
  <c r="E673" i="13"/>
  <c r="L673" i="13" s="1"/>
  <c r="K673" i="13" l="1"/>
  <c r="AF671" i="7"/>
  <c r="E672" i="7"/>
  <c r="C682" i="5"/>
  <c r="D682" i="5" s="1"/>
  <c r="B684" i="5"/>
  <c r="H683" i="5"/>
  <c r="I680" i="5"/>
  <c r="J680" i="5" s="1"/>
  <c r="F681" i="5"/>
  <c r="G681" i="5"/>
  <c r="K681" i="5" s="1"/>
  <c r="E681" i="5"/>
  <c r="T672" i="28"/>
  <c r="S672" i="28"/>
  <c r="E673" i="28"/>
  <c r="R673" i="13"/>
  <c r="E674" i="13"/>
  <c r="L674" i="13" s="1"/>
  <c r="AE673" i="13"/>
  <c r="T672" i="13"/>
  <c r="U672" i="13" s="1"/>
  <c r="S672" i="13"/>
  <c r="E676" i="27"/>
  <c r="AF672" i="13"/>
  <c r="AG672" i="13"/>
  <c r="AH672" i="13" s="1"/>
  <c r="K674" i="13" l="1"/>
  <c r="AF672" i="7"/>
  <c r="E673" i="7"/>
  <c r="I681" i="5"/>
  <c r="J681" i="5" s="1"/>
  <c r="B685" i="5"/>
  <c r="C683" i="5"/>
  <c r="D683" i="5" s="1"/>
  <c r="H684" i="5"/>
  <c r="G682" i="5"/>
  <c r="K682" i="5" s="1"/>
  <c r="F682" i="5"/>
  <c r="E682" i="5"/>
  <c r="T673" i="28"/>
  <c r="S673" i="28"/>
  <c r="E674" i="28"/>
  <c r="E677" i="27"/>
  <c r="T673" i="13"/>
  <c r="U673" i="13" s="1"/>
  <c r="S673" i="13"/>
  <c r="AG673" i="13"/>
  <c r="AH673" i="13" s="1"/>
  <c r="AF673" i="13"/>
  <c r="E675" i="13"/>
  <c r="L675" i="13" s="1"/>
  <c r="AE674" i="13"/>
  <c r="R674" i="13"/>
  <c r="K675" i="13" l="1"/>
  <c r="AF673" i="7"/>
  <c r="E674" i="7"/>
  <c r="I682" i="5"/>
  <c r="J682" i="5" s="1"/>
  <c r="G683" i="5"/>
  <c r="K683" i="5" s="1"/>
  <c r="F683" i="5"/>
  <c r="E683" i="5"/>
  <c r="B686" i="5"/>
  <c r="C684" i="5"/>
  <c r="D684" i="5" s="1"/>
  <c r="H685" i="5"/>
  <c r="E675" i="28"/>
  <c r="S674" i="28"/>
  <c r="T674" i="28"/>
  <c r="AG674" i="13"/>
  <c r="AH674" i="13" s="1"/>
  <c r="AF674" i="13"/>
  <c r="R675" i="13"/>
  <c r="AE675" i="13"/>
  <c r="E676" i="13"/>
  <c r="L676" i="13" s="1"/>
  <c r="E678" i="27"/>
  <c r="S674" i="13"/>
  <c r="T674" i="13"/>
  <c r="U674" i="13" s="1"/>
  <c r="K676" i="13" l="1"/>
  <c r="AF674" i="7"/>
  <c r="E675" i="7"/>
  <c r="I683" i="5"/>
  <c r="J683" i="5" s="1"/>
  <c r="F684" i="5"/>
  <c r="G684" i="5"/>
  <c r="K684" i="5" s="1"/>
  <c r="E684" i="5"/>
  <c r="H686" i="5"/>
  <c r="C685" i="5"/>
  <c r="D685" i="5" s="1"/>
  <c r="B687" i="5"/>
  <c r="E676" i="28"/>
  <c r="S675" i="28"/>
  <c r="T675" i="28"/>
  <c r="AG675" i="13"/>
  <c r="AH675" i="13" s="1"/>
  <c r="AF675" i="13"/>
  <c r="E679" i="27"/>
  <c r="AE676" i="13"/>
  <c r="R676" i="13"/>
  <c r="E677" i="13"/>
  <c r="L677" i="13" s="1"/>
  <c r="S675" i="13"/>
  <c r="T675" i="13"/>
  <c r="U675" i="13" s="1"/>
  <c r="K677" i="13" l="1"/>
  <c r="AF675" i="7"/>
  <c r="E676" i="7"/>
  <c r="G685" i="5"/>
  <c r="K685" i="5" s="1"/>
  <c r="F685" i="5"/>
  <c r="E685" i="5"/>
  <c r="I684" i="5"/>
  <c r="J684" i="5" s="1"/>
  <c r="C686" i="5"/>
  <c r="D686" i="5" s="1"/>
  <c r="B688" i="5"/>
  <c r="H687" i="5"/>
  <c r="S676" i="28"/>
  <c r="E677" i="28"/>
  <c r="T676" i="28"/>
  <c r="E680" i="27"/>
  <c r="E678" i="13"/>
  <c r="L678" i="13" s="1"/>
  <c r="R677" i="13"/>
  <c r="AE677" i="13"/>
  <c r="S676" i="13"/>
  <c r="T676" i="13"/>
  <c r="U676" i="13" s="1"/>
  <c r="AF676" i="13"/>
  <c r="AG676" i="13"/>
  <c r="AH676" i="13" s="1"/>
  <c r="K678" i="13" l="1"/>
  <c r="AF676" i="7"/>
  <c r="E677" i="7"/>
  <c r="I685" i="5"/>
  <c r="J685" i="5" s="1"/>
  <c r="H688" i="5"/>
  <c r="C687" i="5"/>
  <c r="D687" i="5" s="1"/>
  <c r="B689" i="5"/>
  <c r="E686" i="5"/>
  <c r="F686" i="5"/>
  <c r="G686" i="5"/>
  <c r="K686" i="5" s="1"/>
  <c r="T677" i="28"/>
  <c r="S677" i="28"/>
  <c r="E678" i="28"/>
  <c r="T677" i="13"/>
  <c r="U677" i="13" s="1"/>
  <c r="S677" i="13"/>
  <c r="E681" i="27"/>
  <c r="AE678" i="13"/>
  <c r="R678" i="13"/>
  <c r="E679" i="13"/>
  <c r="L679" i="13" s="1"/>
  <c r="AG677" i="13"/>
  <c r="AH677" i="13" s="1"/>
  <c r="AF677" i="13"/>
  <c r="K679" i="13" l="1"/>
  <c r="AF677" i="7"/>
  <c r="E678" i="7"/>
  <c r="H689" i="5"/>
  <c r="C688" i="5"/>
  <c r="D688" i="5" s="1"/>
  <c r="B690" i="5"/>
  <c r="G687" i="5"/>
  <c r="K687" i="5" s="1"/>
  <c r="E687" i="5"/>
  <c r="F687" i="5"/>
  <c r="I686" i="5"/>
  <c r="J686" i="5" s="1"/>
  <c r="T678" i="28"/>
  <c r="E679" i="28"/>
  <c r="S678" i="28"/>
  <c r="R679" i="13"/>
  <c r="AE679" i="13"/>
  <c r="E680" i="13"/>
  <c r="L680" i="13" s="1"/>
  <c r="AF678" i="13"/>
  <c r="AG678" i="13"/>
  <c r="AH678" i="13" s="1"/>
  <c r="E682" i="27"/>
  <c r="S678" i="13"/>
  <c r="T678" i="13"/>
  <c r="U678" i="13" s="1"/>
  <c r="K680" i="13" l="1"/>
  <c r="AF678" i="7"/>
  <c r="E679" i="7"/>
  <c r="I687" i="5"/>
  <c r="J687" i="5" s="1"/>
  <c r="C689" i="5"/>
  <c r="D689" i="5" s="1"/>
  <c r="B691" i="5"/>
  <c r="H690" i="5"/>
  <c r="E688" i="5"/>
  <c r="F688" i="5"/>
  <c r="G688" i="5"/>
  <c r="K688" i="5" s="1"/>
  <c r="E680" i="28"/>
  <c r="S679" i="28"/>
  <c r="T679" i="28"/>
  <c r="E683" i="27"/>
  <c r="T679" i="13"/>
  <c r="U679" i="13" s="1"/>
  <c r="S679" i="13"/>
  <c r="R680" i="13"/>
  <c r="AE680" i="13"/>
  <c r="E681" i="13"/>
  <c r="L681" i="13" s="1"/>
  <c r="AG679" i="13"/>
  <c r="AH679" i="13" s="1"/>
  <c r="AF679" i="13"/>
  <c r="K681" i="13" l="1"/>
  <c r="AF679" i="7"/>
  <c r="E680" i="7"/>
  <c r="I688" i="5"/>
  <c r="J688" i="5" s="1"/>
  <c r="C690" i="5"/>
  <c r="D690" i="5" s="1"/>
  <c r="H691" i="5"/>
  <c r="B692" i="5"/>
  <c r="F689" i="5"/>
  <c r="E689" i="5"/>
  <c r="G689" i="5"/>
  <c r="K689" i="5" s="1"/>
  <c r="S680" i="28"/>
  <c r="T680" i="28"/>
  <c r="E681" i="28"/>
  <c r="S680" i="13"/>
  <c r="T680" i="13"/>
  <c r="U680" i="13" s="1"/>
  <c r="AE681" i="13"/>
  <c r="R681" i="13"/>
  <c r="E682" i="13"/>
  <c r="L682" i="13" s="1"/>
  <c r="AG680" i="13"/>
  <c r="AH680" i="13" s="1"/>
  <c r="AF680" i="13"/>
  <c r="E684" i="27"/>
  <c r="K682" i="13" l="1"/>
  <c r="AF680" i="7"/>
  <c r="E681" i="7"/>
  <c r="C691" i="5"/>
  <c r="D691" i="5" s="1"/>
  <c r="H692" i="5"/>
  <c r="B693" i="5"/>
  <c r="I689" i="5"/>
  <c r="J689" i="5" s="1"/>
  <c r="G690" i="5"/>
  <c r="K690" i="5" s="1"/>
  <c r="F690" i="5"/>
  <c r="E690" i="5"/>
  <c r="E682" i="28"/>
  <c r="S681" i="28"/>
  <c r="T681" i="28"/>
  <c r="AG681" i="13"/>
  <c r="AH681" i="13" s="1"/>
  <c r="AF681" i="13"/>
  <c r="R682" i="13"/>
  <c r="AE682" i="13"/>
  <c r="E683" i="13"/>
  <c r="L683" i="13" s="1"/>
  <c r="E685" i="27"/>
  <c r="T681" i="13"/>
  <c r="U681" i="13" s="1"/>
  <c r="S681" i="13"/>
  <c r="K683" i="13" l="1"/>
  <c r="AF681" i="7"/>
  <c r="E682" i="7"/>
  <c r="I690" i="5"/>
  <c r="J690" i="5" s="1"/>
  <c r="C692" i="5"/>
  <c r="D692" i="5" s="1"/>
  <c r="B694" i="5"/>
  <c r="H693" i="5"/>
  <c r="G691" i="5"/>
  <c r="K691" i="5" s="1"/>
  <c r="F691" i="5"/>
  <c r="E691" i="5"/>
  <c r="E683" i="28"/>
  <c r="T682" i="28"/>
  <c r="S682" i="28"/>
  <c r="R683" i="13"/>
  <c r="AE683" i="13"/>
  <c r="E684" i="13"/>
  <c r="L684" i="13" s="1"/>
  <c r="AG682" i="13"/>
  <c r="AH682" i="13" s="1"/>
  <c r="AF682" i="13"/>
  <c r="T682" i="13"/>
  <c r="U682" i="13" s="1"/>
  <c r="S682" i="13"/>
  <c r="E686" i="27"/>
  <c r="K684" i="13" l="1"/>
  <c r="AF682" i="7"/>
  <c r="E683" i="7"/>
  <c r="I691" i="5"/>
  <c r="J691" i="5" s="1"/>
  <c r="C693" i="5"/>
  <c r="D693" i="5" s="1"/>
  <c r="H694" i="5"/>
  <c r="B695" i="5"/>
  <c r="F692" i="5"/>
  <c r="E692" i="5"/>
  <c r="G692" i="5"/>
  <c r="K692" i="5" s="1"/>
  <c r="S683" i="28"/>
  <c r="T683" i="28"/>
  <c r="E684" i="28"/>
  <c r="AG683" i="13"/>
  <c r="AH683" i="13" s="1"/>
  <c r="AF683" i="13"/>
  <c r="S683" i="13"/>
  <c r="T683" i="13"/>
  <c r="U683" i="13" s="1"/>
  <c r="E687" i="27"/>
  <c r="AE684" i="13"/>
  <c r="R684" i="13"/>
  <c r="E685" i="13"/>
  <c r="L685" i="13" s="1"/>
  <c r="K685" i="13" l="1"/>
  <c r="AF683" i="7"/>
  <c r="E684" i="7"/>
  <c r="H695" i="5"/>
  <c r="B696" i="5"/>
  <c r="C694" i="5"/>
  <c r="D694" i="5" s="1"/>
  <c r="I692" i="5"/>
  <c r="J692" i="5" s="1"/>
  <c r="E693" i="5"/>
  <c r="F693" i="5"/>
  <c r="G693" i="5"/>
  <c r="K693" i="5" s="1"/>
  <c r="S684" i="28"/>
  <c r="E685" i="28"/>
  <c r="T684" i="28"/>
  <c r="T684" i="13"/>
  <c r="U684" i="13" s="1"/>
  <c r="S684" i="13"/>
  <c r="E688" i="27"/>
  <c r="AG684" i="13"/>
  <c r="AH684" i="13" s="1"/>
  <c r="AF684" i="13"/>
  <c r="AE685" i="13"/>
  <c r="R685" i="13"/>
  <c r="E686" i="13"/>
  <c r="L686" i="13" s="1"/>
  <c r="K686" i="13" l="1"/>
  <c r="AF684" i="7"/>
  <c r="E685" i="7"/>
  <c r="F694" i="5"/>
  <c r="G694" i="5"/>
  <c r="K694" i="5" s="1"/>
  <c r="E694" i="5"/>
  <c r="B697" i="5"/>
  <c r="C695" i="5"/>
  <c r="D695" i="5" s="1"/>
  <c r="H696" i="5"/>
  <c r="I693" i="5"/>
  <c r="J693" i="5" s="1"/>
  <c r="T685" i="28"/>
  <c r="E686" i="28"/>
  <c r="S685" i="28"/>
  <c r="T685" i="13"/>
  <c r="U685" i="13" s="1"/>
  <c r="S685" i="13"/>
  <c r="R686" i="13"/>
  <c r="AE686" i="13"/>
  <c r="E687" i="13"/>
  <c r="L687" i="13" s="1"/>
  <c r="AG685" i="13"/>
  <c r="AH685" i="13" s="1"/>
  <c r="AF685" i="13"/>
  <c r="E689" i="27"/>
  <c r="K687" i="13" l="1"/>
  <c r="AF685" i="7"/>
  <c r="E686" i="7"/>
  <c r="I694" i="5"/>
  <c r="J694" i="5" s="1"/>
  <c r="H697" i="5"/>
  <c r="C696" i="5"/>
  <c r="D696" i="5" s="1"/>
  <c r="B698" i="5"/>
  <c r="G695" i="5"/>
  <c r="K695" i="5" s="1"/>
  <c r="F695" i="5"/>
  <c r="E695" i="5"/>
  <c r="S686" i="28"/>
  <c r="T686" i="28"/>
  <c r="E687" i="28"/>
  <c r="E690" i="27"/>
  <c r="AG686" i="13"/>
  <c r="AH686" i="13" s="1"/>
  <c r="AF686" i="13"/>
  <c r="AE687" i="13"/>
  <c r="R687" i="13"/>
  <c r="E688" i="13"/>
  <c r="L688" i="13" s="1"/>
  <c r="S686" i="13"/>
  <c r="T686" i="13"/>
  <c r="U686" i="13" s="1"/>
  <c r="K688" i="13" l="1"/>
  <c r="AF686" i="7"/>
  <c r="E687" i="7"/>
  <c r="B699" i="5"/>
  <c r="H698" i="5"/>
  <c r="C697" i="5"/>
  <c r="D697" i="5" s="1"/>
  <c r="I695" i="5"/>
  <c r="J695" i="5" s="1"/>
  <c r="G696" i="5"/>
  <c r="K696" i="5" s="1"/>
  <c r="E696" i="5"/>
  <c r="F696" i="5"/>
  <c r="E688" i="28"/>
  <c r="S687" i="28"/>
  <c r="T687" i="28"/>
  <c r="AG687" i="13"/>
  <c r="AH687" i="13" s="1"/>
  <c r="AF687" i="13"/>
  <c r="E691" i="27"/>
  <c r="S687" i="13"/>
  <c r="T687" i="13"/>
  <c r="U687" i="13" s="1"/>
  <c r="AE688" i="13"/>
  <c r="R688" i="13"/>
  <c r="E689" i="13"/>
  <c r="L689" i="13" s="1"/>
  <c r="K689" i="13" l="1"/>
  <c r="AF687" i="7"/>
  <c r="E688" i="7"/>
  <c r="E697" i="5"/>
  <c r="F697" i="5"/>
  <c r="G697" i="5"/>
  <c r="K697" i="5" s="1"/>
  <c r="I696" i="5"/>
  <c r="J696" i="5" s="1"/>
  <c r="H699" i="5"/>
  <c r="C698" i="5"/>
  <c r="D698" i="5" s="1"/>
  <c r="B700" i="5"/>
  <c r="T688" i="28"/>
  <c r="E689" i="28"/>
  <c r="S688" i="28"/>
  <c r="AE689" i="13"/>
  <c r="R689" i="13"/>
  <c r="E690" i="13"/>
  <c r="L690" i="13" s="1"/>
  <c r="AG688" i="13"/>
  <c r="AH688" i="13" s="1"/>
  <c r="AF688" i="13"/>
  <c r="S688" i="13"/>
  <c r="T688" i="13"/>
  <c r="U688" i="13" s="1"/>
  <c r="E692" i="27"/>
  <c r="K690" i="13" l="1"/>
  <c r="AF688" i="7"/>
  <c r="E689" i="7"/>
  <c r="H700" i="5"/>
  <c r="B701" i="5"/>
  <c r="C699" i="5"/>
  <c r="D699" i="5" s="1"/>
  <c r="G698" i="5"/>
  <c r="K698" i="5" s="1"/>
  <c r="F698" i="5"/>
  <c r="E698" i="5"/>
  <c r="I697" i="5"/>
  <c r="J697" i="5" s="1"/>
  <c r="E690" i="28"/>
  <c r="T689" i="28"/>
  <c r="S689" i="28"/>
  <c r="E693" i="27"/>
  <c r="AE690" i="13"/>
  <c r="R690" i="13"/>
  <c r="E691" i="13"/>
  <c r="L691" i="13" s="1"/>
  <c r="AF689" i="13"/>
  <c r="AG689" i="13"/>
  <c r="AH689" i="13" s="1"/>
  <c r="T689" i="13"/>
  <c r="U689" i="13" s="1"/>
  <c r="S689" i="13"/>
  <c r="K691" i="13" l="1"/>
  <c r="AF689" i="7"/>
  <c r="E690" i="7"/>
  <c r="F699" i="5"/>
  <c r="G699" i="5"/>
  <c r="K699" i="5" s="1"/>
  <c r="E699" i="5"/>
  <c r="I698" i="5"/>
  <c r="J698" i="5" s="1"/>
  <c r="B702" i="5"/>
  <c r="C700" i="5"/>
  <c r="D700" i="5" s="1"/>
  <c r="H701" i="5"/>
  <c r="T690" i="28"/>
  <c r="E691" i="28"/>
  <c r="S690" i="28"/>
  <c r="AG690" i="13"/>
  <c r="AH690" i="13" s="1"/>
  <c r="AF690" i="13"/>
  <c r="R691" i="13"/>
  <c r="AE691" i="13"/>
  <c r="E692" i="13"/>
  <c r="L692" i="13" s="1"/>
  <c r="E694" i="27"/>
  <c r="S690" i="13"/>
  <c r="T690" i="13"/>
  <c r="U690" i="13" s="1"/>
  <c r="K692" i="13" l="1"/>
  <c r="AF690" i="7"/>
  <c r="E691" i="7"/>
  <c r="I699" i="5"/>
  <c r="J699" i="5" s="1"/>
  <c r="G700" i="5"/>
  <c r="K700" i="5" s="1"/>
  <c r="F700" i="5"/>
  <c r="E700" i="5"/>
  <c r="C701" i="5"/>
  <c r="D701" i="5" s="1"/>
  <c r="B703" i="5"/>
  <c r="H702" i="5"/>
  <c r="T691" i="28"/>
  <c r="S691" i="28"/>
  <c r="E692" i="28"/>
  <c r="AG691" i="13"/>
  <c r="AH691" i="13" s="1"/>
  <c r="AF691" i="13"/>
  <c r="T691" i="13"/>
  <c r="U691" i="13" s="1"/>
  <c r="S691" i="13"/>
  <c r="AE692" i="13"/>
  <c r="R692" i="13"/>
  <c r="E693" i="13"/>
  <c r="L693" i="13" s="1"/>
  <c r="E695" i="27"/>
  <c r="K693" i="13" l="1"/>
  <c r="AF691" i="7"/>
  <c r="E692" i="7"/>
  <c r="I700" i="5"/>
  <c r="J700" i="5" s="1"/>
  <c r="H703" i="5"/>
  <c r="B704" i="5"/>
  <c r="C702" i="5"/>
  <c r="D702" i="5" s="1"/>
  <c r="F701" i="5"/>
  <c r="G701" i="5"/>
  <c r="K701" i="5" s="1"/>
  <c r="E701" i="5"/>
  <c r="T692" i="28"/>
  <c r="S692" i="28"/>
  <c r="E693" i="28"/>
  <c r="E696" i="27"/>
  <c r="AE693" i="13"/>
  <c r="R693" i="13"/>
  <c r="E694" i="13"/>
  <c r="L694" i="13" s="1"/>
  <c r="T692" i="13"/>
  <c r="U692" i="13" s="1"/>
  <c r="S692" i="13"/>
  <c r="AF692" i="13"/>
  <c r="AG692" i="13"/>
  <c r="AH692" i="13" s="1"/>
  <c r="K694" i="13" l="1"/>
  <c r="AF692" i="7"/>
  <c r="E693" i="7"/>
  <c r="I701" i="5"/>
  <c r="J701" i="5" s="1"/>
  <c r="H704" i="5"/>
  <c r="B705" i="5"/>
  <c r="C703" i="5"/>
  <c r="D703" i="5" s="1"/>
  <c r="G702" i="5"/>
  <c r="K702" i="5" s="1"/>
  <c r="F702" i="5"/>
  <c r="E702" i="5"/>
  <c r="S693" i="28"/>
  <c r="T693" i="28"/>
  <c r="E694" i="28"/>
  <c r="AG693" i="13"/>
  <c r="AH693" i="13" s="1"/>
  <c r="AF693" i="13"/>
  <c r="R694" i="13"/>
  <c r="AE694" i="13"/>
  <c r="E695" i="13"/>
  <c r="L695" i="13" s="1"/>
  <c r="E697" i="27"/>
  <c r="T693" i="13"/>
  <c r="U693" i="13" s="1"/>
  <c r="S693" i="13"/>
  <c r="K695" i="13" l="1"/>
  <c r="AF693" i="7"/>
  <c r="E694" i="7"/>
  <c r="F703" i="5"/>
  <c r="G703" i="5"/>
  <c r="K703" i="5" s="1"/>
  <c r="E703" i="5"/>
  <c r="I702" i="5"/>
  <c r="J702" i="5" s="1"/>
  <c r="B706" i="5"/>
  <c r="H705" i="5"/>
  <c r="C704" i="5"/>
  <c r="D704" i="5" s="1"/>
  <c r="T694" i="28"/>
  <c r="E695" i="28"/>
  <c r="S694" i="28"/>
  <c r="AG694" i="13"/>
  <c r="AH694" i="13" s="1"/>
  <c r="AF694" i="13"/>
  <c r="T694" i="13"/>
  <c r="U694" i="13" s="1"/>
  <c r="S694" i="13"/>
  <c r="E698" i="27"/>
  <c r="R695" i="13"/>
  <c r="AE695" i="13"/>
  <c r="E696" i="13"/>
  <c r="L696" i="13" s="1"/>
  <c r="K696" i="13" l="1"/>
  <c r="AF694" i="7"/>
  <c r="E695" i="7"/>
  <c r="G704" i="5"/>
  <c r="K704" i="5" s="1"/>
  <c r="F704" i="5"/>
  <c r="E704" i="5"/>
  <c r="I703" i="5"/>
  <c r="J703" i="5" s="1"/>
  <c r="C705" i="5"/>
  <c r="D705" i="5" s="1"/>
  <c r="H706" i="5"/>
  <c r="B707" i="5"/>
  <c r="E696" i="28"/>
  <c r="T695" i="28"/>
  <c r="S695" i="28"/>
  <c r="E699" i="27"/>
  <c r="S695" i="13"/>
  <c r="T695" i="13"/>
  <c r="U695" i="13" s="1"/>
  <c r="R696" i="13"/>
  <c r="AE696" i="13"/>
  <c r="E697" i="13"/>
  <c r="L697" i="13" s="1"/>
  <c r="AG695" i="13"/>
  <c r="AH695" i="13" s="1"/>
  <c r="AF695" i="13"/>
  <c r="K697" i="13" l="1"/>
  <c r="AF695" i="7"/>
  <c r="E696" i="7"/>
  <c r="C706" i="5"/>
  <c r="D706" i="5" s="1"/>
  <c r="B708" i="5"/>
  <c r="H707" i="5"/>
  <c r="I704" i="5"/>
  <c r="J704" i="5" s="1"/>
  <c r="F705" i="5"/>
  <c r="G705" i="5"/>
  <c r="K705" i="5" s="1"/>
  <c r="E705" i="5"/>
  <c r="T696" i="28"/>
  <c r="E697" i="28"/>
  <c r="S696" i="28"/>
  <c r="R697" i="13"/>
  <c r="AE697" i="13"/>
  <c r="E698" i="13"/>
  <c r="L698" i="13" s="1"/>
  <c r="E700" i="27"/>
  <c r="AG696" i="13"/>
  <c r="AH696" i="13" s="1"/>
  <c r="AF696" i="13"/>
  <c r="T696" i="13"/>
  <c r="U696" i="13" s="1"/>
  <c r="S696" i="13"/>
  <c r="K698" i="13" l="1"/>
  <c r="AF696" i="7"/>
  <c r="E697" i="7"/>
  <c r="I705" i="5"/>
  <c r="J705" i="5" s="1"/>
  <c r="H708" i="5"/>
  <c r="C707" i="5"/>
  <c r="D707" i="5" s="1"/>
  <c r="B709" i="5"/>
  <c r="E706" i="5"/>
  <c r="G706" i="5"/>
  <c r="K706" i="5" s="1"/>
  <c r="F706" i="5"/>
  <c r="S697" i="28"/>
  <c r="T697" i="28"/>
  <c r="E698" i="28"/>
  <c r="S697" i="13"/>
  <c r="T697" i="13"/>
  <c r="U697" i="13" s="1"/>
  <c r="E701" i="27"/>
  <c r="R698" i="13"/>
  <c r="AE698" i="13"/>
  <c r="E699" i="13"/>
  <c r="L699" i="13" s="1"/>
  <c r="AG697" i="13"/>
  <c r="AH697" i="13" s="1"/>
  <c r="AF697" i="13"/>
  <c r="K699" i="13" l="1"/>
  <c r="AF697" i="7"/>
  <c r="E698" i="7"/>
  <c r="C708" i="5"/>
  <c r="D708" i="5" s="1"/>
  <c r="H709" i="5"/>
  <c r="B710" i="5"/>
  <c r="F707" i="5"/>
  <c r="G707" i="5"/>
  <c r="K707" i="5" s="1"/>
  <c r="E707" i="5"/>
  <c r="I706" i="5"/>
  <c r="J706" i="5" s="1"/>
  <c r="T698" i="28"/>
  <c r="S698" i="28"/>
  <c r="E699" i="28"/>
  <c r="AG698" i="13"/>
  <c r="AH698" i="13" s="1"/>
  <c r="AF698" i="13"/>
  <c r="T698" i="13"/>
  <c r="U698" i="13" s="1"/>
  <c r="S698" i="13"/>
  <c r="E702" i="27"/>
  <c r="AE699" i="13"/>
  <c r="R699" i="13"/>
  <c r="E700" i="13"/>
  <c r="L700" i="13" s="1"/>
  <c r="K700" i="13" l="1"/>
  <c r="AF698" i="7"/>
  <c r="E699" i="7"/>
  <c r="B711" i="5"/>
  <c r="C709" i="5"/>
  <c r="D709" i="5" s="1"/>
  <c r="H710" i="5"/>
  <c r="I707" i="5"/>
  <c r="J707" i="5" s="1"/>
  <c r="E708" i="5"/>
  <c r="G708" i="5"/>
  <c r="K708" i="5" s="1"/>
  <c r="F708" i="5"/>
  <c r="T699" i="28"/>
  <c r="S699" i="28"/>
  <c r="E700" i="28"/>
  <c r="R700" i="13"/>
  <c r="AE700" i="13"/>
  <c r="E701" i="13"/>
  <c r="L701" i="13" s="1"/>
  <c r="S699" i="13"/>
  <c r="T699" i="13"/>
  <c r="U699" i="13" s="1"/>
  <c r="AG699" i="13"/>
  <c r="AH699" i="13" s="1"/>
  <c r="AF699" i="13"/>
  <c r="E703" i="27"/>
  <c r="K701" i="13" l="1"/>
  <c r="AF699" i="7"/>
  <c r="E700" i="7"/>
  <c r="G709" i="5"/>
  <c r="K709" i="5" s="1"/>
  <c r="E709" i="5"/>
  <c r="F709" i="5"/>
  <c r="I708" i="5"/>
  <c r="J708" i="5" s="1"/>
  <c r="C710" i="5"/>
  <c r="D710" i="5" s="1"/>
  <c r="B712" i="5"/>
  <c r="H711" i="5"/>
  <c r="S700" i="28"/>
  <c r="E701" i="28"/>
  <c r="T700" i="28"/>
  <c r="AE701" i="13"/>
  <c r="R701" i="13"/>
  <c r="E702" i="13"/>
  <c r="L702" i="13" s="1"/>
  <c r="AF700" i="13"/>
  <c r="AG700" i="13"/>
  <c r="AH700" i="13" s="1"/>
  <c r="S700" i="13"/>
  <c r="T700" i="13"/>
  <c r="U700" i="13" s="1"/>
  <c r="E704" i="27"/>
  <c r="K702" i="13" l="1"/>
  <c r="AF700" i="7"/>
  <c r="E701" i="7"/>
  <c r="H712" i="5"/>
  <c r="B713" i="5"/>
  <c r="C711" i="5"/>
  <c r="D711" i="5" s="1"/>
  <c r="I709" i="5"/>
  <c r="J709" i="5" s="1"/>
  <c r="G710" i="5"/>
  <c r="K710" i="5" s="1"/>
  <c r="F710" i="5"/>
  <c r="E710" i="5"/>
  <c r="T701" i="28"/>
  <c r="S701" i="28"/>
  <c r="E702" i="28"/>
  <c r="E705" i="27"/>
  <c r="R702" i="13"/>
  <c r="AE702" i="13"/>
  <c r="E703" i="13"/>
  <c r="L703" i="13" s="1"/>
  <c r="S701" i="13"/>
  <c r="T701" i="13"/>
  <c r="U701" i="13" s="1"/>
  <c r="AF701" i="13"/>
  <c r="AG701" i="13"/>
  <c r="AH701" i="13" s="1"/>
  <c r="K703" i="13" l="1"/>
  <c r="AF701" i="7"/>
  <c r="E702" i="7"/>
  <c r="I710" i="5"/>
  <c r="J710" i="5" s="1"/>
  <c r="E711" i="5"/>
  <c r="G711" i="5"/>
  <c r="K711" i="5" s="1"/>
  <c r="F711" i="5"/>
  <c r="H713" i="5"/>
  <c r="B714" i="5"/>
  <c r="C712" i="5"/>
  <c r="D712" i="5" s="1"/>
  <c r="T702" i="28"/>
  <c r="E703" i="28"/>
  <c r="S702" i="28"/>
  <c r="E706" i="27"/>
  <c r="AG702" i="13"/>
  <c r="AH702" i="13" s="1"/>
  <c r="AF702" i="13"/>
  <c r="AE703" i="13"/>
  <c r="R703" i="13"/>
  <c r="E704" i="13"/>
  <c r="L704" i="13" s="1"/>
  <c r="T702" i="13"/>
  <c r="U702" i="13" s="1"/>
  <c r="S702" i="13"/>
  <c r="K704" i="13" l="1"/>
  <c r="AF702" i="7"/>
  <c r="E703" i="7"/>
  <c r="G712" i="5"/>
  <c r="K712" i="5" s="1"/>
  <c r="F712" i="5"/>
  <c r="E712" i="5"/>
  <c r="B715" i="5"/>
  <c r="H714" i="5"/>
  <c r="C713" i="5"/>
  <c r="D713" i="5" s="1"/>
  <c r="I711" i="5"/>
  <c r="J711" i="5" s="1"/>
  <c r="S703" i="28"/>
  <c r="T703" i="28"/>
  <c r="E704" i="28"/>
  <c r="AE704" i="13"/>
  <c r="R704" i="13"/>
  <c r="E705" i="13"/>
  <c r="L705" i="13" s="1"/>
  <c r="E707" i="27"/>
  <c r="T703" i="13"/>
  <c r="U703" i="13" s="1"/>
  <c r="S703" i="13"/>
  <c r="AG703" i="13"/>
  <c r="AH703" i="13" s="1"/>
  <c r="AF703" i="13"/>
  <c r="K705" i="13" l="1"/>
  <c r="AF703" i="7"/>
  <c r="E704" i="7"/>
  <c r="H715" i="5"/>
  <c r="C714" i="5"/>
  <c r="D714" i="5" s="1"/>
  <c r="B716" i="5"/>
  <c r="I712" i="5"/>
  <c r="J712" i="5" s="1"/>
  <c r="E713" i="5"/>
  <c r="F713" i="5"/>
  <c r="G713" i="5"/>
  <c r="K713" i="5" s="1"/>
  <c r="E705" i="28"/>
  <c r="T704" i="28"/>
  <c r="S704" i="28"/>
  <c r="AE705" i="13"/>
  <c r="R705" i="13"/>
  <c r="E706" i="13"/>
  <c r="L706" i="13" s="1"/>
  <c r="T704" i="13"/>
  <c r="U704" i="13" s="1"/>
  <c r="S704" i="13"/>
  <c r="E708" i="27"/>
  <c r="AG704" i="13"/>
  <c r="AH704" i="13" s="1"/>
  <c r="AF704" i="13"/>
  <c r="K706" i="13" l="1"/>
  <c r="AF704" i="7"/>
  <c r="E705" i="7"/>
  <c r="H716" i="5"/>
  <c r="B717" i="5"/>
  <c r="C715" i="5"/>
  <c r="D715" i="5" s="1"/>
  <c r="F714" i="5"/>
  <c r="E714" i="5"/>
  <c r="G714" i="5"/>
  <c r="K714" i="5" s="1"/>
  <c r="I713" i="5"/>
  <c r="J713" i="5" s="1"/>
  <c r="T705" i="28"/>
  <c r="S705" i="28"/>
  <c r="E706" i="28"/>
  <c r="E709" i="27"/>
  <c r="S705" i="13"/>
  <c r="T705" i="13"/>
  <c r="U705" i="13" s="1"/>
  <c r="AE706" i="13"/>
  <c r="R706" i="13"/>
  <c r="E707" i="13"/>
  <c r="L707" i="13" s="1"/>
  <c r="AF705" i="13"/>
  <c r="AG705" i="13"/>
  <c r="AH705" i="13" s="1"/>
  <c r="K707" i="13" l="1"/>
  <c r="AF705" i="7"/>
  <c r="E706" i="7"/>
  <c r="E715" i="5"/>
  <c r="G715" i="5"/>
  <c r="K715" i="5" s="1"/>
  <c r="F715" i="5"/>
  <c r="C716" i="5"/>
  <c r="D716" i="5" s="1"/>
  <c r="H717" i="5"/>
  <c r="B718" i="5"/>
  <c r="I714" i="5"/>
  <c r="J714" i="5" s="1"/>
  <c r="T706" i="28"/>
  <c r="S706" i="28"/>
  <c r="E707" i="28"/>
  <c r="T706" i="13"/>
  <c r="U706" i="13" s="1"/>
  <c r="S706" i="13"/>
  <c r="AE707" i="13"/>
  <c r="R707" i="13"/>
  <c r="E708" i="13"/>
  <c r="L708" i="13" s="1"/>
  <c r="E710" i="27"/>
  <c r="AF706" i="13"/>
  <c r="AG706" i="13"/>
  <c r="AH706" i="13" s="1"/>
  <c r="K708" i="13" l="1"/>
  <c r="AF706" i="7"/>
  <c r="E707" i="7"/>
  <c r="F716" i="5"/>
  <c r="G716" i="5"/>
  <c r="K716" i="5" s="1"/>
  <c r="E716" i="5"/>
  <c r="H718" i="5"/>
  <c r="B719" i="5"/>
  <c r="C717" i="5"/>
  <c r="D717" i="5" s="1"/>
  <c r="I715" i="5"/>
  <c r="J715" i="5" s="1"/>
  <c r="S707" i="28"/>
  <c r="E708" i="28"/>
  <c r="T707" i="28"/>
  <c r="AG707" i="13"/>
  <c r="AH707" i="13" s="1"/>
  <c r="AF707" i="13"/>
  <c r="R708" i="13"/>
  <c r="AE708" i="13"/>
  <c r="E709" i="13"/>
  <c r="L709" i="13" s="1"/>
  <c r="E711" i="27"/>
  <c r="T707" i="13"/>
  <c r="U707" i="13" s="1"/>
  <c r="S707" i="13"/>
  <c r="K709" i="13" l="1"/>
  <c r="AF707" i="7"/>
  <c r="E708" i="7"/>
  <c r="C718" i="5"/>
  <c r="D718" i="5" s="1"/>
  <c r="B720" i="5"/>
  <c r="H719" i="5"/>
  <c r="I716" i="5"/>
  <c r="J716" i="5" s="1"/>
  <c r="G717" i="5"/>
  <c r="K717" i="5" s="1"/>
  <c r="F717" i="5"/>
  <c r="E717" i="5"/>
  <c r="S708" i="28"/>
  <c r="T708" i="28"/>
  <c r="E709" i="28"/>
  <c r="R709" i="13"/>
  <c r="AE709" i="13"/>
  <c r="E710" i="13"/>
  <c r="L710" i="13" s="1"/>
  <c r="S708" i="13"/>
  <c r="T708" i="13"/>
  <c r="U708" i="13" s="1"/>
  <c r="AG708" i="13"/>
  <c r="AH708" i="13" s="1"/>
  <c r="AF708" i="13"/>
  <c r="E712" i="27"/>
  <c r="K710" i="13" l="1"/>
  <c r="AF708" i="7"/>
  <c r="E709" i="7"/>
  <c r="I717" i="5"/>
  <c r="J717" i="5" s="1"/>
  <c r="C719" i="5"/>
  <c r="D719" i="5" s="1"/>
  <c r="B721" i="5"/>
  <c r="H720" i="5"/>
  <c r="E718" i="5"/>
  <c r="G718" i="5"/>
  <c r="K718" i="5" s="1"/>
  <c r="F718" i="5"/>
  <c r="T709" i="28"/>
  <c r="S709" i="28"/>
  <c r="E710" i="28"/>
  <c r="AF709" i="13"/>
  <c r="AG709" i="13"/>
  <c r="AH709" i="13" s="1"/>
  <c r="E713" i="27"/>
  <c r="S709" i="13"/>
  <c r="T709" i="13"/>
  <c r="U709" i="13" s="1"/>
  <c r="AE710" i="13"/>
  <c r="R710" i="13"/>
  <c r="E711" i="13"/>
  <c r="L711" i="13" s="1"/>
  <c r="K711" i="13" l="1"/>
  <c r="AF709" i="7"/>
  <c r="E710" i="7"/>
  <c r="H721" i="5"/>
  <c r="C720" i="5"/>
  <c r="D720" i="5" s="1"/>
  <c r="B722" i="5"/>
  <c r="F719" i="5"/>
  <c r="G719" i="5"/>
  <c r="K719" i="5" s="1"/>
  <c r="E719" i="5"/>
  <c r="I718" i="5"/>
  <c r="J718" i="5" s="1"/>
  <c r="S710" i="28"/>
  <c r="T710" i="28"/>
  <c r="E711" i="28"/>
  <c r="AE711" i="13"/>
  <c r="R711" i="13"/>
  <c r="E712" i="13"/>
  <c r="L712" i="13" s="1"/>
  <c r="E714" i="27"/>
  <c r="S710" i="13"/>
  <c r="T710" i="13"/>
  <c r="U710" i="13" s="1"/>
  <c r="AG710" i="13"/>
  <c r="AH710" i="13" s="1"/>
  <c r="AF710" i="13"/>
  <c r="K712" i="13" l="1"/>
  <c r="AF710" i="7"/>
  <c r="E711" i="7"/>
  <c r="H722" i="5"/>
  <c r="B723" i="5"/>
  <c r="C721" i="5"/>
  <c r="D721" i="5" s="1"/>
  <c r="I719" i="5"/>
  <c r="J719" i="5" s="1"/>
  <c r="F720" i="5"/>
  <c r="E720" i="5"/>
  <c r="G720" i="5"/>
  <c r="K720" i="5" s="1"/>
  <c r="T711" i="28"/>
  <c r="E712" i="28"/>
  <c r="S711" i="28"/>
  <c r="AF711" i="13"/>
  <c r="AG711" i="13"/>
  <c r="AH711" i="13" s="1"/>
  <c r="E715" i="27"/>
  <c r="AE712" i="13"/>
  <c r="R712" i="13"/>
  <c r="E713" i="13"/>
  <c r="L713" i="13" s="1"/>
  <c r="T711" i="13"/>
  <c r="U711" i="13" s="1"/>
  <c r="S711" i="13"/>
  <c r="K713" i="13" l="1"/>
  <c r="AF711" i="7"/>
  <c r="E712" i="7"/>
  <c r="G721" i="5"/>
  <c r="K721" i="5" s="1"/>
  <c r="F721" i="5"/>
  <c r="E721" i="5"/>
  <c r="I720" i="5"/>
  <c r="J720" i="5" s="1"/>
  <c r="H723" i="5"/>
  <c r="C722" i="5"/>
  <c r="D722" i="5" s="1"/>
  <c r="B724" i="5"/>
  <c r="T712" i="28"/>
  <c r="S712" i="28"/>
  <c r="E713" i="28"/>
  <c r="E716" i="27"/>
  <c r="AG712" i="13"/>
  <c r="AH712" i="13" s="1"/>
  <c r="AF712" i="13"/>
  <c r="T712" i="13"/>
  <c r="U712" i="13" s="1"/>
  <c r="S712" i="13"/>
  <c r="R713" i="13"/>
  <c r="AE713" i="13"/>
  <c r="E714" i="13"/>
  <c r="L714" i="13" s="1"/>
  <c r="K714" i="13" l="1"/>
  <c r="AF712" i="7"/>
  <c r="E713" i="7"/>
  <c r="B725" i="5"/>
  <c r="H724" i="5"/>
  <c r="C723" i="5"/>
  <c r="D723" i="5" s="1"/>
  <c r="I721" i="5"/>
  <c r="J721" i="5" s="1"/>
  <c r="G722" i="5"/>
  <c r="K722" i="5" s="1"/>
  <c r="F722" i="5"/>
  <c r="E722" i="5"/>
  <c r="S713" i="28"/>
  <c r="T713" i="28"/>
  <c r="E714" i="28"/>
  <c r="AG713" i="13"/>
  <c r="AH713" i="13" s="1"/>
  <c r="AF713" i="13"/>
  <c r="R714" i="13"/>
  <c r="AE714" i="13"/>
  <c r="E715" i="13"/>
  <c r="L715" i="13" s="1"/>
  <c r="S713" i="13"/>
  <c r="T713" i="13"/>
  <c r="U713" i="13" s="1"/>
  <c r="E717" i="27"/>
  <c r="K715" i="13" l="1"/>
  <c r="AF713" i="7"/>
  <c r="E714" i="7"/>
  <c r="I722" i="5"/>
  <c r="J722" i="5" s="1"/>
  <c r="F723" i="5"/>
  <c r="G723" i="5"/>
  <c r="K723" i="5" s="1"/>
  <c r="E723" i="5"/>
  <c r="C724" i="5"/>
  <c r="D724" i="5" s="1"/>
  <c r="H725" i="5"/>
  <c r="B726" i="5"/>
  <c r="S714" i="28"/>
  <c r="E715" i="28"/>
  <c r="T714" i="28"/>
  <c r="T714" i="13"/>
  <c r="U714" i="13" s="1"/>
  <c r="S714" i="13"/>
  <c r="R715" i="13"/>
  <c r="AE715" i="13"/>
  <c r="E716" i="13"/>
  <c r="L716" i="13" s="1"/>
  <c r="AF714" i="13"/>
  <c r="AG714" i="13"/>
  <c r="AH714" i="13" s="1"/>
  <c r="E718" i="27"/>
  <c r="K716" i="13" l="1"/>
  <c r="AF714" i="7"/>
  <c r="E715" i="7"/>
  <c r="I723" i="5"/>
  <c r="J723" i="5" s="1"/>
  <c r="C725" i="5"/>
  <c r="D725" i="5" s="1"/>
  <c r="H726" i="5"/>
  <c r="B727" i="5"/>
  <c r="F724" i="5"/>
  <c r="E724" i="5"/>
  <c r="G724" i="5"/>
  <c r="K724" i="5" s="1"/>
  <c r="S715" i="28"/>
  <c r="T715" i="28"/>
  <c r="E716" i="28"/>
  <c r="T715" i="13"/>
  <c r="U715" i="13" s="1"/>
  <c r="S715" i="13"/>
  <c r="E719" i="27"/>
  <c r="AE716" i="13"/>
  <c r="R716" i="13"/>
  <c r="E717" i="13"/>
  <c r="L717" i="13" s="1"/>
  <c r="AG715" i="13"/>
  <c r="AH715" i="13" s="1"/>
  <c r="AF715" i="13"/>
  <c r="K717" i="13" l="1"/>
  <c r="AF715" i="7"/>
  <c r="E716" i="7"/>
  <c r="H727" i="5"/>
  <c r="B728" i="5"/>
  <c r="C726" i="5"/>
  <c r="D726" i="5" s="1"/>
  <c r="I724" i="5"/>
  <c r="J724" i="5" s="1"/>
  <c r="G725" i="5"/>
  <c r="K725" i="5" s="1"/>
  <c r="F725" i="5"/>
  <c r="E725" i="5"/>
  <c r="T716" i="28"/>
  <c r="E717" i="28"/>
  <c r="S716" i="28"/>
  <c r="T716" i="13"/>
  <c r="U716" i="13" s="1"/>
  <c r="S716" i="13"/>
  <c r="E720" i="27"/>
  <c r="R717" i="13"/>
  <c r="AE717" i="13"/>
  <c r="E718" i="13"/>
  <c r="L718" i="13" s="1"/>
  <c r="AG716" i="13"/>
  <c r="AH716" i="13" s="1"/>
  <c r="AF716" i="13"/>
  <c r="K718" i="13" l="1"/>
  <c r="AF716" i="7"/>
  <c r="E717" i="7"/>
  <c r="I725" i="5"/>
  <c r="J725" i="5" s="1"/>
  <c r="G726" i="5"/>
  <c r="K726" i="5" s="1"/>
  <c r="E726" i="5"/>
  <c r="F726" i="5"/>
  <c r="B729" i="5"/>
  <c r="C727" i="5"/>
  <c r="D727" i="5" s="1"/>
  <c r="H728" i="5"/>
  <c r="T717" i="28"/>
  <c r="E718" i="28"/>
  <c r="S717" i="28"/>
  <c r="AE718" i="13"/>
  <c r="R718" i="13"/>
  <c r="E719" i="13"/>
  <c r="L719" i="13" s="1"/>
  <c r="AG717" i="13"/>
  <c r="AH717" i="13" s="1"/>
  <c r="AF717" i="13"/>
  <c r="T717" i="13"/>
  <c r="U717" i="13" s="1"/>
  <c r="S717" i="13"/>
  <c r="E721" i="27"/>
  <c r="K719" i="13" l="1"/>
  <c r="AF717" i="7"/>
  <c r="E718" i="7"/>
  <c r="I726" i="5"/>
  <c r="J726" i="5" s="1"/>
  <c r="F727" i="5"/>
  <c r="E727" i="5"/>
  <c r="G727" i="5"/>
  <c r="K727" i="5" s="1"/>
  <c r="H729" i="5"/>
  <c r="C728" i="5"/>
  <c r="D728" i="5" s="1"/>
  <c r="B730" i="5"/>
  <c r="S718" i="28"/>
  <c r="T718" i="28"/>
  <c r="E719" i="28"/>
  <c r="E722" i="27"/>
  <c r="AF718" i="13"/>
  <c r="AG718" i="13"/>
  <c r="AH718" i="13" s="1"/>
  <c r="AE719" i="13"/>
  <c r="R719" i="13"/>
  <c r="E720" i="13"/>
  <c r="L720" i="13" s="1"/>
  <c r="T718" i="13"/>
  <c r="U718" i="13" s="1"/>
  <c r="S718" i="13"/>
  <c r="K720" i="13" l="1"/>
  <c r="AF718" i="7"/>
  <c r="E719" i="7"/>
  <c r="F728" i="5"/>
  <c r="E728" i="5"/>
  <c r="G728" i="5"/>
  <c r="K728" i="5" s="1"/>
  <c r="H730" i="5"/>
  <c r="B731" i="5"/>
  <c r="C729" i="5"/>
  <c r="D729" i="5" s="1"/>
  <c r="I727" i="5"/>
  <c r="J727" i="5" s="1"/>
  <c r="S719" i="28"/>
  <c r="T719" i="28"/>
  <c r="E720" i="28"/>
  <c r="E723" i="27"/>
  <c r="T719" i="13"/>
  <c r="U719" i="13" s="1"/>
  <c r="S719" i="13"/>
  <c r="R720" i="13"/>
  <c r="AE720" i="13"/>
  <c r="E721" i="13"/>
  <c r="L721" i="13" s="1"/>
  <c r="AG719" i="13"/>
  <c r="AH719" i="13" s="1"/>
  <c r="AF719" i="13"/>
  <c r="K721" i="13" l="1"/>
  <c r="AF719" i="7"/>
  <c r="E720" i="7"/>
  <c r="B732" i="5"/>
  <c r="C730" i="5"/>
  <c r="D730" i="5" s="1"/>
  <c r="H731" i="5"/>
  <c r="G729" i="5"/>
  <c r="K729" i="5" s="1"/>
  <c r="E729" i="5"/>
  <c r="F729" i="5"/>
  <c r="I728" i="5"/>
  <c r="J728" i="5" s="1"/>
  <c r="S720" i="28"/>
  <c r="T720" i="28"/>
  <c r="E721" i="28"/>
  <c r="AE721" i="13"/>
  <c r="R721" i="13"/>
  <c r="E722" i="13"/>
  <c r="L722" i="13" s="1"/>
  <c r="AG720" i="13"/>
  <c r="AH720" i="13" s="1"/>
  <c r="AF720" i="13"/>
  <c r="S720" i="13"/>
  <c r="T720" i="13"/>
  <c r="U720" i="13" s="1"/>
  <c r="E724" i="27"/>
  <c r="K722" i="13" l="1"/>
  <c r="AF720" i="7"/>
  <c r="E721" i="7"/>
  <c r="G730" i="5"/>
  <c r="K730" i="5" s="1"/>
  <c r="E730" i="5"/>
  <c r="F730" i="5"/>
  <c r="I729" i="5"/>
  <c r="J729" i="5" s="1"/>
  <c r="B733" i="5"/>
  <c r="C731" i="5"/>
  <c r="D731" i="5" s="1"/>
  <c r="H732" i="5"/>
  <c r="T721" i="28"/>
  <c r="S721" i="28"/>
  <c r="E722" i="28"/>
  <c r="R722" i="13"/>
  <c r="E723" i="13"/>
  <c r="L723" i="13" s="1"/>
  <c r="AE722" i="13"/>
  <c r="T721" i="13"/>
  <c r="U721" i="13" s="1"/>
  <c r="S721" i="13"/>
  <c r="E725" i="27"/>
  <c r="AG721" i="13"/>
  <c r="AH721" i="13" s="1"/>
  <c r="AF721" i="13"/>
  <c r="K723" i="13" l="1"/>
  <c r="AF721" i="7"/>
  <c r="E722" i="7"/>
  <c r="C732" i="5"/>
  <c r="D732" i="5" s="1"/>
  <c r="B734" i="5"/>
  <c r="H733" i="5"/>
  <c r="G731" i="5"/>
  <c r="K731" i="5" s="1"/>
  <c r="F731" i="5"/>
  <c r="E731" i="5"/>
  <c r="I730" i="5"/>
  <c r="J730" i="5" s="1"/>
  <c r="T722" i="28"/>
  <c r="S722" i="28"/>
  <c r="E723" i="28"/>
  <c r="E726" i="27"/>
  <c r="AE723" i="13"/>
  <c r="R723" i="13"/>
  <c r="E724" i="13"/>
  <c r="L724" i="13" s="1"/>
  <c r="AG722" i="13"/>
  <c r="AH722" i="13" s="1"/>
  <c r="AF722" i="13"/>
  <c r="T722" i="13"/>
  <c r="U722" i="13" s="1"/>
  <c r="S722" i="13"/>
  <c r="K724" i="13" l="1"/>
  <c r="AF722" i="7"/>
  <c r="E723" i="7"/>
  <c r="I731" i="5"/>
  <c r="J731" i="5" s="1"/>
  <c r="B735" i="5"/>
  <c r="C733" i="5"/>
  <c r="D733" i="5" s="1"/>
  <c r="H734" i="5"/>
  <c r="G732" i="5"/>
  <c r="K732" i="5" s="1"/>
  <c r="E732" i="5"/>
  <c r="F732" i="5"/>
  <c r="T723" i="28"/>
  <c r="S723" i="28"/>
  <c r="E724" i="28"/>
  <c r="AF723" i="13"/>
  <c r="AG723" i="13"/>
  <c r="AH723" i="13" s="1"/>
  <c r="AE724" i="13"/>
  <c r="R724" i="13"/>
  <c r="E725" i="13"/>
  <c r="L725" i="13" s="1"/>
  <c r="T723" i="13"/>
  <c r="U723" i="13" s="1"/>
  <c r="S723" i="13"/>
  <c r="E727" i="27"/>
  <c r="K725" i="13" l="1"/>
  <c r="AF723" i="7"/>
  <c r="E724" i="7"/>
  <c r="F733" i="5"/>
  <c r="E733" i="5"/>
  <c r="G733" i="5"/>
  <c r="K733" i="5" s="1"/>
  <c r="I732" i="5"/>
  <c r="J732" i="5" s="1"/>
  <c r="B736" i="5"/>
  <c r="H735" i="5"/>
  <c r="C734" i="5"/>
  <c r="D734" i="5" s="1"/>
  <c r="T724" i="28"/>
  <c r="E725" i="28"/>
  <c r="S724" i="28"/>
  <c r="R725" i="13"/>
  <c r="AE725" i="13"/>
  <c r="E726" i="13"/>
  <c r="L726" i="13" s="1"/>
  <c r="T724" i="13"/>
  <c r="U724" i="13" s="1"/>
  <c r="S724" i="13"/>
  <c r="E728" i="27"/>
  <c r="AF724" i="13"/>
  <c r="AG724" i="13"/>
  <c r="AH724" i="13" s="1"/>
  <c r="K726" i="13" l="1"/>
  <c r="AF724" i="7"/>
  <c r="E725" i="7"/>
  <c r="F734" i="5"/>
  <c r="G734" i="5"/>
  <c r="K734" i="5" s="1"/>
  <c r="E734" i="5"/>
  <c r="I733" i="5"/>
  <c r="J733" i="5" s="1"/>
  <c r="C735" i="5"/>
  <c r="D735" i="5" s="1"/>
  <c r="B737" i="5"/>
  <c r="H736" i="5"/>
  <c r="E726" i="28"/>
  <c r="S725" i="28"/>
  <c r="T725" i="28"/>
  <c r="AG725" i="13"/>
  <c r="AH725" i="13" s="1"/>
  <c r="AF725" i="13"/>
  <c r="E729" i="27"/>
  <c r="T725" i="13"/>
  <c r="U725" i="13" s="1"/>
  <c r="S725" i="13"/>
  <c r="R726" i="13"/>
  <c r="AE726" i="13"/>
  <c r="E727" i="13"/>
  <c r="L727" i="13" s="1"/>
  <c r="K727" i="13" l="1"/>
  <c r="AF725" i="7"/>
  <c r="E726" i="7"/>
  <c r="F735" i="5"/>
  <c r="G735" i="5"/>
  <c r="K735" i="5" s="1"/>
  <c r="E735" i="5"/>
  <c r="I734" i="5"/>
  <c r="J734" i="5" s="1"/>
  <c r="H737" i="5"/>
  <c r="C736" i="5"/>
  <c r="D736" i="5" s="1"/>
  <c r="B738" i="5"/>
  <c r="S726" i="28"/>
  <c r="T726" i="28"/>
  <c r="E727" i="28"/>
  <c r="S726" i="13"/>
  <c r="T726" i="13"/>
  <c r="U726" i="13" s="1"/>
  <c r="AE727" i="13"/>
  <c r="R727" i="13"/>
  <c r="E728" i="13"/>
  <c r="L728" i="13" s="1"/>
  <c r="AF726" i="13"/>
  <c r="AG726" i="13"/>
  <c r="AH726" i="13" s="1"/>
  <c r="E730" i="27"/>
  <c r="K728" i="13" l="1"/>
  <c r="AF726" i="7"/>
  <c r="E727" i="7"/>
  <c r="B739" i="5"/>
  <c r="C737" i="5"/>
  <c r="D737" i="5" s="1"/>
  <c r="H738" i="5"/>
  <c r="I735" i="5"/>
  <c r="J735" i="5" s="1"/>
  <c r="G736" i="5"/>
  <c r="K736" i="5" s="1"/>
  <c r="E736" i="5"/>
  <c r="F736" i="5"/>
  <c r="S727" i="28"/>
  <c r="E728" i="28"/>
  <c r="T727" i="28"/>
  <c r="AE728" i="13"/>
  <c r="R728" i="13"/>
  <c r="E729" i="13"/>
  <c r="L729" i="13" s="1"/>
  <c r="E731" i="27"/>
  <c r="S727" i="13"/>
  <c r="T727" i="13"/>
  <c r="U727" i="13" s="1"/>
  <c r="AF727" i="13"/>
  <c r="AG727" i="13"/>
  <c r="AH727" i="13" s="1"/>
  <c r="K729" i="13" l="1"/>
  <c r="AF727" i="7"/>
  <c r="E728" i="7"/>
  <c r="I736" i="5"/>
  <c r="J736" i="5" s="1"/>
  <c r="G737" i="5"/>
  <c r="K737" i="5" s="1"/>
  <c r="E737" i="5"/>
  <c r="F737" i="5"/>
  <c r="B740" i="5"/>
  <c r="C738" i="5"/>
  <c r="D738" i="5" s="1"/>
  <c r="H739" i="5"/>
  <c r="T728" i="28"/>
  <c r="E729" i="28"/>
  <c r="S728" i="28"/>
  <c r="AF728" i="13"/>
  <c r="AG728" i="13"/>
  <c r="AH728" i="13" s="1"/>
  <c r="E732" i="27"/>
  <c r="AE729" i="13"/>
  <c r="R729" i="13"/>
  <c r="E730" i="13"/>
  <c r="L730" i="13" s="1"/>
  <c r="T728" i="13"/>
  <c r="U728" i="13" s="1"/>
  <c r="S728" i="13"/>
  <c r="K730" i="13" l="1"/>
  <c r="AF728" i="7"/>
  <c r="E729" i="7"/>
  <c r="I737" i="5"/>
  <c r="J737" i="5" s="1"/>
  <c r="E738" i="5"/>
  <c r="G738" i="5"/>
  <c r="K738" i="5" s="1"/>
  <c r="F738" i="5"/>
  <c r="B741" i="5"/>
  <c r="C739" i="5"/>
  <c r="D739" i="5" s="1"/>
  <c r="H740" i="5"/>
  <c r="S729" i="28"/>
  <c r="T729" i="28"/>
  <c r="E730" i="28"/>
  <c r="AG729" i="13"/>
  <c r="AH729" i="13" s="1"/>
  <c r="AF729" i="13"/>
  <c r="R730" i="13"/>
  <c r="AE730" i="13"/>
  <c r="E731" i="13"/>
  <c r="L731" i="13" s="1"/>
  <c r="E733" i="27"/>
  <c r="S729" i="13"/>
  <c r="T729" i="13"/>
  <c r="U729" i="13" s="1"/>
  <c r="K731" i="13" l="1"/>
  <c r="AF729" i="7"/>
  <c r="E730" i="7"/>
  <c r="G739" i="5"/>
  <c r="K739" i="5" s="1"/>
  <c r="E739" i="5"/>
  <c r="F739" i="5"/>
  <c r="I738" i="5"/>
  <c r="J738" i="5" s="1"/>
  <c r="H741" i="5"/>
  <c r="C740" i="5"/>
  <c r="D740" i="5" s="1"/>
  <c r="B742" i="5"/>
  <c r="E731" i="28"/>
  <c r="S730" i="28"/>
  <c r="T730" i="28"/>
  <c r="E734" i="27"/>
  <c r="AF730" i="13"/>
  <c r="AG730" i="13"/>
  <c r="AH730" i="13" s="1"/>
  <c r="R731" i="13"/>
  <c r="AE731" i="13"/>
  <c r="E732" i="13"/>
  <c r="L732" i="13" s="1"/>
  <c r="S730" i="13"/>
  <c r="T730" i="13"/>
  <c r="U730" i="13" s="1"/>
  <c r="K732" i="13" l="1"/>
  <c r="AF730" i="7"/>
  <c r="E731" i="7"/>
  <c r="C741" i="5"/>
  <c r="D741" i="5" s="1"/>
  <c r="H742" i="5"/>
  <c r="B743" i="5"/>
  <c r="E740" i="5"/>
  <c r="F740" i="5"/>
  <c r="G740" i="5"/>
  <c r="K740" i="5" s="1"/>
  <c r="I739" i="5"/>
  <c r="J739" i="5" s="1"/>
  <c r="E732" i="28"/>
  <c r="S731" i="28"/>
  <c r="T731" i="28"/>
  <c r="S731" i="13"/>
  <c r="T731" i="13"/>
  <c r="U731" i="13" s="1"/>
  <c r="AE732" i="13"/>
  <c r="R732" i="13"/>
  <c r="E733" i="13"/>
  <c r="L733" i="13" s="1"/>
  <c r="E735" i="27"/>
  <c r="AF731" i="13"/>
  <c r="AG731" i="13"/>
  <c r="AH731" i="13" s="1"/>
  <c r="K733" i="13" l="1"/>
  <c r="AF731" i="7"/>
  <c r="E732" i="7"/>
  <c r="I740" i="5"/>
  <c r="J740" i="5" s="1"/>
  <c r="B744" i="5"/>
  <c r="C742" i="5"/>
  <c r="D742" i="5" s="1"/>
  <c r="H743" i="5"/>
  <c r="G741" i="5"/>
  <c r="K741" i="5" s="1"/>
  <c r="E741" i="5"/>
  <c r="F741" i="5"/>
  <c r="E733" i="28"/>
  <c r="T732" i="28"/>
  <c r="S732" i="28"/>
  <c r="R733" i="13"/>
  <c r="AE733" i="13"/>
  <c r="E734" i="13"/>
  <c r="L734" i="13" s="1"/>
  <c r="T732" i="13"/>
  <c r="U732" i="13" s="1"/>
  <c r="S732" i="13"/>
  <c r="AG732" i="13"/>
  <c r="AH732" i="13" s="1"/>
  <c r="AF732" i="13"/>
  <c r="E736" i="27"/>
  <c r="K734" i="13" l="1"/>
  <c r="AF732" i="7"/>
  <c r="E733" i="7"/>
  <c r="G742" i="5"/>
  <c r="K742" i="5" s="1"/>
  <c r="F742" i="5"/>
  <c r="E742" i="5"/>
  <c r="I741" i="5"/>
  <c r="J741" i="5" s="1"/>
  <c r="B745" i="5"/>
  <c r="H744" i="5"/>
  <c r="C743" i="5"/>
  <c r="D743" i="5" s="1"/>
  <c r="T733" i="28"/>
  <c r="S733" i="28"/>
  <c r="E734" i="28"/>
  <c r="AF733" i="13"/>
  <c r="AG733" i="13"/>
  <c r="AH733" i="13" s="1"/>
  <c r="S733" i="13"/>
  <c r="T733" i="13"/>
  <c r="U733" i="13" s="1"/>
  <c r="E737" i="27"/>
  <c r="R734" i="13"/>
  <c r="AE734" i="13"/>
  <c r="E735" i="13"/>
  <c r="L735" i="13" s="1"/>
  <c r="K735" i="13" l="1"/>
  <c r="AF733" i="7"/>
  <c r="E734" i="7"/>
  <c r="F743" i="5"/>
  <c r="E743" i="5"/>
  <c r="G743" i="5"/>
  <c r="K743" i="5" s="1"/>
  <c r="I742" i="5"/>
  <c r="J742" i="5" s="1"/>
  <c r="H745" i="5"/>
  <c r="B746" i="5"/>
  <c r="C744" i="5"/>
  <c r="D744" i="5" s="1"/>
  <c r="S734" i="28"/>
  <c r="E735" i="28"/>
  <c r="T734" i="28"/>
  <c r="S734" i="13"/>
  <c r="T734" i="13"/>
  <c r="U734" i="13" s="1"/>
  <c r="E738" i="27"/>
  <c r="AE735" i="13"/>
  <c r="E736" i="13"/>
  <c r="L736" i="13" s="1"/>
  <c r="R735" i="13"/>
  <c r="AF734" i="13"/>
  <c r="AG734" i="13"/>
  <c r="AH734" i="13" s="1"/>
  <c r="K736" i="13" l="1"/>
  <c r="AF734" i="7"/>
  <c r="E735" i="7"/>
  <c r="G744" i="5"/>
  <c r="K744" i="5" s="1"/>
  <c r="E744" i="5"/>
  <c r="F744" i="5"/>
  <c r="H746" i="5"/>
  <c r="B747" i="5"/>
  <c r="C745" i="5"/>
  <c r="D745" i="5" s="1"/>
  <c r="I743" i="5"/>
  <c r="J743" i="5" s="1"/>
  <c r="T735" i="28"/>
  <c r="S735" i="28"/>
  <c r="E736" i="28"/>
  <c r="T735" i="13"/>
  <c r="U735" i="13" s="1"/>
  <c r="S735" i="13"/>
  <c r="R736" i="13"/>
  <c r="AE736" i="13"/>
  <c r="E737" i="13"/>
  <c r="L737" i="13" s="1"/>
  <c r="AF735" i="13"/>
  <c r="AG735" i="13"/>
  <c r="AH735" i="13" s="1"/>
  <c r="E739" i="27"/>
  <c r="K737" i="13" l="1"/>
  <c r="AF735" i="7"/>
  <c r="E736" i="7"/>
  <c r="E745" i="5"/>
  <c r="G745" i="5"/>
  <c r="K745" i="5" s="1"/>
  <c r="F745" i="5"/>
  <c r="I744" i="5"/>
  <c r="J744" i="5" s="1"/>
  <c r="B748" i="5"/>
  <c r="C746" i="5"/>
  <c r="D746" i="5" s="1"/>
  <c r="H747" i="5"/>
  <c r="S736" i="28"/>
  <c r="E737" i="28"/>
  <c r="T736" i="28"/>
  <c r="AF736" i="13"/>
  <c r="AG736" i="13"/>
  <c r="AH736" i="13" s="1"/>
  <c r="E740" i="27"/>
  <c r="AE737" i="13"/>
  <c r="R737" i="13"/>
  <c r="E738" i="13"/>
  <c r="L738" i="13" s="1"/>
  <c r="S736" i="13"/>
  <c r="T736" i="13"/>
  <c r="U736" i="13" s="1"/>
  <c r="K738" i="13" l="1"/>
  <c r="AF736" i="7"/>
  <c r="E737" i="7"/>
  <c r="G746" i="5"/>
  <c r="K746" i="5" s="1"/>
  <c r="E746" i="5"/>
  <c r="F746" i="5"/>
  <c r="H748" i="5"/>
  <c r="C747" i="5"/>
  <c r="D747" i="5" s="1"/>
  <c r="B749" i="5"/>
  <c r="I745" i="5"/>
  <c r="J745" i="5" s="1"/>
  <c r="E738" i="28"/>
  <c r="S737" i="28"/>
  <c r="T737" i="28"/>
  <c r="R738" i="13"/>
  <c r="AE738" i="13"/>
  <c r="E739" i="13"/>
  <c r="L739" i="13" s="1"/>
  <c r="T737" i="13"/>
  <c r="U737" i="13" s="1"/>
  <c r="S737" i="13"/>
  <c r="E741" i="27"/>
  <c r="AF737" i="13"/>
  <c r="AG737" i="13"/>
  <c r="AH737" i="13" s="1"/>
  <c r="K739" i="13" l="1"/>
  <c r="AF737" i="7"/>
  <c r="E738" i="7"/>
  <c r="B750" i="5"/>
  <c r="H749" i="5"/>
  <c r="C748" i="5"/>
  <c r="D748" i="5" s="1"/>
  <c r="I746" i="5"/>
  <c r="J746" i="5" s="1"/>
  <c r="E747" i="5"/>
  <c r="G747" i="5"/>
  <c r="K747" i="5" s="1"/>
  <c r="F747" i="5"/>
  <c r="S738" i="28"/>
  <c r="E739" i="28"/>
  <c r="T738" i="28"/>
  <c r="AG738" i="13"/>
  <c r="AH738" i="13" s="1"/>
  <c r="AF738" i="13"/>
  <c r="S738" i="13"/>
  <c r="T738" i="13"/>
  <c r="U738" i="13" s="1"/>
  <c r="E742" i="27"/>
  <c r="R739" i="13"/>
  <c r="AE739" i="13"/>
  <c r="E740" i="13"/>
  <c r="L740" i="13" s="1"/>
  <c r="K740" i="13" l="1"/>
  <c r="AF738" i="7"/>
  <c r="E739" i="7"/>
  <c r="F748" i="5"/>
  <c r="E748" i="5"/>
  <c r="G748" i="5"/>
  <c r="K748" i="5" s="1"/>
  <c r="I747" i="5"/>
  <c r="J747" i="5" s="1"/>
  <c r="H750" i="5"/>
  <c r="C749" i="5"/>
  <c r="D749" i="5" s="1"/>
  <c r="B751" i="5"/>
  <c r="E740" i="28"/>
  <c r="T739" i="28"/>
  <c r="S739" i="28"/>
  <c r="R740" i="13"/>
  <c r="AE740" i="13"/>
  <c r="E741" i="13"/>
  <c r="L741" i="13" s="1"/>
  <c r="AG739" i="13"/>
  <c r="AH739" i="13" s="1"/>
  <c r="AF739" i="13"/>
  <c r="T739" i="13"/>
  <c r="U739" i="13" s="1"/>
  <c r="S739" i="13"/>
  <c r="E743" i="27"/>
  <c r="K741" i="13" l="1"/>
  <c r="AF739" i="7"/>
  <c r="E740" i="7"/>
  <c r="C750" i="5"/>
  <c r="D750" i="5" s="1"/>
  <c r="H751" i="5"/>
  <c r="B752" i="5"/>
  <c r="F749" i="5"/>
  <c r="G749" i="5"/>
  <c r="K749" i="5" s="1"/>
  <c r="E749" i="5"/>
  <c r="I748" i="5"/>
  <c r="J748" i="5" s="1"/>
  <c r="E741" i="28"/>
  <c r="S740" i="28"/>
  <c r="T740" i="28"/>
  <c r="E744" i="27"/>
  <c r="AF740" i="13"/>
  <c r="AG740" i="13"/>
  <c r="AH740" i="13" s="1"/>
  <c r="AE741" i="13"/>
  <c r="R741" i="13"/>
  <c r="E742" i="13"/>
  <c r="L742" i="13" s="1"/>
  <c r="T740" i="13"/>
  <c r="U740" i="13" s="1"/>
  <c r="S740" i="13"/>
  <c r="K742" i="13" l="1"/>
  <c r="AF740" i="7"/>
  <c r="E741" i="7"/>
  <c r="C751" i="5"/>
  <c r="D751" i="5" s="1"/>
  <c r="H752" i="5"/>
  <c r="B753" i="5"/>
  <c r="I749" i="5"/>
  <c r="J749" i="5" s="1"/>
  <c r="G750" i="5"/>
  <c r="K750" i="5" s="1"/>
  <c r="F750" i="5"/>
  <c r="E750" i="5"/>
  <c r="T741" i="28"/>
  <c r="E742" i="28"/>
  <c r="S741" i="28"/>
  <c r="R742" i="13"/>
  <c r="AE742" i="13"/>
  <c r="E743" i="13"/>
  <c r="L743" i="13" s="1"/>
  <c r="E745" i="27"/>
  <c r="AF741" i="13"/>
  <c r="AG741" i="13"/>
  <c r="AH741" i="13" s="1"/>
  <c r="S741" i="13"/>
  <c r="T741" i="13"/>
  <c r="U741" i="13" s="1"/>
  <c r="K743" i="13" l="1"/>
  <c r="AF741" i="7"/>
  <c r="E742" i="7"/>
  <c r="I750" i="5"/>
  <c r="J750" i="5" s="1"/>
  <c r="C752" i="5"/>
  <c r="D752" i="5" s="1"/>
  <c r="B754" i="5"/>
  <c r="H753" i="5"/>
  <c r="E751" i="5"/>
  <c r="F751" i="5"/>
  <c r="G751" i="5"/>
  <c r="K751" i="5" s="1"/>
  <c r="S742" i="28"/>
  <c r="T742" i="28"/>
  <c r="E743" i="28"/>
  <c r="T742" i="13"/>
  <c r="U742" i="13" s="1"/>
  <c r="S742" i="13"/>
  <c r="R743" i="13"/>
  <c r="AE743" i="13"/>
  <c r="E744" i="13"/>
  <c r="L744" i="13" s="1"/>
  <c r="E746" i="27"/>
  <c r="AF742" i="13"/>
  <c r="AG742" i="13"/>
  <c r="AH742" i="13" s="1"/>
  <c r="K744" i="13" l="1"/>
  <c r="AF742" i="7"/>
  <c r="E743" i="7"/>
  <c r="H754" i="5"/>
  <c r="B755" i="5"/>
  <c r="C753" i="5"/>
  <c r="D753" i="5" s="1"/>
  <c r="G752" i="5"/>
  <c r="K752" i="5" s="1"/>
  <c r="E752" i="5"/>
  <c r="F752" i="5"/>
  <c r="I751" i="5"/>
  <c r="J751" i="5" s="1"/>
  <c r="T743" i="28"/>
  <c r="S743" i="28"/>
  <c r="E744" i="28"/>
  <c r="E747" i="27"/>
  <c r="AE744" i="13"/>
  <c r="R744" i="13"/>
  <c r="E745" i="13"/>
  <c r="L745" i="13" s="1"/>
  <c r="AG743" i="13"/>
  <c r="AH743" i="13" s="1"/>
  <c r="AF743" i="13"/>
  <c r="T743" i="13"/>
  <c r="U743" i="13" s="1"/>
  <c r="S743" i="13"/>
  <c r="K745" i="13" l="1"/>
  <c r="AF743" i="7"/>
  <c r="E744" i="7"/>
  <c r="G753" i="5"/>
  <c r="K753" i="5" s="1"/>
  <c r="F753" i="5"/>
  <c r="E753" i="5"/>
  <c r="C754" i="5"/>
  <c r="D754" i="5" s="1"/>
  <c r="H755" i="5"/>
  <c r="B756" i="5"/>
  <c r="I752" i="5"/>
  <c r="J752" i="5" s="1"/>
  <c r="E745" i="28"/>
  <c r="T744" i="28"/>
  <c r="S744" i="28"/>
  <c r="T744" i="13"/>
  <c r="U744" i="13" s="1"/>
  <c r="S744" i="13"/>
  <c r="E748" i="27"/>
  <c r="AF744" i="13"/>
  <c r="AG744" i="13"/>
  <c r="AH744" i="13" s="1"/>
  <c r="AE745" i="13"/>
  <c r="R745" i="13"/>
  <c r="E746" i="13"/>
  <c r="L746" i="13" s="1"/>
  <c r="K746" i="13" l="1"/>
  <c r="AF744" i="7"/>
  <c r="E745" i="7"/>
  <c r="F754" i="5"/>
  <c r="G754" i="5"/>
  <c r="K754" i="5" s="1"/>
  <c r="E754" i="5"/>
  <c r="I753" i="5"/>
  <c r="J753" i="5" s="1"/>
  <c r="C755" i="5"/>
  <c r="D755" i="5" s="1"/>
  <c r="B757" i="5"/>
  <c r="H756" i="5"/>
  <c r="S745" i="28"/>
  <c r="T745" i="28"/>
  <c r="E746" i="28"/>
  <c r="R746" i="13"/>
  <c r="E747" i="13"/>
  <c r="L747" i="13" s="1"/>
  <c r="AE746" i="13"/>
  <c r="S745" i="13"/>
  <c r="T745" i="13"/>
  <c r="U745" i="13" s="1"/>
  <c r="E749" i="27"/>
  <c r="AF745" i="13"/>
  <c r="AG745" i="13"/>
  <c r="AH745" i="13" s="1"/>
  <c r="K747" i="13" l="1"/>
  <c r="AF745" i="7"/>
  <c r="E746" i="7"/>
  <c r="F755" i="5"/>
  <c r="G755" i="5"/>
  <c r="K755" i="5" s="1"/>
  <c r="E755" i="5"/>
  <c r="I754" i="5"/>
  <c r="J754" i="5" s="1"/>
  <c r="H757" i="5"/>
  <c r="B758" i="5"/>
  <c r="C756" i="5"/>
  <c r="D756" i="5" s="1"/>
  <c r="T746" i="28"/>
  <c r="S746" i="28"/>
  <c r="E747" i="28"/>
  <c r="S746" i="13"/>
  <c r="T746" i="13"/>
  <c r="U746" i="13" s="1"/>
  <c r="AG746" i="13"/>
  <c r="AH746" i="13" s="1"/>
  <c r="AF746" i="13"/>
  <c r="E750" i="27"/>
  <c r="R747" i="13"/>
  <c r="AE747" i="13"/>
  <c r="E748" i="13"/>
  <c r="L748" i="13" s="1"/>
  <c r="K748" i="13" l="1"/>
  <c r="AF746" i="7"/>
  <c r="E747" i="7"/>
  <c r="F756" i="5"/>
  <c r="G756" i="5"/>
  <c r="K756" i="5" s="1"/>
  <c r="E756" i="5"/>
  <c r="I755" i="5"/>
  <c r="J755" i="5" s="1"/>
  <c r="B759" i="5"/>
  <c r="H758" i="5"/>
  <c r="C757" i="5"/>
  <c r="D757" i="5" s="1"/>
  <c r="E748" i="28"/>
  <c r="T747" i="28"/>
  <c r="S747" i="28"/>
  <c r="AE748" i="13"/>
  <c r="R748" i="13"/>
  <c r="E749" i="13"/>
  <c r="L749" i="13" s="1"/>
  <c r="AG747" i="13"/>
  <c r="AH747" i="13" s="1"/>
  <c r="AF747" i="13"/>
  <c r="T747" i="13"/>
  <c r="U747" i="13" s="1"/>
  <c r="S747" i="13"/>
  <c r="E751" i="27"/>
  <c r="K749" i="13" l="1"/>
  <c r="AF747" i="7"/>
  <c r="E748" i="7"/>
  <c r="F757" i="5"/>
  <c r="E757" i="5"/>
  <c r="G757" i="5"/>
  <c r="K757" i="5" s="1"/>
  <c r="I756" i="5"/>
  <c r="J756" i="5" s="1"/>
  <c r="C758" i="5"/>
  <c r="D758" i="5" s="1"/>
  <c r="B760" i="5"/>
  <c r="H759" i="5"/>
  <c r="S748" i="28"/>
  <c r="T748" i="28"/>
  <c r="E749" i="28"/>
  <c r="AE749" i="13"/>
  <c r="R749" i="13"/>
  <c r="E750" i="13"/>
  <c r="L750" i="13" s="1"/>
  <c r="T748" i="13"/>
  <c r="U748" i="13" s="1"/>
  <c r="S748" i="13"/>
  <c r="E752" i="27"/>
  <c r="AG748" i="13"/>
  <c r="AH748" i="13" s="1"/>
  <c r="AF748" i="13"/>
  <c r="K750" i="13" l="1"/>
  <c r="AF748" i="7"/>
  <c r="E749" i="7"/>
  <c r="F758" i="5"/>
  <c r="G758" i="5"/>
  <c r="K758" i="5" s="1"/>
  <c r="E758" i="5"/>
  <c r="B761" i="5"/>
  <c r="C759" i="5"/>
  <c r="D759" i="5" s="1"/>
  <c r="H760" i="5"/>
  <c r="I757" i="5"/>
  <c r="J757" i="5" s="1"/>
  <c r="T749" i="28"/>
  <c r="E750" i="28"/>
  <c r="S749" i="28"/>
  <c r="S749" i="13"/>
  <c r="T749" i="13"/>
  <c r="U749" i="13" s="1"/>
  <c r="AG749" i="13"/>
  <c r="AH749" i="13" s="1"/>
  <c r="AF749" i="13"/>
  <c r="E753" i="27"/>
  <c r="R750" i="13"/>
  <c r="E751" i="13"/>
  <c r="L751" i="13" s="1"/>
  <c r="AE750" i="13"/>
  <c r="K751" i="13" l="1"/>
  <c r="AF749" i="7"/>
  <c r="E750" i="7"/>
  <c r="C760" i="5"/>
  <c r="D760" i="5" s="1"/>
  <c r="B762" i="5"/>
  <c r="H761" i="5"/>
  <c r="I758" i="5"/>
  <c r="J758" i="5" s="1"/>
  <c r="E759" i="5"/>
  <c r="G759" i="5"/>
  <c r="K759" i="5" s="1"/>
  <c r="F759" i="5"/>
  <c r="T750" i="28"/>
  <c r="S750" i="28"/>
  <c r="E751" i="28"/>
  <c r="T750" i="13"/>
  <c r="U750" i="13" s="1"/>
  <c r="S750" i="13"/>
  <c r="E754" i="27"/>
  <c r="AF750" i="13"/>
  <c r="AG750" i="13"/>
  <c r="AH750" i="13" s="1"/>
  <c r="R751" i="13"/>
  <c r="AE751" i="13"/>
  <c r="E752" i="13"/>
  <c r="L752" i="13" s="1"/>
  <c r="K752" i="13" l="1"/>
  <c r="AF750" i="7"/>
  <c r="E751" i="7"/>
  <c r="H762" i="5"/>
  <c r="C761" i="5"/>
  <c r="D761" i="5" s="1"/>
  <c r="B763" i="5"/>
  <c r="I759" i="5"/>
  <c r="J759" i="5" s="1"/>
  <c r="G760" i="5"/>
  <c r="K760" i="5" s="1"/>
  <c r="E760" i="5"/>
  <c r="F760" i="5"/>
  <c r="E752" i="28"/>
  <c r="S751" i="28"/>
  <c r="T751" i="28"/>
  <c r="AE752" i="13"/>
  <c r="R752" i="13"/>
  <c r="E753" i="13"/>
  <c r="L753" i="13" s="1"/>
  <c r="AG751" i="13"/>
  <c r="AH751" i="13" s="1"/>
  <c r="AF751" i="13"/>
  <c r="T751" i="13"/>
  <c r="U751" i="13" s="1"/>
  <c r="S751" i="13"/>
  <c r="E755" i="27"/>
  <c r="K753" i="13" l="1"/>
  <c r="AF751" i="7"/>
  <c r="E752" i="7"/>
  <c r="B764" i="5"/>
  <c r="C762" i="5"/>
  <c r="D762" i="5" s="1"/>
  <c r="H763" i="5"/>
  <c r="I760" i="5"/>
  <c r="J760" i="5" s="1"/>
  <c r="G761" i="5"/>
  <c r="K761" i="5" s="1"/>
  <c r="F761" i="5"/>
  <c r="E761" i="5"/>
  <c r="S752" i="28"/>
  <c r="T752" i="28"/>
  <c r="E753" i="28"/>
  <c r="AG752" i="13"/>
  <c r="AH752" i="13" s="1"/>
  <c r="AF752" i="13"/>
  <c r="AE753" i="13"/>
  <c r="R753" i="13"/>
  <c r="E754" i="13"/>
  <c r="L754" i="13" s="1"/>
  <c r="E756" i="27"/>
  <c r="S752" i="13"/>
  <c r="T752" i="13"/>
  <c r="U752" i="13" s="1"/>
  <c r="K754" i="13" l="1"/>
  <c r="AF752" i="7"/>
  <c r="E753" i="7"/>
  <c r="I761" i="5"/>
  <c r="J761" i="5" s="1"/>
  <c r="F762" i="5"/>
  <c r="E762" i="5"/>
  <c r="G762" i="5"/>
  <c r="K762" i="5" s="1"/>
  <c r="B765" i="5"/>
  <c r="H764" i="5"/>
  <c r="C763" i="5"/>
  <c r="D763" i="5" s="1"/>
  <c r="T753" i="28"/>
  <c r="S753" i="28"/>
  <c r="E754" i="28"/>
  <c r="AF753" i="13"/>
  <c r="AG753" i="13"/>
  <c r="AH753" i="13" s="1"/>
  <c r="AE754" i="13"/>
  <c r="R754" i="13"/>
  <c r="E755" i="13"/>
  <c r="L755" i="13" s="1"/>
  <c r="E757" i="27"/>
  <c r="T753" i="13"/>
  <c r="U753" i="13" s="1"/>
  <c r="S753" i="13"/>
  <c r="K755" i="13" l="1"/>
  <c r="AF753" i="7"/>
  <c r="E754" i="7"/>
  <c r="G763" i="5"/>
  <c r="K763" i="5" s="1"/>
  <c r="F763" i="5"/>
  <c r="E763" i="5"/>
  <c r="I762" i="5"/>
  <c r="J762" i="5" s="1"/>
  <c r="H765" i="5"/>
  <c r="B766" i="5"/>
  <c r="C764" i="5"/>
  <c r="D764" i="5" s="1"/>
  <c r="T754" i="28"/>
  <c r="E755" i="28"/>
  <c r="S754" i="28"/>
  <c r="AE755" i="13"/>
  <c r="R755" i="13"/>
  <c r="E756" i="13"/>
  <c r="L756" i="13" s="1"/>
  <c r="AF754" i="13"/>
  <c r="AG754" i="13"/>
  <c r="AH754" i="13" s="1"/>
  <c r="E758" i="27"/>
  <c r="S754" i="13"/>
  <c r="T754" i="13"/>
  <c r="U754" i="13" s="1"/>
  <c r="K756" i="13" l="1"/>
  <c r="AF754" i="7"/>
  <c r="E755" i="7"/>
  <c r="C765" i="5"/>
  <c r="D765" i="5" s="1"/>
  <c r="B767" i="5"/>
  <c r="H766" i="5"/>
  <c r="E764" i="5"/>
  <c r="F764" i="5"/>
  <c r="G764" i="5"/>
  <c r="K764" i="5" s="1"/>
  <c r="I763" i="5"/>
  <c r="J763" i="5" s="1"/>
  <c r="S755" i="28"/>
  <c r="T755" i="28"/>
  <c r="E756" i="28"/>
  <c r="E759" i="27"/>
  <c r="AG755" i="13"/>
  <c r="AH755" i="13" s="1"/>
  <c r="AF755" i="13"/>
  <c r="AE756" i="13"/>
  <c r="R756" i="13"/>
  <c r="E757" i="13"/>
  <c r="L757" i="13" s="1"/>
  <c r="S755" i="13"/>
  <c r="T755" i="13"/>
  <c r="U755" i="13" s="1"/>
  <c r="K757" i="13" l="1"/>
  <c r="AF755" i="7"/>
  <c r="E756" i="7"/>
  <c r="I764" i="5"/>
  <c r="J764" i="5" s="1"/>
  <c r="C766" i="5"/>
  <c r="D766" i="5" s="1"/>
  <c r="H767" i="5"/>
  <c r="B768" i="5"/>
  <c r="G765" i="5"/>
  <c r="K765" i="5" s="1"/>
  <c r="E765" i="5"/>
  <c r="F765" i="5"/>
  <c r="S756" i="28"/>
  <c r="T756" i="28"/>
  <c r="E757" i="28"/>
  <c r="R757" i="13"/>
  <c r="AE757" i="13"/>
  <c r="E758" i="13"/>
  <c r="L758" i="13" s="1"/>
  <c r="T756" i="13"/>
  <c r="U756" i="13" s="1"/>
  <c r="S756" i="13"/>
  <c r="AG756" i="13"/>
  <c r="AH756" i="13" s="1"/>
  <c r="AF756" i="13"/>
  <c r="E760" i="27"/>
  <c r="K758" i="13" l="1"/>
  <c r="AF756" i="7"/>
  <c r="E757" i="7"/>
  <c r="C767" i="5"/>
  <c r="D767" i="5" s="1"/>
  <c r="H768" i="5"/>
  <c r="B769" i="5"/>
  <c r="I765" i="5"/>
  <c r="J765" i="5" s="1"/>
  <c r="F766" i="5"/>
  <c r="G766" i="5"/>
  <c r="K766" i="5" s="1"/>
  <c r="E766" i="5"/>
  <c r="T757" i="28"/>
  <c r="S757" i="28"/>
  <c r="E758" i="28"/>
  <c r="R758" i="13"/>
  <c r="AE758" i="13"/>
  <c r="E759" i="13"/>
  <c r="L759" i="13" s="1"/>
  <c r="S757" i="13"/>
  <c r="T757" i="13"/>
  <c r="U757" i="13" s="1"/>
  <c r="E761" i="27"/>
  <c r="AF757" i="13"/>
  <c r="AG757" i="13"/>
  <c r="AH757" i="13" s="1"/>
  <c r="K759" i="13" l="1"/>
  <c r="AF757" i="7"/>
  <c r="E758" i="7"/>
  <c r="I766" i="5"/>
  <c r="J766" i="5" s="1"/>
  <c r="B770" i="5"/>
  <c r="C768" i="5"/>
  <c r="D768" i="5" s="1"/>
  <c r="H769" i="5"/>
  <c r="E767" i="5"/>
  <c r="G767" i="5"/>
  <c r="K767" i="5" s="1"/>
  <c r="F767" i="5"/>
  <c r="E759" i="28"/>
  <c r="T758" i="28"/>
  <c r="S758" i="28"/>
  <c r="T758" i="13"/>
  <c r="U758" i="13" s="1"/>
  <c r="S758" i="13"/>
  <c r="E762" i="27"/>
  <c r="R759" i="13"/>
  <c r="AE759" i="13"/>
  <c r="E760" i="13"/>
  <c r="L760" i="13" s="1"/>
  <c r="AG758" i="13"/>
  <c r="AH758" i="13" s="1"/>
  <c r="AF758" i="13"/>
  <c r="K760" i="13" l="1"/>
  <c r="AF758" i="7"/>
  <c r="E759" i="7"/>
  <c r="E768" i="5"/>
  <c r="G768" i="5"/>
  <c r="K768" i="5" s="1"/>
  <c r="F768" i="5"/>
  <c r="B771" i="5"/>
  <c r="C769" i="5"/>
  <c r="D769" i="5" s="1"/>
  <c r="H770" i="5"/>
  <c r="I767" i="5"/>
  <c r="J767" i="5" s="1"/>
  <c r="S759" i="28"/>
  <c r="E760" i="28"/>
  <c r="T759" i="28"/>
  <c r="E763" i="27"/>
  <c r="R760" i="13"/>
  <c r="AE760" i="13"/>
  <c r="E761" i="13"/>
  <c r="L761" i="13" s="1"/>
  <c r="T759" i="13"/>
  <c r="U759" i="13" s="1"/>
  <c r="S759" i="13"/>
  <c r="AF759" i="13"/>
  <c r="AG759" i="13"/>
  <c r="AH759" i="13" s="1"/>
  <c r="K761" i="13" l="1"/>
  <c r="AF759" i="7"/>
  <c r="E760" i="7"/>
  <c r="H771" i="5"/>
  <c r="C770" i="5"/>
  <c r="D770" i="5" s="1"/>
  <c r="B772" i="5"/>
  <c r="G769" i="5"/>
  <c r="K769" i="5" s="1"/>
  <c r="E769" i="5"/>
  <c r="F769" i="5"/>
  <c r="I768" i="5"/>
  <c r="J768" i="5" s="1"/>
  <c r="T760" i="28"/>
  <c r="S760" i="28"/>
  <c r="E761" i="28"/>
  <c r="T760" i="13"/>
  <c r="U760" i="13" s="1"/>
  <c r="S760" i="13"/>
  <c r="AE761" i="13"/>
  <c r="R761" i="13"/>
  <c r="E762" i="13"/>
  <c r="L762" i="13" s="1"/>
  <c r="E764" i="27"/>
  <c r="AG760" i="13"/>
  <c r="AH760" i="13" s="1"/>
  <c r="AF760" i="13"/>
  <c r="K762" i="13" l="1"/>
  <c r="AF760" i="7"/>
  <c r="E761" i="7"/>
  <c r="C771" i="5"/>
  <c r="D771" i="5" s="1"/>
  <c r="B773" i="5"/>
  <c r="H772" i="5"/>
  <c r="G770" i="5"/>
  <c r="K770" i="5" s="1"/>
  <c r="F770" i="5"/>
  <c r="E770" i="5"/>
  <c r="I769" i="5"/>
  <c r="J769" i="5" s="1"/>
  <c r="T761" i="28"/>
  <c r="S761" i="28"/>
  <c r="E762" i="28"/>
  <c r="E765" i="27"/>
  <c r="AE762" i="13"/>
  <c r="E763" i="13"/>
  <c r="L763" i="13" s="1"/>
  <c r="R762" i="13"/>
  <c r="AG761" i="13"/>
  <c r="AH761" i="13" s="1"/>
  <c r="AF761" i="13"/>
  <c r="T761" i="13"/>
  <c r="U761" i="13" s="1"/>
  <c r="S761" i="13"/>
  <c r="K763" i="13" l="1"/>
  <c r="AF761" i="7"/>
  <c r="E762" i="7"/>
  <c r="I770" i="5"/>
  <c r="J770" i="5" s="1"/>
  <c r="B774" i="5"/>
  <c r="C772" i="5"/>
  <c r="D772" i="5" s="1"/>
  <c r="H773" i="5"/>
  <c r="E771" i="5"/>
  <c r="G771" i="5"/>
  <c r="K771" i="5" s="1"/>
  <c r="F771" i="5"/>
  <c r="S762" i="28"/>
  <c r="E763" i="28"/>
  <c r="T762" i="28"/>
  <c r="R763" i="13"/>
  <c r="AE763" i="13"/>
  <c r="E764" i="13"/>
  <c r="L764" i="13" s="1"/>
  <c r="AG762" i="13"/>
  <c r="AH762" i="13" s="1"/>
  <c r="AF762" i="13"/>
  <c r="E766" i="27"/>
  <c r="S762" i="13"/>
  <c r="T762" i="13"/>
  <c r="U762" i="13" s="1"/>
  <c r="K764" i="13" l="1"/>
  <c r="AF762" i="7"/>
  <c r="E763" i="7"/>
  <c r="E772" i="5"/>
  <c r="F772" i="5"/>
  <c r="G772" i="5"/>
  <c r="K772" i="5" s="1"/>
  <c r="B775" i="5"/>
  <c r="H774" i="5"/>
  <c r="C773" i="5"/>
  <c r="D773" i="5" s="1"/>
  <c r="I771" i="5"/>
  <c r="J771" i="5" s="1"/>
  <c r="E764" i="28"/>
  <c r="T763" i="28"/>
  <c r="S763" i="28"/>
  <c r="E767" i="27"/>
  <c r="T763" i="13"/>
  <c r="U763" i="13" s="1"/>
  <c r="S763" i="13"/>
  <c r="AE764" i="13"/>
  <c r="R764" i="13"/>
  <c r="E765" i="13"/>
  <c r="L765" i="13" s="1"/>
  <c r="AG763" i="13"/>
  <c r="AH763" i="13" s="1"/>
  <c r="AF763" i="13"/>
  <c r="K765" i="13" l="1"/>
  <c r="AF763" i="7"/>
  <c r="E764" i="7"/>
  <c r="G773" i="5"/>
  <c r="K773" i="5" s="1"/>
  <c r="E773" i="5"/>
  <c r="F773" i="5"/>
  <c r="H775" i="5"/>
  <c r="C774" i="5"/>
  <c r="D774" i="5" s="1"/>
  <c r="B776" i="5"/>
  <c r="I772" i="5"/>
  <c r="J772" i="5" s="1"/>
  <c r="S764" i="28"/>
  <c r="T764" i="28"/>
  <c r="E765" i="28"/>
  <c r="T764" i="13"/>
  <c r="U764" i="13" s="1"/>
  <c r="S764" i="13"/>
  <c r="AG764" i="13"/>
  <c r="AH764" i="13" s="1"/>
  <c r="AF764" i="13"/>
  <c r="E768" i="27"/>
  <c r="AE765" i="13"/>
  <c r="R765" i="13"/>
  <c r="E766" i="13"/>
  <c r="L766" i="13" s="1"/>
  <c r="K766" i="13" l="1"/>
  <c r="AF764" i="7"/>
  <c r="E765" i="7"/>
  <c r="H776" i="5"/>
  <c r="B777" i="5"/>
  <c r="C775" i="5"/>
  <c r="D775" i="5" s="1"/>
  <c r="I773" i="5"/>
  <c r="J773" i="5" s="1"/>
  <c r="E774" i="5"/>
  <c r="G774" i="5"/>
  <c r="K774" i="5" s="1"/>
  <c r="F774" i="5"/>
  <c r="T765" i="28"/>
  <c r="E766" i="28"/>
  <c r="S765" i="28"/>
  <c r="R766" i="13"/>
  <c r="AE766" i="13"/>
  <c r="E767" i="13"/>
  <c r="L767" i="13" s="1"/>
  <c r="T765" i="13"/>
  <c r="U765" i="13" s="1"/>
  <c r="S765" i="13"/>
  <c r="E769" i="27"/>
  <c r="AF765" i="13"/>
  <c r="AG765" i="13"/>
  <c r="AH765" i="13" s="1"/>
  <c r="K767" i="13" l="1"/>
  <c r="AF765" i="7"/>
  <c r="E766" i="7"/>
  <c r="F775" i="5"/>
  <c r="E775" i="5"/>
  <c r="G775" i="5"/>
  <c r="K775" i="5" s="1"/>
  <c r="H777" i="5"/>
  <c r="C776" i="5"/>
  <c r="D776" i="5" s="1"/>
  <c r="B778" i="5"/>
  <c r="I774" i="5"/>
  <c r="J774" i="5" s="1"/>
  <c r="S766" i="28"/>
  <c r="T766" i="28"/>
  <c r="E767" i="28"/>
  <c r="T766" i="13"/>
  <c r="U766" i="13" s="1"/>
  <c r="S766" i="13"/>
  <c r="E770" i="27"/>
  <c r="AE767" i="13"/>
  <c r="R767" i="13"/>
  <c r="E768" i="13"/>
  <c r="L768" i="13" s="1"/>
  <c r="AG766" i="13"/>
  <c r="AH766" i="13" s="1"/>
  <c r="AF766" i="13"/>
  <c r="K768" i="13" l="1"/>
  <c r="AF766" i="7"/>
  <c r="E767" i="7"/>
  <c r="G776" i="5"/>
  <c r="K776" i="5" s="1"/>
  <c r="F776" i="5"/>
  <c r="E776" i="5"/>
  <c r="H778" i="5"/>
  <c r="B779" i="5"/>
  <c r="C777" i="5"/>
  <c r="D777" i="5" s="1"/>
  <c r="I775" i="5"/>
  <c r="J775" i="5" s="1"/>
  <c r="T767" i="28"/>
  <c r="S767" i="28"/>
  <c r="E768" i="28"/>
  <c r="R768" i="13"/>
  <c r="AE768" i="13"/>
  <c r="E769" i="13"/>
  <c r="L769" i="13" s="1"/>
  <c r="T767" i="13"/>
  <c r="U767" i="13" s="1"/>
  <c r="S767" i="13"/>
  <c r="AG767" i="13"/>
  <c r="AH767" i="13" s="1"/>
  <c r="AF767" i="13"/>
  <c r="E771" i="27"/>
  <c r="K769" i="13" l="1"/>
  <c r="AF767" i="7"/>
  <c r="E768" i="7"/>
  <c r="I776" i="5"/>
  <c r="J776" i="5" s="1"/>
  <c r="G777" i="5"/>
  <c r="K777" i="5" s="1"/>
  <c r="E777" i="5"/>
  <c r="F777" i="5"/>
  <c r="H779" i="5"/>
  <c r="C778" i="5"/>
  <c r="D778" i="5" s="1"/>
  <c r="B780" i="5"/>
  <c r="S768" i="28"/>
  <c r="T768" i="28"/>
  <c r="E769" i="28"/>
  <c r="E772" i="27"/>
  <c r="AG768" i="13"/>
  <c r="AH768" i="13" s="1"/>
  <c r="AF768" i="13"/>
  <c r="S768" i="13"/>
  <c r="T768" i="13"/>
  <c r="U768" i="13" s="1"/>
  <c r="AE769" i="13"/>
  <c r="R769" i="13"/>
  <c r="E770" i="13"/>
  <c r="L770" i="13" s="1"/>
  <c r="K770" i="13" l="1"/>
  <c r="AF768" i="7"/>
  <c r="E769" i="7"/>
  <c r="B781" i="5"/>
  <c r="H780" i="5"/>
  <c r="C779" i="5"/>
  <c r="D779" i="5" s="1"/>
  <c r="I777" i="5"/>
  <c r="J777" i="5" s="1"/>
  <c r="F778" i="5"/>
  <c r="G778" i="5"/>
  <c r="K778" i="5" s="1"/>
  <c r="E778" i="5"/>
  <c r="T769" i="28"/>
  <c r="S769" i="28"/>
  <c r="E770" i="28"/>
  <c r="AE770" i="13"/>
  <c r="R770" i="13"/>
  <c r="E771" i="13"/>
  <c r="L771" i="13" s="1"/>
  <c r="AF769" i="13"/>
  <c r="AG769" i="13"/>
  <c r="AH769" i="13" s="1"/>
  <c r="T769" i="13"/>
  <c r="U769" i="13" s="1"/>
  <c r="S769" i="13"/>
  <c r="E773" i="27"/>
  <c r="K771" i="13" l="1"/>
  <c r="AF769" i="7"/>
  <c r="E770" i="7"/>
  <c r="I778" i="5"/>
  <c r="J778" i="5" s="1"/>
  <c r="G779" i="5"/>
  <c r="K779" i="5" s="1"/>
  <c r="F779" i="5"/>
  <c r="E779" i="5"/>
  <c r="B782" i="5"/>
  <c r="C780" i="5"/>
  <c r="D780" i="5" s="1"/>
  <c r="H781" i="5"/>
  <c r="E771" i="28"/>
  <c r="S770" i="28"/>
  <c r="T770" i="28"/>
  <c r="R771" i="13"/>
  <c r="AE771" i="13"/>
  <c r="E772" i="13"/>
  <c r="L772" i="13" s="1"/>
  <c r="AG770" i="13"/>
  <c r="AH770" i="13" s="1"/>
  <c r="AF770" i="13"/>
  <c r="E774" i="27"/>
  <c r="T770" i="13"/>
  <c r="U770" i="13" s="1"/>
  <c r="S770" i="13"/>
  <c r="K772" i="13" l="1"/>
  <c r="AF770" i="7"/>
  <c r="E771" i="7"/>
  <c r="I779" i="5"/>
  <c r="J779" i="5" s="1"/>
  <c r="E780" i="5"/>
  <c r="F780" i="5"/>
  <c r="G780" i="5"/>
  <c r="K780" i="5" s="1"/>
  <c r="C781" i="5"/>
  <c r="D781" i="5" s="1"/>
  <c r="H782" i="5"/>
  <c r="B783" i="5"/>
  <c r="E772" i="28"/>
  <c r="S771" i="28"/>
  <c r="T771" i="28"/>
  <c r="R772" i="13"/>
  <c r="AE772" i="13"/>
  <c r="E773" i="13"/>
  <c r="L773" i="13" s="1"/>
  <c r="T771" i="13"/>
  <c r="U771" i="13" s="1"/>
  <c r="S771" i="13"/>
  <c r="AG771" i="13"/>
  <c r="AH771" i="13" s="1"/>
  <c r="AF771" i="13"/>
  <c r="E775" i="27"/>
  <c r="K773" i="13" l="1"/>
  <c r="AF771" i="7"/>
  <c r="E772" i="7"/>
  <c r="B784" i="5"/>
  <c r="C782" i="5"/>
  <c r="D782" i="5" s="1"/>
  <c r="H783" i="5"/>
  <c r="I780" i="5"/>
  <c r="J780" i="5" s="1"/>
  <c r="E781" i="5"/>
  <c r="F781" i="5"/>
  <c r="G781" i="5"/>
  <c r="K781" i="5" s="1"/>
  <c r="E773" i="28"/>
  <c r="T772" i="28"/>
  <c r="S772" i="28"/>
  <c r="E776" i="27"/>
  <c r="R773" i="13"/>
  <c r="AE773" i="13"/>
  <c r="E774" i="13"/>
  <c r="L774" i="13" s="1"/>
  <c r="T772" i="13"/>
  <c r="U772" i="13" s="1"/>
  <c r="S772" i="13"/>
  <c r="AF772" i="13"/>
  <c r="AG772" i="13"/>
  <c r="AH772" i="13" s="1"/>
  <c r="K774" i="13" l="1"/>
  <c r="AF772" i="7"/>
  <c r="E773" i="7"/>
  <c r="G782" i="5"/>
  <c r="K782" i="5" s="1"/>
  <c r="E782" i="5"/>
  <c r="F782" i="5"/>
  <c r="I781" i="5"/>
  <c r="J781" i="5" s="1"/>
  <c r="B785" i="5"/>
  <c r="C783" i="5"/>
  <c r="D783" i="5" s="1"/>
  <c r="H784" i="5"/>
  <c r="T773" i="28"/>
  <c r="S773" i="28"/>
  <c r="E774" i="28"/>
  <c r="AE774" i="13"/>
  <c r="R774" i="13"/>
  <c r="E775" i="13"/>
  <c r="L775" i="13" s="1"/>
  <c r="AF773" i="13"/>
  <c r="AG773" i="13"/>
  <c r="AH773" i="13" s="1"/>
  <c r="E777" i="27"/>
  <c r="S773" i="13"/>
  <c r="T773" i="13"/>
  <c r="U773" i="13" s="1"/>
  <c r="K775" i="13" l="1"/>
  <c r="AF773" i="7"/>
  <c r="E774" i="7"/>
  <c r="F783" i="5"/>
  <c r="E783" i="5"/>
  <c r="G783" i="5"/>
  <c r="K783" i="5" s="1"/>
  <c r="I782" i="5"/>
  <c r="J782" i="5" s="1"/>
  <c r="C784" i="5"/>
  <c r="D784" i="5" s="1"/>
  <c r="B786" i="5"/>
  <c r="H785" i="5"/>
  <c r="S774" i="28"/>
  <c r="E775" i="28"/>
  <c r="T774" i="28"/>
  <c r="T774" i="13"/>
  <c r="U774" i="13" s="1"/>
  <c r="S774" i="13"/>
  <c r="AF774" i="13"/>
  <c r="AG774" i="13"/>
  <c r="AH774" i="13" s="1"/>
  <c r="E778" i="27"/>
  <c r="AE775" i="13"/>
  <c r="R775" i="13"/>
  <c r="E776" i="13"/>
  <c r="L776" i="13" s="1"/>
  <c r="K776" i="13" l="1"/>
  <c r="AF774" i="7"/>
  <c r="E775" i="7"/>
  <c r="F784" i="5"/>
  <c r="E784" i="5"/>
  <c r="G784" i="5"/>
  <c r="K784" i="5" s="1"/>
  <c r="H786" i="5"/>
  <c r="C785" i="5"/>
  <c r="D785" i="5" s="1"/>
  <c r="B787" i="5"/>
  <c r="I783" i="5"/>
  <c r="J783" i="5" s="1"/>
  <c r="E776" i="28"/>
  <c r="S775" i="28"/>
  <c r="T775" i="28"/>
  <c r="E779" i="27"/>
  <c r="R776" i="13"/>
  <c r="AE776" i="13"/>
  <c r="E777" i="13"/>
  <c r="L777" i="13" s="1"/>
  <c r="S775" i="13"/>
  <c r="T775" i="13"/>
  <c r="U775" i="13" s="1"/>
  <c r="AG775" i="13"/>
  <c r="AH775" i="13" s="1"/>
  <c r="AF775" i="13"/>
  <c r="K777" i="13" l="1"/>
  <c r="AF775" i="7"/>
  <c r="E776" i="7"/>
  <c r="C786" i="5"/>
  <c r="D786" i="5" s="1"/>
  <c r="B788" i="5"/>
  <c r="H787" i="5"/>
  <c r="I784" i="5"/>
  <c r="J784" i="5" s="1"/>
  <c r="F785" i="5"/>
  <c r="E785" i="5"/>
  <c r="G785" i="5"/>
  <c r="K785" i="5" s="1"/>
  <c r="S776" i="28"/>
  <c r="T776" i="28"/>
  <c r="E777" i="28"/>
  <c r="R777" i="13"/>
  <c r="AE777" i="13"/>
  <c r="E778" i="13"/>
  <c r="L778" i="13" s="1"/>
  <c r="AG776" i="13"/>
  <c r="AH776" i="13" s="1"/>
  <c r="AF776" i="13"/>
  <c r="E780" i="27"/>
  <c r="S776" i="13"/>
  <c r="T776" i="13"/>
  <c r="U776" i="13" s="1"/>
  <c r="K778" i="13" l="1"/>
  <c r="AF776" i="7"/>
  <c r="E777" i="7"/>
  <c r="I785" i="5"/>
  <c r="J785" i="5" s="1"/>
  <c r="H788" i="5"/>
  <c r="C787" i="5"/>
  <c r="D787" i="5" s="1"/>
  <c r="B789" i="5"/>
  <c r="G786" i="5"/>
  <c r="K786" i="5" s="1"/>
  <c r="F786" i="5"/>
  <c r="E786" i="5"/>
  <c r="E778" i="28"/>
  <c r="S777" i="28"/>
  <c r="T777" i="28"/>
  <c r="AE778" i="13"/>
  <c r="R778" i="13"/>
  <c r="E779" i="13"/>
  <c r="L779" i="13" s="1"/>
  <c r="E781" i="27"/>
  <c r="AF777" i="13"/>
  <c r="AG777" i="13"/>
  <c r="AH777" i="13" s="1"/>
  <c r="T777" i="13"/>
  <c r="U777" i="13" s="1"/>
  <c r="S777" i="13"/>
  <c r="K779" i="13" l="1"/>
  <c r="AF777" i="7"/>
  <c r="E778" i="7"/>
  <c r="H789" i="5"/>
  <c r="B790" i="5"/>
  <c r="C788" i="5"/>
  <c r="D788" i="5" s="1"/>
  <c r="I786" i="5"/>
  <c r="J786" i="5" s="1"/>
  <c r="F787" i="5"/>
  <c r="G787" i="5"/>
  <c r="K787" i="5" s="1"/>
  <c r="E787" i="5"/>
  <c r="S778" i="28"/>
  <c r="E779" i="28"/>
  <c r="T778" i="28"/>
  <c r="E782" i="27"/>
  <c r="T778" i="13"/>
  <c r="U778" i="13" s="1"/>
  <c r="S778" i="13"/>
  <c r="R779" i="13"/>
  <c r="AE779" i="13"/>
  <c r="E780" i="13"/>
  <c r="L780" i="13" s="1"/>
  <c r="AG778" i="13"/>
  <c r="AH778" i="13" s="1"/>
  <c r="AF778" i="13"/>
  <c r="K780" i="13" l="1"/>
  <c r="AF778" i="7"/>
  <c r="E779" i="7"/>
  <c r="I787" i="5"/>
  <c r="J787" i="5" s="1"/>
  <c r="E788" i="5"/>
  <c r="G788" i="5"/>
  <c r="K788" i="5" s="1"/>
  <c r="F788" i="5"/>
  <c r="H790" i="5"/>
  <c r="C789" i="5"/>
  <c r="D789" i="5" s="1"/>
  <c r="B791" i="5"/>
  <c r="T779" i="28"/>
  <c r="E780" i="28"/>
  <c r="S779" i="28"/>
  <c r="AE780" i="13"/>
  <c r="R780" i="13"/>
  <c r="E781" i="13"/>
  <c r="L781" i="13" s="1"/>
  <c r="AF779" i="13"/>
  <c r="AG779" i="13"/>
  <c r="AH779" i="13" s="1"/>
  <c r="E783" i="27"/>
  <c r="T779" i="13"/>
  <c r="U779" i="13" s="1"/>
  <c r="S779" i="13"/>
  <c r="K781" i="13" l="1"/>
  <c r="AF779" i="7"/>
  <c r="E780" i="7"/>
  <c r="B792" i="5"/>
  <c r="C790" i="5"/>
  <c r="D790" i="5" s="1"/>
  <c r="H791" i="5"/>
  <c r="E789" i="5"/>
  <c r="G789" i="5"/>
  <c r="K789" i="5" s="1"/>
  <c r="F789" i="5"/>
  <c r="I788" i="5"/>
  <c r="J788" i="5" s="1"/>
  <c r="T780" i="28"/>
  <c r="E781" i="28"/>
  <c r="S780" i="28"/>
  <c r="R781" i="13"/>
  <c r="AE781" i="13"/>
  <c r="E782" i="13"/>
  <c r="L782" i="13" s="1"/>
  <c r="AG780" i="13"/>
  <c r="AH780" i="13" s="1"/>
  <c r="AF780" i="13"/>
  <c r="E784" i="27"/>
  <c r="S780" i="13"/>
  <c r="T780" i="13"/>
  <c r="U780" i="13" s="1"/>
  <c r="K782" i="13" l="1"/>
  <c r="AF780" i="7"/>
  <c r="E781" i="7"/>
  <c r="I789" i="5"/>
  <c r="J789" i="5" s="1"/>
  <c r="G790" i="5"/>
  <c r="K790" i="5" s="1"/>
  <c r="F790" i="5"/>
  <c r="E790" i="5"/>
  <c r="H792" i="5"/>
  <c r="C791" i="5"/>
  <c r="D791" i="5" s="1"/>
  <c r="B793" i="5"/>
  <c r="E782" i="28"/>
  <c r="S781" i="28"/>
  <c r="T781" i="28"/>
  <c r="AE782" i="13"/>
  <c r="R782" i="13"/>
  <c r="E783" i="13"/>
  <c r="L783" i="13" s="1"/>
  <c r="E785" i="27"/>
  <c r="AG781" i="13"/>
  <c r="AH781" i="13" s="1"/>
  <c r="AF781" i="13"/>
  <c r="T781" i="13"/>
  <c r="U781" i="13" s="1"/>
  <c r="S781" i="13"/>
  <c r="K783" i="13" l="1"/>
  <c r="AF781" i="7"/>
  <c r="E782" i="7"/>
  <c r="H793" i="5"/>
  <c r="C792" i="5"/>
  <c r="D792" i="5" s="1"/>
  <c r="B794" i="5"/>
  <c r="I790" i="5"/>
  <c r="J790" i="5" s="1"/>
  <c r="E791" i="5"/>
  <c r="G791" i="5"/>
  <c r="K791" i="5" s="1"/>
  <c r="F791" i="5"/>
  <c r="T782" i="28"/>
  <c r="S782" i="28"/>
  <c r="E783" i="28"/>
  <c r="E786" i="27"/>
  <c r="AE783" i="13"/>
  <c r="R783" i="13"/>
  <c r="E784" i="13"/>
  <c r="L784" i="13" s="1"/>
  <c r="AF782" i="13"/>
  <c r="AG782" i="13"/>
  <c r="AH782" i="13" s="1"/>
  <c r="T782" i="13"/>
  <c r="U782" i="13" s="1"/>
  <c r="S782" i="13"/>
  <c r="K784" i="13" l="1"/>
  <c r="AF782" i="7"/>
  <c r="E783" i="7"/>
  <c r="B795" i="5"/>
  <c r="C793" i="5"/>
  <c r="D793" i="5" s="1"/>
  <c r="H794" i="5"/>
  <c r="G792" i="5"/>
  <c r="K792" i="5" s="1"/>
  <c r="F792" i="5"/>
  <c r="E792" i="5"/>
  <c r="I791" i="5"/>
  <c r="J791" i="5" s="1"/>
  <c r="S783" i="28"/>
  <c r="E784" i="28"/>
  <c r="T783" i="28"/>
  <c r="AF783" i="13"/>
  <c r="AG783" i="13"/>
  <c r="AH783" i="13" s="1"/>
  <c r="R784" i="13"/>
  <c r="AE784" i="13"/>
  <c r="E785" i="13"/>
  <c r="L785" i="13" s="1"/>
  <c r="T783" i="13"/>
  <c r="U783" i="13" s="1"/>
  <c r="S783" i="13"/>
  <c r="E787" i="27"/>
  <c r="K785" i="13" l="1"/>
  <c r="AF783" i="7"/>
  <c r="E784" i="7"/>
  <c r="I792" i="5"/>
  <c r="J792" i="5" s="1"/>
  <c r="F793" i="5"/>
  <c r="G793" i="5"/>
  <c r="K793" i="5" s="1"/>
  <c r="E793" i="5"/>
  <c r="H795" i="5"/>
  <c r="C794" i="5"/>
  <c r="D794" i="5" s="1"/>
  <c r="B796" i="5"/>
  <c r="E785" i="28"/>
  <c r="S784" i="28"/>
  <c r="T784" i="28"/>
  <c r="T784" i="13"/>
  <c r="U784" i="13" s="1"/>
  <c r="S784" i="13"/>
  <c r="R785" i="13"/>
  <c r="AE785" i="13"/>
  <c r="E786" i="13"/>
  <c r="L786" i="13" s="1"/>
  <c r="E788" i="27"/>
  <c r="AG784" i="13"/>
  <c r="AH784" i="13" s="1"/>
  <c r="AF784" i="13"/>
  <c r="K786" i="13" l="1"/>
  <c r="AF784" i="7"/>
  <c r="E785" i="7"/>
  <c r="I793" i="5"/>
  <c r="J793" i="5" s="1"/>
  <c r="C795" i="5"/>
  <c r="D795" i="5" s="1"/>
  <c r="B797" i="5"/>
  <c r="H796" i="5"/>
  <c r="G794" i="5"/>
  <c r="K794" i="5" s="1"/>
  <c r="E794" i="5"/>
  <c r="F794" i="5"/>
  <c r="E786" i="28"/>
  <c r="T785" i="28"/>
  <c r="S785" i="28"/>
  <c r="R786" i="13"/>
  <c r="AE786" i="13"/>
  <c r="E787" i="13"/>
  <c r="L787" i="13" s="1"/>
  <c r="S785" i="13"/>
  <c r="T785" i="13"/>
  <c r="U785" i="13" s="1"/>
  <c r="E789" i="27"/>
  <c r="AF785" i="13"/>
  <c r="AG785" i="13"/>
  <c r="AH785" i="13" s="1"/>
  <c r="K787" i="13" l="1"/>
  <c r="AF785" i="7"/>
  <c r="E786" i="7"/>
  <c r="H797" i="5"/>
  <c r="B798" i="5"/>
  <c r="C796" i="5"/>
  <c r="D796" i="5" s="1"/>
  <c r="I794" i="5"/>
  <c r="J794" i="5" s="1"/>
  <c r="G795" i="5"/>
  <c r="K795" i="5" s="1"/>
  <c r="F795" i="5"/>
  <c r="E795" i="5"/>
  <c r="T786" i="28"/>
  <c r="S786" i="28"/>
  <c r="E787" i="28"/>
  <c r="T786" i="13"/>
  <c r="U786" i="13" s="1"/>
  <c r="S786" i="13"/>
  <c r="E790" i="27"/>
  <c r="R787" i="13"/>
  <c r="AE787" i="13"/>
  <c r="E788" i="13"/>
  <c r="L788" i="13" s="1"/>
  <c r="AF786" i="13"/>
  <c r="AG786" i="13"/>
  <c r="AH786" i="13" s="1"/>
  <c r="K788" i="13" l="1"/>
  <c r="AF786" i="7"/>
  <c r="E787" i="7"/>
  <c r="I795" i="5"/>
  <c r="J795" i="5" s="1"/>
  <c r="G796" i="5"/>
  <c r="K796" i="5" s="1"/>
  <c r="E796" i="5"/>
  <c r="F796" i="5"/>
  <c r="H798" i="5"/>
  <c r="C797" i="5"/>
  <c r="D797" i="5" s="1"/>
  <c r="B799" i="5"/>
  <c r="S787" i="28"/>
  <c r="T787" i="28"/>
  <c r="E788" i="28"/>
  <c r="R788" i="13"/>
  <c r="AE788" i="13"/>
  <c r="E789" i="13"/>
  <c r="L789" i="13" s="1"/>
  <c r="AG787" i="13"/>
  <c r="AH787" i="13" s="1"/>
  <c r="AF787" i="13"/>
  <c r="S787" i="13"/>
  <c r="T787" i="13"/>
  <c r="U787" i="13" s="1"/>
  <c r="E791" i="27"/>
  <c r="K789" i="13" l="1"/>
  <c r="AF787" i="7"/>
  <c r="E788" i="7"/>
  <c r="B800" i="5"/>
  <c r="H799" i="5"/>
  <c r="C798" i="5"/>
  <c r="D798" i="5" s="1"/>
  <c r="I796" i="5"/>
  <c r="J796" i="5" s="1"/>
  <c r="F797" i="5"/>
  <c r="G797" i="5"/>
  <c r="K797" i="5" s="1"/>
  <c r="E797" i="5"/>
  <c r="T788" i="28"/>
  <c r="S788" i="28"/>
  <c r="E789" i="28"/>
  <c r="T788" i="13"/>
  <c r="U788" i="13" s="1"/>
  <c r="S788" i="13"/>
  <c r="E792" i="27"/>
  <c r="AE789" i="13"/>
  <c r="E790" i="13"/>
  <c r="L790" i="13" s="1"/>
  <c r="R789" i="13"/>
  <c r="AG788" i="13"/>
  <c r="AH788" i="13" s="1"/>
  <c r="AF788" i="13"/>
  <c r="K790" i="13" l="1"/>
  <c r="AF788" i="7"/>
  <c r="E789" i="7"/>
  <c r="I797" i="5"/>
  <c r="J797" i="5" s="1"/>
  <c r="F798" i="5"/>
  <c r="E798" i="5"/>
  <c r="G798" i="5"/>
  <c r="K798" i="5" s="1"/>
  <c r="C799" i="5"/>
  <c r="D799" i="5" s="1"/>
  <c r="B801" i="5"/>
  <c r="H800" i="5"/>
  <c r="T789" i="28"/>
  <c r="E790" i="28"/>
  <c r="S789" i="28"/>
  <c r="T789" i="13"/>
  <c r="U789" i="13" s="1"/>
  <c r="S789" i="13"/>
  <c r="AG789" i="13"/>
  <c r="AH789" i="13" s="1"/>
  <c r="AF789" i="13"/>
  <c r="AE790" i="13"/>
  <c r="R790" i="13"/>
  <c r="E791" i="13"/>
  <c r="L791" i="13" s="1"/>
  <c r="E793" i="27"/>
  <c r="K791" i="13" l="1"/>
  <c r="AF789" i="7"/>
  <c r="E790" i="7"/>
  <c r="C800" i="5"/>
  <c r="D800" i="5" s="1"/>
  <c r="H801" i="5"/>
  <c r="B802" i="5"/>
  <c r="I798" i="5"/>
  <c r="J798" i="5" s="1"/>
  <c r="E799" i="5"/>
  <c r="F799" i="5"/>
  <c r="G799" i="5"/>
  <c r="K799" i="5" s="1"/>
  <c r="E791" i="28"/>
  <c r="S790" i="28"/>
  <c r="T790" i="28"/>
  <c r="E794" i="27"/>
  <c r="AF790" i="13"/>
  <c r="AG790" i="13"/>
  <c r="AH790" i="13" s="1"/>
  <c r="S790" i="13"/>
  <c r="T790" i="13"/>
  <c r="U790" i="13" s="1"/>
  <c r="AE791" i="13"/>
  <c r="R791" i="13"/>
  <c r="E792" i="13"/>
  <c r="L792" i="13" s="1"/>
  <c r="K792" i="13" l="1"/>
  <c r="AF790" i="7"/>
  <c r="E791" i="7"/>
  <c r="B803" i="5"/>
  <c r="H802" i="5"/>
  <c r="C801" i="5"/>
  <c r="D801" i="5" s="1"/>
  <c r="I799" i="5"/>
  <c r="J799" i="5" s="1"/>
  <c r="F800" i="5"/>
  <c r="E800" i="5"/>
  <c r="G800" i="5"/>
  <c r="K800" i="5" s="1"/>
  <c r="S791" i="28"/>
  <c r="E792" i="28"/>
  <c r="T791" i="28"/>
  <c r="AE792" i="13"/>
  <c r="R792" i="13"/>
  <c r="E793" i="13"/>
  <c r="L793" i="13" s="1"/>
  <c r="S791" i="13"/>
  <c r="T791" i="13"/>
  <c r="U791" i="13" s="1"/>
  <c r="E795" i="27"/>
  <c r="AG791" i="13"/>
  <c r="AH791" i="13" s="1"/>
  <c r="AF791" i="13"/>
  <c r="K793" i="13" l="1"/>
  <c r="AF791" i="7"/>
  <c r="E792" i="7"/>
  <c r="G801" i="5"/>
  <c r="K801" i="5" s="1"/>
  <c r="F801" i="5"/>
  <c r="E801" i="5"/>
  <c r="I800" i="5"/>
  <c r="J800" i="5" s="1"/>
  <c r="H803" i="5"/>
  <c r="C802" i="5"/>
  <c r="D802" i="5" s="1"/>
  <c r="B804" i="5"/>
  <c r="E793" i="28"/>
  <c r="S792" i="28"/>
  <c r="T792" i="28"/>
  <c r="E796" i="27"/>
  <c r="R793" i="13"/>
  <c r="AE793" i="13"/>
  <c r="E794" i="13"/>
  <c r="L794" i="13" s="1"/>
  <c r="AG792" i="13"/>
  <c r="AH792" i="13" s="1"/>
  <c r="AF792" i="13"/>
  <c r="T792" i="13"/>
  <c r="U792" i="13" s="1"/>
  <c r="S792" i="13"/>
  <c r="K794" i="13" l="1"/>
  <c r="AF792" i="7"/>
  <c r="E793" i="7"/>
  <c r="G802" i="5"/>
  <c r="K802" i="5" s="1"/>
  <c r="F802" i="5"/>
  <c r="E802" i="5"/>
  <c r="B805" i="5"/>
  <c r="C803" i="5"/>
  <c r="D803" i="5" s="1"/>
  <c r="H804" i="5"/>
  <c r="I801" i="5"/>
  <c r="J801" i="5" s="1"/>
  <c r="E794" i="28"/>
  <c r="T793" i="28"/>
  <c r="S793" i="28"/>
  <c r="E797" i="27"/>
  <c r="AF793" i="13"/>
  <c r="AG793" i="13"/>
  <c r="AH793" i="13" s="1"/>
  <c r="S793" i="13"/>
  <c r="T793" i="13"/>
  <c r="U793" i="13" s="1"/>
  <c r="R794" i="13"/>
  <c r="AE794" i="13"/>
  <c r="E795" i="13"/>
  <c r="L795" i="13" s="1"/>
  <c r="K795" i="13" l="1"/>
  <c r="AF793" i="7"/>
  <c r="E794" i="7"/>
  <c r="B806" i="5"/>
  <c r="H805" i="5"/>
  <c r="C804" i="5"/>
  <c r="D804" i="5" s="1"/>
  <c r="I802" i="5"/>
  <c r="J802" i="5" s="1"/>
  <c r="E803" i="5"/>
  <c r="G803" i="5"/>
  <c r="K803" i="5" s="1"/>
  <c r="F803" i="5"/>
  <c r="T794" i="28"/>
  <c r="E795" i="28"/>
  <c r="S794" i="28"/>
  <c r="AE795" i="13"/>
  <c r="R795" i="13"/>
  <c r="E796" i="13"/>
  <c r="L796" i="13" s="1"/>
  <c r="AG794" i="13"/>
  <c r="AH794" i="13" s="1"/>
  <c r="AF794" i="13"/>
  <c r="T794" i="13"/>
  <c r="U794" i="13" s="1"/>
  <c r="S794" i="13"/>
  <c r="E798" i="27"/>
  <c r="K796" i="13" l="1"/>
  <c r="AF794" i="7"/>
  <c r="E795" i="7"/>
  <c r="E804" i="5"/>
  <c r="G804" i="5"/>
  <c r="K804" i="5" s="1"/>
  <c r="F804" i="5"/>
  <c r="I803" i="5"/>
  <c r="J803" i="5" s="1"/>
  <c r="C805" i="5"/>
  <c r="D805" i="5" s="1"/>
  <c r="B807" i="5"/>
  <c r="H806" i="5"/>
  <c r="S795" i="28"/>
  <c r="T795" i="28"/>
  <c r="E796" i="28"/>
  <c r="E799" i="27"/>
  <c r="AG795" i="13"/>
  <c r="AH795" i="13" s="1"/>
  <c r="AF795" i="13"/>
  <c r="R796" i="13"/>
  <c r="AE796" i="13"/>
  <c r="E797" i="13"/>
  <c r="L797" i="13" s="1"/>
  <c r="T795" i="13"/>
  <c r="U795" i="13" s="1"/>
  <c r="S795" i="13"/>
  <c r="K797" i="13" l="1"/>
  <c r="AF795" i="7"/>
  <c r="E796" i="7"/>
  <c r="C806" i="5"/>
  <c r="D806" i="5" s="1"/>
  <c r="B808" i="5"/>
  <c r="H807" i="5"/>
  <c r="F805" i="5"/>
  <c r="G805" i="5"/>
  <c r="K805" i="5" s="1"/>
  <c r="E805" i="5"/>
  <c r="I804" i="5"/>
  <c r="J804" i="5" s="1"/>
  <c r="T796" i="28"/>
  <c r="S796" i="28"/>
  <c r="E797" i="28"/>
  <c r="T796" i="13"/>
  <c r="U796" i="13" s="1"/>
  <c r="S796" i="13"/>
  <c r="AE797" i="13"/>
  <c r="R797" i="13"/>
  <c r="E798" i="13"/>
  <c r="L798" i="13" s="1"/>
  <c r="E800" i="27"/>
  <c r="AF796" i="13"/>
  <c r="AG796" i="13"/>
  <c r="AH796" i="13" s="1"/>
  <c r="K798" i="13" l="1"/>
  <c r="AF796" i="7"/>
  <c r="E797" i="7"/>
  <c r="I805" i="5"/>
  <c r="J805" i="5" s="1"/>
  <c r="B809" i="5"/>
  <c r="C807" i="5"/>
  <c r="D807" i="5" s="1"/>
  <c r="H808" i="5"/>
  <c r="G806" i="5"/>
  <c r="K806" i="5" s="1"/>
  <c r="E806" i="5"/>
  <c r="F806" i="5"/>
  <c r="S797" i="28"/>
  <c r="T797" i="28"/>
  <c r="E798" i="28"/>
  <c r="AE798" i="13"/>
  <c r="R798" i="13"/>
  <c r="E799" i="13"/>
  <c r="L799" i="13" s="1"/>
  <c r="AF797" i="13"/>
  <c r="AG797" i="13"/>
  <c r="AH797" i="13" s="1"/>
  <c r="E801" i="27"/>
  <c r="T797" i="13"/>
  <c r="U797" i="13" s="1"/>
  <c r="S797" i="13"/>
  <c r="K799" i="13" l="1"/>
  <c r="AF797" i="7"/>
  <c r="E798" i="7"/>
  <c r="E807" i="5"/>
  <c r="F807" i="5"/>
  <c r="G807" i="5"/>
  <c r="K807" i="5" s="1"/>
  <c r="I806" i="5"/>
  <c r="J806" i="5" s="1"/>
  <c r="B810" i="5"/>
  <c r="C808" i="5"/>
  <c r="D808" i="5" s="1"/>
  <c r="H809" i="5"/>
  <c r="S798" i="28"/>
  <c r="T798" i="28"/>
  <c r="E799" i="28"/>
  <c r="AE799" i="13"/>
  <c r="E800" i="13"/>
  <c r="L800" i="13" s="1"/>
  <c r="R799" i="13"/>
  <c r="AG798" i="13"/>
  <c r="AH798" i="13" s="1"/>
  <c r="AF798" i="13"/>
  <c r="S798" i="13"/>
  <c r="T798" i="13"/>
  <c r="U798" i="13" s="1"/>
  <c r="E802" i="27"/>
  <c r="K800" i="13" l="1"/>
  <c r="AF798" i="7"/>
  <c r="E799" i="7"/>
  <c r="G808" i="5"/>
  <c r="K808" i="5" s="1"/>
  <c r="E808" i="5"/>
  <c r="F808" i="5"/>
  <c r="B811" i="5"/>
  <c r="H810" i="5"/>
  <c r="C809" i="5"/>
  <c r="D809" i="5" s="1"/>
  <c r="I807" i="5"/>
  <c r="J807" i="5" s="1"/>
  <c r="S799" i="28"/>
  <c r="T799" i="28"/>
  <c r="E800" i="28"/>
  <c r="E803" i="27"/>
  <c r="R800" i="13"/>
  <c r="AE800" i="13"/>
  <c r="E801" i="13"/>
  <c r="L801" i="13" s="1"/>
  <c r="AG799" i="13"/>
  <c r="AH799" i="13" s="1"/>
  <c r="AF799" i="13"/>
  <c r="S799" i="13"/>
  <c r="T799" i="13"/>
  <c r="U799" i="13" s="1"/>
  <c r="K801" i="13" l="1"/>
  <c r="AF799" i="7"/>
  <c r="E800" i="7"/>
  <c r="H811" i="5"/>
  <c r="C810" i="5"/>
  <c r="D810" i="5" s="1"/>
  <c r="B812" i="5"/>
  <c r="E809" i="5"/>
  <c r="F809" i="5"/>
  <c r="G809" i="5"/>
  <c r="K809" i="5" s="1"/>
  <c r="I808" i="5"/>
  <c r="J808" i="5" s="1"/>
  <c r="T800" i="28"/>
  <c r="S800" i="28"/>
  <c r="E801" i="28"/>
  <c r="AE801" i="13"/>
  <c r="R801" i="13"/>
  <c r="E802" i="13"/>
  <c r="L802" i="13" s="1"/>
  <c r="S800" i="13"/>
  <c r="T800" i="13"/>
  <c r="U800" i="13" s="1"/>
  <c r="AF800" i="13"/>
  <c r="AG800" i="13"/>
  <c r="AH800" i="13" s="1"/>
  <c r="E804" i="27"/>
  <c r="K802" i="13" l="1"/>
  <c r="AF800" i="7"/>
  <c r="E801" i="7"/>
  <c r="I809" i="5"/>
  <c r="J809" i="5" s="1"/>
  <c r="B813" i="5"/>
  <c r="C811" i="5"/>
  <c r="D811" i="5" s="1"/>
  <c r="H812" i="5"/>
  <c r="F810" i="5"/>
  <c r="E810" i="5"/>
  <c r="G810" i="5"/>
  <c r="K810" i="5" s="1"/>
  <c r="E802" i="28"/>
  <c r="T801" i="28"/>
  <c r="S801" i="28"/>
  <c r="R802" i="13"/>
  <c r="AE802" i="13"/>
  <c r="E803" i="13"/>
  <c r="L803" i="13" s="1"/>
  <c r="S801" i="13"/>
  <c r="T801" i="13"/>
  <c r="U801" i="13" s="1"/>
  <c r="E805" i="27"/>
  <c r="AF801" i="13"/>
  <c r="AG801" i="13"/>
  <c r="AH801" i="13" s="1"/>
  <c r="K803" i="13" l="1"/>
  <c r="AF801" i="7"/>
  <c r="E802" i="7"/>
  <c r="G811" i="5"/>
  <c r="K811" i="5" s="1"/>
  <c r="E811" i="5"/>
  <c r="F811" i="5"/>
  <c r="I810" i="5"/>
  <c r="J810" i="5" s="1"/>
  <c r="H813" i="5"/>
  <c r="C812" i="5"/>
  <c r="D812" i="5" s="1"/>
  <c r="B814" i="5"/>
  <c r="S802" i="28"/>
  <c r="T802" i="28"/>
  <c r="E803" i="28"/>
  <c r="E806" i="27"/>
  <c r="AG802" i="13"/>
  <c r="AH802" i="13" s="1"/>
  <c r="AF802" i="13"/>
  <c r="S802" i="13"/>
  <c r="T802" i="13"/>
  <c r="U802" i="13" s="1"/>
  <c r="AE803" i="13"/>
  <c r="R803" i="13"/>
  <c r="E804" i="13"/>
  <c r="L804" i="13" s="1"/>
  <c r="K804" i="13" l="1"/>
  <c r="AF802" i="7"/>
  <c r="E803" i="7"/>
  <c r="B815" i="5"/>
  <c r="H814" i="5"/>
  <c r="C813" i="5"/>
  <c r="D813" i="5" s="1"/>
  <c r="F812" i="5"/>
  <c r="E812" i="5"/>
  <c r="G812" i="5"/>
  <c r="K812" i="5" s="1"/>
  <c r="I811" i="5"/>
  <c r="J811" i="5" s="1"/>
  <c r="S803" i="28"/>
  <c r="E804" i="28"/>
  <c r="T803" i="28"/>
  <c r="R804" i="13"/>
  <c r="AE804" i="13"/>
  <c r="E805" i="13"/>
  <c r="L805" i="13" s="1"/>
  <c r="T803" i="13"/>
  <c r="U803" i="13" s="1"/>
  <c r="S803" i="13"/>
  <c r="E807" i="27"/>
  <c r="AG803" i="13"/>
  <c r="AH803" i="13" s="1"/>
  <c r="AF803" i="13"/>
  <c r="K805" i="13" l="1"/>
  <c r="AF803" i="7"/>
  <c r="E804" i="7"/>
  <c r="F813" i="5"/>
  <c r="E813" i="5"/>
  <c r="G813" i="5"/>
  <c r="K813" i="5" s="1"/>
  <c r="I812" i="5"/>
  <c r="J812" i="5" s="1"/>
  <c r="B816" i="5"/>
  <c r="C814" i="5"/>
  <c r="D814" i="5" s="1"/>
  <c r="H815" i="5"/>
  <c r="T804" i="28"/>
  <c r="S804" i="28"/>
  <c r="E805" i="28"/>
  <c r="E808" i="27"/>
  <c r="R805" i="13"/>
  <c r="AE805" i="13"/>
  <c r="E806" i="13"/>
  <c r="L806" i="13" s="1"/>
  <c r="AG804" i="13"/>
  <c r="AH804" i="13" s="1"/>
  <c r="AF804" i="13"/>
  <c r="T804" i="13"/>
  <c r="U804" i="13" s="1"/>
  <c r="S804" i="13"/>
  <c r="K806" i="13" l="1"/>
  <c r="AF804" i="7"/>
  <c r="E805" i="7"/>
  <c r="B817" i="5"/>
  <c r="H816" i="5"/>
  <c r="C815" i="5"/>
  <c r="D815" i="5" s="1"/>
  <c r="G814" i="5"/>
  <c r="K814" i="5" s="1"/>
  <c r="F814" i="5"/>
  <c r="E814" i="5"/>
  <c r="I813" i="5"/>
  <c r="J813" i="5" s="1"/>
  <c r="S805" i="28"/>
  <c r="T805" i="28"/>
  <c r="E806" i="28"/>
  <c r="AF805" i="13"/>
  <c r="AG805" i="13"/>
  <c r="AH805" i="13" s="1"/>
  <c r="T805" i="13"/>
  <c r="U805" i="13" s="1"/>
  <c r="S805" i="13"/>
  <c r="E809" i="27"/>
  <c r="R806" i="13"/>
  <c r="AE806" i="13"/>
  <c r="E807" i="13"/>
  <c r="L807" i="13" s="1"/>
  <c r="K807" i="13" l="1"/>
  <c r="AF805" i="7"/>
  <c r="E806" i="7"/>
  <c r="G815" i="5"/>
  <c r="K815" i="5" s="1"/>
  <c r="E815" i="5"/>
  <c r="F815" i="5"/>
  <c r="I814" i="5"/>
  <c r="J814" i="5" s="1"/>
  <c r="B818" i="5"/>
  <c r="C816" i="5"/>
  <c r="D816" i="5" s="1"/>
  <c r="H817" i="5"/>
  <c r="T806" i="28"/>
  <c r="S806" i="28"/>
  <c r="E807" i="28"/>
  <c r="AF806" i="13"/>
  <c r="AG806" i="13"/>
  <c r="AH806" i="13" s="1"/>
  <c r="E810" i="27"/>
  <c r="R807" i="13"/>
  <c r="AE807" i="13"/>
  <c r="E808" i="13"/>
  <c r="L808" i="13" s="1"/>
  <c r="T806" i="13"/>
  <c r="U806" i="13" s="1"/>
  <c r="S806" i="13"/>
  <c r="K808" i="13" l="1"/>
  <c r="AF806" i="7"/>
  <c r="E807" i="7"/>
  <c r="I815" i="5"/>
  <c r="J815" i="5" s="1"/>
  <c r="F816" i="5"/>
  <c r="E816" i="5"/>
  <c r="G816" i="5"/>
  <c r="K816" i="5" s="1"/>
  <c r="H818" i="5"/>
  <c r="C817" i="5"/>
  <c r="D817" i="5" s="1"/>
  <c r="B819" i="5"/>
  <c r="E808" i="28"/>
  <c r="T807" i="28"/>
  <c r="S807" i="28"/>
  <c r="AG807" i="13"/>
  <c r="AH807" i="13" s="1"/>
  <c r="AF807" i="13"/>
  <c r="E811" i="27"/>
  <c r="AE808" i="13"/>
  <c r="R808" i="13"/>
  <c r="E809" i="13"/>
  <c r="L809" i="13" s="1"/>
  <c r="S807" i="13"/>
  <c r="T807" i="13"/>
  <c r="U807" i="13" s="1"/>
  <c r="K809" i="13" l="1"/>
  <c r="AF807" i="7"/>
  <c r="E808" i="7"/>
  <c r="B820" i="5"/>
  <c r="C818" i="5"/>
  <c r="D818" i="5" s="1"/>
  <c r="H819" i="5"/>
  <c r="I816" i="5"/>
  <c r="J816" i="5" s="1"/>
  <c r="F817" i="5"/>
  <c r="G817" i="5"/>
  <c r="K817" i="5" s="1"/>
  <c r="E817" i="5"/>
  <c r="S808" i="28"/>
  <c r="T808" i="28"/>
  <c r="E809" i="28"/>
  <c r="AE809" i="13"/>
  <c r="R809" i="13"/>
  <c r="E810" i="13"/>
  <c r="L810" i="13" s="1"/>
  <c r="E812" i="27"/>
  <c r="S808" i="13"/>
  <c r="T808" i="13"/>
  <c r="U808" i="13" s="1"/>
  <c r="AG808" i="13"/>
  <c r="AH808" i="13" s="1"/>
  <c r="AF808" i="13"/>
  <c r="K810" i="13" l="1"/>
  <c r="AF808" i="7"/>
  <c r="E809" i="7"/>
  <c r="I817" i="5"/>
  <c r="J817" i="5" s="1"/>
  <c r="F818" i="5"/>
  <c r="G818" i="5"/>
  <c r="K818" i="5" s="1"/>
  <c r="E818" i="5"/>
  <c r="B821" i="5"/>
  <c r="H820" i="5"/>
  <c r="C819" i="5"/>
  <c r="D819" i="5" s="1"/>
  <c r="T809" i="28"/>
  <c r="S809" i="28"/>
  <c r="E810" i="28"/>
  <c r="E813" i="27"/>
  <c r="AG809" i="13"/>
  <c r="AH809" i="13" s="1"/>
  <c r="AF809" i="13"/>
  <c r="AE810" i="13"/>
  <c r="E811" i="13"/>
  <c r="L811" i="13" s="1"/>
  <c r="R810" i="13"/>
  <c r="T809" i="13"/>
  <c r="U809" i="13" s="1"/>
  <c r="S809" i="13"/>
  <c r="K811" i="13" l="1"/>
  <c r="AF809" i="7"/>
  <c r="E810" i="7"/>
  <c r="I818" i="5"/>
  <c r="J818" i="5" s="1"/>
  <c r="F819" i="5"/>
  <c r="G819" i="5"/>
  <c r="K819" i="5" s="1"/>
  <c r="E819" i="5"/>
  <c r="C820" i="5"/>
  <c r="D820" i="5" s="1"/>
  <c r="H821" i="5"/>
  <c r="B822" i="5"/>
  <c r="T810" i="28"/>
  <c r="S810" i="28"/>
  <c r="E811" i="28"/>
  <c r="T810" i="13"/>
  <c r="U810" i="13" s="1"/>
  <c r="S810" i="13"/>
  <c r="AE811" i="13"/>
  <c r="R811" i="13"/>
  <c r="E812" i="13"/>
  <c r="L812" i="13" s="1"/>
  <c r="AF810" i="13"/>
  <c r="AG810" i="13"/>
  <c r="AH810" i="13" s="1"/>
  <c r="E814" i="27"/>
  <c r="K812" i="13" l="1"/>
  <c r="AF810" i="7"/>
  <c r="E811" i="7"/>
  <c r="F820" i="5"/>
  <c r="E820" i="5"/>
  <c r="G820" i="5"/>
  <c r="K820" i="5" s="1"/>
  <c r="I819" i="5"/>
  <c r="J819" i="5" s="1"/>
  <c r="B823" i="5"/>
  <c r="C821" i="5"/>
  <c r="D821" i="5" s="1"/>
  <c r="H822" i="5"/>
  <c r="T811" i="28"/>
  <c r="E812" i="28"/>
  <c r="S811" i="28"/>
  <c r="T811" i="13"/>
  <c r="U811" i="13" s="1"/>
  <c r="S811" i="13"/>
  <c r="AF811" i="13"/>
  <c r="AG811" i="13"/>
  <c r="AH811" i="13" s="1"/>
  <c r="E815" i="27"/>
  <c r="R812" i="13"/>
  <c r="AE812" i="13"/>
  <c r="E813" i="13"/>
  <c r="L813" i="13" s="1"/>
  <c r="K813" i="13" l="1"/>
  <c r="AF811" i="7"/>
  <c r="E812" i="7"/>
  <c r="F821" i="5"/>
  <c r="G821" i="5"/>
  <c r="K821" i="5" s="1"/>
  <c r="E821" i="5"/>
  <c r="I820" i="5"/>
  <c r="J820" i="5" s="1"/>
  <c r="C822" i="5"/>
  <c r="D822" i="5" s="1"/>
  <c r="B824" i="5"/>
  <c r="H823" i="5"/>
  <c r="S812" i="28"/>
  <c r="E813" i="28"/>
  <c r="T812" i="28"/>
  <c r="T812" i="13"/>
  <c r="U812" i="13" s="1"/>
  <c r="S812" i="13"/>
  <c r="AE813" i="13"/>
  <c r="R813" i="13"/>
  <c r="E814" i="13"/>
  <c r="L814" i="13" s="1"/>
  <c r="E816" i="27"/>
  <c r="AG812" i="13"/>
  <c r="AH812" i="13" s="1"/>
  <c r="AF812" i="13"/>
  <c r="K814" i="13" l="1"/>
  <c r="AF812" i="7"/>
  <c r="E813" i="7"/>
  <c r="G822" i="5"/>
  <c r="K822" i="5" s="1"/>
  <c r="F822" i="5"/>
  <c r="E822" i="5"/>
  <c r="I821" i="5"/>
  <c r="J821" i="5" s="1"/>
  <c r="H824" i="5"/>
  <c r="B825" i="5"/>
  <c r="C823" i="5"/>
  <c r="D823" i="5" s="1"/>
  <c r="S813" i="28"/>
  <c r="E814" i="28"/>
  <c r="T813" i="28"/>
  <c r="E817" i="27"/>
  <c r="AE814" i="13"/>
  <c r="R814" i="13"/>
  <c r="E815" i="13"/>
  <c r="L815" i="13" s="1"/>
  <c r="AG813" i="13"/>
  <c r="AH813" i="13" s="1"/>
  <c r="AF813" i="13"/>
  <c r="T813" i="13"/>
  <c r="U813" i="13" s="1"/>
  <c r="S813" i="13"/>
  <c r="K815" i="13" l="1"/>
  <c r="AF813" i="7"/>
  <c r="E814" i="7"/>
  <c r="G823" i="5"/>
  <c r="K823" i="5" s="1"/>
  <c r="F823" i="5"/>
  <c r="E823" i="5"/>
  <c r="I822" i="5"/>
  <c r="J822" i="5" s="1"/>
  <c r="C824" i="5"/>
  <c r="D824" i="5" s="1"/>
  <c r="B826" i="5"/>
  <c r="H825" i="5"/>
  <c r="E815" i="28"/>
  <c r="S814" i="28"/>
  <c r="T814" i="28"/>
  <c r="R815" i="13"/>
  <c r="AE815" i="13"/>
  <c r="E816" i="13"/>
  <c r="L816" i="13" s="1"/>
  <c r="T814" i="13"/>
  <c r="U814" i="13" s="1"/>
  <c r="S814" i="13"/>
  <c r="AG814" i="13"/>
  <c r="AH814" i="13" s="1"/>
  <c r="AF814" i="13"/>
  <c r="E818" i="27"/>
  <c r="K816" i="13" l="1"/>
  <c r="AF814" i="7"/>
  <c r="E815" i="7"/>
  <c r="I823" i="5"/>
  <c r="J823" i="5" s="1"/>
  <c r="H826" i="5"/>
  <c r="B827" i="5"/>
  <c r="C825" i="5"/>
  <c r="D825" i="5" s="1"/>
  <c r="G824" i="5"/>
  <c r="K824" i="5" s="1"/>
  <c r="E824" i="5"/>
  <c r="F824" i="5"/>
  <c r="S815" i="28"/>
  <c r="E816" i="28"/>
  <c r="T815" i="28"/>
  <c r="E819" i="27"/>
  <c r="AE816" i="13"/>
  <c r="E817" i="13"/>
  <c r="L817" i="13" s="1"/>
  <c r="R816" i="13"/>
  <c r="AG815" i="13"/>
  <c r="AH815" i="13" s="1"/>
  <c r="AF815" i="13"/>
  <c r="T815" i="13"/>
  <c r="U815" i="13" s="1"/>
  <c r="S815" i="13"/>
  <c r="K817" i="13" l="1"/>
  <c r="AF815" i="7"/>
  <c r="E816" i="7"/>
  <c r="F825" i="5"/>
  <c r="E825" i="5"/>
  <c r="G825" i="5"/>
  <c r="K825" i="5" s="1"/>
  <c r="H827" i="5"/>
  <c r="B828" i="5"/>
  <c r="C826" i="5"/>
  <c r="D826" i="5" s="1"/>
  <c r="I824" i="5"/>
  <c r="J824" i="5" s="1"/>
  <c r="S816" i="28"/>
  <c r="T816" i="28"/>
  <c r="E817" i="28"/>
  <c r="AG816" i="13"/>
  <c r="AH816" i="13" s="1"/>
  <c r="AF816" i="13"/>
  <c r="T816" i="13"/>
  <c r="U816" i="13" s="1"/>
  <c r="S816" i="13"/>
  <c r="E818" i="13"/>
  <c r="L818" i="13" s="1"/>
  <c r="R817" i="13"/>
  <c r="AE817" i="13"/>
  <c r="E820" i="27"/>
  <c r="K818" i="13" l="1"/>
  <c r="AF816" i="7"/>
  <c r="E817" i="7"/>
  <c r="C827" i="5"/>
  <c r="D827" i="5" s="1"/>
  <c r="B829" i="5"/>
  <c r="H828" i="5"/>
  <c r="F826" i="5"/>
  <c r="E826" i="5"/>
  <c r="G826" i="5"/>
  <c r="K826" i="5" s="1"/>
  <c r="I825" i="5"/>
  <c r="J825" i="5" s="1"/>
  <c r="E818" i="28"/>
  <c r="T817" i="28"/>
  <c r="S817" i="28"/>
  <c r="T817" i="13"/>
  <c r="U817" i="13" s="1"/>
  <c r="S817" i="13"/>
  <c r="E821" i="27"/>
  <c r="AG817" i="13"/>
  <c r="AH817" i="13" s="1"/>
  <c r="AF817" i="13"/>
  <c r="R818" i="13"/>
  <c r="E819" i="13"/>
  <c r="L819" i="13" s="1"/>
  <c r="AE818" i="13"/>
  <c r="K819" i="13" l="1"/>
  <c r="AF817" i="7"/>
  <c r="E818" i="7"/>
  <c r="H829" i="5"/>
  <c r="B830" i="5"/>
  <c r="C828" i="5"/>
  <c r="D828" i="5" s="1"/>
  <c r="I826" i="5"/>
  <c r="J826" i="5" s="1"/>
  <c r="E827" i="5"/>
  <c r="F827" i="5"/>
  <c r="G827" i="5"/>
  <c r="K827" i="5" s="1"/>
  <c r="E819" i="28"/>
  <c r="T818" i="28"/>
  <c r="S818" i="28"/>
  <c r="T818" i="13"/>
  <c r="U818" i="13" s="1"/>
  <c r="S818" i="13"/>
  <c r="AF818" i="13"/>
  <c r="AG818" i="13"/>
  <c r="AH818" i="13" s="1"/>
  <c r="E822" i="27"/>
  <c r="AE819" i="13"/>
  <c r="R819" i="13"/>
  <c r="E820" i="13"/>
  <c r="L820" i="13" s="1"/>
  <c r="K820" i="13" l="1"/>
  <c r="AF818" i="7"/>
  <c r="E819" i="7"/>
  <c r="G828" i="5"/>
  <c r="K828" i="5" s="1"/>
  <c r="F828" i="5"/>
  <c r="E828" i="5"/>
  <c r="H830" i="5"/>
  <c r="C829" i="5"/>
  <c r="D829" i="5" s="1"/>
  <c r="B831" i="5"/>
  <c r="I827" i="5"/>
  <c r="J827" i="5" s="1"/>
  <c r="T819" i="28"/>
  <c r="S819" i="28"/>
  <c r="E820" i="28"/>
  <c r="AE820" i="13"/>
  <c r="E821" i="13"/>
  <c r="L821" i="13" s="1"/>
  <c r="R820" i="13"/>
  <c r="AG819" i="13"/>
  <c r="AH819" i="13" s="1"/>
  <c r="AF819" i="13"/>
  <c r="T819" i="13"/>
  <c r="U819" i="13" s="1"/>
  <c r="S819" i="13"/>
  <c r="E823" i="27"/>
  <c r="K821" i="13" l="1"/>
  <c r="AF819" i="7"/>
  <c r="E820" i="7"/>
  <c r="I828" i="5"/>
  <c r="J828" i="5" s="1"/>
  <c r="H831" i="5"/>
  <c r="B832" i="5"/>
  <c r="C830" i="5"/>
  <c r="D830" i="5" s="1"/>
  <c r="G829" i="5"/>
  <c r="K829" i="5" s="1"/>
  <c r="F829" i="5"/>
  <c r="E829" i="5"/>
  <c r="S820" i="28"/>
  <c r="E821" i="28"/>
  <c r="T820" i="28"/>
  <c r="AF820" i="13"/>
  <c r="AG820" i="13"/>
  <c r="AH820" i="13" s="1"/>
  <c r="E824" i="27"/>
  <c r="S820" i="13"/>
  <c r="T820" i="13"/>
  <c r="U820" i="13" s="1"/>
  <c r="R821" i="13"/>
  <c r="E822" i="13"/>
  <c r="L822" i="13" s="1"/>
  <c r="AE821" i="13"/>
  <c r="K822" i="13" l="1"/>
  <c r="AF820" i="7"/>
  <c r="E821" i="7"/>
  <c r="G830" i="5"/>
  <c r="K830" i="5" s="1"/>
  <c r="E830" i="5"/>
  <c r="F830" i="5"/>
  <c r="I829" i="5"/>
  <c r="J829" i="5" s="1"/>
  <c r="H832" i="5"/>
  <c r="C831" i="5"/>
  <c r="D831" i="5" s="1"/>
  <c r="B833" i="5"/>
  <c r="T821" i="28"/>
  <c r="S821" i="28"/>
  <c r="E822" i="28"/>
  <c r="AF821" i="13"/>
  <c r="AG821" i="13"/>
  <c r="AH821" i="13" s="1"/>
  <c r="E825" i="27"/>
  <c r="R822" i="13"/>
  <c r="AE822" i="13"/>
  <c r="E823" i="13"/>
  <c r="L823" i="13" s="1"/>
  <c r="S821" i="13"/>
  <c r="T821" i="13"/>
  <c r="U821" i="13" s="1"/>
  <c r="K823" i="13" l="1"/>
  <c r="AF821" i="7"/>
  <c r="E822" i="7"/>
  <c r="H833" i="5"/>
  <c r="C832" i="5"/>
  <c r="D832" i="5" s="1"/>
  <c r="B834" i="5"/>
  <c r="F831" i="5"/>
  <c r="E831" i="5"/>
  <c r="G831" i="5"/>
  <c r="K831" i="5" s="1"/>
  <c r="I830" i="5"/>
  <c r="J830" i="5" s="1"/>
  <c r="T822" i="28"/>
  <c r="S822" i="28"/>
  <c r="E823" i="28"/>
  <c r="R823" i="13"/>
  <c r="E824" i="13"/>
  <c r="L824" i="13" s="1"/>
  <c r="AE823" i="13"/>
  <c r="S822" i="13"/>
  <c r="T822" i="13"/>
  <c r="U822" i="13" s="1"/>
  <c r="AF822" i="13"/>
  <c r="AG822" i="13"/>
  <c r="AH822" i="13" s="1"/>
  <c r="E826" i="27"/>
  <c r="K824" i="13" l="1"/>
  <c r="AF822" i="7"/>
  <c r="E823" i="7"/>
  <c r="H834" i="5"/>
  <c r="B835" i="5"/>
  <c r="C833" i="5"/>
  <c r="D833" i="5" s="1"/>
  <c r="F832" i="5"/>
  <c r="G832" i="5"/>
  <c r="K832" i="5" s="1"/>
  <c r="E832" i="5"/>
  <c r="I831" i="5"/>
  <c r="J831" i="5" s="1"/>
  <c r="T823" i="28"/>
  <c r="E824" i="28"/>
  <c r="S823" i="28"/>
  <c r="AG823" i="13"/>
  <c r="AH823" i="13" s="1"/>
  <c r="AF823" i="13"/>
  <c r="S823" i="13"/>
  <c r="T823" i="13"/>
  <c r="U823" i="13" s="1"/>
  <c r="E827" i="27"/>
  <c r="AE824" i="13"/>
  <c r="R824" i="13"/>
  <c r="E825" i="13"/>
  <c r="L825" i="13" s="1"/>
  <c r="K825" i="13" l="1"/>
  <c r="AF823" i="7"/>
  <c r="E824" i="7"/>
  <c r="G833" i="5"/>
  <c r="K833" i="5" s="1"/>
  <c r="F833" i="5"/>
  <c r="E833" i="5"/>
  <c r="I832" i="5"/>
  <c r="J832" i="5" s="1"/>
  <c r="B836" i="5"/>
  <c r="C834" i="5"/>
  <c r="D834" i="5" s="1"/>
  <c r="H835" i="5"/>
  <c r="S824" i="28"/>
  <c r="E825" i="28"/>
  <c r="T824" i="28"/>
  <c r="E828" i="27"/>
  <c r="T824" i="13"/>
  <c r="U824" i="13" s="1"/>
  <c r="S824" i="13"/>
  <c r="AF824" i="13"/>
  <c r="AG824" i="13"/>
  <c r="AH824" i="13" s="1"/>
  <c r="AE825" i="13"/>
  <c r="E826" i="13"/>
  <c r="L826" i="13" s="1"/>
  <c r="R825" i="13"/>
  <c r="K826" i="13" l="1"/>
  <c r="AF824" i="7"/>
  <c r="E825" i="7"/>
  <c r="I833" i="5"/>
  <c r="J833" i="5" s="1"/>
  <c r="G834" i="5"/>
  <c r="K834" i="5" s="1"/>
  <c r="F834" i="5"/>
  <c r="E834" i="5"/>
  <c r="B837" i="5"/>
  <c r="C835" i="5"/>
  <c r="D835" i="5" s="1"/>
  <c r="H836" i="5"/>
  <c r="S825" i="28"/>
  <c r="E826" i="28"/>
  <c r="T825" i="28"/>
  <c r="AF825" i="13"/>
  <c r="AG825" i="13"/>
  <c r="AH825" i="13" s="1"/>
  <c r="S825" i="13"/>
  <c r="T825" i="13"/>
  <c r="U825" i="13" s="1"/>
  <c r="R826" i="13"/>
  <c r="AE826" i="13"/>
  <c r="E827" i="13"/>
  <c r="L827" i="13" s="1"/>
  <c r="E829" i="27"/>
  <c r="K827" i="13" l="1"/>
  <c r="AF825" i="7"/>
  <c r="E826" i="7"/>
  <c r="I834" i="5"/>
  <c r="J834" i="5" s="1"/>
  <c r="G835" i="5"/>
  <c r="K835" i="5" s="1"/>
  <c r="E835" i="5"/>
  <c r="F835" i="5"/>
  <c r="B838" i="5"/>
  <c r="C836" i="5"/>
  <c r="D836" i="5" s="1"/>
  <c r="H837" i="5"/>
  <c r="S826" i="28"/>
  <c r="T826" i="28"/>
  <c r="E827" i="28"/>
  <c r="AG826" i="13"/>
  <c r="AH826" i="13" s="1"/>
  <c r="AF826" i="13"/>
  <c r="E830" i="27"/>
  <c r="S826" i="13"/>
  <c r="T826" i="13"/>
  <c r="U826" i="13" s="1"/>
  <c r="E828" i="13"/>
  <c r="L828" i="13" s="1"/>
  <c r="AE827" i="13"/>
  <c r="R827" i="13"/>
  <c r="K828" i="13" l="1"/>
  <c r="AF826" i="7"/>
  <c r="E827" i="7"/>
  <c r="H838" i="5"/>
  <c r="B839" i="5"/>
  <c r="C837" i="5"/>
  <c r="D837" i="5" s="1"/>
  <c r="G836" i="5"/>
  <c r="K836" i="5" s="1"/>
  <c r="E836" i="5"/>
  <c r="F836" i="5"/>
  <c r="I835" i="5"/>
  <c r="J835" i="5" s="1"/>
  <c r="S827" i="28"/>
  <c r="T827" i="28"/>
  <c r="E828" i="28"/>
  <c r="AG827" i="13"/>
  <c r="AH827" i="13" s="1"/>
  <c r="AF827" i="13"/>
  <c r="E831" i="27"/>
  <c r="E829" i="13"/>
  <c r="L829" i="13" s="1"/>
  <c r="AE828" i="13"/>
  <c r="R828" i="13"/>
  <c r="T827" i="13"/>
  <c r="U827" i="13" s="1"/>
  <c r="S827" i="13"/>
  <c r="K829" i="13" l="1"/>
  <c r="AF827" i="7"/>
  <c r="E828" i="7"/>
  <c r="H839" i="5"/>
  <c r="B840" i="5"/>
  <c r="C838" i="5"/>
  <c r="D838" i="5" s="1"/>
  <c r="G837" i="5"/>
  <c r="K837" i="5" s="1"/>
  <c r="E837" i="5"/>
  <c r="F837" i="5"/>
  <c r="I836" i="5"/>
  <c r="J836" i="5" s="1"/>
  <c r="T828" i="28"/>
  <c r="S828" i="28"/>
  <c r="E829" i="28"/>
  <c r="AE829" i="13"/>
  <c r="R829" i="13"/>
  <c r="E830" i="13"/>
  <c r="L830" i="13" s="1"/>
  <c r="S828" i="13"/>
  <c r="T828" i="13"/>
  <c r="U828" i="13" s="1"/>
  <c r="E832" i="27"/>
  <c r="AG828" i="13"/>
  <c r="AH828" i="13" s="1"/>
  <c r="AF828" i="13"/>
  <c r="K830" i="13" l="1"/>
  <c r="AF828" i="7"/>
  <c r="E829" i="7"/>
  <c r="G838" i="5"/>
  <c r="K838" i="5" s="1"/>
  <c r="F838" i="5"/>
  <c r="E838" i="5"/>
  <c r="H840" i="5"/>
  <c r="C839" i="5"/>
  <c r="D839" i="5" s="1"/>
  <c r="B841" i="5"/>
  <c r="I837" i="5"/>
  <c r="J837" i="5" s="1"/>
  <c r="S829" i="28"/>
  <c r="T829" i="28"/>
  <c r="E830" i="28"/>
  <c r="AE830" i="13"/>
  <c r="R830" i="13"/>
  <c r="E831" i="13"/>
  <c r="L831" i="13" s="1"/>
  <c r="AG829" i="13"/>
  <c r="AH829" i="13" s="1"/>
  <c r="AF829" i="13"/>
  <c r="E833" i="27"/>
  <c r="S829" i="13"/>
  <c r="T829" i="13"/>
  <c r="U829" i="13" s="1"/>
  <c r="K831" i="13" l="1"/>
  <c r="AF829" i="7"/>
  <c r="E830" i="7"/>
  <c r="I838" i="5"/>
  <c r="J838" i="5" s="1"/>
  <c r="B842" i="5"/>
  <c r="C840" i="5"/>
  <c r="D840" i="5" s="1"/>
  <c r="H841" i="5"/>
  <c r="G839" i="5"/>
  <c r="K839" i="5" s="1"/>
  <c r="E839" i="5"/>
  <c r="F839" i="5"/>
  <c r="T830" i="28"/>
  <c r="E831" i="28"/>
  <c r="S830" i="28"/>
  <c r="AF830" i="13"/>
  <c r="AG830" i="13"/>
  <c r="AH830" i="13" s="1"/>
  <c r="E834" i="27"/>
  <c r="E832" i="13"/>
  <c r="L832" i="13" s="1"/>
  <c r="R831" i="13"/>
  <c r="AE831" i="13"/>
  <c r="S830" i="13"/>
  <c r="T830" i="13"/>
  <c r="U830" i="13" s="1"/>
  <c r="K832" i="13" l="1"/>
  <c r="AF830" i="7"/>
  <c r="E831" i="7"/>
  <c r="G840" i="5"/>
  <c r="K840" i="5" s="1"/>
  <c r="F840" i="5"/>
  <c r="E840" i="5"/>
  <c r="I839" i="5"/>
  <c r="J839" i="5" s="1"/>
  <c r="H842" i="5"/>
  <c r="C841" i="5"/>
  <c r="D841" i="5" s="1"/>
  <c r="B843" i="5"/>
  <c r="E832" i="28"/>
  <c r="S831" i="28"/>
  <c r="T831" i="28"/>
  <c r="AE832" i="13"/>
  <c r="E833" i="13"/>
  <c r="L833" i="13" s="1"/>
  <c r="R832" i="13"/>
  <c r="AF831" i="13"/>
  <c r="AG831" i="13"/>
  <c r="AH831" i="13" s="1"/>
  <c r="T831" i="13"/>
  <c r="U831" i="13" s="1"/>
  <c r="S831" i="13"/>
  <c r="E835" i="27"/>
  <c r="K833" i="13" l="1"/>
  <c r="AF831" i="7"/>
  <c r="E832" i="7"/>
  <c r="C842" i="5"/>
  <c r="D842" i="5" s="1"/>
  <c r="H843" i="5"/>
  <c r="B844" i="5"/>
  <c r="I840" i="5"/>
  <c r="J840" i="5" s="1"/>
  <c r="F841" i="5"/>
  <c r="E841" i="5"/>
  <c r="G841" i="5"/>
  <c r="K841" i="5" s="1"/>
  <c r="E833" i="28"/>
  <c r="T832" i="28"/>
  <c r="S832" i="28"/>
  <c r="R833" i="13"/>
  <c r="AE833" i="13"/>
  <c r="E834" i="13"/>
  <c r="L834" i="13" s="1"/>
  <c r="AF832" i="13"/>
  <c r="AG832" i="13"/>
  <c r="AH832" i="13" s="1"/>
  <c r="E836" i="27"/>
  <c r="T832" i="13"/>
  <c r="U832" i="13" s="1"/>
  <c r="S832" i="13"/>
  <c r="K834" i="13" l="1"/>
  <c r="AF832" i="7"/>
  <c r="E833" i="7"/>
  <c r="C843" i="5"/>
  <c r="D843" i="5" s="1"/>
  <c r="H844" i="5"/>
  <c r="B845" i="5"/>
  <c r="I841" i="5"/>
  <c r="J841" i="5" s="1"/>
  <c r="F842" i="5"/>
  <c r="E842" i="5"/>
  <c r="G842" i="5"/>
  <c r="K842" i="5" s="1"/>
  <c r="T833" i="28"/>
  <c r="S833" i="28"/>
  <c r="E834" i="28"/>
  <c r="AE834" i="13"/>
  <c r="R834" i="13"/>
  <c r="E835" i="13"/>
  <c r="L835" i="13" s="1"/>
  <c r="E837" i="27"/>
  <c r="AF833" i="13"/>
  <c r="AG833" i="13"/>
  <c r="AH833" i="13" s="1"/>
  <c r="S833" i="13"/>
  <c r="T833" i="13"/>
  <c r="U833" i="13" s="1"/>
  <c r="K835" i="13" l="1"/>
  <c r="AF833" i="7"/>
  <c r="E834" i="7"/>
  <c r="C844" i="5"/>
  <c r="D844" i="5" s="1"/>
  <c r="B846" i="5"/>
  <c r="H845" i="5"/>
  <c r="I842" i="5"/>
  <c r="J842" i="5" s="1"/>
  <c r="F843" i="5"/>
  <c r="E843" i="5"/>
  <c r="G843" i="5"/>
  <c r="K843" i="5" s="1"/>
  <c r="T834" i="28"/>
  <c r="S834" i="28"/>
  <c r="E835" i="28"/>
  <c r="E838" i="27"/>
  <c r="T834" i="13"/>
  <c r="U834" i="13" s="1"/>
  <c r="S834" i="13"/>
  <c r="R835" i="13"/>
  <c r="E836" i="13"/>
  <c r="L836" i="13" s="1"/>
  <c r="AE835" i="13"/>
  <c r="AG834" i="13"/>
  <c r="AH834" i="13" s="1"/>
  <c r="AF834" i="13"/>
  <c r="K836" i="13" l="1"/>
  <c r="AF834" i="7"/>
  <c r="E835" i="7"/>
  <c r="I843" i="5"/>
  <c r="J843" i="5" s="1"/>
  <c r="H846" i="5"/>
  <c r="B847" i="5"/>
  <c r="C845" i="5"/>
  <c r="D845" i="5" s="1"/>
  <c r="F844" i="5"/>
  <c r="G844" i="5"/>
  <c r="K844" i="5" s="1"/>
  <c r="E844" i="5"/>
  <c r="T835" i="28"/>
  <c r="S835" i="28"/>
  <c r="E836" i="28"/>
  <c r="T835" i="13"/>
  <c r="U835" i="13" s="1"/>
  <c r="S835" i="13"/>
  <c r="AF835" i="13"/>
  <c r="AG835" i="13"/>
  <c r="AH835" i="13" s="1"/>
  <c r="E839" i="27"/>
  <c r="R836" i="13"/>
  <c r="AE836" i="13"/>
  <c r="E837" i="13"/>
  <c r="L837" i="13" s="1"/>
  <c r="K837" i="13" l="1"/>
  <c r="AF835" i="7"/>
  <c r="E836" i="7"/>
  <c r="F845" i="5"/>
  <c r="G845" i="5"/>
  <c r="K845" i="5" s="1"/>
  <c r="E845" i="5"/>
  <c r="I844" i="5"/>
  <c r="J844" i="5" s="1"/>
  <c r="H847" i="5"/>
  <c r="C846" i="5"/>
  <c r="D846" i="5" s="1"/>
  <c r="B848" i="5"/>
  <c r="T836" i="28"/>
  <c r="S836" i="28"/>
  <c r="E837" i="28"/>
  <c r="AF836" i="13"/>
  <c r="AG836" i="13"/>
  <c r="AH836" i="13" s="1"/>
  <c r="E840" i="27"/>
  <c r="S836" i="13"/>
  <c r="T836" i="13"/>
  <c r="U836" i="13" s="1"/>
  <c r="R837" i="13"/>
  <c r="E838" i="13"/>
  <c r="L838" i="13" s="1"/>
  <c r="AE837" i="13"/>
  <c r="K838" i="13" l="1"/>
  <c r="AF836" i="7"/>
  <c r="E837" i="7"/>
  <c r="C847" i="5"/>
  <c r="D847" i="5" s="1"/>
  <c r="B849" i="5"/>
  <c r="H848" i="5"/>
  <c r="I845" i="5"/>
  <c r="J845" i="5" s="1"/>
  <c r="F846" i="5"/>
  <c r="G846" i="5"/>
  <c r="K846" i="5" s="1"/>
  <c r="E846" i="5"/>
  <c r="E838" i="28"/>
  <c r="T837" i="28"/>
  <c r="S837" i="28"/>
  <c r="AG837" i="13"/>
  <c r="AH837" i="13" s="1"/>
  <c r="AF837" i="13"/>
  <c r="AE838" i="13"/>
  <c r="R838" i="13"/>
  <c r="E839" i="13"/>
  <c r="L839" i="13" s="1"/>
  <c r="E841" i="27"/>
  <c r="S837" i="13"/>
  <c r="T837" i="13"/>
  <c r="U837" i="13" s="1"/>
  <c r="K839" i="13" l="1"/>
  <c r="AF837" i="7"/>
  <c r="E838" i="7"/>
  <c r="I846" i="5"/>
  <c r="J846" i="5" s="1"/>
  <c r="H849" i="5"/>
  <c r="B850" i="5"/>
  <c r="C848" i="5"/>
  <c r="D848" i="5" s="1"/>
  <c r="G847" i="5"/>
  <c r="K847" i="5" s="1"/>
  <c r="F847" i="5"/>
  <c r="E847" i="5"/>
  <c r="T838" i="28"/>
  <c r="E839" i="28"/>
  <c r="S838" i="28"/>
  <c r="E842" i="27"/>
  <c r="R839" i="13"/>
  <c r="AE839" i="13"/>
  <c r="E840" i="13"/>
  <c r="L840" i="13" s="1"/>
  <c r="AG838" i="13"/>
  <c r="AH838" i="13" s="1"/>
  <c r="AF838" i="13"/>
  <c r="T838" i="13"/>
  <c r="U838" i="13" s="1"/>
  <c r="S838" i="13"/>
  <c r="K840" i="13" l="1"/>
  <c r="AF838" i="7"/>
  <c r="E839" i="7"/>
  <c r="G848" i="5"/>
  <c r="K848" i="5" s="1"/>
  <c r="E848" i="5"/>
  <c r="F848" i="5"/>
  <c r="I847" i="5"/>
  <c r="J847" i="5" s="1"/>
  <c r="C849" i="5"/>
  <c r="D849" i="5" s="1"/>
  <c r="B851" i="5"/>
  <c r="H850" i="5"/>
  <c r="E840" i="28"/>
  <c r="T839" i="28"/>
  <c r="S839" i="28"/>
  <c r="T839" i="13"/>
  <c r="U839" i="13" s="1"/>
  <c r="S839" i="13"/>
  <c r="AE840" i="13"/>
  <c r="E841" i="13"/>
  <c r="L841" i="13" s="1"/>
  <c r="R840" i="13"/>
  <c r="AG839" i="13"/>
  <c r="AH839" i="13" s="1"/>
  <c r="AF839" i="13"/>
  <c r="E843" i="27"/>
  <c r="K841" i="13" l="1"/>
  <c r="AF839" i="7"/>
  <c r="E840" i="7"/>
  <c r="H851" i="5"/>
  <c r="B852" i="5"/>
  <c r="C850" i="5"/>
  <c r="D850" i="5" s="1"/>
  <c r="I848" i="5"/>
  <c r="J848" i="5" s="1"/>
  <c r="G849" i="5"/>
  <c r="K849" i="5" s="1"/>
  <c r="E849" i="5"/>
  <c r="F849" i="5"/>
  <c r="T840" i="28"/>
  <c r="E841" i="28"/>
  <c r="S840" i="28"/>
  <c r="S840" i="13"/>
  <c r="T840" i="13"/>
  <c r="U840" i="13" s="1"/>
  <c r="R841" i="13"/>
  <c r="AE841" i="13"/>
  <c r="E842" i="13"/>
  <c r="L842" i="13" s="1"/>
  <c r="AG840" i="13"/>
  <c r="AH840" i="13" s="1"/>
  <c r="AF840" i="13"/>
  <c r="E844" i="27"/>
  <c r="K842" i="13" l="1"/>
  <c r="AF840" i="7"/>
  <c r="E841" i="7"/>
  <c r="E850" i="5"/>
  <c r="G850" i="5"/>
  <c r="K850" i="5" s="1"/>
  <c r="F850" i="5"/>
  <c r="I849" i="5"/>
  <c r="J849" i="5" s="1"/>
  <c r="H852" i="5"/>
  <c r="C851" i="5"/>
  <c r="D851" i="5" s="1"/>
  <c r="B853" i="5"/>
  <c r="E842" i="28"/>
  <c r="S841" i="28"/>
  <c r="T841" i="28"/>
  <c r="AF841" i="13"/>
  <c r="AG841" i="13"/>
  <c r="AH841" i="13" s="1"/>
  <c r="S841" i="13"/>
  <c r="T841" i="13"/>
  <c r="U841" i="13" s="1"/>
  <c r="E845" i="27"/>
  <c r="E843" i="13"/>
  <c r="L843" i="13" s="1"/>
  <c r="R842" i="13"/>
  <c r="AE842" i="13"/>
  <c r="K843" i="13" l="1"/>
  <c r="AF841" i="7"/>
  <c r="E842" i="7"/>
  <c r="G851" i="5"/>
  <c r="K851" i="5" s="1"/>
  <c r="F851" i="5"/>
  <c r="E851" i="5"/>
  <c r="H853" i="5"/>
  <c r="C852" i="5"/>
  <c r="D852" i="5" s="1"/>
  <c r="B854" i="5"/>
  <c r="I850" i="5"/>
  <c r="J850" i="5" s="1"/>
  <c r="T842" i="28"/>
  <c r="S842" i="28"/>
  <c r="E843" i="28"/>
  <c r="T842" i="13"/>
  <c r="U842" i="13" s="1"/>
  <c r="S842" i="13"/>
  <c r="E846" i="27"/>
  <c r="E844" i="13"/>
  <c r="L844" i="13" s="1"/>
  <c r="AE843" i="13"/>
  <c r="R843" i="13"/>
  <c r="AG842" i="13"/>
  <c r="AH842" i="13" s="1"/>
  <c r="AF842" i="13"/>
  <c r="K844" i="13" l="1"/>
  <c r="AF842" i="7"/>
  <c r="E843" i="7"/>
  <c r="I851" i="5"/>
  <c r="J851" i="5" s="1"/>
  <c r="H854" i="5"/>
  <c r="C853" i="5"/>
  <c r="D853" i="5" s="1"/>
  <c r="B855" i="5"/>
  <c r="F852" i="5"/>
  <c r="G852" i="5"/>
  <c r="K852" i="5" s="1"/>
  <c r="E852" i="5"/>
  <c r="E844" i="28"/>
  <c r="S843" i="28"/>
  <c r="T843" i="28"/>
  <c r="R844" i="13"/>
  <c r="AE844" i="13"/>
  <c r="E845" i="13"/>
  <c r="L845" i="13" s="1"/>
  <c r="T843" i="13"/>
  <c r="U843" i="13" s="1"/>
  <c r="S843" i="13"/>
  <c r="AG843" i="13"/>
  <c r="AH843" i="13" s="1"/>
  <c r="AF843" i="13"/>
  <c r="E847" i="27"/>
  <c r="K845" i="13" l="1"/>
  <c r="AF843" i="7"/>
  <c r="E844" i="7"/>
  <c r="C854" i="5"/>
  <c r="D854" i="5" s="1"/>
  <c r="B856" i="5"/>
  <c r="H855" i="5"/>
  <c r="I852" i="5"/>
  <c r="J852" i="5" s="1"/>
  <c r="G853" i="5"/>
  <c r="K853" i="5" s="1"/>
  <c r="F853" i="5"/>
  <c r="E853" i="5"/>
  <c r="S844" i="28"/>
  <c r="T844" i="28"/>
  <c r="E845" i="28"/>
  <c r="AG844" i="13"/>
  <c r="AH844" i="13" s="1"/>
  <c r="AF844" i="13"/>
  <c r="T844" i="13"/>
  <c r="U844" i="13" s="1"/>
  <c r="S844" i="13"/>
  <c r="E848" i="27"/>
  <c r="AE845" i="13"/>
  <c r="E846" i="13"/>
  <c r="L846" i="13" s="1"/>
  <c r="R845" i="13"/>
  <c r="K846" i="13" l="1"/>
  <c r="AF844" i="7"/>
  <c r="E845" i="7"/>
  <c r="I853" i="5"/>
  <c r="J853" i="5" s="1"/>
  <c r="C855" i="5"/>
  <c r="D855" i="5" s="1"/>
  <c r="H856" i="5"/>
  <c r="B857" i="5"/>
  <c r="G854" i="5"/>
  <c r="K854" i="5" s="1"/>
  <c r="F854" i="5"/>
  <c r="E854" i="5"/>
  <c r="S845" i="28"/>
  <c r="T845" i="28"/>
  <c r="E846" i="28"/>
  <c r="T845" i="13"/>
  <c r="U845" i="13" s="1"/>
  <c r="S845" i="13"/>
  <c r="AG845" i="13"/>
  <c r="AH845" i="13" s="1"/>
  <c r="AF845" i="13"/>
  <c r="R846" i="13"/>
  <c r="AE846" i="13"/>
  <c r="E847" i="13"/>
  <c r="L847" i="13" s="1"/>
  <c r="E849" i="27"/>
  <c r="K847" i="13" l="1"/>
  <c r="AF845" i="7"/>
  <c r="E846" i="7"/>
  <c r="C856" i="5"/>
  <c r="D856" i="5" s="1"/>
  <c r="H857" i="5"/>
  <c r="B858" i="5"/>
  <c r="I854" i="5"/>
  <c r="J854" i="5" s="1"/>
  <c r="F855" i="5"/>
  <c r="E855" i="5"/>
  <c r="G855" i="5"/>
  <c r="K855" i="5" s="1"/>
  <c r="E847" i="28"/>
  <c r="S846" i="28"/>
  <c r="T846" i="28"/>
  <c r="E848" i="13"/>
  <c r="L848" i="13" s="1"/>
  <c r="R847" i="13"/>
  <c r="AE847" i="13"/>
  <c r="S846" i="13"/>
  <c r="T846" i="13"/>
  <c r="U846" i="13" s="1"/>
  <c r="E850" i="27"/>
  <c r="AG846" i="13"/>
  <c r="AH846" i="13" s="1"/>
  <c r="AF846" i="13"/>
  <c r="K848" i="13" l="1"/>
  <c r="AF846" i="7"/>
  <c r="E847" i="7"/>
  <c r="H858" i="5"/>
  <c r="B859" i="5"/>
  <c r="C857" i="5"/>
  <c r="D857" i="5" s="1"/>
  <c r="I855" i="5"/>
  <c r="J855" i="5" s="1"/>
  <c r="E856" i="5"/>
  <c r="F856" i="5"/>
  <c r="G856" i="5"/>
  <c r="K856" i="5" s="1"/>
  <c r="S847" i="28"/>
  <c r="E848" i="28"/>
  <c r="T847" i="28"/>
  <c r="AG847" i="13"/>
  <c r="AH847" i="13" s="1"/>
  <c r="AF847" i="13"/>
  <c r="E849" i="13"/>
  <c r="L849" i="13" s="1"/>
  <c r="R848" i="13"/>
  <c r="AE848" i="13"/>
  <c r="E851" i="27"/>
  <c r="S847" i="13"/>
  <c r="T847" i="13"/>
  <c r="U847" i="13" s="1"/>
  <c r="K849" i="13" l="1"/>
  <c r="AF847" i="7"/>
  <c r="E848" i="7"/>
  <c r="F857" i="5"/>
  <c r="E857" i="5"/>
  <c r="G857" i="5"/>
  <c r="K857" i="5" s="1"/>
  <c r="H859" i="5"/>
  <c r="C858" i="5"/>
  <c r="D858" i="5" s="1"/>
  <c r="B860" i="5"/>
  <c r="I856" i="5"/>
  <c r="J856" i="5" s="1"/>
  <c r="S848" i="28"/>
  <c r="E849" i="28"/>
  <c r="T848" i="28"/>
  <c r="E852" i="27"/>
  <c r="R849" i="13"/>
  <c r="AE849" i="13"/>
  <c r="E850" i="13"/>
  <c r="L850" i="13" s="1"/>
  <c r="AF848" i="13"/>
  <c r="AG848" i="13"/>
  <c r="AH848" i="13" s="1"/>
  <c r="T848" i="13"/>
  <c r="U848" i="13" s="1"/>
  <c r="S848" i="13"/>
  <c r="K850" i="13" l="1"/>
  <c r="AF848" i="7"/>
  <c r="E849" i="7"/>
  <c r="C859" i="5"/>
  <c r="D859" i="5" s="1"/>
  <c r="B861" i="5"/>
  <c r="H860" i="5"/>
  <c r="I857" i="5"/>
  <c r="J857" i="5" s="1"/>
  <c r="F858" i="5"/>
  <c r="G858" i="5"/>
  <c r="K858" i="5" s="1"/>
  <c r="E858" i="5"/>
  <c r="S849" i="28"/>
  <c r="E850" i="28"/>
  <c r="T849" i="28"/>
  <c r="AE850" i="13"/>
  <c r="R850" i="13"/>
  <c r="E851" i="13"/>
  <c r="L851" i="13" s="1"/>
  <c r="T849" i="13"/>
  <c r="U849" i="13" s="1"/>
  <c r="S849" i="13"/>
  <c r="AF849" i="13"/>
  <c r="AG849" i="13"/>
  <c r="AH849" i="13" s="1"/>
  <c r="E853" i="27"/>
  <c r="K851" i="13" l="1"/>
  <c r="AF849" i="7"/>
  <c r="E850" i="7"/>
  <c r="I858" i="5"/>
  <c r="J858" i="5" s="1"/>
  <c r="C860" i="5"/>
  <c r="D860" i="5" s="1"/>
  <c r="H861" i="5"/>
  <c r="B862" i="5"/>
  <c r="F859" i="5"/>
  <c r="G859" i="5"/>
  <c r="K859" i="5" s="1"/>
  <c r="E859" i="5"/>
  <c r="S850" i="28"/>
  <c r="T850" i="28"/>
  <c r="E851" i="28"/>
  <c r="E854" i="27"/>
  <c r="S850" i="13"/>
  <c r="T850" i="13"/>
  <c r="U850" i="13" s="1"/>
  <c r="AF850" i="13"/>
  <c r="AG850" i="13"/>
  <c r="AH850" i="13" s="1"/>
  <c r="R851" i="13"/>
  <c r="AE851" i="13"/>
  <c r="E852" i="13"/>
  <c r="L852" i="13" s="1"/>
  <c r="K852" i="13" l="1"/>
  <c r="AF850" i="7"/>
  <c r="E851" i="7"/>
  <c r="I859" i="5"/>
  <c r="J859" i="5" s="1"/>
  <c r="C861" i="5"/>
  <c r="D861" i="5" s="1"/>
  <c r="H862" i="5"/>
  <c r="B863" i="5"/>
  <c r="F860" i="5"/>
  <c r="E860" i="5"/>
  <c r="G860" i="5"/>
  <c r="K860" i="5" s="1"/>
  <c r="T851" i="28"/>
  <c r="S851" i="28"/>
  <c r="E852" i="28"/>
  <c r="S851" i="13"/>
  <c r="T851" i="13"/>
  <c r="U851" i="13" s="1"/>
  <c r="E855" i="27"/>
  <c r="E853" i="13"/>
  <c r="L853" i="13" s="1"/>
  <c r="R852" i="13"/>
  <c r="AE852" i="13"/>
  <c r="AG851" i="13"/>
  <c r="AH851" i="13" s="1"/>
  <c r="AF851" i="13"/>
  <c r="K853" i="13" l="1"/>
  <c r="AF851" i="7"/>
  <c r="E852" i="7"/>
  <c r="I860" i="5"/>
  <c r="J860" i="5" s="1"/>
  <c r="F861" i="5"/>
  <c r="E861" i="5"/>
  <c r="G861" i="5"/>
  <c r="K861" i="5" s="1"/>
  <c r="C862" i="5"/>
  <c r="D862" i="5" s="1"/>
  <c r="B864" i="5"/>
  <c r="H863" i="5"/>
  <c r="S852" i="28"/>
  <c r="E853" i="28"/>
  <c r="T852" i="28"/>
  <c r="AF852" i="13"/>
  <c r="AG852" i="13"/>
  <c r="AH852" i="13" s="1"/>
  <c r="AE853" i="13"/>
  <c r="E854" i="13"/>
  <c r="L854" i="13" s="1"/>
  <c r="R853" i="13"/>
  <c r="T852" i="13"/>
  <c r="U852" i="13" s="1"/>
  <c r="S852" i="13"/>
  <c r="E856" i="27"/>
  <c r="K854" i="13" l="1"/>
  <c r="AF852" i="7"/>
  <c r="E853" i="7"/>
  <c r="I861" i="5"/>
  <c r="J861" i="5" s="1"/>
  <c r="H864" i="5"/>
  <c r="C863" i="5"/>
  <c r="D863" i="5" s="1"/>
  <c r="B865" i="5"/>
  <c r="F862" i="5"/>
  <c r="E862" i="5"/>
  <c r="G862" i="5"/>
  <c r="K862" i="5" s="1"/>
  <c r="E854" i="28"/>
  <c r="S853" i="28"/>
  <c r="T853" i="28"/>
  <c r="T853" i="13"/>
  <c r="U853" i="13" s="1"/>
  <c r="S853" i="13"/>
  <c r="AF853" i="13"/>
  <c r="AG853" i="13"/>
  <c r="AH853" i="13" s="1"/>
  <c r="E857" i="27"/>
  <c r="E855" i="13"/>
  <c r="L855" i="13" s="1"/>
  <c r="R854" i="13"/>
  <c r="AE854" i="13"/>
  <c r="K855" i="13" l="1"/>
  <c r="AF853" i="7"/>
  <c r="E854" i="7"/>
  <c r="F863" i="5"/>
  <c r="E863" i="5"/>
  <c r="G863" i="5"/>
  <c r="K863" i="5" s="1"/>
  <c r="H865" i="5"/>
  <c r="B866" i="5"/>
  <c r="C864" i="5"/>
  <c r="D864" i="5" s="1"/>
  <c r="I862" i="5"/>
  <c r="J862" i="5" s="1"/>
  <c r="E855" i="28"/>
  <c r="S854" i="28"/>
  <c r="T854" i="28"/>
  <c r="AF854" i="13"/>
  <c r="AG854" i="13"/>
  <c r="AH854" i="13" s="1"/>
  <c r="R855" i="13"/>
  <c r="E856" i="13"/>
  <c r="L856" i="13" s="1"/>
  <c r="AE855" i="13"/>
  <c r="E858" i="27"/>
  <c r="S854" i="13"/>
  <c r="T854" i="13"/>
  <c r="U854" i="13" s="1"/>
  <c r="K856" i="13" l="1"/>
  <c r="AF854" i="7"/>
  <c r="E855" i="7"/>
  <c r="E864" i="5"/>
  <c r="G864" i="5"/>
  <c r="K864" i="5" s="1"/>
  <c r="F864" i="5"/>
  <c r="I863" i="5"/>
  <c r="J863" i="5" s="1"/>
  <c r="B867" i="5"/>
  <c r="H866" i="5"/>
  <c r="C865" i="5"/>
  <c r="D865" i="5" s="1"/>
  <c r="T855" i="28"/>
  <c r="S855" i="28"/>
  <c r="E856" i="28"/>
  <c r="S855" i="13"/>
  <c r="T855" i="13"/>
  <c r="U855" i="13" s="1"/>
  <c r="AF855" i="13"/>
  <c r="AG855" i="13"/>
  <c r="AH855" i="13" s="1"/>
  <c r="E859" i="27"/>
  <c r="R856" i="13"/>
  <c r="AE856" i="13"/>
  <c r="E857" i="13"/>
  <c r="L857" i="13" s="1"/>
  <c r="K857" i="13" l="1"/>
  <c r="AF855" i="7"/>
  <c r="E856" i="7"/>
  <c r="E865" i="5"/>
  <c r="F865" i="5"/>
  <c r="G865" i="5"/>
  <c r="K865" i="5" s="1"/>
  <c r="H867" i="5"/>
  <c r="C866" i="5"/>
  <c r="D866" i="5" s="1"/>
  <c r="B868" i="5"/>
  <c r="I864" i="5"/>
  <c r="J864" i="5" s="1"/>
  <c r="S856" i="28"/>
  <c r="T856" i="28"/>
  <c r="E857" i="28"/>
  <c r="T856" i="13"/>
  <c r="U856" i="13" s="1"/>
  <c r="S856" i="13"/>
  <c r="E860" i="27"/>
  <c r="AE857" i="13"/>
  <c r="R857" i="13"/>
  <c r="E858" i="13"/>
  <c r="L858" i="13" s="1"/>
  <c r="AG856" i="13"/>
  <c r="AH856" i="13" s="1"/>
  <c r="AF856" i="13"/>
  <c r="K858" i="13" l="1"/>
  <c r="AF856" i="7"/>
  <c r="E857" i="7"/>
  <c r="B869" i="5"/>
  <c r="H868" i="5"/>
  <c r="C867" i="5"/>
  <c r="D867" i="5" s="1"/>
  <c r="F866" i="5"/>
  <c r="G866" i="5"/>
  <c r="K866" i="5" s="1"/>
  <c r="E866" i="5"/>
  <c r="I865" i="5"/>
  <c r="J865" i="5" s="1"/>
  <c r="E858" i="28"/>
  <c r="T857" i="28"/>
  <c r="S857" i="28"/>
  <c r="E859" i="13"/>
  <c r="L859" i="13" s="1"/>
  <c r="AE858" i="13"/>
  <c r="R858" i="13"/>
  <c r="E861" i="27"/>
  <c r="S857" i="13"/>
  <c r="T857" i="13"/>
  <c r="U857" i="13" s="1"/>
  <c r="AF857" i="13"/>
  <c r="AG857" i="13"/>
  <c r="AH857" i="13" s="1"/>
  <c r="K859" i="13" l="1"/>
  <c r="AF857" i="7"/>
  <c r="E858" i="7"/>
  <c r="E867" i="5"/>
  <c r="F867" i="5"/>
  <c r="G867" i="5"/>
  <c r="K867" i="5" s="1"/>
  <c r="I866" i="5"/>
  <c r="J866" i="5" s="1"/>
  <c r="C868" i="5"/>
  <c r="D868" i="5" s="1"/>
  <c r="B870" i="5"/>
  <c r="H869" i="5"/>
  <c r="T858" i="28"/>
  <c r="S858" i="28"/>
  <c r="E859" i="28"/>
  <c r="T858" i="13"/>
  <c r="U858" i="13" s="1"/>
  <c r="S858" i="13"/>
  <c r="AG858" i="13"/>
  <c r="AH858" i="13" s="1"/>
  <c r="AF858" i="13"/>
  <c r="E862" i="27"/>
  <c r="R859" i="13"/>
  <c r="E860" i="13"/>
  <c r="L860" i="13" s="1"/>
  <c r="AE859" i="13"/>
  <c r="K860" i="13" l="1"/>
  <c r="AF858" i="7"/>
  <c r="E859" i="7"/>
  <c r="C869" i="5"/>
  <c r="D869" i="5" s="1"/>
  <c r="H870" i="5"/>
  <c r="B871" i="5"/>
  <c r="E868" i="5"/>
  <c r="G868" i="5"/>
  <c r="K868" i="5" s="1"/>
  <c r="F868" i="5"/>
  <c r="I867" i="5"/>
  <c r="J867" i="5" s="1"/>
  <c r="T859" i="28"/>
  <c r="E860" i="28"/>
  <c r="S859" i="28"/>
  <c r="S859" i="13"/>
  <c r="T859" i="13"/>
  <c r="U859" i="13" s="1"/>
  <c r="AF859" i="13"/>
  <c r="AG859" i="13"/>
  <c r="AH859" i="13" s="1"/>
  <c r="R860" i="13"/>
  <c r="AE860" i="13"/>
  <c r="E861" i="13"/>
  <c r="L861" i="13" s="1"/>
  <c r="E863" i="27"/>
  <c r="K861" i="13" l="1"/>
  <c r="AF859" i="7"/>
  <c r="E860" i="7"/>
  <c r="I868" i="5"/>
  <c r="J868" i="5" s="1"/>
  <c r="H871" i="5"/>
  <c r="C870" i="5"/>
  <c r="D870" i="5" s="1"/>
  <c r="B872" i="5"/>
  <c r="F869" i="5"/>
  <c r="G869" i="5"/>
  <c r="K869" i="5" s="1"/>
  <c r="E869" i="5"/>
  <c r="T860" i="28"/>
  <c r="E861" i="28"/>
  <c r="S860" i="28"/>
  <c r="R861" i="13"/>
  <c r="AE861" i="13"/>
  <c r="E862" i="13"/>
  <c r="L862" i="13" s="1"/>
  <c r="S860" i="13"/>
  <c r="T860" i="13"/>
  <c r="U860" i="13" s="1"/>
  <c r="E864" i="27"/>
  <c r="AG860" i="13"/>
  <c r="AH860" i="13" s="1"/>
  <c r="AF860" i="13"/>
  <c r="K862" i="13" l="1"/>
  <c r="AF860" i="7"/>
  <c r="E861" i="7"/>
  <c r="I869" i="5"/>
  <c r="J869" i="5" s="1"/>
  <c r="F870" i="5"/>
  <c r="E870" i="5"/>
  <c r="G870" i="5"/>
  <c r="K870" i="5" s="1"/>
  <c r="B873" i="5"/>
  <c r="H872" i="5"/>
  <c r="C871" i="5"/>
  <c r="D871" i="5" s="1"/>
  <c r="T861" i="28"/>
  <c r="E862" i="28"/>
  <c r="S861" i="28"/>
  <c r="AE862" i="13"/>
  <c r="E863" i="13"/>
  <c r="L863" i="13" s="1"/>
  <c r="R862" i="13"/>
  <c r="AF861" i="13"/>
  <c r="AG861" i="13"/>
  <c r="AH861" i="13" s="1"/>
  <c r="E865" i="27"/>
  <c r="T861" i="13"/>
  <c r="U861" i="13" s="1"/>
  <c r="S861" i="13"/>
  <c r="K863" i="13" l="1"/>
  <c r="AF861" i="7"/>
  <c r="E862" i="7"/>
  <c r="I870" i="5"/>
  <c r="J870" i="5" s="1"/>
  <c r="E871" i="5"/>
  <c r="F871" i="5"/>
  <c r="G871" i="5"/>
  <c r="K871" i="5" s="1"/>
  <c r="C872" i="5"/>
  <c r="D872" i="5" s="1"/>
  <c r="B874" i="5"/>
  <c r="H873" i="5"/>
  <c r="T862" i="28"/>
  <c r="E863" i="28"/>
  <c r="S862" i="28"/>
  <c r="E866" i="27"/>
  <c r="S862" i="13"/>
  <c r="T862" i="13"/>
  <c r="U862" i="13" s="1"/>
  <c r="AG862" i="13"/>
  <c r="AH862" i="13" s="1"/>
  <c r="AF862" i="13"/>
  <c r="AE863" i="13"/>
  <c r="R863" i="13"/>
  <c r="E864" i="13"/>
  <c r="L864" i="13" s="1"/>
  <c r="K864" i="13" l="1"/>
  <c r="AF862" i="7"/>
  <c r="E863" i="7"/>
  <c r="E872" i="5"/>
  <c r="F872" i="5"/>
  <c r="G872" i="5"/>
  <c r="K872" i="5" s="1"/>
  <c r="C873" i="5"/>
  <c r="D873" i="5" s="1"/>
  <c r="H874" i="5"/>
  <c r="B875" i="5"/>
  <c r="I871" i="5"/>
  <c r="J871" i="5" s="1"/>
  <c r="S863" i="28"/>
  <c r="T863" i="28"/>
  <c r="E864" i="28"/>
  <c r="T863" i="13"/>
  <c r="U863" i="13" s="1"/>
  <c r="S863" i="13"/>
  <c r="E867" i="27"/>
  <c r="AF863" i="13"/>
  <c r="AG863" i="13"/>
  <c r="AH863" i="13" s="1"/>
  <c r="AE864" i="13"/>
  <c r="R864" i="13"/>
  <c r="E865" i="13"/>
  <c r="L865" i="13" s="1"/>
  <c r="K865" i="13" l="1"/>
  <c r="AF863" i="7"/>
  <c r="E864" i="7"/>
  <c r="G873" i="5"/>
  <c r="K873" i="5" s="1"/>
  <c r="E873" i="5"/>
  <c r="F873" i="5"/>
  <c r="B876" i="5"/>
  <c r="C874" i="5"/>
  <c r="D874" i="5" s="1"/>
  <c r="H875" i="5"/>
  <c r="I872" i="5"/>
  <c r="J872" i="5" s="1"/>
  <c r="T864" i="28"/>
  <c r="S864" i="28"/>
  <c r="E865" i="28"/>
  <c r="E868" i="27"/>
  <c r="AE865" i="13"/>
  <c r="E866" i="13"/>
  <c r="L866" i="13" s="1"/>
  <c r="R865" i="13"/>
  <c r="AF864" i="13"/>
  <c r="AG864" i="13"/>
  <c r="AH864" i="13" s="1"/>
  <c r="S864" i="13"/>
  <c r="T864" i="13"/>
  <c r="U864" i="13" s="1"/>
  <c r="K866" i="13" l="1"/>
  <c r="AF864" i="7"/>
  <c r="E865" i="7"/>
  <c r="C875" i="5"/>
  <c r="D875" i="5" s="1"/>
  <c r="B877" i="5"/>
  <c r="H876" i="5"/>
  <c r="I873" i="5"/>
  <c r="J873" i="5" s="1"/>
  <c r="G874" i="5"/>
  <c r="K874" i="5" s="1"/>
  <c r="E874" i="5"/>
  <c r="F874" i="5"/>
  <c r="S865" i="28"/>
  <c r="E866" i="28"/>
  <c r="T865" i="28"/>
  <c r="AE866" i="13"/>
  <c r="R866" i="13"/>
  <c r="E867" i="13"/>
  <c r="L867" i="13" s="1"/>
  <c r="T865" i="13"/>
  <c r="U865" i="13" s="1"/>
  <c r="S865" i="13"/>
  <c r="AF865" i="13"/>
  <c r="AG865" i="13"/>
  <c r="AH865" i="13" s="1"/>
  <c r="E869" i="27"/>
  <c r="K867" i="13" l="1"/>
  <c r="AF865" i="7"/>
  <c r="E866" i="7"/>
  <c r="H877" i="5"/>
  <c r="C876" i="5"/>
  <c r="D876" i="5" s="1"/>
  <c r="B878" i="5"/>
  <c r="I874" i="5"/>
  <c r="J874" i="5" s="1"/>
  <c r="G875" i="5"/>
  <c r="K875" i="5" s="1"/>
  <c r="E875" i="5"/>
  <c r="F875" i="5"/>
  <c r="E867" i="28"/>
  <c r="S866" i="28"/>
  <c r="T866" i="28"/>
  <c r="R867" i="13"/>
  <c r="E868" i="13"/>
  <c r="L868" i="13" s="1"/>
  <c r="AE867" i="13"/>
  <c r="AF866" i="13"/>
  <c r="AG866" i="13"/>
  <c r="AH866" i="13" s="1"/>
  <c r="E870" i="27"/>
  <c r="T866" i="13"/>
  <c r="U866" i="13" s="1"/>
  <c r="S866" i="13"/>
  <c r="K868" i="13" l="1"/>
  <c r="AF866" i="7"/>
  <c r="E867" i="7"/>
  <c r="I875" i="5"/>
  <c r="J875" i="5" s="1"/>
  <c r="E876" i="5"/>
  <c r="F876" i="5"/>
  <c r="G876" i="5"/>
  <c r="K876" i="5" s="1"/>
  <c r="H878" i="5"/>
  <c r="C877" i="5"/>
  <c r="D877" i="5" s="1"/>
  <c r="B879" i="5"/>
  <c r="E868" i="28"/>
  <c r="T867" i="28"/>
  <c r="S867" i="28"/>
  <c r="AE868" i="13"/>
  <c r="R868" i="13"/>
  <c r="E869" i="13"/>
  <c r="L869" i="13" s="1"/>
  <c r="E871" i="27"/>
  <c r="T867" i="13"/>
  <c r="U867" i="13" s="1"/>
  <c r="S867" i="13"/>
  <c r="AG867" i="13"/>
  <c r="AH867" i="13" s="1"/>
  <c r="AF867" i="13"/>
  <c r="K869" i="13" l="1"/>
  <c r="AF867" i="7"/>
  <c r="E868" i="7"/>
  <c r="B880" i="5"/>
  <c r="C878" i="5"/>
  <c r="D878" i="5" s="1"/>
  <c r="H879" i="5"/>
  <c r="F877" i="5"/>
  <c r="G877" i="5"/>
  <c r="K877" i="5" s="1"/>
  <c r="E877" i="5"/>
  <c r="I876" i="5"/>
  <c r="J876" i="5" s="1"/>
  <c r="T868" i="28"/>
  <c r="S868" i="28"/>
  <c r="E869" i="28"/>
  <c r="T868" i="13"/>
  <c r="U868" i="13" s="1"/>
  <c r="S868" i="13"/>
  <c r="AF868" i="13"/>
  <c r="AG868" i="13"/>
  <c r="AH868" i="13" s="1"/>
  <c r="E872" i="27"/>
  <c r="R869" i="13"/>
  <c r="E870" i="13"/>
  <c r="L870" i="13" s="1"/>
  <c r="AE869" i="13"/>
  <c r="K870" i="13" l="1"/>
  <c r="AF868" i="7"/>
  <c r="E869" i="7"/>
  <c r="I877" i="5"/>
  <c r="J877" i="5" s="1"/>
  <c r="G878" i="5"/>
  <c r="K878" i="5" s="1"/>
  <c r="F878" i="5"/>
  <c r="E878" i="5"/>
  <c r="H880" i="5"/>
  <c r="C879" i="5"/>
  <c r="D879" i="5" s="1"/>
  <c r="B881" i="5"/>
  <c r="S869" i="28"/>
  <c r="T869" i="28"/>
  <c r="E870" i="28"/>
  <c r="AG869" i="13"/>
  <c r="AH869" i="13" s="1"/>
  <c r="AF869" i="13"/>
  <c r="S869" i="13"/>
  <c r="T869" i="13"/>
  <c r="U869" i="13" s="1"/>
  <c r="AE870" i="13"/>
  <c r="R870" i="13"/>
  <c r="E871" i="13"/>
  <c r="L871" i="13" s="1"/>
  <c r="E873" i="27"/>
  <c r="K871" i="13" l="1"/>
  <c r="AF869" i="7"/>
  <c r="E870" i="7"/>
  <c r="I878" i="5"/>
  <c r="J878" i="5" s="1"/>
  <c r="H881" i="5"/>
  <c r="C880" i="5"/>
  <c r="D880" i="5" s="1"/>
  <c r="B882" i="5"/>
  <c r="E879" i="5"/>
  <c r="F879" i="5"/>
  <c r="G879" i="5"/>
  <c r="K879" i="5" s="1"/>
  <c r="S870" i="28"/>
  <c r="T870" i="28"/>
  <c r="E871" i="28"/>
  <c r="AG870" i="13"/>
  <c r="AH870" i="13" s="1"/>
  <c r="AF870" i="13"/>
  <c r="AE871" i="13"/>
  <c r="R871" i="13"/>
  <c r="E872" i="13"/>
  <c r="L872" i="13" s="1"/>
  <c r="E874" i="27"/>
  <c r="T870" i="13"/>
  <c r="U870" i="13" s="1"/>
  <c r="S870" i="13"/>
  <c r="K872" i="13" l="1"/>
  <c r="AF870" i="7"/>
  <c r="E871" i="7"/>
  <c r="I879" i="5"/>
  <c r="J879" i="5" s="1"/>
  <c r="B883" i="5"/>
  <c r="C881" i="5"/>
  <c r="D881" i="5" s="1"/>
  <c r="H882" i="5"/>
  <c r="E880" i="5"/>
  <c r="G880" i="5"/>
  <c r="K880" i="5" s="1"/>
  <c r="F880" i="5"/>
  <c r="T871" i="28"/>
  <c r="S871" i="28"/>
  <c r="E872" i="28"/>
  <c r="E875" i="27"/>
  <c r="AE872" i="13"/>
  <c r="R872" i="13"/>
  <c r="E873" i="13"/>
  <c r="L873" i="13" s="1"/>
  <c r="AG871" i="13"/>
  <c r="AH871" i="13" s="1"/>
  <c r="AF871" i="13"/>
  <c r="S871" i="13"/>
  <c r="T871" i="13"/>
  <c r="U871" i="13" s="1"/>
  <c r="K873" i="13" l="1"/>
  <c r="AF871" i="7"/>
  <c r="E872" i="7"/>
  <c r="I880" i="5"/>
  <c r="J880" i="5" s="1"/>
  <c r="F881" i="5"/>
  <c r="E881" i="5"/>
  <c r="G881" i="5"/>
  <c r="K881" i="5" s="1"/>
  <c r="C882" i="5"/>
  <c r="D882" i="5" s="1"/>
  <c r="H883" i="5"/>
  <c r="B884" i="5"/>
  <c r="T872" i="28"/>
  <c r="S872" i="28"/>
  <c r="E873" i="28"/>
  <c r="AG872" i="13"/>
  <c r="AH872" i="13" s="1"/>
  <c r="AF872" i="13"/>
  <c r="T872" i="13"/>
  <c r="U872" i="13" s="1"/>
  <c r="S872" i="13"/>
  <c r="E876" i="27"/>
  <c r="AE873" i="13"/>
  <c r="E874" i="13"/>
  <c r="L874" i="13" s="1"/>
  <c r="R873" i="13"/>
  <c r="K874" i="13" l="1"/>
  <c r="AF872" i="7"/>
  <c r="E873" i="7"/>
  <c r="B885" i="5"/>
  <c r="C883" i="5"/>
  <c r="D883" i="5" s="1"/>
  <c r="H884" i="5"/>
  <c r="I881" i="5"/>
  <c r="J881" i="5" s="1"/>
  <c r="F882" i="5"/>
  <c r="E882" i="5"/>
  <c r="G882" i="5"/>
  <c r="K882" i="5" s="1"/>
  <c r="T873" i="28"/>
  <c r="S873" i="28"/>
  <c r="E874" i="28"/>
  <c r="E877" i="27"/>
  <c r="R874" i="13"/>
  <c r="AE874" i="13"/>
  <c r="E875" i="13"/>
  <c r="L875" i="13" s="1"/>
  <c r="T873" i="13"/>
  <c r="U873" i="13" s="1"/>
  <c r="S873" i="13"/>
  <c r="AF873" i="13"/>
  <c r="AG873" i="13"/>
  <c r="AH873" i="13" s="1"/>
  <c r="K875" i="13" l="1"/>
  <c r="AF873" i="7"/>
  <c r="E874" i="7"/>
  <c r="I882" i="5"/>
  <c r="J882" i="5" s="1"/>
  <c r="F883" i="5"/>
  <c r="G883" i="5"/>
  <c r="K883" i="5" s="1"/>
  <c r="E883" i="5"/>
  <c r="B886" i="5"/>
  <c r="H885" i="5"/>
  <c r="C884" i="5"/>
  <c r="D884" i="5" s="1"/>
  <c r="T874" i="28"/>
  <c r="S874" i="28"/>
  <c r="E875" i="28"/>
  <c r="AF874" i="13"/>
  <c r="AG874" i="13"/>
  <c r="AH874" i="13" s="1"/>
  <c r="AE875" i="13"/>
  <c r="R875" i="13"/>
  <c r="E876" i="13"/>
  <c r="L876" i="13" s="1"/>
  <c r="T874" i="13"/>
  <c r="U874" i="13" s="1"/>
  <c r="S874" i="13"/>
  <c r="E878" i="27"/>
  <c r="K876" i="13" l="1"/>
  <c r="AF874" i="7"/>
  <c r="E875" i="7"/>
  <c r="I883" i="5"/>
  <c r="J883" i="5" s="1"/>
  <c r="F884" i="5"/>
  <c r="E884" i="5"/>
  <c r="G884" i="5"/>
  <c r="K884" i="5" s="1"/>
  <c r="H886" i="5"/>
  <c r="C885" i="5"/>
  <c r="D885" i="5" s="1"/>
  <c r="B887" i="5"/>
  <c r="E876" i="28"/>
  <c r="S875" i="28"/>
  <c r="T875" i="28"/>
  <c r="R876" i="13"/>
  <c r="AE876" i="13"/>
  <c r="E877" i="13"/>
  <c r="L877" i="13" s="1"/>
  <c r="E879" i="27"/>
  <c r="S875" i="13"/>
  <c r="T875" i="13"/>
  <c r="U875" i="13" s="1"/>
  <c r="AG875" i="13"/>
  <c r="AH875" i="13" s="1"/>
  <c r="AF875" i="13"/>
  <c r="K877" i="13" l="1"/>
  <c r="AF875" i="7"/>
  <c r="E876" i="7"/>
  <c r="B888" i="5"/>
  <c r="H887" i="5"/>
  <c r="C886" i="5"/>
  <c r="D886" i="5" s="1"/>
  <c r="I884" i="5"/>
  <c r="J884" i="5" s="1"/>
  <c r="F885" i="5"/>
  <c r="E885" i="5"/>
  <c r="G885" i="5"/>
  <c r="K885" i="5" s="1"/>
  <c r="T876" i="28"/>
  <c r="S876" i="28"/>
  <c r="E877" i="28"/>
  <c r="S876" i="13"/>
  <c r="T876" i="13"/>
  <c r="U876" i="13" s="1"/>
  <c r="E880" i="27"/>
  <c r="AE877" i="13"/>
  <c r="R877" i="13"/>
  <c r="E878" i="13"/>
  <c r="L878" i="13" s="1"/>
  <c r="AG876" i="13"/>
  <c r="AH876" i="13" s="1"/>
  <c r="AF876" i="13"/>
  <c r="K878" i="13" l="1"/>
  <c r="AF876" i="7"/>
  <c r="E877" i="7"/>
  <c r="E886" i="5"/>
  <c r="F886" i="5"/>
  <c r="G886" i="5"/>
  <c r="K886" i="5" s="1"/>
  <c r="I885" i="5"/>
  <c r="J885" i="5" s="1"/>
  <c r="H888" i="5"/>
  <c r="C887" i="5"/>
  <c r="D887" i="5" s="1"/>
  <c r="B889" i="5"/>
  <c r="S877" i="28"/>
  <c r="T877" i="28"/>
  <c r="E878" i="28"/>
  <c r="R878" i="13"/>
  <c r="AE878" i="13"/>
  <c r="E879" i="13"/>
  <c r="L879" i="13" s="1"/>
  <c r="S877" i="13"/>
  <c r="T877" i="13"/>
  <c r="U877" i="13" s="1"/>
  <c r="AF877" i="13"/>
  <c r="AG877" i="13"/>
  <c r="AH877" i="13" s="1"/>
  <c r="E881" i="27"/>
  <c r="K879" i="13" l="1"/>
  <c r="AF877" i="7"/>
  <c r="E878" i="7"/>
  <c r="C888" i="5"/>
  <c r="D888" i="5" s="1"/>
  <c r="B890" i="5"/>
  <c r="H889" i="5"/>
  <c r="E887" i="5"/>
  <c r="F887" i="5"/>
  <c r="G887" i="5"/>
  <c r="K887" i="5" s="1"/>
  <c r="I886" i="5"/>
  <c r="J886" i="5" s="1"/>
  <c r="T878" i="28"/>
  <c r="E879" i="28"/>
  <c r="S878" i="28"/>
  <c r="S878" i="13"/>
  <c r="T878" i="13"/>
  <c r="U878" i="13" s="1"/>
  <c r="E882" i="27"/>
  <c r="AE879" i="13"/>
  <c r="R879" i="13"/>
  <c r="E880" i="13"/>
  <c r="L880" i="13" s="1"/>
  <c r="AG878" i="13"/>
  <c r="AH878" i="13" s="1"/>
  <c r="AF878" i="13"/>
  <c r="K880" i="13" l="1"/>
  <c r="AF878" i="7"/>
  <c r="E879" i="7"/>
  <c r="I887" i="5"/>
  <c r="J887" i="5" s="1"/>
  <c r="B891" i="5"/>
  <c r="C889" i="5"/>
  <c r="D889" i="5" s="1"/>
  <c r="H890" i="5"/>
  <c r="F888" i="5"/>
  <c r="E888" i="5"/>
  <c r="G888" i="5"/>
  <c r="K888" i="5" s="1"/>
  <c r="S879" i="28"/>
  <c r="E880" i="28"/>
  <c r="T879" i="28"/>
  <c r="AF879" i="13"/>
  <c r="AG879" i="13"/>
  <c r="AH879" i="13" s="1"/>
  <c r="R880" i="13"/>
  <c r="AE880" i="13"/>
  <c r="E881" i="13"/>
  <c r="L881" i="13" s="1"/>
  <c r="E883" i="27"/>
  <c r="T879" i="13"/>
  <c r="U879" i="13" s="1"/>
  <c r="S879" i="13"/>
  <c r="K881" i="13" l="1"/>
  <c r="AF879" i="7"/>
  <c r="E880" i="7"/>
  <c r="G889" i="5"/>
  <c r="K889" i="5" s="1"/>
  <c r="F889" i="5"/>
  <c r="E889" i="5"/>
  <c r="I888" i="5"/>
  <c r="J888" i="5" s="1"/>
  <c r="B892" i="5"/>
  <c r="C890" i="5"/>
  <c r="D890" i="5" s="1"/>
  <c r="H891" i="5"/>
  <c r="T880" i="28"/>
  <c r="S880" i="28"/>
  <c r="E881" i="28"/>
  <c r="R881" i="13"/>
  <c r="AE881" i="13"/>
  <c r="E882" i="13"/>
  <c r="L882" i="13" s="1"/>
  <c r="AF880" i="13"/>
  <c r="AG880" i="13"/>
  <c r="AH880" i="13" s="1"/>
  <c r="T880" i="13"/>
  <c r="U880" i="13" s="1"/>
  <c r="S880" i="13"/>
  <c r="E884" i="27"/>
  <c r="K882" i="13" l="1"/>
  <c r="AF880" i="7"/>
  <c r="E881" i="7"/>
  <c r="I889" i="5"/>
  <c r="J889" i="5" s="1"/>
  <c r="G890" i="5"/>
  <c r="K890" i="5" s="1"/>
  <c r="F890" i="5"/>
  <c r="E890" i="5"/>
  <c r="H892" i="5"/>
  <c r="B893" i="5"/>
  <c r="C891" i="5"/>
  <c r="D891" i="5" s="1"/>
  <c r="E882" i="28"/>
  <c r="S881" i="28"/>
  <c r="T881" i="28"/>
  <c r="E885" i="27"/>
  <c r="E883" i="13"/>
  <c r="L883" i="13" s="1"/>
  <c r="R882" i="13"/>
  <c r="AE882" i="13"/>
  <c r="S881" i="13"/>
  <c r="T881" i="13"/>
  <c r="U881" i="13" s="1"/>
  <c r="AG881" i="13"/>
  <c r="AH881" i="13" s="1"/>
  <c r="AF881" i="13"/>
  <c r="K883" i="13" l="1"/>
  <c r="AF881" i="7"/>
  <c r="E882" i="7"/>
  <c r="I890" i="5"/>
  <c r="J890" i="5" s="1"/>
  <c r="E891" i="5"/>
  <c r="F891" i="5"/>
  <c r="G891" i="5"/>
  <c r="K891" i="5" s="1"/>
  <c r="H893" i="5"/>
  <c r="B894" i="5"/>
  <c r="C892" i="5"/>
  <c r="D892" i="5" s="1"/>
  <c r="E883" i="28"/>
  <c r="S882" i="28"/>
  <c r="T882" i="28"/>
  <c r="S882" i="13"/>
  <c r="T882" i="13"/>
  <c r="U882" i="13" s="1"/>
  <c r="R883" i="13"/>
  <c r="AE883" i="13"/>
  <c r="E884" i="13"/>
  <c r="L884" i="13" s="1"/>
  <c r="E886" i="27"/>
  <c r="AG882" i="13"/>
  <c r="AH882" i="13" s="1"/>
  <c r="AF882" i="13"/>
  <c r="K884" i="13" l="1"/>
  <c r="AF882" i="7"/>
  <c r="E883" i="7"/>
  <c r="G892" i="5"/>
  <c r="K892" i="5" s="1"/>
  <c r="F892" i="5"/>
  <c r="E892" i="5"/>
  <c r="C893" i="5"/>
  <c r="D893" i="5" s="1"/>
  <c r="H894" i="5"/>
  <c r="B895" i="5"/>
  <c r="I891" i="5"/>
  <c r="J891" i="5" s="1"/>
  <c r="T883" i="28"/>
  <c r="S883" i="28"/>
  <c r="E884" i="28"/>
  <c r="E887" i="27"/>
  <c r="AG883" i="13"/>
  <c r="AH883" i="13" s="1"/>
  <c r="AF883" i="13"/>
  <c r="T883" i="13"/>
  <c r="U883" i="13" s="1"/>
  <c r="S883" i="13"/>
  <c r="R884" i="13"/>
  <c r="E885" i="13"/>
  <c r="L885" i="13" s="1"/>
  <c r="AE884" i="13"/>
  <c r="K885" i="13" l="1"/>
  <c r="AF883" i="7"/>
  <c r="E884" i="7"/>
  <c r="G893" i="5"/>
  <c r="K893" i="5" s="1"/>
  <c r="E893" i="5"/>
  <c r="F893" i="5"/>
  <c r="I892" i="5"/>
  <c r="J892" i="5" s="1"/>
  <c r="B896" i="5"/>
  <c r="C894" i="5"/>
  <c r="D894" i="5" s="1"/>
  <c r="H895" i="5"/>
  <c r="E885" i="28"/>
  <c r="S884" i="28"/>
  <c r="T884" i="28"/>
  <c r="AF884" i="13"/>
  <c r="AG884" i="13"/>
  <c r="AH884" i="13" s="1"/>
  <c r="R885" i="13"/>
  <c r="E886" i="13"/>
  <c r="L886" i="13" s="1"/>
  <c r="AE885" i="13"/>
  <c r="E888" i="27"/>
  <c r="T884" i="13"/>
  <c r="U884" i="13" s="1"/>
  <c r="S884" i="13"/>
  <c r="K886" i="13" l="1"/>
  <c r="AF884" i="7"/>
  <c r="E885" i="7"/>
  <c r="F894" i="5"/>
  <c r="G894" i="5"/>
  <c r="K894" i="5" s="1"/>
  <c r="E894" i="5"/>
  <c r="I893" i="5"/>
  <c r="J893" i="5" s="1"/>
  <c r="B897" i="5"/>
  <c r="H896" i="5"/>
  <c r="C895" i="5"/>
  <c r="D895" i="5" s="1"/>
  <c r="T885" i="28"/>
  <c r="S885" i="28"/>
  <c r="E886" i="28"/>
  <c r="E889" i="27"/>
  <c r="AG885" i="13"/>
  <c r="AH885" i="13" s="1"/>
  <c r="AF885" i="13"/>
  <c r="T885" i="13"/>
  <c r="U885" i="13" s="1"/>
  <c r="S885" i="13"/>
  <c r="AE886" i="13"/>
  <c r="R886" i="13"/>
  <c r="E887" i="13"/>
  <c r="L887" i="13" s="1"/>
  <c r="K887" i="13" l="1"/>
  <c r="AF885" i="7"/>
  <c r="E886" i="7"/>
  <c r="G895" i="5"/>
  <c r="K895" i="5" s="1"/>
  <c r="F895" i="5"/>
  <c r="E895" i="5"/>
  <c r="I894" i="5"/>
  <c r="J894" i="5" s="1"/>
  <c r="H897" i="5"/>
  <c r="B898" i="5"/>
  <c r="C896" i="5"/>
  <c r="D896" i="5" s="1"/>
  <c r="E887" i="28"/>
  <c r="S886" i="28"/>
  <c r="T886" i="28"/>
  <c r="AG886" i="13"/>
  <c r="AH886" i="13" s="1"/>
  <c r="AF886" i="13"/>
  <c r="AE887" i="13"/>
  <c r="R887" i="13"/>
  <c r="E888" i="13"/>
  <c r="L888" i="13" s="1"/>
  <c r="E890" i="27"/>
  <c r="S886" i="13"/>
  <c r="T886" i="13"/>
  <c r="U886" i="13" s="1"/>
  <c r="K888" i="13" l="1"/>
  <c r="AF886" i="7"/>
  <c r="E887" i="7"/>
  <c r="F896" i="5"/>
  <c r="G896" i="5"/>
  <c r="K896" i="5" s="1"/>
  <c r="E896" i="5"/>
  <c r="I895" i="5"/>
  <c r="J895" i="5" s="1"/>
  <c r="H898" i="5"/>
  <c r="C897" i="5"/>
  <c r="D897" i="5" s="1"/>
  <c r="B899" i="5"/>
  <c r="T887" i="28"/>
  <c r="S887" i="28"/>
  <c r="E888" i="28"/>
  <c r="E891" i="27"/>
  <c r="AE888" i="13"/>
  <c r="E889" i="13"/>
  <c r="L889" i="13" s="1"/>
  <c r="R888" i="13"/>
  <c r="T887" i="13"/>
  <c r="U887" i="13" s="1"/>
  <c r="S887" i="13"/>
  <c r="AG887" i="13"/>
  <c r="AH887" i="13" s="1"/>
  <c r="AF887" i="13"/>
  <c r="K889" i="13" l="1"/>
  <c r="AF887" i="7"/>
  <c r="E888" i="7"/>
  <c r="B900" i="5"/>
  <c r="C898" i="5"/>
  <c r="D898" i="5" s="1"/>
  <c r="H899" i="5"/>
  <c r="I896" i="5"/>
  <c r="J896" i="5" s="1"/>
  <c r="G897" i="5"/>
  <c r="K897" i="5" s="1"/>
  <c r="F897" i="5"/>
  <c r="E897" i="5"/>
  <c r="E889" i="28"/>
  <c r="S888" i="28"/>
  <c r="T888" i="28"/>
  <c r="R889" i="13"/>
  <c r="AE889" i="13"/>
  <c r="E890" i="13"/>
  <c r="L890" i="13" s="1"/>
  <c r="AF888" i="13"/>
  <c r="AG888" i="13"/>
  <c r="AH888" i="13" s="1"/>
  <c r="E892" i="27"/>
  <c r="T888" i="13"/>
  <c r="U888" i="13" s="1"/>
  <c r="S888" i="13"/>
  <c r="K890" i="13" l="1"/>
  <c r="AF888" i="7"/>
  <c r="E889" i="7"/>
  <c r="I897" i="5"/>
  <c r="J897" i="5" s="1"/>
  <c r="F898" i="5"/>
  <c r="E898" i="5"/>
  <c r="G898" i="5"/>
  <c r="K898" i="5" s="1"/>
  <c r="C899" i="5"/>
  <c r="D899" i="5" s="1"/>
  <c r="H900" i="5"/>
  <c r="B901" i="5"/>
  <c r="T889" i="28"/>
  <c r="E890" i="28"/>
  <c r="S889" i="28"/>
  <c r="AF889" i="13"/>
  <c r="AG889" i="13"/>
  <c r="AH889" i="13" s="1"/>
  <c r="E893" i="27"/>
  <c r="S889" i="13"/>
  <c r="T889" i="13"/>
  <c r="U889" i="13" s="1"/>
  <c r="R890" i="13"/>
  <c r="E891" i="13"/>
  <c r="L891" i="13" s="1"/>
  <c r="AE890" i="13"/>
  <c r="K891" i="13" l="1"/>
  <c r="AF889" i="7"/>
  <c r="E890" i="7"/>
  <c r="I898" i="5"/>
  <c r="J898" i="5" s="1"/>
  <c r="C900" i="5"/>
  <c r="D900" i="5" s="1"/>
  <c r="B902" i="5"/>
  <c r="H901" i="5"/>
  <c r="G899" i="5"/>
  <c r="K899" i="5" s="1"/>
  <c r="F899" i="5"/>
  <c r="E899" i="5"/>
  <c r="S890" i="28"/>
  <c r="E891" i="28"/>
  <c r="T890" i="28"/>
  <c r="E894" i="27"/>
  <c r="AG890" i="13"/>
  <c r="AH890" i="13" s="1"/>
  <c r="AF890" i="13"/>
  <c r="T890" i="13"/>
  <c r="U890" i="13" s="1"/>
  <c r="S890" i="13"/>
  <c r="AE891" i="13"/>
  <c r="R891" i="13"/>
  <c r="E892" i="13"/>
  <c r="L892" i="13" s="1"/>
  <c r="K892" i="13" l="1"/>
  <c r="AF890" i="7"/>
  <c r="E891" i="7"/>
  <c r="I899" i="5"/>
  <c r="J899" i="5" s="1"/>
  <c r="C901" i="5"/>
  <c r="D901" i="5" s="1"/>
  <c r="H902" i="5"/>
  <c r="B903" i="5"/>
  <c r="F900" i="5"/>
  <c r="E900" i="5"/>
  <c r="G900" i="5"/>
  <c r="K900" i="5" s="1"/>
  <c r="T891" i="28"/>
  <c r="S891" i="28"/>
  <c r="E892" i="28"/>
  <c r="AE892" i="13"/>
  <c r="E893" i="13"/>
  <c r="L893" i="13" s="1"/>
  <c r="R892" i="13"/>
  <c r="T891" i="13"/>
  <c r="U891" i="13" s="1"/>
  <c r="S891" i="13"/>
  <c r="AG891" i="13"/>
  <c r="AH891" i="13" s="1"/>
  <c r="AF891" i="13"/>
  <c r="E895" i="27"/>
  <c r="K893" i="13" l="1"/>
  <c r="AF891" i="7"/>
  <c r="E892" i="7"/>
  <c r="C902" i="5"/>
  <c r="D902" i="5" s="1"/>
  <c r="B904" i="5"/>
  <c r="H903" i="5"/>
  <c r="I900" i="5"/>
  <c r="J900" i="5" s="1"/>
  <c r="E901" i="5"/>
  <c r="G901" i="5"/>
  <c r="K901" i="5" s="1"/>
  <c r="F901" i="5"/>
  <c r="S892" i="28"/>
  <c r="T892" i="28"/>
  <c r="E893" i="28"/>
  <c r="AG892" i="13"/>
  <c r="AH892" i="13" s="1"/>
  <c r="AF892" i="13"/>
  <c r="E896" i="27"/>
  <c r="T892" i="13"/>
  <c r="U892" i="13" s="1"/>
  <c r="S892" i="13"/>
  <c r="AE893" i="13"/>
  <c r="E894" i="13"/>
  <c r="L894" i="13" s="1"/>
  <c r="R893" i="13"/>
  <c r="K894" i="13" l="1"/>
  <c r="AF892" i="7"/>
  <c r="E893" i="7"/>
  <c r="C903" i="5"/>
  <c r="D903" i="5" s="1"/>
  <c r="B905" i="5"/>
  <c r="H904" i="5"/>
  <c r="I901" i="5"/>
  <c r="J901" i="5" s="1"/>
  <c r="E902" i="5"/>
  <c r="F902" i="5"/>
  <c r="G902" i="5"/>
  <c r="K902" i="5" s="1"/>
  <c r="T893" i="28"/>
  <c r="S893" i="28"/>
  <c r="E894" i="28"/>
  <c r="S893" i="13"/>
  <c r="T893" i="13"/>
  <c r="U893" i="13" s="1"/>
  <c r="R894" i="13"/>
  <c r="E895" i="13"/>
  <c r="L895" i="13" s="1"/>
  <c r="AE894" i="13"/>
  <c r="AG893" i="13"/>
  <c r="AH893" i="13" s="1"/>
  <c r="AF893" i="13"/>
  <c r="E897" i="27"/>
  <c r="K895" i="13" l="1"/>
  <c r="AF893" i="7"/>
  <c r="E894" i="7"/>
  <c r="B906" i="5"/>
  <c r="C904" i="5"/>
  <c r="D904" i="5" s="1"/>
  <c r="H905" i="5"/>
  <c r="I902" i="5"/>
  <c r="J902" i="5" s="1"/>
  <c r="G903" i="5"/>
  <c r="K903" i="5" s="1"/>
  <c r="F903" i="5"/>
  <c r="E903" i="5"/>
  <c r="E895" i="28"/>
  <c r="S894" i="28"/>
  <c r="T894" i="28"/>
  <c r="E898" i="27"/>
  <c r="AF894" i="13"/>
  <c r="AG894" i="13"/>
  <c r="AH894" i="13" s="1"/>
  <c r="S894" i="13"/>
  <c r="T894" i="13"/>
  <c r="U894" i="13" s="1"/>
  <c r="R895" i="13"/>
  <c r="AE895" i="13"/>
  <c r="E896" i="13"/>
  <c r="L896" i="13" s="1"/>
  <c r="K896" i="13" l="1"/>
  <c r="AF894" i="7"/>
  <c r="E895" i="7"/>
  <c r="I903" i="5"/>
  <c r="J903" i="5" s="1"/>
  <c r="E904" i="5"/>
  <c r="G904" i="5"/>
  <c r="K904" i="5" s="1"/>
  <c r="F904" i="5"/>
  <c r="C905" i="5"/>
  <c r="D905" i="5" s="1"/>
  <c r="H906" i="5"/>
  <c r="B907" i="5"/>
  <c r="T895" i="28"/>
  <c r="S895" i="28"/>
  <c r="E896" i="28"/>
  <c r="AE896" i="13"/>
  <c r="E897" i="13"/>
  <c r="L897" i="13" s="1"/>
  <c r="R896" i="13"/>
  <c r="AG895" i="13"/>
  <c r="AH895" i="13" s="1"/>
  <c r="AF895" i="13"/>
  <c r="E899" i="27"/>
  <c r="T895" i="13"/>
  <c r="U895" i="13" s="1"/>
  <c r="S895" i="13"/>
  <c r="K897" i="13" l="1"/>
  <c r="AF895" i="7"/>
  <c r="E896" i="7"/>
  <c r="B908" i="5"/>
  <c r="C906" i="5"/>
  <c r="D906" i="5" s="1"/>
  <c r="H907" i="5"/>
  <c r="I904" i="5"/>
  <c r="J904" i="5" s="1"/>
  <c r="F905" i="5"/>
  <c r="E905" i="5"/>
  <c r="G905" i="5"/>
  <c r="K905" i="5" s="1"/>
  <c r="S896" i="28"/>
  <c r="T896" i="28"/>
  <c r="E897" i="28"/>
  <c r="T896" i="13"/>
  <c r="U896" i="13" s="1"/>
  <c r="S896" i="13"/>
  <c r="E900" i="27"/>
  <c r="AE897" i="13"/>
  <c r="R897" i="13"/>
  <c r="E898" i="13"/>
  <c r="L898" i="13" s="1"/>
  <c r="AG896" i="13"/>
  <c r="AH896" i="13" s="1"/>
  <c r="AF896" i="13"/>
  <c r="K898" i="13" l="1"/>
  <c r="AF896" i="7"/>
  <c r="E897" i="7"/>
  <c r="I905" i="5"/>
  <c r="J905" i="5" s="1"/>
  <c r="F906" i="5"/>
  <c r="G906" i="5"/>
  <c r="K906" i="5" s="1"/>
  <c r="E906" i="5"/>
  <c r="B909" i="5"/>
  <c r="C907" i="5"/>
  <c r="D907" i="5" s="1"/>
  <c r="H908" i="5"/>
  <c r="T897" i="28"/>
  <c r="E898" i="28"/>
  <c r="S897" i="28"/>
  <c r="E899" i="13"/>
  <c r="L899" i="13" s="1"/>
  <c r="AE898" i="13"/>
  <c r="R898" i="13"/>
  <c r="AG897" i="13"/>
  <c r="AH897" i="13" s="1"/>
  <c r="AF897" i="13"/>
  <c r="E901" i="27"/>
  <c r="T897" i="13"/>
  <c r="U897" i="13" s="1"/>
  <c r="S897" i="13"/>
  <c r="K899" i="13" l="1"/>
  <c r="AF897" i="7"/>
  <c r="E898" i="7"/>
  <c r="I906" i="5"/>
  <c r="J906" i="5" s="1"/>
  <c r="E907" i="5"/>
  <c r="F907" i="5"/>
  <c r="G907" i="5"/>
  <c r="K907" i="5" s="1"/>
  <c r="C908" i="5"/>
  <c r="D908" i="5" s="1"/>
  <c r="H909" i="5"/>
  <c r="B910" i="5"/>
  <c r="E899" i="28"/>
  <c r="S898" i="28"/>
  <c r="T898" i="28"/>
  <c r="AE899" i="13"/>
  <c r="R899" i="13"/>
  <c r="E900" i="13"/>
  <c r="L900" i="13" s="1"/>
  <c r="T898" i="13"/>
  <c r="U898" i="13" s="1"/>
  <c r="S898" i="13"/>
  <c r="E902" i="27"/>
  <c r="AG898" i="13"/>
  <c r="AH898" i="13" s="1"/>
  <c r="AF898" i="13"/>
  <c r="K900" i="13" l="1"/>
  <c r="AF898" i="7"/>
  <c r="E899" i="7"/>
  <c r="I907" i="5"/>
  <c r="J907" i="5" s="1"/>
  <c r="B911" i="5"/>
  <c r="C909" i="5"/>
  <c r="D909" i="5" s="1"/>
  <c r="H910" i="5"/>
  <c r="G908" i="5"/>
  <c r="K908" i="5" s="1"/>
  <c r="F908" i="5"/>
  <c r="E908" i="5"/>
  <c r="T899" i="28"/>
  <c r="S899" i="28"/>
  <c r="E900" i="28"/>
  <c r="AG899" i="13"/>
  <c r="AH899" i="13" s="1"/>
  <c r="AF899" i="13"/>
  <c r="E903" i="27"/>
  <c r="AE900" i="13"/>
  <c r="E901" i="13"/>
  <c r="L901" i="13" s="1"/>
  <c r="R900" i="13"/>
  <c r="S899" i="13"/>
  <c r="T899" i="13"/>
  <c r="U899" i="13" s="1"/>
  <c r="K901" i="13" l="1"/>
  <c r="AF899" i="7"/>
  <c r="E900" i="7"/>
  <c r="I908" i="5"/>
  <c r="J908" i="5" s="1"/>
  <c r="F909" i="5"/>
  <c r="E909" i="5"/>
  <c r="G909" i="5"/>
  <c r="K909" i="5" s="1"/>
  <c r="B912" i="5"/>
  <c r="H911" i="5"/>
  <c r="C910" i="5"/>
  <c r="D910" i="5" s="1"/>
  <c r="T900" i="28"/>
  <c r="S900" i="28"/>
  <c r="E901" i="28"/>
  <c r="T900" i="13"/>
  <c r="U900" i="13" s="1"/>
  <c r="S900" i="13"/>
  <c r="R901" i="13"/>
  <c r="AE901" i="13"/>
  <c r="E902" i="13"/>
  <c r="L902" i="13" s="1"/>
  <c r="E904" i="27"/>
  <c r="AG900" i="13"/>
  <c r="AH900" i="13" s="1"/>
  <c r="AF900" i="13"/>
  <c r="K902" i="13" l="1"/>
  <c r="AF900" i="7"/>
  <c r="E901" i="7"/>
  <c r="F910" i="5"/>
  <c r="G910" i="5"/>
  <c r="K910" i="5" s="1"/>
  <c r="E910" i="5"/>
  <c r="I909" i="5"/>
  <c r="J909" i="5" s="1"/>
  <c r="B913" i="5"/>
  <c r="H912" i="5"/>
  <c r="C911" i="5"/>
  <c r="D911" i="5" s="1"/>
  <c r="E902" i="28"/>
  <c r="S901" i="28"/>
  <c r="T901" i="28"/>
  <c r="AG901" i="13"/>
  <c r="AH901" i="13" s="1"/>
  <c r="AF901" i="13"/>
  <c r="S901" i="13"/>
  <c r="T901" i="13"/>
  <c r="U901" i="13" s="1"/>
  <c r="E905" i="27"/>
  <c r="R902" i="13"/>
  <c r="E903" i="13"/>
  <c r="L903" i="13" s="1"/>
  <c r="AE902" i="13"/>
  <c r="K903" i="13" l="1"/>
  <c r="AF901" i="7"/>
  <c r="E902" i="7"/>
  <c r="I910" i="5"/>
  <c r="J910" i="5" s="1"/>
  <c r="G911" i="5"/>
  <c r="K911" i="5" s="1"/>
  <c r="F911" i="5"/>
  <c r="E911" i="5"/>
  <c r="H913" i="5"/>
  <c r="C912" i="5"/>
  <c r="D912" i="5" s="1"/>
  <c r="B914" i="5"/>
  <c r="S902" i="28"/>
  <c r="T902" i="28"/>
  <c r="E903" i="28"/>
  <c r="E904" i="13"/>
  <c r="L904" i="13" s="1"/>
  <c r="AE903" i="13"/>
  <c r="R903" i="13"/>
  <c r="E906" i="27"/>
  <c r="T902" i="13"/>
  <c r="U902" i="13" s="1"/>
  <c r="S902" i="13"/>
  <c r="AF902" i="13"/>
  <c r="AG902" i="13"/>
  <c r="AH902" i="13" s="1"/>
  <c r="K904" i="13" l="1"/>
  <c r="AF902" i="7"/>
  <c r="E903" i="7"/>
  <c r="I911" i="5"/>
  <c r="J911" i="5" s="1"/>
  <c r="B915" i="5"/>
  <c r="C913" i="5"/>
  <c r="D913" i="5" s="1"/>
  <c r="H914" i="5"/>
  <c r="E912" i="5"/>
  <c r="G912" i="5"/>
  <c r="K912" i="5" s="1"/>
  <c r="F912" i="5"/>
  <c r="T903" i="28"/>
  <c r="S903" i="28"/>
  <c r="E904" i="28"/>
  <c r="AE904" i="13"/>
  <c r="E905" i="13"/>
  <c r="L905" i="13" s="1"/>
  <c r="R904" i="13"/>
  <c r="E907" i="27"/>
  <c r="S903" i="13"/>
  <c r="T903" i="13"/>
  <c r="U903" i="13" s="1"/>
  <c r="AG903" i="13"/>
  <c r="AH903" i="13" s="1"/>
  <c r="AF903" i="13"/>
  <c r="K905" i="13" l="1"/>
  <c r="AF903" i="7"/>
  <c r="E904" i="7"/>
  <c r="F913" i="5"/>
  <c r="E913" i="5"/>
  <c r="G913" i="5"/>
  <c r="K913" i="5" s="1"/>
  <c r="H915" i="5"/>
  <c r="B916" i="5"/>
  <c r="C914" i="5"/>
  <c r="D914" i="5" s="1"/>
  <c r="I912" i="5"/>
  <c r="J912" i="5" s="1"/>
  <c r="T904" i="28"/>
  <c r="S904" i="28"/>
  <c r="E905" i="28"/>
  <c r="S904" i="13"/>
  <c r="T904" i="13"/>
  <c r="U904" i="13" s="1"/>
  <c r="E908" i="27"/>
  <c r="R905" i="13"/>
  <c r="E906" i="13"/>
  <c r="L906" i="13" s="1"/>
  <c r="AE905" i="13"/>
  <c r="AG904" i="13"/>
  <c r="AH904" i="13" s="1"/>
  <c r="AF904" i="13"/>
  <c r="K906" i="13" l="1"/>
  <c r="AF904" i="7"/>
  <c r="E905" i="7"/>
  <c r="B917" i="5"/>
  <c r="C915" i="5"/>
  <c r="D915" i="5" s="1"/>
  <c r="H916" i="5"/>
  <c r="G914" i="5"/>
  <c r="K914" i="5" s="1"/>
  <c r="E914" i="5"/>
  <c r="F914" i="5"/>
  <c r="I913" i="5"/>
  <c r="J913" i="5" s="1"/>
  <c r="T905" i="28"/>
  <c r="S905" i="28"/>
  <c r="E906" i="28"/>
  <c r="AE906" i="13"/>
  <c r="R906" i="13"/>
  <c r="E907" i="13"/>
  <c r="L907" i="13" s="1"/>
  <c r="E909" i="27"/>
  <c r="AG905" i="13"/>
  <c r="AH905" i="13" s="1"/>
  <c r="AF905" i="13"/>
  <c r="S905" i="13"/>
  <c r="T905" i="13"/>
  <c r="U905" i="13" s="1"/>
  <c r="K907" i="13" l="1"/>
  <c r="AF905" i="7"/>
  <c r="E906" i="7"/>
  <c r="F915" i="5"/>
  <c r="G915" i="5"/>
  <c r="K915" i="5" s="1"/>
  <c r="E915" i="5"/>
  <c r="I914" i="5"/>
  <c r="J914" i="5" s="1"/>
  <c r="C916" i="5"/>
  <c r="D916" i="5" s="1"/>
  <c r="B918" i="5"/>
  <c r="H917" i="5"/>
  <c r="S906" i="28"/>
  <c r="T906" i="28"/>
  <c r="E907" i="28"/>
  <c r="E910" i="27"/>
  <c r="E908" i="13"/>
  <c r="L908" i="13" s="1"/>
  <c r="AE907" i="13"/>
  <c r="R907" i="13"/>
  <c r="AF906" i="13"/>
  <c r="AG906" i="13"/>
  <c r="AH906" i="13" s="1"/>
  <c r="S906" i="13"/>
  <c r="T906" i="13"/>
  <c r="U906" i="13" s="1"/>
  <c r="K908" i="13" l="1"/>
  <c r="AF906" i="7"/>
  <c r="E907" i="7"/>
  <c r="G916" i="5"/>
  <c r="K916" i="5" s="1"/>
  <c r="F916" i="5"/>
  <c r="E916" i="5"/>
  <c r="I915" i="5"/>
  <c r="J915" i="5" s="1"/>
  <c r="H918" i="5"/>
  <c r="C917" i="5"/>
  <c r="D917" i="5" s="1"/>
  <c r="B919" i="5"/>
  <c r="S907" i="28"/>
  <c r="T907" i="28"/>
  <c r="E908" i="28"/>
  <c r="S907" i="13"/>
  <c r="T907" i="13"/>
  <c r="U907" i="13" s="1"/>
  <c r="AF907" i="13"/>
  <c r="AG907" i="13"/>
  <c r="AH907" i="13" s="1"/>
  <c r="AE908" i="13"/>
  <c r="E909" i="13"/>
  <c r="L909" i="13" s="1"/>
  <c r="R908" i="13"/>
  <c r="E911" i="27"/>
  <c r="K909" i="13" l="1"/>
  <c r="AF907" i="7"/>
  <c r="E908" i="7"/>
  <c r="E917" i="5"/>
  <c r="G917" i="5"/>
  <c r="K917" i="5" s="1"/>
  <c r="F917" i="5"/>
  <c r="B920" i="5"/>
  <c r="H919" i="5"/>
  <c r="C918" i="5"/>
  <c r="D918" i="5" s="1"/>
  <c r="I916" i="5"/>
  <c r="J916" i="5" s="1"/>
  <c r="T908" i="28"/>
  <c r="S908" i="28"/>
  <c r="E909" i="28"/>
  <c r="T908" i="13"/>
  <c r="U908" i="13" s="1"/>
  <c r="S908" i="13"/>
  <c r="AF908" i="13"/>
  <c r="AG908" i="13"/>
  <c r="AH908" i="13" s="1"/>
  <c r="E912" i="27"/>
  <c r="AE909" i="13"/>
  <c r="E910" i="13"/>
  <c r="L910" i="13" s="1"/>
  <c r="R909" i="13"/>
  <c r="K910" i="13" l="1"/>
  <c r="AF908" i="7"/>
  <c r="E909" i="7"/>
  <c r="C919" i="5"/>
  <c r="D919" i="5" s="1"/>
  <c r="B921" i="5"/>
  <c r="H920" i="5"/>
  <c r="E918" i="5"/>
  <c r="G918" i="5"/>
  <c r="K918" i="5" s="1"/>
  <c r="F918" i="5"/>
  <c r="I917" i="5"/>
  <c r="J917" i="5" s="1"/>
  <c r="T909" i="28"/>
  <c r="E910" i="28"/>
  <c r="S909" i="28"/>
  <c r="AF909" i="13"/>
  <c r="AG909" i="13"/>
  <c r="AH909" i="13" s="1"/>
  <c r="E913" i="27"/>
  <c r="T909" i="13"/>
  <c r="U909" i="13" s="1"/>
  <c r="S909" i="13"/>
  <c r="R910" i="13"/>
  <c r="E911" i="13"/>
  <c r="L911" i="13" s="1"/>
  <c r="AE910" i="13"/>
  <c r="K911" i="13" l="1"/>
  <c r="AF909" i="7"/>
  <c r="E910" i="7"/>
  <c r="I918" i="5"/>
  <c r="J918" i="5" s="1"/>
  <c r="C920" i="5"/>
  <c r="D920" i="5" s="1"/>
  <c r="B922" i="5"/>
  <c r="H921" i="5"/>
  <c r="G919" i="5"/>
  <c r="K919" i="5" s="1"/>
  <c r="E919" i="5"/>
  <c r="F919" i="5"/>
  <c r="S910" i="28"/>
  <c r="T910" i="28"/>
  <c r="E911" i="28"/>
  <c r="E912" i="13"/>
  <c r="L912" i="13" s="1"/>
  <c r="R911" i="13"/>
  <c r="AE911" i="13"/>
  <c r="S910" i="13"/>
  <c r="T910" i="13"/>
  <c r="U910" i="13" s="1"/>
  <c r="E914" i="27"/>
  <c r="AG910" i="13"/>
  <c r="AH910" i="13" s="1"/>
  <c r="AF910" i="13"/>
  <c r="K912" i="13" l="1"/>
  <c r="AF910" i="7"/>
  <c r="E911" i="7"/>
  <c r="H922" i="5"/>
  <c r="C921" i="5"/>
  <c r="D921" i="5" s="1"/>
  <c r="B923" i="5"/>
  <c r="I919" i="5"/>
  <c r="J919" i="5" s="1"/>
  <c r="F920" i="5"/>
  <c r="G920" i="5"/>
  <c r="K920" i="5" s="1"/>
  <c r="E920" i="5"/>
  <c r="S911" i="28"/>
  <c r="E912" i="28"/>
  <c r="T911" i="28"/>
  <c r="E913" i="13"/>
  <c r="L913" i="13" s="1"/>
  <c r="R912" i="13"/>
  <c r="AE912" i="13"/>
  <c r="AG911" i="13"/>
  <c r="AH911" i="13" s="1"/>
  <c r="AF911" i="13"/>
  <c r="E915" i="27"/>
  <c r="T911" i="13"/>
  <c r="U911" i="13" s="1"/>
  <c r="S911" i="13"/>
  <c r="K913" i="13" l="1"/>
  <c r="AF911" i="7"/>
  <c r="E912" i="7"/>
  <c r="I920" i="5"/>
  <c r="J920" i="5" s="1"/>
  <c r="H923" i="5"/>
  <c r="C922" i="5"/>
  <c r="D922" i="5" s="1"/>
  <c r="B924" i="5"/>
  <c r="F921" i="5"/>
  <c r="E921" i="5"/>
  <c r="G921" i="5"/>
  <c r="K921" i="5" s="1"/>
  <c r="T912" i="28"/>
  <c r="S912" i="28"/>
  <c r="E913" i="28"/>
  <c r="AE913" i="13"/>
  <c r="E914" i="13"/>
  <c r="L914" i="13" s="1"/>
  <c r="R913" i="13"/>
  <c r="E916" i="27"/>
  <c r="AG912" i="13"/>
  <c r="AH912" i="13" s="1"/>
  <c r="AF912" i="13"/>
  <c r="S912" i="13"/>
  <c r="T912" i="13"/>
  <c r="U912" i="13" s="1"/>
  <c r="K914" i="13" l="1"/>
  <c r="AF912" i="7"/>
  <c r="E913" i="7"/>
  <c r="B925" i="5"/>
  <c r="H924" i="5"/>
  <c r="C923" i="5"/>
  <c r="D923" i="5" s="1"/>
  <c r="E922" i="5"/>
  <c r="G922" i="5"/>
  <c r="K922" i="5" s="1"/>
  <c r="F922" i="5"/>
  <c r="I921" i="5"/>
  <c r="J921" i="5" s="1"/>
  <c r="T913" i="28"/>
  <c r="S913" i="28"/>
  <c r="E914" i="28"/>
  <c r="AE914" i="13"/>
  <c r="E915" i="13"/>
  <c r="L915" i="13" s="1"/>
  <c r="R914" i="13"/>
  <c r="E917" i="27"/>
  <c r="T913" i="13"/>
  <c r="U913" i="13" s="1"/>
  <c r="S913" i="13"/>
  <c r="AG913" i="13"/>
  <c r="AH913" i="13" s="1"/>
  <c r="AF913" i="13"/>
  <c r="K915" i="13" l="1"/>
  <c r="AF913" i="7"/>
  <c r="E914" i="7"/>
  <c r="I922" i="5"/>
  <c r="J922" i="5" s="1"/>
  <c r="F923" i="5"/>
  <c r="G923" i="5"/>
  <c r="K923" i="5" s="1"/>
  <c r="E923" i="5"/>
  <c r="C924" i="5"/>
  <c r="D924" i="5" s="1"/>
  <c r="B926" i="5"/>
  <c r="H925" i="5"/>
  <c r="S914" i="28"/>
  <c r="T914" i="28"/>
  <c r="E915" i="28"/>
  <c r="E918" i="27"/>
  <c r="S914" i="13"/>
  <c r="T914" i="13"/>
  <c r="U914" i="13" s="1"/>
  <c r="R915" i="13"/>
  <c r="E916" i="13"/>
  <c r="L916" i="13" s="1"/>
  <c r="AE915" i="13"/>
  <c r="AF914" i="13"/>
  <c r="AG914" i="13"/>
  <c r="AH914" i="13" s="1"/>
  <c r="K916" i="13" l="1"/>
  <c r="AF914" i="7"/>
  <c r="E915" i="7"/>
  <c r="I923" i="5"/>
  <c r="J923" i="5" s="1"/>
  <c r="C925" i="5"/>
  <c r="D925" i="5" s="1"/>
  <c r="H926" i="5"/>
  <c r="B927" i="5"/>
  <c r="E924" i="5"/>
  <c r="G924" i="5"/>
  <c r="K924" i="5" s="1"/>
  <c r="F924" i="5"/>
  <c r="S915" i="28"/>
  <c r="T915" i="28"/>
  <c r="E916" i="28"/>
  <c r="AG915" i="13"/>
  <c r="AH915" i="13" s="1"/>
  <c r="AF915" i="13"/>
  <c r="E919" i="27"/>
  <c r="T915" i="13"/>
  <c r="U915" i="13" s="1"/>
  <c r="S915" i="13"/>
  <c r="AE916" i="13"/>
  <c r="R916" i="13"/>
  <c r="E917" i="13"/>
  <c r="L917" i="13" s="1"/>
  <c r="K917" i="13" l="1"/>
  <c r="AF915" i="7"/>
  <c r="E916" i="7"/>
  <c r="C926" i="5"/>
  <c r="D926" i="5" s="1"/>
  <c r="H927" i="5"/>
  <c r="B928" i="5"/>
  <c r="G925" i="5"/>
  <c r="K925" i="5" s="1"/>
  <c r="F925" i="5"/>
  <c r="E925" i="5"/>
  <c r="I924" i="5"/>
  <c r="J924" i="5" s="1"/>
  <c r="S916" i="28"/>
  <c r="T916" i="28"/>
  <c r="E917" i="28"/>
  <c r="E920" i="27"/>
  <c r="R917" i="13"/>
  <c r="AE917" i="13"/>
  <c r="E918" i="13"/>
  <c r="L918" i="13" s="1"/>
  <c r="T916" i="13"/>
  <c r="U916" i="13" s="1"/>
  <c r="S916" i="13"/>
  <c r="AF916" i="13"/>
  <c r="AG916" i="13"/>
  <c r="AH916" i="13" s="1"/>
  <c r="K918" i="13" l="1"/>
  <c r="AF916" i="7"/>
  <c r="E917" i="7"/>
  <c r="H928" i="5"/>
  <c r="B929" i="5"/>
  <c r="C927" i="5"/>
  <c r="D927" i="5" s="1"/>
  <c r="I925" i="5"/>
  <c r="J925" i="5" s="1"/>
  <c r="F926" i="5"/>
  <c r="E926" i="5"/>
  <c r="G926" i="5"/>
  <c r="K926" i="5" s="1"/>
  <c r="S917" i="28"/>
  <c r="T917" i="28"/>
  <c r="E918" i="28"/>
  <c r="AF917" i="13"/>
  <c r="AG917" i="13"/>
  <c r="AH917" i="13" s="1"/>
  <c r="S917" i="13"/>
  <c r="T917" i="13"/>
  <c r="U917" i="13" s="1"/>
  <c r="E921" i="27"/>
  <c r="E919" i="13"/>
  <c r="L919" i="13" s="1"/>
  <c r="R918" i="13"/>
  <c r="AE918" i="13"/>
  <c r="K919" i="13" l="1"/>
  <c r="AF917" i="7"/>
  <c r="E918" i="7"/>
  <c r="E927" i="5"/>
  <c r="G927" i="5"/>
  <c r="K927" i="5" s="1"/>
  <c r="F927" i="5"/>
  <c r="I926" i="5"/>
  <c r="J926" i="5" s="1"/>
  <c r="H929" i="5"/>
  <c r="C928" i="5"/>
  <c r="D928" i="5" s="1"/>
  <c r="B930" i="5"/>
  <c r="S918" i="28"/>
  <c r="E919" i="28"/>
  <c r="T918" i="28"/>
  <c r="AF918" i="13"/>
  <c r="AG918" i="13"/>
  <c r="AH918" i="13" s="1"/>
  <c r="E922" i="27"/>
  <c r="T918" i="13"/>
  <c r="U918" i="13" s="1"/>
  <c r="S918" i="13"/>
  <c r="AE919" i="13"/>
  <c r="E920" i="13"/>
  <c r="L920" i="13" s="1"/>
  <c r="R919" i="13"/>
  <c r="K920" i="13" l="1"/>
  <c r="AF918" i="7"/>
  <c r="E919" i="7"/>
  <c r="H930" i="5"/>
  <c r="C929" i="5"/>
  <c r="D929" i="5" s="1"/>
  <c r="B931" i="5"/>
  <c r="G928" i="5"/>
  <c r="K928" i="5" s="1"/>
  <c r="E928" i="5"/>
  <c r="F928" i="5"/>
  <c r="I927" i="5"/>
  <c r="J927" i="5" s="1"/>
  <c r="S919" i="28"/>
  <c r="E920" i="28"/>
  <c r="T919" i="28"/>
  <c r="AE920" i="13"/>
  <c r="R920" i="13"/>
  <c r="E921" i="13"/>
  <c r="L921" i="13" s="1"/>
  <c r="AG919" i="13"/>
  <c r="AH919" i="13" s="1"/>
  <c r="AF919" i="13"/>
  <c r="S919" i="13"/>
  <c r="T919" i="13"/>
  <c r="U919" i="13" s="1"/>
  <c r="E923" i="27"/>
  <c r="K921" i="13" l="1"/>
  <c r="AF919" i="7"/>
  <c r="E920" i="7"/>
  <c r="H931" i="5"/>
  <c r="C930" i="5"/>
  <c r="D930" i="5" s="1"/>
  <c r="B932" i="5"/>
  <c r="E929" i="5"/>
  <c r="G929" i="5"/>
  <c r="K929" i="5" s="1"/>
  <c r="F929" i="5"/>
  <c r="I928" i="5"/>
  <c r="J928" i="5" s="1"/>
  <c r="E921" i="28"/>
  <c r="T920" i="28"/>
  <c r="S920" i="28"/>
  <c r="R921" i="13"/>
  <c r="AE921" i="13"/>
  <c r="E922" i="13"/>
  <c r="L922" i="13" s="1"/>
  <c r="AG920" i="13"/>
  <c r="AH920" i="13" s="1"/>
  <c r="AF920" i="13"/>
  <c r="E924" i="27"/>
  <c r="S920" i="13"/>
  <c r="T920" i="13"/>
  <c r="U920" i="13" s="1"/>
  <c r="K922" i="13" l="1"/>
  <c r="AF920" i="7"/>
  <c r="E921" i="7"/>
  <c r="I929" i="5"/>
  <c r="J929" i="5" s="1"/>
  <c r="H932" i="5"/>
  <c r="B933" i="5"/>
  <c r="C931" i="5"/>
  <c r="D931" i="5" s="1"/>
  <c r="G930" i="5"/>
  <c r="K930" i="5" s="1"/>
  <c r="E930" i="5"/>
  <c r="F930" i="5"/>
  <c r="S921" i="28"/>
  <c r="E922" i="28"/>
  <c r="T921" i="28"/>
  <c r="AF921" i="13"/>
  <c r="AG921" i="13"/>
  <c r="AH921" i="13" s="1"/>
  <c r="E925" i="27"/>
  <c r="AE922" i="13"/>
  <c r="R922" i="13"/>
  <c r="E923" i="13"/>
  <c r="L923" i="13" s="1"/>
  <c r="T921" i="13"/>
  <c r="U921" i="13" s="1"/>
  <c r="S921" i="13"/>
  <c r="K923" i="13" l="1"/>
  <c r="AF921" i="7"/>
  <c r="E922" i="7"/>
  <c r="E931" i="5"/>
  <c r="G931" i="5"/>
  <c r="K931" i="5" s="1"/>
  <c r="F931" i="5"/>
  <c r="C932" i="5"/>
  <c r="D932" i="5" s="1"/>
  <c r="B934" i="5"/>
  <c r="H933" i="5"/>
  <c r="I930" i="5"/>
  <c r="J930" i="5" s="1"/>
  <c r="T922" i="28"/>
  <c r="S922" i="28"/>
  <c r="E923" i="28"/>
  <c r="AG922" i="13"/>
  <c r="AH922" i="13" s="1"/>
  <c r="AF922" i="13"/>
  <c r="AE923" i="13"/>
  <c r="E924" i="13"/>
  <c r="L924" i="13" s="1"/>
  <c r="R923" i="13"/>
  <c r="T922" i="13"/>
  <c r="U922" i="13" s="1"/>
  <c r="S922" i="13"/>
  <c r="E926" i="27"/>
  <c r="K924" i="13" l="1"/>
  <c r="AF922" i="7"/>
  <c r="E923" i="7"/>
  <c r="G932" i="5"/>
  <c r="K932" i="5" s="1"/>
  <c r="F932" i="5"/>
  <c r="E932" i="5"/>
  <c r="H934" i="5"/>
  <c r="C933" i="5"/>
  <c r="D933" i="5" s="1"/>
  <c r="B935" i="5"/>
  <c r="I931" i="5"/>
  <c r="J931" i="5" s="1"/>
  <c r="E924" i="28"/>
  <c r="S923" i="28"/>
  <c r="T923" i="28"/>
  <c r="E927" i="27"/>
  <c r="T923" i="13"/>
  <c r="U923" i="13" s="1"/>
  <c r="S923" i="13"/>
  <c r="R924" i="13"/>
  <c r="E925" i="13"/>
  <c r="L925" i="13" s="1"/>
  <c r="AE924" i="13"/>
  <c r="AG923" i="13"/>
  <c r="AH923" i="13" s="1"/>
  <c r="AF923" i="13"/>
  <c r="K925" i="13" l="1"/>
  <c r="AF923" i="7"/>
  <c r="E924" i="7"/>
  <c r="I932" i="5"/>
  <c r="J932" i="5" s="1"/>
  <c r="H935" i="5"/>
  <c r="B936" i="5"/>
  <c r="C934" i="5"/>
  <c r="D934" i="5" s="1"/>
  <c r="G933" i="5"/>
  <c r="K933" i="5" s="1"/>
  <c r="E933" i="5"/>
  <c r="F933" i="5"/>
  <c r="T924" i="28"/>
  <c r="E925" i="28"/>
  <c r="S924" i="28"/>
  <c r="R925" i="13"/>
  <c r="AE925" i="13"/>
  <c r="E926" i="13"/>
  <c r="L926" i="13" s="1"/>
  <c r="AF924" i="13"/>
  <c r="AG924" i="13"/>
  <c r="AH924" i="13" s="1"/>
  <c r="T924" i="13"/>
  <c r="U924" i="13" s="1"/>
  <c r="S924" i="13"/>
  <c r="E928" i="27"/>
  <c r="K926" i="13" l="1"/>
  <c r="AF924" i="7"/>
  <c r="E925" i="7"/>
  <c r="F934" i="5"/>
  <c r="E934" i="5"/>
  <c r="G934" i="5"/>
  <c r="K934" i="5" s="1"/>
  <c r="C935" i="5"/>
  <c r="D935" i="5" s="1"/>
  <c r="H936" i="5"/>
  <c r="B937" i="5"/>
  <c r="I933" i="5"/>
  <c r="J933" i="5" s="1"/>
  <c r="T925" i="28"/>
  <c r="E926" i="28"/>
  <c r="S925" i="28"/>
  <c r="E929" i="27"/>
  <c r="T925" i="13"/>
  <c r="U925" i="13" s="1"/>
  <c r="S925" i="13"/>
  <c r="R926" i="13"/>
  <c r="AE926" i="13"/>
  <c r="E927" i="13"/>
  <c r="L927" i="13" s="1"/>
  <c r="AF925" i="13"/>
  <c r="AG925" i="13"/>
  <c r="AH925" i="13" s="1"/>
  <c r="K927" i="13" l="1"/>
  <c r="AF925" i="7"/>
  <c r="E926" i="7"/>
  <c r="F935" i="5"/>
  <c r="G935" i="5"/>
  <c r="K935" i="5" s="1"/>
  <c r="E935" i="5"/>
  <c r="B938" i="5"/>
  <c r="H937" i="5"/>
  <c r="C936" i="5"/>
  <c r="D936" i="5" s="1"/>
  <c r="I934" i="5"/>
  <c r="J934" i="5" s="1"/>
  <c r="S926" i="28"/>
  <c r="T926" i="28"/>
  <c r="E927" i="28"/>
  <c r="R927" i="13"/>
  <c r="E928" i="13"/>
  <c r="L928" i="13" s="1"/>
  <c r="AE927" i="13"/>
  <c r="T926" i="13"/>
  <c r="U926" i="13" s="1"/>
  <c r="S926" i="13"/>
  <c r="AF926" i="13"/>
  <c r="AG926" i="13"/>
  <c r="AH926" i="13" s="1"/>
  <c r="E930" i="27"/>
  <c r="K928" i="13" l="1"/>
  <c r="AF926" i="7"/>
  <c r="E927" i="7"/>
  <c r="B939" i="5"/>
  <c r="H938" i="5"/>
  <c r="C937" i="5"/>
  <c r="D937" i="5" s="1"/>
  <c r="I935" i="5"/>
  <c r="J935" i="5" s="1"/>
  <c r="F936" i="5"/>
  <c r="E936" i="5"/>
  <c r="G936" i="5"/>
  <c r="K936" i="5" s="1"/>
  <c r="E928" i="28"/>
  <c r="S927" i="28"/>
  <c r="T927" i="28"/>
  <c r="AE928" i="13"/>
  <c r="E929" i="13"/>
  <c r="L929" i="13" s="1"/>
  <c r="R928" i="13"/>
  <c r="T927" i="13"/>
  <c r="U927" i="13" s="1"/>
  <c r="S927" i="13"/>
  <c r="E931" i="27"/>
  <c r="AG927" i="13"/>
  <c r="AH927" i="13" s="1"/>
  <c r="AF927" i="13"/>
  <c r="K929" i="13" l="1"/>
  <c r="AF927" i="7"/>
  <c r="E928" i="7"/>
  <c r="E937" i="5"/>
  <c r="G937" i="5"/>
  <c r="K937" i="5" s="1"/>
  <c r="F937" i="5"/>
  <c r="I936" i="5"/>
  <c r="J936" i="5" s="1"/>
  <c r="C938" i="5"/>
  <c r="D938" i="5" s="1"/>
  <c r="H939" i="5"/>
  <c r="B940" i="5"/>
  <c r="T928" i="28"/>
  <c r="S928" i="28"/>
  <c r="E929" i="28"/>
  <c r="E932" i="27"/>
  <c r="AF928" i="13"/>
  <c r="AG928" i="13"/>
  <c r="AH928" i="13" s="1"/>
  <c r="T928" i="13"/>
  <c r="U928" i="13" s="1"/>
  <c r="S928" i="13"/>
  <c r="AE929" i="13"/>
  <c r="R929" i="13"/>
  <c r="E930" i="13"/>
  <c r="L930" i="13" s="1"/>
  <c r="K930" i="13" l="1"/>
  <c r="AF928" i="7"/>
  <c r="E929" i="7"/>
  <c r="H940" i="5"/>
  <c r="C939" i="5"/>
  <c r="D939" i="5" s="1"/>
  <c r="B941" i="5"/>
  <c r="G938" i="5"/>
  <c r="K938" i="5" s="1"/>
  <c r="F938" i="5"/>
  <c r="E938" i="5"/>
  <c r="I937" i="5"/>
  <c r="J937" i="5" s="1"/>
  <c r="E930" i="28"/>
  <c r="T929" i="28"/>
  <c r="S929" i="28"/>
  <c r="AG929" i="13"/>
  <c r="AH929" i="13" s="1"/>
  <c r="AF929" i="13"/>
  <c r="E933" i="27"/>
  <c r="AE930" i="13"/>
  <c r="R930" i="13"/>
  <c r="E931" i="13"/>
  <c r="L931" i="13" s="1"/>
  <c r="S929" i="13"/>
  <c r="T929" i="13"/>
  <c r="U929" i="13" s="1"/>
  <c r="K931" i="13" l="1"/>
  <c r="AF929" i="7"/>
  <c r="E930" i="7"/>
  <c r="H941" i="5"/>
  <c r="B942" i="5"/>
  <c r="C940" i="5"/>
  <c r="D940" i="5" s="1"/>
  <c r="I938" i="5"/>
  <c r="J938" i="5" s="1"/>
  <c r="F939" i="5"/>
  <c r="E939" i="5"/>
  <c r="G939" i="5"/>
  <c r="K939" i="5" s="1"/>
  <c r="E931" i="28"/>
  <c r="S930" i="28"/>
  <c r="T930" i="28"/>
  <c r="AG930" i="13"/>
  <c r="AH930" i="13" s="1"/>
  <c r="AF930" i="13"/>
  <c r="R931" i="13"/>
  <c r="E932" i="13"/>
  <c r="L932" i="13" s="1"/>
  <c r="AE931" i="13"/>
  <c r="E934" i="27"/>
  <c r="S930" i="13"/>
  <c r="T930" i="13"/>
  <c r="U930" i="13" s="1"/>
  <c r="K932" i="13" l="1"/>
  <c r="AF930" i="7"/>
  <c r="E931" i="7"/>
  <c r="F940" i="5"/>
  <c r="G940" i="5"/>
  <c r="K940" i="5" s="1"/>
  <c r="E940" i="5"/>
  <c r="I939" i="5"/>
  <c r="J939" i="5" s="1"/>
  <c r="H942" i="5"/>
  <c r="C941" i="5"/>
  <c r="D941" i="5" s="1"/>
  <c r="B943" i="5"/>
  <c r="S931" i="28"/>
  <c r="E932" i="28"/>
  <c r="T931" i="28"/>
  <c r="AG931" i="13"/>
  <c r="AH931" i="13" s="1"/>
  <c r="AF931" i="13"/>
  <c r="E935" i="27"/>
  <c r="AE932" i="13"/>
  <c r="R932" i="13"/>
  <c r="E933" i="13"/>
  <c r="L933" i="13" s="1"/>
  <c r="T931" i="13"/>
  <c r="U931" i="13" s="1"/>
  <c r="S931" i="13"/>
  <c r="K933" i="13" l="1"/>
  <c r="AF931" i="7"/>
  <c r="E932" i="7"/>
  <c r="B944" i="5"/>
  <c r="H943" i="5"/>
  <c r="C942" i="5"/>
  <c r="D942" i="5" s="1"/>
  <c r="I940" i="5"/>
  <c r="J940" i="5" s="1"/>
  <c r="E941" i="5"/>
  <c r="G941" i="5"/>
  <c r="K941" i="5" s="1"/>
  <c r="F941" i="5"/>
  <c r="E933" i="28"/>
  <c r="T932" i="28"/>
  <c r="S932" i="28"/>
  <c r="AE933" i="13"/>
  <c r="R933" i="13"/>
  <c r="E934" i="13"/>
  <c r="L934" i="13" s="1"/>
  <c r="E936" i="27"/>
  <c r="S932" i="13"/>
  <c r="T932" i="13"/>
  <c r="U932" i="13" s="1"/>
  <c r="AG932" i="13"/>
  <c r="AH932" i="13" s="1"/>
  <c r="AF932" i="13"/>
  <c r="K934" i="13" l="1"/>
  <c r="AF932" i="7"/>
  <c r="E933" i="7"/>
  <c r="E942" i="5"/>
  <c r="G942" i="5"/>
  <c r="K942" i="5" s="1"/>
  <c r="F942" i="5"/>
  <c r="I941" i="5"/>
  <c r="J941" i="5" s="1"/>
  <c r="C943" i="5"/>
  <c r="D943" i="5" s="1"/>
  <c r="H944" i="5"/>
  <c r="B945" i="5"/>
  <c r="S933" i="28"/>
  <c r="E934" i="28"/>
  <c r="T933" i="28"/>
  <c r="AF933" i="13"/>
  <c r="AG933" i="13"/>
  <c r="AH933" i="13" s="1"/>
  <c r="E937" i="27"/>
  <c r="R934" i="13"/>
  <c r="AE934" i="13"/>
  <c r="E935" i="13"/>
  <c r="L935" i="13" s="1"/>
  <c r="T933" i="13"/>
  <c r="U933" i="13" s="1"/>
  <c r="S933" i="13"/>
  <c r="I942" i="5" l="1"/>
  <c r="J942" i="5" s="1"/>
  <c r="K935" i="13"/>
  <c r="AF933" i="7"/>
  <c r="E934" i="7"/>
  <c r="B946" i="5"/>
  <c r="H945" i="5"/>
  <c r="C944" i="5"/>
  <c r="D944" i="5" s="1"/>
  <c r="F943" i="5"/>
  <c r="G943" i="5"/>
  <c r="K943" i="5" s="1"/>
  <c r="E943" i="5"/>
  <c r="T934" i="28"/>
  <c r="S934" i="28"/>
  <c r="E935" i="28"/>
  <c r="T934" i="13"/>
  <c r="U934" i="13" s="1"/>
  <c r="S934" i="13"/>
  <c r="R935" i="13"/>
  <c r="E936" i="13"/>
  <c r="L936" i="13" s="1"/>
  <c r="AE935" i="13"/>
  <c r="AG934" i="13"/>
  <c r="AH934" i="13" s="1"/>
  <c r="AF934" i="13"/>
  <c r="E938" i="27"/>
  <c r="I943" i="5" l="1"/>
  <c r="J943" i="5" s="1"/>
  <c r="K936" i="13"/>
  <c r="AF934" i="7"/>
  <c r="E935" i="7"/>
  <c r="F944" i="5"/>
  <c r="E944" i="5"/>
  <c r="G944" i="5"/>
  <c r="K944" i="5" s="1"/>
  <c r="B947" i="5"/>
  <c r="C945" i="5"/>
  <c r="D945" i="5" s="1"/>
  <c r="H946" i="5"/>
  <c r="S935" i="28"/>
  <c r="T935" i="28"/>
  <c r="E936" i="28"/>
  <c r="AG935" i="13"/>
  <c r="AH935" i="13" s="1"/>
  <c r="AF935" i="13"/>
  <c r="S935" i="13"/>
  <c r="T935" i="13"/>
  <c r="U935" i="13" s="1"/>
  <c r="AE936" i="13"/>
  <c r="E937" i="13"/>
  <c r="L937" i="13" s="1"/>
  <c r="R936" i="13"/>
  <c r="E939" i="27"/>
  <c r="I944" i="5" l="1"/>
  <c r="J944" i="5" s="1"/>
  <c r="K937" i="13"/>
  <c r="AF935" i="7"/>
  <c r="E936" i="7"/>
  <c r="B948" i="5"/>
  <c r="C946" i="5"/>
  <c r="D946" i="5" s="1"/>
  <c r="H947" i="5"/>
  <c r="E945" i="5"/>
  <c r="G945" i="5"/>
  <c r="K945" i="5" s="1"/>
  <c r="F945" i="5"/>
  <c r="S936" i="28"/>
  <c r="E937" i="28"/>
  <c r="T936" i="28"/>
  <c r="T936" i="13"/>
  <c r="U936" i="13" s="1"/>
  <c r="S936" i="13"/>
  <c r="AE937" i="13"/>
  <c r="E938" i="13"/>
  <c r="L938" i="13" s="1"/>
  <c r="R937" i="13"/>
  <c r="E940" i="27"/>
  <c r="AG936" i="13"/>
  <c r="AH936" i="13" s="1"/>
  <c r="AF936" i="13"/>
  <c r="I945" i="5" l="1"/>
  <c r="J945" i="5" s="1"/>
  <c r="K938" i="13"/>
  <c r="AF936" i="7"/>
  <c r="E937" i="7"/>
  <c r="E946" i="5"/>
  <c r="G946" i="5"/>
  <c r="K946" i="5" s="1"/>
  <c r="F946" i="5"/>
  <c r="C947" i="5"/>
  <c r="D947" i="5" s="1"/>
  <c r="B949" i="5"/>
  <c r="H948" i="5"/>
  <c r="T937" i="28"/>
  <c r="S937" i="28"/>
  <c r="E938" i="28"/>
  <c r="T937" i="13"/>
  <c r="U937" i="13" s="1"/>
  <c r="S937" i="13"/>
  <c r="E941" i="27"/>
  <c r="R938" i="13"/>
  <c r="E939" i="13"/>
  <c r="L939" i="13" s="1"/>
  <c r="AE938" i="13"/>
  <c r="AG937" i="13"/>
  <c r="AH937" i="13" s="1"/>
  <c r="AF937" i="13"/>
  <c r="I946" i="5" l="1"/>
  <c r="J946" i="5" s="1"/>
  <c r="K939" i="13"/>
  <c r="AF937" i="7"/>
  <c r="E938" i="7"/>
  <c r="E947" i="5"/>
  <c r="F947" i="5"/>
  <c r="G947" i="5"/>
  <c r="K947" i="5" s="1"/>
  <c r="B950" i="5"/>
  <c r="H949" i="5"/>
  <c r="C948" i="5"/>
  <c r="D948" i="5" s="1"/>
  <c r="E939" i="28"/>
  <c r="S938" i="28"/>
  <c r="T938" i="28"/>
  <c r="R939" i="13"/>
  <c r="AE939" i="13"/>
  <c r="E940" i="13"/>
  <c r="L940" i="13" s="1"/>
  <c r="E942" i="27"/>
  <c r="S938" i="13"/>
  <c r="T938" i="13"/>
  <c r="U938" i="13" s="1"/>
  <c r="AF938" i="13"/>
  <c r="AG938" i="13"/>
  <c r="AH938" i="13" s="1"/>
  <c r="I947" i="5" l="1"/>
  <c r="J947" i="5" s="1"/>
  <c r="K940" i="13"/>
  <c r="AF938" i="7"/>
  <c r="E939" i="7"/>
  <c r="G948" i="5"/>
  <c r="K948" i="5" s="1"/>
  <c r="F948" i="5"/>
  <c r="E948" i="5"/>
  <c r="H950" i="5"/>
  <c r="B951" i="5"/>
  <c r="C949" i="5"/>
  <c r="D949" i="5" s="1"/>
  <c r="S939" i="28"/>
  <c r="T939" i="28"/>
  <c r="E940" i="28"/>
  <c r="E943" i="27"/>
  <c r="AF939" i="13"/>
  <c r="AG939" i="13"/>
  <c r="AH939" i="13" s="1"/>
  <c r="S939" i="13"/>
  <c r="T939" i="13"/>
  <c r="U939" i="13" s="1"/>
  <c r="R940" i="13"/>
  <c r="AE940" i="13"/>
  <c r="E941" i="13"/>
  <c r="L941" i="13" s="1"/>
  <c r="I948" i="5" l="1"/>
  <c r="J948" i="5" s="1"/>
  <c r="K941" i="13"/>
  <c r="AF939" i="7"/>
  <c r="E940" i="7"/>
  <c r="B952" i="5"/>
  <c r="H951" i="5"/>
  <c r="C950" i="5"/>
  <c r="D950" i="5" s="1"/>
  <c r="E949" i="5"/>
  <c r="G949" i="5"/>
  <c r="K949" i="5" s="1"/>
  <c r="F949" i="5"/>
  <c r="T940" i="28"/>
  <c r="S940" i="28"/>
  <c r="E941" i="28"/>
  <c r="E944" i="27"/>
  <c r="R941" i="13"/>
  <c r="E942" i="13"/>
  <c r="L942" i="13" s="1"/>
  <c r="AE941" i="13"/>
  <c r="AG940" i="13"/>
  <c r="AH940" i="13" s="1"/>
  <c r="AF940" i="13"/>
  <c r="T940" i="13"/>
  <c r="U940" i="13" s="1"/>
  <c r="S940" i="13"/>
  <c r="I949" i="5" l="1"/>
  <c r="J949" i="5" s="1"/>
  <c r="K942" i="13"/>
  <c r="AF940" i="7"/>
  <c r="E941" i="7"/>
  <c r="F950" i="5"/>
  <c r="G950" i="5"/>
  <c r="K950" i="5" s="1"/>
  <c r="E950" i="5"/>
  <c r="H952" i="5"/>
  <c r="C951" i="5"/>
  <c r="D951" i="5" s="1"/>
  <c r="B953" i="5"/>
  <c r="T941" i="28"/>
  <c r="E942" i="28"/>
  <c r="S941" i="28"/>
  <c r="AE942" i="13"/>
  <c r="R942" i="13"/>
  <c r="E943" i="13"/>
  <c r="L943" i="13" s="1"/>
  <c r="S941" i="13"/>
  <c r="T941" i="13"/>
  <c r="U941" i="13" s="1"/>
  <c r="E945" i="27"/>
  <c r="AF941" i="13"/>
  <c r="AG941" i="13"/>
  <c r="AH941" i="13" s="1"/>
  <c r="I950" i="5" l="1"/>
  <c r="J950" i="5" s="1"/>
  <c r="K943" i="13"/>
  <c r="AF941" i="7"/>
  <c r="E942" i="7"/>
  <c r="E951" i="5"/>
  <c r="G951" i="5"/>
  <c r="K951" i="5" s="1"/>
  <c r="F951" i="5"/>
  <c r="H953" i="5"/>
  <c r="C952" i="5"/>
  <c r="D952" i="5" s="1"/>
  <c r="B954" i="5"/>
  <c r="T942" i="28"/>
  <c r="S942" i="28"/>
  <c r="E943" i="28"/>
  <c r="AE943" i="13"/>
  <c r="E944" i="13"/>
  <c r="L944" i="13" s="1"/>
  <c r="R943" i="13"/>
  <c r="S942" i="13"/>
  <c r="T942" i="13"/>
  <c r="U942" i="13" s="1"/>
  <c r="AG942" i="13"/>
  <c r="AH942" i="13" s="1"/>
  <c r="AF942" i="13"/>
  <c r="E946" i="27"/>
  <c r="I951" i="5" l="1"/>
  <c r="J951" i="5" s="1"/>
  <c r="K944" i="13"/>
  <c r="AF942" i="7"/>
  <c r="E943" i="7"/>
  <c r="H954" i="5"/>
  <c r="B955" i="5"/>
  <c r="C953" i="5"/>
  <c r="D953" i="5" s="1"/>
  <c r="F952" i="5"/>
  <c r="G952" i="5"/>
  <c r="K952" i="5" s="1"/>
  <c r="E952" i="5"/>
  <c r="E944" i="28"/>
  <c r="S943" i="28"/>
  <c r="T943" i="28"/>
  <c r="S943" i="13"/>
  <c r="T943" i="13"/>
  <c r="U943" i="13" s="1"/>
  <c r="E947" i="27"/>
  <c r="R944" i="13"/>
  <c r="E945" i="13"/>
  <c r="L945" i="13" s="1"/>
  <c r="AE944" i="13"/>
  <c r="AG943" i="13"/>
  <c r="AH943" i="13" s="1"/>
  <c r="AF943" i="13"/>
  <c r="I952" i="5" l="1"/>
  <c r="J952" i="5" s="1"/>
  <c r="K945" i="13"/>
  <c r="AF943" i="7"/>
  <c r="E944" i="7"/>
  <c r="E953" i="5"/>
  <c r="F953" i="5"/>
  <c r="G953" i="5"/>
  <c r="K953" i="5" s="1"/>
  <c r="B956" i="5"/>
  <c r="C954" i="5"/>
  <c r="D954" i="5" s="1"/>
  <c r="H955" i="5"/>
  <c r="T944" i="28"/>
  <c r="S944" i="28"/>
  <c r="E945" i="28"/>
  <c r="T944" i="13"/>
  <c r="U944" i="13" s="1"/>
  <c r="S944" i="13"/>
  <c r="AG944" i="13"/>
  <c r="AH944" i="13" s="1"/>
  <c r="AF944" i="13"/>
  <c r="R945" i="13"/>
  <c r="AE945" i="13"/>
  <c r="E946" i="13"/>
  <c r="L946" i="13" s="1"/>
  <c r="E948" i="27"/>
  <c r="I953" i="5" l="1"/>
  <c r="J953" i="5" s="1"/>
  <c r="K946" i="13"/>
  <c r="AF944" i="7"/>
  <c r="E945" i="7"/>
  <c r="B957" i="5"/>
  <c r="H956" i="5"/>
  <c r="C955" i="5"/>
  <c r="D955" i="5" s="1"/>
  <c r="E954" i="5"/>
  <c r="G954" i="5"/>
  <c r="K954" i="5" s="1"/>
  <c r="F954" i="5"/>
  <c r="T945" i="28"/>
  <c r="S945" i="28"/>
  <c r="E946" i="28"/>
  <c r="R946" i="13"/>
  <c r="AE946" i="13"/>
  <c r="E947" i="13"/>
  <c r="L947" i="13" s="1"/>
  <c r="AG945" i="13"/>
  <c r="AH945" i="13" s="1"/>
  <c r="AF945" i="13"/>
  <c r="E949" i="27"/>
  <c r="S945" i="13"/>
  <c r="T945" i="13"/>
  <c r="U945" i="13" s="1"/>
  <c r="I954" i="5" l="1"/>
  <c r="J954" i="5" s="1"/>
  <c r="K947" i="13"/>
  <c r="AF945" i="7"/>
  <c r="E946" i="7"/>
  <c r="E955" i="5"/>
  <c r="G955" i="5"/>
  <c r="K955" i="5" s="1"/>
  <c r="F955" i="5"/>
  <c r="H957" i="5"/>
  <c r="B958" i="5"/>
  <c r="C956" i="5"/>
  <c r="D956" i="5" s="1"/>
  <c r="E947" i="28"/>
  <c r="T946" i="28"/>
  <c r="S946" i="28"/>
  <c r="AF946" i="13"/>
  <c r="AG946" i="13"/>
  <c r="AH946" i="13" s="1"/>
  <c r="E950" i="27"/>
  <c r="R947" i="13"/>
  <c r="AE947" i="13"/>
  <c r="E948" i="13"/>
  <c r="L948" i="13" s="1"/>
  <c r="T946" i="13"/>
  <c r="U946" i="13" s="1"/>
  <c r="S946" i="13"/>
  <c r="I955" i="5" l="1"/>
  <c r="J955" i="5" s="1"/>
  <c r="K948" i="13"/>
  <c r="AF946" i="7"/>
  <c r="E947" i="7"/>
  <c r="F956" i="5"/>
  <c r="E956" i="5"/>
  <c r="G956" i="5"/>
  <c r="K956" i="5" s="1"/>
  <c r="C957" i="5"/>
  <c r="D957" i="5" s="1"/>
  <c r="B959" i="5"/>
  <c r="H958" i="5"/>
  <c r="S947" i="28"/>
  <c r="T947" i="28"/>
  <c r="E948" i="28"/>
  <c r="AF947" i="13"/>
  <c r="AG947" i="13"/>
  <c r="AH947" i="13" s="1"/>
  <c r="T947" i="13"/>
  <c r="U947" i="13" s="1"/>
  <c r="S947" i="13"/>
  <c r="E951" i="27"/>
  <c r="R948" i="13"/>
  <c r="AE948" i="13"/>
  <c r="E949" i="13"/>
  <c r="L949" i="13" s="1"/>
  <c r="I956" i="5" l="1"/>
  <c r="J956" i="5" s="1"/>
  <c r="K949" i="13"/>
  <c r="AF947" i="7"/>
  <c r="E948" i="7"/>
  <c r="H959" i="5"/>
  <c r="B960" i="5"/>
  <c r="C958" i="5"/>
  <c r="D958" i="5" s="1"/>
  <c r="E957" i="5"/>
  <c r="F957" i="5"/>
  <c r="G957" i="5"/>
  <c r="K957" i="5" s="1"/>
  <c r="T948" i="28"/>
  <c r="S948" i="28"/>
  <c r="E949" i="28"/>
  <c r="AF948" i="13"/>
  <c r="AG948" i="13"/>
  <c r="AH948" i="13" s="1"/>
  <c r="T948" i="13"/>
  <c r="U948" i="13" s="1"/>
  <c r="S948" i="13"/>
  <c r="AE949" i="13"/>
  <c r="R949" i="13"/>
  <c r="E950" i="13"/>
  <c r="L950" i="13" s="1"/>
  <c r="E952" i="27"/>
  <c r="I957" i="5" l="1"/>
  <c r="J957" i="5" s="1"/>
  <c r="K950" i="13"/>
  <c r="AF948" i="7"/>
  <c r="E949" i="7"/>
  <c r="G958" i="5"/>
  <c r="K958" i="5" s="1"/>
  <c r="E958" i="5"/>
  <c r="F958" i="5"/>
  <c r="C959" i="5"/>
  <c r="D959" i="5" s="1"/>
  <c r="H960" i="5"/>
  <c r="B961" i="5"/>
  <c r="T949" i="28"/>
  <c r="S949" i="28"/>
  <c r="E950" i="28"/>
  <c r="E953" i="27"/>
  <c r="R950" i="13"/>
  <c r="AE950" i="13"/>
  <c r="E951" i="13"/>
  <c r="L951" i="13" s="1"/>
  <c r="T949" i="13"/>
  <c r="U949" i="13" s="1"/>
  <c r="S949" i="13"/>
  <c r="AG949" i="13"/>
  <c r="AH949" i="13" s="1"/>
  <c r="AF949" i="13"/>
  <c r="I958" i="5" l="1"/>
  <c r="J958" i="5" s="1"/>
  <c r="K951" i="13"/>
  <c r="AF949" i="7"/>
  <c r="E950" i="7"/>
  <c r="G959" i="5"/>
  <c r="K959" i="5" s="1"/>
  <c r="E959" i="5"/>
  <c r="F959" i="5"/>
  <c r="H961" i="5"/>
  <c r="B962" i="5"/>
  <c r="C960" i="5"/>
  <c r="D960" i="5" s="1"/>
  <c r="T950" i="28"/>
  <c r="S950" i="28"/>
  <c r="E951" i="28"/>
  <c r="AF950" i="13"/>
  <c r="AG950" i="13"/>
  <c r="AH950" i="13" s="1"/>
  <c r="AE951" i="13"/>
  <c r="R951" i="13"/>
  <c r="E952" i="13"/>
  <c r="L952" i="13" s="1"/>
  <c r="S950" i="13"/>
  <c r="T950" i="13"/>
  <c r="U950" i="13" s="1"/>
  <c r="E954" i="27"/>
  <c r="I959" i="5" l="1"/>
  <c r="J959" i="5" s="1"/>
  <c r="K952" i="13"/>
  <c r="AF950" i="7"/>
  <c r="E951" i="7"/>
  <c r="G960" i="5"/>
  <c r="K960" i="5" s="1"/>
  <c r="E960" i="5"/>
  <c r="F960" i="5"/>
  <c r="C961" i="5"/>
  <c r="D961" i="5" s="1"/>
  <c r="B963" i="5"/>
  <c r="H962" i="5"/>
  <c r="S951" i="28"/>
  <c r="T951" i="28"/>
  <c r="E952" i="28"/>
  <c r="E955" i="27"/>
  <c r="AG951" i="13"/>
  <c r="AH951" i="13" s="1"/>
  <c r="AF951" i="13"/>
  <c r="T951" i="13"/>
  <c r="U951" i="13" s="1"/>
  <c r="S951" i="13"/>
  <c r="R952" i="13"/>
  <c r="E953" i="13"/>
  <c r="L953" i="13" s="1"/>
  <c r="AE952" i="13"/>
  <c r="I960" i="5" l="1"/>
  <c r="J960" i="5" s="1"/>
  <c r="K953" i="13"/>
  <c r="AF951" i="7"/>
  <c r="E952" i="7"/>
  <c r="F961" i="5"/>
  <c r="G961" i="5"/>
  <c r="K961" i="5" s="1"/>
  <c r="E961" i="5"/>
  <c r="B964" i="5"/>
  <c r="C962" i="5"/>
  <c r="D962" i="5" s="1"/>
  <c r="H963" i="5"/>
  <c r="T952" i="28"/>
  <c r="S952" i="28"/>
  <c r="E953" i="28"/>
  <c r="AE953" i="13"/>
  <c r="R953" i="13"/>
  <c r="E954" i="13"/>
  <c r="L954" i="13" s="1"/>
  <c r="E956" i="27"/>
  <c r="S952" i="13"/>
  <c r="T952" i="13"/>
  <c r="U952" i="13" s="1"/>
  <c r="AF952" i="13"/>
  <c r="AG952" i="13"/>
  <c r="AH952" i="13" s="1"/>
  <c r="I961" i="5" l="1"/>
  <c r="J961" i="5" s="1"/>
  <c r="K954" i="13"/>
  <c r="AF952" i="7"/>
  <c r="E953" i="7"/>
  <c r="F962" i="5"/>
  <c r="E962" i="5"/>
  <c r="G962" i="5"/>
  <c r="K962" i="5" s="1"/>
  <c r="B965" i="5"/>
  <c r="H964" i="5"/>
  <c r="C963" i="5"/>
  <c r="D963" i="5" s="1"/>
  <c r="T953" i="28"/>
  <c r="S953" i="28"/>
  <c r="E954" i="28"/>
  <c r="S953" i="13"/>
  <c r="T953" i="13"/>
  <c r="U953" i="13" s="1"/>
  <c r="E957" i="27"/>
  <c r="R954" i="13"/>
  <c r="AE954" i="13"/>
  <c r="E955" i="13"/>
  <c r="L955" i="13" s="1"/>
  <c r="AG953" i="13"/>
  <c r="AH953" i="13" s="1"/>
  <c r="AF953" i="13"/>
  <c r="I962" i="5" l="1"/>
  <c r="J962" i="5" s="1"/>
  <c r="K955" i="13"/>
  <c r="AF953" i="7"/>
  <c r="E954" i="7"/>
  <c r="C964" i="5"/>
  <c r="D964" i="5" s="1"/>
  <c r="B966" i="5"/>
  <c r="H965" i="5"/>
  <c r="F963" i="5"/>
  <c r="E963" i="5"/>
  <c r="G963" i="5"/>
  <c r="K963" i="5" s="1"/>
  <c r="E955" i="28"/>
  <c r="S954" i="28"/>
  <c r="T954" i="28"/>
  <c r="R955" i="13"/>
  <c r="E956" i="13"/>
  <c r="L956" i="13" s="1"/>
  <c r="AE955" i="13"/>
  <c r="T954" i="13"/>
  <c r="U954" i="13" s="1"/>
  <c r="S954" i="13"/>
  <c r="E958" i="27"/>
  <c r="AF954" i="13"/>
  <c r="AG954" i="13"/>
  <c r="AH954" i="13" s="1"/>
  <c r="I963" i="5" l="1"/>
  <c r="J963" i="5" s="1"/>
  <c r="K956" i="13"/>
  <c r="AF954" i="7"/>
  <c r="E955" i="7"/>
  <c r="C965" i="5"/>
  <c r="D965" i="5" s="1"/>
  <c r="H966" i="5"/>
  <c r="B967" i="5"/>
  <c r="E964" i="5"/>
  <c r="F964" i="5"/>
  <c r="G964" i="5"/>
  <c r="K964" i="5" s="1"/>
  <c r="S955" i="28"/>
  <c r="T955" i="28"/>
  <c r="E956" i="28"/>
  <c r="R956" i="13"/>
  <c r="E957" i="13"/>
  <c r="L957" i="13" s="1"/>
  <c r="AE956" i="13"/>
  <c r="E959" i="27"/>
  <c r="AF955" i="13"/>
  <c r="AG955" i="13"/>
  <c r="AH955" i="13" s="1"/>
  <c r="T955" i="13"/>
  <c r="U955" i="13" s="1"/>
  <c r="S955" i="13"/>
  <c r="I964" i="5" l="1"/>
  <c r="J964" i="5" s="1"/>
  <c r="K957" i="13"/>
  <c r="AF955" i="7"/>
  <c r="E956" i="7"/>
  <c r="C966" i="5"/>
  <c r="H967" i="5"/>
  <c r="B968" i="5"/>
  <c r="G965" i="5"/>
  <c r="K965" i="5" s="1"/>
  <c r="F965" i="5"/>
  <c r="E965" i="5"/>
  <c r="E957" i="28"/>
  <c r="S956" i="28"/>
  <c r="T956" i="28"/>
  <c r="E960" i="27"/>
  <c r="S956" i="13"/>
  <c r="T956" i="13"/>
  <c r="U956" i="13" s="1"/>
  <c r="AF956" i="13"/>
  <c r="AG956" i="13"/>
  <c r="AH956" i="13" s="1"/>
  <c r="AE957" i="13"/>
  <c r="E958" i="13"/>
  <c r="L958" i="13" s="1"/>
  <c r="R957" i="13"/>
  <c r="I965" i="5" l="1"/>
  <c r="J965" i="5" s="1"/>
  <c r="K958" i="13"/>
  <c r="AF956" i="7"/>
  <c r="E957" i="7"/>
  <c r="C967" i="5"/>
  <c r="H968" i="5"/>
  <c r="B969" i="5"/>
  <c r="D966" i="5"/>
  <c r="E958" i="28"/>
  <c r="T957" i="28"/>
  <c r="S957" i="28"/>
  <c r="T957" i="13"/>
  <c r="U957" i="13" s="1"/>
  <c r="S957" i="13"/>
  <c r="R958" i="13"/>
  <c r="E959" i="13"/>
  <c r="L959" i="13" s="1"/>
  <c r="AE958" i="13"/>
  <c r="AG957" i="13"/>
  <c r="AH957" i="13" s="1"/>
  <c r="AF957" i="13"/>
  <c r="E961" i="27"/>
  <c r="K959" i="13" l="1"/>
  <c r="AF957" i="7"/>
  <c r="E958" i="7"/>
  <c r="H969" i="5"/>
  <c r="C968" i="5"/>
  <c r="B970" i="5"/>
  <c r="D967" i="5"/>
  <c r="F966" i="5"/>
  <c r="E966" i="5"/>
  <c r="G966" i="5"/>
  <c r="K966" i="5" s="1"/>
  <c r="S958" i="28"/>
  <c r="E959" i="28"/>
  <c r="T958" i="28"/>
  <c r="AE959" i="13"/>
  <c r="R959" i="13"/>
  <c r="E960" i="13"/>
  <c r="L960" i="13" s="1"/>
  <c r="S958" i="13"/>
  <c r="T958" i="13"/>
  <c r="U958" i="13" s="1"/>
  <c r="E962" i="27"/>
  <c r="AF958" i="13"/>
  <c r="AG958" i="13"/>
  <c r="AH958" i="13" s="1"/>
  <c r="I966" i="5" l="1"/>
  <c r="J966" i="5" s="1"/>
  <c r="K960" i="13"/>
  <c r="AF958" i="7"/>
  <c r="E959" i="7"/>
  <c r="C969" i="5"/>
  <c r="D969" i="5" s="1"/>
  <c r="B971" i="5"/>
  <c r="H970" i="5"/>
  <c r="D968" i="5"/>
  <c r="F967" i="5"/>
  <c r="G967" i="5"/>
  <c r="K967" i="5" s="1"/>
  <c r="E967" i="5"/>
  <c r="E960" i="28"/>
  <c r="S959" i="28"/>
  <c r="T959" i="28"/>
  <c r="R960" i="13"/>
  <c r="AE960" i="13"/>
  <c r="E961" i="13"/>
  <c r="L961" i="13" s="1"/>
  <c r="T959" i="13"/>
  <c r="U959" i="13" s="1"/>
  <c r="S959" i="13"/>
  <c r="E963" i="27"/>
  <c r="AF959" i="13"/>
  <c r="AG959" i="13"/>
  <c r="AH959" i="13" s="1"/>
  <c r="I967" i="5" l="1"/>
  <c r="J967" i="5" s="1"/>
  <c r="K961" i="13"/>
  <c r="AF959" i="7"/>
  <c r="E960" i="7"/>
  <c r="H971" i="5"/>
  <c r="C970" i="5"/>
  <c r="D970" i="5" s="1"/>
  <c r="B972" i="5"/>
  <c r="G968" i="5"/>
  <c r="K968" i="5" s="1"/>
  <c r="F968" i="5"/>
  <c r="E968" i="5"/>
  <c r="I968" i="5" s="1"/>
  <c r="J968" i="5" s="1"/>
  <c r="G969" i="5"/>
  <c r="K969" i="5" s="1"/>
  <c r="F969" i="5"/>
  <c r="E969" i="5"/>
  <c r="I969" i="5" s="1"/>
  <c r="J969" i="5" s="1"/>
  <c r="T960" i="28"/>
  <c r="E961" i="28"/>
  <c r="S960" i="28"/>
  <c r="E964" i="27"/>
  <c r="AE961" i="13"/>
  <c r="R961" i="13"/>
  <c r="E962" i="13"/>
  <c r="L962" i="13" s="1"/>
  <c r="S960" i="13"/>
  <c r="T960" i="13"/>
  <c r="U960" i="13" s="1"/>
  <c r="AG960" i="13"/>
  <c r="AH960" i="13" s="1"/>
  <c r="AF960" i="13"/>
  <c r="K962" i="13" l="1"/>
  <c r="AF960" i="7"/>
  <c r="E961" i="7"/>
  <c r="C971" i="5"/>
  <c r="I972" i="5"/>
  <c r="B973" i="5"/>
  <c r="H972" i="5"/>
  <c r="G970" i="5"/>
  <c r="K970" i="5" s="1"/>
  <c r="F970" i="5"/>
  <c r="E970" i="5"/>
  <c r="S961" i="28"/>
  <c r="E962" i="28"/>
  <c r="T961" i="28"/>
  <c r="AE962" i="13"/>
  <c r="R962" i="13"/>
  <c r="E963" i="13"/>
  <c r="L963" i="13" s="1"/>
  <c r="T961" i="13"/>
  <c r="U961" i="13" s="1"/>
  <c r="S961" i="13"/>
  <c r="AG961" i="13"/>
  <c r="AH961" i="13" s="1"/>
  <c r="AF961" i="13"/>
  <c r="E965" i="27"/>
  <c r="I970" i="5" l="1"/>
  <c r="J970" i="5" s="1"/>
  <c r="K963" i="13"/>
  <c r="AF961" i="7"/>
  <c r="E962" i="7"/>
  <c r="I973" i="5"/>
  <c r="H973" i="5"/>
  <c r="C972" i="5"/>
  <c r="B974" i="5"/>
  <c r="D971" i="5"/>
  <c r="S962" i="28"/>
  <c r="E963" i="28"/>
  <c r="T962" i="28"/>
  <c r="E966" i="27"/>
  <c r="T962" i="13"/>
  <c r="U962" i="13" s="1"/>
  <c r="S962" i="13"/>
  <c r="AE963" i="13"/>
  <c r="R963" i="13"/>
  <c r="E964" i="13"/>
  <c r="L964" i="13" s="1"/>
  <c r="AG962" i="13"/>
  <c r="AH962" i="13" s="1"/>
  <c r="AF962" i="13"/>
  <c r="K964" i="13" l="1"/>
  <c r="AF962" i="7"/>
  <c r="E963" i="7"/>
  <c r="D972" i="5"/>
  <c r="J972" i="5"/>
  <c r="B975" i="5"/>
  <c r="C973" i="5"/>
  <c r="I974" i="5"/>
  <c r="H974" i="5"/>
  <c r="G971" i="5"/>
  <c r="K971" i="5" s="1"/>
  <c r="E971" i="5"/>
  <c r="F971" i="5"/>
  <c r="E964" i="28"/>
  <c r="T963" i="28"/>
  <c r="S963" i="28"/>
  <c r="AG963" i="13"/>
  <c r="AH963" i="13" s="1"/>
  <c r="AF963" i="13"/>
  <c r="T963" i="13"/>
  <c r="U963" i="13" s="1"/>
  <c r="S963" i="13"/>
  <c r="R964" i="13"/>
  <c r="E965" i="13"/>
  <c r="L965" i="13" s="1"/>
  <c r="AE964" i="13"/>
  <c r="E967" i="27"/>
  <c r="I971" i="5" l="1"/>
  <c r="J971" i="5" s="1"/>
  <c r="K965" i="13"/>
  <c r="AF963" i="7"/>
  <c r="E964" i="7"/>
  <c r="I975" i="5"/>
  <c r="H975" i="5"/>
  <c r="B976" i="5"/>
  <c r="C974" i="5"/>
  <c r="D973" i="5"/>
  <c r="J973" i="5"/>
  <c r="G972" i="5"/>
  <c r="K972" i="5" s="1"/>
  <c r="E972" i="5"/>
  <c r="F972" i="5"/>
  <c r="E965" i="28"/>
  <c r="T964" i="28"/>
  <c r="S964" i="28"/>
  <c r="AE965" i="13"/>
  <c r="R965" i="13"/>
  <c r="E966" i="13"/>
  <c r="L966" i="13" s="1"/>
  <c r="AF964" i="13"/>
  <c r="AG964" i="13"/>
  <c r="AH964" i="13" s="1"/>
  <c r="T964" i="13"/>
  <c r="U964" i="13" s="1"/>
  <c r="S964" i="13"/>
  <c r="E968" i="27"/>
  <c r="K966" i="13" l="1"/>
  <c r="AF964" i="7"/>
  <c r="E965" i="7"/>
  <c r="B977" i="5"/>
  <c r="I976" i="5"/>
  <c r="C975" i="5"/>
  <c r="H976" i="5"/>
  <c r="D974" i="5"/>
  <c r="J974" i="5"/>
  <c r="E973" i="5"/>
  <c r="F973" i="5"/>
  <c r="G973" i="5"/>
  <c r="K973" i="5" s="1"/>
  <c r="S965" i="28"/>
  <c r="T965" i="28"/>
  <c r="E966" i="28"/>
  <c r="R966" i="13"/>
  <c r="E967" i="13"/>
  <c r="L967" i="13" s="1"/>
  <c r="AE966" i="13"/>
  <c r="AF965" i="13"/>
  <c r="AG965" i="13"/>
  <c r="AH965" i="13" s="1"/>
  <c r="E969" i="27"/>
  <c r="T965" i="13"/>
  <c r="U965" i="13" s="1"/>
  <c r="S965" i="13"/>
  <c r="K967" i="13" l="1"/>
  <c r="AF965" i="7"/>
  <c r="E966" i="7"/>
  <c r="D975" i="5"/>
  <c r="J975" i="5"/>
  <c r="G974" i="5"/>
  <c r="K974" i="5" s="1"/>
  <c r="F974" i="5"/>
  <c r="E974" i="5"/>
  <c r="I977" i="5"/>
  <c r="C976" i="5"/>
  <c r="B978" i="5"/>
  <c r="H977" i="5"/>
  <c r="E967" i="28"/>
  <c r="S966" i="28"/>
  <c r="T966" i="28"/>
  <c r="E970" i="27"/>
  <c r="R967" i="13"/>
  <c r="AE967" i="13"/>
  <c r="E968" i="13"/>
  <c r="L968" i="13" s="1"/>
  <c r="AG966" i="13"/>
  <c r="AH966" i="13" s="1"/>
  <c r="AF966" i="13"/>
  <c r="S966" i="13"/>
  <c r="T966" i="13"/>
  <c r="U966" i="13" s="1"/>
  <c r="K968" i="13" l="1"/>
  <c r="AF966" i="7"/>
  <c r="E967" i="7"/>
  <c r="I978" i="5"/>
  <c r="B979" i="5"/>
  <c r="H978" i="5"/>
  <c r="C977" i="5"/>
  <c r="D977" i="5" s="1"/>
  <c r="D976" i="5"/>
  <c r="J976" i="5"/>
  <c r="E975" i="5"/>
  <c r="F975" i="5"/>
  <c r="G975" i="5"/>
  <c r="K975" i="5" s="1"/>
  <c r="E968" i="28"/>
  <c r="S967" i="28"/>
  <c r="T967" i="28"/>
  <c r="AE968" i="13"/>
  <c r="E969" i="13"/>
  <c r="L969" i="13" s="1"/>
  <c r="R968" i="13"/>
  <c r="AF967" i="13"/>
  <c r="AG967" i="13"/>
  <c r="AH967" i="13" s="1"/>
  <c r="T967" i="13"/>
  <c r="U967" i="13" s="1"/>
  <c r="S967" i="13"/>
  <c r="E971" i="27"/>
  <c r="K969" i="13" l="1"/>
  <c r="AF967" i="7"/>
  <c r="E968" i="7"/>
  <c r="C978" i="5"/>
  <c r="H979" i="5"/>
  <c r="B980" i="5"/>
  <c r="I979" i="5"/>
  <c r="G976" i="5"/>
  <c r="K976" i="5" s="1"/>
  <c r="F976" i="5"/>
  <c r="E976" i="5"/>
  <c r="F977" i="5"/>
  <c r="G977" i="5"/>
  <c r="K977" i="5" s="1"/>
  <c r="E977" i="5"/>
  <c r="J977" i="5"/>
  <c r="T968" i="28"/>
  <c r="S968" i="28"/>
  <c r="E969" i="28"/>
  <c r="AG968" i="13"/>
  <c r="AH968" i="13" s="1"/>
  <c r="AF968" i="13"/>
  <c r="E972" i="27"/>
  <c r="S968" i="13"/>
  <c r="T968" i="13"/>
  <c r="U968" i="13" s="1"/>
  <c r="E970" i="13"/>
  <c r="L970" i="13" s="1"/>
  <c r="AE969" i="13"/>
  <c r="R969" i="13"/>
  <c r="K970" i="13" l="1"/>
  <c r="AF968" i="7"/>
  <c r="E969" i="7"/>
  <c r="H980" i="5"/>
  <c r="B981" i="5"/>
  <c r="I980" i="5"/>
  <c r="C979" i="5"/>
  <c r="D978" i="5"/>
  <c r="J978" i="5"/>
  <c r="S969" i="28"/>
  <c r="E970" i="28"/>
  <c r="T969" i="28"/>
  <c r="R970" i="13"/>
  <c r="AE970" i="13"/>
  <c r="E971" i="13"/>
  <c r="L971" i="13" s="1"/>
  <c r="S969" i="13"/>
  <c r="T969" i="13"/>
  <c r="U969" i="13" s="1"/>
  <c r="AG969" i="13"/>
  <c r="AH969" i="13" s="1"/>
  <c r="AF969" i="13"/>
  <c r="E973" i="27"/>
  <c r="K971" i="13" l="1"/>
  <c r="AF969" i="7"/>
  <c r="E970" i="7"/>
  <c r="D979" i="5"/>
  <c r="J979" i="5"/>
  <c r="B982" i="5"/>
  <c r="C980" i="5"/>
  <c r="H981" i="5"/>
  <c r="I981" i="5"/>
  <c r="E978" i="5"/>
  <c r="G978" i="5"/>
  <c r="K978" i="5" s="1"/>
  <c r="F978" i="5"/>
  <c r="E971" i="28"/>
  <c r="S970" i="28"/>
  <c r="T970" i="28"/>
  <c r="AG970" i="13"/>
  <c r="AH970" i="13" s="1"/>
  <c r="AF970" i="13"/>
  <c r="E974" i="27"/>
  <c r="AE971" i="13"/>
  <c r="R971" i="13"/>
  <c r="E972" i="13"/>
  <c r="L972" i="13" s="1"/>
  <c r="T970" i="13"/>
  <c r="U970" i="13" s="1"/>
  <c r="S970" i="13"/>
  <c r="K972" i="13" l="1"/>
  <c r="AF970" i="7"/>
  <c r="E971" i="7"/>
  <c r="I982" i="5"/>
  <c r="C981" i="5"/>
  <c r="H982" i="5"/>
  <c r="B983" i="5"/>
  <c r="D980" i="5"/>
  <c r="J980" i="5"/>
  <c r="G979" i="5"/>
  <c r="K979" i="5" s="1"/>
  <c r="E979" i="5"/>
  <c r="F979" i="5"/>
  <c r="T971" i="28"/>
  <c r="E972" i="28"/>
  <c r="S971" i="28"/>
  <c r="E975" i="27"/>
  <c r="R972" i="13"/>
  <c r="E973" i="13"/>
  <c r="L973" i="13" s="1"/>
  <c r="AE972" i="13"/>
  <c r="T971" i="13"/>
  <c r="U971" i="13" s="1"/>
  <c r="S971" i="13"/>
  <c r="AF971" i="13"/>
  <c r="AG971" i="13"/>
  <c r="AH971" i="13" s="1"/>
  <c r="K973" i="13" l="1"/>
  <c r="AF971" i="7"/>
  <c r="E972" i="7"/>
  <c r="B984" i="5"/>
  <c r="H983" i="5"/>
  <c r="C982" i="5"/>
  <c r="I983" i="5"/>
  <c r="D981" i="5"/>
  <c r="J981" i="5"/>
  <c r="E980" i="5"/>
  <c r="F980" i="5"/>
  <c r="G980" i="5"/>
  <c r="K980" i="5" s="1"/>
  <c r="T972" i="28"/>
  <c r="S972" i="28"/>
  <c r="E973" i="28"/>
  <c r="T972" i="13"/>
  <c r="U972" i="13" s="1"/>
  <c r="S972" i="13"/>
  <c r="AG972" i="13"/>
  <c r="AH972" i="13" s="1"/>
  <c r="AF972" i="13"/>
  <c r="E974" i="13"/>
  <c r="L974" i="13" s="1"/>
  <c r="R973" i="13"/>
  <c r="AE973" i="13"/>
  <c r="E976" i="27"/>
  <c r="K974" i="13" l="1"/>
  <c r="AF972" i="7"/>
  <c r="E973" i="7"/>
  <c r="D982" i="5"/>
  <c r="J982" i="5"/>
  <c r="E981" i="5"/>
  <c r="G981" i="5"/>
  <c r="K981" i="5" s="1"/>
  <c r="F981" i="5"/>
  <c r="C983" i="5"/>
  <c r="H984" i="5"/>
  <c r="B985" i="5"/>
  <c r="I984" i="5"/>
  <c r="T973" i="28"/>
  <c r="S973" i="28"/>
  <c r="E974" i="28"/>
  <c r="AE974" i="13"/>
  <c r="R974" i="13"/>
  <c r="E975" i="13"/>
  <c r="L975" i="13" s="1"/>
  <c r="E977" i="27"/>
  <c r="AF973" i="13"/>
  <c r="AG973" i="13"/>
  <c r="AH973" i="13" s="1"/>
  <c r="T973" i="13"/>
  <c r="U973" i="13" s="1"/>
  <c r="S973" i="13"/>
  <c r="K975" i="13" l="1"/>
  <c r="AF973" i="7"/>
  <c r="E974" i="7"/>
  <c r="H985" i="5"/>
  <c r="B986" i="5"/>
  <c r="I985" i="5"/>
  <c r="C984" i="5"/>
  <c r="D984" i="5" s="1"/>
  <c r="D983" i="5"/>
  <c r="J983" i="5"/>
  <c r="G982" i="5"/>
  <c r="K982" i="5" s="1"/>
  <c r="F982" i="5"/>
  <c r="E982" i="5"/>
  <c r="S974" i="28"/>
  <c r="T974" i="28"/>
  <c r="E975" i="28"/>
  <c r="E978" i="27"/>
  <c r="T974" i="13"/>
  <c r="U974" i="13" s="1"/>
  <c r="S974" i="13"/>
  <c r="R975" i="13"/>
  <c r="AE975" i="13"/>
  <c r="E976" i="13"/>
  <c r="L976" i="13" s="1"/>
  <c r="AF974" i="13"/>
  <c r="AG974" i="13"/>
  <c r="AH974" i="13" s="1"/>
  <c r="K976" i="13" l="1"/>
  <c r="AF974" i="7"/>
  <c r="E975" i="7"/>
  <c r="B987" i="5"/>
  <c r="C985" i="5"/>
  <c r="H986" i="5"/>
  <c r="I986" i="5"/>
  <c r="F983" i="5"/>
  <c r="G983" i="5"/>
  <c r="K983" i="5" s="1"/>
  <c r="E983" i="5"/>
  <c r="G984" i="5"/>
  <c r="K984" i="5" s="1"/>
  <c r="E984" i="5"/>
  <c r="F984" i="5"/>
  <c r="J984" i="5"/>
  <c r="S975" i="28"/>
  <c r="T975" i="28"/>
  <c r="E976" i="28"/>
  <c r="AG975" i="13"/>
  <c r="AH975" i="13" s="1"/>
  <c r="AF975" i="13"/>
  <c r="T975" i="13"/>
  <c r="U975" i="13" s="1"/>
  <c r="S975" i="13"/>
  <c r="AE976" i="13"/>
  <c r="E977" i="13"/>
  <c r="L977" i="13" s="1"/>
  <c r="R976" i="13"/>
  <c r="E979" i="27"/>
  <c r="K977" i="13" l="1"/>
  <c r="AF975" i="7"/>
  <c r="E976" i="7"/>
  <c r="D985" i="5"/>
  <c r="J985" i="5"/>
  <c r="B988" i="5"/>
  <c r="C986" i="5"/>
  <c r="H987" i="5"/>
  <c r="I987" i="5"/>
  <c r="S976" i="28"/>
  <c r="T976" i="28"/>
  <c r="E977" i="28"/>
  <c r="S976" i="13"/>
  <c r="T976" i="13"/>
  <c r="U976" i="13" s="1"/>
  <c r="AF976" i="13"/>
  <c r="AG976" i="13"/>
  <c r="AH976" i="13" s="1"/>
  <c r="AE977" i="13"/>
  <c r="E978" i="13"/>
  <c r="L978" i="13" s="1"/>
  <c r="R977" i="13"/>
  <c r="E980" i="27"/>
  <c r="K978" i="13" l="1"/>
  <c r="AF976" i="7"/>
  <c r="E977" i="7"/>
  <c r="D986" i="5"/>
  <c r="J986" i="5"/>
  <c r="B989" i="5"/>
  <c r="I988" i="5"/>
  <c r="C987" i="5"/>
  <c r="H988" i="5"/>
  <c r="G985" i="5"/>
  <c r="K985" i="5" s="1"/>
  <c r="F985" i="5"/>
  <c r="E985" i="5"/>
  <c r="T977" i="28"/>
  <c r="E978" i="28"/>
  <c r="S977" i="28"/>
  <c r="S977" i="13"/>
  <c r="T977" i="13"/>
  <c r="U977" i="13" s="1"/>
  <c r="R978" i="13"/>
  <c r="AE978" i="13"/>
  <c r="E979" i="13"/>
  <c r="L979" i="13" s="1"/>
  <c r="E981" i="27"/>
  <c r="AG977" i="13"/>
  <c r="AH977" i="13" s="1"/>
  <c r="AF977" i="13"/>
  <c r="K979" i="13" l="1"/>
  <c r="AF977" i="7"/>
  <c r="E978" i="7"/>
  <c r="C988" i="5"/>
  <c r="H989" i="5"/>
  <c r="B990" i="5"/>
  <c r="I989" i="5"/>
  <c r="D987" i="5"/>
  <c r="J987" i="5"/>
  <c r="E986" i="5"/>
  <c r="G986" i="5"/>
  <c r="K986" i="5" s="1"/>
  <c r="F986" i="5"/>
  <c r="S978" i="28"/>
  <c r="T978" i="28"/>
  <c r="E979" i="28"/>
  <c r="AG978" i="13"/>
  <c r="AH978" i="13" s="1"/>
  <c r="AF978" i="13"/>
  <c r="T978" i="13"/>
  <c r="U978" i="13" s="1"/>
  <c r="S978" i="13"/>
  <c r="E982" i="27"/>
  <c r="AE979" i="13"/>
  <c r="R979" i="13"/>
  <c r="E980" i="13"/>
  <c r="L980" i="13" s="1"/>
  <c r="K980" i="13" l="1"/>
  <c r="AF978" i="7"/>
  <c r="E979" i="7"/>
  <c r="H990" i="5"/>
  <c r="B991" i="5"/>
  <c r="C989" i="5"/>
  <c r="I990" i="5"/>
  <c r="G987" i="5"/>
  <c r="K987" i="5" s="1"/>
  <c r="F987" i="5"/>
  <c r="E987" i="5"/>
  <c r="D988" i="5"/>
  <c r="J988" i="5"/>
  <c r="T979" i="28"/>
  <c r="S979" i="28"/>
  <c r="E980" i="28"/>
  <c r="E981" i="13"/>
  <c r="L981" i="13" s="1"/>
  <c r="AE980" i="13"/>
  <c r="R980" i="13"/>
  <c r="T979" i="13"/>
  <c r="U979" i="13" s="1"/>
  <c r="S979" i="13"/>
  <c r="AF979" i="13"/>
  <c r="AG979" i="13"/>
  <c r="AH979" i="13" s="1"/>
  <c r="E983" i="27"/>
  <c r="K981" i="13" l="1"/>
  <c r="AF979" i="7"/>
  <c r="E980" i="7"/>
  <c r="F988" i="5"/>
  <c r="E988" i="5"/>
  <c r="G988" i="5"/>
  <c r="K988" i="5" s="1"/>
  <c r="D989" i="5"/>
  <c r="J989" i="5"/>
  <c r="B992" i="5"/>
  <c r="H991" i="5"/>
  <c r="C990" i="5"/>
  <c r="I991" i="5"/>
  <c r="E981" i="28"/>
  <c r="T980" i="28"/>
  <c r="S980" i="28"/>
  <c r="AE981" i="13"/>
  <c r="E982" i="13"/>
  <c r="L982" i="13" s="1"/>
  <c r="R981" i="13"/>
  <c r="E984" i="27"/>
  <c r="S980" i="13"/>
  <c r="T980" i="13"/>
  <c r="U980" i="13" s="1"/>
  <c r="AG980" i="13"/>
  <c r="AH980" i="13" s="1"/>
  <c r="AF980" i="13"/>
  <c r="K982" i="13" l="1"/>
  <c r="AF980" i="7"/>
  <c r="E981" i="7"/>
  <c r="D990" i="5"/>
  <c r="J990" i="5"/>
  <c r="E989" i="5"/>
  <c r="F989" i="5"/>
  <c r="G989" i="5"/>
  <c r="K989" i="5" s="1"/>
  <c r="I992" i="5"/>
  <c r="H992" i="5"/>
  <c r="C991" i="5"/>
  <c r="B993" i="5"/>
  <c r="S981" i="28"/>
  <c r="E982" i="28"/>
  <c r="T981" i="28"/>
  <c r="E985" i="27"/>
  <c r="AG981" i="13"/>
  <c r="AH981" i="13" s="1"/>
  <c r="AF981" i="13"/>
  <c r="T981" i="13"/>
  <c r="U981" i="13" s="1"/>
  <c r="S981" i="13"/>
  <c r="R982" i="13"/>
  <c r="AE982" i="13"/>
  <c r="E983" i="13"/>
  <c r="L983" i="13" s="1"/>
  <c r="K983" i="13" l="1"/>
  <c r="AF981" i="7"/>
  <c r="E982" i="7"/>
  <c r="D991" i="5"/>
  <c r="J991" i="5"/>
  <c r="C992" i="5"/>
  <c r="I993" i="5"/>
  <c r="H993" i="5"/>
  <c r="B994" i="5"/>
  <c r="F990" i="5"/>
  <c r="G990" i="5"/>
  <c r="K990" i="5" s="1"/>
  <c r="E990" i="5"/>
  <c r="S982" i="28"/>
  <c r="T982" i="28"/>
  <c r="E983" i="28"/>
  <c r="AG982" i="13"/>
  <c r="AH982" i="13" s="1"/>
  <c r="AF982" i="13"/>
  <c r="E986" i="27"/>
  <c r="AE983" i="13"/>
  <c r="E984" i="13"/>
  <c r="L984" i="13" s="1"/>
  <c r="R983" i="13"/>
  <c r="S982" i="13"/>
  <c r="T982" i="13"/>
  <c r="U982" i="13" s="1"/>
  <c r="K984" i="13" l="1"/>
  <c r="AF982" i="7"/>
  <c r="E983" i="7"/>
  <c r="D992" i="5"/>
  <c r="J992" i="5"/>
  <c r="B995" i="5"/>
  <c r="H994" i="5"/>
  <c r="I994" i="5"/>
  <c r="C993" i="5"/>
  <c r="G991" i="5"/>
  <c r="K991" i="5" s="1"/>
  <c r="F991" i="5"/>
  <c r="E991" i="5"/>
  <c r="E984" i="28"/>
  <c r="T983" i="28"/>
  <c r="S983" i="28"/>
  <c r="AE984" i="13"/>
  <c r="E985" i="13"/>
  <c r="L985" i="13" s="1"/>
  <c r="R984" i="13"/>
  <c r="T983" i="13"/>
  <c r="U983" i="13" s="1"/>
  <c r="S983" i="13"/>
  <c r="E987" i="27"/>
  <c r="AF983" i="13"/>
  <c r="AG983" i="13"/>
  <c r="AH983" i="13" s="1"/>
  <c r="K985" i="13" l="1"/>
  <c r="AF983" i="7"/>
  <c r="E984" i="7"/>
  <c r="I995" i="5"/>
  <c r="B996" i="5"/>
  <c r="C994" i="5"/>
  <c r="H995" i="5"/>
  <c r="D993" i="5"/>
  <c r="J993" i="5"/>
  <c r="E992" i="5"/>
  <c r="F992" i="5"/>
  <c r="G992" i="5"/>
  <c r="K992" i="5" s="1"/>
  <c r="S984" i="28"/>
  <c r="E985" i="28"/>
  <c r="T984" i="28"/>
  <c r="E988" i="27"/>
  <c r="AF984" i="13"/>
  <c r="AG984" i="13"/>
  <c r="AH984" i="13" s="1"/>
  <c r="S984" i="13"/>
  <c r="T984" i="13"/>
  <c r="U984" i="13" s="1"/>
  <c r="AE985" i="13"/>
  <c r="E986" i="13"/>
  <c r="L986" i="13" s="1"/>
  <c r="R985" i="13"/>
  <c r="K986" i="13" l="1"/>
  <c r="AF984" i="7"/>
  <c r="E985" i="7"/>
  <c r="D994" i="5"/>
  <c r="J994" i="5"/>
  <c r="C995" i="5"/>
  <c r="I996" i="5"/>
  <c r="H996" i="5"/>
  <c r="B997" i="5"/>
  <c r="E993" i="5"/>
  <c r="G993" i="5"/>
  <c r="K993" i="5" s="1"/>
  <c r="F993" i="5"/>
  <c r="S985" i="28"/>
  <c r="T985" i="28"/>
  <c r="E986" i="28"/>
  <c r="E987" i="13"/>
  <c r="L987" i="13" s="1"/>
  <c r="AE986" i="13"/>
  <c r="R986" i="13"/>
  <c r="T985" i="13"/>
  <c r="U985" i="13" s="1"/>
  <c r="S985" i="13"/>
  <c r="AG985" i="13"/>
  <c r="AH985" i="13" s="1"/>
  <c r="AF985" i="13"/>
  <c r="E989" i="27"/>
  <c r="K987" i="13" l="1"/>
  <c r="AF985" i="7"/>
  <c r="E986" i="7"/>
  <c r="D995" i="5"/>
  <c r="J995" i="5"/>
  <c r="H997" i="5"/>
  <c r="I997" i="5"/>
  <c r="B998" i="5"/>
  <c r="C996" i="5"/>
  <c r="F994" i="5"/>
  <c r="E994" i="5"/>
  <c r="G994" i="5"/>
  <c r="K994" i="5" s="1"/>
  <c r="T986" i="28"/>
  <c r="E987" i="28"/>
  <c r="S986" i="28"/>
  <c r="E990" i="27"/>
  <c r="AE987" i="13"/>
  <c r="R987" i="13"/>
  <c r="E988" i="13"/>
  <c r="L988" i="13" s="1"/>
  <c r="S986" i="13"/>
  <c r="T986" i="13"/>
  <c r="U986" i="13" s="1"/>
  <c r="AF986" i="13"/>
  <c r="AG986" i="13"/>
  <c r="AH986" i="13" s="1"/>
  <c r="K988" i="13" l="1"/>
  <c r="AF986" i="7"/>
  <c r="E987" i="7"/>
  <c r="D996" i="5"/>
  <c r="J996" i="5"/>
  <c r="H998" i="5"/>
  <c r="I998" i="5"/>
  <c r="B999" i="5"/>
  <c r="C997" i="5"/>
  <c r="G995" i="5"/>
  <c r="K995" i="5" s="1"/>
  <c r="F995" i="5"/>
  <c r="E995" i="5"/>
  <c r="S987" i="28"/>
  <c r="T987" i="28"/>
  <c r="E988" i="28"/>
  <c r="E991" i="27"/>
  <c r="AG987" i="13"/>
  <c r="AH987" i="13" s="1"/>
  <c r="AF987" i="13"/>
  <c r="S987" i="13"/>
  <c r="T987" i="13"/>
  <c r="U987" i="13" s="1"/>
  <c r="AE988" i="13"/>
  <c r="E989" i="13"/>
  <c r="L989" i="13" s="1"/>
  <c r="R988" i="13"/>
  <c r="K989" i="13" l="1"/>
  <c r="AF987" i="7"/>
  <c r="E988" i="7"/>
  <c r="D997" i="5"/>
  <c r="J997" i="5"/>
  <c r="I999" i="5"/>
  <c r="C998" i="5"/>
  <c r="H999" i="5"/>
  <c r="B1000" i="5"/>
  <c r="F996" i="5"/>
  <c r="G996" i="5"/>
  <c r="K996" i="5" s="1"/>
  <c r="E996" i="5"/>
  <c r="S988" i="28"/>
  <c r="T988" i="28"/>
  <c r="E989" i="28"/>
  <c r="T988" i="13"/>
  <c r="U988" i="13" s="1"/>
  <c r="S988" i="13"/>
  <c r="R989" i="13"/>
  <c r="E990" i="13"/>
  <c r="L990" i="13" s="1"/>
  <c r="AE989" i="13"/>
  <c r="AF988" i="13"/>
  <c r="AG988" i="13"/>
  <c r="AH988" i="13" s="1"/>
  <c r="E992" i="27"/>
  <c r="K990" i="13" l="1"/>
  <c r="AF988" i="7"/>
  <c r="E989" i="7"/>
  <c r="D998" i="5"/>
  <c r="J998" i="5"/>
  <c r="H1000" i="5"/>
  <c r="B1001" i="5"/>
  <c r="C999" i="5"/>
  <c r="I1000" i="5"/>
  <c r="F997" i="5"/>
  <c r="E997" i="5"/>
  <c r="G997" i="5"/>
  <c r="K997" i="5" s="1"/>
  <c r="S989" i="28"/>
  <c r="E990" i="28"/>
  <c r="T989" i="28"/>
  <c r="AF989" i="13"/>
  <c r="AG989" i="13"/>
  <c r="AH989" i="13" s="1"/>
  <c r="T989" i="13"/>
  <c r="U989" i="13" s="1"/>
  <c r="S989" i="13"/>
  <c r="E993" i="27"/>
  <c r="AE990" i="13"/>
  <c r="R990" i="13"/>
  <c r="E991" i="13"/>
  <c r="L991" i="13" s="1"/>
  <c r="K991" i="13" l="1"/>
  <c r="AF989" i="7"/>
  <c r="E990" i="7"/>
  <c r="C1000" i="5"/>
  <c r="H1001" i="5"/>
  <c r="I1001" i="5"/>
  <c r="B1002" i="5"/>
  <c r="D999" i="5"/>
  <c r="J999" i="5"/>
  <c r="G998" i="5"/>
  <c r="K998" i="5" s="1"/>
  <c r="F998" i="5"/>
  <c r="E998" i="5"/>
  <c r="S990" i="28"/>
  <c r="E991" i="28"/>
  <c r="T990" i="28"/>
  <c r="AE991" i="13"/>
  <c r="E992" i="13"/>
  <c r="L992" i="13" s="1"/>
  <c r="R991" i="13"/>
  <c r="AG990" i="13"/>
  <c r="AH990" i="13" s="1"/>
  <c r="AF990" i="13"/>
  <c r="T990" i="13"/>
  <c r="U990" i="13" s="1"/>
  <c r="S990" i="13"/>
  <c r="E994" i="27"/>
  <c r="K992" i="13" l="1"/>
  <c r="AF990" i="7"/>
  <c r="E991" i="7"/>
  <c r="I1002" i="5"/>
  <c r="B1003" i="5"/>
  <c r="H1002" i="5"/>
  <c r="C1001" i="5"/>
  <c r="E999" i="5"/>
  <c r="F999" i="5"/>
  <c r="G999" i="5"/>
  <c r="K999" i="5" s="1"/>
  <c r="D1000" i="5"/>
  <c r="J1000" i="5"/>
  <c r="E992" i="28"/>
  <c r="S991" i="28"/>
  <c r="T991" i="28"/>
  <c r="S991" i="13"/>
  <c r="T991" i="13"/>
  <c r="U991" i="13" s="1"/>
  <c r="E995" i="27"/>
  <c r="R992" i="13"/>
  <c r="E993" i="13"/>
  <c r="L993" i="13" s="1"/>
  <c r="AE992" i="13"/>
  <c r="AG991" i="13"/>
  <c r="AH991" i="13" s="1"/>
  <c r="AF991" i="13"/>
  <c r="K993" i="13" l="1"/>
  <c r="AF991" i="7"/>
  <c r="E992" i="7"/>
  <c r="D1001" i="5"/>
  <c r="J1001" i="5"/>
  <c r="I1003" i="5"/>
  <c r="B1004" i="5"/>
  <c r="H1003" i="5"/>
  <c r="C1002" i="5"/>
  <c r="G1000" i="5"/>
  <c r="K1000" i="5" s="1"/>
  <c r="E1000" i="5"/>
  <c r="F1000" i="5"/>
  <c r="S992" i="28"/>
  <c r="E993" i="28"/>
  <c r="T992" i="28"/>
  <c r="AF992" i="13"/>
  <c r="AG992" i="13"/>
  <c r="AH992" i="13" s="1"/>
  <c r="R993" i="13"/>
  <c r="E994" i="13"/>
  <c r="L994" i="13" s="1"/>
  <c r="AE993" i="13"/>
  <c r="T992" i="13"/>
  <c r="U992" i="13" s="1"/>
  <c r="S992" i="13"/>
  <c r="E996" i="27"/>
  <c r="K994" i="13" l="1"/>
  <c r="AF992" i="7"/>
  <c r="E993" i="7"/>
  <c r="C1003" i="5"/>
  <c r="B1005" i="5"/>
  <c r="I1004" i="5"/>
  <c r="H1004" i="5"/>
  <c r="D1002" i="5"/>
  <c r="J1002" i="5"/>
  <c r="F1001" i="5"/>
  <c r="E1001" i="5"/>
  <c r="G1001" i="5"/>
  <c r="K1001" i="5" s="1"/>
  <c r="E994" i="28"/>
  <c r="T993" i="28"/>
  <c r="S993" i="28"/>
  <c r="AE994" i="13"/>
  <c r="R994" i="13"/>
  <c r="E995" i="13"/>
  <c r="L995" i="13" s="1"/>
  <c r="AG993" i="13"/>
  <c r="AH993" i="13" s="1"/>
  <c r="AF993" i="13"/>
  <c r="E997" i="27"/>
  <c r="T993" i="13"/>
  <c r="U993" i="13" s="1"/>
  <c r="S993" i="13"/>
  <c r="K995" i="13" l="1"/>
  <c r="AF993" i="7"/>
  <c r="E994" i="7"/>
  <c r="B1006" i="5"/>
  <c r="I1005" i="5"/>
  <c r="H1005" i="5"/>
  <c r="C1004" i="5"/>
  <c r="D1004" i="5" s="1"/>
  <c r="G1002" i="5"/>
  <c r="K1002" i="5" s="1"/>
  <c r="E1002" i="5"/>
  <c r="F1002" i="5"/>
  <c r="D1003" i="5"/>
  <c r="J1003" i="5"/>
  <c r="T994" i="28"/>
  <c r="S994" i="28"/>
  <c r="E995" i="28"/>
  <c r="AG994" i="13"/>
  <c r="AH994" i="13" s="1"/>
  <c r="AF994" i="13"/>
  <c r="S994" i="13"/>
  <c r="T994" i="13"/>
  <c r="U994" i="13" s="1"/>
  <c r="E998" i="27"/>
  <c r="E996" i="13"/>
  <c r="L996" i="13" s="1"/>
  <c r="AE995" i="13"/>
  <c r="R995" i="13"/>
  <c r="K996" i="13" l="1"/>
  <c r="AF994" i="7"/>
  <c r="E995" i="7"/>
  <c r="H1006" i="5"/>
  <c r="C1005" i="5"/>
  <c r="I1006" i="5"/>
  <c r="B1007" i="5"/>
  <c r="F1003" i="5"/>
  <c r="E1003" i="5"/>
  <c r="G1003" i="5"/>
  <c r="K1003" i="5" s="1"/>
  <c r="E1004" i="5"/>
  <c r="G1004" i="5"/>
  <c r="K1004" i="5" s="1"/>
  <c r="F1004" i="5"/>
  <c r="J1004" i="5"/>
  <c r="S995" i="28"/>
  <c r="E996" i="28"/>
  <c r="T995" i="28"/>
  <c r="S995" i="13"/>
  <c r="T995" i="13"/>
  <c r="U995" i="13" s="1"/>
  <c r="AG995" i="13"/>
  <c r="AH995" i="13" s="1"/>
  <c r="AF995" i="13"/>
  <c r="AE996" i="13"/>
  <c r="E997" i="13"/>
  <c r="L997" i="13" s="1"/>
  <c r="R996" i="13"/>
  <c r="E999" i="27"/>
  <c r="K997" i="13" l="1"/>
  <c r="AF995" i="7"/>
  <c r="E996" i="7"/>
  <c r="D1005" i="5"/>
  <c r="J1005" i="5"/>
  <c r="B1008" i="5"/>
  <c r="C1006" i="5"/>
  <c r="D1006" i="5" s="1"/>
  <c r="I1007" i="5"/>
  <c r="H1007" i="5"/>
  <c r="S996" i="28"/>
  <c r="T996" i="28"/>
  <c r="E997" i="28"/>
  <c r="S996" i="13"/>
  <c r="T996" i="13"/>
  <c r="U996" i="13" s="1"/>
  <c r="AE997" i="13"/>
  <c r="E998" i="13"/>
  <c r="L998" i="13" s="1"/>
  <c r="R997" i="13"/>
  <c r="E1000" i="27"/>
  <c r="AG996" i="13"/>
  <c r="AH996" i="13" s="1"/>
  <c r="AF996" i="13"/>
  <c r="K998" i="13" l="1"/>
  <c r="AF996" i="7"/>
  <c r="E997" i="7"/>
  <c r="B1009" i="5"/>
  <c r="I1008" i="5"/>
  <c r="H1008" i="5"/>
  <c r="C1007" i="5"/>
  <c r="E1005" i="5"/>
  <c r="F1005" i="5"/>
  <c r="G1005" i="5"/>
  <c r="K1005" i="5" s="1"/>
  <c r="F1006" i="5"/>
  <c r="G1006" i="5"/>
  <c r="K1006" i="5" s="1"/>
  <c r="E1006" i="5"/>
  <c r="J1006" i="5"/>
  <c r="T997" i="28"/>
  <c r="E998" i="28"/>
  <c r="S997" i="28"/>
  <c r="T997" i="13"/>
  <c r="U997" i="13" s="1"/>
  <c r="S997" i="13"/>
  <c r="AF997" i="13"/>
  <c r="AG997" i="13"/>
  <c r="AH997" i="13" s="1"/>
  <c r="R998" i="13"/>
  <c r="E999" i="13"/>
  <c r="L999" i="13" s="1"/>
  <c r="AE998" i="13"/>
  <c r="E1001" i="27"/>
  <c r="K999" i="13" l="1"/>
  <c r="AF997" i="7"/>
  <c r="E998" i="7"/>
  <c r="D1007" i="5"/>
  <c r="J1007" i="5"/>
  <c r="C1008" i="5"/>
  <c r="I1009" i="5"/>
  <c r="B1010" i="5"/>
  <c r="H1009" i="5"/>
  <c r="S998" i="28"/>
  <c r="T998" i="28"/>
  <c r="E999" i="28"/>
  <c r="E1002" i="27"/>
  <c r="AF998" i="13"/>
  <c r="AG998" i="13"/>
  <c r="AH998" i="13" s="1"/>
  <c r="AE999" i="13"/>
  <c r="E1000" i="13"/>
  <c r="L1000" i="13" s="1"/>
  <c r="R999" i="13"/>
  <c r="S998" i="13"/>
  <c r="T998" i="13"/>
  <c r="U998" i="13" s="1"/>
  <c r="K1000" i="13" l="1"/>
  <c r="AF998" i="7"/>
  <c r="E999" i="7"/>
  <c r="D1008" i="5"/>
  <c r="J1008" i="5"/>
  <c r="B1011" i="5"/>
  <c r="I1010" i="5"/>
  <c r="H1010" i="5"/>
  <c r="C1009" i="5"/>
  <c r="D1009" i="5" s="1"/>
  <c r="E1007" i="5"/>
  <c r="G1007" i="5"/>
  <c r="K1007" i="5" s="1"/>
  <c r="F1007" i="5"/>
  <c r="T999" i="28"/>
  <c r="E1000" i="28"/>
  <c r="S999" i="28"/>
  <c r="T999" i="13"/>
  <c r="U999" i="13" s="1"/>
  <c r="S999" i="13"/>
  <c r="AG999" i="13"/>
  <c r="AH999" i="13" s="1"/>
  <c r="AF999" i="13"/>
  <c r="E1003" i="27"/>
  <c r="AE1000" i="13"/>
  <c r="R1000" i="13"/>
  <c r="E1001" i="13"/>
  <c r="L1001" i="13" s="1"/>
  <c r="K1001" i="13" l="1"/>
  <c r="AF999" i="7"/>
  <c r="E1000" i="7"/>
  <c r="E1009" i="5"/>
  <c r="G1009" i="5"/>
  <c r="K1009" i="5" s="1"/>
  <c r="F1009" i="5"/>
  <c r="I1011" i="5"/>
  <c r="H1011" i="5"/>
  <c r="C1010" i="5"/>
  <c r="B1012" i="5"/>
  <c r="G1008" i="5"/>
  <c r="K1008" i="5" s="1"/>
  <c r="F1008" i="5"/>
  <c r="E1008" i="5"/>
  <c r="J1009" i="5"/>
  <c r="E1001" i="28"/>
  <c r="T1000" i="28"/>
  <c r="S1000" i="28"/>
  <c r="AG1000" i="13"/>
  <c r="AH1000" i="13" s="1"/>
  <c r="AF1000" i="13"/>
  <c r="R1001" i="13"/>
  <c r="E1002" i="13"/>
  <c r="L1002" i="13" s="1"/>
  <c r="AE1001" i="13"/>
  <c r="T1000" i="13"/>
  <c r="U1000" i="13" s="1"/>
  <c r="S1000" i="13"/>
  <c r="E1004" i="27"/>
  <c r="K1002" i="13" l="1"/>
  <c r="AF1000" i="7"/>
  <c r="E1001" i="7"/>
  <c r="B1013" i="5"/>
  <c r="I1012" i="5"/>
  <c r="C1011" i="5"/>
  <c r="D1011" i="5" s="1"/>
  <c r="H1012" i="5"/>
  <c r="D1010" i="5"/>
  <c r="J1010" i="5"/>
  <c r="S1001" i="28"/>
  <c r="T1001" i="28"/>
  <c r="E1002" i="28"/>
  <c r="AE1002" i="13"/>
  <c r="R1002" i="13"/>
  <c r="E1003" i="13"/>
  <c r="L1003" i="13" s="1"/>
  <c r="T1001" i="13"/>
  <c r="U1001" i="13" s="1"/>
  <c r="S1001" i="13"/>
  <c r="E1005" i="27"/>
  <c r="AG1001" i="13"/>
  <c r="AH1001" i="13" s="1"/>
  <c r="AF1001" i="13"/>
  <c r="K1003" i="13" l="1"/>
  <c r="AF1001" i="7"/>
  <c r="E1002" i="7"/>
  <c r="E1010" i="5"/>
  <c r="G1010" i="5"/>
  <c r="K1010" i="5" s="1"/>
  <c r="F1010" i="5"/>
  <c r="B1014" i="5"/>
  <c r="C1012" i="5"/>
  <c r="I1013" i="5"/>
  <c r="H1013" i="5"/>
  <c r="G1011" i="5"/>
  <c r="K1011" i="5" s="1"/>
  <c r="E1011" i="5"/>
  <c r="F1011" i="5"/>
  <c r="J1011" i="5"/>
  <c r="E1003" i="28"/>
  <c r="S1002" i="28"/>
  <c r="T1002" i="28"/>
  <c r="AF1002" i="13"/>
  <c r="AG1002" i="13"/>
  <c r="AH1002" i="13" s="1"/>
  <c r="R1003" i="13"/>
  <c r="E1004" i="13"/>
  <c r="L1004" i="13" s="1"/>
  <c r="AE1003" i="13"/>
  <c r="E1006" i="27"/>
  <c r="S1002" i="13"/>
  <c r="T1002" i="13"/>
  <c r="U1002" i="13" s="1"/>
  <c r="K1004" i="13" l="1"/>
  <c r="AF1002" i="7"/>
  <c r="E1003" i="7"/>
  <c r="B1015" i="5"/>
  <c r="C1013" i="5"/>
  <c r="H1014" i="5"/>
  <c r="I1014" i="5"/>
  <c r="D1012" i="5"/>
  <c r="J1012" i="5"/>
  <c r="S1003" i="28"/>
  <c r="T1003" i="28"/>
  <c r="E1004" i="28"/>
  <c r="E1007" i="27"/>
  <c r="AF1003" i="13"/>
  <c r="AG1003" i="13"/>
  <c r="AH1003" i="13" s="1"/>
  <c r="S1003" i="13"/>
  <c r="T1003" i="13"/>
  <c r="U1003" i="13" s="1"/>
  <c r="AE1004" i="13"/>
  <c r="E1005" i="13"/>
  <c r="L1005" i="13" s="1"/>
  <c r="R1004" i="13"/>
  <c r="K1005" i="13" l="1"/>
  <c r="AF1003" i="7"/>
  <c r="E1004" i="7"/>
  <c r="D1013" i="5"/>
  <c r="J1013" i="5"/>
  <c r="F1012" i="5"/>
  <c r="G1012" i="5"/>
  <c r="K1012" i="5" s="1"/>
  <c r="E1012" i="5"/>
  <c r="I1015" i="5"/>
  <c r="H1015" i="5"/>
  <c r="C1014" i="5"/>
  <c r="D1014" i="5" s="1"/>
  <c r="B1016" i="5"/>
  <c r="E1005" i="28"/>
  <c r="S1004" i="28"/>
  <c r="T1004" i="28"/>
  <c r="AG1004" i="13"/>
  <c r="AH1004" i="13" s="1"/>
  <c r="AF1004" i="13"/>
  <c r="T1004" i="13"/>
  <c r="U1004" i="13" s="1"/>
  <c r="S1004" i="13"/>
  <c r="R1005" i="13"/>
  <c r="AE1005" i="13"/>
  <c r="E1006" i="13"/>
  <c r="L1006" i="13" s="1"/>
  <c r="E1008" i="27"/>
  <c r="K1006" i="13" l="1"/>
  <c r="AF1004" i="7"/>
  <c r="E1005" i="7"/>
  <c r="H1016" i="5"/>
  <c r="I1016" i="5"/>
  <c r="C1015" i="5"/>
  <c r="D1015" i="5" s="1"/>
  <c r="B1017" i="5"/>
  <c r="G1013" i="5"/>
  <c r="K1013" i="5" s="1"/>
  <c r="E1013" i="5"/>
  <c r="F1013" i="5"/>
  <c r="F1014" i="5"/>
  <c r="E1014" i="5"/>
  <c r="G1014" i="5"/>
  <c r="K1014" i="5" s="1"/>
  <c r="J1014" i="5"/>
  <c r="S1005" i="28"/>
  <c r="E1006" i="28"/>
  <c r="T1005" i="28"/>
  <c r="E1009" i="27"/>
  <c r="AG1005" i="13"/>
  <c r="AH1005" i="13" s="1"/>
  <c r="AF1005" i="13"/>
  <c r="S1005" i="13"/>
  <c r="T1005" i="13"/>
  <c r="U1005" i="13" s="1"/>
  <c r="AE1006" i="13"/>
  <c r="R1006" i="13"/>
  <c r="E1007" i="13"/>
  <c r="L1007" i="13" s="1"/>
  <c r="K1007" i="13" l="1"/>
  <c r="AF1005" i="7"/>
  <c r="E1006" i="7"/>
  <c r="E1015" i="5"/>
  <c r="G1015" i="5"/>
  <c r="K1015" i="5" s="1"/>
  <c r="F1015" i="5"/>
  <c r="C1016" i="5"/>
  <c r="H1017" i="5"/>
  <c r="B1018" i="5"/>
  <c r="I1017" i="5"/>
  <c r="J1015" i="5"/>
  <c r="S1006" i="28"/>
  <c r="T1006" i="28"/>
  <c r="E1007" i="28"/>
  <c r="S1006" i="13"/>
  <c r="T1006" i="13"/>
  <c r="U1006" i="13" s="1"/>
  <c r="AF1006" i="13"/>
  <c r="AG1006" i="13"/>
  <c r="AH1006" i="13" s="1"/>
  <c r="E1010" i="27"/>
  <c r="AE1007" i="13"/>
  <c r="R1007" i="13"/>
  <c r="E1008" i="13"/>
  <c r="L1008" i="13" s="1"/>
  <c r="K1008" i="13" l="1"/>
  <c r="AF1006" i="7"/>
  <c r="E1007" i="7"/>
  <c r="D1016" i="5"/>
  <c r="J1016" i="5"/>
  <c r="I1018" i="5"/>
  <c r="B1019" i="5"/>
  <c r="H1018" i="5"/>
  <c r="C1017" i="5"/>
  <c r="T1007" i="28"/>
  <c r="S1007" i="28"/>
  <c r="E1008" i="28"/>
  <c r="AG1007" i="13"/>
  <c r="AH1007" i="13" s="1"/>
  <c r="AF1007" i="13"/>
  <c r="E1009" i="13"/>
  <c r="L1009" i="13" s="1"/>
  <c r="R1008" i="13"/>
  <c r="AE1008" i="13"/>
  <c r="T1007" i="13"/>
  <c r="U1007" i="13" s="1"/>
  <c r="S1007" i="13"/>
  <c r="E1011" i="27"/>
  <c r="K1009" i="13" l="1"/>
  <c r="AF1007" i="7"/>
  <c r="E1008" i="7"/>
  <c r="B1020" i="5"/>
  <c r="I1019" i="5"/>
  <c r="C1018" i="5"/>
  <c r="H1019" i="5"/>
  <c r="D1017" i="5"/>
  <c r="J1017" i="5"/>
  <c r="G1016" i="5"/>
  <c r="K1016" i="5" s="1"/>
  <c r="F1016" i="5"/>
  <c r="E1016" i="5"/>
  <c r="S1008" i="28"/>
  <c r="T1008" i="28"/>
  <c r="E1009" i="28"/>
  <c r="E1012" i="27"/>
  <c r="AE1009" i="13"/>
  <c r="R1009" i="13"/>
  <c r="E1010" i="13"/>
  <c r="L1010" i="13" s="1"/>
  <c r="AF1008" i="13"/>
  <c r="AG1008" i="13"/>
  <c r="AH1008" i="13" s="1"/>
  <c r="S1008" i="13"/>
  <c r="T1008" i="13"/>
  <c r="U1008" i="13" s="1"/>
  <c r="K1010" i="13" l="1"/>
  <c r="AF1008" i="7"/>
  <c r="E1009" i="7"/>
  <c r="D1018" i="5"/>
  <c r="J1018" i="5"/>
  <c r="F1017" i="5"/>
  <c r="G1017" i="5"/>
  <c r="K1017" i="5" s="1"/>
  <c r="E1017" i="5"/>
  <c r="C1019" i="5"/>
  <c r="H1020" i="5"/>
  <c r="B1021" i="5"/>
  <c r="I1020" i="5"/>
  <c r="T1009" i="28"/>
  <c r="E1010" i="28"/>
  <c r="S1009" i="28"/>
  <c r="E1011" i="13"/>
  <c r="L1011" i="13" s="1"/>
  <c r="AE1010" i="13"/>
  <c r="R1010" i="13"/>
  <c r="S1009" i="13"/>
  <c r="T1009" i="13"/>
  <c r="U1009" i="13" s="1"/>
  <c r="E1013" i="27"/>
  <c r="AF1009" i="13"/>
  <c r="AG1009" i="13"/>
  <c r="AH1009" i="13" s="1"/>
  <c r="K1011" i="13" l="1"/>
  <c r="AF1009" i="7"/>
  <c r="E1010" i="7"/>
  <c r="H1021" i="5"/>
  <c r="B1022" i="5"/>
  <c r="C1020" i="5"/>
  <c r="I1021" i="5"/>
  <c r="D1019" i="5"/>
  <c r="J1019" i="5"/>
  <c r="F1018" i="5"/>
  <c r="G1018" i="5"/>
  <c r="K1018" i="5" s="1"/>
  <c r="E1018" i="5"/>
  <c r="S1010" i="28"/>
  <c r="E1011" i="28"/>
  <c r="T1010" i="28"/>
  <c r="AF1010" i="13"/>
  <c r="AG1010" i="13"/>
  <c r="AH1010" i="13" s="1"/>
  <c r="R1011" i="13"/>
  <c r="AE1011" i="13"/>
  <c r="E1012" i="13"/>
  <c r="L1012" i="13" s="1"/>
  <c r="E1014" i="27"/>
  <c r="S1010" i="13"/>
  <c r="T1010" i="13"/>
  <c r="U1010" i="13" s="1"/>
  <c r="K1012" i="13" l="1"/>
  <c r="AF1010" i="7"/>
  <c r="E1011" i="7"/>
  <c r="D1020" i="5"/>
  <c r="J1020" i="5"/>
  <c r="I1022" i="5"/>
  <c r="H1022" i="5"/>
  <c r="B1023" i="5"/>
  <c r="C1021" i="5"/>
  <c r="G1019" i="5"/>
  <c r="K1019" i="5" s="1"/>
  <c r="F1019" i="5"/>
  <c r="E1019" i="5"/>
  <c r="S1011" i="28"/>
  <c r="T1011" i="28"/>
  <c r="E1012" i="28"/>
  <c r="AF1011" i="13"/>
  <c r="AG1011" i="13"/>
  <c r="AH1011" i="13" s="1"/>
  <c r="S1011" i="13"/>
  <c r="T1011" i="13"/>
  <c r="U1011" i="13" s="1"/>
  <c r="E1015" i="27"/>
  <c r="R1012" i="13"/>
  <c r="E1013" i="13"/>
  <c r="L1013" i="13" s="1"/>
  <c r="AE1012" i="13"/>
  <c r="K1013" i="13" l="1"/>
  <c r="AF1011" i="7"/>
  <c r="E1012" i="7"/>
  <c r="D1021" i="5"/>
  <c r="J1021" i="5"/>
  <c r="H1023" i="5"/>
  <c r="C1022" i="5"/>
  <c r="B1024" i="5"/>
  <c r="I1023" i="5"/>
  <c r="F1020" i="5"/>
  <c r="E1020" i="5"/>
  <c r="G1020" i="5"/>
  <c r="K1020" i="5" s="1"/>
  <c r="T1012" i="28"/>
  <c r="E1013" i="28"/>
  <c r="S1012" i="28"/>
  <c r="AF1012" i="13"/>
  <c r="AG1012" i="13"/>
  <c r="AH1012" i="13" s="1"/>
  <c r="E1014" i="13"/>
  <c r="L1014" i="13" s="1"/>
  <c r="R1013" i="13"/>
  <c r="AE1013" i="13"/>
  <c r="S1012" i="13"/>
  <c r="T1012" i="13"/>
  <c r="U1012" i="13" s="1"/>
  <c r="E1016" i="27"/>
  <c r="K1014" i="13" l="1"/>
  <c r="AF1012" i="7"/>
  <c r="E1013" i="7"/>
  <c r="D1022" i="5"/>
  <c r="J1022" i="5"/>
  <c r="H1024" i="5"/>
  <c r="B1025" i="5"/>
  <c r="C1023" i="5"/>
  <c r="I1024" i="5"/>
  <c r="G1021" i="5"/>
  <c r="K1021" i="5" s="1"/>
  <c r="E1021" i="5"/>
  <c r="F1021" i="5"/>
  <c r="T1013" i="28"/>
  <c r="S1013" i="28"/>
  <c r="E1014" i="28"/>
  <c r="E1017" i="27"/>
  <c r="T1013" i="13"/>
  <c r="U1013" i="13" s="1"/>
  <c r="S1013" i="13"/>
  <c r="AF1013" i="13"/>
  <c r="AG1013" i="13"/>
  <c r="AH1013" i="13" s="1"/>
  <c r="R1014" i="13"/>
  <c r="AE1014" i="13"/>
  <c r="E1015" i="13"/>
  <c r="L1015" i="13" s="1"/>
  <c r="K1015" i="13" l="1"/>
  <c r="AF1013" i="7"/>
  <c r="E1014" i="7"/>
  <c r="I1025" i="5"/>
  <c r="C1024" i="5"/>
  <c r="B1026" i="5"/>
  <c r="H1025" i="5"/>
  <c r="D1023" i="5"/>
  <c r="J1023" i="5"/>
  <c r="E1022" i="5"/>
  <c r="G1022" i="5"/>
  <c r="K1022" i="5" s="1"/>
  <c r="F1022" i="5"/>
  <c r="S1014" i="28"/>
  <c r="T1014" i="28"/>
  <c r="E1015" i="28"/>
  <c r="R1015" i="13"/>
  <c r="AE1015" i="13"/>
  <c r="E1016" i="13"/>
  <c r="L1016" i="13" s="1"/>
  <c r="AG1014" i="13"/>
  <c r="AH1014" i="13" s="1"/>
  <c r="AF1014" i="13"/>
  <c r="T1014" i="13"/>
  <c r="U1014" i="13" s="1"/>
  <c r="S1014" i="13"/>
  <c r="E1018" i="27"/>
  <c r="K1016" i="13" l="1"/>
  <c r="AF1014" i="7"/>
  <c r="E1015" i="7"/>
  <c r="H1026" i="5"/>
  <c r="C1025" i="5"/>
  <c r="B1027" i="5"/>
  <c r="I1026" i="5"/>
  <c r="D1024" i="5"/>
  <c r="J1024" i="5"/>
  <c r="F1023" i="5"/>
  <c r="E1023" i="5"/>
  <c r="G1023" i="5"/>
  <c r="K1023" i="5" s="1"/>
  <c r="T1015" i="28"/>
  <c r="E1016" i="28"/>
  <c r="S1015" i="28"/>
  <c r="T1015" i="13"/>
  <c r="U1015" i="13" s="1"/>
  <c r="S1015" i="13"/>
  <c r="E1017" i="13"/>
  <c r="L1017" i="13" s="1"/>
  <c r="R1016" i="13"/>
  <c r="AE1016" i="13"/>
  <c r="E1019" i="27"/>
  <c r="AF1015" i="13"/>
  <c r="AG1015" i="13"/>
  <c r="AH1015" i="13" s="1"/>
  <c r="K1017" i="13" l="1"/>
  <c r="AF1015" i="7"/>
  <c r="E1016" i="7"/>
  <c r="H1027" i="5"/>
  <c r="B1028" i="5"/>
  <c r="I1027" i="5"/>
  <c r="C1026" i="5"/>
  <c r="D1025" i="5"/>
  <c r="J1025" i="5"/>
  <c r="E1024" i="5"/>
  <c r="F1024" i="5"/>
  <c r="G1024" i="5"/>
  <c r="K1024" i="5" s="1"/>
  <c r="S1016" i="28"/>
  <c r="E1017" i="28"/>
  <c r="T1016" i="28"/>
  <c r="AE1017" i="13"/>
  <c r="R1017" i="13"/>
  <c r="E1018" i="13"/>
  <c r="L1018" i="13" s="1"/>
  <c r="E1020" i="27"/>
  <c r="AF1016" i="13"/>
  <c r="AG1016" i="13"/>
  <c r="AH1016" i="13" s="1"/>
  <c r="S1016" i="13"/>
  <c r="T1016" i="13"/>
  <c r="U1016" i="13" s="1"/>
  <c r="K1018" i="13" l="1"/>
  <c r="AF1016" i="7"/>
  <c r="E1017" i="7"/>
  <c r="D1026" i="5"/>
  <c r="J1026" i="5"/>
  <c r="B1029" i="5"/>
  <c r="C1027" i="5"/>
  <c r="I1028" i="5"/>
  <c r="H1028" i="5"/>
  <c r="F1025" i="5"/>
  <c r="E1025" i="5"/>
  <c r="G1025" i="5"/>
  <c r="K1025" i="5" s="1"/>
  <c r="T1017" i="28"/>
  <c r="E1018" i="28"/>
  <c r="S1017" i="28"/>
  <c r="E1021" i="27"/>
  <c r="AE1018" i="13"/>
  <c r="E1019" i="13"/>
  <c r="L1019" i="13" s="1"/>
  <c r="R1018" i="13"/>
  <c r="T1017" i="13"/>
  <c r="U1017" i="13" s="1"/>
  <c r="S1017" i="13"/>
  <c r="AF1017" i="13"/>
  <c r="AG1017" i="13"/>
  <c r="AH1017" i="13" s="1"/>
  <c r="K1019" i="13" l="1"/>
  <c r="AF1017" i="7"/>
  <c r="E1018" i="7"/>
  <c r="D1027" i="5"/>
  <c r="J1027" i="5"/>
  <c r="I1029" i="5"/>
  <c r="C1028" i="5"/>
  <c r="H1029" i="5"/>
  <c r="B1030" i="5"/>
  <c r="E1026" i="5"/>
  <c r="F1026" i="5"/>
  <c r="G1026" i="5"/>
  <c r="K1026" i="5" s="1"/>
  <c r="S1018" i="28"/>
  <c r="T1018" i="28"/>
  <c r="E1019" i="28"/>
  <c r="S1018" i="13"/>
  <c r="T1018" i="13"/>
  <c r="U1018" i="13" s="1"/>
  <c r="AE1019" i="13"/>
  <c r="R1019" i="13"/>
  <c r="E1020" i="13"/>
  <c r="L1020" i="13" s="1"/>
  <c r="AG1018" i="13"/>
  <c r="AH1018" i="13" s="1"/>
  <c r="AF1018" i="13"/>
  <c r="E1022" i="27"/>
  <c r="K1020" i="13" l="1"/>
  <c r="AF1018" i="7"/>
  <c r="E1019" i="7"/>
  <c r="B1031" i="5"/>
  <c r="C1029" i="5"/>
  <c r="I1030" i="5"/>
  <c r="H1030" i="5"/>
  <c r="D1028" i="5"/>
  <c r="J1028" i="5"/>
  <c r="F1027" i="5"/>
  <c r="E1027" i="5"/>
  <c r="G1027" i="5"/>
  <c r="K1027" i="5" s="1"/>
  <c r="T1019" i="28"/>
  <c r="S1019" i="28"/>
  <c r="E1020" i="28"/>
  <c r="E1023" i="27"/>
  <c r="R1020" i="13"/>
  <c r="E1021" i="13"/>
  <c r="L1021" i="13" s="1"/>
  <c r="AE1020" i="13"/>
  <c r="AF1019" i="13"/>
  <c r="AG1019" i="13"/>
  <c r="AH1019" i="13" s="1"/>
  <c r="S1019" i="13"/>
  <c r="T1019" i="13"/>
  <c r="U1019" i="13" s="1"/>
  <c r="K1021" i="13" l="1"/>
  <c r="AF1019" i="7"/>
  <c r="E1020" i="7"/>
  <c r="D1029" i="5"/>
  <c r="J1029" i="5"/>
  <c r="F1028" i="5"/>
  <c r="E1028" i="5"/>
  <c r="G1028" i="5"/>
  <c r="K1028" i="5" s="1"/>
  <c r="C1030" i="5"/>
  <c r="I1031" i="5"/>
  <c r="H1031" i="5"/>
  <c r="B1032" i="5"/>
  <c r="T1020" i="28"/>
  <c r="E1021" i="28"/>
  <c r="S1020" i="28"/>
  <c r="AF1020" i="13"/>
  <c r="AG1020" i="13"/>
  <c r="AH1020" i="13" s="1"/>
  <c r="R1021" i="13"/>
  <c r="AE1021" i="13"/>
  <c r="E1022" i="13"/>
  <c r="L1022" i="13" s="1"/>
  <c r="E1024" i="27"/>
  <c r="T1020" i="13"/>
  <c r="U1020" i="13" s="1"/>
  <c r="S1020" i="13"/>
  <c r="K1022" i="13" l="1"/>
  <c r="AF1020" i="7"/>
  <c r="E1021" i="7"/>
  <c r="D1030" i="5"/>
  <c r="J1030" i="5"/>
  <c r="H1032" i="5"/>
  <c r="C1031" i="5"/>
  <c r="I1032" i="5"/>
  <c r="B1033" i="5"/>
  <c r="F1029" i="5"/>
  <c r="E1029" i="5"/>
  <c r="G1029" i="5"/>
  <c r="K1029" i="5" s="1"/>
  <c r="S1021" i="28"/>
  <c r="T1021" i="28"/>
  <c r="E1022" i="28"/>
  <c r="E1025" i="27"/>
  <c r="R1022" i="13"/>
  <c r="AE1022" i="13"/>
  <c r="E1023" i="13"/>
  <c r="L1023" i="13" s="1"/>
  <c r="S1021" i="13"/>
  <c r="T1021" i="13"/>
  <c r="U1021" i="13" s="1"/>
  <c r="AG1021" i="13"/>
  <c r="AH1021" i="13" s="1"/>
  <c r="AF1021" i="13"/>
  <c r="K1023" i="13" l="1"/>
  <c r="AF1021" i="7"/>
  <c r="E1022" i="7"/>
  <c r="D1031" i="5"/>
  <c r="J1031" i="5"/>
  <c r="H1033" i="5"/>
  <c r="I1033" i="5"/>
  <c r="C1032" i="5"/>
  <c r="B1034" i="5"/>
  <c r="E1030" i="5"/>
  <c r="F1030" i="5"/>
  <c r="G1030" i="5"/>
  <c r="K1030" i="5" s="1"/>
  <c r="T1022" i="28"/>
  <c r="S1022" i="28"/>
  <c r="E1023" i="28"/>
  <c r="E1024" i="13"/>
  <c r="L1024" i="13" s="1"/>
  <c r="AE1023" i="13"/>
  <c r="R1023" i="13"/>
  <c r="T1022" i="13"/>
  <c r="U1022" i="13" s="1"/>
  <c r="S1022" i="13"/>
  <c r="AG1022" i="13"/>
  <c r="AH1022" i="13" s="1"/>
  <c r="AF1022" i="13"/>
  <c r="E1026" i="27"/>
  <c r="K1024" i="13" l="1"/>
  <c r="AF1022" i="7"/>
  <c r="E1023" i="7"/>
  <c r="I1034" i="5"/>
  <c r="C1033" i="5"/>
  <c r="B1035" i="5"/>
  <c r="H1034" i="5"/>
  <c r="D1032" i="5"/>
  <c r="J1032" i="5"/>
  <c r="F1031" i="5"/>
  <c r="G1031" i="5"/>
  <c r="K1031" i="5" s="1"/>
  <c r="E1031" i="5"/>
  <c r="S1023" i="28"/>
  <c r="E1024" i="28"/>
  <c r="T1023" i="28"/>
  <c r="E1027" i="27"/>
  <c r="AG1023" i="13"/>
  <c r="AH1023" i="13" s="1"/>
  <c r="AF1023" i="13"/>
  <c r="R1024" i="13"/>
  <c r="AE1024" i="13"/>
  <c r="E1025" i="13"/>
  <c r="L1025" i="13" s="1"/>
  <c r="T1023" i="13"/>
  <c r="U1023" i="13" s="1"/>
  <c r="S1023" i="13"/>
  <c r="K1025" i="13" l="1"/>
  <c r="AF1023" i="7"/>
  <c r="E1024" i="7"/>
  <c r="B1036" i="5"/>
  <c r="C1034" i="5"/>
  <c r="I1035" i="5"/>
  <c r="H1035" i="5"/>
  <c r="D1033" i="5"/>
  <c r="J1033" i="5"/>
  <c r="G1032" i="5"/>
  <c r="K1032" i="5" s="1"/>
  <c r="F1032" i="5"/>
  <c r="E1032" i="5"/>
  <c r="S1024" i="28"/>
  <c r="E1025" i="28"/>
  <c r="T1024" i="28"/>
  <c r="AE1025" i="13"/>
  <c r="E1026" i="13"/>
  <c r="L1026" i="13" s="1"/>
  <c r="R1025" i="13"/>
  <c r="E1028" i="27"/>
  <c r="AF1024" i="13"/>
  <c r="AG1024" i="13"/>
  <c r="AH1024" i="13" s="1"/>
  <c r="T1024" i="13"/>
  <c r="U1024" i="13" s="1"/>
  <c r="S1024" i="13"/>
  <c r="K1026" i="13" l="1"/>
  <c r="AF1024" i="7"/>
  <c r="E1025" i="7"/>
  <c r="D1034" i="5"/>
  <c r="J1034" i="5"/>
  <c r="F1033" i="5"/>
  <c r="G1033" i="5"/>
  <c r="K1033" i="5" s="1"/>
  <c r="E1033" i="5"/>
  <c r="I1036" i="5"/>
  <c r="B1037" i="5"/>
  <c r="H1036" i="5"/>
  <c r="C1035" i="5"/>
  <c r="E1026" i="28"/>
  <c r="T1025" i="28"/>
  <c r="S1025" i="28"/>
  <c r="E1029" i="27"/>
  <c r="E1027" i="13"/>
  <c r="L1027" i="13" s="1"/>
  <c r="R1026" i="13"/>
  <c r="AE1026" i="13"/>
  <c r="T1025" i="13"/>
  <c r="U1025" i="13" s="1"/>
  <c r="S1025" i="13"/>
  <c r="AG1025" i="13"/>
  <c r="AH1025" i="13" s="1"/>
  <c r="AF1025" i="13"/>
  <c r="K1027" i="13" l="1"/>
  <c r="AF1025" i="7"/>
  <c r="E1026" i="7"/>
  <c r="C1036" i="5"/>
  <c r="D1036" i="5" s="1"/>
  <c r="H1037" i="5"/>
  <c r="B1038" i="5"/>
  <c r="I1037" i="5"/>
  <c r="D1035" i="5"/>
  <c r="J1035" i="5"/>
  <c r="G1034" i="5"/>
  <c r="K1034" i="5" s="1"/>
  <c r="F1034" i="5"/>
  <c r="E1034" i="5"/>
  <c r="S1026" i="28"/>
  <c r="E1027" i="28"/>
  <c r="T1026" i="28"/>
  <c r="AG1026" i="13"/>
  <c r="AH1026" i="13" s="1"/>
  <c r="AF1026" i="13"/>
  <c r="E1030" i="27"/>
  <c r="T1026" i="13"/>
  <c r="U1026" i="13" s="1"/>
  <c r="S1026" i="13"/>
  <c r="R1027" i="13"/>
  <c r="AE1027" i="13"/>
  <c r="E1028" i="13"/>
  <c r="L1028" i="13" s="1"/>
  <c r="K1028" i="13" l="1"/>
  <c r="AF1026" i="7"/>
  <c r="E1027" i="7"/>
  <c r="J1036" i="5"/>
  <c r="B1039" i="5"/>
  <c r="H1038" i="5"/>
  <c r="C1037" i="5"/>
  <c r="D1037" i="5" s="1"/>
  <c r="I1038" i="5"/>
  <c r="G1035" i="5"/>
  <c r="K1035" i="5" s="1"/>
  <c r="F1035" i="5"/>
  <c r="E1035" i="5"/>
  <c r="G1036" i="5"/>
  <c r="K1036" i="5" s="1"/>
  <c r="E1036" i="5"/>
  <c r="F1036" i="5"/>
  <c r="T1027" i="28"/>
  <c r="E1028" i="28"/>
  <c r="S1027" i="28"/>
  <c r="R1028" i="13"/>
  <c r="AE1028" i="13"/>
  <c r="E1029" i="13"/>
  <c r="L1029" i="13" s="1"/>
  <c r="S1027" i="13"/>
  <c r="T1027" i="13"/>
  <c r="U1027" i="13" s="1"/>
  <c r="E1031" i="27"/>
  <c r="AF1027" i="13"/>
  <c r="AG1027" i="13"/>
  <c r="AH1027" i="13" s="1"/>
  <c r="K1029" i="13" l="1"/>
  <c r="AF1027" i="7"/>
  <c r="E1028" i="7"/>
  <c r="J1037" i="5"/>
  <c r="G1037" i="5"/>
  <c r="K1037" i="5" s="1"/>
  <c r="E1037" i="5"/>
  <c r="F1037" i="5"/>
  <c r="H1039" i="5"/>
  <c r="B1040" i="5"/>
  <c r="I1039" i="5"/>
  <c r="C1038" i="5"/>
  <c r="S1028" i="28"/>
  <c r="T1028" i="28"/>
  <c r="E1029" i="28"/>
  <c r="E1032" i="27"/>
  <c r="E1030" i="13"/>
  <c r="L1030" i="13" s="1"/>
  <c r="R1029" i="13"/>
  <c r="AE1029" i="13"/>
  <c r="T1028" i="13"/>
  <c r="U1028" i="13" s="1"/>
  <c r="S1028" i="13"/>
  <c r="AF1028" i="13"/>
  <c r="AG1028" i="13"/>
  <c r="AH1028" i="13" s="1"/>
  <c r="K1030" i="13" l="1"/>
  <c r="AF1028" i="7"/>
  <c r="E1029" i="7"/>
  <c r="I1040" i="5"/>
  <c r="C1039" i="5"/>
  <c r="B1041" i="5"/>
  <c r="H1040" i="5"/>
  <c r="D1038" i="5"/>
  <c r="J1038" i="5"/>
  <c r="E1030" i="28"/>
  <c r="S1029" i="28"/>
  <c r="T1029" i="28"/>
  <c r="AG1029" i="13"/>
  <c r="AH1029" i="13" s="1"/>
  <c r="AF1029" i="13"/>
  <c r="E1031" i="13"/>
  <c r="L1031" i="13" s="1"/>
  <c r="R1030" i="13"/>
  <c r="AE1030" i="13"/>
  <c r="E1033" i="27"/>
  <c r="S1029" i="13"/>
  <c r="T1029" i="13"/>
  <c r="U1029" i="13" s="1"/>
  <c r="K1031" i="13" l="1"/>
  <c r="AF1029" i="7"/>
  <c r="E1030" i="7"/>
  <c r="I1041" i="5"/>
  <c r="B1042" i="5"/>
  <c r="H1041" i="5"/>
  <c r="C1040" i="5"/>
  <c r="D1039" i="5"/>
  <c r="J1039" i="5"/>
  <c r="E1038" i="5"/>
  <c r="G1038" i="5"/>
  <c r="K1038" i="5" s="1"/>
  <c r="F1038" i="5"/>
  <c r="S1030" i="28"/>
  <c r="E1031" i="28"/>
  <c r="T1030" i="28"/>
  <c r="E1034" i="27"/>
  <c r="AF1030" i="13"/>
  <c r="AG1030" i="13"/>
  <c r="AH1030" i="13" s="1"/>
  <c r="S1030" i="13"/>
  <c r="T1030" i="13"/>
  <c r="U1030" i="13" s="1"/>
  <c r="R1031" i="13"/>
  <c r="AE1031" i="13"/>
  <c r="E1032" i="13"/>
  <c r="L1032" i="13" s="1"/>
  <c r="K1032" i="13" l="1"/>
  <c r="AF1030" i="7"/>
  <c r="E1031" i="7"/>
  <c r="D1040" i="5"/>
  <c r="J1040" i="5"/>
  <c r="C1041" i="5"/>
  <c r="B1043" i="5"/>
  <c r="I1042" i="5"/>
  <c r="H1042" i="5"/>
  <c r="G1039" i="5"/>
  <c r="K1039" i="5" s="1"/>
  <c r="E1039" i="5"/>
  <c r="F1039" i="5"/>
  <c r="T1031" i="28"/>
  <c r="S1031" i="28"/>
  <c r="E1032" i="28"/>
  <c r="S1031" i="13"/>
  <c r="T1031" i="13"/>
  <c r="U1031" i="13" s="1"/>
  <c r="E1035" i="27"/>
  <c r="E1033" i="13"/>
  <c r="L1033" i="13" s="1"/>
  <c r="AE1032" i="13"/>
  <c r="R1032" i="13"/>
  <c r="AG1031" i="13"/>
  <c r="AH1031" i="13" s="1"/>
  <c r="AF1031" i="13"/>
  <c r="K1033" i="13" l="1"/>
  <c r="AF1031" i="7"/>
  <c r="E1032" i="7"/>
  <c r="B1044" i="5"/>
  <c r="C1042" i="5"/>
  <c r="H1043" i="5"/>
  <c r="I1043" i="5"/>
  <c r="D1041" i="5"/>
  <c r="J1041" i="5"/>
  <c r="F1040" i="5"/>
  <c r="G1040" i="5"/>
  <c r="K1040" i="5" s="1"/>
  <c r="E1040" i="5"/>
  <c r="T1032" i="28"/>
  <c r="S1032" i="28"/>
  <c r="E1033" i="28"/>
  <c r="S1032" i="13"/>
  <c r="T1032" i="13"/>
  <c r="U1032" i="13" s="1"/>
  <c r="E1034" i="13"/>
  <c r="L1034" i="13" s="1"/>
  <c r="R1033" i="13"/>
  <c r="AE1033" i="13"/>
  <c r="AF1032" i="13"/>
  <c r="AG1032" i="13"/>
  <c r="AH1032" i="13" s="1"/>
  <c r="E1036" i="27"/>
  <c r="K1034" i="13" l="1"/>
  <c r="AF1032" i="7"/>
  <c r="E1033" i="7"/>
  <c r="D1042" i="5"/>
  <c r="J1042" i="5"/>
  <c r="E1041" i="5"/>
  <c r="F1041" i="5"/>
  <c r="G1041" i="5"/>
  <c r="K1041" i="5" s="1"/>
  <c r="H1044" i="5"/>
  <c r="C1043" i="5"/>
  <c r="B1045" i="5"/>
  <c r="I1044" i="5"/>
  <c r="E1034" i="28"/>
  <c r="T1033" i="28"/>
  <c r="S1033" i="28"/>
  <c r="AF1033" i="13"/>
  <c r="AG1033" i="13"/>
  <c r="AH1033" i="13" s="1"/>
  <c r="T1033" i="13"/>
  <c r="U1033" i="13" s="1"/>
  <c r="S1033" i="13"/>
  <c r="E1037" i="27"/>
  <c r="AE1034" i="13"/>
  <c r="R1034" i="13"/>
  <c r="E1035" i="13"/>
  <c r="L1035" i="13" s="1"/>
  <c r="K1035" i="13" l="1"/>
  <c r="AF1033" i="7"/>
  <c r="E1034" i="7"/>
  <c r="C1044" i="5"/>
  <c r="H1045" i="5"/>
  <c r="I1045" i="5"/>
  <c r="B1046" i="5"/>
  <c r="D1043" i="5"/>
  <c r="J1043" i="5"/>
  <c r="E1042" i="5"/>
  <c r="F1042" i="5"/>
  <c r="G1042" i="5"/>
  <c r="K1042" i="5" s="1"/>
  <c r="E1035" i="28"/>
  <c r="T1034" i="28"/>
  <c r="S1034" i="28"/>
  <c r="S1034" i="13"/>
  <c r="T1034" i="13"/>
  <c r="U1034" i="13" s="1"/>
  <c r="AG1034" i="13"/>
  <c r="AH1034" i="13" s="1"/>
  <c r="AF1034" i="13"/>
  <c r="E1038" i="27"/>
  <c r="R1035" i="13"/>
  <c r="AE1035" i="13"/>
  <c r="E1036" i="13"/>
  <c r="L1036" i="13" s="1"/>
  <c r="K1036" i="13" l="1"/>
  <c r="AF1034" i="7"/>
  <c r="E1035" i="7"/>
  <c r="I1046" i="5"/>
  <c r="C1045" i="5"/>
  <c r="B1047" i="5"/>
  <c r="H1046" i="5"/>
  <c r="F1043" i="5"/>
  <c r="E1043" i="5"/>
  <c r="G1043" i="5"/>
  <c r="K1043" i="5" s="1"/>
  <c r="D1044" i="5"/>
  <c r="J1044" i="5"/>
  <c r="S1035" i="28"/>
  <c r="T1035" i="28"/>
  <c r="E1036" i="28"/>
  <c r="AE1036" i="13"/>
  <c r="E1037" i="13"/>
  <c r="L1037" i="13" s="1"/>
  <c r="R1036" i="13"/>
  <c r="T1035" i="13"/>
  <c r="U1035" i="13" s="1"/>
  <c r="S1035" i="13"/>
  <c r="E1039" i="27"/>
  <c r="AF1035" i="13"/>
  <c r="AG1035" i="13"/>
  <c r="AH1035" i="13" s="1"/>
  <c r="K1037" i="13" l="1"/>
  <c r="AF1035" i="7"/>
  <c r="E1036" i="7"/>
  <c r="E1044" i="5"/>
  <c r="G1044" i="5"/>
  <c r="K1044" i="5" s="1"/>
  <c r="F1044" i="5"/>
  <c r="C1046" i="5"/>
  <c r="H1047" i="5"/>
  <c r="I1047" i="5"/>
  <c r="B1048" i="5"/>
  <c r="D1045" i="5"/>
  <c r="J1045" i="5"/>
  <c r="T1036" i="28"/>
  <c r="E1037" i="28"/>
  <c r="S1036" i="28"/>
  <c r="E1040" i="27"/>
  <c r="E1038" i="13"/>
  <c r="L1038" i="13" s="1"/>
  <c r="AE1037" i="13"/>
  <c r="R1037" i="13"/>
  <c r="AG1036" i="13"/>
  <c r="AH1036" i="13" s="1"/>
  <c r="AF1036" i="13"/>
  <c r="T1036" i="13"/>
  <c r="U1036" i="13" s="1"/>
  <c r="S1036" i="13"/>
  <c r="K1038" i="13" l="1"/>
  <c r="AF1036" i="7"/>
  <c r="E1037" i="7"/>
  <c r="F1045" i="5"/>
  <c r="E1045" i="5"/>
  <c r="G1045" i="5"/>
  <c r="K1045" i="5" s="1"/>
  <c r="D1046" i="5"/>
  <c r="J1046" i="5"/>
  <c r="C1047" i="5"/>
  <c r="D1047" i="5" s="1"/>
  <c r="H1048" i="5"/>
  <c r="B1049" i="5"/>
  <c r="I1048" i="5"/>
  <c r="S1037" i="28"/>
  <c r="T1037" i="28"/>
  <c r="E1038" i="28"/>
  <c r="AG1037" i="13"/>
  <c r="AH1037" i="13" s="1"/>
  <c r="AF1037" i="13"/>
  <c r="R1038" i="13"/>
  <c r="E1039" i="13"/>
  <c r="L1039" i="13" s="1"/>
  <c r="AE1038" i="13"/>
  <c r="S1037" i="13"/>
  <c r="T1037" i="13"/>
  <c r="U1037" i="13" s="1"/>
  <c r="E1041" i="27"/>
  <c r="K1039" i="13" l="1"/>
  <c r="AF1037" i="7"/>
  <c r="E1038" i="7"/>
  <c r="G1047" i="5"/>
  <c r="K1047" i="5" s="1"/>
  <c r="E1047" i="5"/>
  <c r="F1047" i="5"/>
  <c r="I1049" i="5"/>
  <c r="C1048" i="5"/>
  <c r="D1048" i="5" s="1"/>
  <c r="H1049" i="5"/>
  <c r="B1050" i="5"/>
  <c r="E1046" i="5"/>
  <c r="F1046" i="5"/>
  <c r="G1046" i="5"/>
  <c r="K1046" i="5" s="1"/>
  <c r="J1047" i="5"/>
  <c r="T1038" i="28"/>
  <c r="E1039" i="28"/>
  <c r="S1038" i="28"/>
  <c r="AE1039" i="13"/>
  <c r="R1039" i="13"/>
  <c r="E1040" i="13"/>
  <c r="L1040" i="13" s="1"/>
  <c r="E1042" i="27"/>
  <c r="T1038" i="13"/>
  <c r="U1038" i="13" s="1"/>
  <c r="S1038" i="13"/>
  <c r="AG1038" i="13"/>
  <c r="AH1038" i="13" s="1"/>
  <c r="AF1038" i="13"/>
  <c r="K1040" i="13" l="1"/>
  <c r="AF1038" i="7"/>
  <c r="E1039" i="7"/>
  <c r="H1050" i="5"/>
  <c r="I1050" i="5"/>
  <c r="C1049" i="5"/>
  <c r="B1051" i="5"/>
  <c r="G1048" i="5"/>
  <c r="K1048" i="5" s="1"/>
  <c r="E1048" i="5"/>
  <c r="F1048" i="5"/>
  <c r="J1048" i="5"/>
  <c r="E1040" i="28"/>
  <c r="S1039" i="28"/>
  <c r="T1039" i="28"/>
  <c r="E1043" i="27"/>
  <c r="AE1040" i="13"/>
  <c r="R1040" i="13"/>
  <c r="E1041" i="13"/>
  <c r="L1041" i="13" s="1"/>
  <c r="T1039" i="13"/>
  <c r="U1039" i="13" s="1"/>
  <c r="S1039" i="13"/>
  <c r="AF1039" i="13"/>
  <c r="AG1039" i="13"/>
  <c r="AH1039" i="13" s="1"/>
  <c r="K1041" i="13" l="1"/>
  <c r="AF1039" i="7"/>
  <c r="E1040" i="7"/>
  <c r="C1050" i="5"/>
  <c r="D1050" i="5" s="1"/>
  <c r="I1051" i="5"/>
  <c r="H1051" i="5"/>
  <c r="B1052" i="5"/>
  <c r="D1049" i="5"/>
  <c r="J1049" i="5"/>
  <c r="S1040" i="28"/>
  <c r="T1040" i="28"/>
  <c r="E1041" i="28"/>
  <c r="AF1040" i="13"/>
  <c r="AG1040" i="13"/>
  <c r="AH1040" i="13" s="1"/>
  <c r="E1042" i="13"/>
  <c r="L1042" i="13" s="1"/>
  <c r="AE1041" i="13"/>
  <c r="R1041" i="13"/>
  <c r="S1040" i="13"/>
  <c r="T1040" i="13"/>
  <c r="U1040" i="13" s="1"/>
  <c r="E1044" i="27"/>
  <c r="K1042" i="13" l="1"/>
  <c r="AF1040" i="7"/>
  <c r="E1041" i="7"/>
  <c r="J1050" i="5"/>
  <c r="C1051" i="5"/>
  <c r="H1052" i="5"/>
  <c r="I1052" i="5"/>
  <c r="B1053" i="5"/>
  <c r="G1049" i="5"/>
  <c r="K1049" i="5" s="1"/>
  <c r="F1049" i="5"/>
  <c r="E1049" i="5"/>
  <c r="F1050" i="5"/>
  <c r="G1050" i="5"/>
  <c r="K1050" i="5" s="1"/>
  <c r="E1050" i="5"/>
  <c r="S1041" i="28"/>
  <c r="E1042" i="28"/>
  <c r="T1041" i="28"/>
  <c r="R1042" i="13"/>
  <c r="E1043" i="13"/>
  <c r="L1043" i="13" s="1"/>
  <c r="AE1042" i="13"/>
  <c r="E1045" i="27"/>
  <c r="S1041" i="13"/>
  <c r="T1041" i="13"/>
  <c r="U1041" i="13" s="1"/>
  <c r="AF1041" i="13"/>
  <c r="AG1041" i="13"/>
  <c r="AH1041" i="13" s="1"/>
  <c r="K1043" i="13" l="1"/>
  <c r="AF1041" i="7"/>
  <c r="E1042" i="7"/>
  <c r="C1052" i="5"/>
  <c r="I1053" i="5"/>
  <c r="B1054" i="5"/>
  <c r="H1053" i="5"/>
  <c r="D1051" i="5"/>
  <c r="J1051" i="5"/>
  <c r="E1043" i="28"/>
  <c r="T1042" i="28"/>
  <c r="S1042" i="28"/>
  <c r="AF1042" i="13"/>
  <c r="AG1042" i="13"/>
  <c r="AH1042" i="13" s="1"/>
  <c r="R1043" i="13"/>
  <c r="AE1043" i="13"/>
  <c r="E1044" i="13"/>
  <c r="L1044" i="13" s="1"/>
  <c r="T1042" i="13"/>
  <c r="U1042" i="13" s="1"/>
  <c r="S1042" i="13"/>
  <c r="E1046" i="27"/>
  <c r="K1044" i="13" l="1"/>
  <c r="AF1042" i="7"/>
  <c r="E1043" i="7"/>
  <c r="B1055" i="5"/>
  <c r="H1054" i="5"/>
  <c r="I1054" i="5"/>
  <c r="C1053" i="5"/>
  <c r="E1051" i="5"/>
  <c r="F1051" i="5"/>
  <c r="G1051" i="5"/>
  <c r="K1051" i="5" s="1"/>
  <c r="D1052" i="5"/>
  <c r="J1052" i="5"/>
  <c r="T1043" i="28"/>
  <c r="S1043" i="28"/>
  <c r="E1044" i="28"/>
  <c r="AG1043" i="13"/>
  <c r="AH1043" i="13" s="1"/>
  <c r="AF1043" i="13"/>
  <c r="E1047" i="27"/>
  <c r="AE1044" i="13"/>
  <c r="R1044" i="13"/>
  <c r="E1045" i="13"/>
  <c r="L1045" i="13" s="1"/>
  <c r="T1043" i="13"/>
  <c r="U1043" i="13" s="1"/>
  <c r="S1043" i="13"/>
  <c r="K1045" i="13" l="1"/>
  <c r="AF1043" i="7"/>
  <c r="E1044" i="7"/>
  <c r="G1052" i="5"/>
  <c r="K1052" i="5" s="1"/>
  <c r="F1052" i="5"/>
  <c r="E1052" i="5"/>
  <c r="D1053" i="5"/>
  <c r="J1053" i="5"/>
  <c r="H1055" i="5"/>
  <c r="I1055" i="5"/>
  <c r="C1054" i="5"/>
  <c r="B1056" i="5"/>
  <c r="T1044" i="28"/>
  <c r="E1045" i="28"/>
  <c r="S1044" i="28"/>
  <c r="T1044" i="13"/>
  <c r="U1044" i="13" s="1"/>
  <c r="S1044" i="13"/>
  <c r="R1045" i="13"/>
  <c r="E1046" i="13"/>
  <c r="L1046" i="13" s="1"/>
  <c r="AE1045" i="13"/>
  <c r="AF1044" i="13"/>
  <c r="AG1044" i="13"/>
  <c r="AH1044" i="13" s="1"/>
  <c r="E1048" i="27"/>
  <c r="K1046" i="13" l="1"/>
  <c r="AF1044" i="7"/>
  <c r="E1045" i="7"/>
  <c r="D1054" i="5"/>
  <c r="J1054" i="5"/>
  <c r="G1053" i="5"/>
  <c r="K1053" i="5" s="1"/>
  <c r="F1053" i="5"/>
  <c r="E1053" i="5"/>
  <c r="H1056" i="5"/>
  <c r="I1056" i="5"/>
  <c r="C1055" i="5"/>
  <c r="B1057" i="5"/>
  <c r="T1045" i="28"/>
  <c r="S1045" i="28"/>
  <c r="E1046" i="28"/>
  <c r="AG1045" i="13"/>
  <c r="AH1045" i="13" s="1"/>
  <c r="AF1045" i="13"/>
  <c r="T1045" i="13"/>
  <c r="U1045" i="13" s="1"/>
  <c r="S1045" i="13"/>
  <c r="E1049" i="27"/>
  <c r="R1046" i="13"/>
  <c r="E1047" i="13"/>
  <c r="L1047" i="13" s="1"/>
  <c r="AE1046" i="13"/>
  <c r="K1047" i="13" l="1"/>
  <c r="AF1045" i="7"/>
  <c r="E1046" i="7"/>
  <c r="D1055" i="5"/>
  <c r="J1055" i="5"/>
  <c r="H1057" i="5"/>
  <c r="B1058" i="5"/>
  <c r="I1057" i="5"/>
  <c r="C1056" i="5"/>
  <c r="D1056" i="5" s="1"/>
  <c r="G1054" i="5"/>
  <c r="K1054" i="5" s="1"/>
  <c r="E1054" i="5"/>
  <c r="F1054" i="5"/>
  <c r="S1046" i="28"/>
  <c r="T1046" i="28"/>
  <c r="E1047" i="28"/>
  <c r="AG1046" i="13"/>
  <c r="AH1046" i="13" s="1"/>
  <c r="AF1046" i="13"/>
  <c r="S1046" i="13"/>
  <c r="T1046" i="13"/>
  <c r="U1046" i="13" s="1"/>
  <c r="E1050" i="27"/>
  <c r="AE1047" i="13"/>
  <c r="R1047" i="13"/>
  <c r="E1048" i="13"/>
  <c r="L1048" i="13" s="1"/>
  <c r="K1048" i="13" l="1"/>
  <c r="AF1046" i="7"/>
  <c r="E1047" i="7"/>
  <c r="F1056" i="5"/>
  <c r="E1056" i="5"/>
  <c r="G1056" i="5"/>
  <c r="K1056" i="5" s="1"/>
  <c r="F1055" i="5"/>
  <c r="G1055" i="5"/>
  <c r="K1055" i="5" s="1"/>
  <c r="E1055" i="5"/>
  <c r="I1058" i="5"/>
  <c r="B1059" i="5"/>
  <c r="C1057" i="5"/>
  <c r="H1058" i="5"/>
  <c r="J1056" i="5"/>
  <c r="S1047" i="28"/>
  <c r="E1048" i="28"/>
  <c r="T1047" i="28"/>
  <c r="T1047" i="13"/>
  <c r="U1047" i="13" s="1"/>
  <c r="S1047" i="13"/>
  <c r="E1051" i="27"/>
  <c r="AE1048" i="13"/>
  <c r="E1049" i="13"/>
  <c r="L1049" i="13" s="1"/>
  <c r="R1048" i="13"/>
  <c r="AF1047" i="13"/>
  <c r="AG1047" i="13"/>
  <c r="AH1047" i="13" s="1"/>
  <c r="K1049" i="13" l="1"/>
  <c r="AF1047" i="7"/>
  <c r="E1048" i="7"/>
  <c r="C1058" i="5"/>
  <c r="B1060" i="5"/>
  <c r="I1059" i="5"/>
  <c r="H1059" i="5"/>
  <c r="D1057" i="5"/>
  <c r="J1057" i="5"/>
  <c r="T1048" i="28"/>
  <c r="S1048" i="28"/>
  <c r="E1049" i="28"/>
  <c r="E1052" i="27"/>
  <c r="R1049" i="13"/>
  <c r="AE1049" i="13"/>
  <c r="E1050" i="13"/>
  <c r="L1050" i="13" s="1"/>
  <c r="AF1048" i="13"/>
  <c r="AG1048" i="13"/>
  <c r="AH1048" i="13" s="1"/>
  <c r="T1048" i="13"/>
  <c r="U1048" i="13" s="1"/>
  <c r="S1048" i="13"/>
  <c r="K1050" i="13" l="1"/>
  <c r="AF1048" i="7"/>
  <c r="E1049" i="7"/>
  <c r="C1059" i="5"/>
  <c r="I1060" i="5"/>
  <c r="H1060" i="5"/>
  <c r="B1061" i="5"/>
  <c r="E1057" i="5"/>
  <c r="F1057" i="5"/>
  <c r="G1057" i="5"/>
  <c r="K1057" i="5" s="1"/>
  <c r="D1058" i="5"/>
  <c r="J1058" i="5"/>
  <c r="E1050" i="28"/>
  <c r="T1049" i="28"/>
  <c r="S1049" i="28"/>
  <c r="R1050" i="13"/>
  <c r="E1051" i="13"/>
  <c r="L1051" i="13" s="1"/>
  <c r="AE1050" i="13"/>
  <c r="AF1049" i="13"/>
  <c r="AG1049" i="13"/>
  <c r="AH1049" i="13" s="1"/>
  <c r="E1053" i="27"/>
  <c r="T1049" i="13"/>
  <c r="U1049" i="13" s="1"/>
  <c r="S1049" i="13"/>
  <c r="K1051" i="13" l="1"/>
  <c r="AF1049" i="7"/>
  <c r="E1050" i="7"/>
  <c r="G1058" i="5"/>
  <c r="K1058" i="5" s="1"/>
  <c r="F1058" i="5"/>
  <c r="E1058" i="5"/>
  <c r="C1060" i="5"/>
  <c r="B1062" i="5"/>
  <c r="I1061" i="5"/>
  <c r="H1061" i="5"/>
  <c r="D1059" i="5"/>
  <c r="J1059" i="5"/>
  <c r="T1050" i="28"/>
  <c r="S1050" i="28"/>
  <c r="E1051" i="28"/>
  <c r="AE1051" i="13"/>
  <c r="E1052" i="13"/>
  <c r="L1052" i="13" s="1"/>
  <c r="R1051" i="13"/>
  <c r="E1054" i="27"/>
  <c r="AF1050" i="13"/>
  <c r="AG1050" i="13"/>
  <c r="AH1050" i="13" s="1"/>
  <c r="S1050" i="13"/>
  <c r="T1050" i="13"/>
  <c r="U1050" i="13" s="1"/>
  <c r="K1052" i="13" l="1"/>
  <c r="AF1050" i="7"/>
  <c r="E1051" i="7"/>
  <c r="F1059" i="5"/>
  <c r="E1059" i="5"/>
  <c r="G1059" i="5"/>
  <c r="K1059" i="5" s="1"/>
  <c r="D1060" i="5"/>
  <c r="J1060" i="5"/>
  <c r="H1062" i="5"/>
  <c r="C1061" i="5"/>
  <c r="D1061" i="5" s="1"/>
  <c r="B1063" i="5"/>
  <c r="I1062" i="5"/>
  <c r="E1052" i="28"/>
  <c r="S1051" i="28"/>
  <c r="T1051" i="28"/>
  <c r="AE1052" i="13"/>
  <c r="R1052" i="13"/>
  <c r="E1053" i="13"/>
  <c r="L1053" i="13" s="1"/>
  <c r="E1055" i="27"/>
  <c r="T1051" i="13"/>
  <c r="U1051" i="13" s="1"/>
  <c r="S1051" i="13"/>
  <c r="AF1051" i="13"/>
  <c r="AG1051" i="13"/>
  <c r="AH1051" i="13" s="1"/>
  <c r="K1053" i="13" l="1"/>
  <c r="AF1051" i="7"/>
  <c r="E1052" i="7"/>
  <c r="F1061" i="5"/>
  <c r="G1061" i="5"/>
  <c r="K1061" i="5" s="1"/>
  <c r="E1061" i="5"/>
  <c r="I1063" i="5"/>
  <c r="C1062" i="5"/>
  <c r="D1062" i="5" s="1"/>
  <c r="B1064" i="5"/>
  <c r="H1063" i="5"/>
  <c r="G1060" i="5"/>
  <c r="K1060" i="5" s="1"/>
  <c r="E1060" i="5"/>
  <c r="F1060" i="5"/>
  <c r="J1061" i="5"/>
  <c r="T1052" i="28"/>
  <c r="S1052" i="28"/>
  <c r="E1053" i="28"/>
  <c r="R1053" i="13"/>
  <c r="E1054" i="13"/>
  <c r="L1054" i="13" s="1"/>
  <c r="AE1053" i="13"/>
  <c r="AF1052" i="13"/>
  <c r="AG1052" i="13"/>
  <c r="AH1052" i="13" s="1"/>
  <c r="E1056" i="27"/>
  <c r="T1052" i="13"/>
  <c r="U1052" i="13" s="1"/>
  <c r="S1052" i="13"/>
  <c r="K1054" i="13" l="1"/>
  <c r="AF1052" i="7"/>
  <c r="E1053" i="7"/>
  <c r="H1064" i="5"/>
  <c r="C1063" i="5"/>
  <c r="B1065" i="5"/>
  <c r="I1064" i="5"/>
  <c r="E1062" i="5"/>
  <c r="G1062" i="5"/>
  <c r="K1062" i="5" s="1"/>
  <c r="F1062" i="5"/>
  <c r="J1062" i="5"/>
  <c r="E1054" i="28"/>
  <c r="S1053" i="28"/>
  <c r="T1053" i="28"/>
  <c r="AF1053" i="13"/>
  <c r="AG1053" i="13"/>
  <c r="AH1053" i="13" s="1"/>
  <c r="E1057" i="27"/>
  <c r="R1054" i="13"/>
  <c r="AE1054" i="13"/>
  <c r="E1055" i="13"/>
  <c r="L1055" i="13" s="1"/>
  <c r="T1053" i="13"/>
  <c r="U1053" i="13" s="1"/>
  <c r="S1053" i="13"/>
  <c r="K1055" i="13" l="1"/>
  <c r="AF1053" i="7"/>
  <c r="E1054" i="7"/>
  <c r="H1065" i="5"/>
  <c r="B1066" i="5"/>
  <c r="C1064" i="5"/>
  <c r="D1064" i="5" s="1"/>
  <c r="I1065" i="5"/>
  <c r="D1063" i="5"/>
  <c r="J1063" i="5"/>
  <c r="S1054" i="28"/>
  <c r="T1054" i="28"/>
  <c r="E1055" i="28"/>
  <c r="E1056" i="13"/>
  <c r="L1056" i="13" s="1"/>
  <c r="R1055" i="13"/>
  <c r="AE1055" i="13"/>
  <c r="AG1054" i="13"/>
  <c r="AH1054" i="13" s="1"/>
  <c r="AF1054" i="13"/>
  <c r="T1054" i="13"/>
  <c r="U1054" i="13" s="1"/>
  <c r="S1054" i="13"/>
  <c r="E1058" i="27"/>
  <c r="K1056" i="13" l="1"/>
  <c r="AF1054" i="7"/>
  <c r="E1055" i="7"/>
  <c r="F1064" i="5"/>
  <c r="G1064" i="5"/>
  <c r="K1064" i="5" s="1"/>
  <c r="E1064" i="5"/>
  <c r="C1065" i="5"/>
  <c r="B1067" i="5"/>
  <c r="I1066" i="5"/>
  <c r="H1066" i="5"/>
  <c r="F1063" i="5"/>
  <c r="G1063" i="5"/>
  <c r="K1063" i="5" s="1"/>
  <c r="E1063" i="5"/>
  <c r="J1064" i="5"/>
  <c r="T1055" i="28"/>
  <c r="S1055" i="28"/>
  <c r="E1056" i="28"/>
  <c r="AF1055" i="13"/>
  <c r="AG1055" i="13"/>
  <c r="AH1055" i="13" s="1"/>
  <c r="E1059" i="27"/>
  <c r="S1055" i="13"/>
  <c r="T1055" i="13"/>
  <c r="U1055" i="13" s="1"/>
  <c r="R1056" i="13"/>
  <c r="E1057" i="13"/>
  <c r="L1057" i="13" s="1"/>
  <c r="AE1056" i="13"/>
  <c r="K1057" i="13" l="1"/>
  <c r="AF1055" i="7"/>
  <c r="E1056" i="7"/>
  <c r="D1065" i="5"/>
  <c r="J1065" i="5"/>
  <c r="C1066" i="5"/>
  <c r="D1066" i="5" s="1"/>
  <c r="B1068" i="5"/>
  <c r="H1067" i="5"/>
  <c r="I1067" i="5"/>
  <c r="S1056" i="28"/>
  <c r="E1057" i="28"/>
  <c r="T1056" i="28"/>
  <c r="E1060" i="27"/>
  <c r="AG1056" i="13"/>
  <c r="AH1056" i="13" s="1"/>
  <c r="AF1056" i="13"/>
  <c r="R1057" i="13"/>
  <c r="AE1057" i="13"/>
  <c r="E1058" i="13"/>
  <c r="L1058" i="13" s="1"/>
  <c r="T1056" i="13"/>
  <c r="U1056" i="13" s="1"/>
  <c r="S1056" i="13"/>
  <c r="K1058" i="13" l="1"/>
  <c r="AF1056" i="7"/>
  <c r="E1057" i="7"/>
  <c r="F1066" i="5"/>
  <c r="G1066" i="5"/>
  <c r="K1066" i="5" s="1"/>
  <c r="E1066" i="5"/>
  <c r="G1065" i="5"/>
  <c r="K1065" i="5" s="1"/>
  <c r="F1065" i="5"/>
  <c r="E1065" i="5"/>
  <c r="C1067" i="5"/>
  <c r="H1068" i="5"/>
  <c r="B1069" i="5"/>
  <c r="I1068" i="5"/>
  <c r="J1066" i="5"/>
  <c r="S1057" i="28"/>
  <c r="E1058" i="28"/>
  <c r="T1057" i="28"/>
  <c r="AE1058" i="13"/>
  <c r="R1058" i="13"/>
  <c r="E1059" i="13"/>
  <c r="L1059" i="13" s="1"/>
  <c r="AG1057" i="13"/>
  <c r="AH1057" i="13" s="1"/>
  <c r="AF1057" i="13"/>
  <c r="E1061" i="27"/>
  <c r="T1057" i="13"/>
  <c r="U1057" i="13" s="1"/>
  <c r="S1057" i="13"/>
  <c r="K1059" i="13" l="1"/>
  <c r="AF1057" i="7"/>
  <c r="E1058" i="7"/>
  <c r="C1068" i="5"/>
  <c r="D1068" i="5" s="1"/>
  <c r="B1070" i="5"/>
  <c r="I1069" i="5"/>
  <c r="H1069" i="5"/>
  <c r="D1067" i="5"/>
  <c r="J1067" i="5"/>
  <c r="S1058" i="28"/>
  <c r="T1058" i="28"/>
  <c r="E1059" i="28"/>
  <c r="E1062" i="27"/>
  <c r="AG1058" i="13"/>
  <c r="AH1058" i="13" s="1"/>
  <c r="AF1058" i="13"/>
  <c r="R1059" i="13"/>
  <c r="E1060" i="13"/>
  <c r="L1060" i="13" s="1"/>
  <c r="AE1059" i="13"/>
  <c r="S1058" i="13"/>
  <c r="T1058" i="13"/>
  <c r="U1058" i="13" s="1"/>
  <c r="K1060" i="13" l="1"/>
  <c r="AF1058" i="7"/>
  <c r="E1059" i="7"/>
  <c r="I1070" i="5"/>
  <c r="B1071" i="5"/>
  <c r="H1070" i="5"/>
  <c r="C1069" i="5"/>
  <c r="D1069" i="5" s="1"/>
  <c r="G1067" i="5"/>
  <c r="K1067" i="5" s="1"/>
  <c r="F1067" i="5"/>
  <c r="E1067" i="5"/>
  <c r="G1068" i="5"/>
  <c r="K1068" i="5" s="1"/>
  <c r="F1068" i="5"/>
  <c r="E1068" i="5"/>
  <c r="J1068" i="5"/>
  <c r="T1059" i="28"/>
  <c r="E1060" i="28"/>
  <c r="S1059" i="28"/>
  <c r="AF1059" i="13"/>
  <c r="AG1059" i="13"/>
  <c r="AH1059" i="13" s="1"/>
  <c r="S1059" i="13"/>
  <c r="T1059" i="13"/>
  <c r="U1059" i="13" s="1"/>
  <c r="AE1060" i="13"/>
  <c r="R1060" i="13"/>
  <c r="E1061" i="13"/>
  <c r="L1061" i="13" s="1"/>
  <c r="E1063" i="27"/>
  <c r="K1061" i="13" l="1"/>
  <c r="AF1059" i="7"/>
  <c r="E1060" i="7"/>
  <c r="C1070" i="5"/>
  <c r="H1071" i="5"/>
  <c r="I1071" i="5"/>
  <c r="B1072" i="5"/>
  <c r="F1069" i="5"/>
  <c r="E1069" i="5"/>
  <c r="G1069" i="5"/>
  <c r="K1069" i="5" s="1"/>
  <c r="J1069" i="5"/>
  <c r="T1060" i="28"/>
  <c r="S1060" i="28"/>
  <c r="E1061" i="28"/>
  <c r="R1061" i="13"/>
  <c r="E1062" i="13"/>
  <c r="L1062" i="13" s="1"/>
  <c r="AE1061" i="13"/>
  <c r="AG1060" i="13"/>
  <c r="AH1060" i="13" s="1"/>
  <c r="AF1060" i="13"/>
  <c r="E1064" i="27"/>
  <c r="T1060" i="13"/>
  <c r="U1060" i="13" s="1"/>
  <c r="S1060" i="13"/>
  <c r="K1062" i="13" l="1"/>
  <c r="AF1060" i="7"/>
  <c r="E1061" i="7"/>
  <c r="C1071" i="5"/>
  <c r="H1072" i="5"/>
  <c r="B1073" i="5"/>
  <c r="I1072" i="5"/>
  <c r="D1070" i="5"/>
  <c r="J1070" i="5"/>
  <c r="E1062" i="28"/>
  <c r="S1061" i="28"/>
  <c r="T1061" i="28"/>
  <c r="E1065" i="27"/>
  <c r="T1061" i="13"/>
  <c r="U1061" i="13" s="1"/>
  <c r="S1061" i="13"/>
  <c r="AF1061" i="13"/>
  <c r="AG1061" i="13"/>
  <c r="AH1061" i="13" s="1"/>
  <c r="R1062" i="13"/>
  <c r="AE1062" i="13"/>
  <c r="E1063" i="13"/>
  <c r="L1063" i="13" s="1"/>
  <c r="K1063" i="13" l="1"/>
  <c r="AF1061" i="7"/>
  <c r="E1062" i="7"/>
  <c r="C1072" i="5"/>
  <c r="B1074" i="5"/>
  <c r="H1073" i="5"/>
  <c r="I1073" i="5"/>
  <c r="F1070" i="5"/>
  <c r="G1070" i="5"/>
  <c r="K1070" i="5" s="1"/>
  <c r="E1070" i="5"/>
  <c r="D1071" i="5"/>
  <c r="J1071" i="5"/>
  <c r="S1062" i="28"/>
  <c r="T1062" i="28"/>
  <c r="E1063" i="28"/>
  <c r="E1066" i="27"/>
  <c r="F1066" i="27" s="1"/>
  <c r="G1066" i="27" s="1"/>
  <c r="S1062" i="13"/>
  <c r="T1062" i="13"/>
  <c r="U1062" i="13" s="1"/>
  <c r="AF1062" i="13"/>
  <c r="AG1062" i="13"/>
  <c r="AH1062" i="13" s="1"/>
  <c r="AE1063" i="13"/>
  <c r="E1064" i="13"/>
  <c r="L1064" i="13" s="1"/>
  <c r="R1063" i="13"/>
  <c r="K1064" i="13" l="1"/>
  <c r="AF1062" i="7"/>
  <c r="E1063" i="7"/>
  <c r="F1071" i="5"/>
  <c r="E1071" i="5"/>
  <c r="G1071" i="5"/>
  <c r="K1071" i="5" s="1"/>
  <c r="B1075" i="5"/>
  <c r="I1074" i="5"/>
  <c r="H1074" i="5"/>
  <c r="C1073" i="5"/>
  <c r="D1072" i="5"/>
  <c r="J1072" i="5"/>
  <c r="S1063" i="28"/>
  <c r="T1063" i="28"/>
  <c r="E1064" i="28"/>
  <c r="F1065" i="27"/>
  <c r="E1065" i="13"/>
  <c r="L1065" i="13" s="1"/>
  <c r="AE1064" i="13"/>
  <c r="R1064" i="13"/>
  <c r="S1063" i="13"/>
  <c r="T1063" i="13"/>
  <c r="U1063" i="13" s="1"/>
  <c r="AG1063" i="13"/>
  <c r="AH1063" i="13" s="1"/>
  <c r="AF1063" i="13"/>
  <c r="H1066" i="27"/>
  <c r="J1066" i="27" s="1"/>
  <c r="L1066" i="27" s="1"/>
  <c r="C14" i="27" s="1"/>
  <c r="C11" i="27"/>
  <c r="K1065" i="13" l="1"/>
  <c r="AF1063" i="7"/>
  <c r="E1064" i="7"/>
  <c r="G1072" i="5"/>
  <c r="K1072" i="5" s="1"/>
  <c r="F1072" i="5"/>
  <c r="E1072" i="5"/>
  <c r="I1075" i="5"/>
  <c r="C1074" i="5"/>
  <c r="B1076" i="5"/>
  <c r="H1075" i="5"/>
  <c r="D1073" i="5"/>
  <c r="J1073" i="5"/>
  <c r="E1065" i="28"/>
  <c r="T1064" i="28"/>
  <c r="S1064" i="28"/>
  <c r="G1065" i="27"/>
  <c r="H1065" i="27" s="1"/>
  <c r="J1065" i="27" s="1"/>
  <c r="L1065" i="27" s="1"/>
  <c r="F1064" i="27"/>
  <c r="T1064" i="13"/>
  <c r="U1064" i="13" s="1"/>
  <c r="S1064" i="13"/>
  <c r="AF1064" i="13"/>
  <c r="AG1064" i="13"/>
  <c r="AH1064" i="13" s="1"/>
  <c r="R1065" i="13"/>
  <c r="E1066" i="13"/>
  <c r="L1066" i="13" s="1"/>
  <c r="AE1065" i="13"/>
  <c r="K1066" i="13" l="1"/>
  <c r="F1066" i="13"/>
  <c r="AF1064" i="7"/>
  <c r="E1065" i="7"/>
  <c r="F1073" i="5"/>
  <c r="E1073" i="5"/>
  <c r="G1073" i="5"/>
  <c r="K1073" i="5" s="1"/>
  <c r="C1075" i="5"/>
  <c r="H1076" i="5"/>
  <c r="I1076" i="5"/>
  <c r="B1077" i="5"/>
  <c r="D1074" i="5"/>
  <c r="J1074" i="5"/>
  <c r="S1065" i="28"/>
  <c r="E1066" i="28"/>
  <c r="C11" i="28" s="1"/>
  <c r="T1065" i="28"/>
  <c r="G1064" i="27"/>
  <c r="H1064" i="27" s="1"/>
  <c r="J1064" i="27" s="1"/>
  <c r="L1064" i="27" s="1"/>
  <c r="F1063" i="27"/>
  <c r="AG1065" i="13"/>
  <c r="AH1065" i="13" s="1"/>
  <c r="AF1065" i="13"/>
  <c r="T1065" i="13"/>
  <c r="U1065" i="13" s="1"/>
  <c r="S1065" i="13"/>
  <c r="AE1066" i="13"/>
  <c r="R1066" i="13"/>
  <c r="F1065" i="13" l="1"/>
  <c r="H1066" i="13"/>
  <c r="J1066" i="13" s="1"/>
  <c r="AF1065" i="7"/>
  <c r="E1066" i="7"/>
  <c r="F1066" i="7" s="1"/>
  <c r="F1065" i="7" s="1"/>
  <c r="F1064" i="7" s="1"/>
  <c r="F1063" i="7" s="1"/>
  <c r="F1062" i="7" s="1"/>
  <c r="F1061" i="7" s="1"/>
  <c r="F1060" i="7" s="1"/>
  <c r="F1059" i="7" s="1"/>
  <c r="F1058" i="7" s="1"/>
  <c r="F1057" i="7" s="1"/>
  <c r="F1056" i="7" s="1"/>
  <c r="F1055" i="7" s="1"/>
  <c r="F1054" i="7" s="1"/>
  <c r="F1053" i="7" s="1"/>
  <c r="F1052" i="7" s="1"/>
  <c r="F1051" i="7" s="1"/>
  <c r="F1050" i="7" s="1"/>
  <c r="F1049" i="7" s="1"/>
  <c r="F1048" i="7" s="1"/>
  <c r="F1047" i="7" s="1"/>
  <c r="F1046" i="7" s="1"/>
  <c r="F1045" i="7" s="1"/>
  <c r="F1044" i="7" s="1"/>
  <c r="F1043" i="7" s="1"/>
  <c r="F1042" i="7" s="1"/>
  <c r="F1041" i="7" s="1"/>
  <c r="F1040" i="7" s="1"/>
  <c r="F1039" i="7" s="1"/>
  <c r="F1038" i="7" s="1"/>
  <c r="F1037" i="7" s="1"/>
  <c r="F1036" i="7" s="1"/>
  <c r="F1035" i="7" s="1"/>
  <c r="F1034" i="7" s="1"/>
  <c r="F1033" i="7" s="1"/>
  <c r="F1032" i="7" s="1"/>
  <c r="F1031" i="7" s="1"/>
  <c r="F1030" i="7" s="1"/>
  <c r="F1029" i="7" s="1"/>
  <c r="F1028" i="7" s="1"/>
  <c r="F1027" i="7" s="1"/>
  <c r="F1026" i="7" s="1"/>
  <c r="F1025" i="7" s="1"/>
  <c r="F1024" i="7" s="1"/>
  <c r="F1023" i="7" s="1"/>
  <c r="F1022" i="7" s="1"/>
  <c r="F1021" i="7" s="1"/>
  <c r="F1020" i="7" s="1"/>
  <c r="F1019" i="7" s="1"/>
  <c r="F1018" i="7" s="1"/>
  <c r="F1017" i="7" s="1"/>
  <c r="F1016" i="7" s="1"/>
  <c r="F1015" i="7" s="1"/>
  <c r="F1014" i="7" s="1"/>
  <c r="F1013" i="7" s="1"/>
  <c r="F1012" i="7" s="1"/>
  <c r="F1011" i="7" s="1"/>
  <c r="F1010" i="7" s="1"/>
  <c r="F1009" i="7" s="1"/>
  <c r="F1008" i="7" s="1"/>
  <c r="F1007" i="7" s="1"/>
  <c r="F1006" i="7" s="1"/>
  <c r="F1005" i="7" s="1"/>
  <c r="F1004" i="7" s="1"/>
  <c r="F1003" i="7" s="1"/>
  <c r="F1002" i="7" s="1"/>
  <c r="F1001" i="7" s="1"/>
  <c r="F1000" i="7" s="1"/>
  <c r="F999" i="7" s="1"/>
  <c r="F998" i="7" s="1"/>
  <c r="F997" i="7" s="1"/>
  <c r="F996" i="7" s="1"/>
  <c r="F995" i="7" s="1"/>
  <c r="F994" i="7" s="1"/>
  <c r="F993" i="7" s="1"/>
  <c r="F992" i="7" s="1"/>
  <c r="F991" i="7" s="1"/>
  <c r="F990" i="7" s="1"/>
  <c r="F989" i="7" s="1"/>
  <c r="F988" i="7" s="1"/>
  <c r="F987" i="7" s="1"/>
  <c r="F986" i="7" s="1"/>
  <c r="F985" i="7" s="1"/>
  <c r="F984" i="7" s="1"/>
  <c r="F983" i="7" s="1"/>
  <c r="F982" i="7" s="1"/>
  <c r="F981" i="7" s="1"/>
  <c r="F980" i="7" s="1"/>
  <c r="F979" i="7" s="1"/>
  <c r="F978" i="7" s="1"/>
  <c r="F977" i="7" s="1"/>
  <c r="F976" i="7" s="1"/>
  <c r="F975" i="7" s="1"/>
  <c r="F974" i="7" s="1"/>
  <c r="F973" i="7" s="1"/>
  <c r="F972" i="7" s="1"/>
  <c r="F971" i="7" s="1"/>
  <c r="F970" i="7" s="1"/>
  <c r="F969" i="7" s="1"/>
  <c r="F968" i="7" s="1"/>
  <c r="F967" i="7" s="1"/>
  <c r="F966" i="7" s="1"/>
  <c r="F965" i="7" s="1"/>
  <c r="F964" i="7" s="1"/>
  <c r="F963" i="7" s="1"/>
  <c r="F962" i="7" s="1"/>
  <c r="F961" i="7" s="1"/>
  <c r="F960" i="7" s="1"/>
  <c r="F959" i="7" s="1"/>
  <c r="F958" i="7" s="1"/>
  <c r="F957" i="7" s="1"/>
  <c r="F956" i="7" s="1"/>
  <c r="F955" i="7" s="1"/>
  <c r="F954" i="7" s="1"/>
  <c r="F953" i="7" s="1"/>
  <c r="F952" i="7" s="1"/>
  <c r="F951" i="7" s="1"/>
  <c r="F950" i="7" s="1"/>
  <c r="F949" i="7" s="1"/>
  <c r="F948" i="7" s="1"/>
  <c r="F947" i="7" s="1"/>
  <c r="F946" i="7" s="1"/>
  <c r="F945" i="7" s="1"/>
  <c r="F944" i="7" s="1"/>
  <c r="F943" i="7" s="1"/>
  <c r="F942" i="7" s="1"/>
  <c r="F941" i="7" s="1"/>
  <c r="F940" i="7" s="1"/>
  <c r="F939" i="7" s="1"/>
  <c r="F938" i="7" s="1"/>
  <c r="F937" i="7" s="1"/>
  <c r="F936" i="7" s="1"/>
  <c r="F935" i="7" s="1"/>
  <c r="F934" i="7" s="1"/>
  <c r="F933" i="7" s="1"/>
  <c r="F932" i="7" s="1"/>
  <c r="F931" i="7" s="1"/>
  <c r="F930" i="7" s="1"/>
  <c r="F929" i="7" s="1"/>
  <c r="F928" i="7" s="1"/>
  <c r="F927" i="7" s="1"/>
  <c r="F926" i="7" s="1"/>
  <c r="F925" i="7" s="1"/>
  <c r="F924" i="7" s="1"/>
  <c r="F923" i="7" s="1"/>
  <c r="F922" i="7" s="1"/>
  <c r="F921" i="7" s="1"/>
  <c r="F920" i="7" s="1"/>
  <c r="F919" i="7" s="1"/>
  <c r="F918" i="7" s="1"/>
  <c r="F917" i="7" s="1"/>
  <c r="F916" i="7" s="1"/>
  <c r="F915" i="7" s="1"/>
  <c r="F914" i="7" s="1"/>
  <c r="F913" i="7" s="1"/>
  <c r="F912" i="7" s="1"/>
  <c r="F911" i="7" s="1"/>
  <c r="F910" i="7" s="1"/>
  <c r="F909" i="7" s="1"/>
  <c r="F908" i="7" s="1"/>
  <c r="F907" i="7" s="1"/>
  <c r="F906" i="7" s="1"/>
  <c r="F905" i="7" s="1"/>
  <c r="F904" i="7" s="1"/>
  <c r="F903" i="7" s="1"/>
  <c r="F902" i="7" s="1"/>
  <c r="F901" i="7" s="1"/>
  <c r="F900" i="7" s="1"/>
  <c r="F899" i="7" s="1"/>
  <c r="F898" i="7" s="1"/>
  <c r="F897" i="7" s="1"/>
  <c r="F896" i="7" s="1"/>
  <c r="F895" i="7" s="1"/>
  <c r="F894" i="7" s="1"/>
  <c r="F893" i="7" s="1"/>
  <c r="F892" i="7" s="1"/>
  <c r="F891" i="7" s="1"/>
  <c r="F890" i="7" s="1"/>
  <c r="F889" i="7" s="1"/>
  <c r="F888" i="7" s="1"/>
  <c r="F887" i="7" s="1"/>
  <c r="F886" i="7" s="1"/>
  <c r="F885" i="7" s="1"/>
  <c r="F884" i="7" s="1"/>
  <c r="F883" i="7" s="1"/>
  <c r="F882" i="7" s="1"/>
  <c r="F881" i="7" s="1"/>
  <c r="F880" i="7" s="1"/>
  <c r="F879" i="7" s="1"/>
  <c r="F878" i="7" s="1"/>
  <c r="F877" i="7" s="1"/>
  <c r="F876" i="7" s="1"/>
  <c r="F875" i="7" s="1"/>
  <c r="F874" i="7" s="1"/>
  <c r="F873" i="7" s="1"/>
  <c r="F872" i="7" s="1"/>
  <c r="F871" i="7" s="1"/>
  <c r="F870" i="7" s="1"/>
  <c r="F869" i="7" s="1"/>
  <c r="F868" i="7" s="1"/>
  <c r="F867" i="7" s="1"/>
  <c r="F866" i="7" s="1"/>
  <c r="F865" i="7" s="1"/>
  <c r="F864" i="7" s="1"/>
  <c r="F863" i="7" s="1"/>
  <c r="F862" i="7" s="1"/>
  <c r="F861" i="7" s="1"/>
  <c r="F860" i="7" s="1"/>
  <c r="F859" i="7" s="1"/>
  <c r="F858" i="7" s="1"/>
  <c r="F857" i="7" s="1"/>
  <c r="F856" i="7" s="1"/>
  <c r="F855" i="7" s="1"/>
  <c r="F854" i="7" s="1"/>
  <c r="F853" i="7" s="1"/>
  <c r="F852" i="7" s="1"/>
  <c r="F851" i="7" s="1"/>
  <c r="F850" i="7" s="1"/>
  <c r="F849" i="7" s="1"/>
  <c r="F848" i="7" s="1"/>
  <c r="F847" i="7" s="1"/>
  <c r="F846" i="7" s="1"/>
  <c r="F845" i="7" s="1"/>
  <c r="F844" i="7" s="1"/>
  <c r="F843" i="7" s="1"/>
  <c r="F842" i="7" s="1"/>
  <c r="F841" i="7" s="1"/>
  <c r="F840" i="7" s="1"/>
  <c r="F839" i="7" s="1"/>
  <c r="F838" i="7" s="1"/>
  <c r="F837" i="7" s="1"/>
  <c r="F836" i="7" s="1"/>
  <c r="F835" i="7" s="1"/>
  <c r="F834" i="7" s="1"/>
  <c r="F833" i="7" s="1"/>
  <c r="F832" i="7" s="1"/>
  <c r="F831" i="7" s="1"/>
  <c r="F830" i="7" s="1"/>
  <c r="F829" i="7" s="1"/>
  <c r="F828" i="7" s="1"/>
  <c r="F827" i="7" s="1"/>
  <c r="F826" i="7" s="1"/>
  <c r="F825" i="7" s="1"/>
  <c r="F824" i="7" s="1"/>
  <c r="F823" i="7" s="1"/>
  <c r="F822" i="7" s="1"/>
  <c r="F821" i="7" s="1"/>
  <c r="F820" i="7" s="1"/>
  <c r="F819" i="7" s="1"/>
  <c r="F818" i="7" s="1"/>
  <c r="F817" i="7" s="1"/>
  <c r="F816" i="7" s="1"/>
  <c r="F815" i="7" s="1"/>
  <c r="F814" i="7" s="1"/>
  <c r="F813" i="7" s="1"/>
  <c r="F812" i="7" s="1"/>
  <c r="F811" i="7" s="1"/>
  <c r="F810" i="7" s="1"/>
  <c r="F809" i="7" s="1"/>
  <c r="F808" i="7" s="1"/>
  <c r="F807" i="7" s="1"/>
  <c r="F806" i="7" s="1"/>
  <c r="F805" i="7" s="1"/>
  <c r="F804" i="7" s="1"/>
  <c r="F803" i="7" s="1"/>
  <c r="F802" i="7" s="1"/>
  <c r="F801" i="7" s="1"/>
  <c r="F800" i="7" s="1"/>
  <c r="F799" i="7" s="1"/>
  <c r="F798" i="7" s="1"/>
  <c r="F797" i="7" s="1"/>
  <c r="F796" i="7" s="1"/>
  <c r="F795" i="7" s="1"/>
  <c r="F794" i="7" s="1"/>
  <c r="F793" i="7" s="1"/>
  <c r="F792" i="7" s="1"/>
  <c r="F791" i="7" s="1"/>
  <c r="F790" i="7" s="1"/>
  <c r="F789" i="7" s="1"/>
  <c r="F788" i="7" s="1"/>
  <c r="F787" i="7" s="1"/>
  <c r="F786" i="7" s="1"/>
  <c r="F785" i="7" s="1"/>
  <c r="F784" i="7" s="1"/>
  <c r="F783" i="7" s="1"/>
  <c r="F782" i="7" s="1"/>
  <c r="F781" i="7" s="1"/>
  <c r="F780" i="7" s="1"/>
  <c r="F779" i="7" s="1"/>
  <c r="F778" i="7" s="1"/>
  <c r="F777" i="7" s="1"/>
  <c r="F776" i="7" s="1"/>
  <c r="F775" i="7" s="1"/>
  <c r="F774" i="7" s="1"/>
  <c r="F773" i="7" s="1"/>
  <c r="F772" i="7" s="1"/>
  <c r="F771" i="7" s="1"/>
  <c r="F770" i="7" s="1"/>
  <c r="F769" i="7" s="1"/>
  <c r="F768" i="7" s="1"/>
  <c r="F767" i="7" s="1"/>
  <c r="F766" i="7" s="1"/>
  <c r="F765" i="7" s="1"/>
  <c r="F764" i="7" s="1"/>
  <c r="F763" i="7" s="1"/>
  <c r="F762" i="7" s="1"/>
  <c r="F761" i="7" s="1"/>
  <c r="F760" i="7" s="1"/>
  <c r="F759" i="7" s="1"/>
  <c r="F758" i="7" s="1"/>
  <c r="F757" i="7" s="1"/>
  <c r="F756" i="7" s="1"/>
  <c r="F755" i="7" s="1"/>
  <c r="F754" i="7" s="1"/>
  <c r="F753" i="7" s="1"/>
  <c r="F752" i="7" s="1"/>
  <c r="F751" i="7" s="1"/>
  <c r="F750" i="7" s="1"/>
  <c r="F749" i="7" s="1"/>
  <c r="F748" i="7" s="1"/>
  <c r="F747" i="7" s="1"/>
  <c r="F746" i="7" s="1"/>
  <c r="F745" i="7" s="1"/>
  <c r="F744" i="7" s="1"/>
  <c r="F743" i="7" s="1"/>
  <c r="F742" i="7" s="1"/>
  <c r="F741" i="7" s="1"/>
  <c r="F740" i="7" s="1"/>
  <c r="F739" i="7" s="1"/>
  <c r="F738" i="7" s="1"/>
  <c r="F737" i="7" s="1"/>
  <c r="F736" i="7" s="1"/>
  <c r="F735" i="7" s="1"/>
  <c r="F734" i="7" s="1"/>
  <c r="F733" i="7" s="1"/>
  <c r="F732" i="7" s="1"/>
  <c r="F731" i="7" s="1"/>
  <c r="F730" i="7" s="1"/>
  <c r="F729" i="7" s="1"/>
  <c r="F728" i="7" s="1"/>
  <c r="F727" i="7" s="1"/>
  <c r="F726" i="7" s="1"/>
  <c r="F725" i="7" s="1"/>
  <c r="F724" i="7" s="1"/>
  <c r="F723" i="7" s="1"/>
  <c r="F722" i="7" s="1"/>
  <c r="F721" i="7" s="1"/>
  <c r="F720" i="7" s="1"/>
  <c r="F719" i="7" s="1"/>
  <c r="F718" i="7" s="1"/>
  <c r="F717" i="7" s="1"/>
  <c r="F716" i="7" s="1"/>
  <c r="F715" i="7" s="1"/>
  <c r="F714" i="7" s="1"/>
  <c r="F713" i="7" s="1"/>
  <c r="F712" i="7" s="1"/>
  <c r="F711" i="7" s="1"/>
  <c r="F710" i="7" s="1"/>
  <c r="F709" i="7" s="1"/>
  <c r="F708" i="7" s="1"/>
  <c r="F707" i="7" s="1"/>
  <c r="F706" i="7" s="1"/>
  <c r="F705" i="7" s="1"/>
  <c r="F704" i="7" s="1"/>
  <c r="F703" i="7" s="1"/>
  <c r="F702" i="7" s="1"/>
  <c r="F701" i="7" s="1"/>
  <c r="F700" i="7" s="1"/>
  <c r="F699" i="7" s="1"/>
  <c r="F698" i="7" s="1"/>
  <c r="F697" i="7" s="1"/>
  <c r="F696" i="7" s="1"/>
  <c r="F695" i="7" s="1"/>
  <c r="F694" i="7" s="1"/>
  <c r="F693" i="7" s="1"/>
  <c r="F692" i="7" s="1"/>
  <c r="F691" i="7" s="1"/>
  <c r="F690" i="7" s="1"/>
  <c r="F689" i="7" s="1"/>
  <c r="F688" i="7" s="1"/>
  <c r="F687" i="7" s="1"/>
  <c r="F686" i="7" s="1"/>
  <c r="F685" i="7" s="1"/>
  <c r="F684" i="7" s="1"/>
  <c r="F683" i="7" s="1"/>
  <c r="F682" i="7" s="1"/>
  <c r="F681" i="7" s="1"/>
  <c r="F680" i="7" s="1"/>
  <c r="F679" i="7" s="1"/>
  <c r="F678" i="7" s="1"/>
  <c r="F677" i="7" s="1"/>
  <c r="F676" i="7" s="1"/>
  <c r="F675" i="7" s="1"/>
  <c r="F674" i="7" s="1"/>
  <c r="F673" i="7" s="1"/>
  <c r="F672" i="7" s="1"/>
  <c r="F671" i="7" s="1"/>
  <c r="F670" i="7" s="1"/>
  <c r="F669" i="7" s="1"/>
  <c r="F668" i="7" s="1"/>
  <c r="F667" i="7" s="1"/>
  <c r="F666" i="7" s="1"/>
  <c r="F665" i="7" s="1"/>
  <c r="F664" i="7" s="1"/>
  <c r="F663" i="7" s="1"/>
  <c r="F662" i="7" s="1"/>
  <c r="F661" i="7" s="1"/>
  <c r="F660" i="7" s="1"/>
  <c r="F659" i="7" s="1"/>
  <c r="F658" i="7" s="1"/>
  <c r="F657" i="7" s="1"/>
  <c r="F656" i="7" s="1"/>
  <c r="F655" i="7" s="1"/>
  <c r="F654" i="7" s="1"/>
  <c r="F653" i="7" s="1"/>
  <c r="F652" i="7" s="1"/>
  <c r="F651" i="7" s="1"/>
  <c r="F650" i="7" s="1"/>
  <c r="F649" i="7" s="1"/>
  <c r="F648" i="7" s="1"/>
  <c r="F647" i="7" s="1"/>
  <c r="F646" i="7" s="1"/>
  <c r="F645" i="7" s="1"/>
  <c r="F644" i="7" s="1"/>
  <c r="F643" i="7" s="1"/>
  <c r="F642" i="7" s="1"/>
  <c r="F641" i="7" s="1"/>
  <c r="F640" i="7" s="1"/>
  <c r="F639" i="7" s="1"/>
  <c r="F638" i="7" s="1"/>
  <c r="F637" i="7" s="1"/>
  <c r="F636" i="7" s="1"/>
  <c r="F635" i="7" s="1"/>
  <c r="F634" i="7" s="1"/>
  <c r="F633" i="7" s="1"/>
  <c r="F632" i="7" s="1"/>
  <c r="F631" i="7" s="1"/>
  <c r="F630" i="7" s="1"/>
  <c r="F629" i="7" s="1"/>
  <c r="F628" i="7" s="1"/>
  <c r="F627" i="7" s="1"/>
  <c r="F626" i="7" s="1"/>
  <c r="F625" i="7" s="1"/>
  <c r="F624" i="7" s="1"/>
  <c r="F623" i="7" s="1"/>
  <c r="F622" i="7" s="1"/>
  <c r="F621" i="7" s="1"/>
  <c r="F620" i="7" s="1"/>
  <c r="F619" i="7" s="1"/>
  <c r="F618" i="7" s="1"/>
  <c r="F617" i="7" s="1"/>
  <c r="F616" i="7" s="1"/>
  <c r="F615" i="7" s="1"/>
  <c r="F614" i="7" s="1"/>
  <c r="F613" i="7" s="1"/>
  <c r="F612" i="7" s="1"/>
  <c r="F611" i="7" s="1"/>
  <c r="F610" i="7" s="1"/>
  <c r="F609" i="7" s="1"/>
  <c r="F608" i="7" s="1"/>
  <c r="F607" i="7" s="1"/>
  <c r="F606" i="7" s="1"/>
  <c r="F605" i="7" s="1"/>
  <c r="F604" i="7" s="1"/>
  <c r="F603" i="7" s="1"/>
  <c r="F602" i="7" s="1"/>
  <c r="F601" i="7" s="1"/>
  <c r="F600" i="7" s="1"/>
  <c r="F599" i="7" s="1"/>
  <c r="F598" i="7" s="1"/>
  <c r="F597" i="7" s="1"/>
  <c r="F596" i="7" s="1"/>
  <c r="F595" i="7" s="1"/>
  <c r="F594" i="7" s="1"/>
  <c r="F593" i="7" s="1"/>
  <c r="F592" i="7" s="1"/>
  <c r="F591" i="7" s="1"/>
  <c r="F590" i="7" s="1"/>
  <c r="F589" i="7" s="1"/>
  <c r="F588" i="7" s="1"/>
  <c r="F587" i="7" s="1"/>
  <c r="F586" i="7" s="1"/>
  <c r="F585" i="7" s="1"/>
  <c r="F584" i="7" s="1"/>
  <c r="F583" i="7" s="1"/>
  <c r="F582" i="7" s="1"/>
  <c r="F581" i="7" s="1"/>
  <c r="F580" i="7" s="1"/>
  <c r="F579" i="7" s="1"/>
  <c r="F578" i="7" s="1"/>
  <c r="F577" i="7" s="1"/>
  <c r="F576" i="7" s="1"/>
  <c r="F575" i="7" s="1"/>
  <c r="F574" i="7" s="1"/>
  <c r="F573" i="7" s="1"/>
  <c r="F572" i="7" s="1"/>
  <c r="F571" i="7" s="1"/>
  <c r="F570" i="7" s="1"/>
  <c r="F569" i="7" s="1"/>
  <c r="F568" i="7" s="1"/>
  <c r="F567" i="7" s="1"/>
  <c r="F566" i="7" s="1"/>
  <c r="F565" i="7" s="1"/>
  <c r="F564" i="7" s="1"/>
  <c r="F563" i="7" s="1"/>
  <c r="F562" i="7" s="1"/>
  <c r="F561" i="7" s="1"/>
  <c r="F560" i="7" s="1"/>
  <c r="F559" i="7" s="1"/>
  <c r="F558" i="7" s="1"/>
  <c r="F557" i="7" s="1"/>
  <c r="F556" i="7" s="1"/>
  <c r="F555" i="7" s="1"/>
  <c r="F554" i="7" s="1"/>
  <c r="F553" i="7" s="1"/>
  <c r="F552" i="7" s="1"/>
  <c r="F551" i="7" s="1"/>
  <c r="F550" i="7" s="1"/>
  <c r="F549" i="7" s="1"/>
  <c r="F548" i="7" s="1"/>
  <c r="F547" i="7" s="1"/>
  <c r="F546" i="7" s="1"/>
  <c r="F545" i="7" s="1"/>
  <c r="F544" i="7" s="1"/>
  <c r="F543" i="7" s="1"/>
  <c r="F542" i="7" s="1"/>
  <c r="F541" i="7" s="1"/>
  <c r="F540" i="7" s="1"/>
  <c r="F539" i="7" s="1"/>
  <c r="F538" i="7" s="1"/>
  <c r="F537" i="7" s="1"/>
  <c r="F536" i="7" s="1"/>
  <c r="F535" i="7" s="1"/>
  <c r="F534" i="7" s="1"/>
  <c r="F533" i="7" s="1"/>
  <c r="F532" i="7" s="1"/>
  <c r="F531" i="7" s="1"/>
  <c r="F530" i="7" s="1"/>
  <c r="F529" i="7" s="1"/>
  <c r="F528" i="7" s="1"/>
  <c r="F527" i="7" s="1"/>
  <c r="F526" i="7" s="1"/>
  <c r="F525" i="7" s="1"/>
  <c r="F524" i="7" s="1"/>
  <c r="F523" i="7" s="1"/>
  <c r="F522" i="7" s="1"/>
  <c r="F521" i="7" s="1"/>
  <c r="F520" i="7" s="1"/>
  <c r="F519" i="7" s="1"/>
  <c r="F518" i="7" s="1"/>
  <c r="F517" i="7" s="1"/>
  <c r="F516" i="7" s="1"/>
  <c r="F515" i="7" s="1"/>
  <c r="F514" i="7" s="1"/>
  <c r="F513" i="7" s="1"/>
  <c r="F512" i="7" s="1"/>
  <c r="F511" i="7" s="1"/>
  <c r="F510" i="7" s="1"/>
  <c r="F509" i="7" s="1"/>
  <c r="F508" i="7" s="1"/>
  <c r="F507" i="7" s="1"/>
  <c r="F506" i="7" s="1"/>
  <c r="F505" i="7" s="1"/>
  <c r="F504" i="7" s="1"/>
  <c r="F503" i="7" s="1"/>
  <c r="F502" i="7" s="1"/>
  <c r="F501" i="7" s="1"/>
  <c r="F500" i="7" s="1"/>
  <c r="F499" i="7" s="1"/>
  <c r="F498" i="7" s="1"/>
  <c r="F497" i="7" s="1"/>
  <c r="F496" i="7" s="1"/>
  <c r="F495" i="7" s="1"/>
  <c r="F494" i="7" s="1"/>
  <c r="F493" i="7" s="1"/>
  <c r="F492" i="7" s="1"/>
  <c r="F491" i="7" s="1"/>
  <c r="F490" i="7" s="1"/>
  <c r="F489" i="7" s="1"/>
  <c r="F488" i="7" s="1"/>
  <c r="F487" i="7" s="1"/>
  <c r="F486" i="7" s="1"/>
  <c r="F485" i="7" s="1"/>
  <c r="F484" i="7" s="1"/>
  <c r="F483" i="7" s="1"/>
  <c r="F482" i="7" s="1"/>
  <c r="F481" i="7" s="1"/>
  <c r="F480" i="7" s="1"/>
  <c r="F479" i="7" s="1"/>
  <c r="F478" i="7" s="1"/>
  <c r="F477" i="7" s="1"/>
  <c r="F476" i="7" s="1"/>
  <c r="F475" i="7" s="1"/>
  <c r="F474" i="7" s="1"/>
  <c r="F473" i="7" s="1"/>
  <c r="F472" i="7" s="1"/>
  <c r="F471" i="7" s="1"/>
  <c r="F470" i="7" s="1"/>
  <c r="F469" i="7" s="1"/>
  <c r="F468" i="7" s="1"/>
  <c r="F467" i="7" s="1"/>
  <c r="F466" i="7" s="1"/>
  <c r="F465" i="7" s="1"/>
  <c r="F464" i="7" s="1"/>
  <c r="F463" i="7" s="1"/>
  <c r="F462" i="7" s="1"/>
  <c r="F461" i="7" s="1"/>
  <c r="F460" i="7" s="1"/>
  <c r="F459" i="7" s="1"/>
  <c r="F458" i="7" s="1"/>
  <c r="F457" i="7" s="1"/>
  <c r="F456" i="7" s="1"/>
  <c r="F455" i="7" s="1"/>
  <c r="F454" i="7" s="1"/>
  <c r="F453" i="7" s="1"/>
  <c r="F452" i="7" s="1"/>
  <c r="F451" i="7" s="1"/>
  <c r="F450" i="7" s="1"/>
  <c r="F449" i="7" s="1"/>
  <c r="F448" i="7" s="1"/>
  <c r="F447" i="7" s="1"/>
  <c r="F446" i="7" s="1"/>
  <c r="F445" i="7" s="1"/>
  <c r="F444" i="7" s="1"/>
  <c r="F443" i="7" s="1"/>
  <c r="F442" i="7" s="1"/>
  <c r="F441" i="7" s="1"/>
  <c r="F440" i="7" s="1"/>
  <c r="F439" i="7" s="1"/>
  <c r="F438" i="7" s="1"/>
  <c r="F437" i="7" s="1"/>
  <c r="F436" i="7" s="1"/>
  <c r="F435" i="7" s="1"/>
  <c r="F434" i="7" s="1"/>
  <c r="F433" i="7" s="1"/>
  <c r="F432" i="7" s="1"/>
  <c r="F431" i="7" s="1"/>
  <c r="F430" i="7" s="1"/>
  <c r="F429" i="7" s="1"/>
  <c r="F428" i="7" s="1"/>
  <c r="F427" i="7" s="1"/>
  <c r="F426" i="7" s="1"/>
  <c r="F425" i="7" s="1"/>
  <c r="F424" i="7" s="1"/>
  <c r="F423" i="7" s="1"/>
  <c r="F422" i="7" s="1"/>
  <c r="F421" i="7" s="1"/>
  <c r="F420" i="7" s="1"/>
  <c r="F419" i="7" s="1"/>
  <c r="F418" i="7" s="1"/>
  <c r="F417" i="7" s="1"/>
  <c r="F416" i="7" s="1"/>
  <c r="F415" i="7" s="1"/>
  <c r="F414" i="7" s="1"/>
  <c r="F413" i="7" s="1"/>
  <c r="F412" i="7" s="1"/>
  <c r="F411" i="7" s="1"/>
  <c r="F410" i="7" s="1"/>
  <c r="F409" i="7" s="1"/>
  <c r="F408" i="7" s="1"/>
  <c r="F407" i="7" s="1"/>
  <c r="F406" i="7" s="1"/>
  <c r="F405" i="7" s="1"/>
  <c r="F404" i="7" s="1"/>
  <c r="F403" i="7" s="1"/>
  <c r="F402" i="7" s="1"/>
  <c r="F401" i="7" s="1"/>
  <c r="F400" i="7" s="1"/>
  <c r="F399" i="7" s="1"/>
  <c r="F398" i="7" s="1"/>
  <c r="F397" i="7" s="1"/>
  <c r="F396" i="7" s="1"/>
  <c r="F395" i="7" s="1"/>
  <c r="F394" i="7" s="1"/>
  <c r="F393" i="7" s="1"/>
  <c r="F392" i="7" s="1"/>
  <c r="F391" i="7" s="1"/>
  <c r="F390" i="7" s="1"/>
  <c r="F389" i="7" s="1"/>
  <c r="F388" i="7" s="1"/>
  <c r="F387" i="7" s="1"/>
  <c r="F386" i="7" s="1"/>
  <c r="F385" i="7" s="1"/>
  <c r="F384" i="7" s="1"/>
  <c r="F383" i="7" s="1"/>
  <c r="F382" i="7" s="1"/>
  <c r="F381" i="7" s="1"/>
  <c r="F380" i="7" s="1"/>
  <c r="F379" i="7" s="1"/>
  <c r="F378" i="7" s="1"/>
  <c r="F377" i="7" s="1"/>
  <c r="F376" i="7" s="1"/>
  <c r="F375" i="7" s="1"/>
  <c r="F374" i="7" s="1"/>
  <c r="F373" i="7" s="1"/>
  <c r="F372" i="7" s="1"/>
  <c r="F371" i="7" s="1"/>
  <c r="F370" i="7" s="1"/>
  <c r="F369" i="7" s="1"/>
  <c r="F368" i="7" s="1"/>
  <c r="F367" i="7" s="1"/>
  <c r="F366" i="7" s="1"/>
  <c r="F365" i="7" s="1"/>
  <c r="F364" i="7" s="1"/>
  <c r="F363" i="7" s="1"/>
  <c r="F362" i="7" s="1"/>
  <c r="F361" i="7" s="1"/>
  <c r="F360" i="7" s="1"/>
  <c r="F359" i="7" s="1"/>
  <c r="F358" i="7" s="1"/>
  <c r="F357" i="7" s="1"/>
  <c r="F356" i="7" s="1"/>
  <c r="F355" i="7" s="1"/>
  <c r="F354" i="7" s="1"/>
  <c r="F353" i="7" s="1"/>
  <c r="F352" i="7" s="1"/>
  <c r="F351" i="7" s="1"/>
  <c r="F350" i="7" s="1"/>
  <c r="F349" i="7" s="1"/>
  <c r="F348" i="7" s="1"/>
  <c r="F347" i="7" s="1"/>
  <c r="F346" i="7" s="1"/>
  <c r="F345" i="7" s="1"/>
  <c r="F344" i="7" s="1"/>
  <c r="F343" i="7" s="1"/>
  <c r="F342" i="7" s="1"/>
  <c r="F341" i="7" s="1"/>
  <c r="F340" i="7" s="1"/>
  <c r="F339" i="7" s="1"/>
  <c r="F338" i="7" s="1"/>
  <c r="F337" i="7" s="1"/>
  <c r="F336" i="7" s="1"/>
  <c r="F335" i="7" s="1"/>
  <c r="F334" i="7" s="1"/>
  <c r="F333" i="7" s="1"/>
  <c r="F332" i="7" s="1"/>
  <c r="F331" i="7" s="1"/>
  <c r="F330" i="7" s="1"/>
  <c r="F329" i="7" s="1"/>
  <c r="F328" i="7" s="1"/>
  <c r="F327" i="7" s="1"/>
  <c r="F326" i="7" s="1"/>
  <c r="F325" i="7" s="1"/>
  <c r="F324" i="7" s="1"/>
  <c r="F323" i="7" s="1"/>
  <c r="F322" i="7" s="1"/>
  <c r="F321" i="7" s="1"/>
  <c r="F320" i="7" s="1"/>
  <c r="F319" i="7" s="1"/>
  <c r="F318" i="7" s="1"/>
  <c r="F317" i="7" s="1"/>
  <c r="F316" i="7" s="1"/>
  <c r="F315" i="7" s="1"/>
  <c r="F314" i="7" s="1"/>
  <c r="F313" i="7" s="1"/>
  <c r="F312" i="7" s="1"/>
  <c r="F311" i="7" s="1"/>
  <c r="F310" i="7" s="1"/>
  <c r="F309" i="7" s="1"/>
  <c r="F308" i="7" s="1"/>
  <c r="F307" i="7" s="1"/>
  <c r="F306" i="7" s="1"/>
  <c r="F305" i="7" s="1"/>
  <c r="F304" i="7" s="1"/>
  <c r="F303" i="7" s="1"/>
  <c r="F302" i="7" s="1"/>
  <c r="F301" i="7" s="1"/>
  <c r="F300" i="7" s="1"/>
  <c r="F299" i="7" s="1"/>
  <c r="F298" i="7" s="1"/>
  <c r="F297" i="7" s="1"/>
  <c r="F296" i="7" s="1"/>
  <c r="F295" i="7" s="1"/>
  <c r="F294" i="7" s="1"/>
  <c r="F293" i="7" s="1"/>
  <c r="F292" i="7" s="1"/>
  <c r="F291" i="7" s="1"/>
  <c r="F290" i="7" s="1"/>
  <c r="F289" i="7" s="1"/>
  <c r="F288" i="7" s="1"/>
  <c r="F287" i="7" s="1"/>
  <c r="F286" i="7" s="1"/>
  <c r="F285" i="7" s="1"/>
  <c r="F284" i="7" s="1"/>
  <c r="F283" i="7" s="1"/>
  <c r="F282" i="7" s="1"/>
  <c r="F281" i="7" s="1"/>
  <c r="F280" i="7" s="1"/>
  <c r="F279" i="7" s="1"/>
  <c r="F278" i="7" s="1"/>
  <c r="F277" i="7" s="1"/>
  <c r="F276" i="7" s="1"/>
  <c r="F275" i="7" s="1"/>
  <c r="F274" i="7" s="1"/>
  <c r="F273" i="7" s="1"/>
  <c r="F272" i="7" s="1"/>
  <c r="F271" i="7" s="1"/>
  <c r="F270" i="7" s="1"/>
  <c r="F269" i="7" s="1"/>
  <c r="F268" i="7" s="1"/>
  <c r="F267" i="7" s="1"/>
  <c r="F266" i="7" s="1"/>
  <c r="F265" i="7" s="1"/>
  <c r="F264" i="7" s="1"/>
  <c r="F263" i="7" s="1"/>
  <c r="F262" i="7" s="1"/>
  <c r="F261" i="7" s="1"/>
  <c r="F260" i="7" s="1"/>
  <c r="F259" i="7" s="1"/>
  <c r="F258" i="7" s="1"/>
  <c r="F257" i="7" s="1"/>
  <c r="F256" i="7" s="1"/>
  <c r="F255" i="7" s="1"/>
  <c r="F254" i="7" s="1"/>
  <c r="F253" i="7" s="1"/>
  <c r="F252" i="7" s="1"/>
  <c r="F251" i="7" s="1"/>
  <c r="F250" i="7" s="1"/>
  <c r="F249" i="7" s="1"/>
  <c r="F248" i="7" s="1"/>
  <c r="F247" i="7" s="1"/>
  <c r="F246" i="7" s="1"/>
  <c r="F245" i="7" s="1"/>
  <c r="F244" i="7" s="1"/>
  <c r="F243" i="7" s="1"/>
  <c r="F242" i="7" s="1"/>
  <c r="F241" i="7" s="1"/>
  <c r="F240" i="7" s="1"/>
  <c r="F239" i="7" s="1"/>
  <c r="F238" i="7" s="1"/>
  <c r="F237" i="7" s="1"/>
  <c r="F236" i="7" s="1"/>
  <c r="F235" i="7" s="1"/>
  <c r="F234" i="7" s="1"/>
  <c r="F233" i="7" s="1"/>
  <c r="F232" i="7" s="1"/>
  <c r="F231" i="7" s="1"/>
  <c r="F230" i="7" s="1"/>
  <c r="F229" i="7" s="1"/>
  <c r="F228" i="7" s="1"/>
  <c r="F227" i="7" s="1"/>
  <c r="F226" i="7" s="1"/>
  <c r="F225" i="7" s="1"/>
  <c r="F224" i="7" s="1"/>
  <c r="F223" i="7" s="1"/>
  <c r="F222" i="7" s="1"/>
  <c r="F221" i="7" s="1"/>
  <c r="F220" i="7" s="1"/>
  <c r="F219" i="7" s="1"/>
  <c r="F218" i="7" s="1"/>
  <c r="F217" i="7" s="1"/>
  <c r="F216" i="7" s="1"/>
  <c r="F215" i="7" s="1"/>
  <c r="F214" i="7" s="1"/>
  <c r="F213" i="7" s="1"/>
  <c r="F212" i="7" s="1"/>
  <c r="F211" i="7" s="1"/>
  <c r="F210" i="7" s="1"/>
  <c r="F209" i="7" s="1"/>
  <c r="F208" i="7" s="1"/>
  <c r="F207" i="7" s="1"/>
  <c r="F206" i="7" s="1"/>
  <c r="F205" i="7" s="1"/>
  <c r="F204" i="7" s="1"/>
  <c r="F203" i="7" s="1"/>
  <c r="F202" i="7" s="1"/>
  <c r="F201" i="7" s="1"/>
  <c r="F200" i="7" s="1"/>
  <c r="F199" i="7" s="1"/>
  <c r="F198" i="7" s="1"/>
  <c r="F197" i="7" s="1"/>
  <c r="F196" i="7" s="1"/>
  <c r="F195" i="7" s="1"/>
  <c r="F194" i="7" s="1"/>
  <c r="F193" i="7" s="1"/>
  <c r="F192" i="7" s="1"/>
  <c r="F191" i="7" s="1"/>
  <c r="F190" i="7" s="1"/>
  <c r="F189" i="7" s="1"/>
  <c r="F188" i="7" s="1"/>
  <c r="F187" i="7" s="1"/>
  <c r="F186" i="7" s="1"/>
  <c r="F185" i="7" s="1"/>
  <c r="F184" i="7" s="1"/>
  <c r="F183" i="7" s="1"/>
  <c r="F182" i="7" s="1"/>
  <c r="F181" i="7" s="1"/>
  <c r="F180" i="7" s="1"/>
  <c r="F179" i="7" s="1"/>
  <c r="F178" i="7" s="1"/>
  <c r="F177" i="7" s="1"/>
  <c r="F176" i="7" s="1"/>
  <c r="F175" i="7" s="1"/>
  <c r="F174" i="7" s="1"/>
  <c r="F173" i="7" s="1"/>
  <c r="F172" i="7" s="1"/>
  <c r="F171" i="7" s="1"/>
  <c r="F170" i="7" s="1"/>
  <c r="F169" i="7" s="1"/>
  <c r="F168" i="7" s="1"/>
  <c r="F167" i="7" s="1"/>
  <c r="F166" i="7" s="1"/>
  <c r="F165" i="7" s="1"/>
  <c r="F164" i="7" s="1"/>
  <c r="F163" i="7" s="1"/>
  <c r="F162" i="7" s="1"/>
  <c r="F161" i="7" s="1"/>
  <c r="F160" i="7" s="1"/>
  <c r="F159" i="7" s="1"/>
  <c r="F158" i="7" s="1"/>
  <c r="F157" i="7" s="1"/>
  <c r="F156" i="7" s="1"/>
  <c r="F155" i="7" s="1"/>
  <c r="F154" i="7" s="1"/>
  <c r="F153" i="7" s="1"/>
  <c r="F152" i="7" s="1"/>
  <c r="F151" i="7" s="1"/>
  <c r="F150" i="7" s="1"/>
  <c r="F149" i="7" s="1"/>
  <c r="F148" i="7" s="1"/>
  <c r="F147" i="7" s="1"/>
  <c r="F146" i="7" s="1"/>
  <c r="F145" i="7" s="1"/>
  <c r="F144" i="7" s="1"/>
  <c r="F143" i="7" s="1"/>
  <c r="F142" i="7" s="1"/>
  <c r="F141" i="7" s="1"/>
  <c r="F140" i="7" s="1"/>
  <c r="F139" i="7" s="1"/>
  <c r="F138" i="7" s="1"/>
  <c r="F137" i="7" s="1"/>
  <c r="F136" i="7" s="1"/>
  <c r="F135" i="7" s="1"/>
  <c r="F134" i="7" s="1"/>
  <c r="F133" i="7" s="1"/>
  <c r="F132" i="7" s="1"/>
  <c r="F131" i="7" s="1"/>
  <c r="F130" i="7" s="1"/>
  <c r="F129" i="7" s="1"/>
  <c r="F128" i="7" s="1"/>
  <c r="F127" i="7" s="1"/>
  <c r="F126" i="7" s="1"/>
  <c r="F125" i="7" s="1"/>
  <c r="F124" i="7" s="1"/>
  <c r="F123" i="7" s="1"/>
  <c r="F122" i="7" s="1"/>
  <c r="F121" i="7" s="1"/>
  <c r="F120" i="7" s="1"/>
  <c r="F119" i="7" s="1"/>
  <c r="F118" i="7" s="1"/>
  <c r="F117" i="7" s="1"/>
  <c r="F116" i="7" s="1"/>
  <c r="F115" i="7" s="1"/>
  <c r="F114" i="7" s="1"/>
  <c r="F113" i="7" s="1"/>
  <c r="F112" i="7" s="1"/>
  <c r="F111" i="7" s="1"/>
  <c r="F110" i="7" s="1"/>
  <c r="F109" i="7" s="1"/>
  <c r="F108" i="7" s="1"/>
  <c r="F107" i="7" s="1"/>
  <c r="F106" i="7" s="1"/>
  <c r="F105" i="7" s="1"/>
  <c r="F104" i="7" s="1"/>
  <c r="F103" i="7" s="1"/>
  <c r="F102" i="7" s="1"/>
  <c r="F101" i="7" s="1"/>
  <c r="F100" i="7" s="1"/>
  <c r="F99" i="7" s="1"/>
  <c r="F98" i="7" s="1"/>
  <c r="F97" i="7" s="1"/>
  <c r="F96" i="7" s="1"/>
  <c r="F95" i="7" s="1"/>
  <c r="F94" i="7" s="1"/>
  <c r="F93" i="7" s="1"/>
  <c r="F92" i="7" s="1"/>
  <c r="F91" i="7" s="1"/>
  <c r="F90" i="7" s="1"/>
  <c r="F89" i="7" s="1"/>
  <c r="F88" i="7" s="1"/>
  <c r="F87" i="7" s="1"/>
  <c r="F86" i="7" s="1"/>
  <c r="F85" i="7" s="1"/>
  <c r="F84" i="7" s="1"/>
  <c r="F83" i="7" s="1"/>
  <c r="F82" i="7" s="1"/>
  <c r="F81" i="7" s="1"/>
  <c r="F80" i="7" s="1"/>
  <c r="F79" i="7" s="1"/>
  <c r="F78" i="7" s="1"/>
  <c r="F77" i="7" s="1"/>
  <c r="F76" i="7" s="1"/>
  <c r="F75" i="7" s="1"/>
  <c r="F74" i="7" s="1"/>
  <c r="F73" i="7" s="1"/>
  <c r="F72" i="7" s="1"/>
  <c r="F71" i="7" s="1"/>
  <c r="F70" i="7" s="1"/>
  <c r="F69" i="7" s="1"/>
  <c r="F68" i="7" s="1"/>
  <c r="F67" i="7" s="1"/>
  <c r="F66" i="7" s="1"/>
  <c r="F65" i="7" s="1"/>
  <c r="F64" i="7" s="1"/>
  <c r="F63" i="7" s="1"/>
  <c r="F62" i="7" s="1"/>
  <c r="F61" i="7" s="1"/>
  <c r="F60" i="7" s="1"/>
  <c r="F59" i="7" s="1"/>
  <c r="F58" i="7" s="1"/>
  <c r="F57" i="7" s="1"/>
  <c r="F56" i="7" s="1"/>
  <c r="F55" i="7" s="1"/>
  <c r="F54" i="7" s="1"/>
  <c r="F53" i="7" s="1"/>
  <c r="F52" i="7" s="1"/>
  <c r="F51" i="7" s="1"/>
  <c r="F50" i="7" s="1"/>
  <c r="F49" i="7" s="1"/>
  <c r="F48" i="7" s="1"/>
  <c r="F47" i="7" s="1"/>
  <c r="F46" i="7" s="1"/>
  <c r="F45" i="7" s="1"/>
  <c r="F44" i="7" s="1"/>
  <c r="F43" i="7" s="1"/>
  <c r="F42" i="7" s="1"/>
  <c r="F41" i="7" s="1"/>
  <c r="F40" i="7" s="1"/>
  <c r="F39" i="7" s="1"/>
  <c r="F38" i="7" s="1"/>
  <c r="F37" i="7" s="1"/>
  <c r="F36" i="7" s="1"/>
  <c r="F35" i="7" s="1"/>
  <c r="F34" i="7" s="1"/>
  <c r="F33" i="7" s="1"/>
  <c r="F32" i="7" s="1"/>
  <c r="F31" i="7" s="1"/>
  <c r="F30" i="7" s="1"/>
  <c r="F29" i="7" s="1"/>
  <c r="F28" i="7" s="1"/>
  <c r="F27" i="7" s="1"/>
  <c r="F26" i="7" s="1"/>
  <c r="F25" i="7" s="1"/>
  <c r="F24" i="7" s="1"/>
  <c r="F23" i="7" s="1"/>
  <c r="F22" i="7" s="1"/>
  <c r="F21" i="7" s="1"/>
  <c r="F20" i="7" s="1"/>
  <c r="F19" i="7" s="1"/>
  <c r="F18" i="7" s="1"/>
  <c r="F17" i="7" s="1"/>
  <c r="F16" i="7" s="1"/>
  <c r="F15" i="7" s="1"/>
  <c r="F14" i="7" s="1"/>
  <c r="F13" i="7" s="1"/>
  <c r="F12" i="7" s="1"/>
  <c r="F11" i="7" s="1"/>
  <c r="F10" i="7" s="1"/>
  <c r="F9" i="7" s="1"/>
  <c r="F8" i="7" s="1"/>
  <c r="E1074" i="5"/>
  <c r="F1074" i="5"/>
  <c r="G1074" i="5"/>
  <c r="K1074" i="5" s="1"/>
  <c r="D1075" i="5"/>
  <c r="J1075" i="5"/>
  <c r="C1076" i="5"/>
  <c r="H1077" i="5"/>
  <c r="B1078" i="5"/>
  <c r="I1077" i="5"/>
  <c r="F1066" i="28"/>
  <c r="T1066" i="28"/>
  <c r="S1066" i="28"/>
  <c r="S5" i="28" s="1"/>
  <c r="G1065" i="13"/>
  <c r="G1063" i="27"/>
  <c r="H1063" i="27" s="1"/>
  <c r="J1063" i="27" s="1"/>
  <c r="L1063" i="27" s="1"/>
  <c r="F1062" i="27"/>
  <c r="G1066" i="13"/>
  <c r="T1066" i="13"/>
  <c r="U1066" i="13" s="1"/>
  <c r="S1066" i="13"/>
  <c r="AF1066" i="13"/>
  <c r="AG1066" i="13"/>
  <c r="AH1066" i="13" s="1"/>
  <c r="F1064" i="13" l="1"/>
  <c r="H1065" i="13"/>
  <c r="I1065" i="13" s="1"/>
  <c r="C11" i="7"/>
  <c r="AF1066" i="7"/>
  <c r="B1079" i="5"/>
  <c r="C1077" i="5"/>
  <c r="H1078" i="5"/>
  <c r="I1078" i="5"/>
  <c r="G1075" i="5"/>
  <c r="K1075" i="5" s="1"/>
  <c r="E1075" i="5"/>
  <c r="F1075" i="5"/>
  <c r="D1076" i="5"/>
  <c r="J1076" i="5"/>
  <c r="F1065" i="28"/>
  <c r="G1066" i="28"/>
  <c r="H1066" i="28" s="1"/>
  <c r="G1062" i="27"/>
  <c r="H1062" i="27" s="1"/>
  <c r="J1062" i="27" s="1"/>
  <c r="L1062" i="27" s="1"/>
  <c r="F1061" i="27"/>
  <c r="I1066" i="13"/>
  <c r="J1065" i="13" l="1"/>
  <c r="F1063" i="13"/>
  <c r="H1064" i="13"/>
  <c r="G1064" i="13"/>
  <c r="G1066" i="7"/>
  <c r="G1076" i="5"/>
  <c r="K1076" i="5" s="1"/>
  <c r="F1076" i="5"/>
  <c r="E1076" i="5"/>
  <c r="D1077" i="5"/>
  <c r="J1077" i="5"/>
  <c r="C1078" i="5"/>
  <c r="I1079" i="5"/>
  <c r="H1079" i="5"/>
  <c r="B1080" i="5"/>
  <c r="G1065" i="28"/>
  <c r="H1065" i="28" s="1"/>
  <c r="F1064" i="28"/>
  <c r="G1061" i="27"/>
  <c r="H1061" i="27" s="1"/>
  <c r="J1061" i="27" s="1"/>
  <c r="L1061" i="27" s="1"/>
  <c r="F1060" i="27"/>
  <c r="J1064" i="13" l="1"/>
  <c r="I1064" i="13"/>
  <c r="F1062" i="13"/>
  <c r="H1063" i="13"/>
  <c r="G1063" i="13"/>
  <c r="G1065" i="7"/>
  <c r="I1066" i="7"/>
  <c r="AG1066" i="7" s="1"/>
  <c r="H1066" i="7"/>
  <c r="AI1066" i="7" s="1"/>
  <c r="G1077" i="5"/>
  <c r="K1077" i="5" s="1"/>
  <c r="F1077" i="5"/>
  <c r="E1077" i="5"/>
  <c r="D1078" i="5"/>
  <c r="J1078" i="5"/>
  <c r="C1079" i="5"/>
  <c r="H1080" i="5"/>
  <c r="B1081" i="5"/>
  <c r="I1080" i="5"/>
  <c r="G1064" i="28"/>
  <c r="H1064" i="28" s="1"/>
  <c r="F1063" i="28"/>
  <c r="G1060" i="27"/>
  <c r="H1060" i="27" s="1"/>
  <c r="J1060" i="27" s="1"/>
  <c r="L1060" i="27" s="1"/>
  <c r="F1059" i="27"/>
  <c r="J1063" i="13" l="1"/>
  <c r="I1063" i="13"/>
  <c r="F1061" i="13"/>
  <c r="H1062" i="13"/>
  <c r="G1062" i="13"/>
  <c r="AU1005" i="7"/>
  <c r="AU911" i="7"/>
  <c r="AU816" i="7"/>
  <c r="AU661" i="7"/>
  <c r="AU940" i="7"/>
  <c r="AU440" i="7"/>
  <c r="AU488" i="7"/>
  <c r="AU956" i="7"/>
  <c r="AU665" i="7"/>
  <c r="AU496" i="7"/>
  <c r="AU871" i="7"/>
  <c r="AU980" i="7"/>
  <c r="AU504" i="7"/>
  <c r="AU664" i="7"/>
  <c r="AU987" i="7"/>
  <c r="AU745" i="7"/>
  <c r="AU442" i="7"/>
  <c r="AU726" i="7"/>
  <c r="AU1051" i="7"/>
  <c r="AU681" i="7"/>
  <c r="AU614" i="7"/>
  <c r="AU757" i="7"/>
  <c r="AU769" i="7"/>
  <c r="AU1043" i="7"/>
  <c r="AU997" i="7"/>
  <c r="AU584" i="7"/>
  <c r="AU577" i="7"/>
  <c r="AU658" i="7"/>
  <c r="AU945" i="7"/>
  <c r="AU1018" i="7"/>
  <c r="AU844" i="7"/>
  <c r="AU438" i="7"/>
  <c r="AU931" i="7"/>
  <c r="AU519" i="7"/>
  <c r="AU753" i="7"/>
  <c r="AU585" i="7"/>
  <c r="AU730" i="7"/>
  <c r="AU977" i="7"/>
  <c r="AU893" i="7"/>
  <c r="AU557" i="7"/>
  <c r="AU938" i="7"/>
  <c r="AU629" i="7"/>
  <c r="AU949" i="7"/>
  <c r="AU807" i="7"/>
  <c r="AU829" i="7"/>
  <c r="AU874" i="7"/>
  <c r="AU560" i="7"/>
  <c r="AU608" i="7"/>
  <c r="AU803" i="7"/>
  <c r="AU487" i="7"/>
  <c r="AU982" i="7"/>
  <c r="AU702" i="7"/>
  <c r="AU834" i="7"/>
  <c r="AU627" i="7"/>
  <c r="AU887" i="7"/>
  <c r="AU679" i="7"/>
  <c r="AU513" i="7"/>
  <c r="AU894" i="7"/>
  <c r="AU594" i="7"/>
  <c r="AU544" i="7"/>
  <c r="AU510" i="7"/>
  <c r="AU468" i="7"/>
  <c r="AU582" i="7"/>
  <c r="AU823" i="7"/>
  <c r="AU663" i="7"/>
  <c r="AU497" i="7"/>
  <c r="AU611" i="7"/>
  <c r="AU623" i="7"/>
  <c r="AU1032" i="7"/>
  <c r="AU518" i="7"/>
  <c r="AU1024" i="7"/>
  <c r="AU599" i="7"/>
  <c r="AU847" i="7"/>
  <c r="AU675" i="7"/>
  <c r="AU855" i="7"/>
  <c r="AU1047" i="7"/>
  <c r="AU825" i="7"/>
  <c r="AU427" i="7"/>
  <c r="AU843" i="7"/>
  <c r="AU748" i="7"/>
  <c r="AU772" i="7"/>
  <c r="AU521" i="7"/>
  <c r="AU576" i="7"/>
  <c r="AU619" i="7"/>
  <c r="AU1007" i="7"/>
  <c r="AU671" i="7"/>
  <c r="AU791" i="7"/>
  <c r="AU839" i="7"/>
  <c r="AU924" i="7"/>
  <c r="AU1040" i="7"/>
  <c r="AU615" i="7"/>
  <c r="AU429" i="7"/>
  <c r="AU830" i="7"/>
  <c r="AU530" i="7"/>
  <c r="AU706" i="7"/>
  <c r="AU574" i="7"/>
  <c r="AU976" i="7"/>
  <c r="AU551" i="7"/>
  <c r="AU1046" i="7"/>
  <c r="AU766" i="7"/>
  <c r="AU466" i="7"/>
  <c r="AU770" i="7"/>
  <c r="AU638" i="7"/>
  <c r="AU1045" i="7"/>
  <c r="AU700" i="7"/>
  <c r="AU625" i="7"/>
  <c r="AU426" i="7"/>
  <c r="AU710" i="7"/>
  <c r="AU436" i="7"/>
  <c r="AU1041" i="7"/>
  <c r="AU957" i="7"/>
  <c r="AU621" i="7"/>
  <c r="AU532" i="7"/>
  <c r="AU565" i="7"/>
  <c r="AU885" i="7"/>
  <c r="AU897" i="7"/>
  <c r="AU578" i="7"/>
  <c r="AU643" i="7"/>
  <c r="AU655" i="7"/>
  <c r="AU1064" i="7"/>
  <c r="AU640" i="7"/>
  <c r="AU601" i="7"/>
  <c r="AU613" i="7"/>
  <c r="AU933" i="7"/>
  <c r="AU993" i="7"/>
  <c r="AU819" i="7"/>
  <c r="AU659" i="7"/>
  <c r="AU534" i="7"/>
  <c r="AU785" i="7"/>
  <c r="AU617" i="7"/>
  <c r="AU651" i="7"/>
  <c r="AU808" i="7"/>
  <c r="AU820" i="7"/>
  <c r="AU936" i="7"/>
  <c r="AU777" i="7"/>
  <c r="AU526" i="7"/>
  <c r="AU538" i="7"/>
  <c r="AU822" i="7"/>
  <c r="AU787" i="7"/>
  <c r="AU1001" i="7"/>
  <c r="AU824" i="7"/>
  <c r="AU609" i="7"/>
  <c r="AU672" i="7"/>
  <c r="AU542" i="7"/>
  <c r="AU545" i="7"/>
  <c r="AU725" i="7"/>
  <c r="AU737" i="7"/>
  <c r="AU1034" i="7"/>
  <c r="AU860" i="7"/>
  <c r="AU451" i="7"/>
  <c r="AU463" i="7"/>
  <c r="AU715" i="7"/>
  <c r="AU858" i="7"/>
  <c r="AU815" i="7"/>
  <c r="AU741" i="7"/>
  <c r="AU1014" i="7"/>
  <c r="AU930" i="7"/>
  <c r="AU467" i="7"/>
  <c r="AU943" i="7"/>
  <c r="AU879" i="7"/>
  <c r="AU652" i="7"/>
  <c r="AU978" i="7"/>
  <c r="AU650" i="7"/>
  <c r="AU934" i="7"/>
  <c r="AU946" i="7"/>
  <c r="AU548" i="7"/>
  <c r="AU437" i="7"/>
  <c r="AU412" i="7"/>
  <c r="AU952" i="7"/>
  <c r="AU572" i="7"/>
  <c r="AU654" i="7"/>
  <c r="AU666" i="7"/>
  <c r="AU950" i="7"/>
  <c r="AU1062" i="7"/>
  <c r="AU782" i="7"/>
  <c r="AU482" i="7"/>
  <c r="AU988" i="7"/>
  <c r="AU693" i="7"/>
  <c r="AU705" i="7"/>
  <c r="AU493" i="7"/>
  <c r="AU998" i="7"/>
  <c r="AU718" i="7"/>
  <c r="AU418" i="7"/>
  <c r="AU851" i="7"/>
  <c r="AU708" i="7"/>
  <c r="AU995" i="7"/>
  <c r="AU1049" i="7"/>
  <c r="AU717" i="7"/>
  <c r="AU1042" i="7"/>
  <c r="AU762" i="7"/>
  <c r="AU536" i="7"/>
  <c r="AU1054" i="7"/>
  <c r="AU645" i="7"/>
  <c r="AU909" i="7"/>
  <c r="AU573" i="7"/>
  <c r="AU954" i="7"/>
  <c r="AU832" i="7"/>
  <c r="AU1011" i="7"/>
  <c r="AU1033" i="7"/>
  <c r="AU856" i="7"/>
  <c r="AU1035" i="7"/>
  <c r="AU697" i="7"/>
  <c r="AU630" i="7"/>
  <c r="AU965" i="7"/>
  <c r="AU456" i="7"/>
  <c r="AU900" i="7"/>
  <c r="AU751" i="7"/>
  <c r="AU975" i="7"/>
  <c r="AU508" i="7"/>
  <c r="AU566" i="7"/>
  <c r="AU759" i="7"/>
  <c r="AU647" i="7"/>
  <c r="AU453" i="7"/>
  <c r="AU476" i="7"/>
  <c r="AU425" i="7"/>
  <c r="AU449" i="7"/>
  <c r="AU800" i="7"/>
  <c r="AU999" i="7"/>
  <c r="AU873" i="7"/>
  <c r="AU475" i="7"/>
  <c r="AU633" i="7"/>
  <c r="AU570" i="7"/>
  <c r="AU854" i="7"/>
  <c r="AU588" i="7"/>
  <c r="AU962" i="7"/>
  <c r="AU698" i="7"/>
  <c r="AU667" i="7"/>
  <c r="AU409" i="7"/>
  <c r="AU445" i="7"/>
  <c r="AU773" i="7"/>
  <c r="AU470" i="7"/>
  <c r="AU735" i="7"/>
  <c r="AU524" i="7"/>
  <c r="AU875" i="7"/>
  <c r="AU682" i="7"/>
  <c r="AU554" i="7"/>
  <c r="AU838" i="7"/>
  <c r="AU850" i="7"/>
  <c r="AU660" i="7"/>
  <c r="AU912" i="7"/>
  <c r="AU1021" i="7"/>
  <c r="AU448" i="7"/>
  <c r="AU618" i="7"/>
  <c r="AU902" i="7"/>
  <c r="AU914" i="7"/>
  <c r="AU862" i="7"/>
  <c r="AU562" i="7"/>
  <c r="AU743" i="7"/>
  <c r="AU813" i="7"/>
  <c r="AU457" i="7"/>
  <c r="AU727" i="7"/>
  <c r="AU792" i="7"/>
  <c r="AU691" i="7"/>
  <c r="AU423" i="7"/>
  <c r="AU827" i="7"/>
  <c r="AU528" i="7"/>
  <c r="AU669" i="7"/>
  <c r="AU898" i="7"/>
  <c r="AU435" i="7"/>
  <c r="AU1036" i="7"/>
  <c r="AU928" i="7"/>
  <c r="AU1037" i="7"/>
  <c r="AU512" i="7"/>
  <c r="AU603" i="7"/>
  <c r="AU505" i="7"/>
  <c r="AU517" i="7"/>
  <c r="AU837" i="7"/>
  <c r="AU864" i="7"/>
  <c r="AU1066" i="7"/>
  <c r="AU937" i="7"/>
  <c r="AU539" i="7"/>
  <c r="AU569" i="7"/>
  <c r="AU581" i="7"/>
  <c r="AU901" i="7"/>
  <c r="AU1020" i="7"/>
  <c r="AU765" i="7"/>
  <c r="AU895" i="7"/>
  <c r="AU810" i="7"/>
  <c r="AU689" i="7"/>
  <c r="AU446" i="7"/>
  <c r="AU971" i="7"/>
  <c r="AU761" i="7"/>
  <c r="AU1029" i="7"/>
  <c r="AU684" i="7"/>
  <c r="AU836" i="7"/>
  <c r="AU1006" i="7"/>
  <c r="AU841" i="7"/>
  <c r="AU586" i="7"/>
  <c r="AU870" i="7"/>
  <c r="AU882" i="7"/>
  <c r="AU707" i="7"/>
  <c r="AU439" i="7"/>
  <c r="AU872" i="7"/>
  <c r="AU884" i="7"/>
  <c r="AU1019" i="7"/>
  <c r="AU713" i="7"/>
  <c r="AU590" i="7"/>
  <c r="AU602" i="7"/>
  <c r="AU886" i="7"/>
  <c r="AU687" i="7"/>
  <c r="AU1065" i="7"/>
  <c r="AU888" i="7"/>
  <c r="AU511" i="7"/>
  <c r="AU835" i="7"/>
  <c r="AU883" i="7"/>
  <c r="AU814" i="7"/>
  <c r="AU514" i="7"/>
  <c r="AU465" i="7"/>
  <c r="AU789" i="7"/>
  <c r="AU801" i="7"/>
  <c r="AU970" i="7"/>
  <c r="AU796" i="7"/>
  <c r="AU515" i="7"/>
  <c r="AU527" i="7"/>
  <c r="AU899" i="7"/>
  <c r="AU794" i="7"/>
  <c r="AU441" i="7"/>
  <c r="AU473" i="7"/>
  <c r="AU485" i="7"/>
  <c r="AU805" i="7"/>
  <c r="AU674" i="7"/>
  <c r="AU1027" i="7"/>
  <c r="AU1017" i="7"/>
  <c r="AU925" i="7"/>
  <c r="AU589" i="7"/>
  <c r="AU677" i="7"/>
  <c r="AU690" i="7"/>
  <c r="AU1056" i="7"/>
  <c r="AU631" i="7"/>
  <c r="AU680" i="7"/>
  <c r="AU692" i="7"/>
  <c r="AU963" i="7"/>
  <c r="AU905" i="7"/>
  <c r="AU410" i="7"/>
  <c r="AU694" i="7"/>
  <c r="AU1044" i="7"/>
  <c r="AU696" i="7"/>
  <c r="AU406" i="7"/>
  <c r="AU421" i="7"/>
  <c r="AU913" i="7"/>
  <c r="AU414" i="7"/>
  <c r="AU688" i="7"/>
  <c r="AU639" i="7"/>
  <c r="AU1048" i="7"/>
  <c r="AU1060" i="7"/>
  <c r="AU686" i="7"/>
  <c r="AU597" i="7"/>
  <c r="AU917" i="7"/>
  <c r="AU929" i="7"/>
  <c r="AU1013" i="7"/>
  <c r="AU953" i="7"/>
  <c r="AU555" i="7"/>
  <c r="AU1050" i="7"/>
  <c r="AU876" i="7"/>
  <c r="AU552" i="7"/>
  <c r="AU1059" i="7"/>
  <c r="AU985" i="7"/>
  <c r="AU983" i="7"/>
  <c r="AU889" i="7"/>
  <c r="AU491" i="7"/>
  <c r="AU986" i="7"/>
  <c r="AU812" i="7"/>
  <c r="AU628" i="7"/>
  <c r="AU563" i="7"/>
  <c r="AU454" i="7"/>
  <c r="AU960" i="7"/>
  <c r="AU535" i="7"/>
  <c r="AU1030" i="7"/>
  <c r="AU568" i="7"/>
  <c r="AU916" i="7"/>
  <c r="AU767" i="7"/>
  <c r="AU646" i="7"/>
  <c r="AU981" i="7"/>
  <c r="AU520" i="7"/>
  <c r="AU561" i="7"/>
  <c r="AU547" i="7"/>
  <c r="AU559" i="7"/>
  <c r="AU968" i="7"/>
  <c r="AU734" i="7"/>
  <c r="AU434" i="7"/>
  <c r="AU915" i="7"/>
  <c r="AU685" i="7"/>
  <c r="AU994" i="7"/>
  <c r="AU1012" i="7"/>
  <c r="AU632" i="7"/>
  <c r="AU656" i="7"/>
  <c r="AU719" i="7"/>
  <c r="AU460" i="7"/>
  <c r="AU811" i="7"/>
  <c r="AU775" i="7"/>
  <c r="AU728" i="7"/>
  <c r="AU529" i="7"/>
  <c r="AU910" i="7"/>
  <c r="AU610" i="7"/>
  <c r="AU932" i="7"/>
  <c r="AU417" i="7"/>
  <c r="AU904" i="7"/>
  <c r="AU405" i="7"/>
  <c r="AU833" i="7"/>
  <c r="AU979" i="7"/>
  <c r="AU739" i="7"/>
  <c r="AU471" i="7"/>
  <c r="AU966" i="7"/>
  <c r="AU712" i="7"/>
  <c r="AU724" i="7"/>
  <c r="AU1053" i="7"/>
  <c r="AU1058" i="7"/>
  <c r="AU951" i="7"/>
  <c r="AU780" i="7"/>
  <c r="AU723" i="7"/>
  <c r="AU455" i="7"/>
  <c r="AU817" i="7"/>
  <c r="AU649" i="7"/>
  <c r="AU1061" i="7"/>
  <c r="AU716" i="7"/>
  <c r="AU641" i="7"/>
  <c r="AU612" i="7"/>
  <c r="AU881" i="7"/>
  <c r="AU635" i="7"/>
  <c r="AU991" i="7"/>
  <c r="AU444" i="7"/>
  <c r="AU550" i="7"/>
  <c r="AU558" i="7"/>
  <c r="AU495" i="7"/>
  <c r="AU771" i="7"/>
  <c r="AU736" i="7"/>
  <c r="AU1063" i="7"/>
  <c r="AU809" i="7"/>
  <c r="AU411" i="7"/>
  <c r="AU624" i="7"/>
  <c r="AU657" i="7"/>
  <c r="AU673" i="7"/>
  <c r="AU407" i="7"/>
  <c r="AU763" i="7"/>
  <c r="AU776" i="7"/>
  <c r="AU788" i="7"/>
  <c r="AU935" i="7"/>
  <c r="AU593" i="7"/>
  <c r="AU420" i="7"/>
  <c r="AU1009" i="7"/>
  <c r="AU840" i="7"/>
  <c r="AU852" i="7"/>
  <c r="AU1010" i="7"/>
  <c r="AU1039" i="7"/>
  <c r="AU908" i="7"/>
  <c r="AU502" i="7"/>
  <c r="AU1008" i="7"/>
  <c r="AU583" i="7"/>
  <c r="AU969" i="7"/>
  <c r="AU709" i="7"/>
  <c r="AU798" i="7"/>
  <c r="AU498" i="7"/>
  <c r="AU1004" i="7"/>
  <c r="AU749" i="7"/>
  <c r="AU831" i="7"/>
  <c r="AU939" i="7"/>
  <c r="AU849" i="7"/>
  <c r="AU752" i="7"/>
  <c r="AU575" i="7"/>
  <c r="AU984" i="7"/>
  <c r="AU996" i="7"/>
  <c r="AU750" i="7"/>
  <c r="AU450" i="7"/>
  <c r="AU533" i="7"/>
  <c r="AU853" i="7"/>
  <c r="AU865" i="7"/>
  <c r="AU779" i="7"/>
  <c r="AU732" i="7"/>
  <c r="AU579" i="7"/>
  <c r="AU591" i="7"/>
  <c r="AU1000" i="7"/>
  <c r="AU738" i="7"/>
  <c r="AU606" i="7"/>
  <c r="AU587" i="7"/>
  <c r="AU740" i="7"/>
  <c r="AU959" i="7"/>
  <c r="AU795" i="7"/>
  <c r="AU861" i="7"/>
  <c r="AU525" i="7"/>
  <c r="AU458" i="7"/>
  <c r="AU742" i="7"/>
  <c r="AU754" i="7"/>
  <c r="AU992" i="7"/>
  <c r="AU567" i="7"/>
  <c r="AU744" i="7"/>
  <c r="AU756" i="7"/>
  <c r="AU1031" i="7"/>
  <c r="AU500" i="7"/>
  <c r="AU531" i="7"/>
  <c r="AU662" i="7"/>
  <c r="AU604" i="7"/>
  <c r="AU489" i="7"/>
  <c r="AU747" i="7"/>
  <c r="AU516" i="7"/>
  <c r="AU564" i="7"/>
  <c r="AU942" i="7"/>
  <c r="AU642" i="7"/>
  <c r="AU620" i="7"/>
  <c r="AU668" i="7"/>
  <c r="AU1023" i="7"/>
  <c r="AU580" i="7"/>
  <c r="AU922" i="7"/>
  <c r="AU1022" i="7"/>
  <c r="AU676" i="7"/>
  <c r="AU783" i="7"/>
  <c r="AU866" i="7"/>
  <c r="AU459" i="7"/>
  <c r="AU868" i="7"/>
  <c r="AU1038" i="7"/>
  <c r="AU484" i="7"/>
  <c r="AU1025" i="7"/>
  <c r="AU941" i="7"/>
  <c r="AU605" i="7"/>
  <c r="AU499" i="7"/>
  <c r="AU926" i="7"/>
  <c r="AU626" i="7"/>
  <c r="AU961" i="7"/>
  <c r="AU877" i="7"/>
  <c r="AU541" i="7"/>
  <c r="AU494" i="7"/>
  <c r="AU506" i="7"/>
  <c r="AU790" i="7"/>
  <c r="AU848" i="7"/>
  <c r="AU927" i="7"/>
  <c r="AU921" i="7"/>
  <c r="AU1028" i="7"/>
  <c r="AU955" i="7"/>
  <c r="AU701" i="7"/>
  <c r="AU1026" i="7"/>
  <c r="AU746" i="7"/>
  <c r="AU490" i="7"/>
  <c r="AU774" i="7"/>
  <c r="AU786" i="7"/>
  <c r="AU503" i="7"/>
  <c r="AU507" i="7"/>
  <c r="AU1002" i="7"/>
  <c r="AU828" i="7"/>
  <c r="AU422" i="7"/>
  <c r="AU452" i="7"/>
  <c r="AU443" i="7"/>
  <c r="AU907" i="7"/>
  <c r="AU764" i="7"/>
  <c r="AU419" i="7"/>
  <c r="AU431" i="7"/>
  <c r="AU683" i="7"/>
  <c r="AU714" i="7"/>
  <c r="AU863" i="7"/>
  <c r="AU636" i="7"/>
  <c r="AU607" i="7"/>
  <c r="AU1016" i="7"/>
  <c r="AU923" i="7"/>
  <c r="AU906" i="7"/>
  <c r="AU784" i="7"/>
  <c r="AU1015" i="7"/>
  <c r="AU857" i="7"/>
  <c r="AU415" i="7"/>
  <c r="AU644" i="7"/>
  <c r="AU678" i="7"/>
  <c r="AU648" i="7"/>
  <c r="AU845" i="7"/>
  <c r="AU509" i="7"/>
  <c r="AU890" i="7"/>
  <c r="AU768" i="7"/>
  <c r="AU859" i="7"/>
  <c r="AU433" i="7"/>
  <c r="AU920" i="7"/>
  <c r="AU781" i="7"/>
  <c r="AU944" i="7"/>
  <c r="AU826" i="7"/>
  <c r="AU704" i="7"/>
  <c r="AU990" i="7"/>
  <c r="AU556" i="7"/>
  <c r="AU891" i="7"/>
  <c r="AU592" i="7"/>
  <c r="AU703" i="7"/>
  <c r="AU501" i="7"/>
  <c r="AU821" i="7"/>
  <c r="AU722" i="7"/>
  <c r="AU461" i="7"/>
  <c r="AU846" i="7"/>
  <c r="AU546" i="7"/>
  <c r="AU1052" i="7"/>
  <c r="AU492" i="7"/>
  <c r="AU469" i="7"/>
  <c r="AU540" i="7"/>
  <c r="AU967" i="7"/>
  <c r="AU653" i="7"/>
  <c r="AU464" i="7"/>
  <c r="AU842" i="7"/>
  <c r="AU720" i="7"/>
  <c r="AU799" i="7"/>
  <c r="AU793" i="7"/>
  <c r="AU479" i="7"/>
  <c r="AU731" i="7"/>
  <c r="AU755" i="7"/>
  <c r="AU778" i="7"/>
  <c r="AU600" i="7"/>
  <c r="AU1003" i="7"/>
  <c r="AU729" i="7"/>
  <c r="AU543" i="7"/>
  <c r="AU947" i="7"/>
  <c r="AU964" i="7"/>
  <c r="AU637" i="7"/>
  <c r="AU596" i="7"/>
  <c r="AU896" i="7"/>
  <c r="AU483" i="7"/>
  <c r="AU616" i="7"/>
  <c r="AU989" i="7"/>
  <c r="AU571" i="7"/>
  <c r="AU1055" i="7"/>
  <c r="AU892" i="7"/>
  <c r="AU486" i="7"/>
  <c r="AU622" i="7"/>
  <c r="AU634" i="7"/>
  <c r="AU918" i="7"/>
  <c r="AU958" i="7"/>
  <c r="AU428" i="7"/>
  <c r="AU481" i="7"/>
  <c r="AU802" i="7"/>
  <c r="AU670" i="7"/>
  <c r="AU523" i="7"/>
  <c r="AU804" i="7"/>
  <c r="AU974" i="7"/>
  <c r="AU797" i="7"/>
  <c r="AU413" i="7"/>
  <c r="AU522" i="7"/>
  <c r="AU806" i="7"/>
  <c r="AU818" i="7"/>
  <c r="AU867" i="7"/>
  <c r="AU537" i="7"/>
  <c r="AU549" i="7"/>
  <c r="AU869" i="7"/>
  <c r="AU1057" i="7"/>
  <c r="AU695" i="7"/>
  <c r="AU595" i="7"/>
  <c r="AU598" i="7"/>
  <c r="AU721" i="7"/>
  <c r="AU553" i="7"/>
  <c r="AU880" i="7"/>
  <c r="AU973" i="7"/>
  <c r="AU447" i="7"/>
  <c r="AU699" i="7"/>
  <c r="AU711" i="7"/>
  <c r="AU878" i="7"/>
  <c r="AU462" i="7"/>
  <c r="AU474" i="7"/>
  <c r="AU758" i="7"/>
  <c r="AU972" i="7"/>
  <c r="AU903" i="7"/>
  <c r="AU760" i="7"/>
  <c r="AU416" i="7"/>
  <c r="AU478" i="7"/>
  <c r="AU472" i="7"/>
  <c r="AU424" i="7"/>
  <c r="AU919" i="7"/>
  <c r="AU948" i="7"/>
  <c r="AU733" i="7"/>
  <c r="AP867" i="7"/>
  <c r="AP858" i="7"/>
  <c r="AP525" i="7"/>
  <c r="AP806" i="7"/>
  <c r="AP496" i="7"/>
  <c r="AP435" i="7"/>
  <c r="AP427" i="7"/>
  <c r="AP917" i="7"/>
  <c r="AP1044" i="7"/>
  <c r="AP1053" i="7"/>
  <c r="AP771" i="7"/>
  <c r="AP613" i="7"/>
  <c r="AP673" i="7"/>
  <c r="AP989" i="7"/>
  <c r="AP1015" i="7"/>
  <c r="AP513" i="7"/>
  <c r="AP1041" i="7"/>
  <c r="AP699" i="7"/>
  <c r="AP640" i="7"/>
  <c r="AP629" i="7"/>
  <c r="AP965" i="7"/>
  <c r="AP540" i="7"/>
  <c r="AP753" i="7"/>
  <c r="AP949" i="7"/>
  <c r="AP764" i="7"/>
  <c r="AP500" i="7"/>
  <c r="AP1028" i="7"/>
  <c r="AP621" i="7"/>
  <c r="AP995" i="7"/>
  <c r="AP1039" i="7"/>
  <c r="AP557" i="7"/>
  <c r="AP1032" i="7"/>
  <c r="AP453" i="7"/>
  <c r="AP933" i="7"/>
  <c r="AP493" i="7"/>
  <c r="AP702" i="7"/>
  <c r="AP659" i="7"/>
  <c r="AP523" i="7"/>
  <c r="AP932" i="7"/>
  <c r="AP974" i="7"/>
  <c r="AP946" i="7"/>
  <c r="AP729" i="7"/>
  <c r="AP644" i="7"/>
  <c r="AP658" i="7"/>
  <c r="AP786" i="7"/>
  <c r="AP619" i="7"/>
  <c r="AP813" i="7"/>
  <c r="AP454" i="7"/>
  <c r="AP580" i="7"/>
  <c r="AP722" i="7"/>
  <c r="AP555" i="7"/>
  <c r="AP726" i="7"/>
  <c r="AP416" i="7"/>
  <c r="AP861" i="7"/>
  <c r="AP832" i="7"/>
  <c r="AP852" i="7"/>
  <c r="AP1051" i="7"/>
  <c r="AP853" i="7"/>
  <c r="AP638" i="7"/>
  <c r="AP646" i="7"/>
  <c r="AP432" i="7"/>
  <c r="AP742" i="7"/>
  <c r="AP588" i="7"/>
  <c r="AP438" i="7"/>
  <c r="AP671" i="7"/>
  <c r="AP1009" i="7"/>
  <c r="AP1052" i="7"/>
  <c r="AP739" i="7"/>
  <c r="AP781" i="7"/>
  <c r="AP630" i="7"/>
  <c r="AP900" i="7"/>
  <c r="AP531" i="7"/>
  <c r="AP651" i="7"/>
  <c r="AP717" i="7"/>
  <c r="AP502" i="7"/>
  <c r="AP731" i="7"/>
  <c r="AP948" i="7"/>
  <c r="AP1042" i="7"/>
  <c r="AP585" i="7"/>
  <c r="AP605" i="7"/>
  <c r="AP951" i="7"/>
  <c r="AP958" i="7"/>
  <c r="AP862" i="7"/>
  <c r="AP594" i="7"/>
  <c r="AP850" i="7"/>
  <c r="AP854" i="7"/>
  <c r="AP544" i="7"/>
  <c r="AP820" i="7"/>
  <c r="AP985" i="7"/>
  <c r="AP836" i="7"/>
  <c r="AP1038" i="7"/>
  <c r="AP796" i="7"/>
  <c r="AP856" i="7"/>
  <c r="AP535" i="7"/>
  <c r="AP841" i="7"/>
  <c r="AP597" i="7"/>
  <c r="AP536" i="7"/>
  <c r="AP783" i="7"/>
  <c r="AP843" i="7"/>
  <c r="AP537" i="7"/>
  <c r="AP660" i="7"/>
  <c r="AP683" i="7"/>
  <c r="AP624" i="7"/>
  <c r="AP563" i="7"/>
  <c r="AP623" i="7"/>
  <c r="AP713" i="7"/>
  <c r="AP890" i="7"/>
  <c r="AP627" i="7"/>
  <c r="AP943" i="7"/>
  <c r="AP982" i="7"/>
  <c r="AP947" i="7"/>
  <c r="AP967" i="7"/>
  <c r="AP542" i="7"/>
  <c r="AP741" i="7"/>
  <c r="AP406" i="7"/>
  <c r="AP407" i="7"/>
  <c r="AP639" i="7"/>
  <c r="AP810" i="7"/>
  <c r="AP458" i="7"/>
  <c r="AP1006" i="7"/>
  <c r="AP829" i="7"/>
  <c r="AP874" i="7"/>
  <c r="AP522" i="7"/>
  <c r="AP1023" i="7"/>
  <c r="AP1047" i="7"/>
  <c r="AP414" i="7"/>
  <c r="AP672" i="7"/>
  <c r="AP571" i="7"/>
  <c r="AP426" i="7"/>
  <c r="AP652" i="7"/>
  <c r="AP1045" i="7"/>
  <c r="AP468" i="7"/>
  <c r="AP645" i="7"/>
  <c r="AP628" i="7"/>
  <c r="AP582" i="7"/>
  <c r="AP516" i="7"/>
  <c r="AP909" i="7"/>
  <c r="AP491" i="7"/>
  <c r="AP464" i="7"/>
  <c r="AP508" i="7"/>
  <c r="AP448" i="7"/>
  <c r="AP758" i="7"/>
  <c r="AP895" i="7"/>
  <c r="AP511" i="7"/>
  <c r="AP682" i="7"/>
  <c r="AP534" i="7"/>
  <c r="AP581" i="7"/>
  <c r="AP436" i="7"/>
  <c r="AP510" i="7"/>
  <c r="AP892" i="7"/>
  <c r="AP595" i="7"/>
  <c r="AP587" i="7"/>
  <c r="AP996" i="7"/>
  <c r="AP1060" i="7"/>
  <c r="AP927" i="7"/>
  <c r="AP517" i="7"/>
  <c r="AP1022" i="7"/>
  <c r="AP429" i="7"/>
  <c r="AP467" i="7"/>
  <c r="AP459" i="7"/>
  <c r="AP868" i="7"/>
  <c r="AP997" i="7"/>
  <c r="AP653" i="7"/>
  <c r="AP460" i="7"/>
  <c r="AP804" i="7"/>
  <c r="AP905" i="7"/>
  <c r="AP992" i="7"/>
  <c r="AP780" i="7"/>
  <c r="AP975" i="7"/>
  <c r="AP961" i="7"/>
  <c r="AP506" i="7"/>
  <c r="AP456" i="7"/>
  <c r="AP767" i="7"/>
  <c r="AP881" i="7"/>
  <c r="AP647" i="7"/>
  <c r="AP794" i="7"/>
  <c r="AP977" i="7"/>
  <c r="AP547" i="7"/>
  <c r="AP655" i="7"/>
  <c r="AP924" i="7"/>
  <c r="AP984" i="7"/>
  <c r="AP423" i="7"/>
  <c r="AP648" i="7"/>
  <c r="AP1034" i="7"/>
  <c r="AP790" i="7"/>
  <c r="AP480" i="7"/>
  <c r="AP797" i="7"/>
  <c r="AP1048" i="7"/>
  <c r="AP768" i="7"/>
  <c r="AP788" i="7"/>
  <c r="AP679" i="7"/>
  <c r="AP1019" i="7"/>
  <c r="AP743" i="7"/>
  <c r="AP873" i="7"/>
  <c r="AP893" i="7"/>
  <c r="AP570" i="7"/>
  <c r="AP1000" i="7"/>
  <c r="AP411" i="7"/>
  <c r="AP514" i="7"/>
  <c r="AP676" i="7"/>
  <c r="AP410" i="7"/>
  <c r="AP809" i="7"/>
  <c r="AP484" i="7"/>
  <c r="AP721" i="7"/>
  <c r="AP487" i="7"/>
  <c r="AP578" i="7"/>
  <c r="AP866" i="7"/>
  <c r="AP474" i="7"/>
  <c r="AP745" i="7"/>
  <c r="AP765" i="7"/>
  <c r="AP625" i="7"/>
  <c r="AP1066" i="7"/>
  <c r="AP1017" i="7"/>
  <c r="AP691" i="7"/>
  <c r="AP482" i="7"/>
  <c r="AP711" i="7"/>
  <c r="AP575" i="7"/>
  <c r="AP746" i="7"/>
  <c r="AP650" i="7"/>
  <c r="AP994" i="7"/>
  <c r="AP1026" i="7"/>
  <c r="AP568" i="7"/>
  <c r="AP815" i="7"/>
  <c r="AP1029" i="7"/>
  <c r="AP1049" i="7"/>
  <c r="AP700" i="7"/>
  <c r="AP564" i="7"/>
  <c r="AP784" i="7"/>
  <c r="AP971" i="7"/>
  <c r="AP911" i="7"/>
  <c r="AP664" i="7"/>
  <c r="AP716" i="7"/>
  <c r="AP872" i="7"/>
  <c r="AP494" i="7"/>
  <c r="AP807" i="7"/>
  <c r="AP686" i="7"/>
  <c r="AP706" i="7"/>
  <c r="AP504" i="7"/>
  <c r="AP751" i="7"/>
  <c r="AP1005" i="7"/>
  <c r="AP883" i="7"/>
  <c r="AP903" i="7"/>
  <c r="AP497" i="7"/>
  <c r="AP1025" i="7"/>
  <c r="AP1058" i="7"/>
  <c r="AP819" i="7"/>
  <c r="AP839" i="7"/>
  <c r="AP495" i="7"/>
  <c r="AP956" i="7"/>
  <c r="AP635" i="7"/>
  <c r="AP440" i="7"/>
  <c r="AP687" i="7"/>
  <c r="AP586" i="7"/>
  <c r="AP1043" i="7"/>
  <c r="AP941" i="7"/>
  <c r="AP828" i="7"/>
  <c r="AP507" i="7"/>
  <c r="AP1027" i="7"/>
  <c r="AP959" i="7"/>
  <c r="AP822" i="7"/>
  <c r="AP512" i="7"/>
  <c r="AP572" i="7"/>
  <c r="AP772" i="7"/>
  <c r="AP865" i="7"/>
  <c r="AP631" i="7"/>
  <c r="AP803" i="7"/>
  <c r="AP725" i="7"/>
  <c r="AP665" i="7"/>
  <c r="AP864" i="7"/>
  <c r="AP908" i="7"/>
  <c r="AP529" i="7"/>
  <c r="AP1065" i="7"/>
  <c r="AP1030" i="7"/>
  <c r="AP589" i="7"/>
  <c r="AP747" i="7"/>
  <c r="AP479" i="7"/>
  <c r="AP452" i="7"/>
  <c r="AP845" i="7"/>
  <c r="AP419" i="7"/>
  <c r="AP859" i="7"/>
  <c r="AP569" i="7"/>
  <c r="AP573" i="7"/>
  <c r="AP791" i="7"/>
  <c r="AP548" i="7"/>
  <c r="AP626" i="7"/>
  <c r="AP818" i="7"/>
  <c r="AP1046" i="7"/>
  <c r="AP857" i="7"/>
  <c r="AP509" i="7"/>
  <c r="AP466" i="7"/>
  <c r="AP727" i="7"/>
  <c r="AP931" i="7"/>
  <c r="AP981" i="7"/>
  <c r="AP734" i="7"/>
  <c r="AP445" i="7"/>
  <c r="AP530" i="7"/>
  <c r="AP914" i="7"/>
  <c r="AP420" i="7"/>
  <c r="AP415" i="7"/>
  <c r="AP912" i="7"/>
  <c r="AP795" i="7"/>
  <c r="AP441" i="7"/>
  <c r="AP884" i="7"/>
  <c r="AP938" i="7"/>
  <c r="AP521" i="7"/>
  <c r="AP541" i="7"/>
  <c r="AP936" i="7"/>
  <c r="AP622" i="7"/>
  <c r="AP450" i="7"/>
  <c r="AP738" i="7"/>
  <c r="AP602" i="7"/>
  <c r="AP960" i="7"/>
  <c r="AP980" i="7"/>
  <c r="AP1014" i="7"/>
  <c r="AP913" i="7"/>
  <c r="AP431" i="7"/>
  <c r="AP925" i="7"/>
  <c r="AP666" i="7"/>
  <c r="AP896" i="7"/>
  <c r="AP916" i="7"/>
  <c r="AP632" i="7"/>
  <c r="AP879" i="7"/>
  <c r="AP1064" i="7"/>
  <c r="AP1011" i="7"/>
  <c r="AP953" i="7"/>
  <c r="AP1056" i="7"/>
  <c r="AP792" i="7"/>
  <c r="AP732" i="7"/>
  <c r="AP446" i="7"/>
  <c r="AP614" i="7"/>
  <c r="AP993" i="7"/>
  <c r="AP944" i="7"/>
  <c r="AP637" i="7"/>
  <c r="AP855" i="7"/>
  <c r="AP612" i="7"/>
  <c r="AP562" i="7"/>
  <c r="AP849" i="7"/>
  <c r="AP615" i="7"/>
  <c r="AP733" i="7"/>
  <c r="AP950" i="7"/>
  <c r="AP704" i="7"/>
  <c r="AP724" i="7"/>
  <c r="AP1033" i="7"/>
  <c r="AP918" i="7"/>
  <c r="AP608" i="7"/>
  <c r="AP1012" i="7"/>
  <c r="AP973" i="7"/>
  <c r="AP649" i="7"/>
  <c r="AP669" i="7"/>
  <c r="AP561" i="7"/>
  <c r="AP986" i="7"/>
  <c r="AP970" i="7"/>
  <c r="AP755" i="7"/>
  <c r="AP418" i="7"/>
  <c r="AP775" i="7"/>
  <c r="AP785" i="7"/>
  <c r="AP551" i="7"/>
  <c r="AP642" i="7"/>
  <c r="AP802" i="7"/>
  <c r="AP538" i="7"/>
  <c r="AP680" i="7"/>
  <c r="AP701" i="7"/>
  <c r="AP433" i="7"/>
  <c r="AP1007" i="7"/>
  <c r="AP999" i="7"/>
  <c r="AP878" i="7"/>
  <c r="AP546" i="7"/>
  <c r="AP898" i="7"/>
  <c r="AP744" i="7"/>
  <c r="AP457" i="7"/>
  <c r="AP477" i="7"/>
  <c r="AP823" i="7"/>
  <c r="AP998" i="7"/>
  <c r="AP413" i="7"/>
  <c r="AP434" i="7"/>
  <c r="AP808" i="7"/>
  <c r="AP1061" i="7"/>
  <c r="AP871" i="7"/>
  <c r="AP750" i="7"/>
  <c r="AP674" i="7"/>
  <c r="AP770" i="7"/>
  <c r="AP442" i="7"/>
  <c r="AP863" i="7"/>
  <c r="AP616" i="7"/>
  <c r="AP556" i="7"/>
  <c r="AP693" i="7"/>
  <c r="AP827" i="7"/>
  <c r="AP505" i="7"/>
  <c r="AP501" i="7"/>
  <c r="AP461" i="7"/>
  <c r="AP870" i="7"/>
  <c r="AP560" i="7"/>
  <c r="AP499" i="7"/>
  <c r="AP559" i="7"/>
  <c r="AP730" i="7"/>
  <c r="AP835" i="7"/>
  <c r="AP617" i="7"/>
  <c r="AP821" i="7"/>
  <c r="AP776" i="7"/>
  <c r="AP1040" i="7"/>
  <c r="AP422" i="7"/>
  <c r="AP596" i="7"/>
  <c r="AP1003" i="7"/>
  <c r="AP408" i="7"/>
  <c r="AP545" i="7"/>
  <c r="AP532" i="7"/>
  <c r="AP489" i="7"/>
  <c r="AP698" i="7"/>
  <c r="AP904" i="7"/>
  <c r="AP558" i="7"/>
  <c r="AP678" i="7"/>
  <c r="AP882" i="7"/>
  <c r="AP696" i="7"/>
  <c r="AP1035" i="7"/>
  <c r="AP891" i="7"/>
  <c r="AP633" i="7"/>
  <c r="AP565" i="7"/>
  <c r="AP966" i="7"/>
  <c r="AP782" i="7"/>
  <c r="AP405" i="7"/>
  <c r="AP842" i="7"/>
  <c r="AP902" i="7"/>
  <c r="AP690" i="7"/>
  <c r="AP824" i="7"/>
  <c r="AP766" i="7"/>
  <c r="AP409" i="7"/>
  <c r="AP990" i="7"/>
  <c r="AP894" i="7"/>
  <c r="AP549" i="7"/>
  <c r="AP609" i="7"/>
  <c r="AP462" i="7"/>
  <c r="AP846" i="7"/>
  <c r="AP668" i="7"/>
  <c r="AP607" i="7"/>
  <c r="AP778" i="7"/>
  <c r="AP838" i="7"/>
  <c r="AP528" i="7"/>
  <c r="AP708" i="7"/>
  <c r="AP675" i="7"/>
  <c r="AP518" i="7"/>
  <c r="AP963" i="7"/>
  <c r="AP799" i="7"/>
  <c r="AP718" i="7"/>
  <c r="AP885" i="7"/>
  <c r="AP1031" i="7"/>
  <c r="AP940" i="7"/>
  <c r="AP834" i="7"/>
  <c r="AP710" i="7"/>
  <c r="AP657" i="7"/>
  <c r="AP1002" i="7"/>
  <c r="AP937" i="7"/>
  <c r="AP636" i="7"/>
  <c r="AP887" i="7"/>
  <c r="AP519" i="7"/>
  <c r="AP1063" i="7"/>
  <c r="AQ1063" i="7" s="1"/>
  <c r="AP604" i="7"/>
  <c r="AP714" i="7"/>
  <c r="AP774" i="7"/>
  <c r="AP681" i="7"/>
  <c r="AP707" i="7"/>
  <c r="AP421" i="7"/>
  <c r="AP801" i="7"/>
  <c r="AP1004" i="7"/>
  <c r="AP978" i="7"/>
  <c r="AP761" i="7"/>
  <c r="AP991" i="7"/>
  <c r="AP584" i="7"/>
  <c r="AP694" i="7"/>
  <c r="AP598" i="7"/>
  <c r="AP715" i="7"/>
  <c r="AP670" i="7"/>
  <c r="AP688" i="7"/>
  <c r="AP983" i="7"/>
  <c r="AP1054" i="7"/>
  <c r="AP987" i="7"/>
  <c r="AP816" i="7"/>
  <c r="AP692" i="7"/>
  <c r="AP919" i="7"/>
  <c r="AP656" i="7"/>
  <c r="AP498" i="7"/>
  <c r="AP695" i="7"/>
  <c r="AP684" i="7"/>
  <c r="AP880" i="7"/>
  <c r="AP915" i="7"/>
  <c r="AP473" i="7"/>
  <c r="AP424" i="7"/>
  <c r="AP922" i="7"/>
  <c r="AP930" i="7"/>
  <c r="AP483" i="7"/>
  <c r="AP527" i="7"/>
  <c r="AP860" i="7"/>
  <c r="AP920" i="7"/>
  <c r="AP590" i="7"/>
  <c r="AP754" i="7"/>
  <c r="AP760" i="7"/>
  <c r="AP1024" i="7"/>
  <c r="AP955" i="7"/>
  <c r="AP752" i="7"/>
  <c r="AP876" i="7"/>
  <c r="AP979" i="7"/>
  <c r="AP469" i="7"/>
  <c r="AP763" i="7"/>
  <c r="AP579" i="7"/>
  <c r="AP736" i="7"/>
  <c r="AP877" i="7"/>
  <c r="AP888" i="7"/>
  <c r="AP526" i="7"/>
  <c r="AP1037" i="7"/>
  <c r="AP1008" i="7"/>
  <c r="AP748" i="7"/>
  <c r="AP875" i="7"/>
  <c r="AP601" i="7"/>
  <c r="AP428" i="7"/>
  <c r="AP488" i="7"/>
  <c r="AP735" i="7"/>
  <c r="AP463" i="7"/>
  <c r="AP826" i="7"/>
  <c r="AP689" i="7"/>
  <c r="AP455" i="7"/>
  <c r="AP515" i="7"/>
  <c r="AP603" i="7"/>
  <c r="AP1013" i="7"/>
  <c r="AP593" i="7"/>
  <c r="AP705" i="7"/>
  <c r="AP470" i="7"/>
  <c r="AP533" i="7"/>
  <c r="AP472" i="7"/>
  <c r="AP719" i="7"/>
  <c r="AP779" i="7"/>
  <c r="AP574" i="7"/>
  <c r="AP762" i="7"/>
  <c r="AP968" i="7"/>
  <c r="AP451" i="7"/>
  <c r="AP942" i="7"/>
  <c r="AP486" i="7"/>
  <c r="AP899" i="7"/>
  <c r="AP677" i="7"/>
  <c r="AP728" i="7"/>
  <c r="AP591" i="7"/>
  <c r="AP503" i="7"/>
  <c r="AP906" i="7"/>
  <c r="AP869" i="7"/>
  <c r="AP618" i="7"/>
  <c r="AP1059" i="7"/>
  <c r="AP576" i="7"/>
  <c r="AP787" i="7"/>
  <c r="AP837" i="7"/>
  <c r="AP577" i="7"/>
  <c r="AP543" i="7"/>
  <c r="AP830" i="7"/>
  <c r="AP757" i="7"/>
  <c r="AP934" i="7"/>
  <c r="AP1062" i="7"/>
  <c r="AP889" i="7"/>
  <c r="AP825" i="7"/>
  <c r="AP988" i="7"/>
  <c r="AP567" i="7"/>
  <c r="AP926" i="7"/>
  <c r="AP475" i="7"/>
  <c r="AP417" i="7"/>
  <c r="AP634" i="7"/>
  <c r="AP831" i="7"/>
  <c r="AP444" i="7"/>
  <c r="AP840" i="7"/>
  <c r="AP923" i="7"/>
  <c r="AP935" i="7"/>
  <c r="AP443" i="7"/>
  <c r="AP554" i="7"/>
  <c r="AP524" i="7"/>
  <c r="AP566" i="7"/>
  <c r="AP740" i="7"/>
  <c r="AP962" i="7"/>
  <c r="AP945" i="7"/>
  <c r="AP550" i="7"/>
  <c r="AP430" i="7"/>
  <c r="AP641" i="7"/>
  <c r="AP478" i="7"/>
  <c r="AP709" i="7"/>
  <c r="AP769" i="7"/>
  <c r="AP425" i="7"/>
  <c r="AP928" i="7"/>
  <c r="AP844" i="7"/>
  <c r="AP465" i="7"/>
  <c r="AP969" i="7"/>
  <c r="AP1057" i="7"/>
  <c r="AP697" i="7"/>
  <c r="AP667" i="7"/>
  <c r="AP939" i="7"/>
  <c r="AP720" i="7"/>
  <c r="AP492" i="7"/>
  <c r="AP552" i="7"/>
  <c r="AP592" i="7"/>
  <c r="AP800" i="7"/>
  <c r="AP1018" i="7"/>
  <c r="AP485" i="7"/>
  <c r="AP954" i="7"/>
  <c r="AP811" i="7"/>
  <c r="AP539" i="7"/>
  <c r="AP1021" i="7"/>
  <c r="AP976" i="7"/>
  <c r="AP620" i="7"/>
  <c r="AP1050" i="7"/>
  <c r="AP851" i="7"/>
  <c r="AP412" i="7"/>
  <c r="AP606" i="7"/>
  <c r="AP773" i="7"/>
  <c r="AP833" i="7"/>
  <c r="AP599" i="7"/>
  <c r="AP685" i="7"/>
  <c r="AP1016" i="7"/>
  <c r="AP439" i="7"/>
  <c r="AP1055" i="7"/>
  <c r="AP921" i="7"/>
  <c r="AP789" i="7"/>
  <c r="AP723" i="7"/>
  <c r="AP972" i="7"/>
  <c r="AP929" i="7"/>
  <c r="AP437" i="7"/>
  <c r="AP703" i="7"/>
  <c r="AP817" i="7"/>
  <c r="AP583" i="7"/>
  <c r="AP643" i="7"/>
  <c r="AP749" i="7"/>
  <c r="AP952" i="7"/>
  <c r="AP654" i="7"/>
  <c r="AP1010" i="7"/>
  <c r="AP793" i="7"/>
  <c r="AP812" i="7"/>
  <c r="AP663" i="7"/>
  <c r="AP777" i="7"/>
  <c r="AP661" i="7"/>
  <c r="AP600" i="7"/>
  <c r="AP847" i="7"/>
  <c r="AP907" i="7"/>
  <c r="AP964" i="7"/>
  <c r="AP737" i="7"/>
  <c r="AP520" i="7"/>
  <c r="AP798" i="7"/>
  <c r="AP814" i="7"/>
  <c r="AP610" i="7"/>
  <c r="AP447" i="7"/>
  <c r="AP662" i="7"/>
  <c r="AP901" i="7"/>
  <c r="AP957" i="7"/>
  <c r="AP449" i="7"/>
  <c r="AP886" i="7"/>
  <c r="AP1001" i="7"/>
  <c r="AP476" i="7"/>
  <c r="AP897" i="7"/>
  <c r="AP848" i="7"/>
  <c r="AP759" i="7"/>
  <c r="AP910" i="7"/>
  <c r="AP712" i="7"/>
  <c r="AP1036" i="7"/>
  <c r="AP481" i="7"/>
  <c r="AP553" i="7"/>
  <c r="AP471" i="7"/>
  <c r="AP1020" i="7"/>
  <c r="AP490" i="7"/>
  <c r="AP805" i="7"/>
  <c r="AP756" i="7"/>
  <c r="AP611" i="7"/>
  <c r="AK935" i="7"/>
  <c r="AK456" i="7"/>
  <c r="AK801" i="7"/>
  <c r="AK491" i="7"/>
  <c r="AK1032" i="7"/>
  <c r="AK715" i="7"/>
  <c r="AK558" i="7"/>
  <c r="AK786" i="7"/>
  <c r="AK1021" i="7"/>
  <c r="AK596" i="7"/>
  <c r="AK969" i="7"/>
  <c r="AK651" i="7"/>
  <c r="AK972" i="7"/>
  <c r="AK843" i="7"/>
  <c r="AK441" i="7"/>
  <c r="AK831" i="7"/>
  <c r="AK1028" i="7"/>
  <c r="AK866" i="7"/>
  <c r="AK613" i="7"/>
  <c r="AK713" i="7"/>
  <c r="AK535" i="7"/>
  <c r="AK929" i="7"/>
  <c r="AK1061" i="7"/>
  <c r="AK974" i="7"/>
  <c r="AK430" i="7"/>
  <c r="AK946" i="7"/>
  <c r="AK941" i="7"/>
  <c r="AK962" i="7"/>
  <c r="AK579" i="7"/>
  <c r="AK606" i="7"/>
  <c r="AK888" i="7"/>
  <c r="AK830" i="7"/>
  <c r="AK687" i="7"/>
  <c r="AK424" i="7"/>
  <c r="AK764" i="7"/>
  <c r="AK661" i="7"/>
  <c r="AK978" i="7"/>
  <c r="AK939" i="7"/>
  <c r="AK810" i="7"/>
  <c r="AK632" i="7"/>
  <c r="AK689" i="7"/>
  <c r="AK977" i="7"/>
  <c r="AK499" i="7"/>
  <c r="AK629" i="7"/>
  <c r="AK880" i="7"/>
  <c r="AK1048" i="7"/>
  <c r="AK811" i="7"/>
  <c r="AK490" i="7"/>
  <c r="AK1006" i="7"/>
  <c r="AK405" i="7"/>
  <c r="AK975" i="7"/>
  <c r="AK721" i="7"/>
  <c r="AK620" i="7"/>
  <c r="AK707" i="7"/>
  <c r="AK531" i="7"/>
  <c r="AK691" i="7"/>
  <c r="AK825" i="7"/>
  <c r="AK496" i="7"/>
  <c r="AK643" i="7"/>
  <c r="AK1038" i="7"/>
  <c r="AK915" i="7"/>
  <c r="AK648" i="7"/>
  <c r="AK465" i="7"/>
  <c r="AK862" i="7"/>
  <c r="AK515" i="7"/>
  <c r="AK542" i="7"/>
  <c r="AK562" i="7"/>
  <c r="AK1002" i="7"/>
  <c r="AK1031" i="7"/>
  <c r="AK695" i="7"/>
  <c r="AK503" i="7"/>
  <c r="AK797" i="7"/>
  <c r="AK506" i="7"/>
  <c r="AK423" i="7"/>
  <c r="AK1043" i="7"/>
  <c r="AK949" i="7"/>
  <c r="AK692" i="7"/>
  <c r="AK415" i="7"/>
  <c r="AK636" i="7"/>
  <c r="AK910" i="7"/>
  <c r="AK547" i="7"/>
  <c r="AK518" i="7"/>
  <c r="AK574" i="7"/>
  <c r="AK675" i="7"/>
  <c r="AK489" i="7"/>
  <c r="AK876" i="7"/>
  <c r="AK875" i="7"/>
  <c r="AK426" i="7"/>
  <c r="AK890" i="7"/>
  <c r="AK696" i="7"/>
  <c r="AK966" i="7"/>
  <c r="AK725" i="7"/>
  <c r="AK600" i="7"/>
  <c r="AK462" i="7"/>
  <c r="AK511" i="7"/>
  <c r="AK889" i="7"/>
  <c r="AK592" i="7"/>
  <c r="AK570" i="7"/>
  <c r="AK487" i="7"/>
  <c r="AK425" i="7"/>
  <c r="AK867" i="7"/>
  <c r="AK911" i="7"/>
  <c r="AK780" i="7"/>
  <c r="AK428" i="7"/>
  <c r="AK858" i="7"/>
  <c r="AK544" i="7"/>
  <c r="AK837" i="7"/>
  <c r="AK571" i="7"/>
  <c r="AK543" i="7"/>
  <c r="AK409" i="7"/>
  <c r="AK663" i="7"/>
  <c r="AK698" i="7"/>
  <c r="AK957" i="7"/>
  <c r="AK455" i="7"/>
  <c r="AK1051" i="7"/>
  <c r="AK950" i="7"/>
  <c r="AK578" i="7"/>
  <c r="AK693" i="7"/>
  <c r="AK577" i="7"/>
  <c r="AK917" i="7"/>
  <c r="AK1055" i="7"/>
  <c r="AK881" i="7"/>
  <c r="AK824" i="7"/>
  <c r="AK768" i="7"/>
  <c r="AK845" i="7"/>
  <c r="AK645" i="7"/>
  <c r="AK686" i="7"/>
  <c r="AK621" i="7"/>
  <c r="AK925" i="7"/>
  <c r="AK640" i="7"/>
  <c r="AK557" i="7"/>
  <c r="AK879" i="7"/>
  <c r="AK716" i="7"/>
  <c r="AK649" i="7"/>
  <c r="AK848" i="7"/>
  <c r="AK1018" i="7"/>
  <c r="AK433" i="7"/>
  <c r="AK822" i="7"/>
  <c r="AK901" i="7"/>
  <c r="AK677" i="7"/>
  <c r="AK602" i="7"/>
  <c r="AK893" i="7"/>
  <c r="AK898" i="7"/>
  <c r="AK857" i="7"/>
  <c r="AK560" i="7"/>
  <c r="AK808" i="7"/>
  <c r="AK420" i="7"/>
  <c r="AK1058" i="7"/>
  <c r="AK907" i="7"/>
  <c r="AK902" i="7"/>
  <c r="AK410" i="7"/>
  <c r="AK1013" i="7"/>
  <c r="AK639" i="7"/>
  <c r="AK985" i="7"/>
  <c r="AK823" i="7"/>
  <c r="AK449" i="7"/>
  <c r="AK784" i="7"/>
  <c r="AK871" i="7"/>
  <c r="AK900" i="7"/>
  <c r="AK662" i="7"/>
  <c r="AK758" i="7"/>
  <c r="AK976" i="7"/>
  <c r="AK750" i="7"/>
  <c r="AK729" i="7"/>
  <c r="AK567" i="7"/>
  <c r="AK641" i="7"/>
  <c r="AK548" i="7"/>
  <c r="AK932" i="7"/>
  <c r="AK844" i="7"/>
  <c r="AK861" i="7"/>
  <c r="AK617" i="7"/>
  <c r="AK501" i="7"/>
  <c r="AK669" i="7"/>
  <c r="AK504" i="7"/>
  <c r="AK872" i="7"/>
  <c r="AK790" i="7"/>
  <c r="AK480" i="7"/>
  <c r="AK765" i="7"/>
  <c r="AK474" i="7"/>
  <c r="AK886" i="7"/>
  <c r="AK493" i="7"/>
  <c r="AK1011" i="7"/>
  <c r="AK897" i="7"/>
  <c r="AK623" i="7"/>
  <c r="AK454" i="7"/>
  <c r="AK638" i="7"/>
  <c r="AK749" i="7"/>
  <c r="AK553" i="7"/>
  <c r="AK953" i="7"/>
  <c r="AK688" i="7"/>
  <c r="AK728" i="7"/>
  <c r="AK517" i="7"/>
  <c r="AK1025" i="7"/>
  <c r="AK787" i="7"/>
  <c r="AK520" i="7"/>
  <c r="AK593" i="7"/>
  <c r="AK884" i="7"/>
  <c r="AK670" i="7"/>
  <c r="AK781" i="7"/>
  <c r="AK738" i="7"/>
  <c r="AK585" i="7"/>
  <c r="AK1027" i="7"/>
  <c r="AK434" i="7"/>
  <c r="AK588" i="7"/>
  <c r="AK948" i="7"/>
  <c r="AK720" i="7"/>
  <c r="AK437" i="7"/>
  <c r="AK654" i="7"/>
  <c r="AK440" i="7"/>
  <c r="AK820" i="7"/>
  <c r="AK785" i="7"/>
  <c r="AK1007" i="7"/>
  <c r="AK466" i="7"/>
  <c r="AK646" i="7"/>
  <c r="AK446" i="7"/>
  <c r="AK744" i="7"/>
  <c r="AK989" i="7"/>
  <c r="AK1003" i="7"/>
  <c r="AK554" i="7"/>
  <c r="AK631" i="7"/>
  <c r="AK469" i="7"/>
  <c r="AK853" i="7"/>
  <c r="AK472" i="7"/>
  <c r="AK601" i="7"/>
  <c r="AK1017" i="7"/>
  <c r="AK413" i="7"/>
  <c r="AK633" i="7"/>
  <c r="AK453" i="7"/>
  <c r="AK961" i="7"/>
  <c r="AK723" i="7"/>
  <c r="AK909" i="7"/>
  <c r="AK674" i="7"/>
  <c r="AK792" i="7"/>
  <c r="AK699" i="7"/>
  <c r="AK650" i="7"/>
  <c r="AK802" i="7"/>
  <c r="AK510" i="7"/>
  <c r="AK840" i="7"/>
  <c r="AK807" i="7"/>
  <c r="AK540" i="7"/>
  <c r="AK529" i="7"/>
  <c r="AK794" i="7"/>
  <c r="AK451" i="7"/>
  <c r="AK478" i="7"/>
  <c r="AK997" i="7"/>
  <c r="AK1054" i="7"/>
  <c r="AK682" i="7"/>
  <c r="AK791" i="7"/>
  <c r="AK597" i="7"/>
  <c r="AK931" i="7"/>
  <c r="AK936" i="7"/>
  <c r="AK943" i="7"/>
  <c r="AK619" i="7"/>
  <c r="AK982" i="7"/>
  <c r="AK904" i="7"/>
  <c r="AK1056" i="7"/>
  <c r="AK734" i="7"/>
  <c r="AK406" i="7"/>
  <c r="AK739" i="7"/>
  <c r="AK854" i="7"/>
  <c r="AK530" i="7"/>
  <c r="AK625" i="7"/>
  <c r="AK913" i="7"/>
  <c r="AK737" i="7"/>
  <c r="AK555" i="7"/>
  <c r="AK921" i="7"/>
  <c r="AK942" i="7"/>
  <c r="AK703" i="7"/>
  <c r="AK885" i="7"/>
  <c r="AK497" i="7"/>
  <c r="AK944" i="7"/>
  <c r="AK418" i="7"/>
  <c r="AK1015" i="7"/>
  <c r="AK612" i="7"/>
  <c r="AK968" i="7"/>
  <c r="AK681" i="7"/>
  <c r="AK476" i="7"/>
  <c r="AK657" i="7"/>
  <c r="AK960" i="7"/>
  <c r="AK779" i="7"/>
  <c r="AK1010" i="7"/>
  <c r="AK773" i="7"/>
  <c r="AK772" i="7"/>
  <c r="AK483" i="7"/>
  <c r="AK667" i="7"/>
  <c r="AK471" i="7"/>
  <c r="AK770" i="7"/>
  <c r="AK549" i="7"/>
  <c r="AK512" i="7"/>
  <c r="AK731" i="7"/>
  <c r="AK1049" i="7"/>
  <c r="AK461" i="7"/>
  <c r="AK516" i="7"/>
  <c r="AK809" i="7"/>
  <c r="AK464" i="7"/>
  <c r="AK918" i="7"/>
  <c r="AK984" i="7"/>
  <c r="AK704" i="7"/>
  <c r="AK751" i="7"/>
  <c r="AK647" i="7"/>
  <c r="AK432" i="7"/>
  <c r="AK523" i="7"/>
  <c r="AK412" i="7"/>
  <c r="AK740" i="7"/>
  <c r="AK870" i="7"/>
  <c r="AK678" i="7"/>
  <c r="AK965" i="7"/>
  <c r="AK859" i="7"/>
  <c r="AK834" i="7"/>
  <c r="AK534" i="7"/>
  <c r="AK1008" i="7"/>
  <c r="AK883" i="7"/>
  <c r="AK616" i="7"/>
  <c r="AK769" i="7"/>
  <c r="AK882" i="7"/>
  <c r="AK527" i="7"/>
  <c r="AK582" i="7"/>
  <c r="AK730" i="7"/>
  <c r="AK414" i="7"/>
  <c r="AK712" i="7"/>
  <c r="AK615" i="7"/>
  <c r="AK684" i="7"/>
  <c r="AK771" i="7"/>
  <c r="AK445" i="7"/>
  <c r="AK595" i="7"/>
  <c r="AK981" i="7"/>
  <c r="AK789" i="7"/>
  <c r="AK536" i="7"/>
  <c r="AK447" i="7"/>
  <c r="AK874" i="7"/>
  <c r="AK457" i="7"/>
  <c r="AK899" i="7"/>
  <c r="AK573" i="7"/>
  <c r="AK460" i="7"/>
  <c r="AK868" i="7"/>
  <c r="AK627" i="7"/>
  <c r="AK565" i="7"/>
  <c r="AK746" i="7"/>
  <c r="AK568" i="7"/>
  <c r="AK1036" i="7"/>
  <c r="AK479" i="7"/>
  <c r="AK700" i="7"/>
  <c r="AK1042" i="7"/>
  <c r="AK940" i="7"/>
  <c r="AK482" i="7"/>
  <c r="AK819" i="7"/>
  <c r="AK552" i="7"/>
  <c r="AK705" i="7"/>
  <c r="AK806" i="7"/>
  <c r="AK463" i="7"/>
  <c r="AK545" i="7"/>
  <c r="AK642" i="7"/>
  <c r="AK973" i="7"/>
  <c r="AK938" i="7"/>
  <c r="AK507" i="7"/>
  <c r="AK607" i="7"/>
  <c r="AK473" i="7"/>
  <c r="AK743" i="7"/>
  <c r="AK1060" i="7"/>
  <c r="AK589" i="7"/>
  <c r="AK800" i="7"/>
  <c r="AK581" i="7"/>
  <c r="AK930" i="7"/>
  <c r="AK851" i="7"/>
  <c r="AK584" i="7"/>
  <c r="AK928" i="7"/>
  <c r="AK766" i="7"/>
  <c r="AK838" i="7"/>
  <c r="AK495" i="7"/>
  <c r="AK983" i="7"/>
  <c r="AK522" i="7"/>
  <c r="AK986" i="7"/>
  <c r="AK835" i="7"/>
  <c r="AK509" i="7"/>
  <c r="AK1039" i="7"/>
  <c r="AK849" i="7"/>
  <c r="AK563" i="7"/>
  <c r="AK726" i="7"/>
  <c r="AK416" i="7"/>
  <c r="AK701" i="7"/>
  <c r="AK894" i="7"/>
  <c r="AK436" i="7"/>
  <c r="AK408" i="7"/>
  <c r="AK537" i="7"/>
  <c r="AK458" i="7"/>
  <c r="AK1000" i="7"/>
  <c r="AK788" i="7"/>
  <c r="AK590" i="7"/>
  <c r="AK761" i="7"/>
  <c r="AK733" i="7"/>
  <c r="AK442" i="7"/>
  <c r="AK979" i="7"/>
  <c r="AK754" i="7"/>
  <c r="AK505" i="7"/>
  <c r="AK767" i="7"/>
  <c r="AK903" i="7"/>
  <c r="AK561" i="7"/>
  <c r="AK655" i="7"/>
  <c r="AK1044" i="7"/>
  <c r="AK594" i="7"/>
  <c r="AK724" i="7"/>
  <c r="AK1041" i="7"/>
  <c r="AK741" i="7"/>
  <c r="AK895" i="7"/>
  <c r="AK748" i="7"/>
  <c r="AK422" i="7"/>
  <c r="AK538" i="7"/>
  <c r="AK908" i="7"/>
  <c r="AK1014" i="7"/>
  <c r="AK614" i="7"/>
  <c r="AK644" i="7"/>
  <c r="AK676" i="7"/>
  <c r="AK1024" i="7"/>
  <c r="AK752" i="7"/>
  <c r="AK799" i="7"/>
  <c r="AK967" i="7"/>
  <c r="AK583" i="7"/>
  <c r="AK923" i="7"/>
  <c r="AK952" i="7"/>
  <c r="AK450" i="7"/>
  <c r="AK926" i="7"/>
  <c r="AK438" i="7"/>
  <c r="AK1040" i="7"/>
  <c r="AK439" i="7"/>
  <c r="AK714" i="7"/>
  <c r="AK630" i="7"/>
  <c r="AK1029" i="7"/>
  <c r="AK717" i="7"/>
  <c r="AK873" i="7"/>
  <c r="AK576" i="7"/>
  <c r="AK1062" i="7"/>
  <c r="AK812" i="7"/>
  <c r="AK827" i="7"/>
  <c r="AK622" i="7"/>
  <c r="AK722" i="7"/>
  <c r="AK916" i="7"/>
  <c r="AK532" i="7"/>
  <c r="AK803" i="7"/>
  <c r="AK804" i="7"/>
  <c r="AK468" i="7"/>
  <c r="AK955" i="7"/>
  <c r="AK1016" i="7"/>
  <c r="AK934" i="7"/>
  <c r="AK842" i="7"/>
  <c r="AK502" i="7"/>
  <c r="AK992" i="7"/>
  <c r="AK539" i="7"/>
  <c r="AK776" i="7"/>
  <c r="AK1001" i="7"/>
  <c r="AK599" i="7"/>
  <c r="AK475" i="7"/>
  <c r="AK782" i="7"/>
  <c r="AK783" i="7"/>
  <c r="AK556" i="7"/>
  <c r="AK864" i="7"/>
  <c r="AK672" i="7"/>
  <c r="AK467" i="7"/>
  <c r="AK1052" i="7"/>
  <c r="AK443" i="7"/>
  <c r="AK664" i="7"/>
  <c r="AK526" i="7"/>
  <c r="AK575" i="7"/>
  <c r="AK878" i="7"/>
  <c r="AK628" i="7"/>
  <c r="AK711" i="7"/>
  <c r="AK444" i="7"/>
  <c r="AK697" i="7"/>
  <c r="AK980" i="7"/>
  <c r="AK702" i="7"/>
  <c r="AK922" i="7"/>
  <c r="AK559" i="7"/>
  <c r="AK1047" i="7"/>
  <c r="AK586" i="7"/>
  <c r="AK829" i="7"/>
  <c r="AK500" i="7"/>
  <c r="AK572" i="7"/>
  <c r="AK826" i="7"/>
  <c r="AK1037" i="7"/>
  <c r="AK610" i="7"/>
  <c r="AK947" i="7"/>
  <c r="AK680" i="7"/>
  <c r="AK833" i="7"/>
  <c r="AK994" i="7"/>
  <c r="AK591" i="7"/>
  <c r="AK869" i="7"/>
  <c r="AK671" i="7"/>
  <c r="AK618" i="7"/>
  <c r="AK727" i="7"/>
  <c r="AK533" i="7"/>
  <c r="AK847" i="7"/>
  <c r="AK1063" i="7"/>
  <c r="AK492" i="7"/>
  <c r="AK954" i="7"/>
  <c r="AK608" i="7"/>
  <c r="AK852" i="7"/>
  <c r="AK927" i="7"/>
  <c r="AK690" i="7"/>
  <c r="AK1050" i="7"/>
  <c r="AK990" i="7"/>
  <c r="AK914" i="7"/>
  <c r="AK710" i="7"/>
  <c r="AK855" i="7"/>
  <c r="AK719" i="7"/>
  <c r="AK521" i="7"/>
  <c r="AK963" i="7"/>
  <c r="AK524" i="7"/>
  <c r="AK1034" i="7"/>
  <c r="AK756" i="7"/>
  <c r="AK958" i="7"/>
  <c r="AK435" i="7"/>
  <c r="AK634" i="7"/>
  <c r="AK551" i="7"/>
  <c r="AK760" i="7"/>
  <c r="AK1020" i="7"/>
  <c r="AK564" i="7"/>
  <c r="AK775" i="7"/>
  <c r="AK508" i="7"/>
  <c r="AK762" i="7"/>
  <c r="AK637" i="7"/>
  <c r="AK813" i="7"/>
  <c r="AK964" i="7"/>
  <c r="AK747" i="7"/>
  <c r="AK774" i="7"/>
  <c r="AK431" i="7"/>
  <c r="AK919" i="7"/>
  <c r="AK694" i="7"/>
  <c r="AK485" i="7"/>
  <c r="AK1046" i="7"/>
  <c r="AK546" i="7"/>
  <c r="AK755" i="7"/>
  <c r="AK488" i="7"/>
  <c r="AK892" i="7"/>
  <c r="AK742" i="7"/>
  <c r="AK653" i="7"/>
  <c r="AK665" i="7"/>
  <c r="AK652" i="7"/>
  <c r="AK528" i="7"/>
  <c r="AK841" i="7"/>
  <c r="AK887" i="7"/>
  <c r="AK956" i="7"/>
  <c r="AK860" i="7"/>
  <c r="AK668" i="7"/>
  <c r="AK959" i="7"/>
  <c r="AK683" i="7"/>
  <c r="AK486" i="7"/>
  <c r="AK877" i="7"/>
  <c r="AK611" i="7"/>
  <c r="AK759" i="7"/>
  <c r="AK513" i="7"/>
  <c r="AK1045" i="7"/>
  <c r="AK757" i="7"/>
  <c r="AK419" i="7"/>
  <c r="AK745" i="7"/>
  <c r="AK945" i="7"/>
  <c r="AK1035" i="7"/>
  <c r="AK525" i="7"/>
  <c r="AK987" i="7"/>
  <c r="AK856" i="7"/>
  <c r="AK514" i="7"/>
  <c r="AK417" i="7"/>
  <c r="AK1059" i="7"/>
  <c r="AK1065" i="7"/>
  <c r="AK477" i="7"/>
  <c r="AK815" i="7"/>
  <c r="AK999" i="7"/>
  <c r="AK993" i="7"/>
  <c r="AK635" i="7"/>
  <c r="AK998" i="7"/>
  <c r="AK995" i="7"/>
  <c r="AK970" i="7"/>
  <c r="AK494" i="7"/>
  <c r="AK666" i="7"/>
  <c r="AK817" i="7"/>
  <c r="AK603" i="7"/>
  <c r="AK1030" i="7"/>
  <c r="AK566" i="7"/>
  <c r="AK1004" i="7"/>
  <c r="AK541" i="7"/>
  <c r="AK484" i="7"/>
  <c r="AK924" i="7"/>
  <c r="AK481" i="7"/>
  <c r="AK753" i="7"/>
  <c r="AK1026" i="7"/>
  <c r="AK763" i="7"/>
  <c r="AK459" i="7"/>
  <c r="AK896" i="7"/>
  <c r="AK735" i="7"/>
  <c r="AK718" i="7"/>
  <c r="AK673" i="7"/>
  <c r="AK991" i="7"/>
  <c r="AK832" i="7"/>
  <c r="AK519" i="7"/>
  <c r="AK821" i="7"/>
  <c r="AK1012" i="7"/>
  <c r="AK421" i="7"/>
  <c r="AK1066" i="7"/>
  <c r="AK709" i="7"/>
  <c r="AK706" i="7"/>
  <c r="AK828" i="7"/>
  <c r="AK798" i="7"/>
  <c r="AK658" i="7"/>
  <c r="AK679" i="7"/>
  <c r="AK850" i="7"/>
  <c r="AK1023" i="7"/>
  <c r="AK626" i="7"/>
  <c r="AK1019" i="7"/>
  <c r="AK1033" i="7"/>
  <c r="AK818" i="7"/>
  <c r="AK891" i="7"/>
  <c r="AK996" i="7"/>
  <c r="AK580" i="7"/>
  <c r="AK805" i="7"/>
  <c r="AK1005" i="7"/>
  <c r="AK470" i="7"/>
  <c r="AK951" i="7"/>
  <c r="AK971" i="7"/>
  <c r="AK795" i="7"/>
  <c r="AK550" i="7"/>
  <c r="AK920" i="7"/>
  <c r="AK793" i="7"/>
  <c r="AK814" i="7"/>
  <c r="AK1022" i="7"/>
  <c r="AK411" i="7"/>
  <c r="AK1057" i="7"/>
  <c r="AK1053" i="7"/>
  <c r="AK448" i="7"/>
  <c r="AK604" i="7"/>
  <c r="AK609" i="7"/>
  <c r="AK1009" i="7"/>
  <c r="AK498" i="7"/>
  <c r="AK905" i="7"/>
  <c r="AK587" i="7"/>
  <c r="AK839" i="7"/>
  <c r="AK605" i="7"/>
  <c r="AK708" i="7"/>
  <c r="AK407" i="7"/>
  <c r="AK846" i="7"/>
  <c r="AK777" i="7"/>
  <c r="AK569" i="7"/>
  <c r="AK660" i="7"/>
  <c r="AK937" i="7"/>
  <c r="AK778" i="7"/>
  <c r="AK988" i="7"/>
  <c r="AK816" i="7"/>
  <c r="AK933" i="7"/>
  <c r="AK427" i="7"/>
  <c r="AK865" i="7"/>
  <c r="AK796" i="7"/>
  <c r="AK906" i="7"/>
  <c r="AK656" i="7"/>
  <c r="AK732" i="7"/>
  <c r="AK429" i="7"/>
  <c r="AK912" i="7"/>
  <c r="AK736" i="7"/>
  <c r="AK685" i="7"/>
  <c r="AK624" i="7"/>
  <c r="AK863" i="7"/>
  <c r="AK659" i="7"/>
  <c r="AK1064" i="7"/>
  <c r="AK452" i="7"/>
  <c r="AK598" i="7"/>
  <c r="AK836" i="7"/>
  <c r="K1066" i="7"/>
  <c r="L1066" i="7"/>
  <c r="J1066" i="7"/>
  <c r="G1064" i="7"/>
  <c r="H1065" i="7"/>
  <c r="AI1065" i="7" s="1"/>
  <c r="I1065" i="7"/>
  <c r="AG1065" i="7" s="1"/>
  <c r="B1082" i="5"/>
  <c r="I1081" i="5"/>
  <c r="C1080" i="5"/>
  <c r="H1081" i="5"/>
  <c r="G1078" i="5"/>
  <c r="K1078" i="5" s="1"/>
  <c r="E1078" i="5"/>
  <c r="F1078" i="5"/>
  <c r="D1079" i="5"/>
  <c r="J1079" i="5"/>
  <c r="F1062" i="28"/>
  <c r="G1063" i="28"/>
  <c r="H1063" i="28" s="1"/>
  <c r="G1059" i="27"/>
  <c r="H1059" i="27" s="1"/>
  <c r="J1059" i="27" s="1"/>
  <c r="L1059" i="27" s="1"/>
  <c r="F1058" i="27"/>
  <c r="AQ907" i="7" l="1"/>
  <c r="AQ908" i="7" s="1"/>
  <c r="AQ909" i="7" s="1"/>
  <c r="AQ910" i="7" s="1"/>
  <c r="AQ911" i="7" s="1"/>
  <c r="AQ912" i="7" s="1"/>
  <c r="AQ913" i="7" s="1"/>
  <c r="AQ914" i="7" s="1"/>
  <c r="AQ915" i="7" s="1"/>
  <c r="AQ916" i="7" s="1"/>
  <c r="AQ917" i="7" s="1"/>
  <c r="AQ918" i="7" s="1"/>
  <c r="AQ643" i="7"/>
  <c r="AQ644" i="7" s="1"/>
  <c r="AQ645" i="7" s="1"/>
  <c r="AQ646" i="7" s="1"/>
  <c r="AQ647" i="7" s="1"/>
  <c r="AQ648" i="7" s="1"/>
  <c r="AQ649" i="7" s="1"/>
  <c r="AQ650" i="7" s="1"/>
  <c r="AQ651" i="7" s="1"/>
  <c r="AQ652" i="7" s="1"/>
  <c r="AQ653" i="7" s="1"/>
  <c r="AQ654" i="7" s="1"/>
  <c r="AQ787" i="7"/>
  <c r="AQ788" i="7" s="1"/>
  <c r="AQ789" i="7" s="1"/>
  <c r="AQ790" i="7" s="1"/>
  <c r="AQ791" i="7" s="1"/>
  <c r="AQ792" i="7" s="1"/>
  <c r="AQ793" i="7" s="1"/>
  <c r="AQ794" i="7" s="1"/>
  <c r="AQ795" i="7" s="1"/>
  <c r="AQ796" i="7" s="1"/>
  <c r="AQ797" i="7" s="1"/>
  <c r="AQ798" i="7" s="1"/>
  <c r="AQ763" i="7"/>
  <c r="AQ764" i="7" s="1"/>
  <c r="AQ765" i="7" s="1"/>
  <c r="AQ766" i="7" s="1"/>
  <c r="AQ767" i="7" s="1"/>
  <c r="AQ768" i="7" s="1"/>
  <c r="AQ769" i="7" s="1"/>
  <c r="AQ770" i="7" s="1"/>
  <c r="AQ771" i="7" s="1"/>
  <c r="AQ772" i="7" s="1"/>
  <c r="AQ773" i="7" s="1"/>
  <c r="AQ774" i="7" s="1"/>
  <c r="AQ919" i="7"/>
  <c r="AQ715" i="7"/>
  <c r="AQ716" i="7" s="1"/>
  <c r="AQ717" i="7" s="1"/>
  <c r="AQ718" i="7" s="1"/>
  <c r="AQ719" i="7" s="1"/>
  <c r="AQ720" i="7" s="1"/>
  <c r="AQ721" i="7" s="1"/>
  <c r="AQ722" i="7" s="1"/>
  <c r="AQ723" i="7" s="1"/>
  <c r="AQ724" i="7" s="1"/>
  <c r="AQ725" i="7" s="1"/>
  <c r="AQ726" i="7" s="1"/>
  <c r="AQ991" i="7"/>
  <c r="AQ992" i="7" s="1"/>
  <c r="AQ993" i="7" s="1"/>
  <c r="AQ994" i="7" s="1"/>
  <c r="AQ995" i="7" s="1"/>
  <c r="AQ996" i="7" s="1"/>
  <c r="AQ997" i="7" s="1"/>
  <c r="AQ998" i="7" s="1"/>
  <c r="AQ999" i="7" s="1"/>
  <c r="AQ1000" i="7" s="1"/>
  <c r="AQ1001" i="7" s="1"/>
  <c r="AQ1002" i="7" s="1"/>
  <c r="AQ799" i="7"/>
  <c r="AQ800" i="7" s="1"/>
  <c r="AQ801" i="7" s="1"/>
  <c r="AQ802" i="7" s="1"/>
  <c r="AQ803" i="7" s="1"/>
  <c r="AQ804" i="7" s="1"/>
  <c r="AQ805" i="7" s="1"/>
  <c r="AQ806" i="7" s="1"/>
  <c r="AQ807" i="7" s="1"/>
  <c r="AQ808" i="7" s="1"/>
  <c r="AQ809" i="7" s="1"/>
  <c r="AQ810" i="7" s="1"/>
  <c r="AQ607" i="7"/>
  <c r="AQ608" i="7" s="1"/>
  <c r="AQ609" i="7" s="1"/>
  <c r="AQ610" i="7" s="1"/>
  <c r="AQ611" i="7" s="1"/>
  <c r="AQ612" i="7" s="1"/>
  <c r="AQ613" i="7" s="1"/>
  <c r="AQ614" i="7" s="1"/>
  <c r="AQ615" i="7" s="1"/>
  <c r="AQ616" i="7" s="1"/>
  <c r="AQ617" i="7" s="1"/>
  <c r="AQ618" i="7" s="1"/>
  <c r="AQ559" i="7"/>
  <c r="AQ560" i="7" s="1"/>
  <c r="AQ561" i="7" s="1"/>
  <c r="AQ562" i="7" s="1"/>
  <c r="AQ563" i="7" s="1"/>
  <c r="AQ564" i="7" s="1"/>
  <c r="AQ565" i="7" s="1"/>
  <c r="AQ566" i="7" s="1"/>
  <c r="AQ567" i="7" s="1"/>
  <c r="AQ568" i="7" s="1"/>
  <c r="AQ569" i="7" s="1"/>
  <c r="AQ570" i="7" s="1"/>
  <c r="AQ871" i="7"/>
  <c r="AQ872" i="7" s="1"/>
  <c r="AQ873" i="7" s="1"/>
  <c r="AQ874" i="7" s="1"/>
  <c r="AQ875" i="7" s="1"/>
  <c r="AQ876" i="7" s="1"/>
  <c r="AQ877" i="7" s="1"/>
  <c r="AQ878" i="7" s="1"/>
  <c r="AQ879" i="7" s="1"/>
  <c r="AQ880" i="7" s="1"/>
  <c r="AQ881" i="7" s="1"/>
  <c r="AQ882" i="7" s="1"/>
  <c r="AQ1027" i="7"/>
  <c r="AQ691" i="7"/>
  <c r="AQ692" i="7" s="1"/>
  <c r="AQ693" i="7" s="1"/>
  <c r="AQ694" i="7" s="1"/>
  <c r="AQ695" i="7" s="1"/>
  <c r="AQ696" i="7" s="1"/>
  <c r="AQ697" i="7" s="1"/>
  <c r="AQ698" i="7" s="1"/>
  <c r="AQ699" i="7" s="1"/>
  <c r="AQ700" i="7" s="1"/>
  <c r="AQ701" i="7" s="1"/>
  <c r="AQ702" i="7" s="1"/>
  <c r="AQ547" i="7"/>
  <c r="AQ548" i="7" s="1"/>
  <c r="AQ549" i="7" s="1"/>
  <c r="AQ550" i="7" s="1"/>
  <c r="AQ551" i="7" s="1"/>
  <c r="AQ552" i="7" s="1"/>
  <c r="AQ553" i="7" s="1"/>
  <c r="AQ554" i="7" s="1"/>
  <c r="AQ555" i="7" s="1"/>
  <c r="AQ556" i="7" s="1"/>
  <c r="AQ557" i="7" s="1"/>
  <c r="AQ558" i="7" s="1"/>
  <c r="AQ535" i="7"/>
  <c r="AQ536" i="7" s="1"/>
  <c r="AQ537" i="7" s="1"/>
  <c r="AQ538" i="7" s="1"/>
  <c r="AQ539" i="7" s="1"/>
  <c r="AQ540" i="7" s="1"/>
  <c r="AQ541" i="7" s="1"/>
  <c r="AQ542" i="7" s="1"/>
  <c r="AQ543" i="7" s="1"/>
  <c r="AQ544" i="7" s="1"/>
  <c r="AQ545" i="7" s="1"/>
  <c r="AQ546" i="7" s="1"/>
  <c r="AQ619" i="7"/>
  <c r="AQ620" i="7" s="1"/>
  <c r="AQ621" i="7" s="1"/>
  <c r="AQ622" i="7" s="1"/>
  <c r="AQ623" i="7" s="1"/>
  <c r="AQ624" i="7" s="1"/>
  <c r="AQ625" i="7" s="1"/>
  <c r="AQ626" i="7" s="1"/>
  <c r="AQ627" i="7" s="1"/>
  <c r="AQ628" i="7" s="1"/>
  <c r="AQ629" i="7" s="1"/>
  <c r="AQ630" i="7" s="1"/>
  <c r="AQ523" i="7"/>
  <c r="AQ524" i="7" s="1"/>
  <c r="AQ525" i="7" s="1"/>
  <c r="AQ526" i="7" s="1"/>
  <c r="AQ527" i="7" s="1"/>
  <c r="AQ528" i="7" s="1"/>
  <c r="AQ529" i="7" s="1"/>
  <c r="AQ530" i="7" s="1"/>
  <c r="AQ531" i="7" s="1"/>
  <c r="AQ532" i="7" s="1"/>
  <c r="AQ533" i="7" s="1"/>
  <c r="AQ534" i="7" s="1"/>
  <c r="AQ1039" i="7"/>
  <c r="AQ1040" i="7" s="1"/>
  <c r="AQ1041" i="7" s="1"/>
  <c r="AQ1042" i="7" s="1"/>
  <c r="AQ1043" i="7" s="1"/>
  <c r="AQ1044" i="7" s="1"/>
  <c r="AQ1045" i="7" s="1"/>
  <c r="AQ1046" i="7" s="1"/>
  <c r="AQ1047" i="7" s="1"/>
  <c r="AQ1048" i="7" s="1"/>
  <c r="AQ1049" i="7" s="1"/>
  <c r="AQ1050" i="7" s="1"/>
  <c r="AQ847" i="7"/>
  <c r="AQ848" i="7" s="1"/>
  <c r="AQ849" i="7" s="1"/>
  <c r="AQ850" i="7" s="1"/>
  <c r="AQ851" i="7" s="1"/>
  <c r="AQ852" i="7" s="1"/>
  <c r="AQ853" i="7" s="1"/>
  <c r="AQ854" i="7" s="1"/>
  <c r="AQ855" i="7" s="1"/>
  <c r="AQ856" i="7" s="1"/>
  <c r="AQ857" i="7" s="1"/>
  <c r="AQ858" i="7" s="1"/>
  <c r="AQ583" i="7"/>
  <c r="AQ584" i="7" s="1"/>
  <c r="AQ585" i="7" s="1"/>
  <c r="AQ586" i="7" s="1"/>
  <c r="AQ587" i="7" s="1"/>
  <c r="AQ588" i="7" s="1"/>
  <c r="AQ589" i="7" s="1"/>
  <c r="AQ590" i="7" s="1"/>
  <c r="AQ591" i="7" s="1"/>
  <c r="AQ592" i="7" s="1"/>
  <c r="AQ593" i="7" s="1"/>
  <c r="AQ594" i="7" s="1"/>
  <c r="AQ811" i="7"/>
  <c r="AQ812" i="7" s="1"/>
  <c r="AQ813" i="7" s="1"/>
  <c r="AQ814" i="7" s="1"/>
  <c r="AQ815" i="7" s="1"/>
  <c r="AQ816" i="7" s="1"/>
  <c r="AQ817" i="7" s="1"/>
  <c r="AQ818" i="7" s="1"/>
  <c r="AQ819" i="7" s="1"/>
  <c r="AQ820" i="7" s="1"/>
  <c r="AQ821" i="7" s="1"/>
  <c r="AQ822" i="7" s="1"/>
  <c r="AQ451" i="7"/>
  <c r="AQ452" i="7" s="1"/>
  <c r="AQ453" i="7" s="1"/>
  <c r="AQ454" i="7" s="1"/>
  <c r="AQ455" i="7" s="1"/>
  <c r="AQ456" i="7" s="1"/>
  <c r="AQ457" i="7" s="1"/>
  <c r="AQ458" i="7" s="1"/>
  <c r="AQ459" i="7" s="1"/>
  <c r="AQ460" i="7" s="1"/>
  <c r="AQ461" i="7" s="1"/>
  <c r="AQ462" i="7" s="1"/>
  <c r="AQ955" i="7"/>
  <c r="AQ956" i="7" s="1"/>
  <c r="AQ957" i="7" s="1"/>
  <c r="AQ958" i="7" s="1"/>
  <c r="AQ959" i="7" s="1"/>
  <c r="AQ960" i="7" s="1"/>
  <c r="AQ961" i="7" s="1"/>
  <c r="AQ962" i="7" s="1"/>
  <c r="AQ963" i="7" s="1"/>
  <c r="AQ964" i="7" s="1"/>
  <c r="AQ965" i="7" s="1"/>
  <c r="AQ966" i="7" s="1"/>
  <c r="AQ499" i="7"/>
  <c r="AQ500" i="7" s="1"/>
  <c r="AQ501" i="7" s="1"/>
  <c r="AQ502" i="7" s="1"/>
  <c r="AQ503" i="7" s="1"/>
  <c r="AQ504" i="7" s="1"/>
  <c r="AQ505" i="7" s="1"/>
  <c r="AQ506" i="7" s="1"/>
  <c r="AQ507" i="7" s="1"/>
  <c r="AQ508" i="7" s="1"/>
  <c r="AQ509" i="7" s="1"/>
  <c r="AQ510" i="7" s="1"/>
  <c r="AQ631" i="7"/>
  <c r="AQ632" i="7" s="1"/>
  <c r="AQ633" i="7" s="1"/>
  <c r="AQ634" i="7" s="1"/>
  <c r="AQ635" i="7" s="1"/>
  <c r="AQ636" i="7" s="1"/>
  <c r="AQ637" i="7" s="1"/>
  <c r="AQ638" i="7" s="1"/>
  <c r="AQ639" i="7" s="1"/>
  <c r="AQ640" i="7" s="1"/>
  <c r="AQ641" i="7" s="1"/>
  <c r="AQ642" i="7" s="1"/>
  <c r="AQ883" i="7"/>
  <c r="AQ884" i="7" s="1"/>
  <c r="AQ885" i="7" s="1"/>
  <c r="AQ886" i="7" s="1"/>
  <c r="AQ887" i="7" s="1"/>
  <c r="AQ888" i="7" s="1"/>
  <c r="AQ889" i="7" s="1"/>
  <c r="AQ890" i="7" s="1"/>
  <c r="AQ891" i="7" s="1"/>
  <c r="AQ892" i="7" s="1"/>
  <c r="AQ893" i="7" s="1"/>
  <c r="AQ894" i="7" s="1"/>
  <c r="AQ487" i="7"/>
  <c r="AQ488" i="7" s="1"/>
  <c r="AQ489" i="7" s="1"/>
  <c r="AQ490" i="7" s="1"/>
  <c r="AQ491" i="7" s="1"/>
  <c r="AQ492" i="7" s="1"/>
  <c r="AQ493" i="7" s="1"/>
  <c r="AQ494" i="7" s="1"/>
  <c r="AQ495" i="7" s="1"/>
  <c r="AQ496" i="7" s="1"/>
  <c r="AQ497" i="7" s="1"/>
  <c r="AQ498" i="7" s="1"/>
  <c r="AQ943" i="7"/>
  <c r="AQ944" i="7" s="1"/>
  <c r="AQ945" i="7" s="1"/>
  <c r="AQ946" i="7" s="1"/>
  <c r="AQ947" i="7" s="1"/>
  <c r="AQ948" i="7" s="1"/>
  <c r="AQ949" i="7" s="1"/>
  <c r="AQ950" i="7" s="1"/>
  <c r="AQ951" i="7" s="1"/>
  <c r="AQ952" i="7" s="1"/>
  <c r="AQ953" i="7" s="1"/>
  <c r="AQ954" i="7" s="1"/>
  <c r="AQ1051" i="7"/>
  <c r="AQ1052" i="7" s="1"/>
  <c r="AQ1053" i="7" s="1"/>
  <c r="AQ1054" i="7" s="1"/>
  <c r="AQ1055" i="7" s="1"/>
  <c r="AQ1056" i="7" s="1"/>
  <c r="AQ1057" i="7" s="1"/>
  <c r="AQ1058" i="7" s="1"/>
  <c r="AQ1059" i="7" s="1"/>
  <c r="AQ1060" i="7" s="1"/>
  <c r="AQ1061" i="7" s="1"/>
  <c r="AQ1062" i="7" s="1"/>
  <c r="AQ835" i="7"/>
  <c r="AQ836" i="7" s="1"/>
  <c r="AQ837" i="7" s="1"/>
  <c r="AQ838" i="7" s="1"/>
  <c r="AQ839" i="7" s="1"/>
  <c r="AQ840" i="7" s="1"/>
  <c r="AQ841" i="7" s="1"/>
  <c r="AQ842" i="7" s="1"/>
  <c r="AQ843" i="7" s="1"/>
  <c r="AQ844" i="7" s="1"/>
  <c r="AQ845" i="7" s="1"/>
  <c r="AQ846" i="7" s="1"/>
  <c r="AQ823" i="7"/>
  <c r="AQ824" i="7" s="1"/>
  <c r="AQ825" i="7" s="1"/>
  <c r="AQ826" i="7" s="1"/>
  <c r="AQ827" i="7" s="1"/>
  <c r="AQ828" i="7" s="1"/>
  <c r="AQ829" i="7" s="1"/>
  <c r="AQ830" i="7" s="1"/>
  <c r="AQ831" i="7" s="1"/>
  <c r="AQ832" i="7" s="1"/>
  <c r="AQ833" i="7" s="1"/>
  <c r="AQ834" i="7" s="1"/>
  <c r="AQ859" i="7"/>
  <c r="AQ860" i="7" s="1"/>
  <c r="AQ861" i="7" s="1"/>
  <c r="AQ862" i="7" s="1"/>
  <c r="AQ863" i="7" s="1"/>
  <c r="AQ864" i="7" s="1"/>
  <c r="AQ865" i="7" s="1"/>
  <c r="AQ866" i="7" s="1"/>
  <c r="AQ867" i="7" s="1"/>
  <c r="AQ868" i="7" s="1"/>
  <c r="AQ869" i="7" s="1"/>
  <c r="AQ870" i="7" s="1"/>
  <c r="AQ511" i="7"/>
  <c r="AQ512" i="7" s="1"/>
  <c r="AQ513" i="7" s="1"/>
  <c r="AQ514" i="7" s="1"/>
  <c r="AQ515" i="7" s="1"/>
  <c r="AQ516" i="7" s="1"/>
  <c r="AQ517" i="7" s="1"/>
  <c r="AQ518" i="7" s="1"/>
  <c r="AQ519" i="7" s="1"/>
  <c r="AQ520" i="7" s="1"/>
  <c r="AQ521" i="7" s="1"/>
  <c r="AQ522" i="7" s="1"/>
  <c r="AQ571" i="7"/>
  <c r="AQ572" i="7" s="1"/>
  <c r="AQ573" i="7" s="1"/>
  <c r="AQ574" i="7" s="1"/>
  <c r="AQ575" i="7" s="1"/>
  <c r="AQ576" i="7" s="1"/>
  <c r="AQ577" i="7" s="1"/>
  <c r="AQ578" i="7" s="1"/>
  <c r="AQ579" i="7" s="1"/>
  <c r="AQ580" i="7" s="1"/>
  <c r="AQ581" i="7" s="1"/>
  <c r="AQ582" i="7" s="1"/>
  <c r="AQ463" i="7"/>
  <c r="AQ464" i="7" s="1"/>
  <c r="AQ465" i="7" s="1"/>
  <c r="AQ466" i="7" s="1"/>
  <c r="AQ467" i="7" s="1"/>
  <c r="AQ468" i="7" s="1"/>
  <c r="AQ469" i="7" s="1"/>
  <c r="AQ470" i="7" s="1"/>
  <c r="AQ471" i="7" s="1"/>
  <c r="AQ472" i="7" s="1"/>
  <c r="AQ473" i="7" s="1"/>
  <c r="AQ474" i="7" s="1"/>
  <c r="AQ979" i="7"/>
  <c r="AQ980" i="7" s="1"/>
  <c r="AQ981" i="7" s="1"/>
  <c r="AQ982" i="7" s="1"/>
  <c r="AQ983" i="7" s="1"/>
  <c r="AQ984" i="7" s="1"/>
  <c r="AQ985" i="7" s="1"/>
  <c r="AQ986" i="7" s="1"/>
  <c r="AQ987" i="7" s="1"/>
  <c r="AQ988" i="7" s="1"/>
  <c r="AQ989" i="7" s="1"/>
  <c r="AQ990" i="7" s="1"/>
  <c r="AQ931" i="7"/>
  <c r="AQ932" i="7" s="1"/>
  <c r="AQ933" i="7" s="1"/>
  <c r="AQ934" i="7" s="1"/>
  <c r="AQ935" i="7" s="1"/>
  <c r="AQ936" i="7" s="1"/>
  <c r="AQ937" i="7" s="1"/>
  <c r="AQ938" i="7" s="1"/>
  <c r="AQ939" i="7" s="1"/>
  <c r="AQ940" i="7" s="1"/>
  <c r="AQ941" i="7" s="1"/>
  <c r="AQ942" i="7" s="1"/>
  <c r="AQ967" i="7"/>
  <c r="AQ968" i="7" s="1"/>
  <c r="AQ969" i="7" s="1"/>
  <c r="AQ970" i="7" s="1"/>
  <c r="AQ971" i="7" s="1"/>
  <c r="AQ972" i="7" s="1"/>
  <c r="AQ973" i="7" s="1"/>
  <c r="AQ974" i="7" s="1"/>
  <c r="AQ975" i="7" s="1"/>
  <c r="AQ976" i="7" s="1"/>
  <c r="AQ977" i="7" s="1"/>
  <c r="AQ978" i="7" s="1"/>
  <c r="AQ739" i="7"/>
  <c r="AQ740" i="7" s="1"/>
  <c r="AQ741" i="7" s="1"/>
  <c r="AQ742" i="7" s="1"/>
  <c r="AQ743" i="7" s="1"/>
  <c r="AQ744" i="7" s="1"/>
  <c r="AQ745" i="7" s="1"/>
  <c r="AQ746" i="7" s="1"/>
  <c r="AQ747" i="7" s="1"/>
  <c r="AQ748" i="7" s="1"/>
  <c r="AQ749" i="7" s="1"/>
  <c r="AQ750" i="7" s="1"/>
  <c r="AQ703" i="7"/>
  <c r="AQ704" i="7" s="1"/>
  <c r="AQ705" i="7" s="1"/>
  <c r="AQ706" i="7" s="1"/>
  <c r="AQ707" i="7" s="1"/>
  <c r="AQ708" i="7" s="1"/>
  <c r="AQ709" i="7" s="1"/>
  <c r="AQ710" i="7" s="1"/>
  <c r="AQ711" i="7" s="1"/>
  <c r="AQ712" i="7" s="1"/>
  <c r="AQ713" i="7" s="1"/>
  <c r="AQ714" i="7" s="1"/>
  <c r="AQ439" i="7"/>
  <c r="AQ440" i="7" s="1"/>
  <c r="AQ441" i="7" s="1"/>
  <c r="AQ442" i="7" s="1"/>
  <c r="AQ443" i="7" s="1"/>
  <c r="AQ444" i="7" s="1"/>
  <c r="AQ445" i="7" s="1"/>
  <c r="AQ446" i="7" s="1"/>
  <c r="AQ447" i="7" s="1"/>
  <c r="AQ448" i="7" s="1"/>
  <c r="AQ449" i="7" s="1"/>
  <c r="AQ450" i="7" s="1"/>
  <c r="AQ667" i="7"/>
  <c r="AQ668" i="7" s="1"/>
  <c r="AQ669" i="7" s="1"/>
  <c r="AQ670" i="7" s="1"/>
  <c r="AQ671" i="7" s="1"/>
  <c r="AQ672" i="7" s="1"/>
  <c r="AQ673" i="7" s="1"/>
  <c r="AQ674" i="7" s="1"/>
  <c r="AQ675" i="7" s="1"/>
  <c r="AQ676" i="7" s="1"/>
  <c r="AQ677" i="7" s="1"/>
  <c r="AQ678" i="7" s="1"/>
  <c r="AQ475" i="7"/>
  <c r="AQ476" i="7" s="1"/>
  <c r="AQ477" i="7" s="1"/>
  <c r="AQ478" i="7" s="1"/>
  <c r="AQ479" i="7" s="1"/>
  <c r="AQ480" i="7" s="1"/>
  <c r="AQ481" i="7" s="1"/>
  <c r="AQ482" i="7" s="1"/>
  <c r="AQ483" i="7" s="1"/>
  <c r="AQ484" i="7" s="1"/>
  <c r="AQ485" i="7" s="1"/>
  <c r="AQ486" i="7" s="1"/>
  <c r="AQ1003" i="7"/>
  <c r="AQ1004" i="7" s="1"/>
  <c r="AQ1005" i="7" s="1"/>
  <c r="AQ1006" i="7" s="1"/>
  <c r="AQ1007" i="7" s="1"/>
  <c r="AQ1008" i="7" s="1"/>
  <c r="AQ1009" i="7" s="1"/>
  <c r="AQ1010" i="7" s="1"/>
  <c r="AQ1011" i="7" s="1"/>
  <c r="AQ1012" i="7" s="1"/>
  <c r="AQ1013" i="7" s="1"/>
  <c r="AQ1014" i="7" s="1"/>
  <c r="AQ775" i="7"/>
  <c r="AQ776" i="7" s="1"/>
  <c r="AQ777" i="7" s="1"/>
  <c r="AQ778" i="7" s="1"/>
  <c r="AQ779" i="7" s="1"/>
  <c r="AQ780" i="7" s="1"/>
  <c r="AQ781" i="7" s="1"/>
  <c r="AQ782" i="7" s="1"/>
  <c r="AQ783" i="7" s="1"/>
  <c r="AQ784" i="7" s="1"/>
  <c r="AQ785" i="7" s="1"/>
  <c r="AQ786" i="7" s="1"/>
  <c r="AQ415" i="7"/>
  <c r="AQ416" i="7" s="1"/>
  <c r="AQ417" i="7" s="1"/>
  <c r="AQ418" i="7" s="1"/>
  <c r="AQ419" i="7" s="1"/>
  <c r="AQ420" i="7" s="1"/>
  <c r="AQ421" i="7" s="1"/>
  <c r="AQ422" i="7" s="1"/>
  <c r="AQ423" i="7" s="1"/>
  <c r="AQ424" i="7" s="1"/>
  <c r="AQ425" i="7" s="1"/>
  <c r="AQ426" i="7" s="1"/>
  <c r="AQ727" i="7"/>
  <c r="AQ728" i="7" s="1"/>
  <c r="AQ729" i="7" s="1"/>
  <c r="AQ730" i="7" s="1"/>
  <c r="AQ731" i="7" s="1"/>
  <c r="AQ732" i="7" s="1"/>
  <c r="AQ733" i="7" s="1"/>
  <c r="AQ734" i="7" s="1"/>
  <c r="AQ735" i="7" s="1"/>
  <c r="AQ736" i="7" s="1"/>
  <c r="AQ737" i="7" s="1"/>
  <c r="AQ738" i="7" s="1"/>
  <c r="AQ751" i="7"/>
  <c r="AQ752" i="7" s="1"/>
  <c r="AQ753" i="7" s="1"/>
  <c r="AQ754" i="7" s="1"/>
  <c r="AQ755" i="7" s="1"/>
  <c r="AQ756" i="7" s="1"/>
  <c r="AQ757" i="7" s="1"/>
  <c r="AQ758" i="7" s="1"/>
  <c r="AQ759" i="7" s="1"/>
  <c r="AQ760" i="7" s="1"/>
  <c r="AQ761" i="7" s="1"/>
  <c r="AQ762" i="7" s="1"/>
  <c r="AQ679" i="7"/>
  <c r="AQ680" i="7" s="1"/>
  <c r="AQ681" i="7" s="1"/>
  <c r="AQ682" i="7" s="1"/>
  <c r="AQ683" i="7" s="1"/>
  <c r="AQ684" i="7" s="1"/>
  <c r="AQ685" i="7" s="1"/>
  <c r="AQ686" i="7" s="1"/>
  <c r="AQ687" i="7" s="1"/>
  <c r="AQ688" i="7" s="1"/>
  <c r="AQ689" i="7" s="1"/>
  <c r="AQ690" i="7" s="1"/>
  <c r="AQ655" i="7"/>
  <c r="AQ656" i="7" s="1"/>
  <c r="AQ657" i="7" s="1"/>
  <c r="AQ658" i="7" s="1"/>
  <c r="AQ659" i="7" s="1"/>
  <c r="AQ660" i="7" s="1"/>
  <c r="AQ661" i="7" s="1"/>
  <c r="AQ662" i="7" s="1"/>
  <c r="AQ663" i="7" s="1"/>
  <c r="AQ664" i="7" s="1"/>
  <c r="AQ665" i="7" s="1"/>
  <c r="AQ666" i="7" s="1"/>
  <c r="AQ595" i="7"/>
  <c r="AQ596" i="7" s="1"/>
  <c r="AQ597" i="7" s="1"/>
  <c r="AQ598" i="7" s="1"/>
  <c r="AQ599" i="7" s="1"/>
  <c r="AQ600" i="7" s="1"/>
  <c r="AQ601" i="7" s="1"/>
  <c r="AQ602" i="7" s="1"/>
  <c r="AQ603" i="7" s="1"/>
  <c r="AQ604" i="7" s="1"/>
  <c r="AQ605" i="7" s="1"/>
  <c r="AQ606" i="7" s="1"/>
  <c r="AQ895" i="7"/>
  <c r="AQ896" i="7" s="1"/>
  <c r="AQ897" i="7" s="1"/>
  <c r="AQ898" i="7" s="1"/>
  <c r="AQ899" i="7" s="1"/>
  <c r="AQ900" i="7" s="1"/>
  <c r="AQ901" i="7" s="1"/>
  <c r="AQ902" i="7" s="1"/>
  <c r="AQ903" i="7" s="1"/>
  <c r="AQ904" i="7" s="1"/>
  <c r="AQ905" i="7" s="1"/>
  <c r="AQ906" i="7" s="1"/>
  <c r="AQ1015" i="7"/>
  <c r="AQ1016" i="7" s="1"/>
  <c r="AQ1017" i="7" s="1"/>
  <c r="AQ1018" i="7" s="1"/>
  <c r="AQ1019" i="7" s="1"/>
  <c r="AQ1020" i="7" s="1"/>
  <c r="AQ1021" i="7" s="1"/>
  <c r="AQ1022" i="7" s="1"/>
  <c r="AQ1023" i="7" s="1"/>
  <c r="AQ1024" i="7" s="1"/>
  <c r="AQ1025" i="7" s="1"/>
  <c r="AQ1026" i="7" s="1"/>
  <c r="AQ427" i="7"/>
  <c r="AQ428" i="7" s="1"/>
  <c r="AQ429" i="7" s="1"/>
  <c r="AQ430" i="7" s="1"/>
  <c r="AQ431" i="7" s="1"/>
  <c r="AQ432" i="7" s="1"/>
  <c r="AQ433" i="7" s="1"/>
  <c r="AQ434" i="7" s="1"/>
  <c r="AQ435" i="7" s="1"/>
  <c r="AQ436" i="7" s="1"/>
  <c r="AQ437" i="7" s="1"/>
  <c r="AQ438" i="7" s="1"/>
  <c r="J1062" i="13"/>
  <c r="I1062" i="13"/>
  <c r="F1060" i="13"/>
  <c r="H1061" i="13"/>
  <c r="G1061" i="13"/>
  <c r="AQ1028" i="7"/>
  <c r="AQ1029" i="7" s="1"/>
  <c r="AQ1030" i="7" s="1"/>
  <c r="AQ1031" i="7" s="1"/>
  <c r="AQ1032" i="7" s="1"/>
  <c r="AQ1033" i="7" s="1"/>
  <c r="AQ1034" i="7" s="1"/>
  <c r="AQ1035" i="7" s="1"/>
  <c r="AQ1036" i="7" s="1"/>
  <c r="AQ1037" i="7" s="1"/>
  <c r="AQ1038" i="7" s="1"/>
  <c r="AQ920" i="7"/>
  <c r="AQ921" i="7" s="1"/>
  <c r="AQ922" i="7" s="1"/>
  <c r="AQ923" i="7" s="1"/>
  <c r="AQ924" i="7" s="1"/>
  <c r="AQ925" i="7" s="1"/>
  <c r="AQ926" i="7" s="1"/>
  <c r="AQ927" i="7" s="1"/>
  <c r="AQ928" i="7" s="1"/>
  <c r="AQ929" i="7" s="1"/>
  <c r="AQ930" i="7" s="1"/>
  <c r="AV1015" i="7"/>
  <c r="AV1016" i="7" s="1"/>
  <c r="AV883" i="7"/>
  <c r="AV884" i="7" s="1"/>
  <c r="AV571" i="7"/>
  <c r="AV1003" i="7"/>
  <c r="AV1004" i="7" s="1"/>
  <c r="AV427" i="7"/>
  <c r="AV428" i="7" s="1"/>
  <c r="AV727" i="7"/>
  <c r="AV728" i="7" s="1"/>
  <c r="AV607" i="7"/>
  <c r="AV608" i="7" s="1"/>
  <c r="AV895" i="7"/>
  <c r="AV487" i="7"/>
  <c r="AV667" i="7"/>
  <c r="AV668" i="7" s="1"/>
  <c r="AV751" i="7"/>
  <c r="AV752" i="7" s="1"/>
  <c r="AV559" i="7"/>
  <c r="AV560" i="7" s="1"/>
  <c r="AV823" i="7"/>
  <c r="AV1051" i="7"/>
  <c r="AV1052" i="7" s="1"/>
  <c r="AV763" i="7"/>
  <c r="AV764" i="7" s="1"/>
  <c r="AV1027" i="7"/>
  <c r="AV1028" i="7" s="1"/>
  <c r="AV799" i="7"/>
  <c r="AV859" i="7"/>
  <c r="AV860" i="7" s="1"/>
  <c r="AV919" i="7"/>
  <c r="AV943" i="7"/>
  <c r="AV535" i="7"/>
  <c r="AV679" i="7"/>
  <c r="AV680" i="7" s="1"/>
  <c r="AV499" i="7"/>
  <c r="AV500" i="7" s="1"/>
  <c r="AV511" i="7"/>
  <c r="AV463" i="7"/>
  <c r="AV464" i="7" s="1"/>
  <c r="AV415" i="7"/>
  <c r="AV583" i="7"/>
  <c r="AV584" i="7" s="1"/>
  <c r="AV691" i="7"/>
  <c r="AV692" i="7" s="1"/>
  <c r="AV907" i="7"/>
  <c r="AV908" i="7" s="1"/>
  <c r="AV451" i="7"/>
  <c r="AV955" i="7"/>
  <c r="AV956" i="7" s="1"/>
  <c r="AV1039" i="7"/>
  <c r="AV835" i="7"/>
  <c r="AV836" i="7" s="1"/>
  <c r="AV703" i="7"/>
  <c r="AV704" i="7" s="1"/>
  <c r="AV847" i="7"/>
  <c r="AV848" i="7" s="1"/>
  <c r="AV595" i="7"/>
  <c r="AV967" i="7"/>
  <c r="AV968" i="7" s="1"/>
  <c r="AV439" i="7"/>
  <c r="AV440" i="7" s="1"/>
  <c r="AV931" i="7"/>
  <c r="AV932" i="7" s="1"/>
  <c r="AV619" i="7"/>
  <c r="AV620" i="7" s="1"/>
  <c r="AV1063" i="7"/>
  <c r="AV1064" i="7" s="1"/>
  <c r="AV523" i="7"/>
  <c r="AV524" i="7" s="1"/>
  <c r="AV775" i="7"/>
  <c r="AV776" i="7" s="1"/>
  <c r="AV811" i="7"/>
  <c r="AV812" i="7" s="1"/>
  <c r="AV655" i="7"/>
  <c r="AV656" i="7" s="1"/>
  <c r="AV715" i="7"/>
  <c r="AV716" i="7" s="1"/>
  <c r="AV871" i="7"/>
  <c r="AV872" i="7" s="1"/>
  <c r="AV991" i="7"/>
  <c r="AV992" i="7" s="1"/>
  <c r="AV475" i="7"/>
  <c r="AV476" i="7" s="1"/>
  <c r="AV547" i="7"/>
  <c r="AV548" i="7" s="1"/>
  <c r="AV979" i="7"/>
  <c r="AV980" i="7" s="1"/>
  <c r="AV739" i="7"/>
  <c r="AV740" i="7" s="1"/>
  <c r="AV787" i="7"/>
  <c r="AV643" i="7"/>
  <c r="AV644" i="7" s="1"/>
  <c r="AV631" i="7"/>
  <c r="AV632" i="7" s="1"/>
  <c r="AV512" i="7"/>
  <c r="AV513" i="7" s="1"/>
  <c r="AQ1064" i="7"/>
  <c r="AQ1065" i="7" s="1"/>
  <c r="AQ1066" i="7" s="1"/>
  <c r="AH1066" i="7"/>
  <c r="AL763" i="7"/>
  <c r="AL619" i="7"/>
  <c r="AL559" i="7"/>
  <c r="AL991" i="7"/>
  <c r="AL739" i="7"/>
  <c r="AL835" i="7"/>
  <c r="AL955" i="7"/>
  <c r="AL1027" i="7"/>
  <c r="AL595" i="7"/>
  <c r="AL883" i="7"/>
  <c r="AL715" i="7"/>
  <c r="AL535" i="7"/>
  <c r="AL643" i="7"/>
  <c r="AL847" i="7"/>
  <c r="AL775" i="7"/>
  <c r="AL1051" i="7"/>
  <c r="AL1015" i="7"/>
  <c r="AL931" i="7"/>
  <c r="AL787" i="7"/>
  <c r="AL511" i="7"/>
  <c r="AL679" i="7"/>
  <c r="AL415" i="7"/>
  <c r="AL727" i="7"/>
  <c r="AL799" i="7"/>
  <c r="AL451" i="7"/>
  <c r="AL571" i="7"/>
  <c r="AL691" i="7"/>
  <c r="AL547" i="7"/>
  <c r="AL583" i="7"/>
  <c r="AL967" i="7"/>
  <c r="AL439" i="7"/>
  <c r="AL811" i="7"/>
  <c r="AL463" i="7"/>
  <c r="AL667" i="7"/>
  <c r="AL487" i="7"/>
  <c r="AL427" i="7"/>
  <c r="AL607" i="7"/>
  <c r="AL751" i="7"/>
  <c r="AL871" i="7"/>
  <c r="AL919" i="7"/>
  <c r="AL1063" i="7"/>
  <c r="AL895" i="7"/>
  <c r="AL823" i="7"/>
  <c r="AL859" i="7"/>
  <c r="AL499" i="7"/>
  <c r="AL475" i="7"/>
  <c r="AL1003" i="7"/>
  <c r="AL703" i="7"/>
  <c r="AL979" i="7"/>
  <c r="AL907" i="7"/>
  <c r="AL631" i="7"/>
  <c r="AL1039" i="7"/>
  <c r="AL523" i="7"/>
  <c r="AL655" i="7"/>
  <c r="AL943" i="7"/>
  <c r="I1064" i="7"/>
  <c r="AG1064" i="7" s="1"/>
  <c r="H1064" i="7"/>
  <c r="AI1064" i="7" s="1"/>
  <c r="G1063" i="7"/>
  <c r="L1065" i="7"/>
  <c r="M1065" i="7" s="1"/>
  <c r="J1065" i="7"/>
  <c r="AH1065" i="7" s="1"/>
  <c r="K1065" i="7"/>
  <c r="M1066" i="7"/>
  <c r="N1066" i="7" s="1"/>
  <c r="C14" i="7" s="1"/>
  <c r="G1079" i="5"/>
  <c r="K1079" i="5" s="1"/>
  <c r="E1079" i="5"/>
  <c r="F1079" i="5"/>
  <c r="D1080" i="5"/>
  <c r="J1080" i="5"/>
  <c r="C1081" i="5"/>
  <c r="I1082" i="5"/>
  <c r="B1083" i="5"/>
  <c r="H1082" i="5"/>
  <c r="F1061" i="28"/>
  <c r="G1062" i="28"/>
  <c r="H1062" i="28" s="1"/>
  <c r="G1058" i="27"/>
  <c r="H1058" i="27" s="1"/>
  <c r="J1058" i="27" s="1"/>
  <c r="L1058" i="27" s="1"/>
  <c r="F1057" i="27"/>
  <c r="AM943" i="7" l="1"/>
  <c r="AM944" i="7" s="1"/>
  <c r="AM945" i="7" s="1"/>
  <c r="AM946" i="7" s="1"/>
  <c r="AM947" i="7" s="1"/>
  <c r="AM948" i="7" s="1"/>
  <c r="AM949" i="7" s="1"/>
  <c r="AM950" i="7" s="1"/>
  <c r="AM951" i="7" s="1"/>
  <c r="AM952" i="7" s="1"/>
  <c r="AM953" i="7" s="1"/>
  <c r="AM954" i="7" s="1"/>
  <c r="AM631" i="7"/>
  <c r="AM632" i="7" s="1"/>
  <c r="AM633" i="7" s="1"/>
  <c r="AM634" i="7" s="1"/>
  <c r="AM635" i="7" s="1"/>
  <c r="AM636" i="7" s="1"/>
  <c r="AM637" i="7" s="1"/>
  <c r="AM638" i="7" s="1"/>
  <c r="AM639" i="7" s="1"/>
  <c r="AM640" i="7" s="1"/>
  <c r="AM641" i="7" s="1"/>
  <c r="AM642" i="7" s="1"/>
  <c r="AM1003" i="7"/>
  <c r="AM1004" i="7" s="1"/>
  <c r="AM1005" i="7" s="1"/>
  <c r="AM1006" i="7" s="1"/>
  <c r="AM1007" i="7" s="1"/>
  <c r="AM1008" i="7" s="1"/>
  <c r="AM1009" i="7" s="1"/>
  <c r="AM1010" i="7" s="1"/>
  <c r="AM1011" i="7" s="1"/>
  <c r="AM1012" i="7" s="1"/>
  <c r="AM1013" i="7" s="1"/>
  <c r="AM1014" i="7" s="1"/>
  <c r="AM823" i="7"/>
  <c r="AM824" i="7" s="1"/>
  <c r="AM825" i="7" s="1"/>
  <c r="AM826" i="7" s="1"/>
  <c r="AM827" i="7" s="1"/>
  <c r="AM828" i="7" s="1"/>
  <c r="AM829" i="7" s="1"/>
  <c r="AM830" i="7" s="1"/>
  <c r="AM831" i="7" s="1"/>
  <c r="AM832" i="7" s="1"/>
  <c r="AM833" i="7" s="1"/>
  <c r="AM834" i="7" s="1"/>
  <c r="AM871" i="7"/>
  <c r="AM872" i="7" s="1"/>
  <c r="AM873" i="7" s="1"/>
  <c r="AM874" i="7" s="1"/>
  <c r="AM875" i="7" s="1"/>
  <c r="AM876" i="7" s="1"/>
  <c r="AM877" i="7" s="1"/>
  <c r="AM878" i="7" s="1"/>
  <c r="AM879" i="7" s="1"/>
  <c r="AM880" i="7" s="1"/>
  <c r="AM881" i="7" s="1"/>
  <c r="AM882" i="7" s="1"/>
  <c r="AM487" i="7"/>
  <c r="AM488" i="7" s="1"/>
  <c r="AM489" i="7" s="1"/>
  <c r="AM490" i="7" s="1"/>
  <c r="AM491" i="7" s="1"/>
  <c r="AM492" i="7" s="1"/>
  <c r="AM493" i="7" s="1"/>
  <c r="AM494" i="7" s="1"/>
  <c r="AM495" i="7" s="1"/>
  <c r="AM496" i="7" s="1"/>
  <c r="AM497" i="7" s="1"/>
  <c r="AM498" i="7" s="1"/>
  <c r="AM439" i="7"/>
  <c r="AM440" i="7" s="1"/>
  <c r="AM441" i="7" s="1"/>
  <c r="AM442" i="7" s="1"/>
  <c r="AM443" i="7" s="1"/>
  <c r="AM444" i="7" s="1"/>
  <c r="AM445" i="7" s="1"/>
  <c r="AM446" i="7" s="1"/>
  <c r="AM447" i="7" s="1"/>
  <c r="AM448" i="7" s="1"/>
  <c r="AM449" i="7" s="1"/>
  <c r="AM450" i="7" s="1"/>
  <c r="AM691" i="7"/>
  <c r="AM692" i="7" s="1"/>
  <c r="AM693" i="7" s="1"/>
  <c r="AM694" i="7" s="1"/>
  <c r="AM695" i="7" s="1"/>
  <c r="AM696" i="7" s="1"/>
  <c r="AM697" i="7" s="1"/>
  <c r="AM698" i="7" s="1"/>
  <c r="AM699" i="7" s="1"/>
  <c r="AM700" i="7" s="1"/>
  <c r="AM701" i="7" s="1"/>
  <c r="AM702" i="7" s="1"/>
  <c r="AM727" i="7"/>
  <c r="AM728" i="7" s="1"/>
  <c r="AM729" i="7" s="1"/>
  <c r="AM730" i="7" s="1"/>
  <c r="AM731" i="7" s="1"/>
  <c r="AM732" i="7" s="1"/>
  <c r="AM733" i="7" s="1"/>
  <c r="AM734" i="7" s="1"/>
  <c r="AM735" i="7" s="1"/>
  <c r="AM736" i="7" s="1"/>
  <c r="AM737" i="7" s="1"/>
  <c r="AM738" i="7" s="1"/>
  <c r="AM787" i="7"/>
  <c r="AM788" i="7" s="1"/>
  <c r="AM789" i="7" s="1"/>
  <c r="AM790" i="7" s="1"/>
  <c r="AM791" i="7" s="1"/>
  <c r="AM792" i="7" s="1"/>
  <c r="AM793" i="7" s="1"/>
  <c r="AM794" i="7" s="1"/>
  <c r="AM795" i="7" s="1"/>
  <c r="AM796" i="7" s="1"/>
  <c r="AM797" i="7" s="1"/>
  <c r="AM798" i="7" s="1"/>
  <c r="AM775" i="7"/>
  <c r="AM776" i="7" s="1"/>
  <c r="AM777" i="7" s="1"/>
  <c r="AM778" i="7" s="1"/>
  <c r="AM779" i="7" s="1"/>
  <c r="AM780" i="7" s="1"/>
  <c r="AM781" i="7" s="1"/>
  <c r="AM782" i="7" s="1"/>
  <c r="AM783" i="7" s="1"/>
  <c r="AM784" i="7" s="1"/>
  <c r="AM785" i="7" s="1"/>
  <c r="AM786" i="7" s="1"/>
  <c r="AM715" i="7"/>
  <c r="AM716" i="7" s="1"/>
  <c r="AM717" i="7" s="1"/>
  <c r="AM718" i="7" s="1"/>
  <c r="AM719" i="7" s="1"/>
  <c r="AM720" i="7" s="1"/>
  <c r="AM721" i="7" s="1"/>
  <c r="AM722" i="7" s="1"/>
  <c r="AM723" i="7" s="1"/>
  <c r="AM724" i="7" s="1"/>
  <c r="AM725" i="7" s="1"/>
  <c r="AM726" i="7" s="1"/>
  <c r="AM955" i="7"/>
  <c r="AM956" i="7" s="1"/>
  <c r="AM957" i="7" s="1"/>
  <c r="AM958" i="7" s="1"/>
  <c r="AM959" i="7" s="1"/>
  <c r="AM960" i="7" s="1"/>
  <c r="AM961" i="7" s="1"/>
  <c r="AM962" i="7" s="1"/>
  <c r="AM963" i="7" s="1"/>
  <c r="AM964" i="7" s="1"/>
  <c r="AM965" i="7" s="1"/>
  <c r="AM966" i="7" s="1"/>
  <c r="AM559" i="7"/>
  <c r="AM560" i="7" s="1"/>
  <c r="AM561" i="7" s="1"/>
  <c r="AM562" i="7" s="1"/>
  <c r="AM563" i="7" s="1"/>
  <c r="AM564" i="7" s="1"/>
  <c r="AM565" i="7" s="1"/>
  <c r="AM566" i="7" s="1"/>
  <c r="AM567" i="7" s="1"/>
  <c r="AM568" i="7" s="1"/>
  <c r="AM569" i="7" s="1"/>
  <c r="AM570" i="7" s="1"/>
  <c r="AM655" i="7"/>
  <c r="AM656" i="7" s="1"/>
  <c r="AM657" i="7" s="1"/>
  <c r="AM658" i="7" s="1"/>
  <c r="AM659" i="7" s="1"/>
  <c r="AM660" i="7" s="1"/>
  <c r="AM661" i="7" s="1"/>
  <c r="AM662" i="7" s="1"/>
  <c r="AM663" i="7" s="1"/>
  <c r="AM664" i="7" s="1"/>
  <c r="AM665" i="7" s="1"/>
  <c r="AM666" i="7" s="1"/>
  <c r="AM895" i="7"/>
  <c r="AM896" i="7" s="1"/>
  <c r="AM897" i="7" s="1"/>
  <c r="AM898" i="7" s="1"/>
  <c r="AM899" i="7" s="1"/>
  <c r="AM900" i="7" s="1"/>
  <c r="AM901" i="7" s="1"/>
  <c r="AM902" i="7" s="1"/>
  <c r="AM903" i="7" s="1"/>
  <c r="AM904" i="7" s="1"/>
  <c r="AM905" i="7" s="1"/>
  <c r="AM906" i="7" s="1"/>
  <c r="AM967" i="7"/>
  <c r="AM968" i="7" s="1"/>
  <c r="AM969" i="7" s="1"/>
  <c r="AM970" i="7" s="1"/>
  <c r="AM971" i="7" s="1"/>
  <c r="AM972" i="7" s="1"/>
  <c r="AM973" i="7" s="1"/>
  <c r="AM974" i="7" s="1"/>
  <c r="AM975" i="7" s="1"/>
  <c r="AM976" i="7" s="1"/>
  <c r="AM977" i="7" s="1"/>
  <c r="AM978" i="7" s="1"/>
  <c r="AM415" i="7"/>
  <c r="AM416" i="7" s="1"/>
  <c r="AM417" i="7" s="1"/>
  <c r="AM418" i="7" s="1"/>
  <c r="AM419" i="7" s="1"/>
  <c r="AM420" i="7" s="1"/>
  <c r="AM421" i="7" s="1"/>
  <c r="AM422" i="7" s="1"/>
  <c r="AM423" i="7" s="1"/>
  <c r="AM424" i="7" s="1"/>
  <c r="AM425" i="7" s="1"/>
  <c r="AM426" i="7" s="1"/>
  <c r="AM847" i="7"/>
  <c r="AM848" i="7" s="1"/>
  <c r="AM849" i="7" s="1"/>
  <c r="AM850" i="7" s="1"/>
  <c r="AM851" i="7" s="1"/>
  <c r="AM852" i="7" s="1"/>
  <c r="AM853" i="7" s="1"/>
  <c r="AM854" i="7" s="1"/>
  <c r="AM855" i="7" s="1"/>
  <c r="AM856" i="7" s="1"/>
  <c r="AM857" i="7" s="1"/>
  <c r="AM858" i="7" s="1"/>
  <c r="AM835" i="7"/>
  <c r="AM836" i="7" s="1"/>
  <c r="AM837" i="7" s="1"/>
  <c r="AM838" i="7" s="1"/>
  <c r="AM839" i="7" s="1"/>
  <c r="AM840" i="7" s="1"/>
  <c r="AM841" i="7" s="1"/>
  <c r="AM842" i="7" s="1"/>
  <c r="AM843" i="7" s="1"/>
  <c r="AM844" i="7" s="1"/>
  <c r="AM845" i="7" s="1"/>
  <c r="AM846" i="7" s="1"/>
  <c r="AM619" i="7"/>
  <c r="AM620" i="7" s="1"/>
  <c r="AM621" i="7" s="1"/>
  <c r="AM622" i="7" s="1"/>
  <c r="AM623" i="7" s="1"/>
  <c r="AM624" i="7" s="1"/>
  <c r="AM625" i="7" s="1"/>
  <c r="AM626" i="7" s="1"/>
  <c r="AM627" i="7" s="1"/>
  <c r="AM628" i="7" s="1"/>
  <c r="AM629" i="7" s="1"/>
  <c r="AM630" i="7" s="1"/>
  <c r="AM907" i="7"/>
  <c r="AM908" i="7" s="1"/>
  <c r="AM909" i="7" s="1"/>
  <c r="AM910" i="7" s="1"/>
  <c r="AM911" i="7" s="1"/>
  <c r="AM912" i="7" s="1"/>
  <c r="AM913" i="7" s="1"/>
  <c r="AM914" i="7" s="1"/>
  <c r="AM915" i="7" s="1"/>
  <c r="AM916" i="7" s="1"/>
  <c r="AM917" i="7" s="1"/>
  <c r="AM918" i="7" s="1"/>
  <c r="AM667" i="7"/>
  <c r="AM668" i="7" s="1"/>
  <c r="AM669" i="7" s="1"/>
  <c r="AM670" i="7" s="1"/>
  <c r="AM671" i="7" s="1"/>
  <c r="AM672" i="7" s="1"/>
  <c r="AM673" i="7" s="1"/>
  <c r="AM674" i="7" s="1"/>
  <c r="AM675" i="7" s="1"/>
  <c r="AM676" i="7" s="1"/>
  <c r="AM677" i="7" s="1"/>
  <c r="AM678" i="7" s="1"/>
  <c r="AM523" i="7"/>
  <c r="AM524" i="7" s="1"/>
  <c r="AM525" i="7" s="1"/>
  <c r="AM526" i="7" s="1"/>
  <c r="AM527" i="7" s="1"/>
  <c r="AM528" i="7" s="1"/>
  <c r="AM529" i="7" s="1"/>
  <c r="AM530" i="7" s="1"/>
  <c r="AM531" i="7" s="1"/>
  <c r="AM532" i="7" s="1"/>
  <c r="AM533" i="7" s="1"/>
  <c r="AM534" i="7" s="1"/>
  <c r="AM979" i="7"/>
  <c r="AM980" i="7" s="1"/>
  <c r="AM981" i="7" s="1"/>
  <c r="AM982" i="7" s="1"/>
  <c r="AM983" i="7" s="1"/>
  <c r="AM984" i="7" s="1"/>
  <c r="AM985" i="7" s="1"/>
  <c r="AM986" i="7" s="1"/>
  <c r="AM987" i="7" s="1"/>
  <c r="AM988" i="7" s="1"/>
  <c r="AM989" i="7" s="1"/>
  <c r="AM990" i="7" s="1"/>
  <c r="AM499" i="7"/>
  <c r="AM500" i="7" s="1"/>
  <c r="AM501" i="7" s="1"/>
  <c r="AM502" i="7" s="1"/>
  <c r="AM503" i="7" s="1"/>
  <c r="AM504" i="7" s="1"/>
  <c r="AM505" i="7" s="1"/>
  <c r="AM506" i="7" s="1"/>
  <c r="AM507" i="7" s="1"/>
  <c r="AM508" i="7" s="1"/>
  <c r="AM509" i="7" s="1"/>
  <c r="AM510" i="7" s="1"/>
  <c r="AM1063" i="7"/>
  <c r="AM1064" i="7" s="1"/>
  <c r="AM1065" i="7" s="1"/>
  <c r="AM1066" i="7" s="1"/>
  <c r="AM607" i="7"/>
  <c r="AM608" i="7" s="1"/>
  <c r="AM609" i="7" s="1"/>
  <c r="AM610" i="7" s="1"/>
  <c r="AM611" i="7" s="1"/>
  <c r="AM612" i="7" s="1"/>
  <c r="AM613" i="7" s="1"/>
  <c r="AM614" i="7" s="1"/>
  <c r="AM615" i="7" s="1"/>
  <c r="AM616" i="7" s="1"/>
  <c r="AM617" i="7" s="1"/>
  <c r="AM618" i="7" s="1"/>
  <c r="AM463" i="7"/>
  <c r="AM464" i="7" s="1"/>
  <c r="AM465" i="7" s="1"/>
  <c r="AM466" i="7" s="1"/>
  <c r="AM467" i="7" s="1"/>
  <c r="AM468" i="7" s="1"/>
  <c r="AM469" i="7" s="1"/>
  <c r="AM470" i="7" s="1"/>
  <c r="AM471" i="7" s="1"/>
  <c r="AM472" i="7" s="1"/>
  <c r="AM473" i="7" s="1"/>
  <c r="AM474" i="7" s="1"/>
  <c r="AM583" i="7"/>
  <c r="AM584" i="7" s="1"/>
  <c r="AM585" i="7" s="1"/>
  <c r="AM586" i="7" s="1"/>
  <c r="AM587" i="7" s="1"/>
  <c r="AM588" i="7" s="1"/>
  <c r="AM589" i="7" s="1"/>
  <c r="AM590" i="7" s="1"/>
  <c r="AM591" i="7" s="1"/>
  <c r="AM592" i="7" s="1"/>
  <c r="AM593" i="7" s="1"/>
  <c r="AM594" i="7" s="1"/>
  <c r="AM451" i="7"/>
  <c r="AM452" i="7" s="1"/>
  <c r="AM453" i="7" s="1"/>
  <c r="AM454" i="7" s="1"/>
  <c r="AM455" i="7" s="1"/>
  <c r="AM456" i="7" s="1"/>
  <c r="AM457" i="7" s="1"/>
  <c r="AM458" i="7" s="1"/>
  <c r="AM459" i="7" s="1"/>
  <c r="AM460" i="7" s="1"/>
  <c r="AM461" i="7" s="1"/>
  <c r="AM462" i="7" s="1"/>
  <c r="AM679" i="7"/>
  <c r="AM680" i="7" s="1"/>
  <c r="AM681" i="7" s="1"/>
  <c r="AM682" i="7" s="1"/>
  <c r="AM683" i="7" s="1"/>
  <c r="AM684" i="7" s="1"/>
  <c r="AM685" i="7" s="1"/>
  <c r="AM686" i="7" s="1"/>
  <c r="AM687" i="7" s="1"/>
  <c r="AM688" i="7" s="1"/>
  <c r="AM689" i="7" s="1"/>
  <c r="AM690" i="7" s="1"/>
  <c r="AM1015" i="7"/>
  <c r="AM1016" i="7" s="1"/>
  <c r="AM1017" i="7" s="1"/>
  <c r="AM1018" i="7" s="1"/>
  <c r="AM1019" i="7" s="1"/>
  <c r="AM1020" i="7" s="1"/>
  <c r="AM1021" i="7" s="1"/>
  <c r="AM1022" i="7" s="1"/>
  <c r="AM1023" i="7" s="1"/>
  <c r="AM1024" i="7" s="1"/>
  <c r="AM1025" i="7" s="1"/>
  <c r="AM1026" i="7" s="1"/>
  <c r="AM643" i="7"/>
  <c r="AM644" i="7" s="1"/>
  <c r="AM645" i="7" s="1"/>
  <c r="AM646" i="7" s="1"/>
  <c r="AM647" i="7" s="1"/>
  <c r="AM648" i="7" s="1"/>
  <c r="AM649" i="7" s="1"/>
  <c r="AM650" i="7" s="1"/>
  <c r="AM651" i="7" s="1"/>
  <c r="AM652" i="7" s="1"/>
  <c r="AM653" i="7" s="1"/>
  <c r="AM654" i="7" s="1"/>
  <c r="AM595" i="7"/>
  <c r="AM596" i="7" s="1"/>
  <c r="AM597" i="7" s="1"/>
  <c r="AM598" i="7" s="1"/>
  <c r="AM599" i="7" s="1"/>
  <c r="AM600" i="7" s="1"/>
  <c r="AM601" i="7" s="1"/>
  <c r="AM602" i="7" s="1"/>
  <c r="AM603" i="7" s="1"/>
  <c r="AM604" i="7" s="1"/>
  <c r="AM605" i="7" s="1"/>
  <c r="AM606" i="7" s="1"/>
  <c r="AM739" i="7"/>
  <c r="AM740" i="7" s="1"/>
  <c r="AM741" i="7" s="1"/>
  <c r="AM742" i="7" s="1"/>
  <c r="AM743" i="7" s="1"/>
  <c r="AM744" i="7" s="1"/>
  <c r="AM745" i="7" s="1"/>
  <c r="AM746" i="7" s="1"/>
  <c r="AM747" i="7" s="1"/>
  <c r="AM748" i="7" s="1"/>
  <c r="AM749" i="7" s="1"/>
  <c r="AM750" i="7" s="1"/>
  <c r="AM763" i="7"/>
  <c r="AM764" i="7" s="1"/>
  <c r="AM765" i="7" s="1"/>
  <c r="AM766" i="7" s="1"/>
  <c r="AM767" i="7" s="1"/>
  <c r="AM768" i="7" s="1"/>
  <c r="AM769" i="7" s="1"/>
  <c r="AM770" i="7" s="1"/>
  <c r="AM771" i="7" s="1"/>
  <c r="AM772" i="7" s="1"/>
  <c r="AM773" i="7" s="1"/>
  <c r="AM774" i="7" s="1"/>
  <c r="AM475" i="7"/>
  <c r="AM476" i="7" s="1"/>
  <c r="AM477" i="7" s="1"/>
  <c r="AM478" i="7" s="1"/>
  <c r="AM479" i="7" s="1"/>
  <c r="AM480" i="7" s="1"/>
  <c r="AM481" i="7" s="1"/>
  <c r="AM482" i="7" s="1"/>
  <c r="AM483" i="7" s="1"/>
  <c r="AM484" i="7" s="1"/>
  <c r="AM485" i="7" s="1"/>
  <c r="AM486" i="7" s="1"/>
  <c r="AM751" i="7"/>
  <c r="AM752" i="7" s="1"/>
  <c r="AM753" i="7" s="1"/>
  <c r="AM754" i="7" s="1"/>
  <c r="AM755" i="7" s="1"/>
  <c r="AM756" i="7" s="1"/>
  <c r="AM757" i="7" s="1"/>
  <c r="AM758" i="7" s="1"/>
  <c r="AM759" i="7" s="1"/>
  <c r="AM760" i="7" s="1"/>
  <c r="AM761" i="7" s="1"/>
  <c r="AM762" i="7" s="1"/>
  <c r="AM571" i="7"/>
  <c r="AM572" i="7" s="1"/>
  <c r="AM573" i="7" s="1"/>
  <c r="AM574" i="7" s="1"/>
  <c r="AM575" i="7" s="1"/>
  <c r="AM576" i="7" s="1"/>
  <c r="AM577" i="7" s="1"/>
  <c r="AM578" i="7" s="1"/>
  <c r="AM579" i="7" s="1"/>
  <c r="AM580" i="7" s="1"/>
  <c r="AM581" i="7" s="1"/>
  <c r="AM582" i="7" s="1"/>
  <c r="AM931" i="7"/>
  <c r="AM932" i="7" s="1"/>
  <c r="AM933" i="7" s="1"/>
  <c r="AM934" i="7" s="1"/>
  <c r="AM935" i="7" s="1"/>
  <c r="AM936" i="7" s="1"/>
  <c r="AM937" i="7" s="1"/>
  <c r="AM938" i="7" s="1"/>
  <c r="AM939" i="7" s="1"/>
  <c r="AM940" i="7" s="1"/>
  <c r="AM941" i="7" s="1"/>
  <c r="AM942" i="7" s="1"/>
  <c r="AM883" i="7"/>
  <c r="AM884" i="7" s="1"/>
  <c r="AM885" i="7" s="1"/>
  <c r="AM886" i="7" s="1"/>
  <c r="AM887" i="7" s="1"/>
  <c r="AM888" i="7" s="1"/>
  <c r="AM889" i="7" s="1"/>
  <c r="AM890" i="7" s="1"/>
  <c r="AM891" i="7" s="1"/>
  <c r="AM892" i="7" s="1"/>
  <c r="AM893" i="7" s="1"/>
  <c r="AM894" i="7" s="1"/>
  <c r="AM1039" i="7"/>
  <c r="AM1040" i="7" s="1"/>
  <c r="AM1041" i="7" s="1"/>
  <c r="AM1042" i="7" s="1"/>
  <c r="AM1043" i="7" s="1"/>
  <c r="AM1044" i="7" s="1"/>
  <c r="AM1045" i="7" s="1"/>
  <c r="AM1046" i="7" s="1"/>
  <c r="AM1047" i="7" s="1"/>
  <c r="AM1048" i="7" s="1"/>
  <c r="AM1049" i="7" s="1"/>
  <c r="AM1050" i="7" s="1"/>
  <c r="AM703" i="7"/>
  <c r="AM704" i="7" s="1"/>
  <c r="AM705" i="7" s="1"/>
  <c r="AM706" i="7" s="1"/>
  <c r="AM707" i="7" s="1"/>
  <c r="AM708" i="7" s="1"/>
  <c r="AM709" i="7" s="1"/>
  <c r="AM710" i="7" s="1"/>
  <c r="AM711" i="7" s="1"/>
  <c r="AM712" i="7" s="1"/>
  <c r="AM713" i="7" s="1"/>
  <c r="AM714" i="7" s="1"/>
  <c r="AM859" i="7"/>
  <c r="AM860" i="7" s="1"/>
  <c r="AM861" i="7" s="1"/>
  <c r="AM862" i="7" s="1"/>
  <c r="AM863" i="7" s="1"/>
  <c r="AM864" i="7" s="1"/>
  <c r="AM865" i="7" s="1"/>
  <c r="AM866" i="7" s="1"/>
  <c r="AM867" i="7" s="1"/>
  <c r="AM868" i="7" s="1"/>
  <c r="AM869" i="7" s="1"/>
  <c r="AM870" i="7" s="1"/>
  <c r="AM919" i="7"/>
  <c r="AM920" i="7" s="1"/>
  <c r="AM921" i="7" s="1"/>
  <c r="AM922" i="7" s="1"/>
  <c r="AM923" i="7" s="1"/>
  <c r="AM924" i="7" s="1"/>
  <c r="AM925" i="7" s="1"/>
  <c r="AM926" i="7" s="1"/>
  <c r="AM927" i="7" s="1"/>
  <c r="AM928" i="7" s="1"/>
  <c r="AM929" i="7" s="1"/>
  <c r="AM930" i="7" s="1"/>
  <c r="AM427" i="7"/>
  <c r="AM428" i="7" s="1"/>
  <c r="AM429" i="7" s="1"/>
  <c r="AM430" i="7" s="1"/>
  <c r="AM431" i="7" s="1"/>
  <c r="AM432" i="7" s="1"/>
  <c r="AM433" i="7" s="1"/>
  <c r="AM434" i="7" s="1"/>
  <c r="AM435" i="7" s="1"/>
  <c r="AM436" i="7" s="1"/>
  <c r="AM437" i="7" s="1"/>
  <c r="AM438" i="7" s="1"/>
  <c r="AM811" i="7"/>
  <c r="AM812" i="7" s="1"/>
  <c r="AM813" i="7" s="1"/>
  <c r="AM814" i="7" s="1"/>
  <c r="AM815" i="7" s="1"/>
  <c r="AM816" i="7" s="1"/>
  <c r="AM817" i="7" s="1"/>
  <c r="AM818" i="7" s="1"/>
  <c r="AM819" i="7" s="1"/>
  <c r="AM820" i="7" s="1"/>
  <c r="AM821" i="7" s="1"/>
  <c r="AM822" i="7" s="1"/>
  <c r="AM547" i="7"/>
  <c r="AM548" i="7" s="1"/>
  <c r="AM549" i="7" s="1"/>
  <c r="AM550" i="7" s="1"/>
  <c r="AM551" i="7" s="1"/>
  <c r="AM552" i="7" s="1"/>
  <c r="AM553" i="7" s="1"/>
  <c r="AM554" i="7" s="1"/>
  <c r="AM555" i="7" s="1"/>
  <c r="AM556" i="7" s="1"/>
  <c r="AM557" i="7" s="1"/>
  <c r="AM558" i="7" s="1"/>
  <c r="AM799" i="7"/>
  <c r="AM800" i="7" s="1"/>
  <c r="AM801" i="7" s="1"/>
  <c r="AM802" i="7" s="1"/>
  <c r="AM803" i="7" s="1"/>
  <c r="AM804" i="7" s="1"/>
  <c r="AM805" i="7" s="1"/>
  <c r="AM806" i="7" s="1"/>
  <c r="AM807" i="7" s="1"/>
  <c r="AM808" i="7" s="1"/>
  <c r="AM809" i="7" s="1"/>
  <c r="AM810" i="7" s="1"/>
  <c r="AM511" i="7"/>
  <c r="AM512" i="7" s="1"/>
  <c r="AM513" i="7" s="1"/>
  <c r="AM514" i="7" s="1"/>
  <c r="AM515" i="7" s="1"/>
  <c r="AM516" i="7" s="1"/>
  <c r="AM517" i="7" s="1"/>
  <c r="AM518" i="7" s="1"/>
  <c r="AM519" i="7" s="1"/>
  <c r="AM520" i="7" s="1"/>
  <c r="AM521" i="7" s="1"/>
  <c r="AM522" i="7" s="1"/>
  <c r="AM1051" i="7"/>
  <c r="AM1052" i="7" s="1"/>
  <c r="AM1053" i="7" s="1"/>
  <c r="AM1054" i="7" s="1"/>
  <c r="AM1055" i="7" s="1"/>
  <c r="AM1056" i="7" s="1"/>
  <c r="AM1057" i="7" s="1"/>
  <c r="AM1058" i="7" s="1"/>
  <c r="AM1059" i="7" s="1"/>
  <c r="AM1060" i="7" s="1"/>
  <c r="AM1061" i="7" s="1"/>
  <c r="AM1062" i="7" s="1"/>
  <c r="AM535" i="7"/>
  <c r="AM536" i="7" s="1"/>
  <c r="AM537" i="7" s="1"/>
  <c r="AM538" i="7" s="1"/>
  <c r="AM539" i="7" s="1"/>
  <c r="AM540" i="7" s="1"/>
  <c r="AM541" i="7" s="1"/>
  <c r="AM542" i="7" s="1"/>
  <c r="AM543" i="7" s="1"/>
  <c r="AM544" i="7" s="1"/>
  <c r="AM545" i="7" s="1"/>
  <c r="AM546" i="7" s="1"/>
  <c r="AM1027" i="7"/>
  <c r="AM1028" i="7" s="1"/>
  <c r="AM1029" i="7" s="1"/>
  <c r="AM1030" i="7" s="1"/>
  <c r="AM1031" i="7" s="1"/>
  <c r="AM1032" i="7" s="1"/>
  <c r="AM1033" i="7" s="1"/>
  <c r="AM1034" i="7" s="1"/>
  <c r="AM1035" i="7" s="1"/>
  <c r="AM1036" i="7" s="1"/>
  <c r="AM1037" i="7" s="1"/>
  <c r="AM1038" i="7" s="1"/>
  <c r="AM991" i="7"/>
  <c r="AM992" i="7" s="1"/>
  <c r="AM993" i="7" s="1"/>
  <c r="AM994" i="7" s="1"/>
  <c r="AM995" i="7" s="1"/>
  <c r="AM996" i="7" s="1"/>
  <c r="AM997" i="7" s="1"/>
  <c r="AM998" i="7" s="1"/>
  <c r="AM999" i="7" s="1"/>
  <c r="AM1000" i="7" s="1"/>
  <c r="AM1001" i="7" s="1"/>
  <c r="AM1002" i="7" s="1"/>
  <c r="J1061" i="13"/>
  <c r="I1061" i="13"/>
  <c r="F1059" i="13"/>
  <c r="H1060" i="13"/>
  <c r="G1060" i="13"/>
  <c r="AV1017" i="7"/>
  <c r="AV993" i="7"/>
  <c r="AV813" i="7"/>
  <c r="AV621" i="7"/>
  <c r="AV969" i="7"/>
  <c r="AV1005" i="7"/>
  <c r="AV561" i="7"/>
  <c r="AV596" i="7"/>
  <c r="AV452" i="7"/>
  <c r="AV920" i="7"/>
  <c r="AV824" i="7"/>
  <c r="AV488" i="7"/>
  <c r="AV572" i="7"/>
  <c r="AV849" i="7"/>
  <c r="AV837" i="7"/>
  <c r="AV909" i="7"/>
  <c r="AV633" i="7"/>
  <c r="AV741" i="7"/>
  <c r="AV465" i="7"/>
  <c r="AV873" i="7"/>
  <c r="AV777" i="7"/>
  <c r="AV933" i="7"/>
  <c r="AV609" i="7"/>
  <c r="AV753" i="7"/>
  <c r="AV861" i="7"/>
  <c r="AV416" i="7"/>
  <c r="AV705" i="7"/>
  <c r="AV585" i="7"/>
  <c r="AV645" i="7"/>
  <c r="AV981" i="7"/>
  <c r="AV514" i="7"/>
  <c r="AV525" i="7"/>
  <c r="AV441" i="7"/>
  <c r="AV729" i="7"/>
  <c r="AV693" i="7"/>
  <c r="AV765" i="7"/>
  <c r="AV669" i="7"/>
  <c r="AV1040" i="7"/>
  <c r="AV536" i="7"/>
  <c r="AV800" i="7"/>
  <c r="AV957" i="7"/>
  <c r="AV549" i="7"/>
  <c r="AV501" i="7"/>
  <c r="AV1029" i="7"/>
  <c r="AV657" i="7"/>
  <c r="AV1065" i="7"/>
  <c r="AV429" i="7"/>
  <c r="AV717" i="7"/>
  <c r="AV1053" i="7"/>
  <c r="AV885" i="7"/>
  <c r="AV681" i="7"/>
  <c r="AV788" i="7"/>
  <c r="AV944" i="7"/>
  <c r="AV896" i="7"/>
  <c r="AL896" i="7"/>
  <c r="AL897" i="7" s="1"/>
  <c r="AL836" i="7"/>
  <c r="AL837" i="7" s="1"/>
  <c r="AL884" i="7"/>
  <c r="AL885" i="7" s="1"/>
  <c r="AL1016" i="7"/>
  <c r="AL1017" i="7" s="1"/>
  <c r="AL1004" i="7"/>
  <c r="AL1005" i="7" s="1"/>
  <c r="AL1006" i="7" s="1"/>
  <c r="AL536" i="7"/>
  <c r="AL537" i="7" s="1"/>
  <c r="AL440" i="7"/>
  <c r="AL441" i="7" s="1"/>
  <c r="AL944" i="7"/>
  <c r="AL945" i="7" s="1"/>
  <c r="AL752" i="7"/>
  <c r="AL753" i="7" s="1"/>
  <c r="AL1052" i="7"/>
  <c r="AL1053" i="7" s="1"/>
  <c r="AL644" i="7"/>
  <c r="AL645" i="7" s="1"/>
  <c r="AL646" i="7" s="1"/>
  <c r="AL728" i="7"/>
  <c r="AL729" i="7" s="1"/>
  <c r="AL730" i="7" s="1"/>
  <c r="AL500" i="7"/>
  <c r="AL501" i="7" s="1"/>
  <c r="AL908" i="7"/>
  <c r="AL909" i="7" s="1"/>
  <c r="AL512" i="7"/>
  <c r="AL513" i="7" s="1"/>
  <c r="AL692" i="7"/>
  <c r="AL693" i="7" s="1"/>
  <c r="AL694" i="7" s="1"/>
  <c r="AL488" i="7"/>
  <c r="AL489" i="7" s="1"/>
  <c r="AL1064" i="7"/>
  <c r="AL1065" i="7" s="1"/>
  <c r="AL416" i="7"/>
  <c r="AL417" i="7" s="1"/>
  <c r="AL668" i="7"/>
  <c r="AL669" i="7" s="1"/>
  <c r="AL968" i="7"/>
  <c r="AL969" i="7" s="1"/>
  <c r="AL524" i="7"/>
  <c r="AL525" i="7" s="1"/>
  <c r="AL740" i="7"/>
  <c r="AL741" i="7" s="1"/>
  <c r="AL956" i="7"/>
  <c r="AL957" i="7" s="1"/>
  <c r="AL860" i="7"/>
  <c r="AL861" i="7" s="1"/>
  <c r="AL862" i="7" s="1"/>
  <c r="AL812" i="7"/>
  <c r="AL813" i="7" s="1"/>
  <c r="AL872" i="7"/>
  <c r="AL873" i="7" s="1"/>
  <c r="AL932" i="7"/>
  <c r="AL933" i="7" s="1"/>
  <c r="AL934" i="7" s="1"/>
  <c r="AL764" i="7"/>
  <c r="AL765" i="7" s="1"/>
  <c r="AL766" i="7" s="1"/>
  <c r="AL980" i="7"/>
  <c r="AL981" i="7" s="1"/>
  <c r="AL632" i="7"/>
  <c r="AL633" i="7" s="1"/>
  <c r="AL704" i="7"/>
  <c r="AL705" i="7" s="1"/>
  <c r="AL1040" i="7"/>
  <c r="AL1041" i="7" s="1"/>
  <c r="AL776" i="7"/>
  <c r="AL777" i="7" s="1"/>
  <c r="AL620" i="7"/>
  <c r="AL621" i="7" s="1"/>
  <c r="AL656" i="7"/>
  <c r="AL657" i="7" s="1"/>
  <c r="AL464" i="7"/>
  <c r="AL465" i="7" s="1"/>
  <c r="AL680" i="7"/>
  <c r="AL681" i="7" s="1"/>
  <c r="AL572" i="7"/>
  <c r="AL573" i="7" s="1"/>
  <c r="AL608" i="7"/>
  <c r="AL609" i="7" s="1"/>
  <c r="AL596" i="7"/>
  <c r="AL597" i="7" s="1"/>
  <c r="AL560" i="7"/>
  <c r="AL561" i="7" s="1"/>
  <c r="AL548" i="7"/>
  <c r="AL549" i="7" s="1"/>
  <c r="AL452" i="7"/>
  <c r="AL453" i="7" s="1"/>
  <c r="AL788" i="7"/>
  <c r="AL789" i="7" s="1"/>
  <c r="AL428" i="7"/>
  <c r="AL429" i="7" s="1"/>
  <c r="AL920" i="7"/>
  <c r="AL921" i="7" s="1"/>
  <c r="AL922" i="7" s="1"/>
  <c r="AL1028" i="7"/>
  <c r="AL1029" i="7" s="1"/>
  <c r="AL716" i="7"/>
  <c r="AL717" i="7" s="1"/>
  <c r="AL476" i="7"/>
  <c r="AL477" i="7" s="1"/>
  <c r="AL824" i="7"/>
  <c r="AL825" i="7" s="1"/>
  <c r="AL800" i="7"/>
  <c r="AL801" i="7" s="1"/>
  <c r="AL584" i="7"/>
  <c r="AL585" i="7" s="1"/>
  <c r="AL848" i="7"/>
  <c r="AL849" i="7" s="1"/>
  <c r="AL992" i="7"/>
  <c r="AL993" i="7" s="1"/>
  <c r="AL994" i="7" s="1"/>
  <c r="G1062" i="7"/>
  <c r="N1065" i="7"/>
  <c r="H1063" i="7"/>
  <c r="AI1063" i="7" s="1"/>
  <c r="I1063" i="7"/>
  <c r="AG1063" i="7" s="1"/>
  <c r="K1064" i="7"/>
  <c r="L1064" i="7"/>
  <c r="J1064" i="7"/>
  <c r="H1083" i="5"/>
  <c r="I1083" i="5"/>
  <c r="C1082" i="5"/>
  <c r="B1084" i="5"/>
  <c r="F1080" i="5"/>
  <c r="E1080" i="5"/>
  <c r="G1080" i="5"/>
  <c r="K1080" i="5" s="1"/>
  <c r="D1081" i="5"/>
  <c r="J1081" i="5"/>
  <c r="G1061" i="28"/>
  <c r="H1061" i="28" s="1"/>
  <c r="F1060" i="28"/>
  <c r="G1057" i="27"/>
  <c r="H1057" i="27" s="1"/>
  <c r="J1057" i="27" s="1"/>
  <c r="L1057" i="27" s="1"/>
  <c r="F1056" i="27"/>
  <c r="AN632" i="7" l="1"/>
  <c r="AN932" i="7"/>
  <c r="AN908" i="7"/>
  <c r="AN488" i="7"/>
  <c r="AN956" i="7"/>
  <c r="AN728" i="7"/>
  <c r="AO728" i="7" s="1"/>
  <c r="AN944" i="7"/>
  <c r="AN980" i="7"/>
  <c r="AN764" i="7"/>
  <c r="AN1016" i="7"/>
  <c r="AN452" i="7"/>
  <c r="AN464" i="7"/>
  <c r="AN620" i="7"/>
  <c r="AN920" i="7"/>
  <c r="AN776" i="7"/>
  <c r="AN440" i="7"/>
  <c r="AN596" i="7"/>
  <c r="AN668" i="7"/>
  <c r="AN812" i="7"/>
  <c r="AN1028" i="7"/>
  <c r="AN608" i="7"/>
  <c r="AN1052" i="7"/>
  <c r="AN704" i="7"/>
  <c r="AN824" i="7"/>
  <c r="AN572" i="7"/>
  <c r="AN800" i="7"/>
  <c r="AN884" i="7"/>
  <c r="AN896" i="7"/>
  <c r="AN716" i="7"/>
  <c r="AN692" i="7"/>
  <c r="AN536" i="7"/>
  <c r="AN548" i="7"/>
  <c r="AN860" i="7"/>
  <c r="AN1064" i="7"/>
  <c r="AN872" i="7"/>
  <c r="AN644" i="7"/>
  <c r="AN584" i="7"/>
  <c r="AN836" i="7"/>
  <c r="AN416" i="7"/>
  <c r="AN752" i="7"/>
  <c r="AN656" i="7"/>
  <c r="AN1027" i="7"/>
  <c r="AN1051" i="7"/>
  <c r="AN799" i="7"/>
  <c r="AN811" i="7"/>
  <c r="AN919" i="7"/>
  <c r="AN703" i="7"/>
  <c r="AN883" i="7"/>
  <c r="AN571" i="7"/>
  <c r="AN475" i="7"/>
  <c r="AN739" i="7"/>
  <c r="AN643" i="7"/>
  <c r="AN679" i="7"/>
  <c r="AN583" i="7"/>
  <c r="AN607" i="7"/>
  <c r="AN499" i="7"/>
  <c r="AN523" i="7"/>
  <c r="AN907" i="7"/>
  <c r="AN835" i="7"/>
  <c r="AN415" i="7"/>
  <c r="AN895" i="7"/>
  <c r="AN559" i="7"/>
  <c r="AN715" i="7"/>
  <c r="AN787" i="7"/>
  <c r="AN691" i="7"/>
  <c r="AN487" i="7"/>
  <c r="AN823" i="7"/>
  <c r="AN631" i="7"/>
  <c r="AN560" i="7"/>
  <c r="AN788" i="7"/>
  <c r="AN992" i="7"/>
  <c r="AN512" i="7"/>
  <c r="AN428" i="7"/>
  <c r="AN1040" i="7"/>
  <c r="AN524" i="7"/>
  <c r="AN1004" i="7"/>
  <c r="AN740" i="7"/>
  <c r="AN680" i="7"/>
  <c r="AN500" i="7"/>
  <c r="AN848" i="7"/>
  <c r="AN968" i="7"/>
  <c r="AN476" i="7"/>
  <c r="AN991" i="7"/>
  <c r="AN535" i="7"/>
  <c r="AN511" i="7"/>
  <c r="AN547" i="7"/>
  <c r="AN427" i="7"/>
  <c r="AN859" i="7"/>
  <c r="AN1039" i="7"/>
  <c r="AN931" i="7"/>
  <c r="AN751" i="7"/>
  <c r="AN763" i="7"/>
  <c r="AN595" i="7"/>
  <c r="AN1015" i="7"/>
  <c r="AN451" i="7"/>
  <c r="AN463" i="7"/>
  <c r="AN1063" i="7"/>
  <c r="AN979" i="7"/>
  <c r="AN667" i="7"/>
  <c r="AN619" i="7"/>
  <c r="AN847" i="7"/>
  <c r="AN967" i="7"/>
  <c r="AN655" i="7"/>
  <c r="AN955" i="7"/>
  <c r="AN775" i="7"/>
  <c r="AN727" i="7"/>
  <c r="AN439" i="7"/>
  <c r="AN871" i="7"/>
  <c r="AN1003" i="7"/>
  <c r="AN943" i="7"/>
  <c r="AN957" i="7"/>
  <c r="AN777" i="7"/>
  <c r="AN729" i="7"/>
  <c r="AN441" i="7"/>
  <c r="AN1029" i="7"/>
  <c r="AN1053" i="7"/>
  <c r="AN801" i="7"/>
  <c r="AN813" i="7"/>
  <c r="AN921" i="7"/>
  <c r="AN705" i="7"/>
  <c r="AN465" i="7"/>
  <c r="AN981" i="7"/>
  <c r="AN489" i="7"/>
  <c r="AN825" i="7"/>
  <c r="AN633" i="7"/>
  <c r="AN765" i="7"/>
  <c r="AN597" i="7"/>
  <c r="AN1017" i="7"/>
  <c r="AN453" i="7"/>
  <c r="AN609" i="7"/>
  <c r="AN621" i="7"/>
  <c r="AN885" i="7"/>
  <c r="AN933" i="7"/>
  <c r="AN573" i="7"/>
  <c r="AN669" i="7"/>
  <c r="AN897" i="7"/>
  <c r="AN909" i="7"/>
  <c r="AN561" i="7"/>
  <c r="AN717" i="7"/>
  <c r="AN789" i="7"/>
  <c r="AN693" i="7"/>
  <c r="AN993" i="7"/>
  <c r="AN537" i="7"/>
  <c r="AN513" i="7"/>
  <c r="AN549" i="7"/>
  <c r="AN429" i="7"/>
  <c r="AN861" i="7"/>
  <c r="AN1041" i="7"/>
  <c r="AN1065" i="7"/>
  <c r="AN525" i="7"/>
  <c r="AN873" i="7"/>
  <c r="AN1005" i="7"/>
  <c r="AN945" i="7"/>
  <c r="AN741" i="7"/>
  <c r="AN645" i="7"/>
  <c r="AN681" i="7"/>
  <c r="AN585" i="7"/>
  <c r="AN501" i="7"/>
  <c r="AN837" i="7"/>
  <c r="AN849" i="7"/>
  <c r="AN417" i="7"/>
  <c r="AN969" i="7"/>
  <c r="AN753" i="7"/>
  <c r="AN477" i="7"/>
  <c r="AN657" i="7"/>
  <c r="J1060" i="13"/>
  <c r="I1060" i="13"/>
  <c r="F1058" i="13"/>
  <c r="H1059" i="13"/>
  <c r="G1059" i="13"/>
  <c r="AV682" i="7"/>
  <c r="AV718" i="7"/>
  <c r="AV658" i="7"/>
  <c r="AV502" i="7"/>
  <c r="AV801" i="7"/>
  <c r="AV766" i="7"/>
  <c r="AV730" i="7"/>
  <c r="AV526" i="7"/>
  <c r="AV982" i="7"/>
  <c r="AV586" i="7"/>
  <c r="AV934" i="7"/>
  <c r="AV874" i="7"/>
  <c r="AV742" i="7"/>
  <c r="AV910" i="7"/>
  <c r="AV850" i="7"/>
  <c r="AV489" i="7"/>
  <c r="AV970" i="7"/>
  <c r="AV814" i="7"/>
  <c r="AV1018" i="7"/>
  <c r="AV897" i="7"/>
  <c r="AV789" i="7"/>
  <c r="AV886" i="7"/>
  <c r="AV1054" i="7"/>
  <c r="AV1066" i="7"/>
  <c r="AV1030" i="7"/>
  <c r="AV550" i="7"/>
  <c r="AV958" i="7"/>
  <c r="AV537" i="7"/>
  <c r="AV1041" i="7"/>
  <c r="AV670" i="7"/>
  <c r="AV694" i="7"/>
  <c r="AV442" i="7"/>
  <c r="AV515" i="7"/>
  <c r="AV646" i="7"/>
  <c r="AV706" i="7"/>
  <c r="AV862" i="7"/>
  <c r="AV754" i="7"/>
  <c r="AV610" i="7"/>
  <c r="AV778" i="7"/>
  <c r="AV466" i="7"/>
  <c r="AV634" i="7"/>
  <c r="AV838" i="7"/>
  <c r="AV573" i="7"/>
  <c r="AV945" i="7"/>
  <c r="AV417" i="7"/>
  <c r="AV825" i="7"/>
  <c r="AV921" i="7"/>
  <c r="AV453" i="7"/>
  <c r="AV597" i="7"/>
  <c r="AV562" i="7"/>
  <c r="AV1006" i="7"/>
  <c r="AV622" i="7"/>
  <c r="AV994" i="7"/>
  <c r="AH1064" i="7"/>
  <c r="AL442" i="7"/>
  <c r="AL443" i="7" s="1"/>
  <c r="AL838" i="7"/>
  <c r="AL839" i="7" s="1"/>
  <c r="AL647" i="7"/>
  <c r="AL1054" i="7"/>
  <c r="AL850" i="7"/>
  <c r="AL886" i="7"/>
  <c r="AL610" i="7"/>
  <c r="AL767" i="7"/>
  <c r="AL826" i="7"/>
  <c r="AL706" i="7"/>
  <c r="AL718" i="7"/>
  <c r="AL1030" i="7"/>
  <c r="AL742" i="7"/>
  <c r="AL778" i="7"/>
  <c r="AL754" i="7"/>
  <c r="AL923" i="7"/>
  <c r="AL478" i="7"/>
  <c r="AL1042" i="7"/>
  <c r="AL562" i="7"/>
  <c r="AL598" i="7"/>
  <c r="AL622" i="7"/>
  <c r="AL935" i="7"/>
  <c r="AL1066" i="7"/>
  <c r="AL814" i="7"/>
  <c r="AL1018" i="7"/>
  <c r="AL514" i="7"/>
  <c r="AL538" i="7"/>
  <c r="AL790" i="7"/>
  <c r="AL898" i="7"/>
  <c r="AL1007" i="7"/>
  <c r="AL466" i="7"/>
  <c r="AL490" i="7"/>
  <c r="AL970" i="7"/>
  <c r="AL670" i="7"/>
  <c r="AL586" i="7"/>
  <c r="AL454" i="7"/>
  <c r="AL634" i="7"/>
  <c r="AL526" i="7"/>
  <c r="AL946" i="7"/>
  <c r="AL731" i="7"/>
  <c r="AL982" i="7"/>
  <c r="AL695" i="7"/>
  <c r="AL958" i="7"/>
  <c r="AL430" i="7"/>
  <c r="AL418" i="7"/>
  <c r="AL874" i="7"/>
  <c r="AL682" i="7"/>
  <c r="AL863" i="7"/>
  <c r="AL550" i="7"/>
  <c r="AL574" i="7"/>
  <c r="AL995" i="7"/>
  <c r="AL802" i="7"/>
  <c r="AL502" i="7"/>
  <c r="AL910" i="7"/>
  <c r="AL658" i="7"/>
  <c r="K1063" i="7"/>
  <c r="M1064" i="7"/>
  <c r="N1064" i="7" s="1"/>
  <c r="G1061" i="7"/>
  <c r="L1063" i="7"/>
  <c r="J1063" i="7"/>
  <c r="I1062" i="7"/>
  <c r="AG1062" i="7" s="1"/>
  <c r="H1062" i="7"/>
  <c r="AI1062" i="7" s="1"/>
  <c r="G1081" i="5"/>
  <c r="K1081" i="5" s="1"/>
  <c r="E1081" i="5"/>
  <c r="F1081" i="5"/>
  <c r="I1084" i="5"/>
  <c r="C1083" i="5"/>
  <c r="B1085" i="5"/>
  <c r="H1084" i="5"/>
  <c r="D1082" i="5"/>
  <c r="J1082" i="5"/>
  <c r="F1059" i="28"/>
  <c r="G1060" i="28"/>
  <c r="H1060" i="28" s="1"/>
  <c r="G1056" i="27"/>
  <c r="H1056" i="27" s="1"/>
  <c r="J1056" i="27" s="1"/>
  <c r="L1056" i="27" s="1"/>
  <c r="F1055" i="27"/>
  <c r="AN478" i="7" l="1"/>
  <c r="AN970" i="7"/>
  <c r="AN850" i="7"/>
  <c r="AN502" i="7"/>
  <c r="AN682" i="7"/>
  <c r="AN742" i="7"/>
  <c r="AN1006" i="7"/>
  <c r="AN526" i="7"/>
  <c r="AN1042" i="7"/>
  <c r="AN430" i="7"/>
  <c r="AN514" i="7"/>
  <c r="AN994" i="7"/>
  <c r="AN790" i="7"/>
  <c r="AN562" i="7"/>
  <c r="AN898" i="7"/>
  <c r="AN574" i="7"/>
  <c r="AN886" i="7"/>
  <c r="AN610" i="7"/>
  <c r="AN1018" i="7"/>
  <c r="AN766" i="7"/>
  <c r="AN826" i="7"/>
  <c r="AN982" i="7"/>
  <c r="AN706" i="7"/>
  <c r="AN814" i="7"/>
  <c r="AN1054" i="7"/>
  <c r="AN442" i="7"/>
  <c r="AN778" i="7"/>
  <c r="AN658" i="7"/>
  <c r="AN754" i="7"/>
  <c r="AN418" i="7"/>
  <c r="AN838" i="7"/>
  <c r="AN586" i="7"/>
  <c r="AN646" i="7"/>
  <c r="AN946" i="7"/>
  <c r="AN874" i="7"/>
  <c r="AN1066" i="7"/>
  <c r="AN862" i="7"/>
  <c r="AN550" i="7"/>
  <c r="AN538" i="7"/>
  <c r="AN694" i="7"/>
  <c r="AN718" i="7"/>
  <c r="AN910" i="7"/>
  <c r="AN670" i="7"/>
  <c r="AN934" i="7"/>
  <c r="AN622" i="7"/>
  <c r="AN454" i="7"/>
  <c r="AN598" i="7"/>
  <c r="AN634" i="7"/>
  <c r="AN490" i="7"/>
  <c r="AN466" i="7"/>
  <c r="AN922" i="7"/>
  <c r="AN802" i="7"/>
  <c r="AN1030" i="7"/>
  <c r="AN730" i="7"/>
  <c r="AN958" i="7"/>
  <c r="J1059" i="13"/>
  <c r="I1059" i="13"/>
  <c r="F1057" i="13"/>
  <c r="H1058" i="13"/>
  <c r="G1058" i="13"/>
  <c r="AO1028" i="7"/>
  <c r="AO704" i="7"/>
  <c r="AO884" i="7"/>
  <c r="AO536" i="7"/>
  <c r="AO489" i="7"/>
  <c r="AO788" i="7"/>
  <c r="AO716" i="7"/>
  <c r="AO752" i="7"/>
  <c r="AO608" i="7"/>
  <c r="AO980" i="7"/>
  <c r="AO812" i="7"/>
  <c r="AO1004" i="7"/>
  <c r="AO429" i="7"/>
  <c r="AO440" i="7"/>
  <c r="AO968" i="7"/>
  <c r="AO476" i="7"/>
  <c r="AO680" i="7"/>
  <c r="AO524" i="7"/>
  <c r="AO849" i="7"/>
  <c r="AO992" i="7"/>
  <c r="AO824" i="7"/>
  <c r="AO512" i="7"/>
  <c r="AO416" i="7"/>
  <c r="AO584" i="7"/>
  <c r="AO488" i="7"/>
  <c r="AO668" i="7"/>
  <c r="AO1040" i="7"/>
  <c r="AO548" i="7"/>
  <c r="AO644" i="7"/>
  <c r="AO1052" i="7"/>
  <c r="AO657" i="7"/>
  <c r="AO1064" i="7"/>
  <c r="AO656" i="7"/>
  <c r="AO932" i="7"/>
  <c r="AO596" i="7"/>
  <c r="AO1016" i="7"/>
  <c r="AO632" i="7"/>
  <c r="AO560" i="7"/>
  <c r="AO896" i="7"/>
  <c r="AO1029" i="7"/>
  <c r="AO920" i="7"/>
  <c r="AO836" i="7"/>
  <c r="AO776" i="7"/>
  <c r="AO428" i="7"/>
  <c r="AO764" i="7"/>
  <c r="AO944" i="7"/>
  <c r="AO873" i="7"/>
  <c r="AO848" i="7"/>
  <c r="AO692" i="7"/>
  <c r="AO572" i="7"/>
  <c r="AO477" i="7"/>
  <c r="AO464" i="7"/>
  <c r="AO872" i="7"/>
  <c r="AO908" i="7"/>
  <c r="AO729" i="7"/>
  <c r="AO620" i="7"/>
  <c r="AO956" i="7"/>
  <c r="AO740" i="7"/>
  <c r="AO452" i="7"/>
  <c r="AO800" i="7"/>
  <c r="AO500" i="7"/>
  <c r="AO860" i="7"/>
  <c r="AO573" i="7"/>
  <c r="AV1042" i="7"/>
  <c r="AV995" i="7"/>
  <c r="AV1007" i="7"/>
  <c r="AV598" i="7"/>
  <c r="AV922" i="7"/>
  <c r="AV418" i="7"/>
  <c r="AV574" i="7"/>
  <c r="AV635" i="7"/>
  <c r="AV779" i="7"/>
  <c r="AV755" i="7"/>
  <c r="AV707" i="7"/>
  <c r="AV516" i="7"/>
  <c r="AV695" i="7"/>
  <c r="AV959" i="7"/>
  <c r="AV1031" i="7"/>
  <c r="AV887" i="7"/>
  <c r="AV898" i="7"/>
  <c r="AV971" i="7"/>
  <c r="AV490" i="7"/>
  <c r="AV911" i="7"/>
  <c r="AV875" i="7"/>
  <c r="AV587" i="7"/>
  <c r="AV527" i="7"/>
  <c r="AV767" i="7"/>
  <c r="AV802" i="7"/>
  <c r="AV503" i="7"/>
  <c r="AV538" i="7"/>
  <c r="AV623" i="7"/>
  <c r="AV563" i="7"/>
  <c r="AV454" i="7"/>
  <c r="AV826" i="7"/>
  <c r="AV946" i="7"/>
  <c r="AV839" i="7"/>
  <c r="AV467" i="7"/>
  <c r="AV611" i="7"/>
  <c r="AV863" i="7"/>
  <c r="AV647" i="7"/>
  <c r="AV443" i="7"/>
  <c r="AV671" i="7"/>
  <c r="AV551" i="7"/>
  <c r="AV1055" i="7"/>
  <c r="AV790" i="7"/>
  <c r="AV1019" i="7"/>
  <c r="AV815" i="7"/>
  <c r="AV851" i="7"/>
  <c r="AV743" i="7"/>
  <c r="AV935" i="7"/>
  <c r="AV983" i="7"/>
  <c r="AV731" i="7"/>
  <c r="AV659" i="7"/>
  <c r="AV719" i="7"/>
  <c r="AV683" i="7"/>
  <c r="AH1063" i="7"/>
  <c r="AL648" i="7"/>
  <c r="AL649" i="7" s="1"/>
  <c r="AL1055" i="7"/>
  <c r="AL671" i="7"/>
  <c r="AL491" i="7"/>
  <c r="AL515" i="7"/>
  <c r="AL887" i="7"/>
  <c r="AL911" i="7"/>
  <c r="AL803" i="7"/>
  <c r="AL575" i="7"/>
  <c r="AL683" i="7"/>
  <c r="AL419" i="7"/>
  <c r="AL959" i="7"/>
  <c r="AL696" i="7"/>
  <c r="AL947" i="7"/>
  <c r="AL635" i="7"/>
  <c r="AL455" i="7"/>
  <c r="AL840" i="7"/>
  <c r="AL1008" i="7"/>
  <c r="AL791" i="7"/>
  <c r="AL815" i="7"/>
  <c r="AL623" i="7"/>
  <c r="AL563" i="7"/>
  <c r="AL1043" i="7"/>
  <c r="AL924" i="7"/>
  <c r="AL779" i="7"/>
  <c r="AL1031" i="7"/>
  <c r="AL707" i="7"/>
  <c r="AL444" i="7"/>
  <c r="AL587" i="7"/>
  <c r="AL599" i="7"/>
  <c r="AL611" i="7"/>
  <c r="AL851" i="7"/>
  <c r="AL659" i="7"/>
  <c r="AL503" i="7"/>
  <c r="AL996" i="7"/>
  <c r="AL551" i="7"/>
  <c r="AL864" i="7"/>
  <c r="AL875" i="7"/>
  <c r="AL431" i="7"/>
  <c r="AL983" i="7"/>
  <c r="AL732" i="7"/>
  <c r="AL527" i="7"/>
  <c r="AL971" i="7"/>
  <c r="AL467" i="7"/>
  <c r="AL899" i="7"/>
  <c r="AL539" i="7"/>
  <c r="AL1019" i="7"/>
  <c r="AL936" i="7"/>
  <c r="AL479" i="7"/>
  <c r="AL755" i="7"/>
  <c r="AL743" i="7"/>
  <c r="AL719" i="7"/>
  <c r="AL827" i="7"/>
  <c r="AL768" i="7"/>
  <c r="M1063" i="7"/>
  <c r="N1063" i="7" s="1"/>
  <c r="K1062" i="7"/>
  <c r="G1060" i="7"/>
  <c r="J1062" i="7"/>
  <c r="AH1062" i="7" s="1"/>
  <c r="L1062" i="7"/>
  <c r="I1061" i="7"/>
  <c r="AG1061" i="7" s="1"/>
  <c r="H1061" i="7"/>
  <c r="AI1061" i="7" s="1"/>
  <c r="F1082" i="5"/>
  <c r="E1082" i="5"/>
  <c r="G1082" i="5"/>
  <c r="K1082" i="5" s="1"/>
  <c r="B1086" i="5"/>
  <c r="C1084" i="5"/>
  <c r="I1085" i="5"/>
  <c r="H1085" i="5"/>
  <c r="D1083" i="5"/>
  <c r="J1083" i="5"/>
  <c r="G1059" i="28"/>
  <c r="H1059" i="28" s="1"/>
  <c r="F1058" i="28"/>
  <c r="G1055" i="27"/>
  <c r="H1055" i="27" s="1"/>
  <c r="J1055" i="27" s="1"/>
  <c r="L1055" i="27" s="1"/>
  <c r="F1054" i="27"/>
  <c r="AN731" i="7" l="1"/>
  <c r="AN803" i="7"/>
  <c r="AN467" i="7"/>
  <c r="AN635" i="7"/>
  <c r="AN455" i="7"/>
  <c r="AN935" i="7"/>
  <c r="AN911" i="7"/>
  <c r="AN695" i="7"/>
  <c r="AN551" i="7"/>
  <c r="AN947" i="7"/>
  <c r="AN587" i="7"/>
  <c r="AN419" i="7"/>
  <c r="AN659" i="7"/>
  <c r="AN443" i="7"/>
  <c r="AN815" i="7"/>
  <c r="AN983" i="7"/>
  <c r="AN767" i="7"/>
  <c r="AN611" i="7"/>
  <c r="AN575" i="7"/>
  <c r="AN563" i="7"/>
  <c r="AN995" i="7"/>
  <c r="AN431" i="7"/>
  <c r="AN527" i="7"/>
  <c r="AN743" i="7"/>
  <c r="AN503" i="7"/>
  <c r="AN971" i="7"/>
  <c r="AN959" i="7"/>
  <c r="AN1031" i="7"/>
  <c r="AN923" i="7"/>
  <c r="AN491" i="7"/>
  <c r="AN599" i="7"/>
  <c r="AN623" i="7"/>
  <c r="AN671" i="7"/>
  <c r="AN719" i="7"/>
  <c r="AN539" i="7"/>
  <c r="AN863" i="7"/>
  <c r="AN875" i="7"/>
  <c r="AN647" i="7"/>
  <c r="AN839" i="7"/>
  <c r="AN755" i="7"/>
  <c r="AN779" i="7"/>
  <c r="AN1055" i="7"/>
  <c r="AN707" i="7"/>
  <c r="AN827" i="7"/>
  <c r="AN1019" i="7"/>
  <c r="AN887" i="7"/>
  <c r="AN899" i="7"/>
  <c r="AN791" i="7"/>
  <c r="AN515" i="7"/>
  <c r="AN1043" i="7"/>
  <c r="AN1007" i="7"/>
  <c r="AN683" i="7"/>
  <c r="AN851" i="7"/>
  <c r="AN479" i="7"/>
  <c r="J1058" i="13"/>
  <c r="I1058" i="13"/>
  <c r="F1056" i="13"/>
  <c r="H1057" i="13"/>
  <c r="G1057" i="13"/>
  <c r="AR1063" i="7"/>
  <c r="AR1065" i="7"/>
  <c r="AR1064" i="7"/>
  <c r="AR1066" i="7"/>
  <c r="AO574" i="7"/>
  <c r="AO609" i="7"/>
  <c r="AO597" i="7"/>
  <c r="AO993" i="7"/>
  <c r="AO874" i="7"/>
  <c r="AO765" i="7"/>
  <c r="AO777" i="7"/>
  <c r="AO549" i="7"/>
  <c r="AO945" i="7"/>
  <c r="AO801" i="7"/>
  <c r="AO1065" i="7"/>
  <c r="AO621" i="7"/>
  <c r="AO1054" i="7"/>
  <c r="AO1005" i="7"/>
  <c r="AO501" i="7"/>
  <c r="AO957" i="7"/>
  <c r="AO909" i="7"/>
  <c r="AO717" i="7"/>
  <c r="AO430" i="7"/>
  <c r="AO465" i="7"/>
  <c r="AO981" i="7"/>
  <c r="AO897" i="7"/>
  <c r="AO813" i="7"/>
  <c r="AO741" i="7"/>
  <c r="AO441" i="7"/>
  <c r="AO634" i="7"/>
  <c r="AO766" i="7"/>
  <c r="AO1018" i="7"/>
  <c r="AO1041" i="7"/>
  <c r="AO681" i="7"/>
  <c r="AO513" i="7"/>
  <c r="AO705" i="7"/>
  <c r="AO789" i="7"/>
  <c r="AO921" i="7"/>
  <c r="AO1006" i="7"/>
  <c r="AO417" i="7"/>
  <c r="AO478" i="7"/>
  <c r="AO730" i="7"/>
  <c r="AO585" i="7"/>
  <c r="AO525" i="7"/>
  <c r="AO633" i="7"/>
  <c r="AO969" i="7"/>
  <c r="AO1017" i="7"/>
  <c r="AO885" i="7"/>
  <c r="AO753" i="7"/>
  <c r="AO453" i="7"/>
  <c r="AO861" i="7"/>
  <c r="AO706" i="7"/>
  <c r="AO837" i="7"/>
  <c r="AO490" i="7"/>
  <c r="AO825" i="7"/>
  <c r="AO850" i="7"/>
  <c r="AO658" i="7"/>
  <c r="AO933" i="7"/>
  <c r="AO454" i="7"/>
  <c r="AO1030" i="7"/>
  <c r="AO1066" i="7"/>
  <c r="AO693" i="7"/>
  <c r="AO561" i="7"/>
  <c r="AO645" i="7"/>
  <c r="AO537" i="7"/>
  <c r="AO1053" i="7"/>
  <c r="AO669" i="7"/>
  <c r="AO586" i="7"/>
  <c r="AO838" i="7"/>
  <c r="AV720" i="7"/>
  <c r="AV732" i="7"/>
  <c r="AV744" i="7"/>
  <c r="AV816" i="7"/>
  <c r="AV791" i="7"/>
  <c r="AV947" i="7"/>
  <c r="AV899" i="7"/>
  <c r="AV419" i="7"/>
  <c r="AV552" i="7"/>
  <c r="AV444" i="7"/>
  <c r="AV864" i="7"/>
  <c r="AV468" i="7"/>
  <c r="AV455" i="7"/>
  <c r="AV624" i="7"/>
  <c r="AV504" i="7"/>
  <c r="AV803" i="7"/>
  <c r="AV528" i="7"/>
  <c r="AV912" i="7"/>
  <c r="AV972" i="7"/>
  <c r="AV960" i="7"/>
  <c r="AV517" i="7"/>
  <c r="AV756" i="7"/>
  <c r="AV636" i="7"/>
  <c r="AV599" i="7"/>
  <c r="AV996" i="7"/>
  <c r="AV684" i="7"/>
  <c r="AV660" i="7"/>
  <c r="AV984" i="7"/>
  <c r="AV936" i="7"/>
  <c r="AV852" i="7"/>
  <c r="AV1020" i="7"/>
  <c r="AV1056" i="7"/>
  <c r="AV923" i="7"/>
  <c r="AV672" i="7"/>
  <c r="AV648" i="7"/>
  <c r="AV612" i="7"/>
  <c r="AV840" i="7"/>
  <c r="AV827" i="7"/>
  <c r="AV564" i="7"/>
  <c r="AV539" i="7"/>
  <c r="AV768" i="7"/>
  <c r="AV588" i="7"/>
  <c r="AV876" i="7"/>
  <c r="AV491" i="7"/>
  <c r="AV888" i="7"/>
  <c r="AV1032" i="7"/>
  <c r="AV696" i="7"/>
  <c r="AV708" i="7"/>
  <c r="AV780" i="7"/>
  <c r="AV575" i="7"/>
  <c r="AV1008" i="7"/>
  <c r="AV1043" i="7"/>
  <c r="AL1056" i="7"/>
  <c r="AL432" i="7"/>
  <c r="AL888" i="7"/>
  <c r="AL769" i="7"/>
  <c r="AL720" i="7"/>
  <c r="AL756" i="7"/>
  <c r="AL650" i="7"/>
  <c r="AL540" i="7"/>
  <c r="AL468" i="7"/>
  <c r="AL528" i="7"/>
  <c r="AL984" i="7"/>
  <c r="AL865" i="7"/>
  <c r="AL504" i="7"/>
  <c r="AL852" i="7"/>
  <c r="AL600" i="7"/>
  <c r="AL445" i="7"/>
  <c r="AL1032" i="7"/>
  <c r="AL925" i="7"/>
  <c r="AL564" i="7"/>
  <c r="AL816" i="7"/>
  <c r="AL1009" i="7"/>
  <c r="AL456" i="7"/>
  <c r="AL948" i="7"/>
  <c r="AL960" i="7"/>
  <c r="AL684" i="7"/>
  <c r="AL804" i="7"/>
  <c r="AL492" i="7"/>
  <c r="AL972" i="7"/>
  <c r="AL624" i="7"/>
  <c r="AL672" i="7"/>
  <c r="AL828" i="7"/>
  <c r="AL744" i="7"/>
  <c r="AL480" i="7"/>
  <c r="AL937" i="7"/>
  <c r="AL1020" i="7"/>
  <c r="AL900" i="7"/>
  <c r="AL733" i="7"/>
  <c r="AL876" i="7"/>
  <c r="AL552" i="7"/>
  <c r="AL997" i="7"/>
  <c r="AL660" i="7"/>
  <c r="AL612" i="7"/>
  <c r="AL588" i="7"/>
  <c r="AL708" i="7"/>
  <c r="AL780" i="7"/>
  <c r="AL1044" i="7"/>
  <c r="AL792" i="7"/>
  <c r="AL841" i="7"/>
  <c r="AL636" i="7"/>
  <c r="AL697" i="7"/>
  <c r="AL420" i="7"/>
  <c r="AL576" i="7"/>
  <c r="AL912" i="7"/>
  <c r="AL516" i="7"/>
  <c r="K1061" i="7"/>
  <c r="L1061" i="7"/>
  <c r="J1061" i="7"/>
  <c r="G1059" i="7"/>
  <c r="M1062" i="7"/>
  <c r="N1062" i="7" s="1"/>
  <c r="H1060" i="7"/>
  <c r="AI1060" i="7" s="1"/>
  <c r="I1060" i="7"/>
  <c r="AG1060" i="7" s="1"/>
  <c r="E1083" i="5"/>
  <c r="F1083" i="5"/>
  <c r="G1083" i="5"/>
  <c r="K1083" i="5" s="1"/>
  <c r="B1087" i="5"/>
  <c r="H1086" i="5"/>
  <c r="C1085" i="5"/>
  <c r="I1086" i="5"/>
  <c r="D1084" i="5"/>
  <c r="J1084" i="5"/>
  <c r="G1058" i="28"/>
  <c r="H1058" i="28" s="1"/>
  <c r="F1057" i="28"/>
  <c r="G1054" i="27"/>
  <c r="H1054" i="27" s="1"/>
  <c r="J1054" i="27" s="1"/>
  <c r="L1054" i="27" s="1"/>
  <c r="F1053" i="27"/>
  <c r="AN480" i="7" l="1"/>
  <c r="AN684" i="7"/>
  <c r="AN1044" i="7"/>
  <c r="AN792" i="7"/>
  <c r="AN888" i="7"/>
  <c r="AN828" i="7"/>
  <c r="AN1056" i="7"/>
  <c r="AN756" i="7"/>
  <c r="AO755" i="7"/>
  <c r="AN648" i="7"/>
  <c r="AN864" i="7"/>
  <c r="AN720" i="7"/>
  <c r="AN624" i="7"/>
  <c r="AN492" i="7"/>
  <c r="AN1032" i="7"/>
  <c r="AO1031" i="7"/>
  <c r="AN972" i="7"/>
  <c r="AN744" i="7"/>
  <c r="AN432" i="7"/>
  <c r="AN564" i="7"/>
  <c r="AN612" i="7"/>
  <c r="AN984" i="7"/>
  <c r="AN444" i="7"/>
  <c r="AN420" i="7"/>
  <c r="AN948" i="7"/>
  <c r="AN696" i="7"/>
  <c r="AN936" i="7"/>
  <c r="AN636" i="7"/>
  <c r="AO635" i="7"/>
  <c r="AN804" i="7"/>
  <c r="AN852" i="7"/>
  <c r="AO851" i="7"/>
  <c r="AN1008" i="7"/>
  <c r="AN516" i="7"/>
  <c r="AO515" i="7"/>
  <c r="AN900" i="7"/>
  <c r="AN1020" i="7"/>
  <c r="AO1019" i="7"/>
  <c r="AN708" i="7"/>
  <c r="AN780" i="7"/>
  <c r="AO779" i="7"/>
  <c r="AN840" i="7"/>
  <c r="AN876" i="7"/>
  <c r="AN540" i="7"/>
  <c r="AN672" i="7"/>
  <c r="AN600" i="7"/>
  <c r="AN924" i="7"/>
  <c r="AO923" i="7"/>
  <c r="AN960" i="7"/>
  <c r="AN504" i="7"/>
  <c r="AN528" i="7"/>
  <c r="AN996" i="7"/>
  <c r="AN576" i="7"/>
  <c r="AN768" i="7"/>
  <c r="AN816" i="7"/>
  <c r="AN660" i="7"/>
  <c r="AO659" i="7"/>
  <c r="AN588" i="7"/>
  <c r="AN552" i="7"/>
  <c r="AN912" i="7"/>
  <c r="AN456" i="7"/>
  <c r="AO455" i="7"/>
  <c r="AN468" i="7"/>
  <c r="AN732" i="7"/>
  <c r="J1057" i="13"/>
  <c r="I1057" i="13"/>
  <c r="F1055" i="13"/>
  <c r="H1056" i="13"/>
  <c r="G1056" i="13"/>
  <c r="AO491" i="7"/>
  <c r="AO839" i="7"/>
  <c r="AO479" i="7"/>
  <c r="AO587" i="7"/>
  <c r="AO922" i="7"/>
  <c r="AO946" i="7"/>
  <c r="AO466" i="7"/>
  <c r="AO934" i="7"/>
  <c r="AO814" i="7"/>
  <c r="AO886" i="7"/>
  <c r="AO622" i="7"/>
  <c r="AO647" i="7"/>
  <c r="AO538" i="7"/>
  <c r="AO514" i="7"/>
  <c r="AO526" i="7"/>
  <c r="AO707" i="7"/>
  <c r="AO539" i="7"/>
  <c r="AO575" i="7"/>
  <c r="AO731" i="7"/>
  <c r="AO610" i="7"/>
  <c r="AO718" i="7"/>
  <c r="AO418" i="7"/>
  <c r="AO826" i="7"/>
  <c r="AO742" i="7"/>
  <c r="AO815" i="7"/>
  <c r="AO562" i="7"/>
  <c r="AO502" i="7"/>
  <c r="AO862" i="7"/>
  <c r="AO767" i="7"/>
  <c r="AO959" i="7"/>
  <c r="AO875" i="7"/>
  <c r="AO994" i="7"/>
  <c r="AO970" i="7"/>
  <c r="AO778" i="7"/>
  <c r="AO790" i="7"/>
  <c r="AO694" i="7"/>
  <c r="AO1042" i="7"/>
  <c r="AO754" i="7"/>
  <c r="AO646" i="7"/>
  <c r="AO958" i="7"/>
  <c r="AO803" i="7"/>
  <c r="AO527" i="7"/>
  <c r="AO431" i="7"/>
  <c r="AO611" i="7"/>
  <c r="AO1007" i="7"/>
  <c r="AO598" i="7"/>
  <c r="AO910" i="7"/>
  <c r="AO982" i="7"/>
  <c r="AO550" i="7"/>
  <c r="AO442" i="7"/>
  <c r="AO670" i="7"/>
  <c r="AO682" i="7"/>
  <c r="AO898" i="7"/>
  <c r="AO863" i="7"/>
  <c r="AO802" i="7"/>
  <c r="AV576" i="7"/>
  <c r="AV709" i="7"/>
  <c r="AV1033" i="7"/>
  <c r="AV877" i="7"/>
  <c r="AV769" i="7"/>
  <c r="AV828" i="7"/>
  <c r="AV613" i="7"/>
  <c r="AV673" i="7"/>
  <c r="AV1057" i="7"/>
  <c r="AV937" i="7"/>
  <c r="AV685" i="7"/>
  <c r="AV997" i="7"/>
  <c r="AV637" i="7"/>
  <c r="AV518" i="7"/>
  <c r="AV913" i="7"/>
  <c r="AV529" i="7"/>
  <c r="AV505" i="7"/>
  <c r="AV456" i="7"/>
  <c r="AV865" i="7"/>
  <c r="AV553" i="7"/>
  <c r="AV900" i="7"/>
  <c r="AV792" i="7"/>
  <c r="AV540" i="7"/>
  <c r="AV804" i="7"/>
  <c r="AV948" i="7"/>
  <c r="AV721" i="7"/>
  <c r="AV1044" i="7"/>
  <c r="AV1009" i="7"/>
  <c r="AV781" i="7"/>
  <c r="AV697" i="7"/>
  <c r="AV889" i="7"/>
  <c r="AV492" i="7"/>
  <c r="AV589" i="7"/>
  <c r="AV565" i="7"/>
  <c r="AV841" i="7"/>
  <c r="AV649" i="7"/>
  <c r="AV924" i="7"/>
  <c r="AV1021" i="7"/>
  <c r="AV853" i="7"/>
  <c r="AV985" i="7"/>
  <c r="AV661" i="7"/>
  <c r="AV600" i="7"/>
  <c r="AV757" i="7"/>
  <c r="AV961" i="7"/>
  <c r="AV973" i="7"/>
  <c r="AV625" i="7"/>
  <c r="AV469" i="7"/>
  <c r="AV445" i="7"/>
  <c r="AV420" i="7"/>
  <c r="AV817" i="7"/>
  <c r="AV745" i="7"/>
  <c r="AV733" i="7"/>
  <c r="AH1061" i="7"/>
  <c r="AL1057" i="7"/>
  <c r="AL565" i="7"/>
  <c r="AL517" i="7"/>
  <c r="AL577" i="7"/>
  <c r="AL421" i="7"/>
  <c r="AL842" i="7"/>
  <c r="AL781" i="7"/>
  <c r="AL613" i="7"/>
  <c r="AL998" i="7"/>
  <c r="AL877" i="7"/>
  <c r="AL734" i="7"/>
  <c r="AL901" i="7"/>
  <c r="AL938" i="7"/>
  <c r="AL745" i="7"/>
  <c r="AL673" i="7"/>
  <c r="AL973" i="7"/>
  <c r="AL805" i="7"/>
  <c r="AL685" i="7"/>
  <c r="AL457" i="7"/>
  <c r="AL817" i="7"/>
  <c r="AL1033" i="7"/>
  <c r="AL446" i="7"/>
  <c r="AL853" i="7"/>
  <c r="AL985" i="7"/>
  <c r="AL541" i="7"/>
  <c r="AL721" i="7"/>
  <c r="AL889" i="7"/>
  <c r="AL493" i="7"/>
  <c r="AL913" i="7"/>
  <c r="AL698" i="7"/>
  <c r="AL637" i="7"/>
  <c r="AL793" i="7"/>
  <c r="AL1045" i="7"/>
  <c r="AL709" i="7"/>
  <c r="AL589" i="7"/>
  <c r="AL661" i="7"/>
  <c r="AL553" i="7"/>
  <c r="AL1021" i="7"/>
  <c r="AL481" i="7"/>
  <c r="AL829" i="7"/>
  <c r="AL625" i="7"/>
  <c r="AL961" i="7"/>
  <c r="AL949" i="7"/>
  <c r="AL1010" i="7"/>
  <c r="AL926" i="7"/>
  <c r="AL601" i="7"/>
  <c r="AL505" i="7"/>
  <c r="AL866" i="7"/>
  <c r="AL529" i="7"/>
  <c r="AL469" i="7"/>
  <c r="AL651" i="7"/>
  <c r="AL757" i="7"/>
  <c r="AL770" i="7"/>
  <c r="AL433" i="7"/>
  <c r="M1061" i="7"/>
  <c r="N1061" i="7" s="1"/>
  <c r="J1060" i="7"/>
  <c r="L1060" i="7"/>
  <c r="G1058" i="7"/>
  <c r="K1060" i="7"/>
  <c r="H1059" i="7"/>
  <c r="AI1059" i="7" s="1"/>
  <c r="I1059" i="7"/>
  <c r="AG1059" i="7" s="1"/>
  <c r="E1084" i="5"/>
  <c r="F1084" i="5"/>
  <c r="G1084" i="5"/>
  <c r="K1084" i="5" s="1"/>
  <c r="I1087" i="5"/>
  <c r="C1086" i="5"/>
  <c r="B1088" i="5"/>
  <c r="H1087" i="5"/>
  <c r="D1085" i="5"/>
  <c r="J1085" i="5"/>
  <c r="G1057" i="28"/>
  <c r="H1057" i="28" s="1"/>
  <c r="F1056" i="28"/>
  <c r="G1053" i="27"/>
  <c r="H1053" i="27" s="1"/>
  <c r="J1053" i="27" s="1"/>
  <c r="L1053" i="27" s="1"/>
  <c r="F1052" i="27"/>
  <c r="AN733" i="7" l="1"/>
  <c r="AN457" i="7"/>
  <c r="AO456" i="7"/>
  <c r="AN553" i="7"/>
  <c r="AN661" i="7"/>
  <c r="AN769" i="7"/>
  <c r="AN997" i="7"/>
  <c r="AN505" i="7"/>
  <c r="AN925" i="7"/>
  <c r="AN673" i="7"/>
  <c r="AN877" i="7"/>
  <c r="AO876" i="7"/>
  <c r="AN781" i="7"/>
  <c r="AN1021" i="7"/>
  <c r="AO1020" i="7"/>
  <c r="AN517" i="7"/>
  <c r="AN853" i="7"/>
  <c r="AO852" i="7"/>
  <c r="AN637" i="7"/>
  <c r="AN697" i="7"/>
  <c r="AN421" i="7"/>
  <c r="AN985" i="7"/>
  <c r="AN565" i="7"/>
  <c r="AN745" i="7"/>
  <c r="AO744" i="7"/>
  <c r="AN1033" i="7"/>
  <c r="AN625" i="7"/>
  <c r="AO624" i="7"/>
  <c r="AN865" i="7"/>
  <c r="AN757" i="7"/>
  <c r="AO756" i="7"/>
  <c r="AN829" i="7"/>
  <c r="AN793" i="7"/>
  <c r="AN685" i="7"/>
  <c r="AN469" i="7"/>
  <c r="AN913" i="7"/>
  <c r="AN589" i="7"/>
  <c r="AO588" i="7"/>
  <c r="AN817" i="7"/>
  <c r="AN577" i="7"/>
  <c r="AO576" i="7"/>
  <c r="AN529" i="7"/>
  <c r="AN961" i="7"/>
  <c r="AO960" i="7"/>
  <c r="AN601" i="7"/>
  <c r="AN541" i="7"/>
  <c r="AO540" i="7"/>
  <c r="AN841" i="7"/>
  <c r="AN709" i="7"/>
  <c r="AO708" i="7"/>
  <c r="AN901" i="7"/>
  <c r="AN1009" i="7"/>
  <c r="AO1008" i="7"/>
  <c r="AN805" i="7"/>
  <c r="AN937" i="7"/>
  <c r="AN949" i="7"/>
  <c r="AN445" i="7"/>
  <c r="AN613" i="7"/>
  <c r="AN433" i="7"/>
  <c r="AN973" i="7"/>
  <c r="AN493" i="7"/>
  <c r="AO492" i="7"/>
  <c r="AN721" i="7"/>
  <c r="AO720" i="7"/>
  <c r="AN649" i="7"/>
  <c r="AO648" i="7"/>
  <c r="AN1057" i="7"/>
  <c r="AN889" i="7"/>
  <c r="AN1045" i="7"/>
  <c r="AN481" i="7"/>
  <c r="AO480" i="7"/>
  <c r="J1056" i="13"/>
  <c r="I1056" i="13"/>
  <c r="F1054" i="13"/>
  <c r="H1055" i="13"/>
  <c r="G1055" i="13"/>
  <c r="AO528" i="7"/>
  <c r="AO888" i="7"/>
  <c r="AO912" i="7"/>
  <c r="AO636" i="7"/>
  <c r="AO516" i="7"/>
  <c r="AO804" i="7"/>
  <c r="AO995" i="7"/>
  <c r="AO1043" i="7"/>
  <c r="AO683" i="7"/>
  <c r="AO768" i="7"/>
  <c r="AO696" i="7"/>
  <c r="AO1032" i="7"/>
  <c r="AO684" i="7"/>
  <c r="AO900" i="7"/>
  <c r="AO600" i="7"/>
  <c r="AO983" i="7"/>
  <c r="AO551" i="7"/>
  <c r="AO791" i="7"/>
  <c r="AO1044" i="7"/>
  <c r="AO671" i="7"/>
  <c r="AO563" i="7"/>
  <c r="AO503" i="7"/>
  <c r="AO623" i="7"/>
  <c r="AO924" i="7"/>
  <c r="AO564" i="7"/>
  <c r="AO816" i="7"/>
  <c r="AO732" i="7"/>
  <c r="AO432" i="7"/>
  <c r="AO504" i="7"/>
  <c r="AO599" i="7"/>
  <c r="AO971" i="7"/>
  <c r="AO911" i="7"/>
  <c r="AO719" i="7"/>
  <c r="AO552" i="7"/>
  <c r="AO443" i="7"/>
  <c r="AO420" i="7"/>
  <c r="AO1056" i="7"/>
  <c r="AO1055" i="7"/>
  <c r="AO660" i="7"/>
  <c r="AO828" i="7"/>
  <c r="AO612" i="7"/>
  <c r="AO840" i="7"/>
  <c r="AO984" i="7"/>
  <c r="AO935" i="7"/>
  <c r="AO467" i="7"/>
  <c r="AO947" i="7"/>
  <c r="AO695" i="7"/>
  <c r="AO827" i="7"/>
  <c r="AO419" i="7"/>
  <c r="AO672" i="7"/>
  <c r="AO887" i="7"/>
  <c r="AO899" i="7"/>
  <c r="AO743" i="7"/>
  <c r="AV746" i="7"/>
  <c r="AV421" i="7"/>
  <c r="AV470" i="7"/>
  <c r="AV974" i="7"/>
  <c r="AV758" i="7"/>
  <c r="AV986" i="7"/>
  <c r="AV1022" i="7"/>
  <c r="AV650" i="7"/>
  <c r="AV566" i="7"/>
  <c r="AV590" i="7"/>
  <c r="AV890" i="7"/>
  <c r="AV782" i="7"/>
  <c r="AV1045" i="7"/>
  <c r="AV949" i="7"/>
  <c r="AV541" i="7"/>
  <c r="AV793" i="7"/>
  <c r="AV554" i="7"/>
  <c r="AV457" i="7"/>
  <c r="AV506" i="7"/>
  <c r="AV914" i="7"/>
  <c r="AV519" i="7"/>
  <c r="AV998" i="7"/>
  <c r="AV674" i="7"/>
  <c r="AV829" i="7"/>
  <c r="AV878" i="7"/>
  <c r="AV1034" i="7"/>
  <c r="AV577" i="7"/>
  <c r="AV805" i="7"/>
  <c r="AV734" i="7"/>
  <c r="AV818" i="7"/>
  <c r="AV446" i="7"/>
  <c r="AV626" i="7"/>
  <c r="AV962" i="7"/>
  <c r="AV601" i="7"/>
  <c r="AV662" i="7"/>
  <c r="AV854" i="7"/>
  <c r="AV925" i="7"/>
  <c r="AV842" i="7"/>
  <c r="AV493" i="7"/>
  <c r="AV698" i="7"/>
  <c r="AV1010" i="7"/>
  <c r="AV722" i="7"/>
  <c r="AV901" i="7"/>
  <c r="AV866" i="7"/>
  <c r="AV530" i="7"/>
  <c r="AV638" i="7"/>
  <c r="AV686" i="7"/>
  <c r="AV938" i="7"/>
  <c r="AV1058" i="7"/>
  <c r="AV614" i="7"/>
  <c r="AV770" i="7"/>
  <c r="AV710" i="7"/>
  <c r="AH1060" i="7"/>
  <c r="AL1058" i="7"/>
  <c r="AL434" i="7"/>
  <c r="AL758" i="7"/>
  <c r="AL470" i="7"/>
  <c r="AL867" i="7"/>
  <c r="AL602" i="7"/>
  <c r="AL927" i="7"/>
  <c r="AL1011" i="7"/>
  <c r="AL962" i="7"/>
  <c r="AL626" i="7"/>
  <c r="AL482" i="7"/>
  <c r="AL554" i="7"/>
  <c r="AL590" i="7"/>
  <c r="AL1046" i="7"/>
  <c r="AL638" i="7"/>
  <c r="AL494" i="7"/>
  <c r="AL722" i="7"/>
  <c r="AL542" i="7"/>
  <c r="AL986" i="7"/>
  <c r="AL854" i="7"/>
  <c r="AL1034" i="7"/>
  <c r="AL458" i="7"/>
  <c r="AL686" i="7"/>
  <c r="AL974" i="7"/>
  <c r="AL746" i="7"/>
  <c r="AL902" i="7"/>
  <c r="AL878" i="7"/>
  <c r="AL614" i="7"/>
  <c r="AL782" i="7"/>
  <c r="AL843" i="7"/>
  <c r="AL422" i="7"/>
  <c r="AL518" i="7"/>
  <c r="AL771" i="7"/>
  <c r="AL652" i="7"/>
  <c r="AL530" i="7"/>
  <c r="AL506" i="7"/>
  <c r="AL950" i="7"/>
  <c r="AL830" i="7"/>
  <c r="AL1022" i="7"/>
  <c r="AL662" i="7"/>
  <c r="AL710" i="7"/>
  <c r="AL794" i="7"/>
  <c r="AL699" i="7"/>
  <c r="AL914" i="7"/>
  <c r="AL890" i="7"/>
  <c r="AL447" i="7"/>
  <c r="AL818" i="7"/>
  <c r="AL806" i="7"/>
  <c r="AL674" i="7"/>
  <c r="AL939" i="7"/>
  <c r="AL735" i="7"/>
  <c r="AL999" i="7"/>
  <c r="AL578" i="7"/>
  <c r="AL566" i="7"/>
  <c r="J1059" i="7"/>
  <c r="L1059" i="7"/>
  <c r="M1060" i="7"/>
  <c r="N1060" i="7" s="1"/>
  <c r="K1059" i="7"/>
  <c r="G1057" i="7"/>
  <c r="H1058" i="7"/>
  <c r="AI1058" i="7" s="1"/>
  <c r="I1058" i="7"/>
  <c r="AG1058" i="7" s="1"/>
  <c r="F1085" i="5"/>
  <c r="E1085" i="5"/>
  <c r="G1085" i="5"/>
  <c r="K1085" i="5" s="1"/>
  <c r="H1088" i="5"/>
  <c r="I1088" i="5"/>
  <c r="C1087" i="5"/>
  <c r="B1089" i="5"/>
  <c r="D1086" i="5"/>
  <c r="J1086" i="5"/>
  <c r="G1056" i="28"/>
  <c r="H1056" i="28" s="1"/>
  <c r="F1055" i="28"/>
  <c r="G1052" i="27"/>
  <c r="H1052" i="27" s="1"/>
  <c r="J1052" i="27" s="1"/>
  <c r="L1052" i="27" s="1"/>
  <c r="F1051" i="27"/>
  <c r="AN482" i="7" l="1"/>
  <c r="AN890" i="7"/>
  <c r="AO889" i="7"/>
  <c r="AN650" i="7"/>
  <c r="AN494" i="7"/>
  <c r="AO493" i="7"/>
  <c r="AN434" i="7"/>
  <c r="AN446" i="7"/>
  <c r="AN938" i="7"/>
  <c r="AN1010" i="7"/>
  <c r="AO1009" i="7"/>
  <c r="AN710" i="7"/>
  <c r="AN542" i="7"/>
  <c r="AO541" i="7"/>
  <c r="AN962" i="7"/>
  <c r="AN578" i="7"/>
  <c r="AO577" i="7"/>
  <c r="AN590" i="7"/>
  <c r="AN470" i="7"/>
  <c r="AO469" i="7"/>
  <c r="AN794" i="7"/>
  <c r="AN758" i="7"/>
  <c r="AO757" i="7"/>
  <c r="AN626" i="7"/>
  <c r="AN746" i="7"/>
  <c r="AO745" i="7"/>
  <c r="AN986" i="7"/>
  <c r="AN698" i="7"/>
  <c r="AO697" i="7"/>
  <c r="AN854" i="7"/>
  <c r="AN1022" i="7"/>
  <c r="AO1021" i="7"/>
  <c r="AN878" i="7"/>
  <c r="AN926" i="7"/>
  <c r="AN998" i="7"/>
  <c r="AN662" i="7"/>
  <c r="AN458" i="7"/>
  <c r="AN1046" i="7"/>
  <c r="AO1045" i="7"/>
  <c r="AN1058" i="7"/>
  <c r="AN722" i="7"/>
  <c r="AN974" i="7"/>
  <c r="AN614" i="7"/>
  <c r="AO613" i="7"/>
  <c r="AN950" i="7"/>
  <c r="AN806" i="7"/>
  <c r="AO805" i="7"/>
  <c r="AN902" i="7"/>
  <c r="AN842" i="7"/>
  <c r="AO841" i="7"/>
  <c r="AN602" i="7"/>
  <c r="AN530" i="7"/>
  <c r="AO529" i="7"/>
  <c r="AN818" i="7"/>
  <c r="AN914" i="7"/>
  <c r="AN686" i="7"/>
  <c r="AN830" i="7"/>
  <c r="AO829" i="7"/>
  <c r="AN866" i="7"/>
  <c r="AN1034" i="7"/>
  <c r="AO1033" i="7"/>
  <c r="AN566" i="7"/>
  <c r="AN422" i="7"/>
  <c r="AO421" i="7"/>
  <c r="AN638" i="7"/>
  <c r="AN518" i="7"/>
  <c r="AO517" i="7"/>
  <c r="AN782" i="7"/>
  <c r="AN674" i="7"/>
  <c r="AO673" i="7"/>
  <c r="AN506" i="7"/>
  <c r="AN770" i="7"/>
  <c r="AN554" i="7"/>
  <c r="AN734" i="7"/>
  <c r="AO733" i="7"/>
  <c r="J1055" i="13"/>
  <c r="I1055" i="13"/>
  <c r="F1053" i="13"/>
  <c r="H1054" i="13"/>
  <c r="G1054" i="13"/>
  <c r="AO985" i="7"/>
  <c r="AO961" i="7"/>
  <c r="AO445" i="7"/>
  <c r="AO709" i="7"/>
  <c r="AO853" i="7"/>
  <c r="AO996" i="7"/>
  <c r="AO444" i="7"/>
  <c r="AO792" i="7"/>
  <c r="AO793" i="7"/>
  <c r="AO901" i="7"/>
  <c r="AO661" i="7"/>
  <c r="AO937" i="7"/>
  <c r="AO685" i="7"/>
  <c r="AO865" i="7"/>
  <c r="AO565" i="7"/>
  <c r="AO468" i="7"/>
  <c r="AO948" i="7"/>
  <c r="AO1057" i="7"/>
  <c r="AO864" i="7"/>
  <c r="AO481" i="7"/>
  <c r="AO649" i="7"/>
  <c r="AO625" i="7"/>
  <c r="AO925" i="7"/>
  <c r="AO877" i="7"/>
  <c r="AO637" i="7"/>
  <c r="AO913" i="7"/>
  <c r="AO817" i="7"/>
  <c r="AO972" i="7"/>
  <c r="AO936" i="7"/>
  <c r="AO780" i="7"/>
  <c r="AO769" i="7"/>
  <c r="AO505" i="7"/>
  <c r="AO949" i="7"/>
  <c r="AO781" i="7"/>
  <c r="AO433" i="7"/>
  <c r="AO997" i="7"/>
  <c r="AO457" i="7"/>
  <c r="AO589" i="7"/>
  <c r="AO553" i="7"/>
  <c r="AV711" i="7"/>
  <c r="AV771" i="7"/>
  <c r="AV615" i="7"/>
  <c r="AV939" i="7"/>
  <c r="AV639" i="7"/>
  <c r="AV531" i="7"/>
  <c r="AV867" i="7"/>
  <c r="AV723" i="7"/>
  <c r="AV699" i="7"/>
  <c r="AV926" i="7"/>
  <c r="AV663" i="7"/>
  <c r="AV963" i="7"/>
  <c r="AV627" i="7"/>
  <c r="AV819" i="7"/>
  <c r="AV806" i="7"/>
  <c r="AV1035" i="7"/>
  <c r="AV675" i="7"/>
  <c r="AV520" i="7"/>
  <c r="AV507" i="7"/>
  <c r="AV555" i="7"/>
  <c r="AV950" i="7"/>
  <c r="AV783" i="7"/>
  <c r="AV591" i="7"/>
  <c r="AV651" i="7"/>
  <c r="AV987" i="7"/>
  <c r="AV759" i="7"/>
  <c r="AV422" i="7"/>
  <c r="AV1059" i="7"/>
  <c r="AV687" i="7"/>
  <c r="AV902" i="7"/>
  <c r="AV1011" i="7"/>
  <c r="AV494" i="7"/>
  <c r="AV843" i="7"/>
  <c r="AV855" i="7"/>
  <c r="AV602" i="7"/>
  <c r="AV447" i="7"/>
  <c r="AV735" i="7"/>
  <c r="AV578" i="7"/>
  <c r="AV879" i="7"/>
  <c r="AV830" i="7"/>
  <c r="AV999" i="7"/>
  <c r="AV915" i="7"/>
  <c r="AV458" i="7"/>
  <c r="AV794" i="7"/>
  <c r="AV542" i="7"/>
  <c r="AV1046" i="7"/>
  <c r="AV891" i="7"/>
  <c r="AV567" i="7"/>
  <c r="AV1023" i="7"/>
  <c r="AV975" i="7"/>
  <c r="AV471" i="7"/>
  <c r="AV747" i="7"/>
  <c r="AH1059" i="7"/>
  <c r="AL1059" i="7"/>
  <c r="AL963" i="7"/>
  <c r="AL567" i="7"/>
  <c r="AL736" i="7"/>
  <c r="AL675" i="7"/>
  <c r="AL448" i="7"/>
  <c r="AL891" i="7"/>
  <c r="AL700" i="7"/>
  <c r="AL711" i="7"/>
  <c r="AL831" i="7"/>
  <c r="AL951" i="7"/>
  <c r="AL531" i="7"/>
  <c r="AL772" i="7"/>
  <c r="AL423" i="7"/>
  <c r="AL783" i="7"/>
  <c r="AL879" i="7"/>
  <c r="AL747" i="7"/>
  <c r="AL687" i="7"/>
  <c r="AL1035" i="7"/>
  <c r="AL987" i="7"/>
  <c r="AL723" i="7"/>
  <c r="AL1047" i="7"/>
  <c r="AL555" i="7"/>
  <c r="AL483" i="7"/>
  <c r="AL928" i="7"/>
  <c r="AL868" i="7"/>
  <c r="AL759" i="7"/>
  <c r="AL579" i="7"/>
  <c r="AL1000" i="7"/>
  <c r="AL940" i="7"/>
  <c r="AL807" i="7"/>
  <c r="AL819" i="7"/>
  <c r="AL915" i="7"/>
  <c r="AL795" i="7"/>
  <c r="AL663" i="7"/>
  <c r="AL1023" i="7"/>
  <c r="AL507" i="7"/>
  <c r="AL653" i="7"/>
  <c r="AL519" i="7"/>
  <c r="AL844" i="7"/>
  <c r="AL615" i="7"/>
  <c r="AL903" i="7"/>
  <c r="AL975" i="7"/>
  <c r="AL459" i="7"/>
  <c r="AL855" i="7"/>
  <c r="AL543" i="7"/>
  <c r="AL495" i="7"/>
  <c r="AL639" i="7"/>
  <c r="AL591" i="7"/>
  <c r="AL627" i="7"/>
  <c r="AL1012" i="7"/>
  <c r="AL603" i="7"/>
  <c r="AL471" i="7"/>
  <c r="AL435" i="7"/>
  <c r="I1057" i="7"/>
  <c r="AG1057" i="7" s="1"/>
  <c r="H1057" i="7"/>
  <c r="AI1057" i="7" s="1"/>
  <c r="G1056" i="7"/>
  <c r="L1058" i="7"/>
  <c r="J1058" i="7"/>
  <c r="M1059" i="7"/>
  <c r="N1059" i="7" s="1"/>
  <c r="K1058" i="7"/>
  <c r="G1086" i="5"/>
  <c r="K1086" i="5" s="1"/>
  <c r="F1086" i="5"/>
  <c r="E1086" i="5"/>
  <c r="B1090" i="5"/>
  <c r="I1089" i="5"/>
  <c r="C1088" i="5"/>
  <c r="H1089" i="5"/>
  <c r="D1087" i="5"/>
  <c r="J1087" i="5"/>
  <c r="G1055" i="28"/>
  <c r="H1055" i="28" s="1"/>
  <c r="F1054" i="28"/>
  <c r="G1051" i="27"/>
  <c r="H1051" i="27" s="1"/>
  <c r="J1051" i="27" s="1"/>
  <c r="L1051" i="27" s="1"/>
  <c r="F1050" i="27"/>
  <c r="AN735" i="7" l="1"/>
  <c r="AN771" i="7"/>
  <c r="AO770" i="7"/>
  <c r="AN675" i="7"/>
  <c r="AN519" i="7"/>
  <c r="AO518" i="7"/>
  <c r="AN423" i="7"/>
  <c r="AN1035" i="7"/>
  <c r="AO1034" i="7"/>
  <c r="AN831" i="7"/>
  <c r="AN915" i="7"/>
  <c r="AO914" i="7"/>
  <c r="AN531" i="7"/>
  <c r="AN843" i="7"/>
  <c r="AO842" i="7"/>
  <c r="AN807" i="7"/>
  <c r="AN615" i="7"/>
  <c r="AO614" i="7"/>
  <c r="AN723" i="7"/>
  <c r="AN1047" i="7"/>
  <c r="AO1046" i="7"/>
  <c r="AN663" i="7"/>
  <c r="AN927" i="7"/>
  <c r="AN1023" i="7"/>
  <c r="AN699" i="7"/>
  <c r="AO698" i="7"/>
  <c r="AN747" i="7"/>
  <c r="AN759" i="7"/>
  <c r="AO758" i="7"/>
  <c r="AN471" i="7"/>
  <c r="AN579" i="7"/>
  <c r="AO578" i="7"/>
  <c r="AN543" i="7"/>
  <c r="AN1011" i="7"/>
  <c r="AO1010" i="7"/>
  <c r="AN447" i="7"/>
  <c r="AN495" i="7"/>
  <c r="AO494" i="7"/>
  <c r="AN891" i="7"/>
  <c r="AN555" i="7"/>
  <c r="AO554" i="7"/>
  <c r="AN507" i="7"/>
  <c r="AN783" i="7"/>
  <c r="AO782" i="7"/>
  <c r="AN639" i="7"/>
  <c r="AN567" i="7"/>
  <c r="AO566" i="7"/>
  <c r="AN867" i="7"/>
  <c r="AN687" i="7"/>
  <c r="AO686" i="7"/>
  <c r="AN819" i="7"/>
  <c r="AN603" i="7"/>
  <c r="AO602" i="7"/>
  <c r="AN903" i="7"/>
  <c r="AN951" i="7"/>
  <c r="AO950" i="7"/>
  <c r="AN975" i="7"/>
  <c r="AN1059" i="7"/>
  <c r="AO1058" i="7"/>
  <c r="AN459" i="7"/>
  <c r="AN999" i="7"/>
  <c r="AO998" i="7"/>
  <c r="AN879" i="7"/>
  <c r="AN855" i="7"/>
  <c r="AO854" i="7"/>
  <c r="AN987" i="7"/>
  <c r="AN627" i="7"/>
  <c r="AO626" i="7"/>
  <c r="AN795" i="7"/>
  <c r="AN591" i="7"/>
  <c r="AO590" i="7"/>
  <c r="AN963" i="7"/>
  <c r="AN711" i="7"/>
  <c r="AO710" i="7"/>
  <c r="AN939" i="7"/>
  <c r="AO938" i="7"/>
  <c r="AN435" i="7"/>
  <c r="AO434" i="7"/>
  <c r="AN651" i="7"/>
  <c r="AN483" i="7"/>
  <c r="AO482" i="7"/>
  <c r="J1054" i="13"/>
  <c r="I1054" i="13"/>
  <c r="F1052" i="13"/>
  <c r="H1053" i="13"/>
  <c r="G1053" i="13"/>
  <c r="AO422" i="7"/>
  <c r="AO458" i="7"/>
  <c r="AO986" i="7"/>
  <c r="AO446" i="7"/>
  <c r="AO818" i="7"/>
  <c r="AO902" i="7"/>
  <c r="AO734" i="7"/>
  <c r="AO830" i="7"/>
  <c r="AO674" i="7"/>
  <c r="AO974" i="7"/>
  <c r="AO806" i="7"/>
  <c r="AO722" i="7"/>
  <c r="AO601" i="7"/>
  <c r="AO530" i="7"/>
  <c r="AO746" i="7"/>
  <c r="AO962" i="7"/>
  <c r="AO1022" i="7"/>
  <c r="AO794" i="7"/>
  <c r="AO926" i="7"/>
  <c r="AO470" i="7"/>
  <c r="AO638" i="7"/>
  <c r="AO650" i="7"/>
  <c r="AO890" i="7"/>
  <c r="AO866" i="7"/>
  <c r="AO878" i="7"/>
  <c r="AO542" i="7"/>
  <c r="AO506" i="7"/>
  <c r="AO662" i="7"/>
  <c r="AO973" i="7"/>
  <c r="AO721" i="7"/>
  <c r="AV472" i="7"/>
  <c r="AV568" i="7"/>
  <c r="AV1047" i="7"/>
  <c r="AV795" i="7"/>
  <c r="AV916" i="7"/>
  <c r="AV880" i="7"/>
  <c r="AV736" i="7"/>
  <c r="AV856" i="7"/>
  <c r="AV495" i="7"/>
  <c r="AV688" i="7"/>
  <c r="AV988" i="7"/>
  <c r="AV592" i="7"/>
  <c r="AV951" i="7"/>
  <c r="AV556" i="7"/>
  <c r="AV521" i="7"/>
  <c r="AV676" i="7"/>
  <c r="AV1036" i="7"/>
  <c r="AV820" i="7"/>
  <c r="AV964" i="7"/>
  <c r="AV927" i="7"/>
  <c r="AV700" i="7"/>
  <c r="AV532" i="7"/>
  <c r="AV940" i="7"/>
  <c r="AV772" i="7"/>
  <c r="AV748" i="7"/>
  <c r="AV976" i="7"/>
  <c r="AV1024" i="7"/>
  <c r="AV892" i="7"/>
  <c r="AV543" i="7"/>
  <c r="AV459" i="7"/>
  <c r="AV1000" i="7"/>
  <c r="AV831" i="7"/>
  <c r="AV579" i="7"/>
  <c r="AV448" i="7"/>
  <c r="AV603" i="7"/>
  <c r="AV844" i="7"/>
  <c r="AV1012" i="7"/>
  <c r="AV903" i="7"/>
  <c r="AV1060" i="7"/>
  <c r="AV423" i="7"/>
  <c r="AV760" i="7"/>
  <c r="AV652" i="7"/>
  <c r="AV784" i="7"/>
  <c r="AV508" i="7"/>
  <c r="AV807" i="7"/>
  <c r="AV628" i="7"/>
  <c r="AV664" i="7"/>
  <c r="AV724" i="7"/>
  <c r="AV868" i="7"/>
  <c r="AV640" i="7"/>
  <c r="AV616" i="7"/>
  <c r="AV712" i="7"/>
  <c r="AH1058" i="7"/>
  <c r="AL1060" i="7"/>
  <c r="AL856" i="7"/>
  <c r="AL436" i="7"/>
  <c r="AL604" i="7"/>
  <c r="AL628" i="7"/>
  <c r="AL592" i="7"/>
  <c r="AL496" i="7"/>
  <c r="AL976" i="7"/>
  <c r="AL616" i="7"/>
  <c r="AL520" i="7"/>
  <c r="AL508" i="7"/>
  <c r="AL664" i="7"/>
  <c r="AL916" i="7"/>
  <c r="AL808" i="7"/>
  <c r="AL1001" i="7"/>
  <c r="AL580" i="7"/>
  <c r="AL869" i="7"/>
  <c r="AL484" i="7"/>
  <c r="AL1048" i="7"/>
  <c r="AL724" i="7"/>
  <c r="AL1036" i="7"/>
  <c r="AL748" i="7"/>
  <c r="AL784" i="7"/>
  <c r="AL773" i="7"/>
  <c r="AL832" i="7"/>
  <c r="AL712" i="7"/>
  <c r="AL892" i="7"/>
  <c r="AL449" i="7"/>
  <c r="AL676" i="7"/>
  <c r="AL568" i="7"/>
  <c r="AL472" i="7"/>
  <c r="AL1013" i="7"/>
  <c r="AL640" i="7"/>
  <c r="AL544" i="7"/>
  <c r="AL460" i="7"/>
  <c r="AL904" i="7"/>
  <c r="AL845" i="7"/>
  <c r="AL654" i="7"/>
  <c r="AL1024" i="7"/>
  <c r="AL796" i="7"/>
  <c r="AL820" i="7"/>
  <c r="AL941" i="7"/>
  <c r="AL760" i="7"/>
  <c r="AL929" i="7"/>
  <c r="AL556" i="7"/>
  <c r="AL988" i="7"/>
  <c r="AL688" i="7"/>
  <c r="AL880" i="7"/>
  <c r="AL424" i="7"/>
  <c r="AL532" i="7"/>
  <c r="AL952" i="7"/>
  <c r="AL701" i="7"/>
  <c r="AL737" i="7"/>
  <c r="AL964" i="7"/>
  <c r="G1055" i="7"/>
  <c r="H1056" i="7"/>
  <c r="AI1056" i="7" s="1"/>
  <c r="I1056" i="7"/>
  <c r="AG1056" i="7" s="1"/>
  <c r="K1057" i="7"/>
  <c r="M1058" i="7"/>
  <c r="N1058" i="7" s="1"/>
  <c r="L1057" i="7"/>
  <c r="J1057" i="7"/>
  <c r="G1087" i="5"/>
  <c r="K1087" i="5" s="1"/>
  <c r="F1087" i="5"/>
  <c r="E1087" i="5"/>
  <c r="I1090" i="5"/>
  <c r="C1089" i="5"/>
  <c r="B1091" i="5"/>
  <c r="H1090" i="5"/>
  <c r="D1088" i="5"/>
  <c r="J1088" i="5"/>
  <c r="G1054" i="28"/>
  <c r="H1054" i="28" s="1"/>
  <c r="F1053" i="28"/>
  <c r="G1050" i="27"/>
  <c r="H1050" i="27" s="1"/>
  <c r="J1050" i="27" s="1"/>
  <c r="L1050" i="27" s="1"/>
  <c r="F1049" i="27"/>
  <c r="AN484" i="7" l="1"/>
  <c r="AO483" i="7"/>
  <c r="AN436" i="7"/>
  <c r="AN712" i="7"/>
  <c r="AN592" i="7"/>
  <c r="AO591" i="7"/>
  <c r="AN628" i="7"/>
  <c r="AO627" i="7"/>
  <c r="AN856" i="7"/>
  <c r="AN1000" i="7"/>
  <c r="AO999" i="7"/>
  <c r="AN1060" i="7"/>
  <c r="AO1059" i="7"/>
  <c r="AN952" i="7"/>
  <c r="AN604" i="7"/>
  <c r="AO603" i="7"/>
  <c r="AN688" i="7"/>
  <c r="AN568" i="7"/>
  <c r="AN784" i="7"/>
  <c r="AN556" i="7"/>
  <c r="AO555" i="7"/>
  <c r="AN496" i="7"/>
  <c r="AO495" i="7"/>
  <c r="AN1012" i="7"/>
  <c r="AO1011" i="7"/>
  <c r="AN580" i="7"/>
  <c r="AO579" i="7"/>
  <c r="AN760" i="7"/>
  <c r="AO759" i="7"/>
  <c r="AN700" i="7"/>
  <c r="AO699" i="7"/>
  <c r="AN928" i="7"/>
  <c r="AO927" i="7"/>
  <c r="AN1048" i="7"/>
  <c r="AO1047" i="7"/>
  <c r="AN616" i="7"/>
  <c r="AO615" i="7"/>
  <c r="AN844" i="7"/>
  <c r="AN916" i="7"/>
  <c r="AO915" i="7"/>
  <c r="AN1036" i="7"/>
  <c r="AO1035" i="7"/>
  <c r="AN520" i="7"/>
  <c r="AO519" i="7"/>
  <c r="AN772" i="7"/>
  <c r="AO771" i="7"/>
  <c r="AN652" i="7"/>
  <c r="AO651" i="7"/>
  <c r="AN940" i="7"/>
  <c r="AO939" i="7"/>
  <c r="AN964" i="7"/>
  <c r="AO963" i="7"/>
  <c r="AN796" i="7"/>
  <c r="AO795" i="7"/>
  <c r="AN988" i="7"/>
  <c r="AO987" i="7"/>
  <c r="AN880" i="7"/>
  <c r="AO879" i="7"/>
  <c r="AN460" i="7"/>
  <c r="AN976" i="7"/>
  <c r="AO975" i="7"/>
  <c r="AN904" i="7"/>
  <c r="AO903" i="7"/>
  <c r="AN820" i="7"/>
  <c r="AO819" i="7"/>
  <c r="AN868" i="7"/>
  <c r="AN640" i="7"/>
  <c r="AO639" i="7"/>
  <c r="AN508" i="7"/>
  <c r="AO507" i="7"/>
  <c r="AN892" i="7"/>
  <c r="AN448" i="7"/>
  <c r="AO447" i="7"/>
  <c r="AN544" i="7"/>
  <c r="AO543" i="7"/>
  <c r="AN472" i="7"/>
  <c r="AO471" i="7"/>
  <c r="AN748" i="7"/>
  <c r="AN1024" i="7"/>
  <c r="AO1023" i="7"/>
  <c r="AN664" i="7"/>
  <c r="AO663" i="7"/>
  <c r="AN724" i="7"/>
  <c r="AN808" i="7"/>
  <c r="AO807" i="7"/>
  <c r="AN532" i="7"/>
  <c r="AO531" i="7"/>
  <c r="AN832" i="7"/>
  <c r="AN424" i="7"/>
  <c r="AN676" i="7"/>
  <c r="AO675" i="7"/>
  <c r="AN736" i="7"/>
  <c r="AO735" i="7"/>
  <c r="J1053" i="13"/>
  <c r="I1053" i="13"/>
  <c r="F1051" i="13"/>
  <c r="H1052" i="13"/>
  <c r="G1052" i="13"/>
  <c r="AO711" i="7"/>
  <c r="AO867" i="7"/>
  <c r="AO951" i="7"/>
  <c r="AO423" i="7"/>
  <c r="AO747" i="7"/>
  <c r="AO567" i="7"/>
  <c r="AO843" i="7"/>
  <c r="AO459" i="7"/>
  <c r="AO723" i="7"/>
  <c r="AO891" i="7"/>
  <c r="AO435" i="7"/>
  <c r="AO783" i="7"/>
  <c r="AO687" i="7"/>
  <c r="AO855" i="7"/>
  <c r="AO831" i="7"/>
  <c r="AV617" i="7"/>
  <c r="AV869" i="7"/>
  <c r="AV629" i="7"/>
  <c r="AV653" i="7"/>
  <c r="AV424" i="7"/>
  <c r="AV1061" i="7"/>
  <c r="AV904" i="7"/>
  <c r="AV845" i="7"/>
  <c r="AV449" i="7"/>
  <c r="AV832" i="7"/>
  <c r="AV460" i="7"/>
  <c r="AV893" i="7"/>
  <c r="AV977" i="7"/>
  <c r="AV941" i="7"/>
  <c r="AV928" i="7"/>
  <c r="AV821" i="7"/>
  <c r="AV677" i="7"/>
  <c r="AV557" i="7"/>
  <c r="AV593" i="7"/>
  <c r="AV496" i="7"/>
  <c r="AV881" i="7"/>
  <c r="AV917" i="7"/>
  <c r="AV1048" i="7"/>
  <c r="AV713" i="7"/>
  <c r="AV641" i="7"/>
  <c r="AV725" i="7"/>
  <c r="AV665" i="7"/>
  <c r="AV808" i="7"/>
  <c r="AV509" i="7"/>
  <c r="AV785" i="7"/>
  <c r="AV761" i="7"/>
  <c r="AV1013" i="7"/>
  <c r="AV604" i="7"/>
  <c r="AV580" i="7"/>
  <c r="AV1001" i="7"/>
  <c r="AV544" i="7"/>
  <c r="AV1025" i="7"/>
  <c r="AV749" i="7"/>
  <c r="AV773" i="7"/>
  <c r="AV533" i="7"/>
  <c r="AV701" i="7"/>
  <c r="AV965" i="7"/>
  <c r="AV1037" i="7"/>
  <c r="AV522" i="7"/>
  <c r="AV952" i="7"/>
  <c r="AV989" i="7"/>
  <c r="AV689" i="7"/>
  <c r="AV857" i="7"/>
  <c r="AV737" i="7"/>
  <c r="AV796" i="7"/>
  <c r="AV569" i="7"/>
  <c r="AV473" i="7"/>
  <c r="AH1057" i="7"/>
  <c r="AL1061" i="7"/>
  <c r="AL942" i="7"/>
  <c r="AL965" i="7"/>
  <c r="AL738" i="7"/>
  <c r="AL533" i="7"/>
  <c r="AL881" i="7"/>
  <c r="AL989" i="7"/>
  <c r="AL557" i="7"/>
  <c r="AL761" i="7"/>
  <c r="AL1025" i="7"/>
  <c r="AL905" i="7"/>
  <c r="AL545" i="7"/>
  <c r="AL473" i="7"/>
  <c r="AL450" i="7"/>
  <c r="AL713" i="7"/>
  <c r="AL785" i="7"/>
  <c r="AL1037" i="7"/>
  <c r="AL1049" i="7"/>
  <c r="AL870" i="7"/>
  <c r="AL1002" i="7"/>
  <c r="AL665" i="7"/>
  <c r="AL509" i="7"/>
  <c r="AL617" i="7"/>
  <c r="AL497" i="7"/>
  <c r="AL629" i="7"/>
  <c r="AL437" i="7"/>
  <c r="AL749" i="7"/>
  <c r="AL581" i="7"/>
  <c r="AL605" i="7"/>
  <c r="AL702" i="7"/>
  <c r="AL953" i="7"/>
  <c r="AL425" i="7"/>
  <c r="AL689" i="7"/>
  <c r="AL930" i="7"/>
  <c r="AL821" i="7"/>
  <c r="AL797" i="7"/>
  <c r="AL846" i="7"/>
  <c r="AL461" i="7"/>
  <c r="AL641" i="7"/>
  <c r="AL1014" i="7"/>
  <c r="AL569" i="7"/>
  <c r="AL677" i="7"/>
  <c r="AL893" i="7"/>
  <c r="AL833" i="7"/>
  <c r="AL774" i="7"/>
  <c r="AL725" i="7"/>
  <c r="AL485" i="7"/>
  <c r="AL809" i="7"/>
  <c r="AL917" i="7"/>
  <c r="AL521" i="7"/>
  <c r="AL977" i="7"/>
  <c r="AL593" i="7"/>
  <c r="AL857" i="7"/>
  <c r="L1056" i="7"/>
  <c r="J1056" i="7"/>
  <c r="K1056" i="7"/>
  <c r="I1055" i="7"/>
  <c r="AG1055" i="7" s="1"/>
  <c r="H1055" i="7"/>
  <c r="AI1055" i="7" s="1"/>
  <c r="M1057" i="7"/>
  <c r="N1057" i="7" s="1"/>
  <c r="G1054" i="7"/>
  <c r="H1091" i="5"/>
  <c r="B1092" i="5"/>
  <c r="I1091" i="5"/>
  <c r="C1090" i="5"/>
  <c r="G1088" i="5"/>
  <c r="K1088" i="5" s="1"/>
  <c r="F1088" i="5"/>
  <c r="E1088" i="5"/>
  <c r="D1089" i="5"/>
  <c r="J1089" i="5"/>
  <c r="G1053" i="28"/>
  <c r="H1053" i="28" s="1"/>
  <c r="F1052" i="28"/>
  <c r="G1049" i="27"/>
  <c r="H1049" i="27" s="1"/>
  <c r="J1049" i="27" s="1"/>
  <c r="L1049" i="27" s="1"/>
  <c r="F1048" i="27"/>
  <c r="AN737" i="7" l="1"/>
  <c r="AN425" i="7"/>
  <c r="AN533" i="7"/>
  <c r="AN725" i="7"/>
  <c r="AO724" i="7"/>
  <c r="AN1025" i="7"/>
  <c r="AN473" i="7"/>
  <c r="AN449" i="7"/>
  <c r="AN509" i="7"/>
  <c r="AN869" i="7"/>
  <c r="AN905" i="7"/>
  <c r="AO904" i="7"/>
  <c r="AN461" i="7"/>
  <c r="AN989" i="7"/>
  <c r="AN965" i="7"/>
  <c r="AN653" i="7"/>
  <c r="AO652" i="7"/>
  <c r="AN521" i="7"/>
  <c r="AO520" i="7"/>
  <c r="AN917" i="7"/>
  <c r="AO916" i="7"/>
  <c r="AN617" i="7"/>
  <c r="AN929" i="7"/>
  <c r="AO928" i="7"/>
  <c r="AN761" i="7"/>
  <c r="AO760" i="7"/>
  <c r="AN1013" i="7"/>
  <c r="AO1012" i="7"/>
  <c r="AN557" i="7"/>
  <c r="AN569" i="7"/>
  <c r="AN605" i="7"/>
  <c r="AN1061" i="7"/>
  <c r="AO1060" i="7"/>
  <c r="AN857" i="7"/>
  <c r="AN593" i="7"/>
  <c r="AO592" i="7"/>
  <c r="AN437" i="7"/>
  <c r="AN677" i="7"/>
  <c r="AO676" i="7"/>
  <c r="AN833" i="7"/>
  <c r="AN809" i="7"/>
  <c r="AO808" i="7"/>
  <c r="AN665" i="7"/>
  <c r="AN749" i="7"/>
  <c r="AO748" i="7"/>
  <c r="AN545" i="7"/>
  <c r="AN893" i="7"/>
  <c r="AO892" i="7"/>
  <c r="AN641" i="7"/>
  <c r="AN821" i="7"/>
  <c r="AO820" i="7"/>
  <c r="AN977" i="7"/>
  <c r="AN881" i="7"/>
  <c r="AN797" i="7"/>
  <c r="AN941" i="7"/>
  <c r="AN773" i="7"/>
  <c r="AN1037" i="7"/>
  <c r="AO1036" i="7"/>
  <c r="AN845" i="7"/>
  <c r="AN1049" i="7"/>
  <c r="AO1048" i="7"/>
  <c r="AN701" i="7"/>
  <c r="AN581" i="7"/>
  <c r="AN497" i="7"/>
  <c r="AN785" i="7"/>
  <c r="AO784" i="7"/>
  <c r="AN689" i="7"/>
  <c r="AN953" i="7"/>
  <c r="AO952" i="7"/>
  <c r="AN1001" i="7"/>
  <c r="AO1000" i="7"/>
  <c r="AN629" i="7"/>
  <c r="AO628" i="7"/>
  <c r="AN713" i="7"/>
  <c r="AO712" i="7"/>
  <c r="AN485" i="7"/>
  <c r="AO484" i="7"/>
  <c r="J1052" i="13"/>
  <c r="I1052" i="13"/>
  <c r="F1050" i="13"/>
  <c r="H1051" i="13"/>
  <c r="G1051" i="13"/>
  <c r="AO772" i="7"/>
  <c r="AO1024" i="7"/>
  <c r="AO940" i="7"/>
  <c r="AO436" i="7"/>
  <c r="AO424" i="7"/>
  <c r="AO868" i="7"/>
  <c r="AO844" i="7"/>
  <c r="AO988" i="7"/>
  <c r="AO856" i="7"/>
  <c r="AO700" i="7"/>
  <c r="AO604" i="7"/>
  <c r="AO568" i="7"/>
  <c r="AO460" i="7"/>
  <c r="AO616" i="7"/>
  <c r="AO880" i="7"/>
  <c r="AO832" i="7"/>
  <c r="AO976" i="7"/>
  <c r="AO472" i="7"/>
  <c r="AO544" i="7"/>
  <c r="AO964" i="7"/>
  <c r="AO532" i="7"/>
  <c r="AO664" i="7"/>
  <c r="AO556" i="7"/>
  <c r="AO448" i="7"/>
  <c r="AO496" i="7"/>
  <c r="AO796" i="7"/>
  <c r="AO688" i="7"/>
  <c r="AO640" i="7"/>
  <c r="AO508" i="7"/>
  <c r="AO580" i="7"/>
  <c r="AO736" i="7"/>
  <c r="AV570" i="7"/>
  <c r="AV858" i="7"/>
  <c r="AV690" i="7"/>
  <c r="AV990" i="7"/>
  <c r="AV966" i="7"/>
  <c r="AV534" i="7"/>
  <c r="AV750" i="7"/>
  <c r="AV545" i="7"/>
  <c r="AV581" i="7"/>
  <c r="AV1014" i="7"/>
  <c r="AV786" i="7"/>
  <c r="AV809" i="7"/>
  <c r="AV726" i="7"/>
  <c r="AV714" i="7"/>
  <c r="AV1049" i="7"/>
  <c r="AV882" i="7"/>
  <c r="AV497" i="7"/>
  <c r="AV594" i="7"/>
  <c r="AV678" i="7"/>
  <c r="AV929" i="7"/>
  <c r="AV942" i="7"/>
  <c r="AV978" i="7"/>
  <c r="AV461" i="7"/>
  <c r="AV450" i="7"/>
  <c r="AV905" i="7"/>
  <c r="AV425" i="7"/>
  <c r="AV630" i="7"/>
  <c r="AV870" i="7"/>
  <c r="AV474" i="7"/>
  <c r="AV797" i="7"/>
  <c r="AV738" i="7"/>
  <c r="AV953" i="7"/>
  <c r="AV1038" i="7"/>
  <c r="AV702" i="7"/>
  <c r="AV774" i="7"/>
  <c r="AV1026" i="7"/>
  <c r="AV1002" i="7"/>
  <c r="AV605" i="7"/>
  <c r="AV762" i="7"/>
  <c r="AV510" i="7"/>
  <c r="AV666" i="7"/>
  <c r="AV642" i="7"/>
  <c r="AV918" i="7"/>
  <c r="AV558" i="7"/>
  <c r="AV822" i="7"/>
  <c r="AV894" i="7"/>
  <c r="AV833" i="7"/>
  <c r="AV846" i="7"/>
  <c r="AV1062" i="7"/>
  <c r="AV654" i="7"/>
  <c r="AV618" i="7"/>
  <c r="AH1056" i="7"/>
  <c r="AL1062" i="7"/>
  <c r="AL858" i="7"/>
  <c r="AL978" i="7"/>
  <c r="AL810" i="7"/>
  <c r="AL726" i="7"/>
  <c r="AL834" i="7"/>
  <c r="AL678" i="7"/>
  <c r="AL462" i="7"/>
  <c r="AL822" i="7"/>
  <c r="AL690" i="7"/>
  <c r="AL954" i="7"/>
  <c r="AL582" i="7"/>
  <c r="AL630" i="7"/>
  <c r="AL618" i="7"/>
  <c r="AL666" i="7"/>
  <c r="AL1050" i="7"/>
  <c r="AL786" i="7"/>
  <c r="AL714" i="7"/>
  <c r="AL906" i="7"/>
  <c r="AL558" i="7"/>
  <c r="AL882" i="7"/>
  <c r="AL966" i="7"/>
  <c r="AL594" i="7"/>
  <c r="AL522" i="7"/>
  <c r="AL918" i="7"/>
  <c r="AL486" i="7"/>
  <c r="AL894" i="7"/>
  <c r="AL570" i="7"/>
  <c r="AL642" i="7"/>
  <c r="AL798" i="7"/>
  <c r="AL426" i="7"/>
  <c r="AL606" i="7"/>
  <c r="AL750" i="7"/>
  <c r="AL438" i="7"/>
  <c r="AL498" i="7"/>
  <c r="AL510" i="7"/>
  <c r="AL1038" i="7"/>
  <c r="AL474" i="7"/>
  <c r="AL546" i="7"/>
  <c r="AL1026" i="7"/>
  <c r="AL762" i="7"/>
  <c r="AL990" i="7"/>
  <c r="AL534" i="7"/>
  <c r="G1053" i="7"/>
  <c r="K1055" i="7"/>
  <c r="H1054" i="7"/>
  <c r="AI1054" i="7" s="1"/>
  <c r="I1054" i="7"/>
  <c r="AG1054" i="7" s="1"/>
  <c r="L1055" i="7"/>
  <c r="J1055" i="7"/>
  <c r="M1056" i="7"/>
  <c r="N1056" i="7" s="1"/>
  <c r="E1089" i="5"/>
  <c r="G1089" i="5"/>
  <c r="K1089" i="5" s="1"/>
  <c r="F1089" i="5"/>
  <c r="D1090" i="5"/>
  <c r="J1090" i="5"/>
  <c r="H1092" i="5"/>
  <c r="C1091" i="5"/>
  <c r="B1093" i="5"/>
  <c r="I1092" i="5"/>
  <c r="G1052" i="28"/>
  <c r="H1052" i="28" s="1"/>
  <c r="F1051" i="28"/>
  <c r="G1048" i="27"/>
  <c r="H1048" i="27" s="1"/>
  <c r="J1048" i="27" s="1"/>
  <c r="L1048" i="27" s="1"/>
  <c r="F1047" i="27"/>
  <c r="AN486" i="7" l="1"/>
  <c r="AO486" i="7" s="1"/>
  <c r="AN630" i="7"/>
  <c r="AO629" i="7"/>
  <c r="AN954" i="7"/>
  <c r="AO954" i="7" s="1"/>
  <c r="AN786" i="7"/>
  <c r="AO785" i="7"/>
  <c r="AN582" i="7"/>
  <c r="AO582" i="7" s="1"/>
  <c r="AN1050" i="7"/>
  <c r="AO1049" i="7"/>
  <c r="AN1038" i="7"/>
  <c r="AN942" i="7"/>
  <c r="AO941" i="7"/>
  <c r="AN882" i="7"/>
  <c r="AN822" i="7"/>
  <c r="AO822" i="7" s="1"/>
  <c r="AO821" i="7"/>
  <c r="AN894" i="7"/>
  <c r="AO894" i="7" s="1"/>
  <c r="AN750" i="7"/>
  <c r="AO749" i="7"/>
  <c r="AN810" i="7"/>
  <c r="AO810" i="7" s="1"/>
  <c r="AN678" i="7"/>
  <c r="AO677" i="7"/>
  <c r="AN594" i="7"/>
  <c r="AN1062" i="7"/>
  <c r="AO1062" i="7" s="1"/>
  <c r="AO1061" i="7"/>
  <c r="AN570" i="7"/>
  <c r="AN1014" i="7"/>
  <c r="AO1013" i="7"/>
  <c r="AN930" i="7"/>
  <c r="AO930" i="7" s="1"/>
  <c r="AN918" i="7"/>
  <c r="AO917" i="7"/>
  <c r="AN654" i="7"/>
  <c r="AN990" i="7"/>
  <c r="AO989" i="7"/>
  <c r="AN906" i="7"/>
  <c r="AN510" i="7"/>
  <c r="AO510" i="7" s="1"/>
  <c r="AO509" i="7"/>
  <c r="AN474" i="7"/>
  <c r="AN726" i="7"/>
  <c r="AO726" i="7" s="1"/>
  <c r="AO725" i="7"/>
  <c r="AN426" i="7"/>
  <c r="AN714" i="7"/>
  <c r="AO713" i="7"/>
  <c r="AN1002" i="7"/>
  <c r="AN690" i="7"/>
  <c r="AO689" i="7"/>
  <c r="AN498" i="7"/>
  <c r="AO498" i="7" s="1"/>
  <c r="AN702" i="7"/>
  <c r="AO702" i="7" s="1"/>
  <c r="AO701" i="7"/>
  <c r="AN846" i="7"/>
  <c r="AN774" i="7"/>
  <c r="AO774" i="7" s="1"/>
  <c r="AN978" i="7"/>
  <c r="AN642" i="7"/>
  <c r="AN546" i="7"/>
  <c r="AN666" i="7"/>
  <c r="AO666" i="7" s="1"/>
  <c r="AN834" i="7"/>
  <c r="AN858" i="7"/>
  <c r="AO857" i="7"/>
  <c r="AN558" i="7"/>
  <c r="AO558" i="7" s="1"/>
  <c r="AO557" i="7"/>
  <c r="AN762" i="7"/>
  <c r="AN618" i="7"/>
  <c r="AN522" i="7"/>
  <c r="AN966" i="7"/>
  <c r="AO965" i="7"/>
  <c r="AO869" i="7"/>
  <c r="AN450" i="7"/>
  <c r="AO1025" i="7"/>
  <c r="AN534" i="7"/>
  <c r="AO737" i="7"/>
  <c r="J1051" i="13"/>
  <c r="I1051" i="13"/>
  <c r="F1049" i="13"/>
  <c r="H1050" i="13"/>
  <c r="G1050" i="13"/>
  <c r="AO893" i="7"/>
  <c r="AO533" i="7"/>
  <c r="AO473" i="7"/>
  <c r="AO545" i="7"/>
  <c r="AO641" i="7"/>
  <c r="AO425" i="7"/>
  <c r="AO845" i="7"/>
  <c r="AO449" i="7"/>
  <c r="AO929" i="7"/>
  <c r="AO761" i="7"/>
  <c r="AO617" i="7"/>
  <c r="AO485" i="7"/>
  <c r="AO1037" i="7"/>
  <c r="AO497" i="7"/>
  <c r="AO953" i="7"/>
  <c r="AO665" i="7"/>
  <c r="AO461" i="7"/>
  <c r="AO809" i="7"/>
  <c r="AO977" i="7"/>
  <c r="AO521" i="7"/>
  <c r="AO1001" i="7"/>
  <c r="AO605" i="7"/>
  <c r="AO797" i="7"/>
  <c r="AO773" i="7"/>
  <c r="AO905" i="7"/>
  <c r="AO437" i="7"/>
  <c r="AO593" i="7"/>
  <c r="AO569" i="7"/>
  <c r="AO833" i="7"/>
  <c r="AO881" i="7"/>
  <c r="AO581" i="7"/>
  <c r="AO653" i="7"/>
  <c r="AV834" i="7"/>
  <c r="AV606" i="7"/>
  <c r="AV954" i="7"/>
  <c r="AV798" i="7"/>
  <c r="AV906" i="7"/>
  <c r="AV462" i="7"/>
  <c r="AV810" i="7"/>
  <c r="AV582" i="7"/>
  <c r="AV426" i="7"/>
  <c r="AV930" i="7"/>
  <c r="AV498" i="7"/>
  <c r="AV1050" i="7"/>
  <c r="AV546" i="7"/>
  <c r="AO643" i="7"/>
  <c r="AO1051" i="7"/>
  <c r="AO691" i="7"/>
  <c r="AO799" i="7"/>
  <c r="AO427" i="7"/>
  <c r="AO775" i="7"/>
  <c r="AO835" i="7"/>
  <c r="AO487" i="7"/>
  <c r="AO883" i="7"/>
  <c r="AO739" i="7"/>
  <c r="AO619" i="7"/>
  <c r="AO523" i="7"/>
  <c r="AO475" i="7"/>
  <c r="AO979" i="7"/>
  <c r="AO1015" i="7"/>
  <c r="AO751" i="7"/>
  <c r="AO415" i="7"/>
  <c r="AO511" i="7"/>
  <c r="AO847" i="7"/>
  <c r="AO655" i="7"/>
  <c r="AO871" i="7"/>
  <c r="AO907" i="7"/>
  <c r="AO715" i="7"/>
  <c r="AO991" i="7"/>
  <c r="AO1003" i="7"/>
  <c r="AO811" i="7"/>
  <c r="AO955" i="7"/>
  <c r="AO607" i="7"/>
  <c r="AO703" i="7"/>
  <c r="AO859" i="7"/>
  <c r="AO667" i="7"/>
  <c r="AO535" i="7"/>
  <c r="AO967" i="7"/>
  <c r="AO547" i="7"/>
  <c r="AO1063" i="7"/>
  <c r="AO895" i="7"/>
  <c r="AO1039" i="7"/>
  <c r="AO727" i="7"/>
  <c r="AO583" i="7"/>
  <c r="AO631" i="7"/>
  <c r="AO919" i="7"/>
  <c r="AO439" i="7"/>
  <c r="AO931" i="7"/>
  <c r="AO595" i="7"/>
  <c r="AO943" i="7"/>
  <c r="AO1027" i="7"/>
  <c r="AO763" i="7"/>
  <c r="AO571" i="7"/>
  <c r="AO787" i="7"/>
  <c r="AO463" i="7"/>
  <c r="AO823" i="7"/>
  <c r="AO499" i="7"/>
  <c r="AO679" i="7"/>
  <c r="AO451" i="7"/>
  <c r="AO559" i="7"/>
  <c r="AH1055" i="7"/>
  <c r="M1055" i="7"/>
  <c r="N1055" i="7" s="1"/>
  <c r="L1054" i="7"/>
  <c r="J1054" i="7"/>
  <c r="G1052" i="7"/>
  <c r="K1054" i="7"/>
  <c r="I1053" i="7"/>
  <c r="AG1053" i="7" s="1"/>
  <c r="H1053" i="7"/>
  <c r="AI1053" i="7" s="1"/>
  <c r="C1092" i="5"/>
  <c r="I1093" i="5"/>
  <c r="H1093" i="5"/>
  <c r="B1094" i="5"/>
  <c r="D1091" i="5"/>
  <c r="J1091" i="5"/>
  <c r="G1090" i="5"/>
  <c r="K1090" i="5" s="1"/>
  <c r="F1090" i="5"/>
  <c r="E1090" i="5"/>
  <c r="G1051" i="28"/>
  <c r="H1051" i="28" s="1"/>
  <c r="F1050" i="28"/>
  <c r="G1047" i="27"/>
  <c r="H1047" i="27" s="1"/>
  <c r="J1047" i="27" s="1"/>
  <c r="L1047" i="27" s="1"/>
  <c r="F1046" i="27"/>
  <c r="AN1026" i="7" l="1"/>
  <c r="AO1026" i="7" s="1"/>
  <c r="AN462" i="7"/>
  <c r="AO462" i="7" s="1"/>
  <c r="AN606" i="7"/>
  <c r="AO606" i="7" s="1"/>
  <c r="AN738" i="7"/>
  <c r="AO738" i="7" s="1"/>
  <c r="AN798" i="7"/>
  <c r="AO798" i="7" s="1"/>
  <c r="AN870" i="7"/>
  <c r="AO870" i="7" s="1"/>
  <c r="AN438" i="7"/>
  <c r="AO438" i="7" s="1"/>
  <c r="J1050" i="13"/>
  <c r="I1050" i="13"/>
  <c r="F1048" i="13"/>
  <c r="H1049" i="13"/>
  <c r="G1049" i="13"/>
  <c r="AR498" i="7"/>
  <c r="AR464" i="7"/>
  <c r="AR922" i="7"/>
  <c r="AR647" i="7"/>
  <c r="AR1003" i="7"/>
  <c r="AR883" i="7"/>
  <c r="AR523" i="7"/>
  <c r="AR618" i="7"/>
  <c r="AR968" i="7"/>
  <c r="AR451" i="7"/>
  <c r="AR559" i="7"/>
  <c r="AR931" i="7"/>
  <c r="AR625" i="7"/>
  <c r="AR704" i="7"/>
  <c r="AR1030" i="7"/>
  <c r="AR715" i="7"/>
  <c r="AR778" i="7"/>
  <c r="AR898" i="7"/>
  <c r="AR802" i="7"/>
  <c r="AR694" i="7"/>
  <c r="AR415" i="7"/>
  <c r="AR450" i="7"/>
  <c r="AR982" i="7"/>
  <c r="AR958" i="7"/>
  <c r="AR670" i="7"/>
  <c r="AR910" i="7"/>
  <c r="AR576" i="7"/>
  <c r="AR959" i="7"/>
  <c r="AR605" i="7"/>
  <c r="AR440" i="7"/>
  <c r="AR474" i="7"/>
  <c r="AR896" i="7"/>
  <c r="AR951" i="7"/>
  <c r="AR588" i="7"/>
  <c r="AR515" i="7"/>
  <c r="AR848" i="7"/>
  <c r="AR746" i="7"/>
  <c r="AR504" i="7"/>
  <c r="AR764" i="7"/>
  <c r="AR799" i="7"/>
  <c r="AR810" i="7"/>
  <c r="AR548" i="7"/>
  <c r="AR857" i="7"/>
  <c r="AR553" i="7"/>
  <c r="AR439" i="7"/>
  <c r="AR706" i="7"/>
  <c r="AR595" i="7"/>
  <c r="AR601" i="7"/>
  <c r="AR983" i="7"/>
  <c r="AR1034" i="7"/>
  <c r="AR969" i="7"/>
  <c r="AR924" i="7"/>
  <c r="AR698" i="7"/>
  <c r="AR741" i="7"/>
  <c r="AR832" i="7"/>
  <c r="AR458" i="7"/>
  <c r="AR644" i="7"/>
  <c r="AR489" i="7"/>
  <c r="AR621" i="7"/>
  <c r="AR766" i="7"/>
  <c r="AR499" i="7"/>
  <c r="AR585" i="7"/>
  <c r="AR946" i="7"/>
  <c r="AR664" i="7"/>
  <c r="AR540" i="7"/>
  <c r="AR433" i="7"/>
  <c r="AR874" i="7"/>
  <c r="AR872" i="7"/>
  <c r="AR547" i="7"/>
  <c r="AR598" i="7"/>
  <c r="AR562" i="7"/>
  <c r="AR631" i="7"/>
  <c r="AR463" i="7"/>
  <c r="AR513" i="7"/>
  <c r="AR970" i="7"/>
  <c r="AR934" i="7"/>
  <c r="AR767" i="7"/>
  <c r="AR619" i="7"/>
  <c r="AR730" i="7"/>
  <c r="AR826" i="7"/>
  <c r="AR838" i="7"/>
  <c r="AR841" i="7"/>
  <c r="AR907" i="7"/>
  <c r="AR609" i="7"/>
  <c r="AR416" i="7"/>
  <c r="AR537" i="7"/>
  <c r="AR656" i="7"/>
  <c r="AR633" i="7"/>
  <c r="AR808" i="7"/>
  <c r="AR679" i="7"/>
  <c r="AR933" i="7"/>
  <c r="AR880" i="7"/>
  <c r="AR981" i="7"/>
  <c r="AR671" i="7"/>
  <c r="AR1001" i="7"/>
  <c r="AR1018" i="7"/>
  <c r="AR682" i="7"/>
  <c r="AR881" i="7"/>
  <c r="AR505" i="7"/>
  <c r="AR811" i="7"/>
  <c r="AR481" i="7"/>
  <c r="AR535" i="7"/>
  <c r="AR571" i="7"/>
  <c r="AR855" i="7"/>
  <c r="AR930" i="7"/>
  <c r="AR642" i="7"/>
  <c r="AR1006" i="7"/>
  <c r="AR943" i="7"/>
  <c r="AR850" i="7"/>
  <c r="AR840" i="7"/>
  <c r="AR833" i="7"/>
  <c r="AR531" i="7"/>
  <c r="AR814" i="7"/>
  <c r="AR705" i="7"/>
  <c r="AR720" i="7"/>
  <c r="AR752" i="7"/>
  <c r="AR756" i="7"/>
  <c r="AR754" i="7"/>
  <c r="AR885" i="7"/>
  <c r="AR1012" i="7"/>
  <c r="AR475" i="7"/>
  <c r="AR994" i="7"/>
  <c r="AR768" i="7"/>
  <c r="AR884" i="7"/>
  <c r="AR550" i="7"/>
  <c r="AR569" i="7"/>
  <c r="AR487" i="7"/>
  <c r="AR582" i="7"/>
  <c r="AR607" i="7"/>
  <c r="AR663" i="7"/>
  <c r="AR886" i="7"/>
  <c r="AR718" i="7"/>
  <c r="AR649" i="7"/>
  <c r="AR478" i="7"/>
  <c r="AR948" i="7"/>
  <c r="AR1042" i="7"/>
  <c r="AR828" i="7"/>
  <c r="AR732" i="7"/>
  <c r="AR744" i="7"/>
  <c r="AR996" i="7"/>
  <c r="AR534" i="7"/>
  <c r="AR1027" i="7"/>
  <c r="AR816" i="7"/>
  <c r="AR583" i="7"/>
  <c r="AR681" i="7"/>
  <c r="AR742" i="7"/>
  <c r="AR500" i="7"/>
  <c r="AR511" i="7"/>
  <c r="AR801" i="7"/>
  <c r="AR831" i="7"/>
  <c r="AR945" i="7"/>
  <c r="AR522" i="7"/>
  <c r="AR963" i="7"/>
  <c r="AR675" i="7"/>
  <c r="AR932" i="7"/>
  <c r="AR902" i="7"/>
  <c r="AR641" i="7"/>
  <c r="AR821" i="7"/>
  <c r="AR486" i="7"/>
  <c r="AR581" i="7"/>
  <c r="AR617" i="7"/>
  <c r="AR477" i="7"/>
  <c r="AR890" i="7"/>
  <c r="AR905" i="7"/>
  <c r="AR461" i="7"/>
  <c r="AR488" i="7"/>
  <c r="AR423" i="7"/>
  <c r="AR856" i="7"/>
  <c r="AR1000" i="7"/>
  <c r="AR652" i="7"/>
  <c r="AR912" i="7"/>
  <c r="AR696" i="7"/>
  <c r="AR485" i="7"/>
  <c r="AR543" i="7"/>
  <c r="AR449" i="7"/>
  <c r="AR491" i="7"/>
  <c r="AR906" i="7"/>
  <c r="AR772" i="7"/>
  <c r="AR829" i="7"/>
  <c r="AR684" i="7"/>
  <c r="AR669" i="7"/>
  <c r="AR469" i="7"/>
  <c r="AR806" i="7"/>
  <c r="AR568" i="7"/>
  <c r="AR561" i="7"/>
  <c r="AR677" i="7"/>
  <c r="AR1032" i="7"/>
  <c r="AR472" i="7"/>
  <c r="AR928" i="7"/>
  <c r="AR944" i="7"/>
  <c r="AR743" i="7"/>
  <c r="AR574" i="7"/>
  <c r="AR578" i="7"/>
  <c r="AR953" i="7"/>
  <c r="AR419" i="7"/>
  <c r="AR882" i="7"/>
  <c r="AR748" i="7"/>
  <c r="AR1011" i="7"/>
  <c r="AR939" i="7"/>
  <c r="AR430" i="7"/>
  <c r="AR655" i="7"/>
  <c r="AR894" i="7"/>
  <c r="AR845" i="7"/>
  <c r="AR977" i="7"/>
  <c r="AR611" i="7"/>
  <c r="AR749" i="7"/>
  <c r="AR502" i="7"/>
  <c r="AR425" i="7"/>
  <c r="AR608" i="7"/>
  <c r="AR755" i="7"/>
  <c r="AR444" i="7"/>
  <c r="AR869" i="7"/>
  <c r="AR651" i="7"/>
  <c r="AR709" i="7"/>
  <c r="AR627" i="7"/>
  <c r="AR892" i="7"/>
  <c r="AR839" i="7"/>
  <c r="AR967" i="7"/>
  <c r="AR554" i="7"/>
  <c r="AR877" i="7"/>
  <c r="AR636" i="7"/>
  <c r="AR903" i="7"/>
  <c r="AR563" i="7"/>
  <c r="AR476" i="7"/>
  <c r="AR592" i="7"/>
  <c r="AR984" i="7"/>
  <c r="AR685" i="7"/>
  <c r="AR974" i="7"/>
  <c r="AR703" i="7"/>
  <c r="AR991" i="7"/>
  <c r="AR711" i="7"/>
  <c r="AR418" i="7"/>
  <c r="AR529" i="7"/>
  <c r="AR653" i="7"/>
  <c r="AR822" i="7"/>
  <c r="AR820" i="7"/>
  <c r="AR988" i="7"/>
  <c r="AR520" i="7"/>
  <c r="AR501" i="7"/>
  <c r="AR560" i="7"/>
  <c r="AR584" i="7"/>
  <c r="AR634" i="7"/>
  <c r="AR506" i="7"/>
  <c r="AR665" i="7"/>
  <c r="AR632" i="7"/>
  <c r="AR921" i="7"/>
  <c r="AR615" i="7"/>
  <c r="AR676" i="7"/>
  <c r="AR1024" i="7"/>
  <c r="AR1004" i="7"/>
  <c r="AR1008" i="7"/>
  <c r="AR891" i="7"/>
  <c r="AR712" i="7"/>
  <c r="AR1054" i="7"/>
  <c r="AR762" i="7"/>
  <c r="AR567" i="7"/>
  <c r="AR421" i="7"/>
  <c r="AR1010" i="7"/>
  <c r="AR835" i="7"/>
  <c r="AR1043" i="7"/>
  <c r="AR926" i="7"/>
  <c r="AR532" i="7"/>
  <c r="AR995" i="7"/>
  <c r="AR699" i="7"/>
  <c r="AR1044" i="7"/>
  <c r="AR879" i="7"/>
  <c r="AR813" i="7"/>
  <c r="AR518" i="7"/>
  <c r="AR572" i="7"/>
  <c r="AR526" i="7"/>
  <c r="AR997" i="7"/>
  <c r="AR875" i="7"/>
  <c r="AR701" i="7"/>
  <c r="AR424" i="7"/>
  <c r="AR927" i="7"/>
  <c r="AR836" i="7"/>
  <c r="AR895" i="7"/>
  <c r="AR503" i="7"/>
  <c r="AR666" i="7"/>
  <c r="AR628" i="7"/>
  <c r="AR954" i="7"/>
  <c r="AR512" i="7"/>
  <c r="AR825" i="7"/>
  <c r="AR728" i="7"/>
  <c r="AR484" i="7"/>
  <c r="AR690" i="7"/>
  <c r="AR510" i="7"/>
  <c r="AR770" i="7"/>
  <c r="AR941" i="7"/>
  <c r="AR462" i="7"/>
  <c r="AR710" i="7"/>
  <c r="AR858" i="7"/>
  <c r="AR1009" i="7"/>
  <c r="AR613" i="7"/>
  <c r="AR950" i="7"/>
  <c r="AR530" i="7"/>
  <c r="AR893" i="7"/>
  <c r="AR830" i="7"/>
  <c r="AR620" i="7"/>
  <c r="AR544" i="7"/>
  <c r="AR1045" i="7"/>
  <c r="AR577" i="7"/>
  <c r="AR852" i="7"/>
  <c r="AR640" i="7"/>
  <c r="AR797" i="7"/>
  <c r="AR1029" i="7"/>
  <c r="AR1039" i="7"/>
  <c r="AR687" i="7"/>
  <c r="AR471" i="7"/>
  <c r="AR862" i="7"/>
  <c r="AR587" i="7"/>
  <c r="AR771" i="7"/>
  <c r="AR586" i="7"/>
  <c r="AR789" i="7"/>
  <c r="AR508" i="7"/>
  <c r="AR495" i="7"/>
  <c r="AR937" i="7"/>
  <c r="AR978" i="7"/>
  <c r="AR452" i="7"/>
  <c r="AR533" i="7"/>
  <c r="AR693" i="7"/>
  <c r="AR479" i="7"/>
  <c r="AR1056" i="7"/>
  <c r="AR668" i="7"/>
  <c r="AR638" i="7"/>
  <c r="AR551" i="7"/>
  <c r="AR773" i="7"/>
  <c r="AR823" i="7"/>
  <c r="AR680" i="7"/>
  <c r="AR917" i="7"/>
  <c r="AR760" i="7"/>
  <c r="AR589" i="7"/>
  <c r="AR497" i="7"/>
  <c r="AR897" i="7"/>
  <c r="AR713" i="7"/>
  <c r="AR714" i="7"/>
  <c r="AR847" i="7"/>
  <c r="AR521" i="7"/>
  <c r="AR955" i="7"/>
  <c r="AR876" i="7"/>
  <c r="AR803" i="7"/>
  <c r="AR590" i="7"/>
  <c r="AR807" i="7"/>
  <c r="AR899" i="7"/>
  <c r="AR740" i="7"/>
  <c r="AR788" i="7"/>
  <c r="AR470" i="7"/>
  <c r="AR673" i="7"/>
  <c r="AR804" i="7"/>
  <c r="AR426" i="7"/>
  <c r="AR990" i="7"/>
  <c r="AR570" i="7"/>
  <c r="AR761" i="7"/>
  <c r="AR952" i="7"/>
  <c r="AR1033" i="7"/>
  <c r="AR979" i="7"/>
  <c r="AR689" i="7"/>
  <c r="AR973" i="7"/>
  <c r="AR763" i="7"/>
  <c r="AR661" i="7"/>
  <c r="AR916" i="7"/>
  <c r="AR648" i="7"/>
  <c r="AR871" i="7"/>
  <c r="AR453" i="7"/>
  <c r="AR443" i="7"/>
  <c r="AR635" i="7"/>
  <c r="AR904" i="7"/>
  <c r="AR538" i="7"/>
  <c r="AR514" i="7"/>
  <c r="AR662" i="7"/>
  <c r="AR1041" i="7"/>
  <c r="AR985" i="7"/>
  <c r="AR480" i="7"/>
  <c r="AR960" i="7"/>
  <c r="AR580" i="7"/>
  <c r="AR702" i="7"/>
  <c r="AR524" i="7"/>
  <c r="AR541" i="7"/>
  <c r="AR1035" i="7"/>
  <c r="AR809" i="7"/>
  <c r="AR986" i="7"/>
  <c r="AR660" i="7"/>
  <c r="AR878" i="7"/>
  <c r="AR747" i="7"/>
  <c r="AR454" i="7"/>
  <c r="AR843" i="7"/>
  <c r="AR1028" i="7"/>
  <c r="AR914" i="7"/>
  <c r="AR935" i="7"/>
  <c r="AR448" i="7"/>
  <c r="AR824" i="7"/>
  <c r="AR1040" i="7"/>
  <c r="AR887" i="7"/>
  <c r="AR957" i="7"/>
  <c r="AR834" i="7"/>
  <c r="AR936" i="7"/>
  <c r="AR873" i="7"/>
  <c r="AR691" i="7"/>
  <c r="AR844" i="7"/>
  <c r="AR445" i="7"/>
  <c r="AR646" i="7"/>
  <c r="AR434" i="7"/>
  <c r="AR565" i="7"/>
  <c r="AR1026" i="7"/>
  <c r="AR962" i="7"/>
  <c r="AR697" i="7"/>
  <c r="AR1049" i="7"/>
  <c r="AR441" i="7"/>
  <c r="AR555" i="7"/>
  <c r="AR774" i="7"/>
  <c r="AR552" i="7"/>
  <c r="AR420" i="7"/>
  <c r="AR757" i="7"/>
  <c r="AR579" i="7"/>
  <c r="AR947" i="7"/>
  <c r="AR863" i="7"/>
  <c r="AR739" i="7"/>
  <c r="AR915" i="7"/>
  <c r="AR901" i="7"/>
  <c r="AR525" i="7"/>
  <c r="AR612" i="7"/>
  <c r="AR573" i="7"/>
  <c r="AR1038" i="7"/>
  <c r="AR929" i="7"/>
  <c r="AR792" i="7"/>
  <c r="AR482" i="7"/>
  <c r="AR654" i="7"/>
  <c r="AR545" i="7"/>
  <c r="AR846" i="7"/>
  <c r="AR1007" i="7"/>
  <c r="AR889" i="7"/>
  <c r="AR695" i="7"/>
  <c r="AR800" i="7"/>
  <c r="AR431" i="7"/>
  <c r="AR972" i="7"/>
  <c r="AR940" i="7"/>
  <c r="AR456" i="7"/>
  <c r="AR707" i="7"/>
  <c r="AR1014" i="7"/>
  <c r="AR519" i="7"/>
  <c r="AR594" i="7"/>
  <c r="AR657" i="7"/>
  <c r="AR759" i="7"/>
  <c r="AR667" i="7"/>
  <c r="AR900" i="7"/>
  <c r="AR819" i="7"/>
  <c r="AR913" i="7"/>
  <c r="AR637" i="7"/>
  <c r="AR496" i="7"/>
  <c r="AR564" i="7"/>
  <c r="AR750" i="7"/>
  <c r="AR468" i="7"/>
  <c r="AR956" i="7"/>
  <c r="AR650" i="7"/>
  <c r="AR466" i="7"/>
  <c r="AR457" i="7"/>
  <c r="AR422" i="7"/>
  <c r="AR692" i="7"/>
  <c r="AR1023" i="7"/>
  <c r="AR1020" i="7"/>
  <c r="AR753" i="7"/>
  <c r="AR975" i="7"/>
  <c r="AR923" i="7"/>
  <c r="AR432" i="7"/>
  <c r="AR854" i="7"/>
  <c r="AR465" i="7"/>
  <c r="AR507" i="7"/>
  <c r="AR745" i="7"/>
  <c r="AR490" i="7"/>
  <c r="AR546" i="7"/>
  <c r="AR557" i="7"/>
  <c r="AR624" i="7"/>
  <c r="AR593" i="7"/>
  <c r="AR796" i="7"/>
  <c r="AR817" i="7"/>
  <c r="AR614" i="7"/>
  <c r="AR1037" i="7"/>
  <c r="AR1005" i="7"/>
  <c r="AR558" i="7"/>
  <c r="AR961" i="7"/>
  <c r="AR925" i="7"/>
  <c r="AR1036" i="7"/>
  <c r="AR949" i="7"/>
  <c r="AR623" i="7"/>
  <c r="AR417" i="7"/>
  <c r="AR683" i="7"/>
  <c r="AR446" i="7"/>
  <c r="AR794" i="7"/>
  <c r="AR509" i="7"/>
  <c r="AR556" i="7"/>
  <c r="AR678" i="7"/>
  <c r="AR539" i="7"/>
  <c r="AR966" i="7"/>
  <c r="AR527" i="7"/>
  <c r="AR805" i="7"/>
  <c r="AR1002" i="7"/>
  <c r="AR483" i="7"/>
  <c r="AR643" i="7"/>
  <c r="AR980" i="7"/>
  <c r="AR672" i="7"/>
  <c r="AR575" i="7"/>
  <c r="AR818" i="7"/>
  <c r="AR919" i="7"/>
  <c r="AR630" i="7"/>
  <c r="AR536" i="7"/>
  <c r="AR688" i="7"/>
  <c r="AR989" i="7"/>
  <c r="AR787" i="7"/>
  <c r="AR516" i="7"/>
  <c r="AR528" i="7"/>
  <c r="AR853" i="7"/>
  <c r="AR1013" i="7"/>
  <c r="AR964" i="7"/>
  <c r="AR626" i="7"/>
  <c r="AR629" i="7"/>
  <c r="AR965" i="7"/>
  <c r="AR827" i="7"/>
  <c r="AR622" i="7"/>
  <c r="AR542" i="7"/>
  <c r="AR566" i="7"/>
  <c r="AR459" i="7"/>
  <c r="AR758" i="7"/>
  <c r="AR888" i="7"/>
  <c r="AR911" i="7"/>
  <c r="AR610" i="7"/>
  <c r="AR686" i="7"/>
  <c r="AR815" i="7"/>
  <c r="AR645" i="7"/>
  <c r="AR920" i="7"/>
  <c r="AR791" i="7"/>
  <c r="AR436" i="7"/>
  <c r="AR429" i="7"/>
  <c r="AR442" i="7"/>
  <c r="AR1050" i="7"/>
  <c r="AR591" i="7"/>
  <c r="AR998" i="7"/>
  <c r="AR674" i="7"/>
  <c r="AR549" i="7"/>
  <c r="AR492" i="7"/>
  <c r="AR849" i="7"/>
  <c r="AR494" i="7"/>
  <c r="AR467" i="7"/>
  <c r="AR837" i="7"/>
  <c r="AR493" i="7"/>
  <c r="AR918" i="7"/>
  <c r="AR473" i="7"/>
  <c r="AR938" i="7"/>
  <c r="AR942" i="7"/>
  <c r="AR751" i="7"/>
  <c r="AR992" i="7"/>
  <c r="AR616" i="7"/>
  <c r="AR447" i="7"/>
  <c r="AR765" i="7"/>
  <c r="AR769" i="7"/>
  <c r="AR639" i="7"/>
  <c r="AR999" i="7"/>
  <c r="AR851" i="7"/>
  <c r="AR700" i="7"/>
  <c r="AR775" i="7"/>
  <c r="AR1059" i="7"/>
  <c r="AR812" i="7"/>
  <c r="AR1051" i="7"/>
  <c r="AR1053" i="7"/>
  <c r="AR776" i="7"/>
  <c r="AR1048" i="7"/>
  <c r="AR719" i="7"/>
  <c r="AR723" i="7"/>
  <c r="AR724" i="7"/>
  <c r="AR781" i="7"/>
  <c r="AR1061" i="7"/>
  <c r="AR599" i="7"/>
  <c r="AR604" i="7"/>
  <c r="AR708" i="7"/>
  <c r="AR784" i="7"/>
  <c r="AR1047" i="7"/>
  <c r="AR1046" i="7"/>
  <c r="AR860" i="7"/>
  <c r="AR779" i="7"/>
  <c r="AR865" i="7"/>
  <c r="AR1055" i="7"/>
  <c r="AR783" i="7"/>
  <c r="AR1052" i="7"/>
  <c r="AR908" i="7"/>
  <c r="AR726" i="7"/>
  <c r="AR716" i="7"/>
  <c r="AR1057" i="7"/>
  <c r="AR659" i="7"/>
  <c r="AR1058" i="7"/>
  <c r="AR602" i="7"/>
  <c r="AR600" i="7"/>
  <c r="AR780" i="7"/>
  <c r="AR658" i="7"/>
  <c r="AR460" i="7"/>
  <c r="AR777" i="7"/>
  <c r="AR868" i="7"/>
  <c r="AR976" i="7"/>
  <c r="AR861" i="7"/>
  <c r="AR455" i="7"/>
  <c r="AR909" i="7"/>
  <c r="AR721" i="7"/>
  <c r="AR717" i="7"/>
  <c r="AR782" i="7"/>
  <c r="AR864" i="7"/>
  <c r="AR517" i="7"/>
  <c r="AR603" i="7"/>
  <c r="AR596" i="7"/>
  <c r="AR1062" i="7"/>
  <c r="AR867" i="7"/>
  <c r="AR971" i="7"/>
  <c r="AR987" i="7"/>
  <c r="AR786" i="7"/>
  <c r="AR859" i="7"/>
  <c r="AR1031" i="7"/>
  <c r="AR870" i="7"/>
  <c r="AR993" i="7"/>
  <c r="AR1019" i="7"/>
  <c r="AR725" i="7"/>
  <c r="AR722" i="7"/>
  <c r="AR785" i="7"/>
  <c r="AR866" i="7"/>
  <c r="AR842" i="7"/>
  <c r="AR597" i="7"/>
  <c r="AR606" i="7"/>
  <c r="AR1060" i="7"/>
  <c r="AO714" i="7"/>
  <c r="AO846" i="7"/>
  <c r="AO474" i="7"/>
  <c r="AO522" i="7"/>
  <c r="AO1050" i="7"/>
  <c r="AO678" i="7"/>
  <c r="AO570" i="7"/>
  <c r="AO594" i="7"/>
  <c r="AO630" i="7"/>
  <c r="AO966" i="7"/>
  <c r="AO906" i="7"/>
  <c r="AO1014" i="7"/>
  <c r="AO618" i="7"/>
  <c r="AO834" i="7"/>
  <c r="AO642" i="7"/>
  <c r="AO762" i="7"/>
  <c r="AO534" i="7"/>
  <c r="AO1002" i="7"/>
  <c r="AO990" i="7"/>
  <c r="AO654" i="7"/>
  <c r="AO750" i="7"/>
  <c r="AO978" i="7"/>
  <c r="AO882" i="7"/>
  <c r="AO426" i="7"/>
  <c r="AO690" i="7"/>
  <c r="AO450" i="7"/>
  <c r="AO786" i="7"/>
  <c r="AO942" i="7"/>
  <c r="AO918" i="7"/>
  <c r="AO1038" i="7"/>
  <c r="AO546" i="7"/>
  <c r="AO858" i="7"/>
  <c r="AH1054" i="7"/>
  <c r="M1054" i="7"/>
  <c r="N1054" i="7" s="1"/>
  <c r="K1053" i="7"/>
  <c r="I1052" i="7"/>
  <c r="AG1052" i="7" s="1"/>
  <c r="H1052" i="7"/>
  <c r="AI1052" i="7" s="1"/>
  <c r="L1053" i="7"/>
  <c r="J1053" i="7"/>
  <c r="G1051" i="7"/>
  <c r="I1094" i="5"/>
  <c r="H1094" i="5"/>
  <c r="B1095" i="5"/>
  <c r="C1093" i="5"/>
  <c r="F1091" i="5"/>
  <c r="E1091" i="5"/>
  <c r="G1091" i="5"/>
  <c r="K1091" i="5" s="1"/>
  <c r="D1092" i="5"/>
  <c r="J1092" i="5"/>
  <c r="G1050" i="28"/>
  <c r="H1050" i="28" s="1"/>
  <c r="F1049" i="28"/>
  <c r="G1046" i="27"/>
  <c r="H1046" i="27" s="1"/>
  <c r="J1046" i="27" s="1"/>
  <c r="L1046" i="27" s="1"/>
  <c r="F1045" i="27"/>
  <c r="AR437" i="7" l="1"/>
  <c r="AR438" i="7"/>
  <c r="AR435" i="7"/>
  <c r="AR428" i="7"/>
  <c r="AR427" i="7"/>
  <c r="AR734" i="7"/>
  <c r="AR735" i="7"/>
  <c r="AR727" i="7"/>
  <c r="AR733" i="7"/>
  <c r="AR737" i="7"/>
  <c r="AR738" i="7"/>
  <c r="AR731" i="7"/>
  <c r="AR1025" i="7"/>
  <c r="AR1021" i="7"/>
  <c r="AR795" i="7"/>
  <c r="AR1017" i="7"/>
  <c r="AR1015" i="7"/>
  <c r="AR729" i="7"/>
  <c r="AR736" i="7"/>
  <c r="AR1016" i="7"/>
  <c r="AR790" i="7"/>
  <c r="AR798" i="7"/>
  <c r="AR793" i="7"/>
  <c r="AR1022" i="7"/>
  <c r="J1049" i="13"/>
  <c r="I1049" i="13"/>
  <c r="F1047" i="13"/>
  <c r="H1048" i="13"/>
  <c r="G1048" i="13"/>
  <c r="AH1053" i="7"/>
  <c r="M1053" i="7"/>
  <c r="N1053" i="7" s="1"/>
  <c r="G1050" i="7"/>
  <c r="K1052" i="7"/>
  <c r="H1051" i="7"/>
  <c r="AI1051" i="7" s="1"/>
  <c r="I1051" i="7"/>
  <c r="AG1051" i="7" s="1"/>
  <c r="L1052" i="7"/>
  <c r="J1052" i="7"/>
  <c r="G1092" i="5"/>
  <c r="K1092" i="5" s="1"/>
  <c r="F1092" i="5"/>
  <c r="E1092" i="5"/>
  <c r="D1093" i="5"/>
  <c r="J1093" i="5"/>
  <c r="I1095" i="5"/>
  <c r="H1095" i="5"/>
  <c r="C1094" i="5"/>
  <c r="B1096" i="5"/>
  <c r="G1049" i="28"/>
  <c r="H1049" i="28" s="1"/>
  <c r="F1048" i="28"/>
  <c r="G1045" i="27"/>
  <c r="H1045" i="27" s="1"/>
  <c r="J1045" i="27" s="1"/>
  <c r="L1045" i="27" s="1"/>
  <c r="F1044" i="27"/>
  <c r="J1048" i="13" l="1"/>
  <c r="I1048" i="13"/>
  <c r="F1046" i="13"/>
  <c r="H1047" i="13"/>
  <c r="G1047" i="13"/>
  <c r="AH1052" i="7"/>
  <c r="K1051" i="7"/>
  <c r="H1050" i="7"/>
  <c r="AI1050" i="7" s="1"/>
  <c r="I1050" i="7"/>
  <c r="AG1050" i="7" s="1"/>
  <c r="M1052" i="7"/>
  <c r="N1052" i="7" s="1"/>
  <c r="J1051" i="7"/>
  <c r="L1051" i="7"/>
  <c r="G1049" i="7"/>
  <c r="B1097" i="5"/>
  <c r="C1095" i="5"/>
  <c r="D1095" i="5" s="1"/>
  <c r="I1096" i="5"/>
  <c r="H1096" i="5"/>
  <c r="D1094" i="5"/>
  <c r="J1094" i="5"/>
  <c r="F1093" i="5"/>
  <c r="G1093" i="5"/>
  <c r="K1093" i="5" s="1"/>
  <c r="E1093" i="5"/>
  <c r="G1048" i="28"/>
  <c r="H1048" i="28" s="1"/>
  <c r="F1047" i="28"/>
  <c r="G1044" i="27"/>
  <c r="H1044" i="27" s="1"/>
  <c r="J1044" i="27" s="1"/>
  <c r="L1044" i="27" s="1"/>
  <c r="F1043" i="27"/>
  <c r="J1047" i="13" l="1"/>
  <c r="I1047" i="13"/>
  <c r="F1045" i="13"/>
  <c r="H1046" i="13"/>
  <c r="G1046" i="13"/>
  <c r="AH1051" i="7"/>
  <c r="H1049" i="7"/>
  <c r="AI1049" i="7" s="1"/>
  <c r="I1049" i="7"/>
  <c r="AG1049" i="7" s="1"/>
  <c r="K1050" i="7"/>
  <c r="G1048" i="7"/>
  <c r="M1051" i="7"/>
  <c r="N1051" i="7" s="1"/>
  <c r="J1050" i="7"/>
  <c r="AH1050" i="7" s="1"/>
  <c r="L1050" i="7"/>
  <c r="J1095" i="5"/>
  <c r="F1095" i="5"/>
  <c r="E1095" i="5"/>
  <c r="G1095" i="5"/>
  <c r="K1095" i="5" s="1"/>
  <c r="G1094" i="5"/>
  <c r="K1094" i="5" s="1"/>
  <c r="F1094" i="5"/>
  <c r="E1094" i="5"/>
  <c r="H1097" i="5"/>
  <c r="I1097" i="5"/>
  <c r="B1098" i="5"/>
  <c r="C1096" i="5"/>
  <c r="G1047" i="28"/>
  <c r="H1047" i="28" s="1"/>
  <c r="F1046" i="28"/>
  <c r="G1043" i="27"/>
  <c r="H1043" i="27" s="1"/>
  <c r="J1043" i="27" s="1"/>
  <c r="L1043" i="27" s="1"/>
  <c r="F1042" i="27"/>
  <c r="F1044" i="13" l="1"/>
  <c r="H1045" i="13"/>
  <c r="G1045" i="13"/>
  <c r="J1046" i="13"/>
  <c r="I1046" i="13"/>
  <c r="M1050" i="7"/>
  <c r="N1050" i="7" s="1"/>
  <c r="G1047" i="7"/>
  <c r="H1048" i="7"/>
  <c r="I1048" i="7"/>
  <c r="AG1048" i="7" s="1"/>
  <c r="J1049" i="7"/>
  <c r="L1049" i="7"/>
  <c r="K1049" i="7"/>
  <c r="I1098" i="5"/>
  <c r="H1098" i="5"/>
  <c r="B1099" i="5"/>
  <c r="C1097" i="5"/>
  <c r="D1096" i="5"/>
  <c r="J1096" i="5"/>
  <c r="G1046" i="28"/>
  <c r="H1046" i="28" s="1"/>
  <c r="F1045" i="28"/>
  <c r="G1042" i="27"/>
  <c r="H1042" i="27" s="1"/>
  <c r="J1042" i="27" s="1"/>
  <c r="L1042" i="27" s="1"/>
  <c r="F1041" i="27"/>
  <c r="J1045" i="13" l="1"/>
  <c r="I1045" i="13"/>
  <c r="F1043" i="13"/>
  <c r="H1044" i="13"/>
  <c r="G1044" i="13"/>
  <c r="AH1049" i="7"/>
  <c r="K1048" i="7"/>
  <c r="AI1048" i="7"/>
  <c r="J1048" i="7"/>
  <c r="L1048" i="7"/>
  <c r="M1049" i="7"/>
  <c r="N1049" i="7" s="1"/>
  <c r="H1047" i="7"/>
  <c r="AI1047" i="7" s="1"/>
  <c r="I1047" i="7"/>
  <c r="AG1047" i="7" s="1"/>
  <c r="G1046" i="7"/>
  <c r="D1097" i="5"/>
  <c r="J1097" i="5"/>
  <c r="I1099" i="5"/>
  <c r="C1098" i="5"/>
  <c r="H1099" i="5"/>
  <c r="B1100" i="5"/>
  <c r="G1096" i="5"/>
  <c r="K1096" i="5" s="1"/>
  <c r="F1096" i="5"/>
  <c r="E1096" i="5"/>
  <c r="G1045" i="28"/>
  <c r="H1045" i="28" s="1"/>
  <c r="F1044" i="28"/>
  <c r="G1041" i="27"/>
  <c r="H1041" i="27" s="1"/>
  <c r="J1041" i="27" s="1"/>
  <c r="L1041" i="27" s="1"/>
  <c r="F1040" i="27"/>
  <c r="J1044" i="13" l="1"/>
  <c r="I1044" i="13"/>
  <c r="F1042" i="13"/>
  <c r="H1043" i="13"/>
  <c r="G1043" i="13"/>
  <c r="AH1048" i="7"/>
  <c r="G1045" i="7"/>
  <c r="L1047" i="7"/>
  <c r="J1047" i="7"/>
  <c r="M1048" i="7"/>
  <c r="N1048" i="7" s="1"/>
  <c r="K1047" i="7"/>
  <c r="H1046" i="7"/>
  <c r="AI1046" i="7" s="1"/>
  <c r="I1046" i="7"/>
  <c r="AG1046" i="7" s="1"/>
  <c r="D1098" i="5"/>
  <c r="J1098" i="5"/>
  <c r="I1100" i="5"/>
  <c r="H1100" i="5"/>
  <c r="C1099" i="5"/>
  <c r="B1101" i="5"/>
  <c r="G1097" i="5"/>
  <c r="K1097" i="5" s="1"/>
  <c r="F1097" i="5"/>
  <c r="E1097" i="5"/>
  <c r="F1043" i="28"/>
  <c r="G1044" i="28"/>
  <c r="H1044" i="28" s="1"/>
  <c r="G1040" i="27"/>
  <c r="H1040" i="27" s="1"/>
  <c r="J1040" i="27" s="1"/>
  <c r="L1040" i="27" s="1"/>
  <c r="F1039" i="27"/>
  <c r="J1043" i="13" l="1"/>
  <c r="I1043" i="13"/>
  <c r="F1041" i="13"/>
  <c r="H1042" i="13"/>
  <c r="G1042" i="13"/>
  <c r="AH1047" i="7"/>
  <c r="L1046" i="7"/>
  <c r="J1046" i="7"/>
  <c r="K1046" i="7"/>
  <c r="M1047" i="7"/>
  <c r="N1047" i="7" s="1"/>
  <c r="G1044" i="7"/>
  <c r="H1045" i="7"/>
  <c r="AI1045" i="7" s="1"/>
  <c r="I1045" i="7"/>
  <c r="AG1045" i="7" s="1"/>
  <c r="C1100" i="5"/>
  <c r="D1100" i="5" s="1"/>
  <c r="I1101" i="5"/>
  <c r="H1101" i="5"/>
  <c r="B1102" i="5"/>
  <c r="D1099" i="5"/>
  <c r="J1099" i="5"/>
  <c r="G1098" i="5"/>
  <c r="K1098" i="5" s="1"/>
  <c r="E1098" i="5"/>
  <c r="F1098" i="5"/>
  <c r="G1043" i="28"/>
  <c r="H1043" i="28" s="1"/>
  <c r="F1042" i="28"/>
  <c r="G1039" i="27"/>
  <c r="H1039" i="27" s="1"/>
  <c r="J1039" i="27" s="1"/>
  <c r="L1039" i="27" s="1"/>
  <c r="F1038" i="27"/>
  <c r="J1042" i="13" l="1"/>
  <c r="I1042" i="13"/>
  <c r="F1040" i="13"/>
  <c r="H1041" i="13"/>
  <c r="G1041" i="13"/>
  <c r="AH1046" i="7"/>
  <c r="G1043" i="7"/>
  <c r="I1044" i="7"/>
  <c r="AG1044" i="7" s="1"/>
  <c r="H1044" i="7"/>
  <c r="AI1044" i="7" s="1"/>
  <c r="L1045" i="7"/>
  <c r="J1045" i="7"/>
  <c r="K1045" i="7"/>
  <c r="M1046" i="7"/>
  <c r="N1046" i="7" s="1"/>
  <c r="J1100" i="5"/>
  <c r="F1099" i="5"/>
  <c r="G1099" i="5"/>
  <c r="K1099" i="5" s="1"/>
  <c r="E1099" i="5"/>
  <c r="G1100" i="5"/>
  <c r="K1100" i="5" s="1"/>
  <c r="F1100" i="5"/>
  <c r="E1100" i="5"/>
  <c r="I1102" i="5"/>
  <c r="C1101" i="5"/>
  <c r="B1103" i="5"/>
  <c r="H1102" i="5"/>
  <c r="F1041" i="28"/>
  <c r="G1042" i="28"/>
  <c r="H1042" i="28" s="1"/>
  <c r="G1038" i="27"/>
  <c r="H1038" i="27" s="1"/>
  <c r="J1038" i="27" s="1"/>
  <c r="L1038" i="27" s="1"/>
  <c r="F1037" i="27"/>
  <c r="F1039" i="13" l="1"/>
  <c r="H1040" i="13"/>
  <c r="G1040" i="13"/>
  <c r="J1041" i="13"/>
  <c r="I1041" i="13"/>
  <c r="AH1045" i="7"/>
  <c r="K1044" i="7"/>
  <c r="J1044" i="7"/>
  <c r="L1044" i="7"/>
  <c r="G1042" i="7"/>
  <c r="M1045" i="7"/>
  <c r="N1045" i="7" s="1"/>
  <c r="H1043" i="7"/>
  <c r="AI1043" i="7" s="1"/>
  <c r="I1043" i="7"/>
  <c r="AG1043" i="7" s="1"/>
  <c r="D1101" i="5"/>
  <c r="J1101" i="5"/>
  <c r="C1102" i="5"/>
  <c r="I1103" i="5"/>
  <c r="H1103" i="5"/>
  <c r="B1104" i="5"/>
  <c r="F1040" i="28"/>
  <c r="G1041" i="28"/>
  <c r="H1041" i="28" s="1"/>
  <c r="G1037" i="27"/>
  <c r="H1037" i="27" s="1"/>
  <c r="J1037" i="27" s="1"/>
  <c r="L1037" i="27" s="1"/>
  <c r="F1036" i="27"/>
  <c r="J1040" i="13" l="1"/>
  <c r="I1040" i="13"/>
  <c r="F1038" i="13"/>
  <c r="H1039" i="13"/>
  <c r="G1039" i="13"/>
  <c r="AH1044" i="7"/>
  <c r="L1043" i="7"/>
  <c r="J1043" i="7"/>
  <c r="G1041" i="7"/>
  <c r="K1043" i="7"/>
  <c r="I1042" i="7"/>
  <c r="AG1042" i="7" s="1"/>
  <c r="H1042" i="7"/>
  <c r="AI1042" i="7" s="1"/>
  <c r="M1044" i="7"/>
  <c r="N1044" i="7" s="1"/>
  <c r="D1102" i="5"/>
  <c r="J1102" i="5"/>
  <c r="B1105" i="5"/>
  <c r="I1104" i="5"/>
  <c r="H1104" i="5"/>
  <c r="C1103" i="5"/>
  <c r="G1101" i="5"/>
  <c r="K1101" i="5" s="1"/>
  <c r="F1101" i="5"/>
  <c r="E1101" i="5"/>
  <c r="F1039" i="28"/>
  <c r="G1040" i="28"/>
  <c r="H1040" i="28" s="1"/>
  <c r="G1036" i="27"/>
  <c r="H1036" i="27" s="1"/>
  <c r="J1036" i="27" s="1"/>
  <c r="L1036" i="27" s="1"/>
  <c r="F1035" i="27"/>
  <c r="F1037" i="13" l="1"/>
  <c r="H1038" i="13"/>
  <c r="G1038" i="13"/>
  <c r="J1039" i="13"/>
  <c r="I1039" i="13"/>
  <c r="AH1043" i="7"/>
  <c r="J1042" i="7"/>
  <c r="L1042" i="7"/>
  <c r="H1041" i="7"/>
  <c r="AI1041" i="7" s="1"/>
  <c r="I1041" i="7"/>
  <c r="AG1041" i="7" s="1"/>
  <c r="G1040" i="7"/>
  <c r="K1042" i="7"/>
  <c r="M1043" i="7"/>
  <c r="N1043" i="7" s="1"/>
  <c r="C1104" i="5"/>
  <c r="B1106" i="5"/>
  <c r="I1105" i="5"/>
  <c r="H1105" i="5"/>
  <c r="D1103" i="5"/>
  <c r="J1103" i="5"/>
  <c r="F1102" i="5"/>
  <c r="G1102" i="5"/>
  <c r="K1102" i="5" s="1"/>
  <c r="E1102" i="5"/>
  <c r="G1039" i="28"/>
  <c r="H1039" i="28" s="1"/>
  <c r="F1038" i="28"/>
  <c r="G1035" i="27"/>
  <c r="H1035" i="27" s="1"/>
  <c r="J1035" i="27" s="1"/>
  <c r="L1035" i="27" s="1"/>
  <c r="F1034" i="27"/>
  <c r="J1038" i="13" l="1"/>
  <c r="I1038" i="13"/>
  <c r="F1036" i="13"/>
  <c r="H1037" i="13"/>
  <c r="G1037" i="13"/>
  <c r="AH1042" i="7"/>
  <c r="L1041" i="7"/>
  <c r="J1041" i="7"/>
  <c r="K1041" i="7"/>
  <c r="G1039" i="7"/>
  <c r="M1042" i="7"/>
  <c r="N1042" i="7" s="1"/>
  <c r="I1040" i="7"/>
  <c r="AG1040" i="7" s="1"/>
  <c r="H1040" i="7"/>
  <c r="AI1040" i="7" s="1"/>
  <c r="H1106" i="5"/>
  <c r="I1106" i="5"/>
  <c r="C1105" i="5"/>
  <c r="B1107" i="5"/>
  <c r="E1103" i="5"/>
  <c r="F1103" i="5"/>
  <c r="G1103" i="5"/>
  <c r="K1103" i="5" s="1"/>
  <c r="D1104" i="5"/>
  <c r="J1104" i="5"/>
  <c r="G1038" i="28"/>
  <c r="H1038" i="28" s="1"/>
  <c r="F1037" i="28"/>
  <c r="G1034" i="27"/>
  <c r="H1034" i="27" s="1"/>
  <c r="J1034" i="27" s="1"/>
  <c r="L1034" i="27" s="1"/>
  <c r="F1033" i="27"/>
  <c r="F1035" i="13" l="1"/>
  <c r="H1036" i="13"/>
  <c r="G1036" i="13"/>
  <c r="J1037" i="13"/>
  <c r="I1037" i="13"/>
  <c r="AH1041" i="7"/>
  <c r="K1040" i="7"/>
  <c r="G1038" i="7"/>
  <c r="J1040" i="7"/>
  <c r="L1040" i="7"/>
  <c r="I1039" i="7"/>
  <c r="AG1039" i="7" s="1"/>
  <c r="H1039" i="7"/>
  <c r="AI1039" i="7" s="1"/>
  <c r="M1041" i="7"/>
  <c r="N1041" i="7" s="1"/>
  <c r="G1104" i="5"/>
  <c r="K1104" i="5" s="1"/>
  <c r="F1104" i="5"/>
  <c r="E1104" i="5"/>
  <c r="B1108" i="5"/>
  <c r="C1106" i="5"/>
  <c r="I1107" i="5"/>
  <c r="H1107" i="5"/>
  <c r="D1105" i="5"/>
  <c r="J1105" i="5"/>
  <c r="G1037" i="28"/>
  <c r="H1037" i="28" s="1"/>
  <c r="F1036" i="28"/>
  <c r="G1033" i="27"/>
  <c r="H1033" i="27" s="1"/>
  <c r="J1033" i="27" s="1"/>
  <c r="L1033" i="27" s="1"/>
  <c r="F1032" i="27"/>
  <c r="J1036" i="13" l="1"/>
  <c r="I1036" i="13"/>
  <c r="F1034" i="13"/>
  <c r="H1035" i="13"/>
  <c r="G1035" i="13"/>
  <c r="AH1040" i="7"/>
  <c r="J1039" i="7"/>
  <c r="L1039" i="7"/>
  <c r="H1038" i="7"/>
  <c r="AI1038" i="7" s="1"/>
  <c r="I1038" i="7"/>
  <c r="AG1038" i="7" s="1"/>
  <c r="M1040" i="7"/>
  <c r="N1040" i="7" s="1"/>
  <c r="K1039" i="7"/>
  <c r="G1037" i="7"/>
  <c r="F1105" i="5"/>
  <c r="G1105" i="5"/>
  <c r="K1105" i="5" s="1"/>
  <c r="E1105" i="5"/>
  <c r="B1109" i="5"/>
  <c r="H1108" i="5"/>
  <c r="C1107" i="5"/>
  <c r="D1107" i="5" s="1"/>
  <c r="I1108" i="5"/>
  <c r="D1106" i="5"/>
  <c r="J1106" i="5"/>
  <c r="G1036" i="28"/>
  <c r="H1036" i="28" s="1"/>
  <c r="F1035" i="28"/>
  <c r="G1032" i="27"/>
  <c r="H1032" i="27" s="1"/>
  <c r="J1032" i="27" s="1"/>
  <c r="L1032" i="27" s="1"/>
  <c r="F1031" i="27"/>
  <c r="J1035" i="13" l="1"/>
  <c r="I1035" i="13"/>
  <c r="F1033" i="13"/>
  <c r="H1034" i="13"/>
  <c r="G1034" i="13"/>
  <c r="AH1039" i="7"/>
  <c r="L1038" i="7"/>
  <c r="J1038" i="7"/>
  <c r="H1037" i="7"/>
  <c r="I1037" i="7"/>
  <c r="AG1037" i="7" s="1"/>
  <c r="K1038" i="7"/>
  <c r="G1036" i="7"/>
  <c r="M1039" i="7"/>
  <c r="N1039" i="7" s="1"/>
  <c r="G1107" i="5"/>
  <c r="K1107" i="5" s="1"/>
  <c r="E1107" i="5"/>
  <c r="F1107" i="5"/>
  <c r="G1106" i="5"/>
  <c r="K1106" i="5" s="1"/>
  <c r="F1106" i="5"/>
  <c r="E1106" i="5"/>
  <c r="H1109" i="5"/>
  <c r="B1110" i="5"/>
  <c r="I1109" i="5"/>
  <c r="C1108" i="5"/>
  <c r="J1107" i="5"/>
  <c r="G1035" i="28"/>
  <c r="H1035" i="28" s="1"/>
  <c r="F1034" i="28"/>
  <c r="G1031" i="27"/>
  <c r="H1031" i="27" s="1"/>
  <c r="J1031" i="27" s="1"/>
  <c r="L1031" i="27" s="1"/>
  <c r="F1030" i="27"/>
  <c r="J1034" i="13" l="1"/>
  <c r="I1034" i="13"/>
  <c r="F1032" i="13"/>
  <c r="H1033" i="13"/>
  <c r="G1033" i="13"/>
  <c r="K1037" i="7"/>
  <c r="AI1037" i="7"/>
  <c r="AH1038" i="7"/>
  <c r="G1035" i="7"/>
  <c r="L1037" i="7"/>
  <c r="J1037" i="7"/>
  <c r="H1036" i="7"/>
  <c r="I1036" i="7"/>
  <c r="AG1036" i="7" s="1"/>
  <c r="M1038" i="7"/>
  <c r="N1038" i="7" s="1"/>
  <c r="B1111" i="5"/>
  <c r="C1109" i="5"/>
  <c r="D1109" i="5" s="1"/>
  <c r="I1110" i="5"/>
  <c r="H1110" i="5"/>
  <c r="D1108" i="5"/>
  <c r="J1108" i="5"/>
  <c r="F1033" i="28"/>
  <c r="G1034" i="28"/>
  <c r="H1034" i="28" s="1"/>
  <c r="G1030" i="27"/>
  <c r="H1030" i="27" s="1"/>
  <c r="J1030" i="27" s="1"/>
  <c r="L1030" i="27" s="1"/>
  <c r="F1029" i="27"/>
  <c r="J1033" i="13" l="1"/>
  <c r="I1033" i="13"/>
  <c r="F1031" i="13"/>
  <c r="H1032" i="13"/>
  <c r="G1032" i="13"/>
  <c r="AH1037" i="7"/>
  <c r="K1036" i="7"/>
  <c r="AI1036" i="7"/>
  <c r="M1037" i="7"/>
  <c r="N1037" i="7" s="1"/>
  <c r="L1036" i="7"/>
  <c r="J1036" i="7"/>
  <c r="I1035" i="7"/>
  <c r="AG1035" i="7" s="1"/>
  <c r="H1035" i="7"/>
  <c r="AI1035" i="7" s="1"/>
  <c r="G1034" i="7"/>
  <c r="G1109" i="5"/>
  <c r="K1109" i="5" s="1"/>
  <c r="E1109" i="5"/>
  <c r="F1109" i="5"/>
  <c r="F1108" i="5"/>
  <c r="G1108" i="5"/>
  <c r="K1108" i="5" s="1"/>
  <c r="E1108" i="5"/>
  <c r="I1111" i="5"/>
  <c r="H1111" i="5"/>
  <c r="B1112" i="5"/>
  <c r="C1110" i="5"/>
  <c r="J1109" i="5"/>
  <c r="G1033" i="28"/>
  <c r="H1033" i="28" s="1"/>
  <c r="F1032" i="28"/>
  <c r="G1029" i="27"/>
  <c r="H1029" i="27" s="1"/>
  <c r="J1029" i="27" s="1"/>
  <c r="L1029" i="27" s="1"/>
  <c r="F1028" i="27"/>
  <c r="J1032" i="13" l="1"/>
  <c r="I1032" i="13"/>
  <c r="F1030" i="13"/>
  <c r="H1031" i="13"/>
  <c r="G1031" i="13"/>
  <c r="AH1036" i="7"/>
  <c r="K1035" i="7"/>
  <c r="L1035" i="7"/>
  <c r="J1035" i="7"/>
  <c r="H1034" i="7"/>
  <c r="AI1034" i="7" s="1"/>
  <c r="I1034" i="7"/>
  <c r="AG1034" i="7" s="1"/>
  <c r="G1033" i="7"/>
  <c r="M1036" i="7"/>
  <c r="N1036" i="7" s="1"/>
  <c r="D1110" i="5"/>
  <c r="J1110" i="5"/>
  <c r="H1112" i="5"/>
  <c r="B1113" i="5"/>
  <c r="I1112" i="5"/>
  <c r="C1111" i="5"/>
  <c r="G1032" i="28"/>
  <c r="H1032" i="28" s="1"/>
  <c r="F1031" i="28"/>
  <c r="G1028" i="27"/>
  <c r="H1028" i="27" s="1"/>
  <c r="J1028" i="27" s="1"/>
  <c r="L1028" i="27" s="1"/>
  <c r="F1027" i="27"/>
  <c r="J1031" i="13" l="1"/>
  <c r="I1031" i="13"/>
  <c r="F1029" i="13"/>
  <c r="H1030" i="13"/>
  <c r="G1030" i="13"/>
  <c r="AH1035" i="7"/>
  <c r="M1035" i="7"/>
  <c r="N1035" i="7" s="1"/>
  <c r="G1032" i="7"/>
  <c r="J1034" i="7"/>
  <c r="L1034" i="7"/>
  <c r="H1033" i="7"/>
  <c r="AI1033" i="7" s="1"/>
  <c r="I1033" i="7"/>
  <c r="AG1033" i="7" s="1"/>
  <c r="K1034" i="7"/>
  <c r="C1112" i="5"/>
  <c r="H1113" i="5"/>
  <c r="B1114" i="5"/>
  <c r="I1113" i="5"/>
  <c r="D1111" i="5"/>
  <c r="J1111" i="5"/>
  <c r="E1110" i="5"/>
  <c r="F1110" i="5"/>
  <c r="G1110" i="5"/>
  <c r="K1110" i="5" s="1"/>
  <c r="G1031" i="28"/>
  <c r="H1031" i="28" s="1"/>
  <c r="F1030" i="28"/>
  <c r="G1027" i="27"/>
  <c r="H1027" i="27" s="1"/>
  <c r="J1027" i="27" s="1"/>
  <c r="L1027" i="27" s="1"/>
  <c r="F1026" i="27"/>
  <c r="J1030" i="13" l="1"/>
  <c r="I1030" i="13"/>
  <c r="F1028" i="13"/>
  <c r="H1029" i="13"/>
  <c r="G1029" i="13"/>
  <c r="AH1034" i="7"/>
  <c r="K1033" i="7"/>
  <c r="I1032" i="7"/>
  <c r="AG1032" i="7" s="1"/>
  <c r="H1032" i="7"/>
  <c r="AI1032" i="7" s="1"/>
  <c r="G1031" i="7"/>
  <c r="M1034" i="7"/>
  <c r="N1034" i="7" s="1"/>
  <c r="L1033" i="7"/>
  <c r="J1033" i="7"/>
  <c r="I1114" i="5"/>
  <c r="B1115" i="5"/>
  <c r="H1114" i="5"/>
  <c r="C1113" i="5"/>
  <c r="F1111" i="5"/>
  <c r="G1111" i="5"/>
  <c r="K1111" i="5" s="1"/>
  <c r="E1111" i="5"/>
  <c r="D1112" i="5"/>
  <c r="J1112" i="5"/>
  <c r="F1029" i="28"/>
  <c r="G1030" i="28"/>
  <c r="H1030" i="28" s="1"/>
  <c r="G1026" i="27"/>
  <c r="H1026" i="27" s="1"/>
  <c r="J1026" i="27" s="1"/>
  <c r="L1026" i="27" s="1"/>
  <c r="F1025" i="27"/>
  <c r="J1029" i="13" l="1"/>
  <c r="I1029" i="13"/>
  <c r="F1027" i="13"/>
  <c r="H1028" i="13"/>
  <c r="G1028" i="13"/>
  <c r="AH1033" i="7"/>
  <c r="J1032" i="7"/>
  <c r="L1032" i="7"/>
  <c r="G1030" i="7"/>
  <c r="M1033" i="7"/>
  <c r="N1033" i="7" s="1"/>
  <c r="H1031" i="7"/>
  <c r="AI1031" i="7" s="1"/>
  <c r="I1031" i="7"/>
  <c r="AG1031" i="7" s="1"/>
  <c r="K1032" i="7"/>
  <c r="F1112" i="5"/>
  <c r="E1112" i="5"/>
  <c r="G1112" i="5"/>
  <c r="K1112" i="5" s="1"/>
  <c r="D1113" i="5"/>
  <c r="J1113" i="5"/>
  <c r="C1114" i="5"/>
  <c r="I1115" i="5"/>
  <c r="B1116" i="5"/>
  <c r="H1115" i="5"/>
  <c r="G1029" i="28"/>
  <c r="H1029" i="28" s="1"/>
  <c r="F1028" i="28"/>
  <c r="G1025" i="27"/>
  <c r="H1025" i="27" s="1"/>
  <c r="J1025" i="27" s="1"/>
  <c r="L1025" i="27" s="1"/>
  <c r="F1024" i="27"/>
  <c r="J1028" i="13" l="1"/>
  <c r="I1028" i="13"/>
  <c r="F1026" i="13"/>
  <c r="H1027" i="13"/>
  <c r="G1027" i="13"/>
  <c r="AH1032" i="7"/>
  <c r="K1031" i="7"/>
  <c r="G1029" i="7"/>
  <c r="H1030" i="7"/>
  <c r="AI1030" i="7" s="1"/>
  <c r="I1030" i="7"/>
  <c r="AG1030" i="7" s="1"/>
  <c r="M1032" i="7"/>
  <c r="N1032" i="7" s="1"/>
  <c r="L1031" i="7"/>
  <c r="J1031" i="7"/>
  <c r="H1116" i="5"/>
  <c r="B1117" i="5"/>
  <c r="I1116" i="5"/>
  <c r="C1115" i="5"/>
  <c r="F1113" i="5"/>
  <c r="G1113" i="5"/>
  <c r="K1113" i="5" s="1"/>
  <c r="E1113" i="5"/>
  <c r="D1114" i="5"/>
  <c r="J1114" i="5"/>
  <c r="G1028" i="28"/>
  <c r="H1028" i="28" s="1"/>
  <c r="F1027" i="28"/>
  <c r="G1024" i="27"/>
  <c r="H1024" i="27" s="1"/>
  <c r="J1024" i="27" s="1"/>
  <c r="L1024" i="27" s="1"/>
  <c r="F1023" i="27"/>
  <c r="F1025" i="13" l="1"/>
  <c r="H1026" i="13"/>
  <c r="G1026" i="13"/>
  <c r="J1027" i="13"/>
  <c r="I1027" i="13"/>
  <c r="AH1031" i="7"/>
  <c r="I1029" i="7"/>
  <c r="AG1029" i="7" s="1"/>
  <c r="H1029" i="7"/>
  <c r="AI1029" i="7" s="1"/>
  <c r="G1028" i="7"/>
  <c r="L1030" i="7"/>
  <c r="J1030" i="7"/>
  <c r="M1031" i="7"/>
  <c r="N1031" i="7" s="1"/>
  <c r="K1030" i="7"/>
  <c r="E1114" i="5"/>
  <c r="G1114" i="5"/>
  <c r="K1114" i="5" s="1"/>
  <c r="F1114" i="5"/>
  <c r="D1115" i="5"/>
  <c r="J1115" i="5"/>
  <c r="B1118" i="5"/>
  <c r="C1116" i="5"/>
  <c r="H1117" i="5"/>
  <c r="I1117" i="5"/>
  <c r="F1026" i="28"/>
  <c r="G1027" i="28"/>
  <c r="H1027" i="28" s="1"/>
  <c r="G1023" i="27"/>
  <c r="H1023" i="27" s="1"/>
  <c r="J1023" i="27" s="1"/>
  <c r="L1023" i="27" s="1"/>
  <c r="F1022" i="27"/>
  <c r="J1026" i="13" l="1"/>
  <c r="I1026" i="13"/>
  <c r="F1024" i="13"/>
  <c r="H1025" i="13"/>
  <c r="G1025" i="13"/>
  <c r="AH1030" i="7"/>
  <c r="G1027" i="7"/>
  <c r="I1028" i="7"/>
  <c r="AG1028" i="7" s="1"/>
  <c r="H1028" i="7"/>
  <c r="AI1028" i="7" s="1"/>
  <c r="K1029" i="7"/>
  <c r="M1030" i="7"/>
  <c r="N1030" i="7" s="1"/>
  <c r="J1029" i="7"/>
  <c r="L1029" i="7"/>
  <c r="E1115" i="5"/>
  <c r="F1115" i="5"/>
  <c r="G1115" i="5"/>
  <c r="K1115" i="5" s="1"/>
  <c r="D1116" i="5"/>
  <c r="J1116" i="5"/>
  <c r="I1118" i="5"/>
  <c r="C1117" i="5"/>
  <c r="B1119" i="5"/>
  <c r="H1118" i="5"/>
  <c r="F1025" i="28"/>
  <c r="G1026" i="28"/>
  <c r="H1026" i="28" s="1"/>
  <c r="G1022" i="27"/>
  <c r="H1022" i="27" s="1"/>
  <c r="J1022" i="27" s="1"/>
  <c r="L1022" i="27" s="1"/>
  <c r="F1021" i="27"/>
  <c r="J1025" i="13" l="1"/>
  <c r="I1025" i="13"/>
  <c r="F1023" i="13"/>
  <c r="H1024" i="13"/>
  <c r="G1024" i="13"/>
  <c r="AH1029" i="7"/>
  <c r="K1028" i="7"/>
  <c r="L1028" i="7"/>
  <c r="J1028" i="7"/>
  <c r="M1029" i="7"/>
  <c r="N1029" i="7" s="1"/>
  <c r="G1026" i="7"/>
  <c r="I1027" i="7"/>
  <c r="AG1027" i="7" s="1"/>
  <c r="H1027" i="7"/>
  <c r="AI1027" i="7" s="1"/>
  <c r="I1119" i="5"/>
  <c r="C1118" i="5"/>
  <c r="D1118" i="5" s="1"/>
  <c r="H1119" i="5"/>
  <c r="B1120" i="5"/>
  <c r="F1116" i="5"/>
  <c r="G1116" i="5"/>
  <c r="K1116" i="5" s="1"/>
  <c r="E1116" i="5"/>
  <c r="D1117" i="5"/>
  <c r="J1117" i="5"/>
  <c r="G1025" i="28"/>
  <c r="H1025" i="28" s="1"/>
  <c r="F1024" i="28"/>
  <c r="G1021" i="27"/>
  <c r="H1021" i="27" s="1"/>
  <c r="J1021" i="27" s="1"/>
  <c r="L1021" i="27" s="1"/>
  <c r="F1020" i="27"/>
  <c r="J1024" i="13" l="1"/>
  <c r="I1024" i="13"/>
  <c r="F1022" i="13"/>
  <c r="H1023" i="13"/>
  <c r="G1023" i="13"/>
  <c r="AH1028" i="7"/>
  <c r="H1026" i="7"/>
  <c r="AI1026" i="7" s="1"/>
  <c r="I1026" i="7"/>
  <c r="AG1026" i="7" s="1"/>
  <c r="K1027" i="7"/>
  <c r="M1028" i="7"/>
  <c r="N1028" i="7" s="1"/>
  <c r="L1027" i="7"/>
  <c r="J1027" i="7"/>
  <c r="AH1027" i="7" s="1"/>
  <c r="G1025" i="7"/>
  <c r="F1118" i="5"/>
  <c r="E1118" i="5"/>
  <c r="G1118" i="5"/>
  <c r="K1118" i="5" s="1"/>
  <c r="E1117" i="5"/>
  <c r="F1117" i="5"/>
  <c r="G1117" i="5"/>
  <c r="K1117" i="5" s="1"/>
  <c r="B1121" i="5"/>
  <c r="H1120" i="5"/>
  <c r="C1119" i="5"/>
  <c r="I1120" i="5"/>
  <c r="J1118" i="5"/>
  <c r="G1024" i="28"/>
  <c r="H1024" i="28" s="1"/>
  <c r="F1023" i="28"/>
  <c r="G1020" i="27"/>
  <c r="H1020" i="27" s="1"/>
  <c r="J1020" i="27" s="1"/>
  <c r="L1020" i="27" s="1"/>
  <c r="F1019" i="27"/>
  <c r="J1023" i="13" l="1"/>
  <c r="I1023" i="13"/>
  <c r="F1021" i="13"/>
  <c r="H1022" i="13"/>
  <c r="G1022" i="13"/>
  <c r="H1025" i="7"/>
  <c r="AI1025" i="7" s="1"/>
  <c r="I1025" i="7"/>
  <c r="AG1025" i="7" s="1"/>
  <c r="M1027" i="7"/>
  <c r="N1027" i="7" s="1"/>
  <c r="G1024" i="7"/>
  <c r="J1026" i="7"/>
  <c r="L1026" i="7"/>
  <c r="K1026" i="7"/>
  <c r="D1119" i="5"/>
  <c r="J1119" i="5"/>
  <c r="H1121" i="5"/>
  <c r="B1122" i="5"/>
  <c r="C1120" i="5"/>
  <c r="I1121" i="5"/>
  <c r="F1022" i="28"/>
  <c r="G1023" i="28"/>
  <c r="H1023" i="28" s="1"/>
  <c r="G1019" i="27"/>
  <c r="H1019" i="27" s="1"/>
  <c r="J1019" i="27" s="1"/>
  <c r="L1019" i="27" s="1"/>
  <c r="F1018" i="27"/>
  <c r="J1022" i="13" l="1"/>
  <c r="I1022" i="13"/>
  <c r="F1020" i="13"/>
  <c r="H1021" i="13"/>
  <c r="G1021" i="13"/>
  <c r="AH1026" i="7"/>
  <c r="M1026" i="7"/>
  <c r="N1026" i="7" s="1"/>
  <c r="H1024" i="7"/>
  <c r="AI1024" i="7" s="1"/>
  <c r="I1024" i="7"/>
  <c r="AG1024" i="7" s="1"/>
  <c r="L1025" i="7"/>
  <c r="J1025" i="7"/>
  <c r="AH1025" i="7" s="1"/>
  <c r="G1023" i="7"/>
  <c r="K1025" i="7"/>
  <c r="H1122" i="5"/>
  <c r="C1121" i="5"/>
  <c r="B1123" i="5"/>
  <c r="I1122" i="5"/>
  <c r="D1120" i="5"/>
  <c r="J1120" i="5"/>
  <c r="E1119" i="5"/>
  <c r="G1119" i="5"/>
  <c r="K1119" i="5" s="1"/>
  <c r="F1119" i="5"/>
  <c r="G1022" i="28"/>
  <c r="H1022" i="28" s="1"/>
  <c r="F1021" i="28"/>
  <c r="G1018" i="27"/>
  <c r="H1018" i="27" s="1"/>
  <c r="J1018" i="27" s="1"/>
  <c r="L1018" i="27" s="1"/>
  <c r="F1017" i="27"/>
  <c r="J1021" i="13" l="1"/>
  <c r="I1021" i="13"/>
  <c r="F1019" i="13"/>
  <c r="H1020" i="13"/>
  <c r="G1020" i="13"/>
  <c r="H1023" i="7"/>
  <c r="AI1023" i="7" s="1"/>
  <c r="I1023" i="7"/>
  <c r="AG1023" i="7" s="1"/>
  <c r="K1024" i="7"/>
  <c r="M1025" i="7"/>
  <c r="N1025" i="7" s="1"/>
  <c r="G1022" i="7"/>
  <c r="J1024" i="7"/>
  <c r="L1024" i="7"/>
  <c r="I1123" i="5"/>
  <c r="H1123" i="5"/>
  <c r="C1122" i="5"/>
  <c r="B1124" i="5"/>
  <c r="D1121" i="5"/>
  <c r="J1121" i="5"/>
  <c r="F1120" i="5"/>
  <c r="E1120" i="5"/>
  <c r="G1120" i="5"/>
  <c r="K1120" i="5" s="1"/>
  <c r="F1020" i="28"/>
  <c r="G1021" i="28"/>
  <c r="H1021" i="28" s="1"/>
  <c r="G1017" i="27"/>
  <c r="H1017" i="27" s="1"/>
  <c r="J1017" i="27" s="1"/>
  <c r="L1017" i="27" s="1"/>
  <c r="F1016" i="27"/>
  <c r="J1020" i="13" l="1"/>
  <c r="I1020" i="13"/>
  <c r="F1018" i="13"/>
  <c r="H1019" i="13"/>
  <c r="G1019" i="13"/>
  <c r="AH1024" i="7"/>
  <c r="G1021" i="7"/>
  <c r="M1024" i="7"/>
  <c r="N1024" i="7" s="1"/>
  <c r="L1023" i="7"/>
  <c r="J1023" i="7"/>
  <c r="K1023" i="7"/>
  <c r="H1022" i="7"/>
  <c r="AI1022" i="7" s="1"/>
  <c r="I1022" i="7"/>
  <c r="AG1022" i="7" s="1"/>
  <c r="C1123" i="5"/>
  <c r="I1124" i="5"/>
  <c r="B1125" i="5"/>
  <c r="H1124" i="5"/>
  <c r="D1122" i="5"/>
  <c r="J1122" i="5"/>
  <c r="F1121" i="5"/>
  <c r="E1121" i="5"/>
  <c r="G1121" i="5"/>
  <c r="K1121" i="5" s="1"/>
  <c r="F1019" i="28"/>
  <c r="G1020" i="28"/>
  <c r="H1020" i="28" s="1"/>
  <c r="G1016" i="27"/>
  <c r="H1016" i="27" s="1"/>
  <c r="J1016" i="27" s="1"/>
  <c r="L1016" i="27" s="1"/>
  <c r="F1015" i="27"/>
  <c r="J1019" i="13" l="1"/>
  <c r="I1019" i="13"/>
  <c r="F1017" i="13"/>
  <c r="H1018" i="13"/>
  <c r="G1018" i="13"/>
  <c r="AH1023" i="7"/>
  <c r="J1022" i="7"/>
  <c r="L1022" i="7"/>
  <c r="H1021" i="7"/>
  <c r="AI1021" i="7" s="1"/>
  <c r="I1021" i="7"/>
  <c r="AG1021" i="7" s="1"/>
  <c r="K1022" i="7"/>
  <c r="M1023" i="7"/>
  <c r="N1023" i="7" s="1"/>
  <c r="G1020" i="7"/>
  <c r="B1126" i="5"/>
  <c r="I1125" i="5"/>
  <c r="H1125" i="5"/>
  <c r="C1124" i="5"/>
  <c r="F1122" i="5"/>
  <c r="E1122" i="5"/>
  <c r="G1122" i="5"/>
  <c r="K1122" i="5" s="1"/>
  <c r="D1123" i="5"/>
  <c r="J1123" i="5"/>
  <c r="F1018" i="28"/>
  <c r="G1019" i="28"/>
  <c r="H1019" i="28" s="1"/>
  <c r="G1015" i="27"/>
  <c r="H1015" i="27" s="1"/>
  <c r="J1015" i="27" s="1"/>
  <c r="L1015" i="27" s="1"/>
  <c r="F1014" i="27"/>
  <c r="J1018" i="13" l="1"/>
  <c r="I1018" i="13"/>
  <c r="F1016" i="13"/>
  <c r="H1017" i="13"/>
  <c r="G1017" i="13"/>
  <c r="AH1022" i="7"/>
  <c r="K1021" i="7"/>
  <c r="G1019" i="7"/>
  <c r="M1022" i="7"/>
  <c r="N1022" i="7" s="1"/>
  <c r="H1020" i="7"/>
  <c r="AI1020" i="7" s="1"/>
  <c r="I1020" i="7"/>
  <c r="AG1020" i="7" s="1"/>
  <c r="L1021" i="7"/>
  <c r="J1021" i="7"/>
  <c r="G1123" i="5"/>
  <c r="K1123" i="5" s="1"/>
  <c r="F1123" i="5"/>
  <c r="E1123" i="5"/>
  <c r="D1124" i="5"/>
  <c r="J1124" i="5"/>
  <c r="I1126" i="5"/>
  <c r="H1126" i="5"/>
  <c r="B1127" i="5"/>
  <c r="C1125" i="5"/>
  <c r="F1017" i="28"/>
  <c r="G1018" i="28"/>
  <c r="H1018" i="28" s="1"/>
  <c r="G1014" i="27"/>
  <c r="H1014" i="27" s="1"/>
  <c r="J1014" i="27" s="1"/>
  <c r="L1014" i="27" s="1"/>
  <c r="F1013" i="27"/>
  <c r="F1015" i="13" l="1"/>
  <c r="H1016" i="13"/>
  <c r="G1016" i="13"/>
  <c r="J1017" i="13"/>
  <c r="I1017" i="13"/>
  <c r="AH1021" i="7"/>
  <c r="J1020" i="7"/>
  <c r="L1020" i="7"/>
  <c r="G1018" i="7"/>
  <c r="K1020" i="7"/>
  <c r="H1019" i="7"/>
  <c r="AI1019" i="7" s="1"/>
  <c r="I1019" i="7"/>
  <c r="AG1019" i="7" s="1"/>
  <c r="M1021" i="7"/>
  <c r="N1021" i="7" s="1"/>
  <c r="C1126" i="5"/>
  <c r="D1126" i="5" s="1"/>
  <c r="H1127" i="5"/>
  <c r="I1127" i="5"/>
  <c r="B1128" i="5"/>
  <c r="E1124" i="5"/>
  <c r="F1124" i="5"/>
  <c r="G1124" i="5"/>
  <c r="K1124" i="5" s="1"/>
  <c r="D1125" i="5"/>
  <c r="J1125" i="5"/>
  <c r="G1017" i="28"/>
  <c r="H1017" i="28" s="1"/>
  <c r="F1016" i="28"/>
  <c r="G1013" i="27"/>
  <c r="H1013" i="27" s="1"/>
  <c r="J1013" i="27" s="1"/>
  <c r="L1013" i="27" s="1"/>
  <c r="F1012" i="27"/>
  <c r="J1016" i="13" l="1"/>
  <c r="I1016" i="13"/>
  <c r="F1014" i="13"/>
  <c r="H1015" i="13"/>
  <c r="G1015" i="13"/>
  <c r="AH1020" i="7"/>
  <c r="L1019" i="7"/>
  <c r="J1019" i="7"/>
  <c r="G1017" i="7"/>
  <c r="K1019" i="7"/>
  <c r="H1018" i="7"/>
  <c r="AI1018" i="7" s="1"/>
  <c r="I1018" i="7"/>
  <c r="AG1018" i="7" s="1"/>
  <c r="M1020" i="7"/>
  <c r="N1020" i="7" s="1"/>
  <c r="F1126" i="5"/>
  <c r="G1126" i="5"/>
  <c r="K1126" i="5" s="1"/>
  <c r="E1126" i="5"/>
  <c r="G1125" i="5"/>
  <c r="K1125" i="5" s="1"/>
  <c r="F1125" i="5"/>
  <c r="E1125" i="5"/>
  <c r="H1128" i="5"/>
  <c r="B1129" i="5"/>
  <c r="C1127" i="5"/>
  <c r="I1128" i="5"/>
  <c r="J1126" i="5"/>
  <c r="F1015" i="28"/>
  <c r="G1016" i="28"/>
  <c r="H1016" i="28" s="1"/>
  <c r="G1012" i="27"/>
  <c r="H1012" i="27" s="1"/>
  <c r="J1012" i="27" s="1"/>
  <c r="L1012" i="27" s="1"/>
  <c r="F1011" i="27"/>
  <c r="F1013" i="13" l="1"/>
  <c r="H1014" i="13"/>
  <c r="G1014" i="13"/>
  <c r="J1015" i="13"/>
  <c r="I1015" i="13"/>
  <c r="AH1019" i="7"/>
  <c r="L1018" i="7"/>
  <c r="J1018" i="7"/>
  <c r="G1016" i="7"/>
  <c r="K1018" i="7"/>
  <c r="H1017" i="7"/>
  <c r="AI1017" i="7" s="1"/>
  <c r="I1017" i="7"/>
  <c r="AG1017" i="7" s="1"/>
  <c r="M1019" i="7"/>
  <c r="N1019" i="7" s="1"/>
  <c r="H1129" i="5"/>
  <c r="I1129" i="5"/>
  <c r="B1130" i="5"/>
  <c r="C1128" i="5"/>
  <c r="D1127" i="5"/>
  <c r="J1127" i="5"/>
  <c r="F1014" i="28"/>
  <c r="G1015" i="28"/>
  <c r="H1015" i="28" s="1"/>
  <c r="G1011" i="27"/>
  <c r="H1011" i="27" s="1"/>
  <c r="J1011" i="27" s="1"/>
  <c r="L1011" i="27" s="1"/>
  <c r="F1010" i="27"/>
  <c r="J1014" i="13" l="1"/>
  <c r="I1014" i="13"/>
  <c r="F1012" i="13"/>
  <c r="H1013" i="13"/>
  <c r="G1013" i="13"/>
  <c r="AH1018" i="7"/>
  <c r="L1017" i="7"/>
  <c r="J1017" i="7"/>
  <c r="G1015" i="7"/>
  <c r="K1017" i="7"/>
  <c r="H1016" i="7"/>
  <c r="AI1016" i="7" s="1"/>
  <c r="I1016" i="7"/>
  <c r="AG1016" i="7" s="1"/>
  <c r="M1018" i="7"/>
  <c r="N1018" i="7" s="1"/>
  <c r="D1128" i="5"/>
  <c r="J1128" i="5"/>
  <c r="I1130" i="5"/>
  <c r="B1131" i="5"/>
  <c r="C1129" i="5"/>
  <c r="H1130" i="5"/>
  <c r="G1127" i="5"/>
  <c r="K1127" i="5" s="1"/>
  <c r="F1127" i="5"/>
  <c r="E1127" i="5"/>
  <c r="G1014" i="28"/>
  <c r="H1014" i="28" s="1"/>
  <c r="F1013" i="28"/>
  <c r="G1010" i="27"/>
  <c r="H1010" i="27" s="1"/>
  <c r="J1010" i="27" s="1"/>
  <c r="L1010" i="27" s="1"/>
  <c r="F1009" i="27"/>
  <c r="J1013" i="13" l="1"/>
  <c r="I1013" i="13"/>
  <c r="F1011" i="13"/>
  <c r="H1012" i="13"/>
  <c r="G1012" i="13"/>
  <c r="AH1017" i="7"/>
  <c r="K1016" i="7"/>
  <c r="G1014" i="7"/>
  <c r="L1016" i="7"/>
  <c r="J1016" i="7"/>
  <c r="H1015" i="7"/>
  <c r="AI1015" i="7" s="1"/>
  <c r="I1015" i="7"/>
  <c r="AG1015" i="7" s="1"/>
  <c r="M1017" i="7"/>
  <c r="N1017" i="7" s="1"/>
  <c r="I1131" i="5"/>
  <c r="C1130" i="5"/>
  <c r="B1132" i="5"/>
  <c r="H1131" i="5"/>
  <c r="D1129" i="5"/>
  <c r="J1129" i="5"/>
  <c r="E1128" i="5"/>
  <c r="F1128" i="5"/>
  <c r="G1128" i="5"/>
  <c r="K1128" i="5" s="1"/>
  <c r="F1012" i="28"/>
  <c r="G1013" i="28"/>
  <c r="H1013" i="28" s="1"/>
  <c r="G1009" i="27"/>
  <c r="H1009" i="27" s="1"/>
  <c r="J1009" i="27" s="1"/>
  <c r="L1009" i="27" s="1"/>
  <c r="F1008" i="27"/>
  <c r="J1012" i="13" l="1"/>
  <c r="I1012" i="13"/>
  <c r="F1010" i="13"/>
  <c r="H1011" i="13"/>
  <c r="G1011" i="13"/>
  <c r="AH1016" i="7"/>
  <c r="L1015" i="7"/>
  <c r="J1015" i="7"/>
  <c r="G1013" i="7"/>
  <c r="K1015" i="7"/>
  <c r="I1014" i="7"/>
  <c r="AG1014" i="7" s="1"/>
  <c r="H1014" i="7"/>
  <c r="AI1014" i="7" s="1"/>
  <c r="M1016" i="7"/>
  <c r="N1016" i="7" s="1"/>
  <c r="I1132" i="5"/>
  <c r="H1132" i="5"/>
  <c r="B1133" i="5"/>
  <c r="C1131" i="5"/>
  <c r="D1130" i="5"/>
  <c r="J1130" i="5"/>
  <c r="F1129" i="5"/>
  <c r="G1129" i="5"/>
  <c r="K1129" i="5" s="1"/>
  <c r="E1129" i="5"/>
  <c r="G1012" i="28"/>
  <c r="H1012" i="28" s="1"/>
  <c r="F1011" i="28"/>
  <c r="G1008" i="27"/>
  <c r="H1008" i="27" s="1"/>
  <c r="J1008" i="27" s="1"/>
  <c r="L1008" i="27" s="1"/>
  <c r="F1007" i="27"/>
  <c r="J1011" i="13" l="1"/>
  <c r="I1011" i="13"/>
  <c r="F1009" i="13"/>
  <c r="H1010" i="13"/>
  <c r="G1010" i="13"/>
  <c r="AH1015" i="7"/>
  <c r="K1014" i="7"/>
  <c r="G1012" i="7"/>
  <c r="J1014" i="7"/>
  <c r="L1014" i="7"/>
  <c r="I1013" i="7"/>
  <c r="AG1013" i="7" s="1"/>
  <c r="H1013" i="7"/>
  <c r="AI1013" i="7" s="1"/>
  <c r="M1015" i="7"/>
  <c r="N1015" i="7" s="1"/>
  <c r="D1131" i="5"/>
  <c r="J1131" i="5"/>
  <c r="H1133" i="5"/>
  <c r="C1132" i="5"/>
  <c r="B1134" i="5"/>
  <c r="I1133" i="5"/>
  <c r="G1130" i="5"/>
  <c r="K1130" i="5" s="1"/>
  <c r="E1130" i="5"/>
  <c r="F1130" i="5"/>
  <c r="F1010" i="28"/>
  <c r="G1011" i="28"/>
  <c r="H1011" i="28" s="1"/>
  <c r="G1007" i="27"/>
  <c r="H1007" i="27" s="1"/>
  <c r="J1007" i="27" s="1"/>
  <c r="L1007" i="27" s="1"/>
  <c r="F1006" i="27"/>
  <c r="J1010" i="13" l="1"/>
  <c r="I1010" i="13"/>
  <c r="F1008" i="13"/>
  <c r="H1009" i="13"/>
  <c r="G1009" i="13"/>
  <c r="AH1014" i="7"/>
  <c r="K1013" i="7"/>
  <c r="H1012" i="7"/>
  <c r="AI1012" i="7" s="1"/>
  <c r="I1012" i="7"/>
  <c r="AG1012" i="7" s="1"/>
  <c r="J1013" i="7"/>
  <c r="L1013" i="7"/>
  <c r="G1011" i="7"/>
  <c r="M1014" i="7"/>
  <c r="N1014" i="7" s="1"/>
  <c r="D1132" i="5"/>
  <c r="J1132" i="5"/>
  <c r="H1134" i="5"/>
  <c r="B1135" i="5"/>
  <c r="C1133" i="5"/>
  <c r="I1134" i="5"/>
  <c r="F1131" i="5"/>
  <c r="G1131" i="5"/>
  <c r="K1131" i="5" s="1"/>
  <c r="E1131" i="5"/>
  <c r="G1010" i="28"/>
  <c r="H1010" i="28" s="1"/>
  <c r="F1009" i="28"/>
  <c r="G1006" i="27"/>
  <c r="H1006" i="27" s="1"/>
  <c r="J1006" i="27" s="1"/>
  <c r="L1006" i="27" s="1"/>
  <c r="F1005" i="27"/>
  <c r="J1009" i="13" l="1"/>
  <c r="I1009" i="13"/>
  <c r="F1007" i="13"/>
  <c r="H1008" i="13"/>
  <c r="G1008" i="13"/>
  <c r="AH1013" i="7"/>
  <c r="G1010" i="7"/>
  <c r="I1011" i="7"/>
  <c r="AG1011" i="7" s="1"/>
  <c r="H1011" i="7"/>
  <c r="AI1011" i="7" s="1"/>
  <c r="K1012" i="7"/>
  <c r="J1012" i="7"/>
  <c r="L1012" i="7"/>
  <c r="M1013" i="7"/>
  <c r="N1013" i="7" s="1"/>
  <c r="B1136" i="5"/>
  <c r="I1135" i="5"/>
  <c r="H1135" i="5"/>
  <c r="C1134" i="5"/>
  <c r="D1133" i="5"/>
  <c r="J1133" i="5"/>
  <c r="F1132" i="5"/>
  <c r="E1132" i="5"/>
  <c r="G1132" i="5"/>
  <c r="K1132" i="5" s="1"/>
  <c r="G1009" i="28"/>
  <c r="H1009" i="28" s="1"/>
  <c r="F1008" i="28"/>
  <c r="G1005" i="27"/>
  <c r="H1005" i="27" s="1"/>
  <c r="J1005" i="27" s="1"/>
  <c r="L1005" i="27" s="1"/>
  <c r="F1004" i="27"/>
  <c r="J1008" i="13" l="1"/>
  <c r="I1008" i="13"/>
  <c r="F1006" i="13"/>
  <c r="H1007" i="13"/>
  <c r="G1007" i="13"/>
  <c r="AH1012" i="7"/>
  <c r="M1012" i="7"/>
  <c r="N1012" i="7" s="1"/>
  <c r="K1011" i="7"/>
  <c r="J1011" i="7"/>
  <c r="L1011" i="7"/>
  <c r="G1009" i="7"/>
  <c r="I1010" i="7"/>
  <c r="AG1010" i="7" s="1"/>
  <c r="H1010" i="7"/>
  <c r="AI1010" i="7" s="1"/>
  <c r="D1134" i="5"/>
  <c r="J1134" i="5"/>
  <c r="E1133" i="5"/>
  <c r="G1133" i="5"/>
  <c r="K1133" i="5" s="1"/>
  <c r="F1133" i="5"/>
  <c r="B1137" i="5"/>
  <c r="H1136" i="5"/>
  <c r="C1135" i="5"/>
  <c r="I1136" i="5"/>
  <c r="G1008" i="28"/>
  <c r="H1008" i="28" s="1"/>
  <c r="F1007" i="28"/>
  <c r="G1004" i="27"/>
  <c r="H1004" i="27" s="1"/>
  <c r="J1004" i="27" s="1"/>
  <c r="L1004" i="27" s="1"/>
  <c r="F1003" i="27"/>
  <c r="J1007" i="13" l="1"/>
  <c r="I1007" i="13"/>
  <c r="F1005" i="13"/>
  <c r="H1006" i="13"/>
  <c r="G1006" i="13"/>
  <c r="AH1011" i="7"/>
  <c r="G1008" i="7"/>
  <c r="K1010" i="7"/>
  <c r="M1011" i="7"/>
  <c r="N1011" i="7" s="1"/>
  <c r="J1010" i="7"/>
  <c r="L1010" i="7"/>
  <c r="H1009" i="7"/>
  <c r="AI1009" i="7" s="1"/>
  <c r="I1009" i="7"/>
  <c r="AG1009" i="7" s="1"/>
  <c r="D1135" i="5"/>
  <c r="J1135" i="5"/>
  <c r="C1136" i="5"/>
  <c r="D1136" i="5" s="1"/>
  <c r="I1137" i="5"/>
  <c r="H1137" i="5"/>
  <c r="B1138" i="5"/>
  <c r="G1134" i="5"/>
  <c r="K1134" i="5" s="1"/>
  <c r="F1134" i="5"/>
  <c r="E1134" i="5"/>
  <c r="G1007" i="28"/>
  <c r="H1007" i="28" s="1"/>
  <c r="F1006" i="28"/>
  <c r="G1003" i="27"/>
  <c r="H1003" i="27" s="1"/>
  <c r="J1003" i="27" s="1"/>
  <c r="L1003" i="27" s="1"/>
  <c r="F1002" i="27"/>
  <c r="J1006" i="13" l="1"/>
  <c r="I1006" i="13"/>
  <c r="F1004" i="13"/>
  <c r="H1005" i="13"/>
  <c r="G1005" i="13"/>
  <c r="AH1010" i="7"/>
  <c r="M1010" i="7"/>
  <c r="N1010" i="7" s="1"/>
  <c r="J1009" i="7"/>
  <c r="L1009" i="7"/>
  <c r="H1008" i="7"/>
  <c r="AI1008" i="7" s="1"/>
  <c r="I1008" i="7"/>
  <c r="AG1008" i="7" s="1"/>
  <c r="K1009" i="7"/>
  <c r="G1007" i="7"/>
  <c r="E1136" i="5"/>
  <c r="F1136" i="5"/>
  <c r="G1136" i="5"/>
  <c r="K1136" i="5" s="1"/>
  <c r="C1137" i="5"/>
  <c r="B1139" i="5"/>
  <c r="H1138" i="5"/>
  <c r="I1138" i="5"/>
  <c r="G1135" i="5"/>
  <c r="K1135" i="5" s="1"/>
  <c r="F1135" i="5"/>
  <c r="E1135" i="5"/>
  <c r="J1136" i="5"/>
  <c r="G1006" i="28"/>
  <c r="H1006" i="28" s="1"/>
  <c r="F1005" i="28"/>
  <c r="G1002" i="27"/>
  <c r="H1002" i="27" s="1"/>
  <c r="J1002" i="27" s="1"/>
  <c r="L1002" i="27" s="1"/>
  <c r="F1001" i="27"/>
  <c r="J1005" i="13" l="1"/>
  <c r="I1005" i="13"/>
  <c r="F1003" i="13"/>
  <c r="H1004" i="13"/>
  <c r="G1004" i="13"/>
  <c r="AH1009" i="7"/>
  <c r="G1006" i="7"/>
  <c r="J1008" i="7"/>
  <c r="L1008" i="7"/>
  <c r="H1007" i="7"/>
  <c r="AI1007" i="7" s="1"/>
  <c r="I1007" i="7"/>
  <c r="AG1007" i="7" s="1"/>
  <c r="K1008" i="7"/>
  <c r="M1009" i="7"/>
  <c r="N1009" i="7" s="1"/>
  <c r="D1137" i="5"/>
  <c r="J1137" i="5"/>
  <c r="C1138" i="5"/>
  <c r="I1139" i="5"/>
  <c r="B1140" i="5"/>
  <c r="H1139" i="5"/>
  <c r="G1005" i="28"/>
  <c r="H1005" i="28" s="1"/>
  <c r="F1004" i="28"/>
  <c r="G1001" i="27"/>
  <c r="H1001" i="27" s="1"/>
  <c r="J1001" i="27" s="1"/>
  <c r="L1001" i="27" s="1"/>
  <c r="F1000" i="27"/>
  <c r="J1004" i="13" l="1"/>
  <c r="I1004" i="13"/>
  <c r="F1002" i="13"/>
  <c r="H1003" i="13"/>
  <c r="G1003" i="13"/>
  <c r="AH1008" i="7"/>
  <c r="M1008" i="7"/>
  <c r="N1008" i="7" s="1"/>
  <c r="J1007" i="7"/>
  <c r="L1007" i="7"/>
  <c r="G1005" i="7"/>
  <c r="K1007" i="7"/>
  <c r="H1006" i="7"/>
  <c r="AI1006" i="7" s="1"/>
  <c r="I1006" i="7"/>
  <c r="AG1006" i="7" s="1"/>
  <c r="D1138" i="5"/>
  <c r="J1138" i="5"/>
  <c r="I1140" i="5"/>
  <c r="C1139" i="5"/>
  <c r="B1141" i="5"/>
  <c r="H1140" i="5"/>
  <c r="G1137" i="5"/>
  <c r="K1137" i="5" s="1"/>
  <c r="F1137" i="5"/>
  <c r="E1137" i="5"/>
  <c r="F1003" i="28"/>
  <c r="G1004" i="28"/>
  <c r="H1004" i="28" s="1"/>
  <c r="G1000" i="27"/>
  <c r="H1000" i="27" s="1"/>
  <c r="J1000" i="27" s="1"/>
  <c r="L1000" i="27" s="1"/>
  <c r="F999" i="27"/>
  <c r="J1003" i="13" l="1"/>
  <c r="I1003" i="13"/>
  <c r="F1001" i="13"/>
  <c r="H1002" i="13"/>
  <c r="G1002" i="13"/>
  <c r="AH1007" i="7"/>
  <c r="M1007" i="7"/>
  <c r="N1007" i="7" s="1"/>
  <c r="L1006" i="7"/>
  <c r="J1006" i="7"/>
  <c r="AH1006" i="7" s="1"/>
  <c r="H1005" i="7"/>
  <c r="AI1005" i="7" s="1"/>
  <c r="I1005" i="7"/>
  <c r="AG1005" i="7" s="1"/>
  <c r="K1006" i="7"/>
  <c r="G1004" i="7"/>
  <c r="D1139" i="5"/>
  <c r="J1139" i="5"/>
  <c r="C1140" i="5"/>
  <c r="H1141" i="5"/>
  <c r="B1142" i="5"/>
  <c r="I1141" i="5"/>
  <c r="E1138" i="5"/>
  <c r="G1138" i="5"/>
  <c r="K1138" i="5" s="1"/>
  <c r="F1138" i="5"/>
  <c r="F1002" i="28"/>
  <c r="G1003" i="28"/>
  <c r="H1003" i="28" s="1"/>
  <c r="G999" i="27"/>
  <c r="H999" i="27" s="1"/>
  <c r="J999" i="27" s="1"/>
  <c r="L999" i="27" s="1"/>
  <c r="F998" i="27"/>
  <c r="J1002" i="13" l="1"/>
  <c r="I1002" i="13"/>
  <c r="F1000" i="13"/>
  <c r="H1001" i="13"/>
  <c r="G1001" i="13"/>
  <c r="M1006" i="7"/>
  <c r="N1006" i="7" s="1"/>
  <c r="G1003" i="7"/>
  <c r="J1005" i="7"/>
  <c r="L1005" i="7"/>
  <c r="I1004" i="7"/>
  <c r="AG1004" i="7" s="1"/>
  <c r="H1004" i="7"/>
  <c r="AI1004" i="7" s="1"/>
  <c r="K1005" i="7"/>
  <c r="D1140" i="5"/>
  <c r="J1140" i="5"/>
  <c r="B1143" i="5"/>
  <c r="C1141" i="5"/>
  <c r="I1142" i="5"/>
  <c r="H1142" i="5"/>
  <c r="G1139" i="5"/>
  <c r="K1139" i="5" s="1"/>
  <c r="E1139" i="5"/>
  <c r="F1139" i="5"/>
  <c r="G1002" i="28"/>
  <c r="H1002" i="28" s="1"/>
  <c r="F1001" i="28"/>
  <c r="G998" i="27"/>
  <c r="H998" i="27" s="1"/>
  <c r="J998" i="27" s="1"/>
  <c r="L998" i="27" s="1"/>
  <c r="F997" i="27"/>
  <c r="J1001" i="13" l="1"/>
  <c r="I1001" i="13"/>
  <c r="F999" i="13"/>
  <c r="H1000" i="13"/>
  <c r="G1000" i="13"/>
  <c r="AH1005" i="7"/>
  <c r="M1005" i="7"/>
  <c r="N1005" i="7" s="1"/>
  <c r="K1004" i="7"/>
  <c r="I1003" i="7"/>
  <c r="AG1003" i="7" s="1"/>
  <c r="H1003" i="7"/>
  <c r="AI1003" i="7" s="1"/>
  <c r="J1004" i="7"/>
  <c r="AH1004" i="7" s="1"/>
  <c r="L1004" i="7"/>
  <c r="G1002" i="7"/>
  <c r="D1141" i="5"/>
  <c r="J1141" i="5"/>
  <c r="H1143" i="5"/>
  <c r="I1143" i="5"/>
  <c r="B1144" i="5"/>
  <c r="C1142" i="5"/>
  <c r="G1140" i="5"/>
  <c r="K1140" i="5" s="1"/>
  <c r="F1140" i="5"/>
  <c r="E1140" i="5"/>
  <c r="F1000" i="28"/>
  <c r="G1001" i="28"/>
  <c r="H1001" i="28" s="1"/>
  <c r="G997" i="27"/>
  <c r="H997" i="27" s="1"/>
  <c r="J997" i="27" s="1"/>
  <c r="L997" i="27" s="1"/>
  <c r="F996" i="27"/>
  <c r="J1000" i="13" l="1"/>
  <c r="I1000" i="13"/>
  <c r="F998" i="13"/>
  <c r="H999" i="13"/>
  <c r="G999" i="13"/>
  <c r="G1001" i="7"/>
  <c r="K1003" i="7"/>
  <c r="H1002" i="7"/>
  <c r="I1002" i="7"/>
  <c r="AG1002" i="7" s="1"/>
  <c r="J1003" i="7"/>
  <c r="L1003" i="7"/>
  <c r="M1004" i="7"/>
  <c r="N1004" i="7" s="1"/>
  <c r="D1142" i="5"/>
  <c r="J1142" i="5"/>
  <c r="C1143" i="5"/>
  <c r="I1144" i="5"/>
  <c r="B1145" i="5"/>
  <c r="H1144" i="5"/>
  <c r="F1141" i="5"/>
  <c r="E1141" i="5"/>
  <c r="G1141" i="5"/>
  <c r="K1141" i="5" s="1"/>
  <c r="F999" i="28"/>
  <c r="G1000" i="28"/>
  <c r="H1000" i="28" s="1"/>
  <c r="G996" i="27"/>
  <c r="H996" i="27" s="1"/>
  <c r="J996" i="27" s="1"/>
  <c r="L996" i="27" s="1"/>
  <c r="F995" i="27"/>
  <c r="J999" i="13" l="1"/>
  <c r="I999" i="13"/>
  <c r="F997" i="13"/>
  <c r="H998" i="13"/>
  <c r="G998" i="13"/>
  <c r="AH1003" i="7"/>
  <c r="K1002" i="7"/>
  <c r="AI1002" i="7"/>
  <c r="L1002" i="7"/>
  <c r="J1002" i="7"/>
  <c r="H1001" i="7"/>
  <c r="AI1001" i="7" s="1"/>
  <c r="I1001" i="7"/>
  <c r="AG1001" i="7" s="1"/>
  <c r="G1000" i="7"/>
  <c r="M1003" i="7"/>
  <c r="N1003" i="7" s="1"/>
  <c r="D1143" i="5"/>
  <c r="J1143" i="5"/>
  <c r="I1145" i="5"/>
  <c r="C1144" i="5"/>
  <c r="D1144" i="5" s="1"/>
  <c r="H1145" i="5"/>
  <c r="B1146" i="5"/>
  <c r="F1142" i="5"/>
  <c r="G1142" i="5"/>
  <c r="K1142" i="5" s="1"/>
  <c r="E1142" i="5"/>
  <c r="F998" i="28"/>
  <c r="G999" i="28"/>
  <c r="H999" i="28" s="1"/>
  <c r="G995" i="27"/>
  <c r="H995" i="27" s="1"/>
  <c r="J995" i="27" s="1"/>
  <c r="L995" i="27" s="1"/>
  <c r="F994" i="27"/>
  <c r="J998" i="13" l="1"/>
  <c r="I998" i="13"/>
  <c r="F996" i="13"/>
  <c r="H997" i="13"/>
  <c r="G997" i="13"/>
  <c r="AH1002" i="7"/>
  <c r="L1001" i="7"/>
  <c r="J1001" i="7"/>
  <c r="K1001" i="7"/>
  <c r="H1000" i="7"/>
  <c r="AI1000" i="7" s="1"/>
  <c r="I1000" i="7"/>
  <c r="AG1000" i="7" s="1"/>
  <c r="G999" i="7"/>
  <c r="M1002" i="7"/>
  <c r="N1002" i="7" s="1"/>
  <c r="B1147" i="5"/>
  <c r="I1146" i="5"/>
  <c r="H1146" i="5"/>
  <c r="C1145" i="5"/>
  <c r="D1145" i="5" s="1"/>
  <c r="F1143" i="5"/>
  <c r="G1143" i="5"/>
  <c r="K1143" i="5" s="1"/>
  <c r="E1143" i="5"/>
  <c r="E1144" i="5"/>
  <c r="F1144" i="5"/>
  <c r="G1144" i="5"/>
  <c r="K1144" i="5" s="1"/>
  <c r="J1144" i="5"/>
  <c r="G998" i="28"/>
  <c r="H998" i="28" s="1"/>
  <c r="F997" i="28"/>
  <c r="G994" i="27"/>
  <c r="H994" i="27" s="1"/>
  <c r="J994" i="27" s="1"/>
  <c r="L994" i="27" s="1"/>
  <c r="F993" i="27"/>
  <c r="J997" i="13" l="1"/>
  <c r="I997" i="13"/>
  <c r="F995" i="13"/>
  <c r="H996" i="13"/>
  <c r="G996" i="13"/>
  <c r="AH1001" i="7"/>
  <c r="G998" i="7"/>
  <c r="J1000" i="7"/>
  <c r="L1000" i="7"/>
  <c r="I999" i="7"/>
  <c r="AG999" i="7" s="1"/>
  <c r="H999" i="7"/>
  <c r="AI999" i="7" s="1"/>
  <c r="K1000" i="7"/>
  <c r="M1001" i="7"/>
  <c r="N1001" i="7" s="1"/>
  <c r="H1147" i="5"/>
  <c r="C1146" i="5"/>
  <c r="B1148" i="5"/>
  <c r="I1147" i="5"/>
  <c r="G1145" i="5"/>
  <c r="K1145" i="5" s="1"/>
  <c r="E1145" i="5"/>
  <c r="F1145" i="5"/>
  <c r="J1145" i="5"/>
  <c r="F996" i="28"/>
  <c r="G997" i="28"/>
  <c r="H997" i="28" s="1"/>
  <c r="G993" i="27"/>
  <c r="H993" i="27" s="1"/>
  <c r="J993" i="27" s="1"/>
  <c r="L993" i="27" s="1"/>
  <c r="F992" i="27"/>
  <c r="J996" i="13" l="1"/>
  <c r="I996" i="13"/>
  <c r="F994" i="13"/>
  <c r="H995" i="13"/>
  <c r="G995" i="13"/>
  <c r="AH1000" i="7"/>
  <c r="M1000" i="7"/>
  <c r="N1000" i="7" s="1"/>
  <c r="K999" i="7"/>
  <c r="H998" i="7"/>
  <c r="AI998" i="7" s="1"/>
  <c r="I998" i="7"/>
  <c r="AG998" i="7" s="1"/>
  <c r="L999" i="7"/>
  <c r="J999" i="7"/>
  <c r="G997" i="7"/>
  <c r="C1147" i="5"/>
  <c r="B1149" i="5"/>
  <c r="H1148" i="5"/>
  <c r="I1148" i="5"/>
  <c r="D1146" i="5"/>
  <c r="J1146" i="5"/>
  <c r="G996" i="28"/>
  <c r="H996" i="28" s="1"/>
  <c r="F995" i="28"/>
  <c r="G992" i="27"/>
  <c r="H992" i="27" s="1"/>
  <c r="J992" i="27" s="1"/>
  <c r="L992" i="27" s="1"/>
  <c r="F991" i="27"/>
  <c r="J995" i="13" l="1"/>
  <c r="I995" i="13"/>
  <c r="F993" i="13"/>
  <c r="H994" i="13"/>
  <c r="G994" i="13"/>
  <c r="AH999" i="7"/>
  <c r="M999" i="7"/>
  <c r="N999" i="7" s="1"/>
  <c r="I997" i="7"/>
  <c r="AG997" i="7" s="1"/>
  <c r="H997" i="7"/>
  <c r="AI997" i="7" s="1"/>
  <c r="L998" i="7"/>
  <c r="J998" i="7"/>
  <c r="G996" i="7"/>
  <c r="K998" i="7"/>
  <c r="C1148" i="5"/>
  <c r="D1148" i="5" s="1"/>
  <c r="H1149" i="5"/>
  <c r="B1150" i="5"/>
  <c r="I1149" i="5"/>
  <c r="G1146" i="5"/>
  <c r="K1146" i="5" s="1"/>
  <c r="E1146" i="5"/>
  <c r="F1146" i="5"/>
  <c r="D1147" i="5"/>
  <c r="J1147" i="5"/>
  <c r="G995" i="28"/>
  <c r="H995" i="28" s="1"/>
  <c r="F994" i="28"/>
  <c r="G991" i="27"/>
  <c r="H991" i="27" s="1"/>
  <c r="J991" i="27" s="1"/>
  <c r="L991" i="27" s="1"/>
  <c r="F990" i="27"/>
  <c r="J994" i="13" l="1"/>
  <c r="I994" i="13"/>
  <c r="F992" i="13"/>
  <c r="H993" i="13"/>
  <c r="G993" i="13"/>
  <c r="AH998" i="7"/>
  <c r="H996" i="7"/>
  <c r="AI996" i="7" s="1"/>
  <c r="I996" i="7"/>
  <c r="AG996" i="7" s="1"/>
  <c r="L997" i="7"/>
  <c r="J997" i="7"/>
  <c r="M998" i="7"/>
  <c r="N998" i="7" s="1"/>
  <c r="G995" i="7"/>
  <c r="K997" i="7"/>
  <c r="J1148" i="5"/>
  <c r="I1150" i="5"/>
  <c r="H1150" i="5"/>
  <c r="B1151" i="5"/>
  <c r="C1149" i="5"/>
  <c r="G1148" i="5"/>
  <c r="K1148" i="5" s="1"/>
  <c r="E1148" i="5"/>
  <c r="F1148" i="5"/>
  <c r="G1147" i="5"/>
  <c r="K1147" i="5" s="1"/>
  <c r="F1147" i="5"/>
  <c r="E1147" i="5"/>
  <c r="F993" i="28"/>
  <c r="G994" i="28"/>
  <c r="H994" i="28" s="1"/>
  <c r="G990" i="27"/>
  <c r="H990" i="27" s="1"/>
  <c r="J990" i="27" s="1"/>
  <c r="L990" i="27" s="1"/>
  <c r="F989" i="27"/>
  <c r="F991" i="13" l="1"/>
  <c r="H992" i="13"/>
  <c r="G992" i="13"/>
  <c r="J993" i="13"/>
  <c r="I993" i="13"/>
  <c r="AH997" i="7"/>
  <c r="H995" i="7"/>
  <c r="AI995" i="7" s="1"/>
  <c r="I995" i="7"/>
  <c r="AG995" i="7" s="1"/>
  <c r="G994" i="7"/>
  <c r="M997" i="7"/>
  <c r="N997" i="7" s="1"/>
  <c r="L996" i="7"/>
  <c r="J996" i="7"/>
  <c r="K996" i="7"/>
  <c r="D1149" i="5"/>
  <c r="J1149" i="5"/>
  <c r="C1150" i="5"/>
  <c r="H1151" i="5"/>
  <c r="I1151" i="5"/>
  <c r="B1152" i="5"/>
  <c r="G993" i="28"/>
  <c r="H993" i="28" s="1"/>
  <c r="F992" i="28"/>
  <c r="G989" i="27"/>
  <c r="H989" i="27" s="1"/>
  <c r="J989" i="27" s="1"/>
  <c r="L989" i="27" s="1"/>
  <c r="F988" i="27"/>
  <c r="J992" i="13" l="1"/>
  <c r="I992" i="13"/>
  <c r="F990" i="13"/>
  <c r="H991" i="13"/>
  <c r="G991" i="13"/>
  <c r="AH996" i="7"/>
  <c r="M996" i="7"/>
  <c r="N996" i="7" s="1"/>
  <c r="G993" i="7"/>
  <c r="H994" i="7"/>
  <c r="AI994" i="7" s="1"/>
  <c r="I994" i="7"/>
  <c r="AG994" i="7" s="1"/>
  <c r="J995" i="7"/>
  <c r="L995" i="7"/>
  <c r="K995" i="7"/>
  <c r="H1152" i="5"/>
  <c r="I1152" i="5"/>
  <c r="B1153" i="5"/>
  <c r="C1151" i="5"/>
  <c r="D1150" i="5"/>
  <c r="J1150" i="5"/>
  <c r="G1149" i="5"/>
  <c r="K1149" i="5" s="1"/>
  <c r="F1149" i="5"/>
  <c r="E1149" i="5"/>
  <c r="G992" i="28"/>
  <c r="H992" i="28" s="1"/>
  <c r="F991" i="28"/>
  <c r="G988" i="27"/>
  <c r="H988" i="27" s="1"/>
  <c r="J988" i="27" s="1"/>
  <c r="L988" i="27" s="1"/>
  <c r="F987" i="27"/>
  <c r="J991" i="13" l="1"/>
  <c r="I991" i="13"/>
  <c r="F989" i="13"/>
  <c r="H990" i="13"/>
  <c r="G990" i="13"/>
  <c r="AH995" i="7"/>
  <c r="M995" i="7"/>
  <c r="N995" i="7" s="1"/>
  <c r="G992" i="7"/>
  <c r="H993" i="7"/>
  <c r="I993" i="7"/>
  <c r="AG993" i="7" s="1"/>
  <c r="J994" i="7"/>
  <c r="L994" i="7"/>
  <c r="K994" i="7"/>
  <c r="D1151" i="5"/>
  <c r="J1151" i="5"/>
  <c r="H1153" i="5"/>
  <c r="B1154" i="5"/>
  <c r="I1153" i="5"/>
  <c r="C1152" i="5"/>
  <c r="F1150" i="5"/>
  <c r="E1150" i="5"/>
  <c r="G1150" i="5"/>
  <c r="K1150" i="5" s="1"/>
  <c r="G991" i="28"/>
  <c r="H991" i="28" s="1"/>
  <c r="F990" i="28"/>
  <c r="G987" i="27"/>
  <c r="H987" i="27" s="1"/>
  <c r="J987" i="27" s="1"/>
  <c r="L987" i="27" s="1"/>
  <c r="F986" i="27"/>
  <c r="J990" i="13" l="1"/>
  <c r="I990" i="13"/>
  <c r="F988" i="13"/>
  <c r="H989" i="13"/>
  <c r="G989" i="13"/>
  <c r="K993" i="7"/>
  <c r="AI993" i="7"/>
  <c r="AH994" i="7"/>
  <c r="I992" i="7"/>
  <c r="AG992" i="7" s="1"/>
  <c r="H992" i="7"/>
  <c r="G991" i="7"/>
  <c r="J993" i="7"/>
  <c r="L993" i="7"/>
  <c r="M994" i="7"/>
  <c r="N994" i="7" s="1"/>
  <c r="D1152" i="5"/>
  <c r="J1152" i="5"/>
  <c r="H1154" i="5"/>
  <c r="I1154" i="5"/>
  <c r="C1153" i="5"/>
  <c r="B1155" i="5"/>
  <c r="F1151" i="5"/>
  <c r="E1151" i="5"/>
  <c r="G1151" i="5"/>
  <c r="K1151" i="5" s="1"/>
  <c r="G990" i="28"/>
  <c r="H990" i="28" s="1"/>
  <c r="F989" i="28"/>
  <c r="G986" i="27"/>
  <c r="H986" i="27" s="1"/>
  <c r="J986" i="27" s="1"/>
  <c r="L986" i="27" s="1"/>
  <c r="F985" i="27"/>
  <c r="J989" i="13" l="1"/>
  <c r="I989" i="13"/>
  <c r="F987" i="13"/>
  <c r="H988" i="13"/>
  <c r="G988" i="13"/>
  <c r="K992" i="7"/>
  <c r="AI992" i="7"/>
  <c r="AH993" i="7"/>
  <c r="G990" i="7"/>
  <c r="H991" i="7"/>
  <c r="AI991" i="7" s="1"/>
  <c r="I991" i="7"/>
  <c r="AG991" i="7" s="1"/>
  <c r="M993" i="7"/>
  <c r="N993" i="7" s="1"/>
  <c r="L992" i="7"/>
  <c r="J992" i="7"/>
  <c r="C1154" i="5"/>
  <c r="D1154" i="5" s="1"/>
  <c r="B1156" i="5"/>
  <c r="H1155" i="5"/>
  <c r="I1155" i="5"/>
  <c r="D1153" i="5"/>
  <c r="J1153" i="5"/>
  <c r="G1152" i="5"/>
  <c r="K1152" i="5" s="1"/>
  <c r="E1152" i="5"/>
  <c r="F1152" i="5"/>
  <c r="G989" i="28"/>
  <c r="H989" i="28" s="1"/>
  <c r="F988" i="28"/>
  <c r="G985" i="27"/>
  <c r="H985" i="27" s="1"/>
  <c r="J985" i="27" s="1"/>
  <c r="L985" i="27" s="1"/>
  <c r="F984" i="27"/>
  <c r="J988" i="13" l="1"/>
  <c r="I988" i="13"/>
  <c r="F986" i="13"/>
  <c r="H987" i="13"/>
  <c r="G987" i="13"/>
  <c r="AH992" i="7"/>
  <c r="J991" i="7"/>
  <c r="L991" i="7"/>
  <c r="K991" i="7"/>
  <c r="G989" i="7"/>
  <c r="M992" i="7"/>
  <c r="N992" i="7" s="1"/>
  <c r="H990" i="7"/>
  <c r="I990" i="7"/>
  <c r="AG990" i="7" s="1"/>
  <c r="F1153" i="5"/>
  <c r="G1153" i="5"/>
  <c r="K1153" i="5" s="1"/>
  <c r="E1153" i="5"/>
  <c r="G1154" i="5"/>
  <c r="K1154" i="5" s="1"/>
  <c r="F1154" i="5"/>
  <c r="E1154" i="5"/>
  <c r="C1155" i="5"/>
  <c r="I1156" i="5"/>
  <c r="H1156" i="5"/>
  <c r="B1157" i="5"/>
  <c r="J1154" i="5"/>
  <c r="G988" i="28"/>
  <c r="H988" i="28" s="1"/>
  <c r="F987" i="28"/>
  <c r="G984" i="27"/>
  <c r="H984" i="27" s="1"/>
  <c r="J984" i="27" s="1"/>
  <c r="L984" i="27" s="1"/>
  <c r="F983" i="27"/>
  <c r="J987" i="13" l="1"/>
  <c r="I987" i="13"/>
  <c r="F985" i="13"/>
  <c r="H986" i="13"/>
  <c r="G986" i="13"/>
  <c r="K990" i="7"/>
  <c r="AI990" i="7"/>
  <c r="AH991" i="7"/>
  <c r="L990" i="7"/>
  <c r="J990" i="7"/>
  <c r="I989" i="7"/>
  <c r="AG989" i="7" s="1"/>
  <c r="H989" i="7"/>
  <c r="AI989" i="7" s="1"/>
  <c r="G988" i="7"/>
  <c r="M991" i="7"/>
  <c r="N991" i="7" s="1"/>
  <c r="D1155" i="5"/>
  <c r="J1155" i="5"/>
  <c r="B1158" i="5"/>
  <c r="C1156" i="5"/>
  <c r="I1157" i="5"/>
  <c r="H1157" i="5"/>
  <c r="F986" i="28"/>
  <c r="G987" i="28"/>
  <c r="H987" i="28" s="1"/>
  <c r="G983" i="27"/>
  <c r="H983" i="27" s="1"/>
  <c r="J983" i="27" s="1"/>
  <c r="L983" i="27" s="1"/>
  <c r="F982" i="27"/>
  <c r="J986" i="13" l="1"/>
  <c r="I986" i="13"/>
  <c r="F984" i="13"/>
  <c r="H985" i="13"/>
  <c r="G985" i="13"/>
  <c r="AH990" i="7"/>
  <c r="K989" i="7"/>
  <c r="L989" i="7"/>
  <c r="J989" i="7"/>
  <c r="G987" i="7"/>
  <c r="H988" i="7"/>
  <c r="AI988" i="7" s="1"/>
  <c r="I988" i="7"/>
  <c r="AG988" i="7" s="1"/>
  <c r="M990" i="7"/>
  <c r="N990" i="7" s="1"/>
  <c r="D1156" i="5"/>
  <c r="J1156" i="5"/>
  <c r="I1158" i="5"/>
  <c r="H1158" i="5"/>
  <c r="B1159" i="5"/>
  <c r="C1157" i="5"/>
  <c r="F1155" i="5"/>
  <c r="E1155" i="5"/>
  <c r="G1155" i="5"/>
  <c r="K1155" i="5" s="1"/>
  <c r="F985" i="28"/>
  <c r="G986" i="28"/>
  <c r="H986" i="28" s="1"/>
  <c r="G982" i="27"/>
  <c r="H982" i="27" s="1"/>
  <c r="J982" i="27" s="1"/>
  <c r="L982" i="27" s="1"/>
  <c r="F981" i="27"/>
  <c r="J985" i="13" l="1"/>
  <c r="I985" i="13"/>
  <c r="F983" i="13"/>
  <c r="H984" i="13"/>
  <c r="G984" i="13"/>
  <c r="AH989" i="7"/>
  <c r="M989" i="7"/>
  <c r="N989" i="7" s="1"/>
  <c r="J988" i="7"/>
  <c r="L988" i="7"/>
  <c r="G986" i="7"/>
  <c r="K988" i="7"/>
  <c r="H987" i="7"/>
  <c r="AI987" i="7" s="1"/>
  <c r="I987" i="7"/>
  <c r="AG987" i="7" s="1"/>
  <c r="D1157" i="5"/>
  <c r="J1157" i="5"/>
  <c r="H1159" i="5"/>
  <c r="C1158" i="5"/>
  <c r="D1158" i="5" s="1"/>
  <c r="B1160" i="5"/>
  <c r="I1159" i="5"/>
  <c r="G1156" i="5"/>
  <c r="K1156" i="5" s="1"/>
  <c r="E1156" i="5"/>
  <c r="F1156" i="5"/>
  <c r="G985" i="28"/>
  <c r="H985" i="28" s="1"/>
  <c r="F984" i="28"/>
  <c r="G981" i="27"/>
  <c r="H981" i="27" s="1"/>
  <c r="J981" i="27" s="1"/>
  <c r="L981" i="27" s="1"/>
  <c r="F980" i="27"/>
  <c r="J984" i="13" l="1"/>
  <c r="I984" i="13"/>
  <c r="F982" i="13"/>
  <c r="H983" i="13"/>
  <c r="G983" i="13"/>
  <c r="AH988" i="7"/>
  <c r="M988" i="7"/>
  <c r="N988" i="7" s="1"/>
  <c r="L987" i="7"/>
  <c r="J987" i="7"/>
  <c r="K987" i="7"/>
  <c r="G985" i="7"/>
  <c r="H986" i="7"/>
  <c r="AI986" i="7" s="1"/>
  <c r="I986" i="7"/>
  <c r="AG986" i="7" s="1"/>
  <c r="B1161" i="5"/>
  <c r="H1160" i="5"/>
  <c r="I1160" i="5"/>
  <c r="C1159" i="5"/>
  <c r="D1159" i="5" s="1"/>
  <c r="F1157" i="5"/>
  <c r="E1157" i="5"/>
  <c r="G1157" i="5"/>
  <c r="K1157" i="5" s="1"/>
  <c r="G1158" i="5"/>
  <c r="K1158" i="5" s="1"/>
  <c r="F1158" i="5"/>
  <c r="E1158" i="5"/>
  <c r="J1158" i="5"/>
  <c r="F983" i="28"/>
  <c r="G984" i="28"/>
  <c r="H984" i="28" s="1"/>
  <c r="G980" i="27"/>
  <c r="H980" i="27" s="1"/>
  <c r="J980" i="27" s="1"/>
  <c r="L980" i="27" s="1"/>
  <c r="F979" i="27"/>
  <c r="J983" i="13" l="1"/>
  <c r="I983" i="13"/>
  <c r="F981" i="13"/>
  <c r="H982" i="13"/>
  <c r="G982" i="13"/>
  <c r="AH987" i="7"/>
  <c r="L986" i="7"/>
  <c r="J986" i="7"/>
  <c r="AH986" i="7" s="1"/>
  <c r="I985" i="7"/>
  <c r="AG985" i="7" s="1"/>
  <c r="H985" i="7"/>
  <c r="AI985" i="7" s="1"/>
  <c r="K986" i="7"/>
  <c r="M987" i="7"/>
  <c r="N987" i="7" s="1"/>
  <c r="G984" i="7"/>
  <c r="C1160" i="5"/>
  <c r="D1160" i="5" s="1"/>
  <c r="B1162" i="5"/>
  <c r="H1161" i="5"/>
  <c r="I1161" i="5"/>
  <c r="E1159" i="5"/>
  <c r="F1159" i="5"/>
  <c r="G1159" i="5"/>
  <c r="K1159" i="5" s="1"/>
  <c r="J1159" i="5"/>
  <c r="F982" i="28"/>
  <c r="G983" i="28"/>
  <c r="H983" i="28" s="1"/>
  <c r="G979" i="27"/>
  <c r="H979" i="27" s="1"/>
  <c r="J979" i="27" s="1"/>
  <c r="L979" i="27" s="1"/>
  <c r="F978" i="27"/>
  <c r="F980" i="13" l="1"/>
  <c r="H981" i="13"/>
  <c r="G981" i="13"/>
  <c r="J982" i="13"/>
  <c r="I982" i="13"/>
  <c r="M986" i="7"/>
  <c r="N986" i="7" s="1"/>
  <c r="G983" i="7"/>
  <c r="K985" i="7"/>
  <c r="I984" i="7"/>
  <c r="AG984" i="7" s="1"/>
  <c r="H984" i="7"/>
  <c r="AI984" i="7" s="1"/>
  <c r="L985" i="7"/>
  <c r="J985" i="7"/>
  <c r="I1162" i="5"/>
  <c r="C1161" i="5"/>
  <c r="H1162" i="5"/>
  <c r="B1163" i="5"/>
  <c r="F1160" i="5"/>
  <c r="E1160" i="5"/>
  <c r="G1160" i="5"/>
  <c r="K1160" i="5" s="1"/>
  <c r="J1160" i="5"/>
  <c r="G982" i="28"/>
  <c r="H982" i="28" s="1"/>
  <c r="F981" i="28"/>
  <c r="G978" i="27"/>
  <c r="H978" i="27" s="1"/>
  <c r="J978" i="27" s="1"/>
  <c r="L978" i="27" s="1"/>
  <c r="F977" i="27"/>
  <c r="J981" i="13" l="1"/>
  <c r="I981" i="13"/>
  <c r="F979" i="13"/>
  <c r="H980" i="13"/>
  <c r="G980" i="13"/>
  <c r="AH985" i="7"/>
  <c r="G982" i="7"/>
  <c r="H983" i="7"/>
  <c r="I983" i="7"/>
  <c r="AG983" i="7" s="1"/>
  <c r="K984" i="7"/>
  <c r="J984" i="7"/>
  <c r="L984" i="7"/>
  <c r="M985" i="7"/>
  <c r="N985" i="7" s="1"/>
  <c r="B1164" i="5"/>
  <c r="I1163" i="5"/>
  <c r="H1163" i="5"/>
  <c r="C1162" i="5"/>
  <c r="D1161" i="5"/>
  <c r="J1161" i="5"/>
  <c r="G981" i="28"/>
  <c r="H981" i="28" s="1"/>
  <c r="F980" i="28"/>
  <c r="G977" i="27"/>
  <c r="H977" i="27" s="1"/>
  <c r="J977" i="27" s="1"/>
  <c r="L977" i="27" s="1"/>
  <c r="F976" i="27"/>
  <c r="J980" i="13" l="1"/>
  <c r="I980" i="13"/>
  <c r="F978" i="13"/>
  <c r="H979" i="13"/>
  <c r="G979" i="13"/>
  <c r="AH984" i="7"/>
  <c r="K983" i="7"/>
  <c r="AI983" i="7"/>
  <c r="M984" i="7"/>
  <c r="N984" i="7" s="1"/>
  <c r="L983" i="7"/>
  <c r="J983" i="7"/>
  <c r="G981" i="7"/>
  <c r="I982" i="7"/>
  <c r="AG982" i="7" s="1"/>
  <c r="H982" i="7"/>
  <c r="D1162" i="5"/>
  <c r="J1162" i="5"/>
  <c r="G1161" i="5"/>
  <c r="K1161" i="5" s="1"/>
  <c r="F1161" i="5"/>
  <c r="E1161" i="5"/>
  <c r="B1165" i="5"/>
  <c r="I1164" i="5"/>
  <c r="C1163" i="5"/>
  <c r="H1164" i="5"/>
  <c r="F979" i="28"/>
  <c r="G980" i="28"/>
  <c r="H980" i="28" s="1"/>
  <c r="G976" i="27"/>
  <c r="H976" i="27" s="1"/>
  <c r="J976" i="27" s="1"/>
  <c r="L976" i="27" s="1"/>
  <c r="F975" i="27"/>
  <c r="J979" i="13" l="1"/>
  <c r="I979" i="13"/>
  <c r="F977" i="13"/>
  <c r="H978" i="13"/>
  <c r="G978" i="13"/>
  <c r="K982" i="7"/>
  <c r="AI982" i="7"/>
  <c r="AH983" i="7"/>
  <c r="J982" i="7"/>
  <c r="L982" i="7"/>
  <c r="H981" i="7"/>
  <c r="AI981" i="7" s="1"/>
  <c r="I981" i="7"/>
  <c r="AG981" i="7" s="1"/>
  <c r="M983" i="7"/>
  <c r="N983" i="7" s="1"/>
  <c r="G980" i="7"/>
  <c r="B1166" i="5"/>
  <c r="H1165" i="5"/>
  <c r="C1164" i="5"/>
  <c r="I1165" i="5"/>
  <c r="D1163" i="5"/>
  <c r="J1163" i="5"/>
  <c r="G1162" i="5"/>
  <c r="K1162" i="5" s="1"/>
  <c r="F1162" i="5"/>
  <c r="E1162" i="5"/>
  <c r="G979" i="28"/>
  <c r="H979" i="28" s="1"/>
  <c r="F978" i="28"/>
  <c r="G975" i="27"/>
  <c r="H975" i="27" s="1"/>
  <c r="J975" i="27" s="1"/>
  <c r="L975" i="27" s="1"/>
  <c r="F974" i="27"/>
  <c r="J978" i="13" l="1"/>
  <c r="I978" i="13"/>
  <c r="F976" i="13"/>
  <c r="H977" i="13"/>
  <c r="G977" i="13"/>
  <c r="AH982" i="7"/>
  <c r="G979" i="7"/>
  <c r="J981" i="7"/>
  <c r="L981" i="7"/>
  <c r="M982" i="7"/>
  <c r="N982" i="7" s="1"/>
  <c r="H980" i="7"/>
  <c r="AI980" i="7" s="1"/>
  <c r="I980" i="7"/>
  <c r="AG980" i="7" s="1"/>
  <c r="K981" i="7"/>
  <c r="D1164" i="5"/>
  <c r="J1164" i="5"/>
  <c r="E1163" i="5"/>
  <c r="F1163" i="5"/>
  <c r="G1163" i="5"/>
  <c r="K1163" i="5" s="1"/>
  <c r="B1167" i="5"/>
  <c r="C1165" i="5"/>
  <c r="D1165" i="5" s="1"/>
  <c r="H1166" i="5"/>
  <c r="I1166" i="5"/>
  <c r="G978" i="28"/>
  <c r="H978" i="28" s="1"/>
  <c r="F977" i="28"/>
  <c r="G974" i="27"/>
  <c r="H974" i="27" s="1"/>
  <c r="J974" i="27" s="1"/>
  <c r="L974" i="27" s="1"/>
  <c r="F973" i="27"/>
  <c r="J977" i="13" l="1"/>
  <c r="I977" i="13"/>
  <c r="F975" i="13"/>
  <c r="H976" i="13"/>
  <c r="G976" i="13"/>
  <c r="AH981" i="7"/>
  <c r="J980" i="7"/>
  <c r="L980" i="7"/>
  <c r="M981" i="7"/>
  <c r="N981" i="7" s="1"/>
  <c r="K980" i="7"/>
  <c r="G978" i="7"/>
  <c r="H979" i="7"/>
  <c r="AI979" i="7" s="1"/>
  <c r="I979" i="7"/>
  <c r="AG979" i="7" s="1"/>
  <c r="F1165" i="5"/>
  <c r="G1165" i="5"/>
  <c r="K1165" i="5" s="1"/>
  <c r="E1165" i="5"/>
  <c r="I1167" i="5"/>
  <c r="H1167" i="5"/>
  <c r="B1168" i="5"/>
  <c r="C1166" i="5"/>
  <c r="G1164" i="5"/>
  <c r="K1164" i="5" s="1"/>
  <c r="E1164" i="5"/>
  <c r="F1164" i="5"/>
  <c r="J1165" i="5"/>
  <c r="G977" i="28"/>
  <c r="H977" i="28" s="1"/>
  <c r="F976" i="28"/>
  <c r="G973" i="27"/>
  <c r="H973" i="27" s="1"/>
  <c r="J973" i="27" s="1"/>
  <c r="L973" i="27" s="1"/>
  <c r="F972" i="27"/>
  <c r="J976" i="13" l="1"/>
  <c r="I976" i="13"/>
  <c r="F974" i="13"/>
  <c r="H975" i="13"/>
  <c r="G975" i="13"/>
  <c r="AH980" i="7"/>
  <c r="G977" i="7"/>
  <c r="H978" i="7"/>
  <c r="AI978" i="7" s="1"/>
  <c r="I978" i="7"/>
  <c r="AG978" i="7" s="1"/>
  <c r="L979" i="7"/>
  <c r="J979" i="7"/>
  <c r="M980" i="7"/>
  <c r="N980" i="7" s="1"/>
  <c r="K979" i="7"/>
  <c r="D1166" i="5"/>
  <c r="J1166" i="5"/>
  <c r="B1169" i="5"/>
  <c r="C1167" i="5"/>
  <c r="I1168" i="5"/>
  <c r="H1168" i="5"/>
  <c r="F975" i="28"/>
  <c r="G976" i="28"/>
  <c r="H976" i="28" s="1"/>
  <c r="G972" i="27"/>
  <c r="H972" i="27" s="1"/>
  <c r="J972" i="27" s="1"/>
  <c r="L972" i="27" s="1"/>
  <c r="F971" i="27"/>
  <c r="J975" i="13" l="1"/>
  <c r="I975" i="13"/>
  <c r="F973" i="13"/>
  <c r="H974" i="13"/>
  <c r="G974" i="13"/>
  <c r="AH979" i="7"/>
  <c r="J978" i="7"/>
  <c r="L978" i="7"/>
  <c r="K978" i="7"/>
  <c r="G976" i="7"/>
  <c r="M979" i="7"/>
  <c r="N979" i="7" s="1"/>
  <c r="H977" i="7"/>
  <c r="I977" i="7"/>
  <c r="AG977" i="7" s="1"/>
  <c r="C1168" i="5"/>
  <c r="H1169" i="5"/>
  <c r="B1170" i="5"/>
  <c r="I1169" i="5"/>
  <c r="D1167" i="5"/>
  <c r="J1167" i="5"/>
  <c r="E1166" i="5"/>
  <c r="G1166" i="5"/>
  <c r="K1166" i="5" s="1"/>
  <c r="F1166" i="5"/>
  <c r="G975" i="28"/>
  <c r="H975" i="28" s="1"/>
  <c r="F974" i="28"/>
  <c r="G971" i="27"/>
  <c r="H971" i="27" s="1"/>
  <c r="J971" i="27" s="1"/>
  <c r="L971" i="27" s="1"/>
  <c r="F970" i="27"/>
  <c r="J974" i="13" l="1"/>
  <c r="I974" i="13"/>
  <c r="F972" i="13"/>
  <c r="H973" i="13"/>
  <c r="G973" i="13"/>
  <c r="K977" i="7"/>
  <c r="AI977" i="7"/>
  <c r="AH978" i="7"/>
  <c r="L977" i="7"/>
  <c r="J977" i="7"/>
  <c r="H976" i="7"/>
  <c r="AI976" i="7" s="1"/>
  <c r="I976" i="7"/>
  <c r="AG976" i="7" s="1"/>
  <c r="G975" i="7"/>
  <c r="M978" i="7"/>
  <c r="N978" i="7" s="1"/>
  <c r="B1171" i="5"/>
  <c r="C1169" i="5"/>
  <c r="D1169" i="5" s="1"/>
  <c r="I1170" i="5"/>
  <c r="H1170" i="5"/>
  <c r="E1167" i="5"/>
  <c r="G1167" i="5"/>
  <c r="K1167" i="5" s="1"/>
  <c r="F1167" i="5"/>
  <c r="D1168" i="5"/>
  <c r="J1168" i="5"/>
  <c r="F973" i="28"/>
  <c r="G974" i="28"/>
  <c r="H974" i="28" s="1"/>
  <c r="G970" i="27"/>
  <c r="H970" i="27" s="1"/>
  <c r="J970" i="27" s="1"/>
  <c r="L970" i="27" s="1"/>
  <c r="F969" i="27"/>
  <c r="J973" i="13" l="1"/>
  <c r="I973" i="13"/>
  <c r="F971" i="13"/>
  <c r="H972" i="13"/>
  <c r="G972" i="13"/>
  <c r="AH977" i="7"/>
  <c r="L976" i="7"/>
  <c r="J976" i="7"/>
  <c r="K976" i="7"/>
  <c r="H975" i="7"/>
  <c r="AI975" i="7" s="1"/>
  <c r="I975" i="7"/>
  <c r="AG975" i="7" s="1"/>
  <c r="G974" i="7"/>
  <c r="M977" i="7"/>
  <c r="N977" i="7" s="1"/>
  <c r="E1169" i="5"/>
  <c r="F1169" i="5"/>
  <c r="G1169" i="5"/>
  <c r="K1169" i="5" s="1"/>
  <c r="B1172" i="5"/>
  <c r="H1171" i="5"/>
  <c r="I1171" i="5"/>
  <c r="C1170" i="5"/>
  <c r="D1170" i="5" s="1"/>
  <c r="G1168" i="5"/>
  <c r="K1168" i="5" s="1"/>
  <c r="E1168" i="5"/>
  <c r="F1168" i="5"/>
  <c r="J1169" i="5"/>
  <c r="G973" i="28"/>
  <c r="H973" i="28" s="1"/>
  <c r="F972" i="28"/>
  <c r="G969" i="27"/>
  <c r="H969" i="27" s="1"/>
  <c r="J969" i="27" s="1"/>
  <c r="L969" i="27" s="1"/>
  <c r="F968" i="27"/>
  <c r="J972" i="13" l="1"/>
  <c r="I972" i="13"/>
  <c r="F970" i="13"/>
  <c r="H971" i="13"/>
  <c r="G971" i="13"/>
  <c r="AH976" i="7"/>
  <c r="H974" i="7"/>
  <c r="AI974" i="7" s="1"/>
  <c r="I974" i="7"/>
  <c r="AG974" i="7" s="1"/>
  <c r="J975" i="7"/>
  <c r="L975" i="7"/>
  <c r="G973" i="7"/>
  <c r="K975" i="7"/>
  <c r="M976" i="7"/>
  <c r="N976" i="7" s="1"/>
  <c r="F1170" i="5"/>
  <c r="G1170" i="5"/>
  <c r="K1170" i="5" s="1"/>
  <c r="E1170" i="5"/>
  <c r="C1171" i="5"/>
  <c r="I1172" i="5"/>
  <c r="B1173" i="5"/>
  <c r="H1172" i="5"/>
  <c r="J1170" i="5"/>
  <c r="G972" i="28"/>
  <c r="H972" i="28" s="1"/>
  <c r="F971" i="28"/>
  <c r="G968" i="27"/>
  <c r="H968" i="27" s="1"/>
  <c r="J968" i="27" s="1"/>
  <c r="L968" i="27" s="1"/>
  <c r="F967" i="27"/>
  <c r="J971" i="13" l="1"/>
  <c r="I971" i="13"/>
  <c r="F969" i="13"/>
  <c r="H970" i="13"/>
  <c r="G970" i="13"/>
  <c r="AH975" i="7"/>
  <c r="M975" i="7"/>
  <c r="N975" i="7" s="1"/>
  <c r="G972" i="7"/>
  <c r="J974" i="7"/>
  <c r="L974" i="7"/>
  <c r="I973" i="7"/>
  <c r="AG973" i="7" s="1"/>
  <c r="H973" i="7"/>
  <c r="AI973" i="7" s="1"/>
  <c r="K974" i="7"/>
  <c r="D1171" i="5"/>
  <c r="J1171" i="5"/>
  <c r="I1173" i="5"/>
  <c r="H1173" i="5"/>
  <c r="C1172" i="5"/>
  <c r="B1174" i="5"/>
  <c r="G971" i="28"/>
  <c r="H971" i="28" s="1"/>
  <c r="F970" i="28"/>
  <c r="G967" i="27"/>
  <c r="H967" i="27" s="1"/>
  <c r="J967" i="27" s="1"/>
  <c r="L967" i="27" s="1"/>
  <c r="F966" i="27"/>
  <c r="J970" i="13" l="1"/>
  <c r="I970" i="13"/>
  <c r="F968" i="13"/>
  <c r="H969" i="13"/>
  <c r="G969" i="13"/>
  <c r="AH974" i="7"/>
  <c r="K973" i="7"/>
  <c r="G971" i="7"/>
  <c r="L973" i="7"/>
  <c r="J973" i="7"/>
  <c r="H972" i="7"/>
  <c r="AI972" i="7" s="1"/>
  <c r="I972" i="7"/>
  <c r="AG972" i="7" s="1"/>
  <c r="M974" i="7"/>
  <c r="N974" i="7" s="1"/>
  <c r="I1174" i="5"/>
  <c r="H1174" i="5"/>
  <c r="B1175" i="5"/>
  <c r="C1173" i="5"/>
  <c r="D1172" i="5"/>
  <c r="J1172" i="5"/>
  <c r="F1171" i="5"/>
  <c r="G1171" i="5"/>
  <c r="K1171" i="5" s="1"/>
  <c r="E1171" i="5"/>
  <c r="G970" i="28"/>
  <c r="H970" i="28" s="1"/>
  <c r="F969" i="28"/>
  <c r="G966" i="27"/>
  <c r="H966" i="27" s="1"/>
  <c r="J966" i="27" s="1"/>
  <c r="L966" i="27" s="1"/>
  <c r="F965" i="27"/>
  <c r="J969" i="13" l="1"/>
  <c r="I969" i="13"/>
  <c r="F967" i="13"/>
  <c r="H968" i="13"/>
  <c r="G968" i="13"/>
  <c r="AH973" i="7"/>
  <c r="L972" i="7"/>
  <c r="J972" i="7"/>
  <c r="AH972" i="7" s="1"/>
  <c r="G970" i="7"/>
  <c r="K972" i="7"/>
  <c r="I971" i="7"/>
  <c r="AG971" i="7" s="1"/>
  <c r="H971" i="7"/>
  <c r="M973" i="7"/>
  <c r="N973" i="7" s="1"/>
  <c r="H1175" i="5"/>
  <c r="I1175" i="5"/>
  <c r="C1174" i="5"/>
  <c r="B1176" i="5"/>
  <c r="D1173" i="5"/>
  <c r="J1173" i="5"/>
  <c r="G1172" i="5"/>
  <c r="K1172" i="5" s="1"/>
  <c r="E1172" i="5"/>
  <c r="F1172" i="5"/>
  <c r="G969" i="28"/>
  <c r="H969" i="28" s="1"/>
  <c r="F968" i="28"/>
  <c r="G965" i="27"/>
  <c r="H965" i="27" s="1"/>
  <c r="J965" i="27" s="1"/>
  <c r="L965" i="27" s="1"/>
  <c r="F964" i="27"/>
  <c r="J968" i="13" l="1"/>
  <c r="I968" i="13"/>
  <c r="F966" i="13"/>
  <c r="H967" i="13"/>
  <c r="G967" i="13"/>
  <c r="K971" i="7"/>
  <c r="AI971" i="7"/>
  <c r="G969" i="7"/>
  <c r="J971" i="7"/>
  <c r="L971" i="7"/>
  <c r="H970" i="7"/>
  <c r="AI970" i="7" s="1"/>
  <c r="I970" i="7"/>
  <c r="AG970" i="7" s="1"/>
  <c r="M972" i="7"/>
  <c r="N972" i="7" s="1"/>
  <c r="H1176" i="5"/>
  <c r="B1177" i="5"/>
  <c r="C1175" i="5"/>
  <c r="I1176" i="5"/>
  <c r="D1174" i="5"/>
  <c r="J1174" i="5"/>
  <c r="G1173" i="5"/>
  <c r="K1173" i="5" s="1"/>
  <c r="E1173" i="5"/>
  <c r="F1173" i="5"/>
  <c r="G968" i="28"/>
  <c r="H968" i="28" s="1"/>
  <c r="F967" i="28"/>
  <c r="G964" i="27"/>
  <c r="H964" i="27" s="1"/>
  <c r="J964" i="27" s="1"/>
  <c r="L964" i="27" s="1"/>
  <c r="F963" i="27"/>
  <c r="J967" i="13" l="1"/>
  <c r="I967" i="13"/>
  <c r="F965" i="13"/>
  <c r="H966" i="13"/>
  <c r="G966" i="13"/>
  <c r="AH971" i="7"/>
  <c r="M971" i="7"/>
  <c r="N971" i="7" s="1"/>
  <c r="J970" i="7"/>
  <c r="L970" i="7"/>
  <c r="H969" i="7"/>
  <c r="AI969" i="7" s="1"/>
  <c r="I969" i="7"/>
  <c r="AG969" i="7" s="1"/>
  <c r="K970" i="7"/>
  <c r="G968" i="7"/>
  <c r="D1175" i="5"/>
  <c r="J1175" i="5"/>
  <c r="C1176" i="5"/>
  <c r="D1176" i="5" s="1"/>
  <c r="B1178" i="5"/>
  <c r="I1177" i="5"/>
  <c r="H1177" i="5"/>
  <c r="F1174" i="5"/>
  <c r="E1174" i="5"/>
  <c r="G1174" i="5"/>
  <c r="K1174" i="5" s="1"/>
  <c r="G967" i="28"/>
  <c r="H967" i="28" s="1"/>
  <c r="F966" i="28"/>
  <c r="G963" i="27"/>
  <c r="H963" i="27" s="1"/>
  <c r="J963" i="27" s="1"/>
  <c r="L963" i="27" s="1"/>
  <c r="F962" i="27"/>
  <c r="J966" i="13" l="1"/>
  <c r="I966" i="13"/>
  <c r="F964" i="13"/>
  <c r="H965" i="13"/>
  <c r="G965" i="13"/>
  <c r="AH970" i="7"/>
  <c r="G967" i="7"/>
  <c r="I968" i="7"/>
  <c r="AG968" i="7" s="1"/>
  <c r="H968" i="7"/>
  <c r="K969" i="7"/>
  <c r="L969" i="7"/>
  <c r="J969" i="7"/>
  <c r="M970" i="7"/>
  <c r="N970" i="7" s="1"/>
  <c r="G1176" i="5"/>
  <c r="K1176" i="5" s="1"/>
  <c r="F1176" i="5"/>
  <c r="E1176" i="5"/>
  <c r="E1175" i="5"/>
  <c r="G1175" i="5"/>
  <c r="K1175" i="5" s="1"/>
  <c r="F1175" i="5"/>
  <c r="H1178" i="5"/>
  <c r="I1178" i="5"/>
  <c r="C1177" i="5"/>
  <c r="B1179" i="5"/>
  <c r="J1176" i="5"/>
  <c r="G966" i="28"/>
  <c r="H966" i="28" s="1"/>
  <c r="F965" i="28"/>
  <c r="G962" i="27"/>
  <c r="H962" i="27" s="1"/>
  <c r="J962" i="27" s="1"/>
  <c r="L962" i="27" s="1"/>
  <c r="F961" i="27"/>
  <c r="J965" i="13" l="1"/>
  <c r="I965" i="13"/>
  <c r="F963" i="13"/>
  <c r="H964" i="13"/>
  <c r="G964" i="13"/>
  <c r="K968" i="7"/>
  <c r="AI968" i="7"/>
  <c r="AH969" i="7"/>
  <c r="M969" i="7"/>
  <c r="N969" i="7" s="1"/>
  <c r="L968" i="7"/>
  <c r="J968" i="7"/>
  <c r="G966" i="7"/>
  <c r="I967" i="7"/>
  <c r="AG967" i="7" s="1"/>
  <c r="H967" i="7"/>
  <c r="AI967" i="7" s="1"/>
  <c r="H1179" i="5"/>
  <c r="I1179" i="5"/>
  <c r="B1180" i="5"/>
  <c r="C1178" i="5"/>
  <c r="D1177" i="5"/>
  <c r="J1177" i="5"/>
  <c r="G965" i="28"/>
  <c r="H965" i="28" s="1"/>
  <c r="F964" i="28"/>
  <c r="G961" i="27"/>
  <c r="H961" i="27" s="1"/>
  <c r="J961" i="27" s="1"/>
  <c r="L961" i="27" s="1"/>
  <c r="F960" i="27"/>
  <c r="J964" i="13" l="1"/>
  <c r="I964" i="13"/>
  <c r="F962" i="13"/>
  <c r="H963" i="13"/>
  <c r="G963" i="13"/>
  <c r="AH968" i="7"/>
  <c r="K967" i="7"/>
  <c r="J967" i="7"/>
  <c r="L967" i="7"/>
  <c r="M968" i="7"/>
  <c r="N968" i="7" s="1"/>
  <c r="G965" i="7"/>
  <c r="I966" i="7"/>
  <c r="AG966" i="7" s="1"/>
  <c r="H966" i="7"/>
  <c r="AI966" i="7" s="1"/>
  <c r="H1180" i="5"/>
  <c r="C1179" i="5"/>
  <c r="B1181" i="5"/>
  <c r="I1180" i="5"/>
  <c r="D1178" i="5"/>
  <c r="J1178" i="5"/>
  <c r="G1177" i="5"/>
  <c r="K1177" i="5" s="1"/>
  <c r="F1177" i="5"/>
  <c r="E1177" i="5"/>
  <c r="G964" i="28"/>
  <c r="H964" i="28" s="1"/>
  <c r="F963" i="28"/>
  <c r="G960" i="27"/>
  <c r="H960" i="27" s="1"/>
  <c r="J960" i="27" s="1"/>
  <c r="L960" i="27" s="1"/>
  <c r="F959" i="27"/>
  <c r="J963" i="13" l="1"/>
  <c r="I963" i="13"/>
  <c r="F961" i="13"/>
  <c r="H962" i="13"/>
  <c r="G962" i="13"/>
  <c r="AH967" i="7"/>
  <c r="L966" i="7"/>
  <c r="J966" i="7"/>
  <c r="G964" i="7"/>
  <c r="M967" i="7"/>
  <c r="N967" i="7" s="1"/>
  <c r="I965" i="7"/>
  <c r="AG965" i="7" s="1"/>
  <c r="H965" i="7"/>
  <c r="AI965" i="7" s="1"/>
  <c r="K966" i="7"/>
  <c r="H1181" i="5"/>
  <c r="C1180" i="5"/>
  <c r="D1180" i="5" s="1"/>
  <c r="I1181" i="5"/>
  <c r="B1182" i="5"/>
  <c r="D1179" i="5"/>
  <c r="J1179" i="5"/>
  <c r="F1178" i="5"/>
  <c r="G1178" i="5"/>
  <c r="K1178" i="5" s="1"/>
  <c r="E1178" i="5"/>
  <c r="F962" i="28"/>
  <c r="G963" i="28"/>
  <c r="H963" i="28" s="1"/>
  <c r="G959" i="27"/>
  <c r="H959" i="27" s="1"/>
  <c r="J959" i="27" s="1"/>
  <c r="L959" i="27" s="1"/>
  <c r="F958" i="27"/>
  <c r="J962" i="13" l="1"/>
  <c r="I962" i="13"/>
  <c r="F960" i="13"/>
  <c r="H961" i="13"/>
  <c r="G961" i="13"/>
  <c r="AH966" i="7"/>
  <c r="M966" i="7"/>
  <c r="N966" i="7" s="1"/>
  <c r="K965" i="7"/>
  <c r="G963" i="7"/>
  <c r="L965" i="7"/>
  <c r="M965" i="7" s="1"/>
  <c r="J965" i="7"/>
  <c r="H964" i="7"/>
  <c r="AI964" i="7" s="1"/>
  <c r="I964" i="7"/>
  <c r="AG964" i="7" s="1"/>
  <c r="F1180" i="5"/>
  <c r="E1180" i="5"/>
  <c r="G1180" i="5"/>
  <c r="K1180" i="5" s="1"/>
  <c r="E1179" i="5"/>
  <c r="G1179" i="5"/>
  <c r="K1179" i="5" s="1"/>
  <c r="F1179" i="5"/>
  <c r="B1183" i="5"/>
  <c r="C1181" i="5"/>
  <c r="I1182" i="5"/>
  <c r="H1182" i="5"/>
  <c r="J1180" i="5"/>
  <c r="G962" i="28"/>
  <c r="H962" i="28" s="1"/>
  <c r="F961" i="28"/>
  <c r="G958" i="27"/>
  <c r="H958" i="27" s="1"/>
  <c r="J958" i="27" s="1"/>
  <c r="L958" i="27" s="1"/>
  <c r="F957" i="27"/>
  <c r="J961" i="13" l="1"/>
  <c r="I961" i="13"/>
  <c r="F959" i="13"/>
  <c r="H960" i="13"/>
  <c r="G960" i="13"/>
  <c r="AH965" i="7"/>
  <c r="L964" i="7"/>
  <c r="J964" i="7"/>
  <c r="G962" i="7"/>
  <c r="K964" i="7"/>
  <c r="H963" i="7"/>
  <c r="I963" i="7"/>
  <c r="AG963" i="7" s="1"/>
  <c r="N965" i="7"/>
  <c r="I1183" i="5"/>
  <c r="H1183" i="5"/>
  <c r="C1182" i="5"/>
  <c r="B1184" i="5"/>
  <c r="D1181" i="5"/>
  <c r="J1181" i="5"/>
  <c r="G961" i="28"/>
  <c r="H961" i="28" s="1"/>
  <c r="F960" i="28"/>
  <c r="G957" i="27"/>
  <c r="H957" i="27" s="1"/>
  <c r="J957" i="27" s="1"/>
  <c r="L957" i="27" s="1"/>
  <c r="F956" i="27"/>
  <c r="J960" i="13" l="1"/>
  <c r="I960" i="13"/>
  <c r="F958" i="13"/>
  <c r="H959" i="13"/>
  <c r="G959" i="13"/>
  <c r="AH964" i="7"/>
  <c r="K963" i="7"/>
  <c r="AI963" i="7"/>
  <c r="J963" i="7"/>
  <c r="L963" i="7"/>
  <c r="G961" i="7"/>
  <c r="H962" i="7"/>
  <c r="AI962" i="7" s="1"/>
  <c r="I962" i="7"/>
  <c r="AG962" i="7" s="1"/>
  <c r="M964" i="7"/>
  <c r="N964" i="7" s="1"/>
  <c r="D1182" i="5"/>
  <c r="J1182" i="5"/>
  <c r="C1183" i="5"/>
  <c r="H1184" i="5"/>
  <c r="I1184" i="5"/>
  <c r="B1185" i="5"/>
  <c r="G1181" i="5"/>
  <c r="K1181" i="5" s="1"/>
  <c r="F1181" i="5"/>
  <c r="E1181" i="5"/>
  <c r="F959" i="28"/>
  <c r="G960" i="28"/>
  <c r="H960" i="28" s="1"/>
  <c r="G956" i="27"/>
  <c r="H956" i="27" s="1"/>
  <c r="J956" i="27" s="1"/>
  <c r="L956" i="27" s="1"/>
  <c r="F955" i="27"/>
  <c r="J959" i="13" l="1"/>
  <c r="I959" i="13"/>
  <c r="F957" i="13"/>
  <c r="H958" i="13"/>
  <c r="G958" i="13"/>
  <c r="AH963" i="7"/>
  <c r="H961" i="7"/>
  <c r="AI961" i="7" s="1"/>
  <c r="I961" i="7"/>
  <c r="AG961" i="7" s="1"/>
  <c r="G960" i="7"/>
  <c r="L962" i="7"/>
  <c r="J962" i="7"/>
  <c r="M963" i="7"/>
  <c r="N963" i="7" s="1"/>
  <c r="K962" i="7"/>
  <c r="I1185" i="5"/>
  <c r="H1185" i="5"/>
  <c r="C1184" i="5"/>
  <c r="B1186" i="5"/>
  <c r="D1183" i="5"/>
  <c r="J1183" i="5"/>
  <c r="G1182" i="5"/>
  <c r="K1182" i="5" s="1"/>
  <c r="E1182" i="5"/>
  <c r="F1182" i="5"/>
  <c r="G959" i="28"/>
  <c r="H959" i="28" s="1"/>
  <c r="F958" i="28"/>
  <c r="G955" i="27"/>
  <c r="H955" i="27" s="1"/>
  <c r="J955" i="27" s="1"/>
  <c r="L955" i="27" s="1"/>
  <c r="F954" i="27"/>
  <c r="J958" i="13" l="1"/>
  <c r="I958" i="13"/>
  <c r="F956" i="13"/>
  <c r="H957" i="13"/>
  <c r="G957" i="13"/>
  <c r="AH962" i="7"/>
  <c r="G959" i="7"/>
  <c r="H960" i="7"/>
  <c r="AI960" i="7" s="1"/>
  <c r="I960" i="7"/>
  <c r="AG960" i="7" s="1"/>
  <c r="J961" i="7"/>
  <c r="L961" i="7"/>
  <c r="M962" i="7"/>
  <c r="N962" i="7" s="1"/>
  <c r="K961" i="7"/>
  <c r="C1185" i="5"/>
  <c r="B1187" i="5"/>
  <c r="H1186" i="5"/>
  <c r="I1186" i="5"/>
  <c r="D1184" i="5"/>
  <c r="J1184" i="5"/>
  <c r="F1183" i="5"/>
  <c r="G1183" i="5"/>
  <c r="K1183" i="5" s="1"/>
  <c r="E1183" i="5"/>
  <c r="G958" i="28"/>
  <c r="H958" i="28" s="1"/>
  <c r="F957" i="28"/>
  <c r="G954" i="27"/>
  <c r="H954" i="27" s="1"/>
  <c r="J954" i="27" s="1"/>
  <c r="L954" i="27" s="1"/>
  <c r="F953" i="27"/>
  <c r="J957" i="13" l="1"/>
  <c r="I957" i="13"/>
  <c r="F955" i="13"/>
  <c r="H956" i="13"/>
  <c r="G956" i="13"/>
  <c r="AH961" i="7"/>
  <c r="J960" i="7"/>
  <c r="L960" i="7"/>
  <c r="K960" i="7"/>
  <c r="M961" i="7"/>
  <c r="N961" i="7" s="1"/>
  <c r="G958" i="7"/>
  <c r="I959" i="7"/>
  <c r="AG959" i="7" s="1"/>
  <c r="H959" i="7"/>
  <c r="AI959" i="7" s="1"/>
  <c r="I1187" i="5"/>
  <c r="B1188" i="5"/>
  <c r="H1187" i="5"/>
  <c r="C1186" i="5"/>
  <c r="G1184" i="5"/>
  <c r="K1184" i="5" s="1"/>
  <c r="F1184" i="5"/>
  <c r="E1184" i="5"/>
  <c r="D1185" i="5"/>
  <c r="J1185" i="5"/>
  <c r="F956" i="28"/>
  <c r="G957" i="28"/>
  <c r="H957" i="28" s="1"/>
  <c r="G953" i="27"/>
  <c r="H953" i="27" s="1"/>
  <c r="J953" i="27" s="1"/>
  <c r="L953" i="27" s="1"/>
  <c r="F952" i="27"/>
  <c r="F954" i="13" l="1"/>
  <c r="H955" i="13"/>
  <c r="G955" i="13"/>
  <c r="J956" i="13"/>
  <c r="I956" i="13"/>
  <c r="AH960" i="7"/>
  <c r="G957" i="7"/>
  <c r="I958" i="7"/>
  <c r="AG958" i="7" s="1"/>
  <c r="H958" i="7"/>
  <c r="AI958" i="7" s="1"/>
  <c r="K959" i="7"/>
  <c r="M960" i="7"/>
  <c r="N960" i="7" s="1"/>
  <c r="L959" i="7"/>
  <c r="J959" i="7"/>
  <c r="E1185" i="5"/>
  <c r="G1185" i="5"/>
  <c r="K1185" i="5" s="1"/>
  <c r="F1185" i="5"/>
  <c r="D1186" i="5"/>
  <c r="J1186" i="5"/>
  <c r="H1188" i="5"/>
  <c r="C1187" i="5"/>
  <c r="B1189" i="5"/>
  <c r="I1188" i="5"/>
  <c r="G956" i="28"/>
  <c r="H956" i="28" s="1"/>
  <c r="F955" i="28"/>
  <c r="G952" i="27"/>
  <c r="H952" i="27" s="1"/>
  <c r="J952" i="27" s="1"/>
  <c r="L952" i="27" s="1"/>
  <c r="F951" i="27"/>
  <c r="J955" i="13" l="1"/>
  <c r="I955" i="13"/>
  <c r="F953" i="13"/>
  <c r="H954" i="13"/>
  <c r="G954" i="13"/>
  <c r="AH959" i="7"/>
  <c r="K958" i="7"/>
  <c r="L958" i="7"/>
  <c r="J958" i="7"/>
  <c r="G956" i="7"/>
  <c r="M959" i="7"/>
  <c r="N959" i="7" s="1"/>
  <c r="H957" i="7"/>
  <c r="AI957" i="7" s="1"/>
  <c r="I957" i="7"/>
  <c r="AG957" i="7" s="1"/>
  <c r="H1189" i="5"/>
  <c r="B1190" i="5"/>
  <c r="I1189" i="5"/>
  <c r="C1188" i="5"/>
  <c r="G1186" i="5"/>
  <c r="K1186" i="5" s="1"/>
  <c r="E1186" i="5"/>
  <c r="F1186" i="5"/>
  <c r="D1187" i="5"/>
  <c r="J1187" i="5"/>
  <c r="F954" i="28"/>
  <c r="G955" i="28"/>
  <c r="H955" i="28" s="1"/>
  <c r="G951" i="27"/>
  <c r="H951" i="27" s="1"/>
  <c r="J951" i="27" s="1"/>
  <c r="L951" i="27" s="1"/>
  <c r="F950" i="27"/>
  <c r="J954" i="13" l="1"/>
  <c r="I954" i="13"/>
  <c r="F952" i="13"/>
  <c r="H953" i="13"/>
  <c r="G953" i="13"/>
  <c r="AH958" i="7"/>
  <c r="J957" i="7"/>
  <c r="L957" i="7"/>
  <c r="G955" i="7"/>
  <c r="M958" i="7"/>
  <c r="N958" i="7" s="1"/>
  <c r="K957" i="7"/>
  <c r="H956" i="7"/>
  <c r="AI956" i="7" s="1"/>
  <c r="I956" i="7"/>
  <c r="AG956" i="7" s="1"/>
  <c r="G1187" i="5"/>
  <c r="K1187" i="5" s="1"/>
  <c r="E1187" i="5"/>
  <c r="F1187" i="5"/>
  <c r="D1188" i="5"/>
  <c r="J1188" i="5"/>
  <c r="I1190" i="5"/>
  <c r="C1189" i="5"/>
  <c r="H1190" i="5"/>
  <c r="B1191" i="5"/>
  <c r="G954" i="28"/>
  <c r="H954" i="28" s="1"/>
  <c r="F953" i="28"/>
  <c r="G950" i="27"/>
  <c r="H950" i="27" s="1"/>
  <c r="J950" i="27" s="1"/>
  <c r="L950" i="27" s="1"/>
  <c r="F949" i="27"/>
  <c r="J953" i="13" l="1"/>
  <c r="I953" i="13"/>
  <c r="F951" i="13"/>
  <c r="H952" i="13"/>
  <c r="G952" i="13"/>
  <c r="AH957" i="7"/>
  <c r="G954" i="7"/>
  <c r="I955" i="7"/>
  <c r="AG955" i="7" s="1"/>
  <c r="H955" i="7"/>
  <c r="AI955" i="7" s="1"/>
  <c r="J956" i="7"/>
  <c r="L956" i="7"/>
  <c r="M957" i="7"/>
  <c r="N957" i="7" s="1"/>
  <c r="K956" i="7"/>
  <c r="G1188" i="5"/>
  <c r="K1188" i="5" s="1"/>
  <c r="E1188" i="5"/>
  <c r="F1188" i="5"/>
  <c r="D1189" i="5"/>
  <c r="J1189" i="5"/>
  <c r="C1190" i="5"/>
  <c r="H1191" i="5"/>
  <c r="B1192" i="5"/>
  <c r="I1191" i="5"/>
  <c r="G953" i="28"/>
  <c r="H953" i="28" s="1"/>
  <c r="F952" i="28"/>
  <c r="G949" i="27"/>
  <c r="H949" i="27" s="1"/>
  <c r="J949" i="27" s="1"/>
  <c r="L949" i="27" s="1"/>
  <c r="F948" i="27"/>
  <c r="J952" i="13" l="1"/>
  <c r="I952" i="13"/>
  <c r="F950" i="13"/>
  <c r="H951" i="13"/>
  <c r="G951" i="13"/>
  <c r="AH956" i="7"/>
  <c r="K955" i="7"/>
  <c r="L955" i="7"/>
  <c r="J955" i="7"/>
  <c r="M956" i="7"/>
  <c r="N956" i="7" s="1"/>
  <c r="G953" i="7"/>
  <c r="I954" i="7"/>
  <c r="AG954" i="7" s="1"/>
  <c r="H954" i="7"/>
  <c r="AI954" i="7" s="1"/>
  <c r="C1191" i="5"/>
  <c r="D1191" i="5" s="1"/>
  <c r="I1192" i="5"/>
  <c r="B1193" i="5"/>
  <c r="H1192" i="5"/>
  <c r="F1189" i="5"/>
  <c r="E1189" i="5"/>
  <c r="G1189" i="5"/>
  <c r="K1189" i="5" s="1"/>
  <c r="D1190" i="5"/>
  <c r="J1190" i="5"/>
  <c r="G952" i="28"/>
  <c r="H952" i="28" s="1"/>
  <c r="F951" i="28"/>
  <c r="G948" i="27"/>
  <c r="H948" i="27" s="1"/>
  <c r="J948" i="27" s="1"/>
  <c r="L948" i="27" s="1"/>
  <c r="F947" i="27"/>
  <c r="F949" i="13" l="1"/>
  <c r="H950" i="13"/>
  <c r="G950" i="13"/>
  <c r="J951" i="13"/>
  <c r="I951" i="13"/>
  <c r="AH955" i="7"/>
  <c r="I953" i="7"/>
  <c r="AG953" i="7" s="1"/>
  <c r="H953" i="7"/>
  <c r="AI953" i="7" s="1"/>
  <c r="G952" i="7"/>
  <c r="M955" i="7"/>
  <c r="N955" i="7" s="1"/>
  <c r="K954" i="7"/>
  <c r="J954" i="7"/>
  <c r="L954" i="7"/>
  <c r="H1193" i="5"/>
  <c r="C1192" i="5"/>
  <c r="I1193" i="5"/>
  <c r="B1194" i="5"/>
  <c r="E1191" i="5"/>
  <c r="G1191" i="5"/>
  <c r="K1191" i="5" s="1"/>
  <c r="F1191" i="5"/>
  <c r="F1190" i="5"/>
  <c r="E1190" i="5"/>
  <c r="G1190" i="5"/>
  <c r="K1190" i="5" s="1"/>
  <c r="J1191" i="5"/>
  <c r="G951" i="28"/>
  <c r="H951" i="28" s="1"/>
  <c r="F950" i="28"/>
  <c r="G947" i="27"/>
  <c r="H947" i="27" s="1"/>
  <c r="J947" i="27" s="1"/>
  <c r="L947" i="27" s="1"/>
  <c r="F946" i="27"/>
  <c r="J950" i="13" l="1"/>
  <c r="I950" i="13"/>
  <c r="F948" i="13"/>
  <c r="H949" i="13"/>
  <c r="G949" i="13"/>
  <c r="AH954" i="7"/>
  <c r="G951" i="7"/>
  <c r="M954" i="7"/>
  <c r="N954" i="7" s="1"/>
  <c r="H952" i="7"/>
  <c r="AI952" i="7" s="1"/>
  <c r="I952" i="7"/>
  <c r="AG952" i="7" s="1"/>
  <c r="K953" i="7"/>
  <c r="J953" i="7"/>
  <c r="L953" i="7"/>
  <c r="C1193" i="5"/>
  <c r="H1194" i="5"/>
  <c r="I1194" i="5"/>
  <c r="B1195" i="5"/>
  <c r="D1192" i="5"/>
  <c r="J1192" i="5"/>
  <c r="F949" i="28"/>
  <c r="G950" i="28"/>
  <c r="H950" i="28" s="1"/>
  <c r="G946" i="27"/>
  <c r="H946" i="27" s="1"/>
  <c r="J946" i="27" s="1"/>
  <c r="L946" i="27" s="1"/>
  <c r="F945" i="27"/>
  <c r="J949" i="13" l="1"/>
  <c r="I949" i="13"/>
  <c r="F947" i="13"/>
  <c r="H948" i="13"/>
  <c r="G948" i="13"/>
  <c r="AH953" i="7"/>
  <c r="M953" i="7"/>
  <c r="N953" i="7" s="1"/>
  <c r="J952" i="7"/>
  <c r="L952" i="7"/>
  <c r="G950" i="7"/>
  <c r="K952" i="7"/>
  <c r="I951" i="7"/>
  <c r="AG951" i="7" s="1"/>
  <c r="H951" i="7"/>
  <c r="AI951" i="7" s="1"/>
  <c r="H1195" i="5"/>
  <c r="B1196" i="5"/>
  <c r="I1195" i="5"/>
  <c r="C1194" i="5"/>
  <c r="F1192" i="5"/>
  <c r="E1192" i="5"/>
  <c r="G1192" i="5"/>
  <c r="K1192" i="5" s="1"/>
  <c r="D1193" i="5"/>
  <c r="J1193" i="5"/>
  <c r="F948" i="28"/>
  <c r="G949" i="28"/>
  <c r="H949" i="28" s="1"/>
  <c r="G945" i="27"/>
  <c r="H945" i="27" s="1"/>
  <c r="J945" i="27" s="1"/>
  <c r="L945" i="27" s="1"/>
  <c r="F944" i="27"/>
  <c r="J948" i="13" l="1"/>
  <c r="I948" i="13"/>
  <c r="F946" i="13"/>
  <c r="H947" i="13"/>
  <c r="G947" i="13"/>
  <c r="AH952" i="7"/>
  <c r="M952" i="7"/>
  <c r="N952" i="7" s="1"/>
  <c r="K951" i="7"/>
  <c r="J951" i="7"/>
  <c r="L951" i="7"/>
  <c r="H950" i="7"/>
  <c r="I950" i="7"/>
  <c r="AG950" i="7" s="1"/>
  <c r="G949" i="7"/>
  <c r="F1193" i="5"/>
  <c r="E1193" i="5"/>
  <c r="G1193" i="5"/>
  <c r="K1193" i="5" s="1"/>
  <c r="D1194" i="5"/>
  <c r="J1194" i="5"/>
  <c r="I1196" i="5"/>
  <c r="H1196" i="5"/>
  <c r="C1195" i="5"/>
  <c r="B1197" i="5"/>
  <c r="F947" i="28"/>
  <c r="G948" i="28"/>
  <c r="H948" i="28" s="1"/>
  <c r="G944" i="27"/>
  <c r="H944" i="27" s="1"/>
  <c r="J944" i="27" s="1"/>
  <c r="L944" i="27" s="1"/>
  <c r="F943" i="27"/>
  <c r="J947" i="13" l="1"/>
  <c r="I947" i="13"/>
  <c r="F945" i="13"/>
  <c r="H946" i="13"/>
  <c r="G946" i="13"/>
  <c r="K950" i="7"/>
  <c r="AI950" i="7"/>
  <c r="AH951" i="7"/>
  <c r="L950" i="7"/>
  <c r="J950" i="7"/>
  <c r="G948" i="7"/>
  <c r="I949" i="7"/>
  <c r="AG949" i="7" s="1"/>
  <c r="H949" i="7"/>
  <c r="M951" i="7"/>
  <c r="N951" i="7" s="1"/>
  <c r="D1195" i="5"/>
  <c r="J1195" i="5"/>
  <c r="F1194" i="5"/>
  <c r="G1194" i="5"/>
  <c r="K1194" i="5" s="1"/>
  <c r="E1194" i="5"/>
  <c r="C1196" i="5"/>
  <c r="I1197" i="5"/>
  <c r="B1198" i="5"/>
  <c r="H1197" i="5"/>
  <c r="G947" i="28"/>
  <c r="H947" i="28" s="1"/>
  <c r="F946" i="28"/>
  <c r="G943" i="27"/>
  <c r="H943" i="27" s="1"/>
  <c r="J943" i="27" s="1"/>
  <c r="L943" i="27" s="1"/>
  <c r="F942" i="27"/>
  <c r="J946" i="13" l="1"/>
  <c r="I946" i="13"/>
  <c r="F944" i="13"/>
  <c r="H945" i="13"/>
  <c r="G945" i="13"/>
  <c r="K949" i="7"/>
  <c r="AI949" i="7"/>
  <c r="AH950" i="7"/>
  <c r="H948" i="7"/>
  <c r="AI948" i="7" s="1"/>
  <c r="I948" i="7"/>
  <c r="AG948" i="7" s="1"/>
  <c r="G947" i="7"/>
  <c r="L949" i="7"/>
  <c r="J949" i="7"/>
  <c r="M950" i="7"/>
  <c r="N950" i="7" s="1"/>
  <c r="D1196" i="5"/>
  <c r="J1196" i="5"/>
  <c r="I1198" i="5"/>
  <c r="B1199" i="5"/>
  <c r="C1197" i="5"/>
  <c r="D1197" i="5" s="1"/>
  <c r="H1198" i="5"/>
  <c r="E1195" i="5"/>
  <c r="G1195" i="5"/>
  <c r="K1195" i="5" s="1"/>
  <c r="F1195" i="5"/>
  <c r="F945" i="28"/>
  <c r="G946" i="28"/>
  <c r="H946" i="28" s="1"/>
  <c r="G942" i="27"/>
  <c r="H942" i="27" s="1"/>
  <c r="J942" i="27" s="1"/>
  <c r="L942" i="27" s="1"/>
  <c r="F941" i="27"/>
  <c r="J945" i="13" l="1"/>
  <c r="I945" i="13"/>
  <c r="F943" i="13"/>
  <c r="H944" i="13"/>
  <c r="G944" i="13"/>
  <c r="AH949" i="7"/>
  <c r="I947" i="7"/>
  <c r="AG947" i="7" s="1"/>
  <c r="H947" i="7"/>
  <c r="AI947" i="7" s="1"/>
  <c r="M949" i="7"/>
  <c r="N949" i="7" s="1"/>
  <c r="G946" i="7"/>
  <c r="J948" i="7"/>
  <c r="L948" i="7"/>
  <c r="K948" i="7"/>
  <c r="E1197" i="5"/>
  <c r="G1197" i="5"/>
  <c r="K1197" i="5" s="1"/>
  <c r="F1197" i="5"/>
  <c r="E1196" i="5"/>
  <c r="G1196" i="5"/>
  <c r="K1196" i="5" s="1"/>
  <c r="F1196" i="5"/>
  <c r="C1198" i="5"/>
  <c r="H1199" i="5"/>
  <c r="B1200" i="5"/>
  <c r="I1199" i="5"/>
  <c r="J1197" i="5"/>
  <c r="G945" i="28"/>
  <c r="H945" i="28" s="1"/>
  <c r="F944" i="28"/>
  <c r="G941" i="27"/>
  <c r="H941" i="27" s="1"/>
  <c r="J941" i="27" s="1"/>
  <c r="L941" i="27" s="1"/>
  <c r="F940" i="27"/>
  <c r="J944" i="13" l="1"/>
  <c r="I944" i="13"/>
  <c r="F942" i="13"/>
  <c r="H943" i="13"/>
  <c r="G943" i="13"/>
  <c r="AH948" i="7"/>
  <c r="G945" i="7"/>
  <c r="K947" i="7"/>
  <c r="H946" i="7"/>
  <c r="I946" i="7"/>
  <c r="AG946" i="7" s="1"/>
  <c r="L947" i="7"/>
  <c r="J947" i="7"/>
  <c r="M948" i="7"/>
  <c r="N948" i="7" s="1"/>
  <c r="D1198" i="5"/>
  <c r="J1198" i="5"/>
  <c r="C1199" i="5"/>
  <c r="B1201" i="5"/>
  <c r="I1200" i="5"/>
  <c r="H1200" i="5"/>
  <c r="G944" i="28"/>
  <c r="H944" i="28" s="1"/>
  <c r="F943" i="28"/>
  <c r="G940" i="27"/>
  <c r="H940" i="27" s="1"/>
  <c r="J940" i="27" s="1"/>
  <c r="L940" i="27" s="1"/>
  <c r="F939" i="27"/>
  <c r="J943" i="13" l="1"/>
  <c r="I943" i="13"/>
  <c r="F941" i="13"/>
  <c r="H942" i="13"/>
  <c r="G942" i="13"/>
  <c r="K946" i="7"/>
  <c r="AI946" i="7"/>
  <c r="AH947" i="7"/>
  <c r="M947" i="7"/>
  <c r="N947" i="7" s="1"/>
  <c r="L946" i="7"/>
  <c r="J946" i="7"/>
  <c r="G944" i="7"/>
  <c r="I945" i="7"/>
  <c r="AG945" i="7" s="1"/>
  <c r="H945" i="7"/>
  <c r="AI945" i="7" s="1"/>
  <c r="B1202" i="5"/>
  <c r="H1201" i="5"/>
  <c r="C1200" i="5"/>
  <c r="I1201" i="5"/>
  <c r="D1199" i="5"/>
  <c r="J1199" i="5"/>
  <c r="G1198" i="5"/>
  <c r="K1198" i="5" s="1"/>
  <c r="F1198" i="5"/>
  <c r="E1198" i="5"/>
  <c r="G943" i="28"/>
  <c r="H943" i="28" s="1"/>
  <c r="F942" i="28"/>
  <c r="G939" i="27"/>
  <c r="H939" i="27" s="1"/>
  <c r="J939" i="27" s="1"/>
  <c r="L939" i="27" s="1"/>
  <c r="F938" i="27"/>
  <c r="J942" i="13" l="1"/>
  <c r="I942" i="13"/>
  <c r="F940" i="13"/>
  <c r="H941" i="13"/>
  <c r="G941" i="13"/>
  <c r="AH946" i="7"/>
  <c r="J945" i="7"/>
  <c r="AH945" i="7" s="1"/>
  <c r="L945" i="7"/>
  <c r="M946" i="7"/>
  <c r="N946" i="7" s="1"/>
  <c r="H944" i="7"/>
  <c r="AI944" i="7" s="1"/>
  <c r="I944" i="7"/>
  <c r="AG944" i="7" s="1"/>
  <c r="G943" i="7"/>
  <c r="K945" i="7"/>
  <c r="D1200" i="5"/>
  <c r="J1200" i="5"/>
  <c r="G1199" i="5"/>
  <c r="K1199" i="5" s="1"/>
  <c r="F1199" i="5"/>
  <c r="E1199" i="5"/>
  <c r="B1203" i="5"/>
  <c r="C1201" i="5"/>
  <c r="D1201" i="5" s="1"/>
  <c r="I1202" i="5"/>
  <c r="H1202" i="5"/>
  <c r="G942" i="28"/>
  <c r="H942" i="28" s="1"/>
  <c r="F941" i="28"/>
  <c r="G938" i="27"/>
  <c r="H938" i="27" s="1"/>
  <c r="J938" i="27" s="1"/>
  <c r="L938" i="27" s="1"/>
  <c r="F937" i="27"/>
  <c r="J941" i="13" l="1"/>
  <c r="I941" i="13"/>
  <c r="F939" i="13"/>
  <c r="H940" i="13"/>
  <c r="G940" i="13"/>
  <c r="I943" i="7"/>
  <c r="AG943" i="7" s="1"/>
  <c r="H943" i="7"/>
  <c r="G942" i="7"/>
  <c r="L944" i="7"/>
  <c r="J944" i="7"/>
  <c r="M945" i="7"/>
  <c r="N945" i="7" s="1"/>
  <c r="K944" i="7"/>
  <c r="E1201" i="5"/>
  <c r="G1201" i="5"/>
  <c r="K1201" i="5" s="1"/>
  <c r="F1201" i="5"/>
  <c r="B1204" i="5"/>
  <c r="C1202" i="5"/>
  <c r="D1202" i="5" s="1"/>
  <c r="I1203" i="5"/>
  <c r="H1203" i="5"/>
  <c r="E1200" i="5"/>
  <c r="F1200" i="5"/>
  <c r="G1200" i="5"/>
  <c r="K1200" i="5" s="1"/>
  <c r="J1201" i="5"/>
  <c r="G941" i="28"/>
  <c r="H941" i="28" s="1"/>
  <c r="F940" i="28"/>
  <c r="G937" i="27"/>
  <c r="H937" i="27" s="1"/>
  <c r="J937" i="27" s="1"/>
  <c r="L937" i="27" s="1"/>
  <c r="F936" i="27"/>
  <c r="J940" i="13" l="1"/>
  <c r="I940" i="13"/>
  <c r="F938" i="13"/>
  <c r="H939" i="13"/>
  <c r="G939" i="13"/>
  <c r="AH944" i="7"/>
  <c r="K943" i="7"/>
  <c r="AI943" i="7"/>
  <c r="H942" i="7"/>
  <c r="AI942" i="7" s="1"/>
  <c r="I942" i="7"/>
  <c r="AG942" i="7" s="1"/>
  <c r="G941" i="7"/>
  <c r="M944" i="7"/>
  <c r="N944" i="7" s="1"/>
  <c r="J943" i="7"/>
  <c r="L943" i="7"/>
  <c r="E1202" i="5"/>
  <c r="G1202" i="5"/>
  <c r="K1202" i="5" s="1"/>
  <c r="F1202" i="5"/>
  <c r="C1203" i="5"/>
  <c r="H1204" i="5"/>
  <c r="I1204" i="5"/>
  <c r="B1205" i="5"/>
  <c r="J1202" i="5"/>
  <c r="G940" i="28"/>
  <c r="H940" i="28" s="1"/>
  <c r="F939" i="28"/>
  <c r="G936" i="27"/>
  <c r="H936" i="27" s="1"/>
  <c r="J936" i="27" s="1"/>
  <c r="L936" i="27" s="1"/>
  <c r="F935" i="27"/>
  <c r="F937" i="13" l="1"/>
  <c r="H938" i="13"/>
  <c r="G938" i="13"/>
  <c r="J939" i="13"/>
  <c r="I939" i="13"/>
  <c r="AH943" i="7"/>
  <c r="M943" i="7"/>
  <c r="N943" i="7" s="1"/>
  <c r="G940" i="7"/>
  <c r="I941" i="7"/>
  <c r="AG941" i="7" s="1"/>
  <c r="H941" i="7"/>
  <c r="AI941" i="7" s="1"/>
  <c r="J942" i="7"/>
  <c r="L942" i="7"/>
  <c r="K942" i="7"/>
  <c r="I1205" i="5"/>
  <c r="H1205" i="5"/>
  <c r="C1204" i="5"/>
  <c r="B1206" i="5"/>
  <c r="D1203" i="5"/>
  <c r="J1203" i="5"/>
  <c r="G939" i="28"/>
  <c r="H939" i="28" s="1"/>
  <c r="F938" i="28"/>
  <c r="G935" i="27"/>
  <c r="H935" i="27" s="1"/>
  <c r="J935" i="27" s="1"/>
  <c r="L935" i="27" s="1"/>
  <c r="F934" i="27"/>
  <c r="J938" i="13" l="1"/>
  <c r="I938" i="13"/>
  <c r="F936" i="13"/>
  <c r="H937" i="13"/>
  <c r="G937" i="13"/>
  <c r="AH942" i="7"/>
  <c r="K941" i="7"/>
  <c r="H940" i="7"/>
  <c r="AI940" i="7" s="1"/>
  <c r="I940" i="7"/>
  <c r="AG940" i="7" s="1"/>
  <c r="L941" i="7"/>
  <c r="J941" i="7"/>
  <c r="G939" i="7"/>
  <c r="M942" i="7"/>
  <c r="N942" i="7" s="1"/>
  <c r="H1206" i="5"/>
  <c r="I1206" i="5"/>
  <c r="B1207" i="5"/>
  <c r="C1205" i="5"/>
  <c r="D1204" i="5"/>
  <c r="J1204" i="5"/>
  <c r="F1203" i="5"/>
  <c r="G1203" i="5"/>
  <c r="K1203" i="5" s="1"/>
  <c r="E1203" i="5"/>
  <c r="G938" i="28"/>
  <c r="H938" i="28" s="1"/>
  <c r="F937" i="28"/>
  <c r="G934" i="27"/>
  <c r="H934" i="27" s="1"/>
  <c r="J934" i="27" s="1"/>
  <c r="L934" i="27" s="1"/>
  <c r="F933" i="27"/>
  <c r="F935" i="13" l="1"/>
  <c r="H936" i="13"/>
  <c r="G936" i="13"/>
  <c r="J937" i="13"/>
  <c r="I937" i="13"/>
  <c r="AH941" i="7"/>
  <c r="G938" i="7"/>
  <c r="L940" i="7"/>
  <c r="J940" i="7"/>
  <c r="I939" i="7"/>
  <c r="AG939" i="7" s="1"/>
  <c r="H939" i="7"/>
  <c r="AI939" i="7" s="1"/>
  <c r="K940" i="7"/>
  <c r="M941" i="7"/>
  <c r="N941" i="7" s="1"/>
  <c r="D1205" i="5"/>
  <c r="J1205" i="5"/>
  <c r="C1206" i="5"/>
  <c r="B1208" i="5"/>
  <c r="H1207" i="5"/>
  <c r="I1207" i="5"/>
  <c r="F1204" i="5"/>
  <c r="G1204" i="5"/>
  <c r="K1204" i="5" s="1"/>
  <c r="E1204" i="5"/>
  <c r="G937" i="28"/>
  <c r="H937" i="28" s="1"/>
  <c r="F936" i="28"/>
  <c r="G933" i="27"/>
  <c r="H933" i="27" s="1"/>
  <c r="J933" i="27" s="1"/>
  <c r="L933" i="27" s="1"/>
  <c r="F932" i="27"/>
  <c r="J936" i="13" l="1"/>
  <c r="I936" i="13"/>
  <c r="F934" i="13"/>
  <c r="H935" i="13"/>
  <c r="G935" i="13"/>
  <c r="AH940" i="7"/>
  <c r="M940" i="7"/>
  <c r="N940" i="7" s="1"/>
  <c r="K939" i="7"/>
  <c r="H938" i="7"/>
  <c r="AI938" i="7" s="1"/>
  <c r="I938" i="7"/>
  <c r="AG938" i="7" s="1"/>
  <c r="L939" i="7"/>
  <c r="J939" i="7"/>
  <c r="AH939" i="7" s="1"/>
  <c r="G937" i="7"/>
  <c r="C1207" i="5"/>
  <c r="B1209" i="5"/>
  <c r="I1208" i="5"/>
  <c r="H1208" i="5"/>
  <c r="D1206" i="5"/>
  <c r="J1206" i="5"/>
  <c r="G1205" i="5"/>
  <c r="K1205" i="5" s="1"/>
  <c r="F1205" i="5"/>
  <c r="E1205" i="5"/>
  <c r="G936" i="28"/>
  <c r="H936" i="28" s="1"/>
  <c r="F935" i="28"/>
  <c r="G932" i="27"/>
  <c r="H932" i="27" s="1"/>
  <c r="J932" i="27" s="1"/>
  <c r="L932" i="27" s="1"/>
  <c r="F931" i="27"/>
  <c r="J935" i="13" l="1"/>
  <c r="I935" i="13"/>
  <c r="F933" i="13"/>
  <c r="H934" i="13"/>
  <c r="G934" i="13"/>
  <c r="M939" i="7"/>
  <c r="N939" i="7" s="1"/>
  <c r="H937" i="7"/>
  <c r="AI937" i="7" s="1"/>
  <c r="I937" i="7"/>
  <c r="AG937" i="7" s="1"/>
  <c r="L938" i="7"/>
  <c r="J938" i="7"/>
  <c r="G936" i="7"/>
  <c r="K938" i="7"/>
  <c r="H1209" i="5"/>
  <c r="I1209" i="5"/>
  <c r="C1208" i="5"/>
  <c r="B1210" i="5"/>
  <c r="E1206" i="5"/>
  <c r="F1206" i="5"/>
  <c r="G1206" i="5"/>
  <c r="K1206" i="5" s="1"/>
  <c r="D1207" i="5"/>
  <c r="J1207" i="5"/>
  <c r="G935" i="28"/>
  <c r="H935" i="28" s="1"/>
  <c r="F934" i="28"/>
  <c r="G931" i="27"/>
  <c r="H931" i="27" s="1"/>
  <c r="J931" i="27" s="1"/>
  <c r="L931" i="27" s="1"/>
  <c r="F930" i="27"/>
  <c r="J934" i="13" l="1"/>
  <c r="I934" i="13"/>
  <c r="F932" i="13"/>
  <c r="H933" i="13"/>
  <c r="G933" i="13"/>
  <c r="AH938" i="7"/>
  <c r="G935" i="7"/>
  <c r="J937" i="7"/>
  <c r="L937" i="7"/>
  <c r="H936" i="7"/>
  <c r="AI936" i="7" s="1"/>
  <c r="I936" i="7"/>
  <c r="AG936" i="7" s="1"/>
  <c r="K937" i="7"/>
  <c r="M938" i="7"/>
  <c r="N938" i="7" s="1"/>
  <c r="G1207" i="5"/>
  <c r="K1207" i="5" s="1"/>
  <c r="F1207" i="5"/>
  <c r="E1207" i="5"/>
  <c r="I1210" i="5"/>
  <c r="C1209" i="5"/>
  <c r="B1211" i="5"/>
  <c r="H1210" i="5"/>
  <c r="D1208" i="5"/>
  <c r="J1208" i="5"/>
  <c r="G934" i="28"/>
  <c r="H934" i="28" s="1"/>
  <c r="F933" i="28"/>
  <c r="G930" i="27"/>
  <c r="H930" i="27" s="1"/>
  <c r="J930" i="27" s="1"/>
  <c r="L930" i="27" s="1"/>
  <c r="F929" i="27"/>
  <c r="J933" i="13" l="1"/>
  <c r="I933" i="13"/>
  <c r="F931" i="13"/>
  <c r="H932" i="13"/>
  <c r="G932" i="13"/>
  <c r="AH937" i="7"/>
  <c r="M937" i="7"/>
  <c r="N937" i="7" s="1"/>
  <c r="J936" i="7"/>
  <c r="L936" i="7"/>
  <c r="G934" i="7"/>
  <c r="K936" i="7"/>
  <c r="H935" i="7"/>
  <c r="AI935" i="7" s="1"/>
  <c r="I935" i="7"/>
  <c r="AG935" i="7" s="1"/>
  <c r="F1208" i="5"/>
  <c r="G1208" i="5"/>
  <c r="K1208" i="5" s="1"/>
  <c r="E1208" i="5"/>
  <c r="H1211" i="5"/>
  <c r="B1212" i="5"/>
  <c r="I1211" i="5"/>
  <c r="C1210" i="5"/>
  <c r="D1209" i="5"/>
  <c r="J1209" i="5"/>
  <c r="G933" i="28"/>
  <c r="H933" i="28" s="1"/>
  <c r="F932" i="28"/>
  <c r="G929" i="27"/>
  <c r="H929" i="27" s="1"/>
  <c r="J929" i="27" s="1"/>
  <c r="L929" i="27" s="1"/>
  <c r="F928" i="27"/>
  <c r="J932" i="13" l="1"/>
  <c r="I932" i="13"/>
  <c r="F930" i="13"/>
  <c r="H931" i="13"/>
  <c r="G931" i="13"/>
  <c r="AH936" i="7"/>
  <c r="M936" i="7"/>
  <c r="N936" i="7" s="1"/>
  <c r="J935" i="7"/>
  <c r="L935" i="7"/>
  <c r="H934" i="7"/>
  <c r="AI934" i="7" s="1"/>
  <c r="I934" i="7"/>
  <c r="AG934" i="7" s="1"/>
  <c r="K935" i="7"/>
  <c r="G933" i="7"/>
  <c r="E1209" i="5"/>
  <c r="G1209" i="5"/>
  <c r="K1209" i="5" s="1"/>
  <c r="F1209" i="5"/>
  <c r="D1210" i="5"/>
  <c r="J1210" i="5"/>
  <c r="I1212" i="5"/>
  <c r="H1212" i="5"/>
  <c r="B1213" i="5"/>
  <c r="C1211" i="5"/>
  <c r="G932" i="28"/>
  <c r="H932" i="28" s="1"/>
  <c r="F931" i="28"/>
  <c r="G928" i="27"/>
  <c r="H928" i="27" s="1"/>
  <c r="J928" i="27" s="1"/>
  <c r="L928" i="27" s="1"/>
  <c r="F927" i="27"/>
  <c r="J931" i="13" l="1"/>
  <c r="I931" i="13"/>
  <c r="F929" i="13"/>
  <c r="H930" i="13"/>
  <c r="G930" i="13"/>
  <c r="AH935" i="7"/>
  <c r="M935" i="7"/>
  <c r="N935" i="7" s="1"/>
  <c r="G932" i="7"/>
  <c r="L934" i="7"/>
  <c r="J934" i="7"/>
  <c r="H933" i="7"/>
  <c r="AI933" i="7" s="1"/>
  <c r="I933" i="7"/>
  <c r="AG933" i="7" s="1"/>
  <c r="K934" i="7"/>
  <c r="I1213" i="5"/>
  <c r="B1214" i="5"/>
  <c r="H1213" i="5"/>
  <c r="C1212" i="5"/>
  <c r="F1210" i="5"/>
  <c r="G1210" i="5"/>
  <c r="K1210" i="5" s="1"/>
  <c r="E1210" i="5"/>
  <c r="D1211" i="5"/>
  <c r="J1211" i="5"/>
  <c r="G931" i="28"/>
  <c r="H931" i="28" s="1"/>
  <c r="F930" i="28"/>
  <c r="G927" i="27"/>
  <c r="H927" i="27" s="1"/>
  <c r="J927" i="27" s="1"/>
  <c r="L927" i="27" s="1"/>
  <c r="F926" i="27"/>
  <c r="J930" i="13" l="1"/>
  <c r="I930" i="13"/>
  <c r="F928" i="13"/>
  <c r="H929" i="13"/>
  <c r="G929" i="13"/>
  <c r="AH934" i="7"/>
  <c r="L933" i="7"/>
  <c r="J933" i="7"/>
  <c r="AH933" i="7" s="1"/>
  <c r="G931" i="7"/>
  <c r="K933" i="7"/>
  <c r="I932" i="7"/>
  <c r="AG932" i="7" s="1"/>
  <c r="H932" i="7"/>
  <c r="AI932" i="7" s="1"/>
  <c r="M934" i="7"/>
  <c r="N934" i="7" s="1"/>
  <c r="F1211" i="5"/>
  <c r="G1211" i="5"/>
  <c r="K1211" i="5" s="1"/>
  <c r="E1211" i="5"/>
  <c r="D1212" i="5"/>
  <c r="J1212" i="5"/>
  <c r="B1215" i="5"/>
  <c r="I1214" i="5"/>
  <c r="C1213" i="5"/>
  <c r="H1214" i="5"/>
  <c r="F929" i="28"/>
  <c r="G930" i="28"/>
  <c r="H930" i="28" s="1"/>
  <c r="G926" i="27"/>
  <c r="H926" i="27" s="1"/>
  <c r="J926" i="27" s="1"/>
  <c r="L926" i="27" s="1"/>
  <c r="F925" i="27"/>
  <c r="J929" i="13" l="1"/>
  <c r="I929" i="13"/>
  <c r="F927" i="13"/>
  <c r="H928" i="13"/>
  <c r="G928" i="13"/>
  <c r="K932" i="7"/>
  <c r="G930" i="7"/>
  <c r="J932" i="7"/>
  <c r="L932" i="7"/>
  <c r="H931" i="7"/>
  <c r="AI931" i="7" s="1"/>
  <c r="I931" i="7"/>
  <c r="AG931" i="7" s="1"/>
  <c r="M933" i="7"/>
  <c r="N933" i="7" s="1"/>
  <c r="D1213" i="5"/>
  <c r="J1213" i="5"/>
  <c r="E1212" i="5"/>
  <c r="G1212" i="5"/>
  <c r="K1212" i="5" s="1"/>
  <c r="F1212" i="5"/>
  <c r="C1214" i="5"/>
  <c r="I1215" i="5"/>
  <c r="B1216" i="5"/>
  <c r="H1215" i="5"/>
  <c r="G929" i="28"/>
  <c r="H929" i="28" s="1"/>
  <c r="F928" i="28"/>
  <c r="G925" i="27"/>
  <c r="H925" i="27" s="1"/>
  <c r="J925" i="27" s="1"/>
  <c r="L925" i="27" s="1"/>
  <c r="F924" i="27"/>
  <c r="F926" i="13" l="1"/>
  <c r="H927" i="13"/>
  <c r="G927" i="13"/>
  <c r="J928" i="13"/>
  <c r="I928" i="13"/>
  <c r="AH932" i="7"/>
  <c r="J931" i="7"/>
  <c r="L931" i="7"/>
  <c r="G929" i="7"/>
  <c r="K931" i="7"/>
  <c r="H930" i="7"/>
  <c r="I930" i="7"/>
  <c r="AG930" i="7" s="1"/>
  <c r="M932" i="7"/>
  <c r="N932" i="7" s="1"/>
  <c r="I1216" i="5"/>
  <c r="C1215" i="5"/>
  <c r="H1216" i="5"/>
  <c r="D1214" i="5"/>
  <c r="J1214" i="5"/>
  <c r="F1213" i="5"/>
  <c r="G1213" i="5"/>
  <c r="K1213" i="5" s="1"/>
  <c r="E1213" i="5"/>
  <c r="G928" i="28"/>
  <c r="H928" i="28" s="1"/>
  <c r="F927" i="28"/>
  <c r="G924" i="27"/>
  <c r="H924" i="27" s="1"/>
  <c r="J924" i="27" s="1"/>
  <c r="L924" i="27" s="1"/>
  <c r="F923" i="27"/>
  <c r="J927" i="13" l="1"/>
  <c r="I927" i="13"/>
  <c r="F925" i="13"/>
  <c r="H926" i="13"/>
  <c r="G926" i="13"/>
  <c r="K930" i="7"/>
  <c r="AI930" i="7"/>
  <c r="AH931" i="7"/>
  <c r="L930" i="7"/>
  <c r="J930" i="7"/>
  <c r="G928" i="7"/>
  <c r="I929" i="7"/>
  <c r="AG929" i="7" s="1"/>
  <c r="H929" i="7"/>
  <c r="AI929" i="7" s="1"/>
  <c r="M931" i="7"/>
  <c r="N931" i="7" s="1"/>
  <c r="E1214" i="5"/>
  <c r="G1214" i="5"/>
  <c r="K1214" i="5" s="1"/>
  <c r="F1214" i="5"/>
  <c r="D1215" i="5"/>
  <c r="J1215" i="5"/>
  <c r="J1216" i="5"/>
  <c r="F5" i="5"/>
  <c r="E86" i="29" s="1"/>
  <c r="E90" i="29" s="1"/>
  <c r="F926" i="28"/>
  <c r="G927" i="28"/>
  <c r="H927" i="28" s="1"/>
  <c r="G923" i="27"/>
  <c r="H923" i="27" s="1"/>
  <c r="J923" i="27" s="1"/>
  <c r="L923" i="27" s="1"/>
  <c r="F922" i="27"/>
  <c r="H5" i="5" l="1"/>
  <c r="F924" i="13"/>
  <c r="H925" i="13"/>
  <c r="G925" i="13"/>
  <c r="J926" i="13"/>
  <c r="I926" i="13"/>
  <c r="K7" i="29"/>
  <c r="K10" i="29" s="1"/>
  <c r="E95" i="29" s="1"/>
  <c r="AH930" i="7"/>
  <c r="G927" i="7"/>
  <c r="H928" i="7"/>
  <c r="AI928" i="7" s="1"/>
  <c r="I928" i="7"/>
  <c r="AG928" i="7" s="1"/>
  <c r="K929" i="7"/>
  <c r="J929" i="7"/>
  <c r="L929" i="7"/>
  <c r="M930" i="7"/>
  <c r="N930" i="7" s="1"/>
  <c r="E92" i="29"/>
  <c r="E93" i="29" s="1"/>
  <c r="E1215" i="5"/>
  <c r="G1215" i="5"/>
  <c r="K1215" i="5" s="1"/>
  <c r="F1215" i="5"/>
  <c r="G926" i="28"/>
  <c r="H926" i="28" s="1"/>
  <c r="F925" i="28"/>
  <c r="G922" i="27"/>
  <c r="H922" i="27" s="1"/>
  <c r="J922" i="27" s="1"/>
  <c r="L922" i="27" s="1"/>
  <c r="F921" i="27"/>
  <c r="J925" i="13" l="1"/>
  <c r="I925" i="13"/>
  <c r="F923" i="13"/>
  <c r="H924" i="13"/>
  <c r="G924" i="13"/>
  <c r="B10" i="13"/>
  <c r="H438" i="45"/>
  <c r="K161" i="13"/>
  <c r="K137" i="13"/>
  <c r="K108" i="13"/>
  <c r="K189" i="13"/>
  <c r="K188" i="13"/>
  <c r="AH929" i="7"/>
  <c r="L928" i="7"/>
  <c r="J928" i="7"/>
  <c r="K928" i="7"/>
  <c r="M929" i="7"/>
  <c r="N929" i="7" s="1"/>
  <c r="G926" i="7"/>
  <c r="H927" i="7"/>
  <c r="AI927" i="7" s="1"/>
  <c r="I927" i="7"/>
  <c r="AG927" i="7" s="1"/>
  <c r="G925" i="28"/>
  <c r="H925" i="28" s="1"/>
  <c r="F924" i="28"/>
  <c r="K376" i="13"/>
  <c r="K220" i="13"/>
  <c r="G921" i="27"/>
  <c r="H921" i="27" s="1"/>
  <c r="J921" i="27" s="1"/>
  <c r="L921" i="27" s="1"/>
  <c r="F920" i="27"/>
  <c r="K8" i="13" l="1"/>
  <c r="K267" i="13"/>
  <c r="F922" i="13"/>
  <c r="H923" i="13"/>
  <c r="G923" i="13"/>
  <c r="J924" i="13"/>
  <c r="I924" i="13"/>
  <c r="K30" i="13"/>
  <c r="K18" i="13"/>
  <c r="K192" i="13"/>
  <c r="K174" i="13"/>
  <c r="K148" i="13"/>
  <c r="K292" i="13"/>
  <c r="K160" i="13"/>
  <c r="K113" i="13"/>
  <c r="AH928" i="7"/>
  <c r="H926" i="7"/>
  <c r="AI926" i="7" s="1"/>
  <c r="I926" i="7"/>
  <c r="AG926" i="7" s="1"/>
  <c r="G925" i="7"/>
  <c r="J927" i="7"/>
  <c r="L927" i="7"/>
  <c r="K927" i="7"/>
  <c r="M928" i="7"/>
  <c r="N928" i="7" s="1"/>
  <c r="G924" i="28"/>
  <c r="H924" i="28" s="1"/>
  <c r="F923" i="28"/>
  <c r="G920" i="27"/>
  <c r="H920" i="27" s="1"/>
  <c r="J920" i="27" s="1"/>
  <c r="L920" i="27" s="1"/>
  <c r="F919" i="27"/>
  <c r="J923" i="13" l="1"/>
  <c r="I923" i="13"/>
  <c r="F921" i="13"/>
  <c r="H922" i="13"/>
  <c r="G922" i="13"/>
  <c r="K5" i="13"/>
  <c r="E96" i="29" s="1"/>
  <c r="AH927" i="7"/>
  <c r="H925" i="7"/>
  <c r="AI925" i="7" s="1"/>
  <c r="I925" i="7"/>
  <c r="AG925" i="7" s="1"/>
  <c r="G924" i="7"/>
  <c r="M927" i="7"/>
  <c r="N927" i="7" s="1"/>
  <c r="L926" i="7"/>
  <c r="J926" i="7"/>
  <c r="K926" i="7"/>
  <c r="G923" i="28"/>
  <c r="H923" i="28" s="1"/>
  <c r="F922" i="28"/>
  <c r="G919" i="27"/>
  <c r="H919" i="27" s="1"/>
  <c r="J919" i="27" s="1"/>
  <c r="L919" i="27" s="1"/>
  <c r="F918" i="27"/>
  <c r="F920" i="13" l="1"/>
  <c r="H921" i="13"/>
  <c r="G921" i="13"/>
  <c r="J922" i="13"/>
  <c r="I922" i="13"/>
  <c r="AH926" i="7"/>
  <c r="I924" i="7"/>
  <c r="AG924" i="7" s="1"/>
  <c r="H924" i="7"/>
  <c r="AI924" i="7" s="1"/>
  <c r="M926" i="7"/>
  <c r="N926" i="7" s="1"/>
  <c r="G923" i="7"/>
  <c r="L925" i="7"/>
  <c r="J925" i="7"/>
  <c r="K925" i="7"/>
  <c r="G922" i="28"/>
  <c r="H922" i="28" s="1"/>
  <c r="F921" i="28"/>
  <c r="G918" i="27"/>
  <c r="H918" i="27" s="1"/>
  <c r="J918" i="27" s="1"/>
  <c r="L918" i="27" s="1"/>
  <c r="F917" i="27"/>
  <c r="J921" i="13" l="1"/>
  <c r="I921" i="13"/>
  <c r="F919" i="13"/>
  <c r="H920" i="13"/>
  <c r="G920" i="13"/>
  <c r="AH925" i="7"/>
  <c r="M925" i="7"/>
  <c r="N925" i="7" s="1"/>
  <c r="G922" i="7"/>
  <c r="K924" i="7"/>
  <c r="I923" i="7"/>
  <c r="AG923" i="7" s="1"/>
  <c r="H923" i="7"/>
  <c r="AI923" i="7" s="1"/>
  <c r="L924" i="7"/>
  <c r="J924" i="7"/>
  <c r="F920" i="28"/>
  <c r="G921" i="28"/>
  <c r="H921" i="28" s="1"/>
  <c r="G917" i="27"/>
  <c r="H917" i="27" s="1"/>
  <c r="J917" i="27" s="1"/>
  <c r="L917" i="27" s="1"/>
  <c r="F916" i="27"/>
  <c r="J920" i="13" l="1"/>
  <c r="I920" i="13"/>
  <c r="F918" i="13"/>
  <c r="H919" i="13"/>
  <c r="G919" i="13"/>
  <c r="AH924" i="7"/>
  <c r="K923" i="7"/>
  <c r="G921" i="7"/>
  <c r="J923" i="7"/>
  <c r="L923" i="7"/>
  <c r="H922" i="7"/>
  <c r="AI922" i="7" s="1"/>
  <c r="I922" i="7"/>
  <c r="AG922" i="7" s="1"/>
  <c r="M924" i="7"/>
  <c r="N924" i="7" s="1"/>
  <c r="G920" i="28"/>
  <c r="H920" i="28" s="1"/>
  <c r="F919" i="28"/>
  <c r="G916" i="27"/>
  <c r="H916" i="27" s="1"/>
  <c r="J916" i="27" s="1"/>
  <c r="L916" i="27" s="1"/>
  <c r="F915" i="27"/>
  <c r="J919" i="13" l="1"/>
  <c r="I919" i="13"/>
  <c r="F917" i="13"/>
  <c r="H918" i="13"/>
  <c r="G918" i="13"/>
  <c r="AH923" i="7"/>
  <c r="J922" i="7"/>
  <c r="L922" i="7"/>
  <c r="I921" i="7"/>
  <c r="AG921" i="7" s="1"/>
  <c r="H921" i="7"/>
  <c r="AI921" i="7" s="1"/>
  <c r="K922" i="7"/>
  <c r="G920" i="7"/>
  <c r="M923" i="7"/>
  <c r="N923" i="7" s="1"/>
  <c r="G919" i="28"/>
  <c r="H919" i="28" s="1"/>
  <c r="F918" i="28"/>
  <c r="G915" i="27"/>
  <c r="H915" i="27" s="1"/>
  <c r="J915" i="27" s="1"/>
  <c r="L915" i="27" s="1"/>
  <c r="F914" i="27"/>
  <c r="J918" i="13" l="1"/>
  <c r="I918" i="13"/>
  <c r="F916" i="13"/>
  <c r="H917" i="13"/>
  <c r="G917" i="13"/>
  <c r="AH922" i="7"/>
  <c r="H920" i="7"/>
  <c r="AI920" i="7" s="1"/>
  <c r="I920" i="7"/>
  <c r="AG920" i="7" s="1"/>
  <c r="K921" i="7"/>
  <c r="G919" i="7"/>
  <c r="J921" i="7"/>
  <c r="AH921" i="7" s="1"/>
  <c r="L921" i="7"/>
  <c r="M922" i="7"/>
  <c r="N922" i="7" s="1"/>
  <c r="G918" i="28"/>
  <c r="H918" i="28" s="1"/>
  <c r="F917" i="28"/>
  <c r="G914" i="27"/>
  <c r="H914" i="27" s="1"/>
  <c r="J914" i="27" s="1"/>
  <c r="L914" i="27" s="1"/>
  <c r="F913" i="27"/>
  <c r="J917" i="13" l="1"/>
  <c r="I917" i="13"/>
  <c r="F915" i="13"/>
  <c r="H916" i="13"/>
  <c r="G916" i="13"/>
  <c r="G918" i="7"/>
  <c r="H919" i="7"/>
  <c r="AI919" i="7" s="1"/>
  <c r="I919" i="7"/>
  <c r="AG919" i="7" s="1"/>
  <c r="L920" i="7"/>
  <c r="J920" i="7"/>
  <c r="M921" i="7"/>
  <c r="N921" i="7" s="1"/>
  <c r="K920" i="7"/>
  <c r="G917" i="28"/>
  <c r="H917" i="28" s="1"/>
  <c r="F916" i="28"/>
  <c r="G913" i="27"/>
  <c r="H913" i="27" s="1"/>
  <c r="J913" i="27" s="1"/>
  <c r="L913" i="27" s="1"/>
  <c r="F912" i="27"/>
  <c r="J916" i="13" l="1"/>
  <c r="I916" i="13"/>
  <c r="F914" i="13"/>
  <c r="H915" i="13"/>
  <c r="G915" i="13"/>
  <c r="AH920" i="7"/>
  <c r="G917" i="7"/>
  <c r="M920" i="7"/>
  <c r="N920" i="7" s="1"/>
  <c r="H918" i="7"/>
  <c r="AI918" i="7" s="1"/>
  <c r="I918" i="7"/>
  <c r="AG918" i="7" s="1"/>
  <c r="J919" i="7"/>
  <c r="L919" i="7"/>
  <c r="K919" i="7"/>
  <c r="F915" i="28"/>
  <c r="G916" i="28"/>
  <c r="H916" i="28" s="1"/>
  <c r="G912" i="27"/>
  <c r="H912" i="27" s="1"/>
  <c r="J912" i="27" s="1"/>
  <c r="L912" i="27" s="1"/>
  <c r="F911" i="27"/>
  <c r="J915" i="13" l="1"/>
  <c r="I915" i="13"/>
  <c r="F913" i="13"/>
  <c r="H914" i="13"/>
  <c r="G914" i="13"/>
  <c r="AH919" i="7"/>
  <c r="M919" i="7"/>
  <c r="N919" i="7" s="1"/>
  <c r="L918" i="7"/>
  <c r="J918" i="7"/>
  <c r="G916" i="7"/>
  <c r="K918" i="7"/>
  <c r="H917" i="7"/>
  <c r="AI917" i="7" s="1"/>
  <c r="I917" i="7"/>
  <c r="AG917" i="7" s="1"/>
  <c r="F914" i="28"/>
  <c r="G915" i="28"/>
  <c r="H915" i="28" s="1"/>
  <c r="G911" i="27"/>
  <c r="H911" i="27" s="1"/>
  <c r="J911" i="27" s="1"/>
  <c r="L911" i="27" s="1"/>
  <c r="F910" i="27"/>
  <c r="J914" i="13" l="1"/>
  <c r="I914" i="13"/>
  <c r="F912" i="13"/>
  <c r="H913" i="13"/>
  <c r="G913" i="13"/>
  <c r="AH918" i="7"/>
  <c r="M918" i="7"/>
  <c r="N918" i="7" s="1"/>
  <c r="L917" i="7"/>
  <c r="J917" i="7"/>
  <c r="AH917" i="7" s="1"/>
  <c r="G915" i="7"/>
  <c r="K917" i="7"/>
  <c r="H916" i="7"/>
  <c r="AI916" i="7" s="1"/>
  <c r="I916" i="7"/>
  <c r="AG916" i="7" s="1"/>
  <c r="G914" i="28"/>
  <c r="H914" i="28" s="1"/>
  <c r="F913" i="28"/>
  <c r="G910" i="27"/>
  <c r="H910" i="27" s="1"/>
  <c r="J910" i="27" s="1"/>
  <c r="L910" i="27" s="1"/>
  <c r="F909" i="27"/>
  <c r="J913" i="13" l="1"/>
  <c r="I913" i="13"/>
  <c r="F911" i="13"/>
  <c r="H912" i="13"/>
  <c r="G912" i="13"/>
  <c r="L916" i="7"/>
  <c r="J916" i="7"/>
  <c r="M917" i="7"/>
  <c r="N917" i="7" s="1"/>
  <c r="K916" i="7"/>
  <c r="G914" i="7"/>
  <c r="H915" i="7"/>
  <c r="AI915" i="7" s="1"/>
  <c r="I915" i="7"/>
  <c r="AG915" i="7" s="1"/>
  <c r="G913" i="28"/>
  <c r="H913" i="28" s="1"/>
  <c r="F912" i="28"/>
  <c r="G909" i="27"/>
  <c r="H909" i="27" s="1"/>
  <c r="J909" i="27" s="1"/>
  <c r="L909" i="27" s="1"/>
  <c r="F908" i="27"/>
  <c r="J912" i="13" l="1"/>
  <c r="I912" i="13"/>
  <c r="F910" i="13"/>
  <c r="H911" i="13"/>
  <c r="G911" i="13"/>
  <c r="AH916" i="7"/>
  <c r="G913" i="7"/>
  <c r="L915" i="7"/>
  <c r="M915" i="7" s="1"/>
  <c r="J915" i="7"/>
  <c r="AH915" i="7" s="1"/>
  <c r="H914" i="7"/>
  <c r="AI914" i="7" s="1"/>
  <c r="I914" i="7"/>
  <c r="AG914" i="7" s="1"/>
  <c r="K915" i="7"/>
  <c r="M916" i="7"/>
  <c r="N916" i="7" s="1"/>
  <c r="G912" i="28"/>
  <c r="H912" i="28" s="1"/>
  <c r="F911" i="28"/>
  <c r="G908" i="27"/>
  <c r="H908" i="27" s="1"/>
  <c r="J908" i="27" s="1"/>
  <c r="L908" i="27" s="1"/>
  <c r="F907" i="27"/>
  <c r="J911" i="13" l="1"/>
  <c r="I911" i="13"/>
  <c r="F909" i="13"/>
  <c r="H910" i="13"/>
  <c r="G910" i="13"/>
  <c r="N915" i="7"/>
  <c r="L914" i="7"/>
  <c r="J914" i="7"/>
  <c r="I913" i="7"/>
  <c r="AG913" i="7" s="1"/>
  <c r="H913" i="7"/>
  <c r="AI913" i="7" s="1"/>
  <c r="K914" i="7"/>
  <c r="G912" i="7"/>
  <c r="G911" i="28"/>
  <c r="H911" i="28" s="1"/>
  <c r="F910" i="28"/>
  <c r="G907" i="27"/>
  <c r="H907" i="27" s="1"/>
  <c r="J907" i="27" s="1"/>
  <c r="L907" i="27" s="1"/>
  <c r="F906" i="27"/>
  <c r="J910" i="13" l="1"/>
  <c r="I910" i="13"/>
  <c r="F908" i="13"/>
  <c r="H909" i="13"/>
  <c r="G909" i="13"/>
  <c r="AH914" i="7"/>
  <c r="M914" i="7"/>
  <c r="N914" i="7" s="1"/>
  <c r="G911" i="7"/>
  <c r="K913" i="7"/>
  <c r="H912" i="7"/>
  <c r="AI912" i="7" s="1"/>
  <c r="I912" i="7"/>
  <c r="AG912" i="7" s="1"/>
  <c r="L913" i="7"/>
  <c r="M913" i="7" s="1"/>
  <c r="J913" i="7"/>
  <c r="AH913" i="7" s="1"/>
  <c r="F909" i="28"/>
  <c r="G910" i="28"/>
  <c r="H910" i="28" s="1"/>
  <c r="G906" i="27"/>
  <c r="H906" i="27" s="1"/>
  <c r="J906" i="27" s="1"/>
  <c r="L906" i="27" s="1"/>
  <c r="F905" i="27"/>
  <c r="J909" i="13" l="1"/>
  <c r="I909" i="13"/>
  <c r="F907" i="13"/>
  <c r="H908" i="13"/>
  <c r="G908" i="13"/>
  <c r="N913" i="7"/>
  <c r="K912" i="7"/>
  <c r="G910" i="7"/>
  <c r="H911" i="7"/>
  <c r="AI911" i="7" s="1"/>
  <c r="I911" i="7"/>
  <c r="AG911" i="7" s="1"/>
  <c r="J912" i="7"/>
  <c r="L912" i="7"/>
  <c r="G909" i="28"/>
  <c r="H909" i="28" s="1"/>
  <c r="F908" i="28"/>
  <c r="G905" i="27"/>
  <c r="H905" i="27" s="1"/>
  <c r="J905" i="27" s="1"/>
  <c r="L905" i="27" s="1"/>
  <c r="F904" i="27"/>
  <c r="J908" i="13" l="1"/>
  <c r="I908" i="13"/>
  <c r="F906" i="13"/>
  <c r="H907" i="13"/>
  <c r="G907" i="13"/>
  <c r="AH912" i="7"/>
  <c r="L911" i="7"/>
  <c r="J911" i="7"/>
  <c r="H910" i="7"/>
  <c r="AI910" i="7" s="1"/>
  <c r="I910" i="7"/>
  <c r="AG910" i="7" s="1"/>
  <c r="M912" i="7"/>
  <c r="N912" i="7" s="1"/>
  <c r="K911" i="7"/>
  <c r="G909" i="7"/>
  <c r="G908" i="28"/>
  <c r="H908" i="28" s="1"/>
  <c r="F907" i="28"/>
  <c r="G904" i="27"/>
  <c r="H904" i="27" s="1"/>
  <c r="J904" i="27" s="1"/>
  <c r="L904" i="27" s="1"/>
  <c r="F903" i="27"/>
  <c r="J907" i="13" l="1"/>
  <c r="I907" i="13"/>
  <c r="F905" i="13"/>
  <c r="H906" i="13"/>
  <c r="G906" i="13"/>
  <c r="AH911" i="7"/>
  <c r="G908" i="7"/>
  <c r="K910" i="7"/>
  <c r="H909" i="7"/>
  <c r="AI909" i="7" s="1"/>
  <c r="I909" i="7"/>
  <c r="AG909" i="7" s="1"/>
  <c r="L910" i="7"/>
  <c r="J910" i="7"/>
  <c r="M911" i="7"/>
  <c r="N911" i="7" s="1"/>
  <c r="G907" i="28"/>
  <c r="H907" i="28" s="1"/>
  <c r="F906" i="28"/>
  <c r="G903" i="27"/>
  <c r="H903" i="27" s="1"/>
  <c r="J903" i="27" s="1"/>
  <c r="L903" i="27" s="1"/>
  <c r="F902" i="27"/>
  <c r="J906" i="13" l="1"/>
  <c r="I906" i="13"/>
  <c r="F904" i="13"/>
  <c r="H905" i="13"/>
  <c r="G905" i="13"/>
  <c r="AH910" i="7"/>
  <c r="M910" i="7"/>
  <c r="N910" i="7" s="1"/>
  <c r="J909" i="7"/>
  <c r="L909" i="7"/>
  <c r="H908" i="7"/>
  <c r="AI908" i="7" s="1"/>
  <c r="I908" i="7"/>
  <c r="AG908" i="7" s="1"/>
  <c r="K909" i="7"/>
  <c r="G907" i="7"/>
  <c r="G906" i="28"/>
  <c r="H906" i="28" s="1"/>
  <c r="F905" i="28"/>
  <c r="G902" i="27"/>
  <c r="H902" i="27" s="1"/>
  <c r="J902" i="27" s="1"/>
  <c r="L902" i="27" s="1"/>
  <c r="F901" i="27"/>
  <c r="J905" i="13" l="1"/>
  <c r="I905" i="13"/>
  <c r="F903" i="13"/>
  <c r="H904" i="13"/>
  <c r="G904" i="13"/>
  <c r="AH909" i="7"/>
  <c r="H907" i="7"/>
  <c r="AI907" i="7" s="1"/>
  <c r="I907" i="7"/>
  <c r="AG907" i="7" s="1"/>
  <c r="J908" i="7"/>
  <c r="L908" i="7"/>
  <c r="G906" i="7"/>
  <c r="K908" i="7"/>
  <c r="M909" i="7"/>
  <c r="N909" i="7" s="1"/>
  <c r="G905" i="28"/>
  <c r="H905" i="28" s="1"/>
  <c r="F904" i="28"/>
  <c r="G901" i="27"/>
  <c r="H901" i="27" s="1"/>
  <c r="J901" i="27" s="1"/>
  <c r="L901" i="27" s="1"/>
  <c r="F900" i="27"/>
  <c r="J904" i="13" l="1"/>
  <c r="I904" i="13"/>
  <c r="F902" i="13"/>
  <c r="H903" i="13"/>
  <c r="G903" i="13"/>
  <c r="AH908" i="7"/>
  <c r="M908" i="7"/>
  <c r="N908" i="7" s="1"/>
  <c r="G905" i="7"/>
  <c r="L907" i="7"/>
  <c r="J907" i="7"/>
  <c r="H906" i="7"/>
  <c r="AI906" i="7" s="1"/>
  <c r="I906" i="7"/>
  <c r="AG906" i="7" s="1"/>
  <c r="K907" i="7"/>
  <c r="G904" i="28"/>
  <c r="H904" i="28" s="1"/>
  <c r="F903" i="28"/>
  <c r="G900" i="27"/>
  <c r="H900" i="27" s="1"/>
  <c r="J900" i="27" s="1"/>
  <c r="L900" i="27" s="1"/>
  <c r="F899" i="27"/>
  <c r="J903" i="13" l="1"/>
  <c r="I903" i="13"/>
  <c r="F901" i="13"/>
  <c r="H902" i="13"/>
  <c r="G902" i="13"/>
  <c r="AH907" i="7"/>
  <c r="J906" i="7"/>
  <c r="L906" i="7"/>
  <c r="G904" i="7"/>
  <c r="K906" i="7"/>
  <c r="H905" i="7"/>
  <c r="AI905" i="7" s="1"/>
  <c r="I905" i="7"/>
  <c r="AG905" i="7" s="1"/>
  <c r="M907" i="7"/>
  <c r="N907" i="7" s="1"/>
  <c r="F902" i="28"/>
  <c r="G903" i="28"/>
  <c r="H903" i="28" s="1"/>
  <c r="G899" i="27"/>
  <c r="H899" i="27" s="1"/>
  <c r="J899" i="27" s="1"/>
  <c r="L899" i="27" s="1"/>
  <c r="F898" i="27"/>
  <c r="J902" i="13" l="1"/>
  <c r="I902" i="13"/>
  <c r="F900" i="13"/>
  <c r="H901" i="13"/>
  <c r="G901" i="13"/>
  <c r="AH906" i="7"/>
  <c r="L905" i="7"/>
  <c r="M905" i="7" s="1"/>
  <c r="J905" i="7"/>
  <c r="AH905" i="7" s="1"/>
  <c r="I904" i="7"/>
  <c r="AG904" i="7" s="1"/>
  <c r="H904" i="7"/>
  <c r="AI904" i="7" s="1"/>
  <c r="K905" i="7"/>
  <c r="G903" i="7"/>
  <c r="M906" i="7"/>
  <c r="N906" i="7" s="1"/>
  <c r="G902" i="28"/>
  <c r="H902" i="28" s="1"/>
  <c r="F901" i="28"/>
  <c r="G898" i="27"/>
  <c r="H898" i="27" s="1"/>
  <c r="J898" i="27" s="1"/>
  <c r="L898" i="27" s="1"/>
  <c r="F897" i="27"/>
  <c r="J901" i="13" l="1"/>
  <c r="I901" i="13"/>
  <c r="F899" i="13"/>
  <c r="H900" i="13"/>
  <c r="G900" i="13"/>
  <c r="G902" i="7"/>
  <c r="K904" i="7"/>
  <c r="J904" i="7"/>
  <c r="AH904" i="7" s="1"/>
  <c r="L904" i="7"/>
  <c r="N905" i="7"/>
  <c r="H903" i="7"/>
  <c r="AI903" i="7" s="1"/>
  <c r="I903" i="7"/>
  <c r="AG903" i="7" s="1"/>
  <c r="G901" i="28"/>
  <c r="H901" i="28" s="1"/>
  <c r="F900" i="28"/>
  <c r="G897" i="27"/>
  <c r="H897" i="27" s="1"/>
  <c r="J897" i="27" s="1"/>
  <c r="L897" i="27" s="1"/>
  <c r="F896" i="27"/>
  <c r="J900" i="13" l="1"/>
  <c r="I900" i="13"/>
  <c r="F898" i="13"/>
  <c r="H899" i="13"/>
  <c r="G899" i="13"/>
  <c r="M904" i="7"/>
  <c r="N904" i="7" s="1"/>
  <c r="L903" i="7"/>
  <c r="J903" i="7"/>
  <c r="K903" i="7"/>
  <c r="G901" i="7"/>
  <c r="I902" i="7"/>
  <c r="AG902" i="7" s="1"/>
  <c r="H902" i="7"/>
  <c r="G900" i="28"/>
  <c r="H900" i="28" s="1"/>
  <c r="F899" i="28"/>
  <c r="G896" i="27"/>
  <c r="H896" i="27" s="1"/>
  <c r="J896" i="27" s="1"/>
  <c r="L896" i="27" s="1"/>
  <c r="F895" i="27"/>
  <c r="J899" i="13" l="1"/>
  <c r="I899" i="13"/>
  <c r="F897" i="13"/>
  <c r="H898" i="13"/>
  <c r="G898" i="13"/>
  <c r="AH903" i="7"/>
  <c r="K902" i="7"/>
  <c r="AI902" i="7"/>
  <c r="L902" i="7"/>
  <c r="J902" i="7"/>
  <c r="G900" i="7"/>
  <c r="I901" i="7"/>
  <c r="AG901" i="7" s="1"/>
  <c r="H901" i="7"/>
  <c r="AI901" i="7" s="1"/>
  <c r="M903" i="7"/>
  <c r="N903" i="7" s="1"/>
  <c r="F898" i="28"/>
  <c r="G899" i="28"/>
  <c r="H899" i="28" s="1"/>
  <c r="G895" i="27"/>
  <c r="H895" i="27" s="1"/>
  <c r="J895" i="27" s="1"/>
  <c r="L895" i="27" s="1"/>
  <c r="F894" i="27"/>
  <c r="F896" i="13" l="1"/>
  <c r="H897" i="13"/>
  <c r="G897" i="13"/>
  <c r="J898" i="13"/>
  <c r="I898" i="13"/>
  <c r="AH902" i="7"/>
  <c r="G899" i="7"/>
  <c r="I900" i="7"/>
  <c r="AG900" i="7" s="1"/>
  <c r="H900" i="7"/>
  <c r="AI900" i="7" s="1"/>
  <c r="K901" i="7"/>
  <c r="J901" i="7"/>
  <c r="L901" i="7"/>
  <c r="M902" i="7"/>
  <c r="N902" i="7" s="1"/>
  <c r="F897" i="28"/>
  <c r="G898" i="28"/>
  <c r="H898" i="28" s="1"/>
  <c r="G894" i="27"/>
  <c r="H894" i="27" s="1"/>
  <c r="J894" i="27" s="1"/>
  <c r="L894" i="27" s="1"/>
  <c r="F893" i="27"/>
  <c r="J897" i="13" l="1"/>
  <c r="I897" i="13"/>
  <c r="F895" i="13"/>
  <c r="H896" i="13"/>
  <c r="G896" i="13"/>
  <c r="AH901" i="7"/>
  <c r="K900" i="7"/>
  <c r="L900" i="7"/>
  <c r="J900" i="7"/>
  <c r="M901" i="7"/>
  <c r="N901" i="7" s="1"/>
  <c r="H899" i="7"/>
  <c r="AI899" i="7" s="1"/>
  <c r="I899" i="7"/>
  <c r="AG899" i="7" s="1"/>
  <c r="G898" i="7"/>
  <c r="G897" i="28"/>
  <c r="H897" i="28" s="1"/>
  <c r="F896" i="28"/>
  <c r="G893" i="27"/>
  <c r="H893" i="27" s="1"/>
  <c r="J893" i="27" s="1"/>
  <c r="L893" i="27" s="1"/>
  <c r="F892" i="27"/>
  <c r="F894" i="13" l="1"/>
  <c r="H895" i="13"/>
  <c r="G895" i="13"/>
  <c r="J896" i="13"/>
  <c r="I896" i="13"/>
  <c r="AH900" i="7"/>
  <c r="G897" i="7"/>
  <c r="M900" i="7"/>
  <c r="N900" i="7" s="1"/>
  <c r="H898" i="7"/>
  <c r="AI898" i="7" s="1"/>
  <c r="I898" i="7"/>
  <c r="AG898" i="7" s="1"/>
  <c r="L899" i="7"/>
  <c r="J899" i="7"/>
  <c r="K899" i="7"/>
  <c r="G896" i="28"/>
  <c r="H896" i="28" s="1"/>
  <c r="F895" i="28"/>
  <c r="G892" i="27"/>
  <c r="H892" i="27" s="1"/>
  <c r="J892" i="27" s="1"/>
  <c r="L892" i="27" s="1"/>
  <c r="F891" i="27"/>
  <c r="J895" i="13" l="1"/>
  <c r="I895" i="13"/>
  <c r="F893" i="13"/>
  <c r="H894" i="13"/>
  <c r="G894" i="13"/>
  <c r="AH899" i="7"/>
  <c r="M899" i="7"/>
  <c r="N899" i="7" s="1"/>
  <c r="L898" i="7"/>
  <c r="J898" i="7"/>
  <c r="G896" i="7"/>
  <c r="K898" i="7"/>
  <c r="H897" i="7"/>
  <c r="AI897" i="7" s="1"/>
  <c r="I897" i="7"/>
  <c r="AG897" i="7" s="1"/>
  <c r="G895" i="28"/>
  <c r="H895" i="28" s="1"/>
  <c r="F894" i="28"/>
  <c r="G891" i="27"/>
  <c r="H891" i="27" s="1"/>
  <c r="J891" i="27" s="1"/>
  <c r="L891" i="27" s="1"/>
  <c r="F890" i="27"/>
  <c r="F892" i="13" l="1"/>
  <c r="H893" i="13"/>
  <c r="G893" i="13"/>
  <c r="J894" i="13"/>
  <c r="I894" i="13"/>
  <c r="AH898" i="7"/>
  <c r="M898" i="7"/>
  <c r="N898" i="7" s="1"/>
  <c r="L897" i="7"/>
  <c r="J897" i="7"/>
  <c r="G895" i="7"/>
  <c r="K897" i="7"/>
  <c r="H896" i="7"/>
  <c r="AI896" i="7" s="1"/>
  <c r="I896" i="7"/>
  <c r="AG896" i="7" s="1"/>
  <c r="G894" i="28"/>
  <c r="H894" i="28" s="1"/>
  <c r="F893" i="28"/>
  <c r="G890" i="27"/>
  <c r="H890" i="27" s="1"/>
  <c r="J890" i="27" s="1"/>
  <c r="L890" i="27" s="1"/>
  <c r="F889" i="27"/>
  <c r="J893" i="13" l="1"/>
  <c r="I893" i="13"/>
  <c r="F891" i="13"/>
  <c r="H892" i="13"/>
  <c r="G892" i="13"/>
  <c r="AH897" i="7"/>
  <c r="M897" i="7"/>
  <c r="N897" i="7" s="1"/>
  <c r="L896" i="7"/>
  <c r="J896" i="7"/>
  <c r="G894" i="7"/>
  <c r="K896" i="7"/>
  <c r="H895" i="7"/>
  <c r="AI895" i="7" s="1"/>
  <c r="I895" i="7"/>
  <c r="AG895" i="7" s="1"/>
  <c r="G893" i="28"/>
  <c r="H893" i="28" s="1"/>
  <c r="F892" i="28"/>
  <c r="G889" i="27"/>
  <c r="H889" i="27" s="1"/>
  <c r="J889" i="27" s="1"/>
  <c r="L889" i="27" s="1"/>
  <c r="F888" i="27"/>
  <c r="F890" i="13" l="1"/>
  <c r="H891" i="13"/>
  <c r="G891" i="13"/>
  <c r="J892" i="13"/>
  <c r="I892" i="13"/>
  <c r="AH896" i="7"/>
  <c r="M896" i="7"/>
  <c r="N896" i="7" s="1"/>
  <c r="L895" i="7"/>
  <c r="J895" i="7"/>
  <c r="G893" i="7"/>
  <c r="K895" i="7"/>
  <c r="H894" i="7"/>
  <c r="AI894" i="7" s="1"/>
  <c r="I894" i="7"/>
  <c r="AG894" i="7" s="1"/>
  <c r="F891" i="28"/>
  <c r="G892" i="28"/>
  <c r="H892" i="28" s="1"/>
  <c r="G888" i="27"/>
  <c r="H888" i="27" s="1"/>
  <c r="J888" i="27" s="1"/>
  <c r="L888" i="27" s="1"/>
  <c r="F887" i="27"/>
  <c r="J891" i="13" l="1"/>
  <c r="I891" i="13"/>
  <c r="F889" i="13"/>
  <c r="H890" i="13"/>
  <c r="G890" i="13"/>
  <c r="AH895" i="7"/>
  <c r="M895" i="7"/>
  <c r="N895" i="7" s="1"/>
  <c r="L894" i="7"/>
  <c r="J894" i="7"/>
  <c r="G892" i="7"/>
  <c r="K894" i="7"/>
  <c r="I893" i="7"/>
  <c r="AG893" i="7" s="1"/>
  <c r="H893" i="7"/>
  <c r="AI893" i="7" s="1"/>
  <c r="G891" i="28"/>
  <c r="H891" i="28" s="1"/>
  <c r="F890" i="28"/>
  <c r="G887" i="27"/>
  <c r="H887" i="27" s="1"/>
  <c r="J887" i="27" s="1"/>
  <c r="L887" i="27" s="1"/>
  <c r="F886" i="27"/>
  <c r="F888" i="13" l="1"/>
  <c r="H889" i="13"/>
  <c r="G889" i="13"/>
  <c r="J890" i="13"/>
  <c r="I890" i="13"/>
  <c r="AH894" i="7"/>
  <c r="M894" i="7"/>
  <c r="N894" i="7" s="1"/>
  <c r="K893" i="7"/>
  <c r="G891" i="7"/>
  <c r="J893" i="7"/>
  <c r="L893" i="7"/>
  <c r="H892" i="7"/>
  <c r="AI892" i="7" s="1"/>
  <c r="I892" i="7"/>
  <c r="AG892" i="7" s="1"/>
  <c r="G890" i="28"/>
  <c r="H890" i="28" s="1"/>
  <c r="F889" i="28"/>
  <c r="G886" i="27"/>
  <c r="H886" i="27" s="1"/>
  <c r="J886" i="27" s="1"/>
  <c r="L886" i="27" s="1"/>
  <c r="F885" i="27"/>
  <c r="J889" i="13" l="1"/>
  <c r="I889" i="13"/>
  <c r="F887" i="13"/>
  <c r="H888" i="13"/>
  <c r="G888" i="13"/>
  <c r="AH893" i="7"/>
  <c r="M893" i="7"/>
  <c r="N893" i="7" s="1"/>
  <c r="L892" i="7"/>
  <c r="J892" i="7"/>
  <c r="H891" i="7"/>
  <c r="AI891" i="7" s="1"/>
  <c r="I891" i="7"/>
  <c r="AG891" i="7" s="1"/>
  <c r="K892" i="7"/>
  <c r="G890" i="7"/>
  <c r="F888" i="28"/>
  <c r="G889" i="28"/>
  <c r="H889" i="28" s="1"/>
  <c r="G885" i="27"/>
  <c r="H885" i="27" s="1"/>
  <c r="J885" i="27" s="1"/>
  <c r="L885" i="27" s="1"/>
  <c r="F884" i="27"/>
  <c r="J888" i="13" l="1"/>
  <c r="I888" i="13"/>
  <c r="F886" i="13"/>
  <c r="H887" i="13"/>
  <c r="G887" i="13"/>
  <c r="AH892" i="7"/>
  <c r="M892" i="7"/>
  <c r="N892" i="7" s="1"/>
  <c r="G889" i="7"/>
  <c r="L891" i="7"/>
  <c r="J891" i="7"/>
  <c r="H890" i="7"/>
  <c r="AI890" i="7" s="1"/>
  <c r="I890" i="7"/>
  <c r="AG890" i="7" s="1"/>
  <c r="K891" i="7"/>
  <c r="G888" i="28"/>
  <c r="H888" i="28" s="1"/>
  <c r="F887" i="28"/>
  <c r="G884" i="27"/>
  <c r="H884" i="27" s="1"/>
  <c r="J884" i="27" s="1"/>
  <c r="L884" i="27" s="1"/>
  <c r="F883" i="27"/>
  <c r="J887" i="13" l="1"/>
  <c r="I887" i="13"/>
  <c r="F885" i="13"/>
  <c r="H886" i="13"/>
  <c r="G886" i="13"/>
  <c r="AH891" i="7"/>
  <c r="L890" i="7"/>
  <c r="J890" i="7"/>
  <c r="G888" i="7"/>
  <c r="K890" i="7"/>
  <c r="I889" i="7"/>
  <c r="AG889" i="7" s="1"/>
  <c r="H889" i="7"/>
  <c r="AI889" i="7" s="1"/>
  <c r="M891" i="7"/>
  <c r="N891" i="7" s="1"/>
  <c r="G887" i="28"/>
  <c r="H887" i="28" s="1"/>
  <c r="F886" i="28"/>
  <c r="G883" i="27"/>
  <c r="H883" i="27" s="1"/>
  <c r="J883" i="27" s="1"/>
  <c r="L883" i="27" s="1"/>
  <c r="F882" i="27"/>
  <c r="F884" i="13" l="1"/>
  <c r="H885" i="13"/>
  <c r="G885" i="13"/>
  <c r="J886" i="13"/>
  <c r="I886" i="13"/>
  <c r="AH890" i="7"/>
  <c r="K889" i="7"/>
  <c r="G887" i="7"/>
  <c r="L889" i="7"/>
  <c r="J889" i="7"/>
  <c r="I888" i="7"/>
  <c r="AG888" i="7" s="1"/>
  <c r="H888" i="7"/>
  <c r="AI888" i="7" s="1"/>
  <c r="M890" i="7"/>
  <c r="N890" i="7" s="1"/>
  <c r="F885" i="28"/>
  <c r="G886" i="28"/>
  <c r="H886" i="28" s="1"/>
  <c r="G882" i="27"/>
  <c r="H882" i="27" s="1"/>
  <c r="J882" i="27" s="1"/>
  <c r="L882" i="27" s="1"/>
  <c r="F881" i="27"/>
  <c r="J885" i="13" l="1"/>
  <c r="I885" i="13"/>
  <c r="F883" i="13"/>
  <c r="H884" i="13"/>
  <c r="G884" i="13"/>
  <c r="AH889" i="7"/>
  <c r="K888" i="7"/>
  <c r="G886" i="7"/>
  <c r="L888" i="7"/>
  <c r="J888" i="7"/>
  <c r="H887" i="7"/>
  <c r="AI887" i="7" s="1"/>
  <c r="I887" i="7"/>
  <c r="AG887" i="7" s="1"/>
  <c r="M889" i="7"/>
  <c r="N889" i="7" s="1"/>
  <c r="G885" i="28"/>
  <c r="H885" i="28" s="1"/>
  <c r="F884" i="28"/>
  <c r="G881" i="27"/>
  <c r="H881" i="27" s="1"/>
  <c r="J881" i="27" s="1"/>
  <c r="L881" i="27" s="1"/>
  <c r="F880" i="27"/>
  <c r="F882" i="13" l="1"/>
  <c r="H883" i="13"/>
  <c r="G883" i="13"/>
  <c r="J884" i="13"/>
  <c r="I884" i="13"/>
  <c r="AH888" i="7"/>
  <c r="J887" i="7"/>
  <c r="L887" i="7"/>
  <c r="H886" i="7"/>
  <c r="AI886" i="7" s="1"/>
  <c r="I886" i="7"/>
  <c r="AG886" i="7" s="1"/>
  <c r="K887" i="7"/>
  <c r="G885" i="7"/>
  <c r="M888" i="7"/>
  <c r="N888" i="7" s="1"/>
  <c r="G884" i="28"/>
  <c r="H884" i="28" s="1"/>
  <c r="F883" i="28"/>
  <c r="G880" i="27"/>
  <c r="H880" i="27" s="1"/>
  <c r="J880" i="27" s="1"/>
  <c r="L880" i="27" s="1"/>
  <c r="F879" i="27"/>
  <c r="F881" i="13" l="1"/>
  <c r="H882" i="13"/>
  <c r="G882" i="13"/>
  <c r="J883" i="13"/>
  <c r="I883" i="13"/>
  <c r="AH887" i="7"/>
  <c r="I885" i="7"/>
  <c r="AG885" i="7" s="1"/>
  <c r="H885" i="7"/>
  <c r="AI885" i="7" s="1"/>
  <c r="L886" i="7"/>
  <c r="J886" i="7"/>
  <c r="G884" i="7"/>
  <c r="K886" i="7"/>
  <c r="M887" i="7"/>
  <c r="N887" i="7" s="1"/>
  <c r="G883" i="28"/>
  <c r="H883" i="28" s="1"/>
  <c r="F882" i="28"/>
  <c r="G879" i="27"/>
  <c r="H879" i="27" s="1"/>
  <c r="J879" i="27" s="1"/>
  <c r="L879" i="27" s="1"/>
  <c r="F878" i="27"/>
  <c r="F880" i="13" l="1"/>
  <c r="H881" i="13"/>
  <c r="G881" i="13"/>
  <c r="J882" i="13"/>
  <c r="I882" i="13"/>
  <c r="AH886" i="7"/>
  <c r="M886" i="7"/>
  <c r="N886" i="7" s="1"/>
  <c r="H884" i="7"/>
  <c r="AI884" i="7" s="1"/>
  <c r="I884" i="7"/>
  <c r="AG884" i="7" s="1"/>
  <c r="K885" i="7"/>
  <c r="G883" i="7"/>
  <c r="J885" i="7"/>
  <c r="L885" i="7"/>
  <c r="F881" i="28"/>
  <c r="G882" i="28"/>
  <c r="H882" i="28" s="1"/>
  <c r="G878" i="27"/>
  <c r="H878" i="27" s="1"/>
  <c r="J878" i="27" s="1"/>
  <c r="L878" i="27" s="1"/>
  <c r="F877" i="27"/>
  <c r="F879" i="13" l="1"/>
  <c r="H880" i="13"/>
  <c r="G880" i="13"/>
  <c r="J881" i="13"/>
  <c r="I881" i="13"/>
  <c r="AH885" i="7"/>
  <c r="H883" i="7"/>
  <c r="AI883" i="7" s="1"/>
  <c r="I883" i="7"/>
  <c r="AG883" i="7" s="1"/>
  <c r="L884" i="7"/>
  <c r="J884" i="7"/>
  <c r="M885" i="7"/>
  <c r="N885" i="7" s="1"/>
  <c r="K884" i="7"/>
  <c r="G882" i="7"/>
  <c r="F880" i="28"/>
  <c r="G881" i="28"/>
  <c r="H881" i="28" s="1"/>
  <c r="G877" i="27"/>
  <c r="H877" i="27" s="1"/>
  <c r="J877" i="27" s="1"/>
  <c r="L877" i="27" s="1"/>
  <c r="F876" i="27"/>
  <c r="J880" i="13" l="1"/>
  <c r="I880" i="13"/>
  <c r="F878" i="13"/>
  <c r="H879" i="13"/>
  <c r="G879" i="13"/>
  <c r="AH884" i="7"/>
  <c r="G881" i="7"/>
  <c r="M884" i="7"/>
  <c r="N884" i="7" s="1"/>
  <c r="H882" i="7"/>
  <c r="AI882" i="7" s="1"/>
  <c r="I882" i="7"/>
  <c r="AG882" i="7" s="1"/>
  <c r="L883" i="7"/>
  <c r="J883" i="7"/>
  <c r="K883" i="7"/>
  <c r="G880" i="28"/>
  <c r="H880" i="28" s="1"/>
  <c r="F879" i="28"/>
  <c r="G876" i="27"/>
  <c r="H876" i="27" s="1"/>
  <c r="J876" i="27" s="1"/>
  <c r="L876" i="27" s="1"/>
  <c r="F875" i="27"/>
  <c r="J879" i="13" l="1"/>
  <c r="I879" i="13"/>
  <c r="F877" i="13"/>
  <c r="H878" i="13"/>
  <c r="G878" i="13"/>
  <c r="AH883" i="7"/>
  <c r="M883" i="7"/>
  <c r="N883" i="7" s="1"/>
  <c r="L882" i="7"/>
  <c r="M882" i="7" s="1"/>
  <c r="J882" i="7"/>
  <c r="AH882" i="7" s="1"/>
  <c r="G880" i="7"/>
  <c r="K882" i="7"/>
  <c r="I881" i="7"/>
  <c r="AG881" i="7" s="1"/>
  <c r="H881" i="7"/>
  <c r="AI881" i="7" s="1"/>
  <c r="F878" i="28"/>
  <c r="G879" i="28"/>
  <c r="H879" i="28" s="1"/>
  <c r="G875" i="27"/>
  <c r="H875" i="27" s="1"/>
  <c r="J875" i="27" s="1"/>
  <c r="L875" i="27" s="1"/>
  <c r="F874" i="27"/>
  <c r="J878" i="13" l="1"/>
  <c r="I878" i="13"/>
  <c r="F876" i="13"/>
  <c r="H877" i="13"/>
  <c r="G877" i="13"/>
  <c r="N882" i="7"/>
  <c r="K881" i="7"/>
  <c r="J881" i="7"/>
  <c r="L881" i="7"/>
  <c r="G879" i="7"/>
  <c r="H880" i="7"/>
  <c r="AI880" i="7" s="1"/>
  <c r="I880" i="7"/>
  <c r="AG880" i="7" s="1"/>
  <c r="F877" i="28"/>
  <c r="G878" i="28"/>
  <c r="H878" i="28" s="1"/>
  <c r="G874" i="27"/>
  <c r="H874" i="27" s="1"/>
  <c r="J874" i="27" s="1"/>
  <c r="L874" i="27" s="1"/>
  <c r="F873" i="27"/>
  <c r="J877" i="13" l="1"/>
  <c r="I877" i="13"/>
  <c r="F875" i="13"/>
  <c r="H876" i="13"/>
  <c r="G876" i="13"/>
  <c r="AH881" i="7"/>
  <c r="G878" i="7"/>
  <c r="J880" i="7"/>
  <c r="L880" i="7"/>
  <c r="H879" i="7"/>
  <c r="AI879" i="7" s="1"/>
  <c r="I879" i="7"/>
  <c r="AG879" i="7" s="1"/>
  <c r="K880" i="7"/>
  <c r="M881" i="7"/>
  <c r="N881" i="7" s="1"/>
  <c r="G877" i="28"/>
  <c r="H877" i="28" s="1"/>
  <c r="F876" i="28"/>
  <c r="G873" i="27"/>
  <c r="H873" i="27" s="1"/>
  <c r="J873" i="27" s="1"/>
  <c r="L873" i="27" s="1"/>
  <c r="F872" i="27"/>
  <c r="J876" i="13" l="1"/>
  <c r="I876" i="13"/>
  <c r="F874" i="13"/>
  <c r="H875" i="13"/>
  <c r="G875" i="13"/>
  <c r="AH880" i="7"/>
  <c r="L879" i="7"/>
  <c r="J879" i="7"/>
  <c r="K879" i="7"/>
  <c r="G877" i="7"/>
  <c r="M880" i="7"/>
  <c r="N880" i="7" s="1"/>
  <c r="H878" i="7"/>
  <c r="AI878" i="7" s="1"/>
  <c r="I878" i="7"/>
  <c r="AG878" i="7" s="1"/>
  <c r="F875" i="28"/>
  <c r="G876" i="28"/>
  <c r="H876" i="28" s="1"/>
  <c r="G872" i="27"/>
  <c r="H872" i="27" s="1"/>
  <c r="J872" i="27" s="1"/>
  <c r="L872" i="27" s="1"/>
  <c r="F871" i="27"/>
  <c r="J875" i="13" l="1"/>
  <c r="I875" i="13"/>
  <c r="F873" i="13"/>
  <c r="H874" i="13"/>
  <c r="G874" i="13"/>
  <c r="AH879" i="7"/>
  <c r="J878" i="7"/>
  <c r="L878" i="7"/>
  <c r="G876" i="7"/>
  <c r="K878" i="7"/>
  <c r="H877" i="7"/>
  <c r="AI877" i="7" s="1"/>
  <c r="I877" i="7"/>
  <c r="AG877" i="7" s="1"/>
  <c r="M879" i="7"/>
  <c r="N879" i="7" s="1"/>
  <c r="F874" i="28"/>
  <c r="G875" i="28"/>
  <c r="H875" i="28" s="1"/>
  <c r="G871" i="27"/>
  <c r="H871" i="27" s="1"/>
  <c r="J871" i="27" s="1"/>
  <c r="L871" i="27" s="1"/>
  <c r="F870" i="27"/>
  <c r="J874" i="13" l="1"/>
  <c r="I874" i="13"/>
  <c r="F872" i="13"/>
  <c r="H873" i="13"/>
  <c r="G873" i="13"/>
  <c r="AH878" i="7"/>
  <c r="K877" i="7"/>
  <c r="H876" i="7"/>
  <c r="AI876" i="7" s="1"/>
  <c r="I876" i="7"/>
  <c r="AG876" i="7" s="1"/>
  <c r="M878" i="7"/>
  <c r="N878" i="7" s="1"/>
  <c r="L877" i="7"/>
  <c r="J877" i="7"/>
  <c r="G875" i="7"/>
  <c r="G874" i="28"/>
  <c r="H874" i="28" s="1"/>
  <c r="F873" i="28"/>
  <c r="G870" i="27"/>
  <c r="H870" i="27" s="1"/>
  <c r="J870" i="27" s="1"/>
  <c r="L870" i="27" s="1"/>
  <c r="F869" i="27"/>
  <c r="J873" i="13" l="1"/>
  <c r="I873" i="13"/>
  <c r="F871" i="13"/>
  <c r="H872" i="13"/>
  <c r="G872" i="13"/>
  <c r="AH877" i="7"/>
  <c r="L876" i="7"/>
  <c r="J876" i="7"/>
  <c r="M877" i="7"/>
  <c r="N877" i="7" s="1"/>
  <c r="K876" i="7"/>
  <c r="G874" i="7"/>
  <c r="H875" i="7"/>
  <c r="AI875" i="7" s="1"/>
  <c r="I875" i="7"/>
  <c r="AG875" i="7" s="1"/>
  <c r="F872" i="28"/>
  <c r="G873" i="28"/>
  <c r="H873" i="28" s="1"/>
  <c r="G869" i="27"/>
  <c r="H869" i="27" s="1"/>
  <c r="J869" i="27" s="1"/>
  <c r="L869" i="27" s="1"/>
  <c r="F868" i="27"/>
  <c r="J872" i="13" l="1"/>
  <c r="I872" i="13"/>
  <c r="F870" i="13"/>
  <c r="H871" i="13"/>
  <c r="G871" i="13"/>
  <c r="AH876" i="7"/>
  <c r="G873" i="7"/>
  <c r="L875" i="7"/>
  <c r="J875" i="7"/>
  <c r="H874" i="7"/>
  <c r="AI874" i="7" s="1"/>
  <c r="I874" i="7"/>
  <c r="AG874" i="7" s="1"/>
  <c r="K875" i="7"/>
  <c r="M876" i="7"/>
  <c r="N876" i="7" s="1"/>
  <c r="G872" i="28"/>
  <c r="H872" i="28" s="1"/>
  <c r="F871" i="28"/>
  <c r="G868" i="27"/>
  <c r="H868" i="27" s="1"/>
  <c r="J868" i="27" s="1"/>
  <c r="L868" i="27" s="1"/>
  <c r="F867" i="27"/>
  <c r="J871" i="13" l="1"/>
  <c r="I871" i="13"/>
  <c r="F869" i="13"/>
  <c r="H870" i="13"/>
  <c r="G870" i="13"/>
  <c r="AH875" i="7"/>
  <c r="M875" i="7"/>
  <c r="N875" i="7" s="1"/>
  <c r="J874" i="7"/>
  <c r="L874" i="7"/>
  <c r="G872" i="7"/>
  <c r="K874" i="7"/>
  <c r="I873" i="7"/>
  <c r="AG873" i="7" s="1"/>
  <c r="H873" i="7"/>
  <c r="AI873" i="7" s="1"/>
  <c r="F870" i="28"/>
  <c r="G871" i="28"/>
  <c r="H871" i="28" s="1"/>
  <c r="G867" i="27"/>
  <c r="H867" i="27" s="1"/>
  <c r="J867" i="27" s="1"/>
  <c r="L867" i="27" s="1"/>
  <c r="F866" i="27"/>
  <c r="J870" i="13" l="1"/>
  <c r="I870" i="13"/>
  <c r="F868" i="13"/>
  <c r="H869" i="13"/>
  <c r="G869" i="13"/>
  <c r="AH874" i="7"/>
  <c r="M874" i="7"/>
  <c r="N874" i="7" s="1"/>
  <c r="K873" i="7"/>
  <c r="H872" i="7"/>
  <c r="AI872" i="7" s="1"/>
  <c r="I872" i="7"/>
  <c r="AG872" i="7" s="1"/>
  <c r="J873" i="7"/>
  <c r="L873" i="7"/>
  <c r="G871" i="7"/>
  <c r="F869" i="28"/>
  <c r="G870" i="28"/>
  <c r="H870" i="28" s="1"/>
  <c r="G866" i="27"/>
  <c r="H866" i="27" s="1"/>
  <c r="J866" i="27" s="1"/>
  <c r="L866" i="27" s="1"/>
  <c r="F865" i="27"/>
  <c r="J869" i="13" l="1"/>
  <c r="I869" i="13"/>
  <c r="F867" i="13"/>
  <c r="H868" i="13"/>
  <c r="G868" i="13"/>
  <c r="AH873" i="7"/>
  <c r="M873" i="7"/>
  <c r="N873" i="7" s="1"/>
  <c r="G870" i="7"/>
  <c r="L872" i="7"/>
  <c r="J872" i="7"/>
  <c r="H871" i="7"/>
  <c r="AI871" i="7" s="1"/>
  <c r="I871" i="7"/>
  <c r="AG871" i="7" s="1"/>
  <c r="K872" i="7"/>
  <c r="F868" i="28"/>
  <c r="G869" i="28"/>
  <c r="H869" i="28" s="1"/>
  <c r="G865" i="27"/>
  <c r="H865" i="27" s="1"/>
  <c r="J865" i="27" s="1"/>
  <c r="L865" i="27" s="1"/>
  <c r="F864" i="27"/>
  <c r="J868" i="13" l="1"/>
  <c r="I868" i="13"/>
  <c r="F866" i="13"/>
  <c r="H867" i="13"/>
  <c r="G867" i="13"/>
  <c r="AH872" i="7"/>
  <c r="K871" i="7"/>
  <c r="I870" i="7"/>
  <c r="AG870" i="7" s="1"/>
  <c r="H870" i="7"/>
  <c r="AI870" i="7" s="1"/>
  <c r="M872" i="7"/>
  <c r="N872" i="7" s="1"/>
  <c r="J871" i="7"/>
  <c r="L871" i="7"/>
  <c r="G869" i="7"/>
  <c r="F867" i="28"/>
  <c r="G868" i="28"/>
  <c r="H868" i="28" s="1"/>
  <c r="G864" i="27"/>
  <c r="H864" i="27" s="1"/>
  <c r="J864" i="27" s="1"/>
  <c r="L864" i="27" s="1"/>
  <c r="F863" i="27"/>
  <c r="J867" i="13" l="1"/>
  <c r="I867" i="13"/>
  <c r="F865" i="13"/>
  <c r="H866" i="13"/>
  <c r="G866" i="13"/>
  <c r="AH871" i="7"/>
  <c r="M871" i="7"/>
  <c r="N871" i="7" s="1"/>
  <c r="K870" i="7"/>
  <c r="L870" i="7"/>
  <c r="J870" i="7"/>
  <c r="G868" i="7"/>
  <c r="H869" i="7"/>
  <c r="AI869" i="7" s="1"/>
  <c r="I869" i="7"/>
  <c r="AG869" i="7" s="1"/>
  <c r="G867" i="28"/>
  <c r="H867" i="28" s="1"/>
  <c r="F866" i="28"/>
  <c r="G863" i="27"/>
  <c r="H863" i="27" s="1"/>
  <c r="J863" i="27" s="1"/>
  <c r="L863" i="27" s="1"/>
  <c r="F862" i="27"/>
  <c r="J866" i="13" l="1"/>
  <c r="I866" i="13"/>
  <c r="F864" i="13"/>
  <c r="H865" i="13"/>
  <c r="G865" i="13"/>
  <c r="AH870" i="7"/>
  <c r="L869" i="7"/>
  <c r="J869" i="7"/>
  <c r="K869" i="7"/>
  <c r="M870" i="7"/>
  <c r="N870" i="7" s="1"/>
  <c r="G867" i="7"/>
  <c r="H868" i="7"/>
  <c r="AI868" i="7" s="1"/>
  <c r="I868" i="7"/>
  <c r="AG868" i="7" s="1"/>
  <c r="G866" i="28"/>
  <c r="H866" i="28" s="1"/>
  <c r="F865" i="28"/>
  <c r="G862" i="27"/>
  <c r="H862" i="27" s="1"/>
  <c r="J862" i="27" s="1"/>
  <c r="L862" i="27" s="1"/>
  <c r="F861" i="27"/>
  <c r="J865" i="13" l="1"/>
  <c r="I865" i="13"/>
  <c r="F863" i="13"/>
  <c r="H864" i="13"/>
  <c r="G864" i="13"/>
  <c r="AH869" i="7"/>
  <c r="J868" i="7"/>
  <c r="L868" i="7"/>
  <c r="G866" i="7"/>
  <c r="K868" i="7"/>
  <c r="H867" i="7"/>
  <c r="AI867" i="7" s="1"/>
  <c r="I867" i="7"/>
  <c r="AG867" i="7" s="1"/>
  <c r="M869" i="7"/>
  <c r="N869" i="7" s="1"/>
  <c r="F864" i="28"/>
  <c r="G865" i="28"/>
  <c r="H865" i="28" s="1"/>
  <c r="G861" i="27"/>
  <c r="H861" i="27" s="1"/>
  <c r="J861" i="27" s="1"/>
  <c r="L861" i="27" s="1"/>
  <c r="F860" i="27"/>
  <c r="J864" i="13" l="1"/>
  <c r="I864" i="13"/>
  <c r="F862" i="13"/>
  <c r="H863" i="13"/>
  <c r="G863" i="13"/>
  <c r="AH868" i="7"/>
  <c r="K867" i="7"/>
  <c r="G865" i="7"/>
  <c r="H866" i="7"/>
  <c r="AI866" i="7" s="1"/>
  <c r="I866" i="7"/>
  <c r="AG866" i="7" s="1"/>
  <c r="M868" i="7"/>
  <c r="N868" i="7" s="1"/>
  <c r="L867" i="7"/>
  <c r="J867" i="7"/>
  <c r="G864" i="28"/>
  <c r="H864" i="28" s="1"/>
  <c r="F863" i="28"/>
  <c r="G860" i="27"/>
  <c r="H860" i="27" s="1"/>
  <c r="J860" i="27" s="1"/>
  <c r="L860" i="27" s="1"/>
  <c r="F859" i="27"/>
  <c r="F861" i="13" l="1"/>
  <c r="H862" i="13"/>
  <c r="G862" i="13"/>
  <c r="J863" i="13"/>
  <c r="I863" i="13"/>
  <c r="AH867" i="7"/>
  <c r="G864" i="7"/>
  <c r="H865" i="7"/>
  <c r="AI865" i="7" s="1"/>
  <c r="I865" i="7"/>
  <c r="AG865" i="7" s="1"/>
  <c r="L866" i="7"/>
  <c r="J866" i="7"/>
  <c r="AH866" i="7" s="1"/>
  <c r="M867" i="7"/>
  <c r="N867" i="7" s="1"/>
  <c r="K866" i="7"/>
  <c r="F862" i="28"/>
  <c r="G863" i="28"/>
  <c r="H863" i="28" s="1"/>
  <c r="G859" i="27"/>
  <c r="H859" i="27" s="1"/>
  <c r="J859" i="27" s="1"/>
  <c r="L859" i="27" s="1"/>
  <c r="F858" i="27"/>
  <c r="J862" i="13" l="1"/>
  <c r="I862" i="13"/>
  <c r="F860" i="13"/>
  <c r="H861" i="13"/>
  <c r="G861" i="13"/>
  <c r="L865" i="7"/>
  <c r="M865" i="7" s="1"/>
  <c r="J865" i="7"/>
  <c r="AH865" i="7" s="1"/>
  <c r="K865" i="7"/>
  <c r="H864" i="7"/>
  <c r="AI864" i="7" s="1"/>
  <c r="I864" i="7"/>
  <c r="AG864" i="7" s="1"/>
  <c r="M866" i="7"/>
  <c r="N866" i="7" s="1"/>
  <c r="G863" i="7"/>
  <c r="G862" i="28"/>
  <c r="H862" i="28" s="1"/>
  <c r="F861" i="28"/>
  <c r="G858" i="27"/>
  <c r="H858" i="27" s="1"/>
  <c r="J858" i="27" s="1"/>
  <c r="L858" i="27" s="1"/>
  <c r="F857" i="27"/>
  <c r="J861" i="13" l="1"/>
  <c r="I861" i="13"/>
  <c r="F859" i="13"/>
  <c r="H860" i="13"/>
  <c r="G860" i="13"/>
  <c r="H863" i="7"/>
  <c r="AI863" i="7" s="1"/>
  <c r="I863" i="7"/>
  <c r="AG863" i="7" s="1"/>
  <c r="K864" i="7"/>
  <c r="N865" i="7"/>
  <c r="G862" i="7"/>
  <c r="L864" i="7"/>
  <c r="J864" i="7"/>
  <c r="G861" i="28"/>
  <c r="H861" i="28" s="1"/>
  <c r="F860" i="28"/>
  <c r="G857" i="27"/>
  <c r="H857" i="27" s="1"/>
  <c r="J857" i="27" s="1"/>
  <c r="L857" i="27" s="1"/>
  <c r="F856" i="27"/>
  <c r="J860" i="13" l="1"/>
  <c r="I860" i="13"/>
  <c r="F858" i="13"/>
  <c r="H859" i="13"/>
  <c r="G859" i="13"/>
  <c r="AH864" i="7"/>
  <c r="M864" i="7"/>
  <c r="N864" i="7" s="1"/>
  <c r="H862" i="7"/>
  <c r="AI862" i="7" s="1"/>
  <c r="I862" i="7"/>
  <c r="AG862" i="7" s="1"/>
  <c r="G861" i="7"/>
  <c r="J863" i="7"/>
  <c r="L863" i="7"/>
  <c r="K863" i="7"/>
  <c r="F859" i="28"/>
  <c r="G860" i="28"/>
  <c r="H860" i="28" s="1"/>
  <c r="G856" i="27"/>
  <c r="H856" i="27" s="1"/>
  <c r="J856" i="27" s="1"/>
  <c r="L856" i="27" s="1"/>
  <c r="F855" i="27"/>
  <c r="J859" i="13" l="1"/>
  <c r="I859" i="13"/>
  <c r="F857" i="13"/>
  <c r="H858" i="13"/>
  <c r="G858" i="13"/>
  <c r="AH863" i="7"/>
  <c r="K862" i="7"/>
  <c r="G860" i="7"/>
  <c r="H861" i="7"/>
  <c r="AI861" i="7" s="1"/>
  <c r="I861" i="7"/>
  <c r="AG861" i="7" s="1"/>
  <c r="M863" i="7"/>
  <c r="N863" i="7" s="1"/>
  <c r="J862" i="7"/>
  <c r="L862" i="7"/>
  <c r="G859" i="28"/>
  <c r="H859" i="28" s="1"/>
  <c r="F858" i="28"/>
  <c r="G855" i="27"/>
  <c r="H855" i="27" s="1"/>
  <c r="J855" i="27" s="1"/>
  <c r="L855" i="27" s="1"/>
  <c r="F854" i="27"/>
  <c r="J858" i="13" l="1"/>
  <c r="I858" i="13"/>
  <c r="F856" i="13"/>
  <c r="H857" i="13"/>
  <c r="G857" i="13"/>
  <c r="AH862" i="7"/>
  <c r="G859" i="7"/>
  <c r="H860" i="7"/>
  <c r="I860" i="7"/>
  <c r="AG860" i="7" s="1"/>
  <c r="M862" i="7"/>
  <c r="N862" i="7" s="1"/>
  <c r="L861" i="7"/>
  <c r="M861" i="7" s="1"/>
  <c r="J861" i="7"/>
  <c r="K861" i="7"/>
  <c r="F857" i="28"/>
  <c r="G858" i="28"/>
  <c r="H858" i="28" s="1"/>
  <c r="G854" i="27"/>
  <c r="H854" i="27" s="1"/>
  <c r="J854" i="27" s="1"/>
  <c r="L854" i="27" s="1"/>
  <c r="F853" i="27"/>
  <c r="F855" i="13" l="1"/>
  <c r="H856" i="13"/>
  <c r="G856" i="13"/>
  <c r="J857" i="13"/>
  <c r="I857" i="13"/>
  <c r="AH861" i="7"/>
  <c r="K860" i="7"/>
  <c r="AI860" i="7"/>
  <c r="N861" i="7"/>
  <c r="J860" i="7"/>
  <c r="L860" i="7"/>
  <c r="G858" i="7"/>
  <c r="H859" i="7"/>
  <c r="AI859" i="7" s="1"/>
  <c r="I859" i="7"/>
  <c r="AG859" i="7" s="1"/>
  <c r="G857" i="28"/>
  <c r="H857" i="28" s="1"/>
  <c r="F856" i="28"/>
  <c r="G853" i="27"/>
  <c r="H853" i="27" s="1"/>
  <c r="J853" i="27" s="1"/>
  <c r="L853" i="27" s="1"/>
  <c r="F852" i="27"/>
  <c r="J856" i="13" l="1"/>
  <c r="I856" i="13"/>
  <c r="F854" i="13"/>
  <c r="H855" i="13"/>
  <c r="G855" i="13"/>
  <c r="AH860" i="7"/>
  <c r="J859" i="7"/>
  <c r="AH859" i="7" s="1"/>
  <c r="L859" i="7"/>
  <c r="M860" i="7"/>
  <c r="N860" i="7" s="1"/>
  <c r="K859" i="7"/>
  <c r="I858" i="7"/>
  <c r="AG858" i="7" s="1"/>
  <c r="H858" i="7"/>
  <c r="AI858" i="7" s="1"/>
  <c r="G857" i="7"/>
  <c r="G856" i="28"/>
  <c r="H856" i="28" s="1"/>
  <c r="F855" i="28"/>
  <c r="G852" i="27"/>
  <c r="H852" i="27" s="1"/>
  <c r="J852" i="27" s="1"/>
  <c r="L852" i="27" s="1"/>
  <c r="F851" i="27"/>
  <c r="J855" i="13" l="1"/>
  <c r="I855" i="13"/>
  <c r="F853" i="13"/>
  <c r="H854" i="13"/>
  <c r="G854" i="13"/>
  <c r="I857" i="7"/>
  <c r="AG857" i="7" s="1"/>
  <c r="H857" i="7"/>
  <c r="AI857" i="7" s="1"/>
  <c r="K858" i="7"/>
  <c r="J858" i="7"/>
  <c r="L858" i="7"/>
  <c r="M859" i="7"/>
  <c r="N859" i="7" s="1"/>
  <c r="G856" i="7"/>
  <c r="G855" i="28"/>
  <c r="H855" i="28" s="1"/>
  <c r="F854" i="28"/>
  <c r="G851" i="27"/>
  <c r="H851" i="27" s="1"/>
  <c r="J851" i="27" s="1"/>
  <c r="L851" i="27" s="1"/>
  <c r="F850" i="27"/>
  <c r="J854" i="13" l="1"/>
  <c r="I854" i="13"/>
  <c r="F852" i="13"/>
  <c r="H853" i="13"/>
  <c r="G853" i="13"/>
  <c r="AH858" i="7"/>
  <c r="I856" i="7"/>
  <c r="AG856" i="7" s="1"/>
  <c r="H856" i="7"/>
  <c r="AI856" i="7" s="1"/>
  <c r="M858" i="7"/>
  <c r="N858" i="7" s="1"/>
  <c r="G855" i="7"/>
  <c r="K857" i="7"/>
  <c r="L857" i="7"/>
  <c r="J857" i="7"/>
  <c r="G854" i="28"/>
  <c r="H854" i="28" s="1"/>
  <c r="F853" i="28"/>
  <c r="G850" i="27"/>
  <c r="H850" i="27" s="1"/>
  <c r="J850" i="27" s="1"/>
  <c r="L850" i="27" s="1"/>
  <c r="F849" i="27"/>
  <c r="F851" i="13" l="1"/>
  <c r="H852" i="13"/>
  <c r="G852" i="13"/>
  <c r="J853" i="13"/>
  <c r="I853" i="13"/>
  <c r="AH857" i="7"/>
  <c r="G854" i="7"/>
  <c r="K856" i="7"/>
  <c r="M857" i="7"/>
  <c r="N857" i="7" s="1"/>
  <c r="H855" i="7"/>
  <c r="AI855" i="7" s="1"/>
  <c r="I855" i="7"/>
  <c r="AG855" i="7" s="1"/>
  <c r="L856" i="7"/>
  <c r="J856" i="7"/>
  <c r="G853" i="28"/>
  <c r="H853" i="28" s="1"/>
  <c r="F852" i="28"/>
  <c r="G849" i="27"/>
  <c r="H849" i="27" s="1"/>
  <c r="J849" i="27" s="1"/>
  <c r="L849" i="27" s="1"/>
  <c r="F848" i="27"/>
  <c r="J852" i="13" l="1"/>
  <c r="I852" i="13"/>
  <c r="F850" i="13"/>
  <c r="H851" i="13"/>
  <c r="G851" i="13"/>
  <c r="AH856" i="7"/>
  <c r="L855" i="7"/>
  <c r="J855" i="7"/>
  <c r="K855" i="7"/>
  <c r="H854" i="7"/>
  <c r="AI854" i="7" s="1"/>
  <c r="I854" i="7"/>
  <c r="AG854" i="7" s="1"/>
  <c r="M856" i="7"/>
  <c r="N856" i="7" s="1"/>
  <c r="G853" i="7"/>
  <c r="G852" i="28"/>
  <c r="H852" i="28" s="1"/>
  <c r="F851" i="28"/>
  <c r="G848" i="27"/>
  <c r="H848" i="27" s="1"/>
  <c r="J848" i="27" s="1"/>
  <c r="L848" i="27" s="1"/>
  <c r="F847" i="27"/>
  <c r="J851" i="13" l="1"/>
  <c r="I851" i="13"/>
  <c r="F849" i="13"/>
  <c r="H850" i="13"/>
  <c r="G850" i="13"/>
  <c r="AH855" i="7"/>
  <c r="G852" i="7"/>
  <c r="L854" i="7"/>
  <c r="J854" i="7"/>
  <c r="AH854" i="7" s="1"/>
  <c r="H853" i="7"/>
  <c r="I853" i="7"/>
  <c r="AG853" i="7" s="1"/>
  <c r="K854" i="7"/>
  <c r="M855" i="7"/>
  <c r="N855" i="7" s="1"/>
  <c r="G851" i="28"/>
  <c r="H851" i="28" s="1"/>
  <c r="F850" i="28"/>
  <c r="G847" i="27"/>
  <c r="H847" i="27" s="1"/>
  <c r="J847" i="27" s="1"/>
  <c r="L847" i="27" s="1"/>
  <c r="F846" i="27"/>
  <c r="J850" i="13" l="1"/>
  <c r="I850" i="13"/>
  <c r="F848" i="13"/>
  <c r="H849" i="13"/>
  <c r="G849" i="13"/>
  <c r="K853" i="7"/>
  <c r="AI853" i="7"/>
  <c r="M854" i="7"/>
  <c r="N854" i="7" s="1"/>
  <c r="J853" i="7"/>
  <c r="L853" i="7"/>
  <c r="H852" i="7"/>
  <c r="AI852" i="7" s="1"/>
  <c r="I852" i="7"/>
  <c r="AG852" i="7" s="1"/>
  <c r="G851" i="7"/>
  <c r="G850" i="28"/>
  <c r="H850" i="28" s="1"/>
  <c r="F849" i="28"/>
  <c r="G846" i="27"/>
  <c r="H846" i="27" s="1"/>
  <c r="J846" i="27" s="1"/>
  <c r="L846" i="27" s="1"/>
  <c r="F845" i="27"/>
  <c r="J849" i="13" l="1"/>
  <c r="I849" i="13"/>
  <c r="F847" i="13"/>
  <c r="H848" i="13"/>
  <c r="G848" i="13"/>
  <c r="AH853" i="7"/>
  <c r="H851" i="7"/>
  <c r="AI851" i="7" s="1"/>
  <c r="I851" i="7"/>
  <c r="AG851" i="7" s="1"/>
  <c r="M853" i="7"/>
  <c r="N853" i="7" s="1"/>
  <c r="G850" i="7"/>
  <c r="L852" i="7"/>
  <c r="J852" i="7"/>
  <c r="K852" i="7"/>
  <c r="F848" i="28"/>
  <c r="G849" i="28"/>
  <c r="H849" i="28" s="1"/>
  <c r="G845" i="27"/>
  <c r="H845" i="27" s="1"/>
  <c r="J845" i="27" s="1"/>
  <c r="L845" i="27" s="1"/>
  <c r="F844" i="27"/>
  <c r="J848" i="13" l="1"/>
  <c r="I848" i="13"/>
  <c r="F846" i="13"/>
  <c r="H847" i="13"/>
  <c r="G847" i="13"/>
  <c r="AH852" i="7"/>
  <c r="G849" i="7"/>
  <c r="L851" i="7"/>
  <c r="J851" i="7"/>
  <c r="M852" i="7"/>
  <c r="N852" i="7" s="1"/>
  <c r="I850" i="7"/>
  <c r="AG850" i="7" s="1"/>
  <c r="H850" i="7"/>
  <c r="AI850" i="7" s="1"/>
  <c r="K851" i="7"/>
  <c r="F847" i="28"/>
  <c r="G848" i="28"/>
  <c r="H848" i="28" s="1"/>
  <c r="G844" i="27"/>
  <c r="H844" i="27" s="1"/>
  <c r="J844" i="27" s="1"/>
  <c r="L844" i="27" s="1"/>
  <c r="F843" i="27"/>
  <c r="F845" i="13" l="1"/>
  <c r="H846" i="13"/>
  <c r="G846" i="13"/>
  <c r="J847" i="13"/>
  <c r="I847" i="13"/>
  <c r="AH851" i="7"/>
  <c r="L850" i="7"/>
  <c r="J850" i="7"/>
  <c r="M851" i="7"/>
  <c r="N851" i="7" s="1"/>
  <c r="H849" i="7"/>
  <c r="AI849" i="7" s="1"/>
  <c r="I849" i="7"/>
  <c r="AG849" i="7" s="1"/>
  <c r="G848" i="7"/>
  <c r="K850" i="7"/>
  <c r="F846" i="28"/>
  <c r="G847" i="28"/>
  <c r="H847" i="28" s="1"/>
  <c r="G843" i="27"/>
  <c r="H843" i="27" s="1"/>
  <c r="J843" i="27" s="1"/>
  <c r="L843" i="27" s="1"/>
  <c r="F842" i="27"/>
  <c r="J846" i="13" l="1"/>
  <c r="I846" i="13"/>
  <c r="F844" i="13"/>
  <c r="H845" i="13"/>
  <c r="G845" i="13"/>
  <c r="AH850" i="7"/>
  <c r="G847" i="7"/>
  <c r="H848" i="7"/>
  <c r="AI848" i="7" s="1"/>
  <c r="I848" i="7"/>
  <c r="AG848" i="7" s="1"/>
  <c r="L849" i="7"/>
  <c r="J849" i="7"/>
  <c r="K849" i="7"/>
  <c r="M850" i="7"/>
  <c r="N850" i="7" s="1"/>
  <c r="G846" i="28"/>
  <c r="H846" i="28" s="1"/>
  <c r="F845" i="28"/>
  <c r="G842" i="27"/>
  <c r="H842" i="27" s="1"/>
  <c r="J842" i="27" s="1"/>
  <c r="L842" i="27" s="1"/>
  <c r="F841" i="27"/>
  <c r="F843" i="13" l="1"/>
  <c r="H844" i="13"/>
  <c r="G844" i="13"/>
  <c r="J845" i="13"/>
  <c r="I845" i="13"/>
  <c r="AH849" i="7"/>
  <c r="L848" i="7"/>
  <c r="J848" i="7"/>
  <c r="K848" i="7"/>
  <c r="G846" i="7"/>
  <c r="M849" i="7"/>
  <c r="N849" i="7" s="1"/>
  <c r="I847" i="7"/>
  <c r="AG847" i="7" s="1"/>
  <c r="H847" i="7"/>
  <c r="AI847" i="7" s="1"/>
  <c r="F844" i="28"/>
  <c r="G845" i="28"/>
  <c r="H845" i="28" s="1"/>
  <c r="G841" i="27"/>
  <c r="H841" i="27" s="1"/>
  <c r="J841" i="27" s="1"/>
  <c r="L841" i="27" s="1"/>
  <c r="F840" i="27"/>
  <c r="J844" i="13" l="1"/>
  <c r="I844" i="13"/>
  <c r="F842" i="13"/>
  <c r="H843" i="13"/>
  <c r="G843" i="13"/>
  <c r="AH848" i="7"/>
  <c r="K847" i="7"/>
  <c r="H846" i="7"/>
  <c r="AI846" i="7" s="1"/>
  <c r="I846" i="7"/>
  <c r="AG846" i="7" s="1"/>
  <c r="J847" i="7"/>
  <c r="L847" i="7"/>
  <c r="G845" i="7"/>
  <c r="M848" i="7"/>
  <c r="N848" i="7" s="1"/>
  <c r="F843" i="28"/>
  <c r="G844" i="28"/>
  <c r="H844" i="28" s="1"/>
  <c r="G840" i="27"/>
  <c r="H840" i="27" s="1"/>
  <c r="J840" i="27" s="1"/>
  <c r="L840" i="27" s="1"/>
  <c r="F839" i="27"/>
  <c r="J843" i="13" l="1"/>
  <c r="I843" i="13"/>
  <c r="F841" i="13"/>
  <c r="H842" i="13"/>
  <c r="G842" i="13"/>
  <c r="AH847" i="7"/>
  <c r="G844" i="7"/>
  <c r="L846" i="7"/>
  <c r="J846" i="7"/>
  <c r="AH846" i="7" s="1"/>
  <c r="I845" i="7"/>
  <c r="AG845" i="7" s="1"/>
  <c r="H845" i="7"/>
  <c r="AI845" i="7" s="1"/>
  <c r="K846" i="7"/>
  <c r="M847" i="7"/>
  <c r="N847" i="7" s="1"/>
  <c r="G843" i="28"/>
  <c r="H843" i="28" s="1"/>
  <c r="F842" i="28"/>
  <c r="G839" i="27"/>
  <c r="H839" i="27" s="1"/>
  <c r="J839" i="27" s="1"/>
  <c r="L839" i="27" s="1"/>
  <c r="F838" i="27"/>
  <c r="J842" i="13" l="1"/>
  <c r="I842" i="13"/>
  <c r="F840" i="13"/>
  <c r="H841" i="13"/>
  <c r="G841" i="13"/>
  <c r="M846" i="7"/>
  <c r="N846" i="7" s="1"/>
  <c r="K845" i="7"/>
  <c r="G843" i="7"/>
  <c r="J845" i="7"/>
  <c r="L845" i="7"/>
  <c r="H844" i="7"/>
  <c r="AI844" i="7" s="1"/>
  <c r="I844" i="7"/>
  <c r="AG844" i="7" s="1"/>
  <c r="F841" i="28"/>
  <c r="G842" i="28"/>
  <c r="H842" i="28" s="1"/>
  <c r="G838" i="27"/>
  <c r="H838" i="27" s="1"/>
  <c r="J838" i="27" s="1"/>
  <c r="L838" i="27" s="1"/>
  <c r="F837" i="27"/>
  <c r="J841" i="13" l="1"/>
  <c r="I841" i="13"/>
  <c r="F839" i="13"/>
  <c r="H840" i="13"/>
  <c r="G840" i="13"/>
  <c r="AH845" i="7"/>
  <c r="L844" i="7"/>
  <c r="J844" i="7"/>
  <c r="K844" i="7"/>
  <c r="G842" i="7"/>
  <c r="M845" i="7"/>
  <c r="N845" i="7" s="1"/>
  <c r="I843" i="7"/>
  <c r="AG843" i="7" s="1"/>
  <c r="H843" i="7"/>
  <c r="AI843" i="7" s="1"/>
  <c r="F840" i="28"/>
  <c r="G841" i="28"/>
  <c r="H841" i="28" s="1"/>
  <c r="G837" i="27"/>
  <c r="H837" i="27" s="1"/>
  <c r="J837" i="27" s="1"/>
  <c r="L837" i="27" s="1"/>
  <c r="F836" i="27"/>
  <c r="J840" i="13" l="1"/>
  <c r="I840" i="13"/>
  <c r="F838" i="13"/>
  <c r="H839" i="13"/>
  <c r="G839" i="13"/>
  <c r="AH844" i="7"/>
  <c r="G841" i="7"/>
  <c r="K843" i="7"/>
  <c r="J843" i="7"/>
  <c r="AH843" i="7" s="1"/>
  <c r="L843" i="7"/>
  <c r="I842" i="7"/>
  <c r="AG842" i="7" s="1"/>
  <c r="H842" i="7"/>
  <c r="AI842" i="7" s="1"/>
  <c r="M844" i="7"/>
  <c r="N844" i="7" s="1"/>
  <c r="F839" i="28"/>
  <c r="G840" i="28"/>
  <c r="H840" i="28" s="1"/>
  <c r="G836" i="27"/>
  <c r="H836" i="27" s="1"/>
  <c r="J836" i="27" s="1"/>
  <c r="L836" i="27" s="1"/>
  <c r="F835" i="27"/>
  <c r="J839" i="13" l="1"/>
  <c r="I839" i="13"/>
  <c r="F837" i="13"/>
  <c r="H838" i="13"/>
  <c r="G838" i="13"/>
  <c r="L842" i="7"/>
  <c r="J842" i="7"/>
  <c r="M843" i="7"/>
  <c r="N843" i="7" s="1"/>
  <c r="G840" i="7"/>
  <c r="K842" i="7"/>
  <c r="H841" i="7"/>
  <c r="AI841" i="7" s="1"/>
  <c r="I841" i="7"/>
  <c r="AG841" i="7" s="1"/>
  <c r="F838" i="28"/>
  <c r="G839" i="28"/>
  <c r="H839" i="28" s="1"/>
  <c r="G835" i="27"/>
  <c r="H835" i="27" s="1"/>
  <c r="J835" i="27" s="1"/>
  <c r="L835" i="27" s="1"/>
  <c r="F834" i="27"/>
  <c r="J838" i="13" l="1"/>
  <c r="I838" i="13"/>
  <c r="F836" i="13"/>
  <c r="H837" i="13"/>
  <c r="G837" i="13"/>
  <c r="AH842" i="7"/>
  <c r="L841" i="7"/>
  <c r="J841" i="7"/>
  <c r="G839" i="7"/>
  <c r="K841" i="7"/>
  <c r="H840" i="7"/>
  <c r="AI840" i="7" s="1"/>
  <c r="I840" i="7"/>
  <c r="AG840" i="7" s="1"/>
  <c r="M842" i="7"/>
  <c r="N842" i="7" s="1"/>
  <c r="G838" i="28"/>
  <c r="H838" i="28" s="1"/>
  <c r="F837" i="28"/>
  <c r="G834" i="27"/>
  <c r="H834" i="27" s="1"/>
  <c r="J834" i="27" s="1"/>
  <c r="L834" i="27" s="1"/>
  <c r="F833" i="27"/>
  <c r="J837" i="13" l="1"/>
  <c r="I837" i="13"/>
  <c r="F835" i="13"/>
  <c r="H836" i="13"/>
  <c r="G836" i="13"/>
  <c r="AH841" i="7"/>
  <c r="L840" i="7"/>
  <c r="J840" i="7"/>
  <c r="G838" i="7"/>
  <c r="K840" i="7"/>
  <c r="H839" i="7"/>
  <c r="AI839" i="7" s="1"/>
  <c r="I839" i="7"/>
  <c r="AG839" i="7" s="1"/>
  <c r="M841" i="7"/>
  <c r="N841" i="7" s="1"/>
  <c r="G837" i="28"/>
  <c r="H837" i="28" s="1"/>
  <c r="F836" i="28"/>
  <c r="G833" i="27"/>
  <c r="H833" i="27" s="1"/>
  <c r="J833" i="27" s="1"/>
  <c r="L833" i="27" s="1"/>
  <c r="F832" i="27"/>
  <c r="J836" i="13" l="1"/>
  <c r="I836" i="13"/>
  <c r="F834" i="13"/>
  <c r="H835" i="13"/>
  <c r="G835" i="13"/>
  <c r="AH840" i="7"/>
  <c r="L839" i="7"/>
  <c r="J839" i="7"/>
  <c r="H838" i="7"/>
  <c r="AI838" i="7" s="1"/>
  <c r="I838" i="7"/>
  <c r="AG838" i="7" s="1"/>
  <c r="K839" i="7"/>
  <c r="G837" i="7"/>
  <c r="M840" i="7"/>
  <c r="N840" i="7" s="1"/>
  <c r="G836" i="28"/>
  <c r="H836" i="28" s="1"/>
  <c r="F835" i="28"/>
  <c r="G832" i="27"/>
  <c r="H832" i="27" s="1"/>
  <c r="J832" i="27" s="1"/>
  <c r="L832" i="27" s="1"/>
  <c r="F831" i="27"/>
  <c r="J835" i="13" l="1"/>
  <c r="I835" i="13"/>
  <c r="F833" i="13"/>
  <c r="H834" i="13"/>
  <c r="G834" i="13"/>
  <c r="AH839" i="7"/>
  <c r="G836" i="7"/>
  <c r="L838" i="7"/>
  <c r="J838" i="7"/>
  <c r="H837" i="7"/>
  <c r="AI837" i="7" s="1"/>
  <c r="I837" i="7"/>
  <c r="AG837" i="7" s="1"/>
  <c r="K838" i="7"/>
  <c r="M839" i="7"/>
  <c r="N839" i="7" s="1"/>
  <c r="G835" i="28"/>
  <c r="H835" i="28" s="1"/>
  <c r="F834" i="28"/>
  <c r="G831" i="27"/>
  <c r="H831" i="27" s="1"/>
  <c r="J831" i="27" s="1"/>
  <c r="L831" i="27" s="1"/>
  <c r="F830" i="27"/>
  <c r="J834" i="13" l="1"/>
  <c r="I834" i="13"/>
  <c r="F832" i="13"/>
  <c r="H833" i="13"/>
  <c r="G833" i="13"/>
  <c r="AH838" i="7"/>
  <c r="M838" i="7"/>
  <c r="N838" i="7" s="1"/>
  <c r="L837" i="7"/>
  <c r="J837" i="7"/>
  <c r="G835" i="7"/>
  <c r="K837" i="7"/>
  <c r="H836" i="7"/>
  <c r="AI836" i="7" s="1"/>
  <c r="I836" i="7"/>
  <c r="AG836" i="7" s="1"/>
  <c r="F833" i="28"/>
  <c r="G834" i="28"/>
  <c r="H834" i="28" s="1"/>
  <c r="G830" i="27"/>
  <c r="H830" i="27" s="1"/>
  <c r="J830" i="27" s="1"/>
  <c r="L830" i="27" s="1"/>
  <c r="F829" i="27"/>
  <c r="J833" i="13" l="1"/>
  <c r="I833" i="13"/>
  <c r="F831" i="13"/>
  <c r="H832" i="13"/>
  <c r="G832" i="13"/>
  <c r="AH837" i="7"/>
  <c r="M837" i="7"/>
  <c r="N837" i="7" s="1"/>
  <c r="J836" i="7"/>
  <c r="L836" i="7"/>
  <c r="G834" i="7"/>
  <c r="K836" i="7"/>
  <c r="H835" i="7"/>
  <c r="AI835" i="7" s="1"/>
  <c r="I835" i="7"/>
  <c r="AG835" i="7" s="1"/>
  <c r="G833" i="28"/>
  <c r="H833" i="28" s="1"/>
  <c r="F832" i="28"/>
  <c r="G829" i="27"/>
  <c r="H829" i="27" s="1"/>
  <c r="J829" i="27" s="1"/>
  <c r="L829" i="27" s="1"/>
  <c r="F828" i="27"/>
  <c r="J832" i="13" l="1"/>
  <c r="I832" i="13"/>
  <c r="F830" i="13"/>
  <c r="H831" i="13"/>
  <c r="G831" i="13"/>
  <c r="AH836" i="7"/>
  <c r="M836" i="7"/>
  <c r="N836" i="7" s="1"/>
  <c r="J835" i="7"/>
  <c r="L835" i="7"/>
  <c r="G833" i="7"/>
  <c r="K835" i="7"/>
  <c r="H834" i="7"/>
  <c r="I834" i="7"/>
  <c r="AG834" i="7" s="1"/>
  <c r="G832" i="28"/>
  <c r="H832" i="28" s="1"/>
  <c r="F831" i="28"/>
  <c r="G828" i="27"/>
  <c r="H828" i="27" s="1"/>
  <c r="J828" i="27" s="1"/>
  <c r="L828" i="27" s="1"/>
  <c r="F827" i="27"/>
  <c r="J831" i="13" l="1"/>
  <c r="I831" i="13"/>
  <c r="F829" i="13"/>
  <c r="H830" i="13"/>
  <c r="G830" i="13"/>
  <c r="K834" i="7"/>
  <c r="AI834" i="7"/>
  <c r="AH835" i="7"/>
  <c r="M835" i="7"/>
  <c r="N835" i="7" s="1"/>
  <c r="L834" i="7"/>
  <c r="J834" i="7"/>
  <c r="G832" i="7"/>
  <c r="I833" i="7"/>
  <c r="AG833" i="7" s="1"/>
  <c r="H833" i="7"/>
  <c r="AI833" i="7" s="1"/>
  <c r="F830" i="28"/>
  <c r="G831" i="28"/>
  <c r="H831" i="28" s="1"/>
  <c r="G827" i="27"/>
  <c r="H827" i="27" s="1"/>
  <c r="J827" i="27" s="1"/>
  <c r="L827" i="27" s="1"/>
  <c r="F826" i="27"/>
  <c r="J830" i="13" l="1"/>
  <c r="I830" i="13"/>
  <c r="F828" i="13"/>
  <c r="H829" i="13"/>
  <c r="G829" i="13"/>
  <c r="AH834" i="7"/>
  <c r="J833" i="7"/>
  <c r="L833" i="7"/>
  <c r="M834" i="7"/>
  <c r="N834" i="7" s="1"/>
  <c r="G831" i="7"/>
  <c r="K833" i="7"/>
  <c r="H832" i="7"/>
  <c r="AI832" i="7" s="1"/>
  <c r="I832" i="7"/>
  <c r="AG832" i="7" s="1"/>
  <c r="G830" i="28"/>
  <c r="H830" i="28" s="1"/>
  <c r="F829" i="28"/>
  <c r="G826" i="27"/>
  <c r="H826" i="27" s="1"/>
  <c r="J826" i="27" s="1"/>
  <c r="L826" i="27" s="1"/>
  <c r="F825" i="27"/>
  <c r="J829" i="13" l="1"/>
  <c r="I829" i="13"/>
  <c r="F827" i="13"/>
  <c r="H828" i="13"/>
  <c r="G828" i="13"/>
  <c r="AH833" i="7"/>
  <c r="L832" i="7"/>
  <c r="J832" i="7"/>
  <c r="G830" i="7"/>
  <c r="K832" i="7"/>
  <c r="H831" i="7"/>
  <c r="I831" i="7"/>
  <c r="AG831" i="7" s="1"/>
  <c r="M833" i="7"/>
  <c r="N833" i="7" s="1"/>
  <c r="G829" i="28"/>
  <c r="H829" i="28" s="1"/>
  <c r="F828" i="28"/>
  <c r="G825" i="27"/>
  <c r="H825" i="27" s="1"/>
  <c r="J825" i="27" s="1"/>
  <c r="L825" i="27" s="1"/>
  <c r="F824" i="27"/>
  <c r="J828" i="13" l="1"/>
  <c r="I828" i="13"/>
  <c r="F826" i="13"/>
  <c r="H827" i="13"/>
  <c r="G827" i="13"/>
  <c r="K831" i="7"/>
  <c r="AI831" i="7"/>
  <c r="AH832" i="7"/>
  <c r="J831" i="7"/>
  <c r="L831" i="7"/>
  <c r="I830" i="7"/>
  <c r="AG830" i="7" s="1"/>
  <c r="H830" i="7"/>
  <c r="AI830" i="7" s="1"/>
  <c r="G829" i="7"/>
  <c r="M832" i="7"/>
  <c r="N832" i="7" s="1"/>
  <c r="G828" i="28"/>
  <c r="H828" i="28" s="1"/>
  <c r="F827" i="28"/>
  <c r="G824" i="27"/>
  <c r="H824" i="27" s="1"/>
  <c r="J824" i="27" s="1"/>
  <c r="L824" i="27" s="1"/>
  <c r="F823" i="27"/>
  <c r="J827" i="13" l="1"/>
  <c r="I827" i="13"/>
  <c r="F825" i="13"/>
  <c r="H826" i="13"/>
  <c r="G826" i="13"/>
  <c r="AH831" i="7"/>
  <c r="K830" i="7"/>
  <c r="J830" i="7"/>
  <c r="L830" i="7"/>
  <c r="G828" i="7"/>
  <c r="M831" i="7"/>
  <c r="N831" i="7" s="1"/>
  <c r="I829" i="7"/>
  <c r="AG829" i="7" s="1"/>
  <c r="H829" i="7"/>
  <c r="AI829" i="7" s="1"/>
  <c r="G827" i="28"/>
  <c r="H827" i="28" s="1"/>
  <c r="F826" i="28"/>
  <c r="G823" i="27"/>
  <c r="H823" i="27" s="1"/>
  <c r="J823" i="27" s="1"/>
  <c r="L823" i="27" s="1"/>
  <c r="F822" i="27"/>
  <c r="J826" i="13" l="1"/>
  <c r="I826" i="13"/>
  <c r="F824" i="13"/>
  <c r="H825" i="13"/>
  <c r="G825" i="13"/>
  <c r="AH830" i="7"/>
  <c r="M830" i="7"/>
  <c r="N830" i="7" s="1"/>
  <c r="K829" i="7"/>
  <c r="G827" i="7"/>
  <c r="L829" i="7"/>
  <c r="J829" i="7"/>
  <c r="H828" i="7"/>
  <c r="AI828" i="7" s="1"/>
  <c r="I828" i="7"/>
  <c r="AG828" i="7" s="1"/>
  <c r="F825" i="28"/>
  <c r="G826" i="28"/>
  <c r="H826" i="28" s="1"/>
  <c r="G822" i="27"/>
  <c r="H822" i="27" s="1"/>
  <c r="J822" i="27" s="1"/>
  <c r="L822" i="27" s="1"/>
  <c r="F821" i="27"/>
  <c r="J825" i="13" l="1"/>
  <c r="I825" i="13"/>
  <c r="F823" i="13"/>
  <c r="H824" i="13"/>
  <c r="G824" i="13"/>
  <c r="AH829" i="7"/>
  <c r="M829" i="7"/>
  <c r="N829" i="7" s="1"/>
  <c r="L828" i="7"/>
  <c r="J828" i="7"/>
  <c r="K828" i="7"/>
  <c r="G826" i="7"/>
  <c r="I827" i="7"/>
  <c r="AG827" i="7" s="1"/>
  <c r="H827" i="7"/>
  <c r="AI827" i="7" s="1"/>
  <c r="G825" i="28"/>
  <c r="H825" i="28" s="1"/>
  <c r="F824" i="28"/>
  <c r="G821" i="27"/>
  <c r="H821" i="27" s="1"/>
  <c r="J821" i="27" s="1"/>
  <c r="L821" i="27" s="1"/>
  <c r="F820" i="27"/>
  <c r="J824" i="13" l="1"/>
  <c r="I824" i="13"/>
  <c r="F822" i="13"/>
  <c r="H823" i="13"/>
  <c r="G823" i="13"/>
  <c r="AH828" i="7"/>
  <c r="H826" i="7"/>
  <c r="AI826" i="7" s="1"/>
  <c r="I826" i="7"/>
  <c r="AG826" i="7" s="1"/>
  <c r="M828" i="7"/>
  <c r="N828" i="7" s="1"/>
  <c r="K827" i="7"/>
  <c r="L827" i="7"/>
  <c r="J827" i="7"/>
  <c r="G825" i="7"/>
  <c r="G824" i="28"/>
  <c r="H824" i="28" s="1"/>
  <c r="F823" i="28"/>
  <c r="G820" i="27"/>
  <c r="H820" i="27" s="1"/>
  <c r="J820" i="27" s="1"/>
  <c r="L820" i="27" s="1"/>
  <c r="F819" i="27"/>
  <c r="J823" i="13" l="1"/>
  <c r="I823" i="13"/>
  <c r="F821" i="13"/>
  <c r="H822" i="13"/>
  <c r="G822" i="13"/>
  <c r="AH827" i="7"/>
  <c r="M827" i="7"/>
  <c r="N827" i="7" s="1"/>
  <c r="I825" i="7"/>
  <c r="AG825" i="7" s="1"/>
  <c r="H825" i="7"/>
  <c r="AI825" i="7" s="1"/>
  <c r="L826" i="7"/>
  <c r="J826" i="7"/>
  <c r="G824" i="7"/>
  <c r="K826" i="7"/>
  <c r="G823" i="28"/>
  <c r="H823" i="28" s="1"/>
  <c r="F822" i="28"/>
  <c r="G819" i="27"/>
  <c r="H819" i="27" s="1"/>
  <c r="J819" i="27" s="1"/>
  <c r="L819" i="27" s="1"/>
  <c r="F818" i="27"/>
  <c r="J822" i="13" l="1"/>
  <c r="I822" i="13"/>
  <c r="F820" i="13"/>
  <c r="H821" i="13"/>
  <c r="G821" i="13"/>
  <c r="AH826" i="7"/>
  <c r="I824" i="7"/>
  <c r="AG824" i="7" s="1"/>
  <c r="H824" i="7"/>
  <c r="AI824" i="7" s="1"/>
  <c r="K825" i="7"/>
  <c r="J825" i="7"/>
  <c r="L825" i="7"/>
  <c r="M826" i="7"/>
  <c r="N826" i="7" s="1"/>
  <c r="G823" i="7"/>
  <c r="G822" i="28"/>
  <c r="H822" i="28" s="1"/>
  <c r="F821" i="28"/>
  <c r="G818" i="27"/>
  <c r="H818" i="27" s="1"/>
  <c r="J818" i="27" s="1"/>
  <c r="L818" i="27" s="1"/>
  <c r="F817" i="27"/>
  <c r="J821" i="13" l="1"/>
  <c r="I821" i="13"/>
  <c r="F819" i="13"/>
  <c r="H820" i="13"/>
  <c r="G820" i="13"/>
  <c r="AH825" i="7"/>
  <c r="G822" i="7"/>
  <c r="M825" i="7"/>
  <c r="N825" i="7" s="1"/>
  <c r="K824" i="7"/>
  <c r="I823" i="7"/>
  <c r="AG823" i="7" s="1"/>
  <c r="H823" i="7"/>
  <c r="AI823" i="7" s="1"/>
  <c r="J824" i="7"/>
  <c r="L824" i="7"/>
  <c r="G821" i="28"/>
  <c r="H821" i="28" s="1"/>
  <c r="F820" i="28"/>
  <c r="G817" i="27"/>
  <c r="H817" i="27" s="1"/>
  <c r="J817" i="27" s="1"/>
  <c r="L817" i="27" s="1"/>
  <c r="F816" i="27"/>
  <c r="J820" i="13" l="1"/>
  <c r="I820" i="13"/>
  <c r="F818" i="13"/>
  <c r="H819" i="13"/>
  <c r="G819" i="13"/>
  <c r="AH824" i="7"/>
  <c r="J823" i="7"/>
  <c r="L823" i="7"/>
  <c r="M824" i="7"/>
  <c r="N824" i="7" s="1"/>
  <c r="H822" i="7"/>
  <c r="AI822" i="7" s="1"/>
  <c r="I822" i="7"/>
  <c r="AG822" i="7" s="1"/>
  <c r="G821" i="7"/>
  <c r="K823" i="7"/>
  <c r="G820" i="28"/>
  <c r="H820" i="28" s="1"/>
  <c r="F819" i="28"/>
  <c r="G816" i="27"/>
  <c r="H816" i="27" s="1"/>
  <c r="J816" i="27" s="1"/>
  <c r="L816" i="27" s="1"/>
  <c r="F815" i="27"/>
  <c r="J819" i="13" l="1"/>
  <c r="I819" i="13"/>
  <c r="F817" i="13"/>
  <c r="H818" i="13"/>
  <c r="G818" i="13"/>
  <c r="AH823" i="7"/>
  <c r="G820" i="7"/>
  <c r="J822" i="7"/>
  <c r="L822" i="7"/>
  <c r="K822" i="7"/>
  <c r="M823" i="7"/>
  <c r="N823" i="7" s="1"/>
  <c r="H821" i="7"/>
  <c r="AI821" i="7" s="1"/>
  <c r="I821" i="7"/>
  <c r="AG821" i="7" s="1"/>
  <c r="G819" i="28"/>
  <c r="H819" i="28" s="1"/>
  <c r="F818" i="28"/>
  <c r="G815" i="27"/>
  <c r="H815" i="27" s="1"/>
  <c r="J815" i="27" s="1"/>
  <c r="L815" i="27" s="1"/>
  <c r="F814" i="27"/>
  <c r="J818" i="13" l="1"/>
  <c r="I818" i="13"/>
  <c r="F816" i="13"/>
  <c r="H817" i="13"/>
  <c r="G817" i="13"/>
  <c r="AH822" i="7"/>
  <c r="M822" i="7"/>
  <c r="N822" i="7" s="1"/>
  <c r="L821" i="7"/>
  <c r="J821" i="7"/>
  <c r="AH821" i="7" s="1"/>
  <c r="G819" i="7"/>
  <c r="K821" i="7"/>
  <c r="I820" i="7"/>
  <c r="AG820" i="7" s="1"/>
  <c r="H820" i="7"/>
  <c r="AI820" i="7" s="1"/>
  <c r="G818" i="28"/>
  <c r="H818" i="28" s="1"/>
  <c r="F817" i="28"/>
  <c r="G814" i="27"/>
  <c r="H814" i="27" s="1"/>
  <c r="J814" i="27" s="1"/>
  <c r="L814" i="27" s="1"/>
  <c r="F813" i="27"/>
  <c r="J817" i="13" l="1"/>
  <c r="I817" i="13"/>
  <c r="F815" i="13"/>
  <c r="H816" i="13"/>
  <c r="G816" i="13"/>
  <c r="K820" i="7"/>
  <c r="M821" i="7"/>
  <c r="N821" i="7" s="1"/>
  <c r="J820" i="7"/>
  <c r="L820" i="7"/>
  <c r="G818" i="7"/>
  <c r="I819" i="7"/>
  <c r="AG819" i="7" s="1"/>
  <c r="H819" i="7"/>
  <c r="AI819" i="7" s="1"/>
  <c r="F816" i="28"/>
  <c r="G817" i="28"/>
  <c r="H817" i="28" s="1"/>
  <c r="G813" i="27"/>
  <c r="H813" i="27" s="1"/>
  <c r="J813" i="27" s="1"/>
  <c r="L813" i="27" s="1"/>
  <c r="F812" i="27"/>
  <c r="J816" i="13" l="1"/>
  <c r="I816" i="13"/>
  <c r="F814" i="13"/>
  <c r="H815" i="13"/>
  <c r="G815" i="13"/>
  <c r="AH820" i="7"/>
  <c r="H818" i="7"/>
  <c r="AI818" i="7" s="1"/>
  <c r="I818" i="7"/>
  <c r="AG818" i="7" s="1"/>
  <c r="G817" i="7"/>
  <c r="K819" i="7"/>
  <c r="M820" i="7"/>
  <c r="N820" i="7" s="1"/>
  <c r="J819" i="7"/>
  <c r="L819" i="7"/>
  <c r="F815" i="28"/>
  <c r="G816" i="28"/>
  <c r="H816" i="28" s="1"/>
  <c r="G812" i="27"/>
  <c r="H812" i="27" s="1"/>
  <c r="J812" i="27" s="1"/>
  <c r="L812" i="27" s="1"/>
  <c r="F811" i="27"/>
  <c r="J815" i="13" l="1"/>
  <c r="I815" i="13"/>
  <c r="F813" i="13"/>
  <c r="H814" i="13"/>
  <c r="G814" i="13"/>
  <c r="AH819" i="7"/>
  <c r="G816" i="7"/>
  <c r="M819" i="7"/>
  <c r="N819" i="7" s="1"/>
  <c r="H817" i="7"/>
  <c r="AI817" i="7" s="1"/>
  <c r="I817" i="7"/>
  <c r="AG817" i="7" s="1"/>
  <c r="L818" i="7"/>
  <c r="J818" i="7"/>
  <c r="K818" i="7"/>
  <c r="G815" i="28"/>
  <c r="H815" i="28" s="1"/>
  <c r="F814" i="28"/>
  <c r="G811" i="27"/>
  <c r="H811" i="27" s="1"/>
  <c r="J811" i="27" s="1"/>
  <c r="L811" i="27" s="1"/>
  <c r="F810" i="27"/>
  <c r="J814" i="13" l="1"/>
  <c r="I814" i="13"/>
  <c r="F812" i="13"/>
  <c r="H813" i="13"/>
  <c r="G813" i="13"/>
  <c r="AH818" i="7"/>
  <c r="M818" i="7"/>
  <c r="N818" i="7" s="1"/>
  <c r="J817" i="7"/>
  <c r="L817" i="7"/>
  <c r="G815" i="7"/>
  <c r="K817" i="7"/>
  <c r="H816" i="7"/>
  <c r="AI816" i="7" s="1"/>
  <c r="I816" i="7"/>
  <c r="AG816" i="7" s="1"/>
  <c r="G814" i="28"/>
  <c r="H814" i="28" s="1"/>
  <c r="F813" i="28"/>
  <c r="G810" i="27"/>
  <c r="H810" i="27" s="1"/>
  <c r="J810" i="27" s="1"/>
  <c r="L810" i="27" s="1"/>
  <c r="F809" i="27"/>
  <c r="J813" i="13" l="1"/>
  <c r="I813" i="13"/>
  <c r="F811" i="13"/>
  <c r="H812" i="13"/>
  <c r="G812" i="13"/>
  <c r="AH817" i="7"/>
  <c r="M817" i="7"/>
  <c r="N817" i="7" s="1"/>
  <c r="J816" i="7"/>
  <c r="L816" i="7"/>
  <c r="H815" i="7"/>
  <c r="AI815" i="7" s="1"/>
  <c r="I815" i="7"/>
  <c r="AG815" i="7" s="1"/>
  <c r="K816" i="7"/>
  <c r="G814" i="7"/>
  <c r="G813" i="28"/>
  <c r="H813" i="28" s="1"/>
  <c r="F812" i="28"/>
  <c r="G809" i="27"/>
  <c r="H809" i="27" s="1"/>
  <c r="J809" i="27" s="1"/>
  <c r="L809" i="27" s="1"/>
  <c r="F808" i="27"/>
  <c r="J812" i="13" l="1"/>
  <c r="I812" i="13"/>
  <c r="F810" i="13"/>
  <c r="H811" i="13"/>
  <c r="G811" i="13"/>
  <c r="AH816" i="7"/>
  <c r="M816" i="7"/>
  <c r="N816" i="7" s="1"/>
  <c r="G813" i="7"/>
  <c r="H814" i="7"/>
  <c r="AI814" i="7" s="1"/>
  <c r="I814" i="7"/>
  <c r="AG814" i="7" s="1"/>
  <c r="J815" i="7"/>
  <c r="L815" i="7"/>
  <c r="K815" i="7"/>
  <c r="G812" i="28"/>
  <c r="H812" i="28" s="1"/>
  <c r="F811" i="28"/>
  <c r="G808" i="27"/>
  <c r="H808" i="27" s="1"/>
  <c r="J808" i="27" s="1"/>
  <c r="L808" i="27" s="1"/>
  <c r="F807" i="27"/>
  <c r="J811" i="13" l="1"/>
  <c r="I811" i="13"/>
  <c r="F809" i="13"/>
  <c r="H810" i="13"/>
  <c r="G810" i="13"/>
  <c r="AH815" i="7"/>
  <c r="M815" i="7"/>
  <c r="N815" i="7" s="1"/>
  <c r="G812" i="7"/>
  <c r="I813" i="7"/>
  <c r="AG813" i="7" s="1"/>
  <c r="H813" i="7"/>
  <c r="AI813" i="7" s="1"/>
  <c r="J814" i="7"/>
  <c r="L814" i="7"/>
  <c r="K814" i="7"/>
  <c r="G811" i="28"/>
  <c r="H811" i="28" s="1"/>
  <c r="F810" i="28"/>
  <c r="G807" i="27"/>
  <c r="H807" i="27" s="1"/>
  <c r="J807" i="27" s="1"/>
  <c r="L807" i="27" s="1"/>
  <c r="F806" i="27"/>
  <c r="J810" i="13" l="1"/>
  <c r="I810" i="13"/>
  <c r="F808" i="13"/>
  <c r="H809" i="13"/>
  <c r="G809" i="13"/>
  <c r="AH814" i="7"/>
  <c r="H812" i="7"/>
  <c r="AI812" i="7" s="1"/>
  <c r="I812" i="7"/>
  <c r="AG812" i="7" s="1"/>
  <c r="G811" i="7"/>
  <c r="K813" i="7"/>
  <c r="M814" i="7"/>
  <c r="N814" i="7" s="1"/>
  <c r="L813" i="7"/>
  <c r="J813" i="7"/>
  <c r="G810" i="28"/>
  <c r="H810" i="28" s="1"/>
  <c r="F809" i="28"/>
  <c r="G806" i="27"/>
  <c r="H806" i="27" s="1"/>
  <c r="J806" i="27" s="1"/>
  <c r="L806" i="27" s="1"/>
  <c r="F805" i="27"/>
  <c r="J809" i="13" l="1"/>
  <c r="I809" i="13"/>
  <c r="F807" i="13"/>
  <c r="H808" i="13"/>
  <c r="G808" i="13"/>
  <c r="AH813" i="7"/>
  <c r="G810" i="7"/>
  <c r="H811" i="7"/>
  <c r="AI811" i="7" s="1"/>
  <c r="I811" i="7"/>
  <c r="AG811" i="7" s="1"/>
  <c r="J812" i="7"/>
  <c r="L812" i="7"/>
  <c r="M813" i="7"/>
  <c r="N813" i="7" s="1"/>
  <c r="K812" i="7"/>
  <c r="F808" i="28"/>
  <c r="G809" i="28"/>
  <c r="H809" i="28" s="1"/>
  <c r="G805" i="27"/>
  <c r="H805" i="27" s="1"/>
  <c r="J805" i="27" s="1"/>
  <c r="L805" i="27" s="1"/>
  <c r="F804" i="27"/>
  <c r="J808" i="13" l="1"/>
  <c r="I808" i="13"/>
  <c r="F806" i="13"/>
  <c r="H807" i="13"/>
  <c r="G807" i="13"/>
  <c r="AH812" i="7"/>
  <c r="J811" i="7"/>
  <c r="L811" i="7"/>
  <c r="M812" i="7"/>
  <c r="N812" i="7" s="1"/>
  <c r="K811" i="7"/>
  <c r="G809" i="7"/>
  <c r="I810" i="7"/>
  <c r="AG810" i="7" s="1"/>
  <c r="H810" i="7"/>
  <c r="AI810" i="7" s="1"/>
  <c r="F807" i="28"/>
  <c r="G808" i="28"/>
  <c r="H808" i="28" s="1"/>
  <c r="G804" i="27"/>
  <c r="H804" i="27" s="1"/>
  <c r="J804" i="27" s="1"/>
  <c r="L804" i="27" s="1"/>
  <c r="F803" i="27"/>
  <c r="J807" i="13" l="1"/>
  <c r="I807" i="13"/>
  <c r="F805" i="13"/>
  <c r="H806" i="13"/>
  <c r="G806" i="13"/>
  <c r="AH811" i="7"/>
  <c r="H809" i="7"/>
  <c r="AI809" i="7" s="1"/>
  <c r="I809" i="7"/>
  <c r="AG809" i="7" s="1"/>
  <c r="K810" i="7"/>
  <c r="J810" i="7"/>
  <c r="L810" i="7"/>
  <c r="M811" i="7"/>
  <c r="N811" i="7" s="1"/>
  <c r="G808" i="7"/>
  <c r="F806" i="28"/>
  <c r="G807" i="28"/>
  <c r="H807" i="28" s="1"/>
  <c r="G803" i="27"/>
  <c r="H803" i="27" s="1"/>
  <c r="J803" i="27" s="1"/>
  <c r="L803" i="27" s="1"/>
  <c r="F802" i="27"/>
  <c r="J806" i="13" l="1"/>
  <c r="I806" i="13"/>
  <c r="F804" i="13"/>
  <c r="H805" i="13"/>
  <c r="G805" i="13"/>
  <c r="AH810" i="7"/>
  <c r="H808" i="7"/>
  <c r="AI808" i="7" s="1"/>
  <c r="I808" i="7"/>
  <c r="AG808" i="7" s="1"/>
  <c r="M810" i="7"/>
  <c r="N810" i="7" s="1"/>
  <c r="L809" i="7"/>
  <c r="J809" i="7"/>
  <c r="AH809" i="7" s="1"/>
  <c r="G807" i="7"/>
  <c r="K809" i="7"/>
  <c r="G806" i="28"/>
  <c r="H806" i="28" s="1"/>
  <c r="F805" i="28"/>
  <c r="G802" i="27"/>
  <c r="H802" i="27" s="1"/>
  <c r="J802" i="27" s="1"/>
  <c r="L802" i="27" s="1"/>
  <c r="F801" i="27"/>
  <c r="J805" i="13" l="1"/>
  <c r="I805" i="13"/>
  <c r="F803" i="13"/>
  <c r="H804" i="13"/>
  <c r="G804" i="13"/>
  <c r="H807" i="7"/>
  <c r="AI807" i="7" s="1"/>
  <c r="I807" i="7"/>
  <c r="AG807" i="7" s="1"/>
  <c r="L808" i="7"/>
  <c r="M808" i="7" s="1"/>
  <c r="J808" i="7"/>
  <c r="M809" i="7"/>
  <c r="N809" i="7" s="1"/>
  <c r="K808" i="7"/>
  <c r="G806" i="7"/>
  <c r="F804" i="28"/>
  <c r="G805" i="28"/>
  <c r="H805" i="28" s="1"/>
  <c r="G801" i="27"/>
  <c r="H801" i="27" s="1"/>
  <c r="J801" i="27" s="1"/>
  <c r="L801" i="27" s="1"/>
  <c r="F800" i="27"/>
  <c r="J804" i="13" l="1"/>
  <c r="I804" i="13"/>
  <c r="F802" i="13"/>
  <c r="H803" i="13"/>
  <c r="G803" i="13"/>
  <c r="AH808" i="7"/>
  <c r="N808" i="7"/>
  <c r="G805" i="7"/>
  <c r="H806" i="7"/>
  <c r="AI806" i="7" s="1"/>
  <c r="I806" i="7"/>
  <c r="AG806" i="7" s="1"/>
  <c r="J807" i="7"/>
  <c r="AH807" i="7" s="1"/>
  <c r="L807" i="7"/>
  <c r="K807" i="7"/>
  <c r="F803" i="28"/>
  <c r="G804" i="28"/>
  <c r="H804" i="28" s="1"/>
  <c r="G800" i="27"/>
  <c r="H800" i="27" s="1"/>
  <c r="J800" i="27" s="1"/>
  <c r="L800" i="27" s="1"/>
  <c r="F799" i="27"/>
  <c r="J803" i="13" l="1"/>
  <c r="I803" i="13"/>
  <c r="F801" i="13"/>
  <c r="H802" i="13"/>
  <c r="G802" i="13"/>
  <c r="K806" i="7"/>
  <c r="M807" i="7"/>
  <c r="N807" i="7" s="1"/>
  <c r="G804" i="7"/>
  <c r="I805" i="7"/>
  <c r="AG805" i="7" s="1"/>
  <c r="H805" i="7"/>
  <c r="AI805" i="7" s="1"/>
  <c r="L806" i="7"/>
  <c r="J806" i="7"/>
  <c r="F802" i="28"/>
  <c r="G803" i="28"/>
  <c r="H803" i="28" s="1"/>
  <c r="G799" i="27"/>
  <c r="H799" i="27" s="1"/>
  <c r="J799" i="27" s="1"/>
  <c r="L799" i="27" s="1"/>
  <c r="F798" i="27"/>
  <c r="J802" i="13" l="1"/>
  <c r="I802" i="13"/>
  <c r="F800" i="13"/>
  <c r="H801" i="13"/>
  <c r="G801" i="13"/>
  <c r="AH806" i="7"/>
  <c r="L805" i="7"/>
  <c r="J805" i="7"/>
  <c r="H804" i="7"/>
  <c r="AI804" i="7" s="1"/>
  <c r="I804" i="7"/>
  <c r="AG804" i="7" s="1"/>
  <c r="M806" i="7"/>
  <c r="N806" i="7" s="1"/>
  <c r="G803" i="7"/>
  <c r="K805" i="7"/>
  <c r="G802" i="28"/>
  <c r="H802" i="28" s="1"/>
  <c r="F801" i="28"/>
  <c r="G798" i="27"/>
  <c r="H798" i="27" s="1"/>
  <c r="J798" i="27" s="1"/>
  <c r="L798" i="27" s="1"/>
  <c r="F797" i="27"/>
  <c r="J801" i="13" l="1"/>
  <c r="I801" i="13"/>
  <c r="F799" i="13"/>
  <c r="H800" i="13"/>
  <c r="G800" i="13"/>
  <c r="AH805" i="7"/>
  <c r="H803" i="7"/>
  <c r="AI803" i="7" s="1"/>
  <c r="I803" i="7"/>
  <c r="AG803" i="7" s="1"/>
  <c r="J804" i="7"/>
  <c r="L804" i="7"/>
  <c r="K804" i="7"/>
  <c r="G802" i="7"/>
  <c r="M805" i="7"/>
  <c r="N805" i="7" s="1"/>
  <c r="F800" i="28"/>
  <c r="G801" i="28"/>
  <c r="H801" i="28" s="1"/>
  <c r="G797" i="27"/>
  <c r="H797" i="27" s="1"/>
  <c r="J797" i="27" s="1"/>
  <c r="L797" i="27" s="1"/>
  <c r="F796" i="27"/>
  <c r="J800" i="13" l="1"/>
  <c r="I800" i="13"/>
  <c r="F798" i="13"/>
  <c r="H799" i="13"/>
  <c r="G799" i="13"/>
  <c r="AH804" i="7"/>
  <c r="G801" i="7"/>
  <c r="M804" i="7"/>
  <c r="N804" i="7" s="1"/>
  <c r="H802" i="7"/>
  <c r="AI802" i="7" s="1"/>
  <c r="I802" i="7"/>
  <c r="AG802" i="7" s="1"/>
  <c r="L803" i="7"/>
  <c r="J803" i="7"/>
  <c r="K803" i="7"/>
  <c r="G800" i="28"/>
  <c r="H800" i="28" s="1"/>
  <c r="F799" i="28"/>
  <c r="G796" i="27"/>
  <c r="H796" i="27" s="1"/>
  <c r="J796" i="27" s="1"/>
  <c r="L796" i="27" s="1"/>
  <c r="F795" i="27"/>
  <c r="J799" i="13" l="1"/>
  <c r="I799" i="13"/>
  <c r="F797" i="13"/>
  <c r="H798" i="13"/>
  <c r="G798" i="13"/>
  <c r="AH803" i="7"/>
  <c r="M803" i="7"/>
  <c r="N803" i="7" s="1"/>
  <c r="J802" i="7"/>
  <c r="L802" i="7"/>
  <c r="H801" i="7"/>
  <c r="AI801" i="7" s="1"/>
  <c r="I801" i="7"/>
  <c r="AG801" i="7" s="1"/>
  <c r="K802" i="7"/>
  <c r="G800" i="7"/>
  <c r="G799" i="28"/>
  <c r="H799" i="28" s="1"/>
  <c r="F798" i="28"/>
  <c r="G795" i="27"/>
  <c r="H795" i="27" s="1"/>
  <c r="J795" i="27" s="1"/>
  <c r="L795" i="27" s="1"/>
  <c r="F794" i="27"/>
  <c r="J798" i="13" l="1"/>
  <c r="I798" i="13"/>
  <c r="F796" i="13"/>
  <c r="H797" i="13"/>
  <c r="G797" i="13"/>
  <c r="AH802" i="7"/>
  <c r="G799" i="7"/>
  <c r="H800" i="7"/>
  <c r="AI800" i="7" s="1"/>
  <c r="I800" i="7"/>
  <c r="AG800" i="7" s="1"/>
  <c r="L801" i="7"/>
  <c r="J801" i="7"/>
  <c r="K801" i="7"/>
  <c r="M802" i="7"/>
  <c r="N802" i="7" s="1"/>
  <c r="G798" i="28"/>
  <c r="H798" i="28" s="1"/>
  <c r="F797" i="28"/>
  <c r="G794" i="27"/>
  <c r="H794" i="27" s="1"/>
  <c r="J794" i="27" s="1"/>
  <c r="L794" i="27" s="1"/>
  <c r="F793" i="27"/>
  <c r="J797" i="13" l="1"/>
  <c r="I797" i="13"/>
  <c r="F795" i="13"/>
  <c r="H796" i="13"/>
  <c r="G796" i="13"/>
  <c r="AH801" i="7"/>
  <c r="J800" i="7"/>
  <c r="L800" i="7"/>
  <c r="K800" i="7"/>
  <c r="H799" i="7"/>
  <c r="AI799" i="7" s="1"/>
  <c r="I799" i="7"/>
  <c r="AG799" i="7" s="1"/>
  <c r="M801" i="7"/>
  <c r="N801" i="7" s="1"/>
  <c r="G798" i="7"/>
  <c r="F796" i="28"/>
  <c r="G797" i="28"/>
  <c r="H797" i="28" s="1"/>
  <c r="G793" i="27"/>
  <c r="H793" i="27" s="1"/>
  <c r="J793" i="27" s="1"/>
  <c r="L793" i="27" s="1"/>
  <c r="F792" i="27"/>
  <c r="J796" i="13" l="1"/>
  <c r="I796" i="13"/>
  <c r="F794" i="13"/>
  <c r="H795" i="13"/>
  <c r="G795" i="13"/>
  <c r="AH800" i="7"/>
  <c r="H798" i="7"/>
  <c r="AI798" i="7" s="1"/>
  <c r="I798" i="7"/>
  <c r="AG798" i="7" s="1"/>
  <c r="J799" i="7"/>
  <c r="L799" i="7"/>
  <c r="M800" i="7"/>
  <c r="N800" i="7" s="1"/>
  <c r="G797" i="7"/>
  <c r="K799" i="7"/>
  <c r="G796" i="28"/>
  <c r="H796" i="28" s="1"/>
  <c r="F795" i="28"/>
  <c r="G792" i="27"/>
  <c r="H792" i="27" s="1"/>
  <c r="J792" i="27" s="1"/>
  <c r="L792" i="27" s="1"/>
  <c r="F791" i="27"/>
  <c r="J795" i="13" l="1"/>
  <c r="I795" i="13"/>
  <c r="F793" i="13"/>
  <c r="H794" i="13"/>
  <c r="G794" i="13"/>
  <c r="AH799" i="7"/>
  <c r="G796" i="7"/>
  <c r="M799" i="7"/>
  <c r="N799" i="7" s="1"/>
  <c r="H797" i="7"/>
  <c r="AI797" i="7" s="1"/>
  <c r="I797" i="7"/>
  <c r="AG797" i="7" s="1"/>
  <c r="L798" i="7"/>
  <c r="J798" i="7"/>
  <c r="K798" i="7"/>
  <c r="F794" i="28"/>
  <c r="G795" i="28"/>
  <c r="H795" i="28" s="1"/>
  <c r="G791" i="27"/>
  <c r="H791" i="27" s="1"/>
  <c r="J791" i="27" s="1"/>
  <c r="L791" i="27" s="1"/>
  <c r="F790" i="27"/>
  <c r="J794" i="13" l="1"/>
  <c r="I794" i="13"/>
  <c r="F792" i="13"/>
  <c r="H793" i="13"/>
  <c r="G793" i="13"/>
  <c r="AH798" i="7"/>
  <c r="M798" i="7"/>
  <c r="N798" i="7" s="1"/>
  <c r="J797" i="7"/>
  <c r="L797" i="7"/>
  <c r="G795" i="7"/>
  <c r="K797" i="7"/>
  <c r="H796" i="7"/>
  <c r="AI796" i="7" s="1"/>
  <c r="I796" i="7"/>
  <c r="AG796" i="7" s="1"/>
  <c r="G794" i="28"/>
  <c r="H794" i="28" s="1"/>
  <c r="F793" i="28"/>
  <c r="G790" i="27"/>
  <c r="H790" i="27" s="1"/>
  <c r="J790" i="27" s="1"/>
  <c r="L790" i="27" s="1"/>
  <c r="F789" i="27"/>
  <c r="J793" i="13" l="1"/>
  <c r="I793" i="13"/>
  <c r="F791" i="13"/>
  <c r="H792" i="13"/>
  <c r="G792" i="13"/>
  <c r="AH797" i="7"/>
  <c r="M797" i="7"/>
  <c r="N797" i="7" s="1"/>
  <c r="L796" i="7"/>
  <c r="J796" i="7"/>
  <c r="AH796" i="7" s="1"/>
  <c r="H795" i="7"/>
  <c r="AI795" i="7" s="1"/>
  <c r="I795" i="7"/>
  <c r="AG795" i="7" s="1"/>
  <c r="K796" i="7"/>
  <c r="G794" i="7"/>
  <c r="G793" i="28"/>
  <c r="H793" i="28" s="1"/>
  <c r="F792" i="28"/>
  <c r="G789" i="27"/>
  <c r="H789" i="27" s="1"/>
  <c r="J789" i="27" s="1"/>
  <c r="L789" i="27" s="1"/>
  <c r="F788" i="27"/>
  <c r="J792" i="13" l="1"/>
  <c r="I792" i="13"/>
  <c r="F790" i="13"/>
  <c r="H791" i="13"/>
  <c r="G791" i="13"/>
  <c r="G793" i="7"/>
  <c r="M796" i="7"/>
  <c r="N796" i="7" s="1"/>
  <c r="I794" i="7"/>
  <c r="AG794" i="7" s="1"/>
  <c r="H794" i="7"/>
  <c r="J795" i="7"/>
  <c r="L795" i="7"/>
  <c r="K795" i="7"/>
  <c r="F791" i="28"/>
  <c r="G792" i="28"/>
  <c r="H792" i="28" s="1"/>
  <c r="G788" i="27"/>
  <c r="H788" i="27" s="1"/>
  <c r="J788" i="27" s="1"/>
  <c r="L788" i="27" s="1"/>
  <c r="F787" i="27"/>
  <c r="J791" i="13" l="1"/>
  <c r="I791" i="13"/>
  <c r="F789" i="13"/>
  <c r="H790" i="13"/>
  <c r="G790" i="13"/>
  <c r="AH795" i="7"/>
  <c r="K794" i="7"/>
  <c r="AI794" i="7"/>
  <c r="M795" i="7"/>
  <c r="N795" i="7" s="1"/>
  <c r="H793" i="7"/>
  <c r="AI793" i="7" s="1"/>
  <c r="I793" i="7"/>
  <c r="AG793" i="7" s="1"/>
  <c r="L794" i="7"/>
  <c r="J794" i="7"/>
  <c r="G792" i="7"/>
  <c r="F790" i="28"/>
  <c r="G791" i="28"/>
  <c r="H791" i="28" s="1"/>
  <c r="G787" i="27"/>
  <c r="H787" i="27" s="1"/>
  <c r="J787" i="27" s="1"/>
  <c r="L787" i="27" s="1"/>
  <c r="F786" i="27"/>
  <c r="J790" i="13" l="1"/>
  <c r="I790" i="13"/>
  <c r="F788" i="13"/>
  <c r="H789" i="13"/>
  <c r="G789" i="13"/>
  <c r="AH794" i="7"/>
  <c r="H792" i="7"/>
  <c r="AI792" i="7" s="1"/>
  <c r="I792" i="7"/>
  <c r="AG792" i="7" s="1"/>
  <c r="J793" i="7"/>
  <c r="L793" i="7"/>
  <c r="G791" i="7"/>
  <c r="K793" i="7"/>
  <c r="M794" i="7"/>
  <c r="N794" i="7" s="1"/>
  <c r="G790" i="28"/>
  <c r="H790" i="28" s="1"/>
  <c r="F789" i="28"/>
  <c r="G786" i="27"/>
  <c r="H786" i="27" s="1"/>
  <c r="J786" i="27" s="1"/>
  <c r="L786" i="27" s="1"/>
  <c r="F785" i="27"/>
  <c r="J789" i="13" l="1"/>
  <c r="I789" i="13"/>
  <c r="F787" i="13"/>
  <c r="H788" i="13"/>
  <c r="G788" i="13"/>
  <c r="AH793" i="7"/>
  <c r="M793" i="7"/>
  <c r="N793" i="7" s="1"/>
  <c r="I791" i="7"/>
  <c r="AG791" i="7" s="1"/>
  <c r="H791" i="7"/>
  <c r="AI791" i="7" s="1"/>
  <c r="J792" i="7"/>
  <c r="L792" i="7"/>
  <c r="G790" i="7"/>
  <c r="K792" i="7"/>
  <c r="F788" i="28"/>
  <c r="G789" i="28"/>
  <c r="H789" i="28" s="1"/>
  <c r="G785" i="27"/>
  <c r="H785" i="27" s="1"/>
  <c r="J785" i="27" s="1"/>
  <c r="L785" i="27" s="1"/>
  <c r="F784" i="27"/>
  <c r="J788" i="13" l="1"/>
  <c r="I788" i="13"/>
  <c r="F786" i="13"/>
  <c r="H787" i="13"/>
  <c r="G787" i="13"/>
  <c r="AH792" i="7"/>
  <c r="G789" i="7"/>
  <c r="K791" i="7"/>
  <c r="I790" i="7"/>
  <c r="AG790" i="7" s="1"/>
  <c r="H790" i="7"/>
  <c r="AI790" i="7" s="1"/>
  <c r="L791" i="7"/>
  <c r="J791" i="7"/>
  <c r="M792" i="7"/>
  <c r="N792" i="7" s="1"/>
  <c r="G788" i="28"/>
  <c r="H788" i="28" s="1"/>
  <c r="F787" i="28"/>
  <c r="G784" i="27"/>
  <c r="H784" i="27" s="1"/>
  <c r="J784" i="27" s="1"/>
  <c r="L784" i="27" s="1"/>
  <c r="F783" i="27"/>
  <c r="J787" i="13" l="1"/>
  <c r="I787" i="13"/>
  <c r="F785" i="13"/>
  <c r="H786" i="13"/>
  <c r="G786" i="13"/>
  <c r="AH791" i="7"/>
  <c r="M791" i="7"/>
  <c r="N791" i="7" s="1"/>
  <c r="K790" i="7"/>
  <c r="G788" i="7"/>
  <c r="L790" i="7"/>
  <c r="M790" i="7" s="1"/>
  <c r="J790" i="7"/>
  <c r="H789" i="7"/>
  <c r="AI789" i="7" s="1"/>
  <c r="I789" i="7"/>
  <c r="AG789" i="7" s="1"/>
  <c r="G787" i="28"/>
  <c r="H787" i="28" s="1"/>
  <c r="F786" i="28"/>
  <c r="G783" i="27"/>
  <c r="H783" i="27" s="1"/>
  <c r="J783" i="27" s="1"/>
  <c r="L783" i="27" s="1"/>
  <c r="F782" i="27"/>
  <c r="J786" i="13" l="1"/>
  <c r="I786" i="13"/>
  <c r="F784" i="13"/>
  <c r="H785" i="13"/>
  <c r="G785" i="13"/>
  <c r="AH790" i="7"/>
  <c r="L789" i="7"/>
  <c r="J789" i="7"/>
  <c r="K789" i="7"/>
  <c r="H788" i="7"/>
  <c r="AI788" i="7" s="1"/>
  <c r="I788" i="7"/>
  <c r="AG788" i="7" s="1"/>
  <c r="N790" i="7"/>
  <c r="G787" i="7"/>
  <c r="F785" i="28"/>
  <c r="G786" i="28"/>
  <c r="H786" i="28" s="1"/>
  <c r="G782" i="27"/>
  <c r="H782" i="27" s="1"/>
  <c r="J782" i="27" s="1"/>
  <c r="L782" i="27" s="1"/>
  <c r="F781" i="27"/>
  <c r="J785" i="13" l="1"/>
  <c r="I785" i="13"/>
  <c r="F783" i="13"/>
  <c r="H784" i="13"/>
  <c r="G784" i="13"/>
  <c r="AH789" i="7"/>
  <c r="G786" i="7"/>
  <c r="J788" i="7"/>
  <c r="L788" i="7"/>
  <c r="H787" i="7"/>
  <c r="AI787" i="7" s="1"/>
  <c r="I787" i="7"/>
  <c r="AG787" i="7" s="1"/>
  <c r="K788" i="7"/>
  <c r="M789" i="7"/>
  <c r="N789" i="7" s="1"/>
  <c r="F784" i="28"/>
  <c r="G785" i="28"/>
  <c r="H785" i="28" s="1"/>
  <c r="G781" i="27"/>
  <c r="H781" i="27" s="1"/>
  <c r="J781" i="27" s="1"/>
  <c r="L781" i="27" s="1"/>
  <c r="F780" i="27"/>
  <c r="J784" i="13" l="1"/>
  <c r="I784" i="13"/>
  <c r="F782" i="13"/>
  <c r="H783" i="13"/>
  <c r="G783" i="13"/>
  <c r="AH788" i="7"/>
  <c r="L787" i="7"/>
  <c r="J787" i="7"/>
  <c r="H786" i="7"/>
  <c r="AI786" i="7" s="1"/>
  <c r="I786" i="7"/>
  <c r="AG786" i="7" s="1"/>
  <c r="M788" i="7"/>
  <c r="N788" i="7" s="1"/>
  <c r="K787" i="7"/>
  <c r="G785" i="7"/>
  <c r="G784" i="28"/>
  <c r="H784" i="28" s="1"/>
  <c r="F783" i="28"/>
  <c r="G780" i="27"/>
  <c r="H780" i="27" s="1"/>
  <c r="J780" i="27" s="1"/>
  <c r="L780" i="27" s="1"/>
  <c r="F779" i="27"/>
  <c r="F781" i="13" l="1"/>
  <c r="H782" i="13"/>
  <c r="G782" i="13"/>
  <c r="J783" i="13"/>
  <c r="I783" i="13"/>
  <c r="AH787" i="7"/>
  <c r="L786" i="7"/>
  <c r="J786" i="7"/>
  <c r="K786" i="7"/>
  <c r="G784" i="7"/>
  <c r="H785" i="7"/>
  <c r="AI785" i="7" s="1"/>
  <c r="I785" i="7"/>
  <c r="AG785" i="7" s="1"/>
  <c r="M787" i="7"/>
  <c r="N787" i="7" s="1"/>
  <c r="F782" i="28"/>
  <c r="G783" i="28"/>
  <c r="H783" i="28" s="1"/>
  <c r="G779" i="27"/>
  <c r="H779" i="27" s="1"/>
  <c r="J779" i="27" s="1"/>
  <c r="L779" i="27" s="1"/>
  <c r="F778" i="27"/>
  <c r="J782" i="13" l="1"/>
  <c r="I782" i="13"/>
  <c r="F780" i="13"/>
  <c r="H781" i="13"/>
  <c r="G781" i="13"/>
  <c r="AH786" i="7"/>
  <c r="J785" i="7"/>
  <c r="L785" i="7"/>
  <c r="K785" i="7"/>
  <c r="G783" i="7"/>
  <c r="H784" i="7"/>
  <c r="AI784" i="7" s="1"/>
  <c r="I784" i="7"/>
  <c r="AG784" i="7" s="1"/>
  <c r="M786" i="7"/>
  <c r="N786" i="7" s="1"/>
  <c r="G782" i="28"/>
  <c r="H782" i="28" s="1"/>
  <c r="F781" i="28"/>
  <c r="G778" i="27"/>
  <c r="H778" i="27" s="1"/>
  <c r="J778" i="27" s="1"/>
  <c r="L778" i="27" s="1"/>
  <c r="F777" i="27"/>
  <c r="F779" i="13" l="1"/>
  <c r="H780" i="13"/>
  <c r="G780" i="13"/>
  <c r="J781" i="13"/>
  <c r="I781" i="13"/>
  <c r="AH785" i="7"/>
  <c r="L784" i="7"/>
  <c r="J784" i="7"/>
  <c r="K784" i="7"/>
  <c r="G782" i="7"/>
  <c r="M785" i="7"/>
  <c r="N785" i="7" s="1"/>
  <c r="H783" i="7"/>
  <c r="AI783" i="7" s="1"/>
  <c r="I783" i="7"/>
  <c r="AG783" i="7" s="1"/>
  <c r="G781" i="28"/>
  <c r="H781" i="28" s="1"/>
  <c r="F780" i="28"/>
  <c r="G777" i="27"/>
  <c r="H777" i="27" s="1"/>
  <c r="J777" i="27" s="1"/>
  <c r="L777" i="27" s="1"/>
  <c r="F776" i="27"/>
  <c r="J780" i="13" l="1"/>
  <c r="I780" i="13"/>
  <c r="F778" i="13"/>
  <c r="H779" i="13"/>
  <c r="G779" i="13"/>
  <c r="AH784" i="7"/>
  <c r="L783" i="7"/>
  <c r="J783" i="7"/>
  <c r="I782" i="7"/>
  <c r="AG782" i="7" s="1"/>
  <c r="H782" i="7"/>
  <c r="AI782" i="7" s="1"/>
  <c r="K783" i="7"/>
  <c r="G781" i="7"/>
  <c r="M784" i="7"/>
  <c r="N784" i="7" s="1"/>
  <c r="G780" i="28"/>
  <c r="H780" i="28" s="1"/>
  <c r="F779" i="28"/>
  <c r="G776" i="27"/>
  <c r="H776" i="27" s="1"/>
  <c r="J776" i="27" s="1"/>
  <c r="L776" i="27" s="1"/>
  <c r="F775" i="27"/>
  <c r="J779" i="13" l="1"/>
  <c r="I779" i="13"/>
  <c r="F777" i="13"/>
  <c r="H778" i="13"/>
  <c r="G778" i="13"/>
  <c r="AH783" i="7"/>
  <c r="H781" i="7"/>
  <c r="AI781" i="7" s="1"/>
  <c r="I781" i="7"/>
  <c r="AG781" i="7" s="1"/>
  <c r="K782" i="7"/>
  <c r="L782" i="7"/>
  <c r="J782" i="7"/>
  <c r="G780" i="7"/>
  <c r="M783" i="7"/>
  <c r="N783" i="7" s="1"/>
  <c r="G779" i="28"/>
  <c r="H779" i="28" s="1"/>
  <c r="F778" i="28"/>
  <c r="G775" i="27"/>
  <c r="H775" i="27" s="1"/>
  <c r="J775" i="27" s="1"/>
  <c r="L775" i="27" s="1"/>
  <c r="F774" i="27"/>
  <c r="J778" i="13" l="1"/>
  <c r="I778" i="13"/>
  <c r="F776" i="13"/>
  <c r="H777" i="13"/>
  <c r="G777" i="13"/>
  <c r="AH782" i="7"/>
  <c r="G779" i="7"/>
  <c r="H780" i="7"/>
  <c r="AI780" i="7" s="1"/>
  <c r="I780" i="7"/>
  <c r="AG780" i="7" s="1"/>
  <c r="L781" i="7"/>
  <c r="J781" i="7"/>
  <c r="M782" i="7"/>
  <c r="N782" i="7" s="1"/>
  <c r="K781" i="7"/>
  <c r="F777" i="28"/>
  <c r="G778" i="28"/>
  <c r="H778" i="28" s="1"/>
  <c r="G774" i="27"/>
  <c r="H774" i="27" s="1"/>
  <c r="J774" i="27" s="1"/>
  <c r="L774" i="27" s="1"/>
  <c r="F773" i="27"/>
  <c r="J777" i="13" l="1"/>
  <c r="I777" i="13"/>
  <c r="F775" i="13"/>
  <c r="H776" i="13"/>
  <c r="G776" i="13"/>
  <c r="AH781" i="7"/>
  <c r="J780" i="7"/>
  <c r="L780" i="7"/>
  <c r="K780" i="7"/>
  <c r="G778" i="7"/>
  <c r="M781" i="7"/>
  <c r="N781" i="7" s="1"/>
  <c r="H779" i="7"/>
  <c r="AI779" i="7" s="1"/>
  <c r="I779" i="7"/>
  <c r="AG779" i="7" s="1"/>
  <c r="G777" i="28"/>
  <c r="H777" i="28" s="1"/>
  <c r="F776" i="28"/>
  <c r="G773" i="27"/>
  <c r="H773" i="27" s="1"/>
  <c r="J773" i="27" s="1"/>
  <c r="L773" i="27" s="1"/>
  <c r="F772" i="27"/>
  <c r="J776" i="13" l="1"/>
  <c r="I776" i="13"/>
  <c r="F774" i="13"/>
  <c r="H775" i="13"/>
  <c r="G775" i="13"/>
  <c r="AH780" i="7"/>
  <c r="J779" i="7"/>
  <c r="L779" i="7"/>
  <c r="G777" i="7"/>
  <c r="M780" i="7"/>
  <c r="N780" i="7" s="1"/>
  <c r="K779" i="7"/>
  <c r="H778" i="7"/>
  <c r="AI778" i="7" s="1"/>
  <c r="I778" i="7"/>
  <c r="AG778" i="7" s="1"/>
  <c r="G776" i="28"/>
  <c r="H776" i="28" s="1"/>
  <c r="F775" i="28"/>
  <c r="G772" i="27"/>
  <c r="H772" i="27" s="1"/>
  <c r="J772" i="27" s="1"/>
  <c r="L772" i="27" s="1"/>
  <c r="F771" i="27"/>
  <c r="J775" i="13" l="1"/>
  <c r="I775" i="13"/>
  <c r="F773" i="13"/>
  <c r="H774" i="13"/>
  <c r="G774" i="13"/>
  <c r="AH779" i="7"/>
  <c r="G776" i="7"/>
  <c r="H777" i="7"/>
  <c r="AI777" i="7" s="1"/>
  <c r="I777" i="7"/>
  <c r="AG777" i="7" s="1"/>
  <c r="L778" i="7"/>
  <c r="J778" i="7"/>
  <c r="M779" i="7"/>
  <c r="N779" i="7" s="1"/>
  <c r="K778" i="7"/>
  <c r="G775" i="28"/>
  <c r="H775" i="28" s="1"/>
  <c r="F774" i="28"/>
  <c r="G771" i="27"/>
  <c r="H771" i="27" s="1"/>
  <c r="J771" i="27" s="1"/>
  <c r="L771" i="27" s="1"/>
  <c r="F770" i="27"/>
  <c r="J774" i="13" l="1"/>
  <c r="I774" i="13"/>
  <c r="F772" i="13"/>
  <c r="H773" i="13"/>
  <c r="G773" i="13"/>
  <c r="AH778" i="7"/>
  <c r="J777" i="7"/>
  <c r="L777" i="7"/>
  <c r="K777" i="7"/>
  <c r="H776" i="7"/>
  <c r="AI776" i="7" s="1"/>
  <c r="I776" i="7"/>
  <c r="AG776" i="7" s="1"/>
  <c r="M778" i="7"/>
  <c r="N778" i="7" s="1"/>
  <c r="G775" i="7"/>
  <c r="G774" i="28"/>
  <c r="H774" i="28" s="1"/>
  <c r="F773" i="28"/>
  <c r="G770" i="27"/>
  <c r="H770" i="27" s="1"/>
  <c r="J770" i="27" s="1"/>
  <c r="L770" i="27" s="1"/>
  <c r="F769" i="27"/>
  <c r="J773" i="13" l="1"/>
  <c r="I773" i="13"/>
  <c r="F771" i="13"/>
  <c r="H772" i="13"/>
  <c r="G772" i="13"/>
  <c r="AH777" i="7"/>
  <c r="G774" i="7"/>
  <c r="J776" i="7"/>
  <c r="L776" i="7"/>
  <c r="M777" i="7"/>
  <c r="N777" i="7" s="1"/>
  <c r="H775" i="7"/>
  <c r="AI775" i="7" s="1"/>
  <c r="I775" i="7"/>
  <c r="AG775" i="7" s="1"/>
  <c r="K776" i="7"/>
  <c r="G773" i="28"/>
  <c r="H773" i="28" s="1"/>
  <c r="F772" i="28"/>
  <c r="G769" i="27"/>
  <c r="H769" i="27" s="1"/>
  <c r="J769" i="27" s="1"/>
  <c r="L769" i="27" s="1"/>
  <c r="F768" i="27"/>
  <c r="J772" i="13" l="1"/>
  <c r="I772" i="13"/>
  <c r="F770" i="13"/>
  <c r="H771" i="13"/>
  <c r="G771" i="13"/>
  <c r="AH776" i="7"/>
  <c r="J775" i="7"/>
  <c r="L775" i="7"/>
  <c r="M776" i="7"/>
  <c r="N776" i="7" s="1"/>
  <c r="K775" i="7"/>
  <c r="G773" i="7"/>
  <c r="I774" i="7"/>
  <c r="AG774" i="7" s="1"/>
  <c r="H774" i="7"/>
  <c r="AI774" i="7" s="1"/>
  <c r="G772" i="28"/>
  <c r="H772" i="28" s="1"/>
  <c r="F771" i="28"/>
  <c r="G768" i="27"/>
  <c r="H768" i="27" s="1"/>
  <c r="J768" i="27" s="1"/>
  <c r="L768" i="27" s="1"/>
  <c r="F767" i="27"/>
  <c r="J771" i="13" l="1"/>
  <c r="I771" i="13"/>
  <c r="F769" i="13"/>
  <c r="H770" i="13"/>
  <c r="G770" i="13"/>
  <c r="AH775" i="7"/>
  <c r="I773" i="7"/>
  <c r="AG773" i="7" s="1"/>
  <c r="H773" i="7"/>
  <c r="AI773" i="7" s="1"/>
  <c r="G772" i="7"/>
  <c r="K774" i="7"/>
  <c r="M775" i="7"/>
  <c r="N775" i="7" s="1"/>
  <c r="L774" i="7"/>
  <c r="J774" i="7"/>
  <c r="G771" i="28"/>
  <c r="H771" i="28" s="1"/>
  <c r="F770" i="28"/>
  <c r="G767" i="27"/>
  <c r="H767" i="27" s="1"/>
  <c r="J767" i="27" s="1"/>
  <c r="L767" i="27" s="1"/>
  <c r="F766" i="27"/>
  <c r="J770" i="13" l="1"/>
  <c r="I770" i="13"/>
  <c r="F768" i="13"/>
  <c r="H769" i="13"/>
  <c r="G769" i="13"/>
  <c r="AH774" i="7"/>
  <c r="G771" i="7"/>
  <c r="I772" i="7"/>
  <c r="AG772" i="7" s="1"/>
  <c r="H772" i="7"/>
  <c r="AI772" i="7" s="1"/>
  <c r="K773" i="7"/>
  <c r="M774" i="7"/>
  <c r="N774" i="7" s="1"/>
  <c r="J773" i="7"/>
  <c r="L773" i="7"/>
  <c r="F769" i="28"/>
  <c r="G770" i="28"/>
  <c r="H770" i="28" s="1"/>
  <c r="G766" i="27"/>
  <c r="H766" i="27" s="1"/>
  <c r="J766" i="27" s="1"/>
  <c r="L766" i="27" s="1"/>
  <c r="F765" i="27"/>
  <c r="J769" i="13" l="1"/>
  <c r="I769" i="13"/>
  <c r="F767" i="13"/>
  <c r="H768" i="13"/>
  <c r="G768" i="13"/>
  <c r="AH773" i="7"/>
  <c r="K772" i="7"/>
  <c r="M773" i="7"/>
  <c r="N773" i="7" s="1"/>
  <c r="J772" i="7"/>
  <c r="L772" i="7"/>
  <c r="M772" i="7" s="1"/>
  <c r="G770" i="7"/>
  <c r="H771" i="7"/>
  <c r="AI771" i="7" s="1"/>
  <c r="I771" i="7"/>
  <c r="AG771" i="7" s="1"/>
  <c r="G769" i="28"/>
  <c r="H769" i="28" s="1"/>
  <c r="F768" i="28"/>
  <c r="G765" i="27"/>
  <c r="H765" i="27" s="1"/>
  <c r="J765" i="27" s="1"/>
  <c r="L765" i="27" s="1"/>
  <c r="F764" i="27"/>
  <c r="J768" i="13" l="1"/>
  <c r="I768" i="13"/>
  <c r="F766" i="13"/>
  <c r="H767" i="13"/>
  <c r="G767" i="13"/>
  <c r="AH772" i="7"/>
  <c r="H770" i="7"/>
  <c r="AI770" i="7" s="1"/>
  <c r="I770" i="7"/>
  <c r="AG770" i="7" s="1"/>
  <c r="J771" i="7"/>
  <c r="L771" i="7"/>
  <c r="K771" i="7"/>
  <c r="G769" i="7"/>
  <c r="N772" i="7"/>
  <c r="G768" i="28"/>
  <c r="H768" i="28" s="1"/>
  <c r="F767" i="28"/>
  <c r="G764" i="27"/>
  <c r="H764" i="27" s="1"/>
  <c r="J764" i="27" s="1"/>
  <c r="L764" i="27" s="1"/>
  <c r="F763" i="27"/>
  <c r="J767" i="13" l="1"/>
  <c r="I767" i="13"/>
  <c r="F765" i="13"/>
  <c r="H766" i="13"/>
  <c r="G766" i="13"/>
  <c r="AH771" i="7"/>
  <c r="H769" i="7"/>
  <c r="AI769" i="7" s="1"/>
  <c r="I769" i="7"/>
  <c r="AG769" i="7" s="1"/>
  <c r="M771" i="7"/>
  <c r="N771" i="7" s="1"/>
  <c r="J770" i="7"/>
  <c r="L770" i="7"/>
  <c r="G768" i="7"/>
  <c r="K770" i="7"/>
  <c r="F766" i="28"/>
  <c r="G767" i="28"/>
  <c r="H767" i="28" s="1"/>
  <c r="G763" i="27"/>
  <c r="H763" i="27" s="1"/>
  <c r="J763" i="27" s="1"/>
  <c r="L763" i="27" s="1"/>
  <c r="F762" i="27"/>
  <c r="J766" i="13" l="1"/>
  <c r="I766" i="13"/>
  <c r="F764" i="13"/>
  <c r="H765" i="13"/>
  <c r="G765" i="13"/>
  <c r="AH770" i="7"/>
  <c r="I768" i="7"/>
  <c r="AG768" i="7" s="1"/>
  <c r="H768" i="7"/>
  <c r="AI768" i="7" s="1"/>
  <c r="M770" i="7"/>
  <c r="N770" i="7" s="1"/>
  <c r="J769" i="7"/>
  <c r="L769" i="7"/>
  <c r="G767" i="7"/>
  <c r="K769" i="7"/>
  <c r="G766" i="28"/>
  <c r="H766" i="28" s="1"/>
  <c r="F765" i="28"/>
  <c r="G762" i="27"/>
  <c r="H762" i="27" s="1"/>
  <c r="J762" i="27" s="1"/>
  <c r="L762" i="27" s="1"/>
  <c r="F761" i="27"/>
  <c r="J765" i="13" l="1"/>
  <c r="I765" i="13"/>
  <c r="F763" i="13"/>
  <c r="H764" i="13"/>
  <c r="G764" i="13"/>
  <c r="AH769" i="7"/>
  <c r="G766" i="7"/>
  <c r="H767" i="7"/>
  <c r="AI767" i="7" s="1"/>
  <c r="I767" i="7"/>
  <c r="AG767" i="7" s="1"/>
  <c r="M769" i="7"/>
  <c r="N769" i="7" s="1"/>
  <c r="K768" i="7"/>
  <c r="J768" i="7"/>
  <c r="L768" i="7"/>
  <c r="F764" i="28"/>
  <c r="G765" i="28"/>
  <c r="H765" i="28" s="1"/>
  <c r="G761" i="27"/>
  <c r="H761" i="27" s="1"/>
  <c r="J761" i="27" s="1"/>
  <c r="L761" i="27" s="1"/>
  <c r="F760" i="27"/>
  <c r="J764" i="13" l="1"/>
  <c r="I764" i="13"/>
  <c r="F762" i="13"/>
  <c r="H763" i="13"/>
  <c r="G763" i="13"/>
  <c r="AH768" i="7"/>
  <c r="L767" i="7"/>
  <c r="J767" i="7"/>
  <c r="M768" i="7"/>
  <c r="N768" i="7" s="1"/>
  <c r="K767" i="7"/>
  <c r="H766" i="7"/>
  <c r="AI766" i="7" s="1"/>
  <c r="I766" i="7"/>
  <c r="AG766" i="7" s="1"/>
  <c r="G765" i="7"/>
  <c r="G764" i="28"/>
  <c r="H764" i="28" s="1"/>
  <c r="F763" i="28"/>
  <c r="G760" i="27"/>
  <c r="H760" i="27" s="1"/>
  <c r="J760" i="27" s="1"/>
  <c r="L760" i="27" s="1"/>
  <c r="F759" i="27"/>
  <c r="J763" i="13" l="1"/>
  <c r="I763" i="13"/>
  <c r="F761" i="13"/>
  <c r="H762" i="13"/>
  <c r="G762" i="13"/>
  <c r="AH767" i="7"/>
  <c r="L766" i="7"/>
  <c r="J766" i="7"/>
  <c r="H765" i="7"/>
  <c r="AI765" i="7" s="1"/>
  <c r="I765" i="7"/>
  <c r="AG765" i="7" s="1"/>
  <c r="K766" i="7"/>
  <c r="G764" i="7"/>
  <c r="M767" i="7"/>
  <c r="N767" i="7" s="1"/>
  <c r="G763" i="28"/>
  <c r="H763" i="28" s="1"/>
  <c r="F762" i="28"/>
  <c r="G759" i="27"/>
  <c r="H759" i="27" s="1"/>
  <c r="J759" i="27" s="1"/>
  <c r="L759" i="27" s="1"/>
  <c r="F758" i="27"/>
  <c r="J762" i="13" l="1"/>
  <c r="I762" i="13"/>
  <c r="F760" i="13"/>
  <c r="H761" i="13"/>
  <c r="G761" i="13"/>
  <c r="AH766" i="7"/>
  <c r="G763" i="7"/>
  <c r="J765" i="7"/>
  <c r="L765" i="7"/>
  <c r="H764" i="7"/>
  <c r="AI764" i="7" s="1"/>
  <c r="I764" i="7"/>
  <c r="AG764" i="7" s="1"/>
  <c r="K765" i="7"/>
  <c r="M766" i="7"/>
  <c r="N766" i="7" s="1"/>
  <c r="F761" i="28"/>
  <c r="G762" i="28"/>
  <c r="H762" i="28" s="1"/>
  <c r="G758" i="27"/>
  <c r="H758" i="27" s="1"/>
  <c r="J758" i="27" s="1"/>
  <c r="L758" i="27" s="1"/>
  <c r="F757" i="27"/>
  <c r="J761" i="13" l="1"/>
  <c r="I761" i="13"/>
  <c r="F759" i="13"/>
  <c r="H760" i="13"/>
  <c r="G760" i="13"/>
  <c r="AH765" i="7"/>
  <c r="M765" i="7"/>
  <c r="N765" i="7" s="1"/>
  <c r="J764" i="7"/>
  <c r="L764" i="7"/>
  <c r="G762" i="7"/>
  <c r="K764" i="7"/>
  <c r="H763" i="7"/>
  <c r="AI763" i="7" s="1"/>
  <c r="I763" i="7"/>
  <c r="AG763" i="7" s="1"/>
  <c r="G761" i="28"/>
  <c r="H761" i="28" s="1"/>
  <c r="F760" i="28"/>
  <c r="G757" i="27"/>
  <c r="H757" i="27" s="1"/>
  <c r="J757" i="27" s="1"/>
  <c r="L757" i="27" s="1"/>
  <c r="F756" i="27"/>
  <c r="J760" i="13" l="1"/>
  <c r="I760" i="13"/>
  <c r="F758" i="13"/>
  <c r="H759" i="13"/>
  <c r="G759" i="13"/>
  <c r="AH764" i="7"/>
  <c r="M764" i="7"/>
  <c r="N764" i="7" s="1"/>
  <c r="L763" i="7"/>
  <c r="J763" i="7"/>
  <c r="AH763" i="7" s="1"/>
  <c r="G761" i="7"/>
  <c r="K763" i="7"/>
  <c r="H762" i="7"/>
  <c r="AI762" i="7" s="1"/>
  <c r="I762" i="7"/>
  <c r="AG762" i="7" s="1"/>
  <c r="G760" i="28"/>
  <c r="H760" i="28" s="1"/>
  <c r="F759" i="28"/>
  <c r="G756" i="27"/>
  <c r="H756" i="27" s="1"/>
  <c r="J756" i="27" s="1"/>
  <c r="L756" i="27" s="1"/>
  <c r="F755" i="27"/>
  <c r="J759" i="13" l="1"/>
  <c r="I759" i="13"/>
  <c r="F757" i="13"/>
  <c r="H758" i="13"/>
  <c r="G758" i="13"/>
  <c r="L762" i="7"/>
  <c r="J762" i="7"/>
  <c r="M763" i="7"/>
  <c r="N763" i="7" s="1"/>
  <c r="K762" i="7"/>
  <c r="G760" i="7"/>
  <c r="H761" i="7"/>
  <c r="AI761" i="7" s="1"/>
  <c r="I761" i="7"/>
  <c r="AG761" i="7" s="1"/>
  <c r="G759" i="28"/>
  <c r="H759" i="28" s="1"/>
  <c r="F758" i="28"/>
  <c r="G755" i="27"/>
  <c r="H755" i="27" s="1"/>
  <c r="J755" i="27" s="1"/>
  <c r="L755" i="27" s="1"/>
  <c r="F754" i="27"/>
  <c r="J758" i="13" l="1"/>
  <c r="I758" i="13"/>
  <c r="F756" i="13"/>
  <c r="H757" i="13"/>
  <c r="G757" i="13"/>
  <c r="AH762" i="7"/>
  <c r="G759" i="7"/>
  <c r="I760" i="7"/>
  <c r="AG760" i="7" s="1"/>
  <c r="H760" i="7"/>
  <c r="AI760" i="7" s="1"/>
  <c r="L761" i="7"/>
  <c r="M761" i="7" s="1"/>
  <c r="J761" i="7"/>
  <c r="AH761" i="7" s="1"/>
  <c r="K761" i="7"/>
  <c r="M762" i="7"/>
  <c r="N762" i="7" s="1"/>
  <c r="G758" i="28"/>
  <c r="H758" i="28" s="1"/>
  <c r="F757" i="28"/>
  <c r="G754" i="27"/>
  <c r="H754" i="27" s="1"/>
  <c r="J754" i="27" s="1"/>
  <c r="L754" i="27" s="1"/>
  <c r="F753" i="27"/>
  <c r="J757" i="13" l="1"/>
  <c r="I757" i="13"/>
  <c r="F755" i="13"/>
  <c r="H756" i="13"/>
  <c r="G756" i="13"/>
  <c r="K760" i="7"/>
  <c r="J760" i="7"/>
  <c r="L760" i="7"/>
  <c r="N761" i="7"/>
  <c r="G758" i="7"/>
  <c r="H759" i="7"/>
  <c r="AI759" i="7" s="1"/>
  <c r="I759" i="7"/>
  <c r="AG759" i="7" s="1"/>
  <c r="G757" i="28"/>
  <c r="H757" i="28" s="1"/>
  <c r="F756" i="28"/>
  <c r="G753" i="27"/>
  <c r="H753" i="27" s="1"/>
  <c r="J753" i="27" s="1"/>
  <c r="L753" i="27" s="1"/>
  <c r="F752" i="27"/>
  <c r="J756" i="13" l="1"/>
  <c r="I756" i="13"/>
  <c r="F754" i="13"/>
  <c r="H755" i="13"/>
  <c r="G755" i="13"/>
  <c r="AH760" i="7"/>
  <c r="G757" i="7"/>
  <c r="H758" i="7"/>
  <c r="AI758" i="7" s="1"/>
  <c r="I758" i="7"/>
  <c r="AG758" i="7" s="1"/>
  <c r="J759" i="7"/>
  <c r="L759" i="7"/>
  <c r="K759" i="7"/>
  <c r="M760" i="7"/>
  <c r="N760" i="7" s="1"/>
  <c r="G756" i="28"/>
  <c r="H756" i="28" s="1"/>
  <c r="F755" i="28"/>
  <c r="G752" i="27"/>
  <c r="H752" i="27" s="1"/>
  <c r="J752" i="27" s="1"/>
  <c r="L752" i="27" s="1"/>
  <c r="F751" i="27"/>
  <c r="F753" i="13" l="1"/>
  <c r="H754" i="13"/>
  <c r="G754" i="13"/>
  <c r="J755" i="13"/>
  <c r="I755" i="13"/>
  <c r="AH759" i="7"/>
  <c r="L758" i="7"/>
  <c r="J758" i="7"/>
  <c r="K758" i="7"/>
  <c r="M759" i="7"/>
  <c r="N759" i="7" s="1"/>
  <c r="G756" i="7"/>
  <c r="H757" i="7"/>
  <c r="I757" i="7"/>
  <c r="AG757" i="7" s="1"/>
  <c r="G755" i="28"/>
  <c r="H755" i="28" s="1"/>
  <c r="F754" i="28"/>
  <c r="G751" i="27"/>
  <c r="H751" i="27" s="1"/>
  <c r="J751" i="27" s="1"/>
  <c r="L751" i="27" s="1"/>
  <c r="F750" i="27"/>
  <c r="J754" i="13" l="1"/>
  <c r="I754" i="13"/>
  <c r="F752" i="13"/>
  <c r="H753" i="13"/>
  <c r="G753" i="13"/>
  <c r="AH758" i="7"/>
  <c r="K757" i="7"/>
  <c r="AI757" i="7"/>
  <c r="G755" i="7"/>
  <c r="H756" i="7"/>
  <c r="AI756" i="7" s="1"/>
  <c r="I756" i="7"/>
  <c r="AG756" i="7" s="1"/>
  <c r="L757" i="7"/>
  <c r="J757" i="7"/>
  <c r="M758" i="7"/>
  <c r="N758" i="7" s="1"/>
  <c r="F753" i="28"/>
  <c r="G754" i="28"/>
  <c r="H754" i="28" s="1"/>
  <c r="G750" i="27"/>
  <c r="H750" i="27" s="1"/>
  <c r="J750" i="27" s="1"/>
  <c r="L750" i="27" s="1"/>
  <c r="F749" i="27"/>
  <c r="F751" i="13" l="1"/>
  <c r="H752" i="13"/>
  <c r="G752" i="13"/>
  <c r="J753" i="13"/>
  <c r="I753" i="13"/>
  <c r="AH757" i="7"/>
  <c r="K756" i="7"/>
  <c r="M757" i="7"/>
  <c r="N757" i="7" s="1"/>
  <c r="G754" i="7"/>
  <c r="J756" i="7"/>
  <c r="L756" i="7"/>
  <c r="I755" i="7"/>
  <c r="AG755" i="7" s="1"/>
  <c r="H755" i="7"/>
  <c r="AI755" i="7" s="1"/>
  <c r="F752" i="28"/>
  <c r="G753" i="28"/>
  <c r="H753" i="28" s="1"/>
  <c r="G749" i="27"/>
  <c r="H749" i="27" s="1"/>
  <c r="J749" i="27" s="1"/>
  <c r="L749" i="27" s="1"/>
  <c r="F748" i="27"/>
  <c r="J752" i="13" l="1"/>
  <c r="I752" i="13"/>
  <c r="F750" i="13"/>
  <c r="H751" i="13"/>
  <c r="G751" i="13"/>
  <c r="AH756" i="7"/>
  <c r="K755" i="7"/>
  <c r="G753" i="7"/>
  <c r="L755" i="7"/>
  <c r="J755" i="7"/>
  <c r="H754" i="7"/>
  <c r="AI754" i="7" s="1"/>
  <c r="I754" i="7"/>
  <c r="AG754" i="7" s="1"/>
  <c r="M756" i="7"/>
  <c r="N756" i="7" s="1"/>
  <c r="G752" i="28"/>
  <c r="H752" i="28" s="1"/>
  <c r="F751" i="28"/>
  <c r="G748" i="27"/>
  <c r="H748" i="27" s="1"/>
  <c r="J748" i="27" s="1"/>
  <c r="L748" i="27" s="1"/>
  <c r="F747" i="27"/>
  <c r="J751" i="13" l="1"/>
  <c r="I751" i="13"/>
  <c r="F749" i="13"/>
  <c r="H750" i="13"/>
  <c r="G750" i="13"/>
  <c r="AH755" i="7"/>
  <c r="L754" i="7"/>
  <c r="J754" i="7"/>
  <c r="AH754" i="7" s="1"/>
  <c r="G752" i="7"/>
  <c r="K754" i="7"/>
  <c r="I753" i="7"/>
  <c r="AG753" i="7" s="1"/>
  <c r="H753" i="7"/>
  <c r="AI753" i="7" s="1"/>
  <c r="M755" i="7"/>
  <c r="N755" i="7" s="1"/>
  <c r="G751" i="28"/>
  <c r="H751" i="28" s="1"/>
  <c r="F750" i="28"/>
  <c r="G747" i="27"/>
  <c r="H747" i="27" s="1"/>
  <c r="J747" i="27" s="1"/>
  <c r="L747" i="27" s="1"/>
  <c r="F746" i="27"/>
  <c r="J750" i="13" l="1"/>
  <c r="I750" i="13"/>
  <c r="F748" i="13"/>
  <c r="H749" i="13"/>
  <c r="G749" i="13"/>
  <c r="K753" i="7"/>
  <c r="G751" i="7"/>
  <c r="L753" i="7"/>
  <c r="J753" i="7"/>
  <c r="I752" i="7"/>
  <c r="AG752" i="7" s="1"/>
  <c r="H752" i="7"/>
  <c r="AI752" i="7" s="1"/>
  <c r="M754" i="7"/>
  <c r="N754" i="7" s="1"/>
  <c r="G750" i="28"/>
  <c r="H750" i="28" s="1"/>
  <c r="F749" i="28"/>
  <c r="G746" i="27"/>
  <c r="H746" i="27" s="1"/>
  <c r="J746" i="27" s="1"/>
  <c r="L746" i="27" s="1"/>
  <c r="F745" i="27"/>
  <c r="J749" i="13" l="1"/>
  <c r="I749" i="13"/>
  <c r="F747" i="13"/>
  <c r="H748" i="13"/>
  <c r="G748" i="13"/>
  <c r="AH753" i="7"/>
  <c r="L752" i="7"/>
  <c r="J752" i="7"/>
  <c r="H751" i="7"/>
  <c r="AI751" i="7" s="1"/>
  <c r="I751" i="7"/>
  <c r="AG751" i="7" s="1"/>
  <c r="M753" i="7"/>
  <c r="N753" i="7" s="1"/>
  <c r="K752" i="7"/>
  <c r="G750" i="7"/>
  <c r="F748" i="28"/>
  <c r="G749" i="28"/>
  <c r="H749" i="28" s="1"/>
  <c r="G745" i="27"/>
  <c r="H745" i="27" s="1"/>
  <c r="J745" i="27" s="1"/>
  <c r="L745" i="27" s="1"/>
  <c r="F744" i="27"/>
  <c r="J748" i="13" l="1"/>
  <c r="I748" i="13"/>
  <c r="F746" i="13"/>
  <c r="H747" i="13"/>
  <c r="G747" i="13"/>
  <c r="AH752" i="7"/>
  <c r="G749" i="7"/>
  <c r="J751" i="7"/>
  <c r="L751" i="7"/>
  <c r="H750" i="7"/>
  <c r="AI750" i="7" s="1"/>
  <c r="I750" i="7"/>
  <c r="AG750" i="7" s="1"/>
  <c r="K751" i="7"/>
  <c r="M752" i="7"/>
  <c r="N752" i="7" s="1"/>
  <c r="G748" i="28"/>
  <c r="H748" i="28" s="1"/>
  <c r="F747" i="28"/>
  <c r="G744" i="27"/>
  <c r="H744" i="27" s="1"/>
  <c r="J744" i="27" s="1"/>
  <c r="L744" i="27" s="1"/>
  <c r="F743" i="27"/>
  <c r="J747" i="13" l="1"/>
  <c r="I747" i="13"/>
  <c r="F745" i="13"/>
  <c r="H746" i="13"/>
  <c r="G746" i="13"/>
  <c r="AH751" i="7"/>
  <c r="M751" i="7"/>
  <c r="N751" i="7" s="1"/>
  <c r="J750" i="7"/>
  <c r="L750" i="7"/>
  <c r="G748" i="7"/>
  <c r="K750" i="7"/>
  <c r="H749" i="7"/>
  <c r="I749" i="7"/>
  <c r="AG749" i="7" s="1"/>
  <c r="G747" i="28"/>
  <c r="H747" i="28" s="1"/>
  <c r="F746" i="28"/>
  <c r="G743" i="27"/>
  <c r="H743" i="27" s="1"/>
  <c r="J743" i="27" s="1"/>
  <c r="L743" i="27" s="1"/>
  <c r="F742" i="27"/>
  <c r="J746" i="13" l="1"/>
  <c r="I746" i="13"/>
  <c r="F744" i="13"/>
  <c r="H745" i="13"/>
  <c r="G745" i="13"/>
  <c r="K749" i="7"/>
  <c r="AI749" i="7"/>
  <c r="AH750" i="7"/>
  <c r="M750" i="7"/>
  <c r="N750" i="7" s="1"/>
  <c r="J749" i="7"/>
  <c r="L749" i="7"/>
  <c r="M749" i="7" s="1"/>
  <c r="G747" i="7"/>
  <c r="H748" i="7"/>
  <c r="AI748" i="7" s="1"/>
  <c r="I748" i="7"/>
  <c r="AG748" i="7" s="1"/>
  <c r="F745" i="28"/>
  <c r="G746" i="28"/>
  <c r="H746" i="28" s="1"/>
  <c r="G742" i="27"/>
  <c r="H742" i="27" s="1"/>
  <c r="J742" i="27" s="1"/>
  <c r="L742" i="27" s="1"/>
  <c r="F741" i="27"/>
  <c r="J745" i="13" l="1"/>
  <c r="I745" i="13"/>
  <c r="F743" i="13"/>
  <c r="H744" i="13"/>
  <c r="G744" i="13"/>
  <c r="N749" i="7"/>
  <c r="AH749" i="7"/>
  <c r="K748" i="7"/>
  <c r="G746" i="7"/>
  <c r="L748" i="7"/>
  <c r="J748" i="7"/>
  <c r="I747" i="7"/>
  <c r="AG747" i="7" s="1"/>
  <c r="H747" i="7"/>
  <c r="AI747" i="7" s="1"/>
  <c r="G745" i="28"/>
  <c r="H745" i="28" s="1"/>
  <c r="F744" i="28"/>
  <c r="G741" i="27"/>
  <c r="H741" i="27" s="1"/>
  <c r="J741" i="27" s="1"/>
  <c r="L741" i="27" s="1"/>
  <c r="F740" i="27"/>
  <c r="J744" i="13" l="1"/>
  <c r="I744" i="13"/>
  <c r="F742" i="13"/>
  <c r="H743" i="13"/>
  <c r="G743" i="13"/>
  <c r="AH748" i="7"/>
  <c r="M748" i="7"/>
  <c r="N748" i="7" s="1"/>
  <c r="K747" i="7"/>
  <c r="G745" i="7"/>
  <c r="J747" i="7"/>
  <c r="AH747" i="7" s="1"/>
  <c r="L747" i="7"/>
  <c r="H746" i="7"/>
  <c r="AI746" i="7" s="1"/>
  <c r="I746" i="7"/>
  <c r="AG746" i="7" s="1"/>
  <c r="G744" i="28"/>
  <c r="H744" i="28" s="1"/>
  <c r="F743" i="28"/>
  <c r="G740" i="27"/>
  <c r="H740" i="27" s="1"/>
  <c r="J740" i="27" s="1"/>
  <c r="L740" i="27" s="1"/>
  <c r="F739" i="27"/>
  <c r="J743" i="13" l="1"/>
  <c r="I743" i="13"/>
  <c r="F741" i="13"/>
  <c r="H742" i="13"/>
  <c r="G742" i="13"/>
  <c r="J746" i="7"/>
  <c r="L746" i="7"/>
  <c r="K746" i="7"/>
  <c r="G744" i="7"/>
  <c r="M747" i="7"/>
  <c r="N747" i="7" s="1"/>
  <c r="I745" i="7"/>
  <c r="AG745" i="7" s="1"/>
  <c r="H745" i="7"/>
  <c r="AI745" i="7" s="1"/>
  <c r="G743" i="28"/>
  <c r="H743" i="28" s="1"/>
  <c r="F742" i="28"/>
  <c r="G739" i="27"/>
  <c r="H739" i="27" s="1"/>
  <c r="J739" i="27" s="1"/>
  <c r="L739" i="27" s="1"/>
  <c r="F738" i="27"/>
  <c r="J742" i="13" l="1"/>
  <c r="I742" i="13"/>
  <c r="F740" i="13"/>
  <c r="H741" i="13"/>
  <c r="G741" i="13"/>
  <c r="AH746" i="7"/>
  <c r="K745" i="7"/>
  <c r="G743" i="7"/>
  <c r="L745" i="7"/>
  <c r="J745" i="7"/>
  <c r="I744" i="7"/>
  <c r="AG744" i="7" s="1"/>
  <c r="H744" i="7"/>
  <c r="AI744" i="7" s="1"/>
  <c r="M746" i="7"/>
  <c r="N746" i="7" s="1"/>
  <c r="F741" i="28"/>
  <c r="G742" i="28"/>
  <c r="H742" i="28" s="1"/>
  <c r="G738" i="27"/>
  <c r="H738" i="27" s="1"/>
  <c r="J738" i="27" s="1"/>
  <c r="L738" i="27" s="1"/>
  <c r="F737" i="27"/>
  <c r="J741" i="13" l="1"/>
  <c r="I741" i="13"/>
  <c r="F739" i="13"/>
  <c r="H740" i="13"/>
  <c r="G740" i="13"/>
  <c r="AH745" i="7"/>
  <c r="L744" i="7"/>
  <c r="J744" i="7"/>
  <c r="G742" i="7"/>
  <c r="M745" i="7"/>
  <c r="N745" i="7" s="1"/>
  <c r="K744" i="7"/>
  <c r="H743" i="7"/>
  <c r="AI743" i="7" s="1"/>
  <c r="I743" i="7"/>
  <c r="AG743" i="7" s="1"/>
  <c r="G741" i="28"/>
  <c r="H741" i="28" s="1"/>
  <c r="F740" i="28"/>
  <c r="G737" i="27"/>
  <c r="H737" i="27" s="1"/>
  <c r="J737" i="27" s="1"/>
  <c r="L737" i="27" s="1"/>
  <c r="F736" i="27"/>
  <c r="J740" i="13" l="1"/>
  <c r="I740" i="13"/>
  <c r="F738" i="13"/>
  <c r="H739" i="13"/>
  <c r="G739" i="13"/>
  <c r="AH744" i="7"/>
  <c r="G741" i="7"/>
  <c r="L743" i="7"/>
  <c r="J743" i="7"/>
  <c r="H742" i="7"/>
  <c r="I742" i="7"/>
  <c r="AG742" i="7" s="1"/>
  <c r="K743" i="7"/>
  <c r="M744" i="7"/>
  <c r="N744" i="7" s="1"/>
  <c r="G740" i="28"/>
  <c r="H740" i="28" s="1"/>
  <c r="F739" i="28"/>
  <c r="G736" i="27"/>
  <c r="H736" i="27" s="1"/>
  <c r="J736" i="27" s="1"/>
  <c r="L736" i="27" s="1"/>
  <c r="F735" i="27"/>
  <c r="J739" i="13" l="1"/>
  <c r="I739" i="13"/>
  <c r="F737" i="13"/>
  <c r="H738" i="13"/>
  <c r="G738" i="13"/>
  <c r="K742" i="7"/>
  <c r="AI742" i="7"/>
  <c r="AH743" i="7"/>
  <c r="M743" i="7"/>
  <c r="N743" i="7" s="1"/>
  <c r="J742" i="7"/>
  <c r="L742" i="7"/>
  <c r="G740" i="7"/>
  <c r="H741" i="7"/>
  <c r="AI741" i="7" s="1"/>
  <c r="I741" i="7"/>
  <c r="AG741" i="7" s="1"/>
  <c r="F738" i="28"/>
  <c r="G739" i="28"/>
  <c r="H739" i="28" s="1"/>
  <c r="G735" i="27"/>
  <c r="H735" i="27" s="1"/>
  <c r="J735" i="27" s="1"/>
  <c r="L735" i="27" s="1"/>
  <c r="F734" i="27"/>
  <c r="J738" i="13" l="1"/>
  <c r="I738" i="13"/>
  <c r="F736" i="13"/>
  <c r="H737" i="13"/>
  <c r="G737" i="13"/>
  <c r="AH742" i="7"/>
  <c r="L741" i="7"/>
  <c r="J741" i="7"/>
  <c r="M742" i="7"/>
  <c r="N742" i="7" s="1"/>
  <c r="K741" i="7"/>
  <c r="G739" i="7"/>
  <c r="H740" i="7"/>
  <c r="AI740" i="7" s="1"/>
  <c r="I740" i="7"/>
  <c r="AG740" i="7" s="1"/>
  <c r="F737" i="28"/>
  <c r="G738" i="28"/>
  <c r="H738" i="28" s="1"/>
  <c r="G734" i="27"/>
  <c r="H734" i="27" s="1"/>
  <c r="J734" i="27" s="1"/>
  <c r="L734" i="27" s="1"/>
  <c r="F733" i="27"/>
  <c r="F735" i="13" l="1"/>
  <c r="H736" i="13"/>
  <c r="G736" i="13"/>
  <c r="J737" i="13"/>
  <c r="I737" i="13"/>
  <c r="AH741" i="7"/>
  <c r="K740" i="7"/>
  <c r="G738" i="7"/>
  <c r="H739" i="7"/>
  <c r="AI739" i="7" s="1"/>
  <c r="I739" i="7"/>
  <c r="AG739" i="7" s="1"/>
  <c r="L740" i="7"/>
  <c r="J740" i="7"/>
  <c r="M741" i="7"/>
  <c r="N741" i="7" s="1"/>
  <c r="G737" i="28"/>
  <c r="H737" i="28" s="1"/>
  <c r="F736" i="28"/>
  <c r="G733" i="27"/>
  <c r="H733" i="27" s="1"/>
  <c r="J733" i="27" s="1"/>
  <c r="L733" i="27" s="1"/>
  <c r="F732" i="27"/>
  <c r="J736" i="13" l="1"/>
  <c r="I736" i="13"/>
  <c r="F734" i="13"/>
  <c r="H735" i="13"/>
  <c r="G735" i="13"/>
  <c r="AH740" i="7"/>
  <c r="G737" i="7"/>
  <c r="M740" i="7"/>
  <c r="N740" i="7" s="1"/>
  <c r="H738" i="7"/>
  <c r="I738" i="7"/>
  <c r="AG738" i="7" s="1"/>
  <c r="J739" i="7"/>
  <c r="L739" i="7"/>
  <c r="M739" i="7" s="1"/>
  <c r="K739" i="7"/>
  <c r="F735" i="28"/>
  <c r="G736" i="28"/>
  <c r="H736" i="28" s="1"/>
  <c r="G732" i="27"/>
  <c r="H732" i="27" s="1"/>
  <c r="J732" i="27" s="1"/>
  <c r="L732" i="27" s="1"/>
  <c r="F731" i="27"/>
  <c r="F733" i="13" l="1"/>
  <c r="H734" i="13"/>
  <c r="G734" i="13"/>
  <c r="J735" i="13"/>
  <c r="I735" i="13"/>
  <c r="AH739" i="7"/>
  <c r="K738" i="7"/>
  <c r="AI738" i="7"/>
  <c r="N739" i="7"/>
  <c r="L738" i="7"/>
  <c r="J738" i="7"/>
  <c r="G736" i="7"/>
  <c r="H737" i="7"/>
  <c r="AI737" i="7" s="1"/>
  <c r="I737" i="7"/>
  <c r="AG737" i="7" s="1"/>
  <c r="F734" i="28"/>
  <c r="G735" i="28"/>
  <c r="H735" i="28" s="1"/>
  <c r="G731" i="27"/>
  <c r="H731" i="27" s="1"/>
  <c r="J731" i="27" s="1"/>
  <c r="L731" i="27" s="1"/>
  <c r="F730" i="27"/>
  <c r="J734" i="13" l="1"/>
  <c r="I734" i="13"/>
  <c r="F732" i="13"/>
  <c r="H733" i="13"/>
  <c r="G733" i="13"/>
  <c r="AH738" i="7"/>
  <c r="H736" i="7"/>
  <c r="AI736" i="7" s="1"/>
  <c r="I736" i="7"/>
  <c r="AG736" i="7" s="1"/>
  <c r="J737" i="7"/>
  <c r="L737" i="7"/>
  <c r="K737" i="7"/>
  <c r="M738" i="7"/>
  <c r="N738" i="7" s="1"/>
  <c r="G735" i="7"/>
  <c r="G734" i="28"/>
  <c r="H734" i="28" s="1"/>
  <c r="F733" i="28"/>
  <c r="G730" i="27"/>
  <c r="H730" i="27" s="1"/>
  <c r="J730" i="27" s="1"/>
  <c r="L730" i="27" s="1"/>
  <c r="F729" i="27"/>
  <c r="F731" i="13" l="1"/>
  <c r="H732" i="13"/>
  <c r="G732" i="13"/>
  <c r="J733" i="13"/>
  <c r="I733" i="13"/>
  <c r="AH737" i="7"/>
  <c r="G734" i="7"/>
  <c r="M737" i="7"/>
  <c r="N737" i="7" s="1"/>
  <c r="J736" i="7"/>
  <c r="L736" i="7"/>
  <c r="I735" i="7"/>
  <c r="AG735" i="7" s="1"/>
  <c r="H735" i="7"/>
  <c r="AI735" i="7" s="1"/>
  <c r="K736" i="7"/>
  <c r="G733" i="28"/>
  <c r="H733" i="28" s="1"/>
  <c r="F732" i="28"/>
  <c r="G729" i="27"/>
  <c r="H729" i="27" s="1"/>
  <c r="J729" i="27" s="1"/>
  <c r="L729" i="27" s="1"/>
  <c r="F728" i="27"/>
  <c r="J732" i="13" l="1"/>
  <c r="I732" i="13"/>
  <c r="F730" i="13"/>
  <c r="H731" i="13"/>
  <c r="G731" i="13"/>
  <c r="AH736" i="7"/>
  <c r="K735" i="7"/>
  <c r="L735" i="7"/>
  <c r="J735" i="7"/>
  <c r="M736" i="7"/>
  <c r="N736" i="7" s="1"/>
  <c r="G733" i="7"/>
  <c r="H734" i="7"/>
  <c r="AI734" i="7" s="1"/>
  <c r="I734" i="7"/>
  <c r="AG734" i="7" s="1"/>
  <c r="G732" i="28"/>
  <c r="H732" i="28" s="1"/>
  <c r="F731" i="28"/>
  <c r="G728" i="27"/>
  <c r="H728" i="27" s="1"/>
  <c r="J728" i="27" s="1"/>
  <c r="L728" i="27" s="1"/>
  <c r="F727" i="27"/>
  <c r="F729" i="13" l="1"/>
  <c r="H730" i="13"/>
  <c r="G730" i="13"/>
  <c r="J731" i="13"/>
  <c r="I731" i="13"/>
  <c r="AH735" i="7"/>
  <c r="H733" i="7"/>
  <c r="AI733" i="7" s="1"/>
  <c r="I733" i="7"/>
  <c r="AG733" i="7" s="1"/>
  <c r="M735" i="7"/>
  <c r="N735" i="7" s="1"/>
  <c r="L734" i="7"/>
  <c r="J734" i="7"/>
  <c r="K734" i="7"/>
  <c r="G732" i="7"/>
  <c r="F730" i="28"/>
  <c r="G731" i="28"/>
  <c r="H731" i="28" s="1"/>
  <c r="G727" i="27"/>
  <c r="H727" i="27" s="1"/>
  <c r="J727" i="27" s="1"/>
  <c r="L727" i="27" s="1"/>
  <c r="F726" i="27"/>
  <c r="J730" i="13" l="1"/>
  <c r="I730" i="13"/>
  <c r="F728" i="13"/>
  <c r="H729" i="13"/>
  <c r="G729" i="13"/>
  <c r="AH734" i="7"/>
  <c r="G731" i="7"/>
  <c r="I732" i="7"/>
  <c r="AG732" i="7" s="1"/>
  <c r="H732" i="7"/>
  <c r="AI732" i="7" s="1"/>
  <c r="L733" i="7"/>
  <c r="J733" i="7"/>
  <c r="M734" i="7"/>
  <c r="N734" i="7" s="1"/>
  <c r="K733" i="7"/>
  <c r="G730" i="28"/>
  <c r="H730" i="28" s="1"/>
  <c r="F729" i="28"/>
  <c r="G726" i="27"/>
  <c r="H726" i="27" s="1"/>
  <c r="J726" i="27" s="1"/>
  <c r="L726" i="27" s="1"/>
  <c r="F725" i="27"/>
  <c r="J729" i="13" l="1"/>
  <c r="I729" i="13"/>
  <c r="F727" i="13"/>
  <c r="H728" i="13"/>
  <c r="G728" i="13"/>
  <c r="AH733" i="7"/>
  <c r="K732" i="7"/>
  <c r="L732" i="7"/>
  <c r="J732" i="7"/>
  <c r="G730" i="7"/>
  <c r="M733" i="7"/>
  <c r="N733" i="7" s="1"/>
  <c r="H731" i="7"/>
  <c r="AI731" i="7" s="1"/>
  <c r="I731" i="7"/>
  <c r="AG731" i="7" s="1"/>
  <c r="G729" i="28"/>
  <c r="H729" i="28" s="1"/>
  <c r="F728" i="28"/>
  <c r="G725" i="27"/>
  <c r="H725" i="27" s="1"/>
  <c r="J725" i="27" s="1"/>
  <c r="L725" i="27" s="1"/>
  <c r="F724" i="27"/>
  <c r="F726" i="13" l="1"/>
  <c r="H727" i="13"/>
  <c r="G727" i="13"/>
  <c r="J728" i="13"/>
  <c r="I728" i="13"/>
  <c r="AH732" i="7"/>
  <c r="M732" i="7"/>
  <c r="N732" i="7" s="1"/>
  <c r="L731" i="7"/>
  <c r="J731" i="7"/>
  <c r="G729" i="7"/>
  <c r="K731" i="7"/>
  <c r="I730" i="7"/>
  <c r="AG730" i="7" s="1"/>
  <c r="H730" i="7"/>
  <c r="AI730" i="7" s="1"/>
  <c r="F727" i="28"/>
  <c r="G728" i="28"/>
  <c r="H728" i="28" s="1"/>
  <c r="G724" i="27"/>
  <c r="H724" i="27" s="1"/>
  <c r="J724" i="27" s="1"/>
  <c r="L724" i="27" s="1"/>
  <c r="F723" i="27"/>
  <c r="J727" i="13" l="1"/>
  <c r="I727" i="13"/>
  <c r="F725" i="13"/>
  <c r="H726" i="13"/>
  <c r="G726" i="13"/>
  <c r="AH731" i="7"/>
  <c r="K730" i="7"/>
  <c r="M731" i="7"/>
  <c r="N731" i="7" s="1"/>
  <c r="J730" i="7"/>
  <c r="L730" i="7"/>
  <c r="H729" i="7"/>
  <c r="AI729" i="7" s="1"/>
  <c r="I729" i="7"/>
  <c r="AG729" i="7" s="1"/>
  <c r="G728" i="7"/>
  <c r="G727" i="28"/>
  <c r="H727" i="28" s="1"/>
  <c r="F726" i="28"/>
  <c r="G723" i="27"/>
  <c r="H723" i="27" s="1"/>
  <c r="J723" i="27" s="1"/>
  <c r="L723" i="27" s="1"/>
  <c r="F722" i="27"/>
  <c r="F724" i="13" l="1"/>
  <c r="H725" i="13"/>
  <c r="G725" i="13"/>
  <c r="J726" i="13"/>
  <c r="I726" i="13"/>
  <c r="AH730" i="7"/>
  <c r="L729" i="7"/>
  <c r="J729" i="7"/>
  <c r="G727" i="7"/>
  <c r="K729" i="7"/>
  <c r="H728" i="7"/>
  <c r="AI728" i="7" s="1"/>
  <c r="I728" i="7"/>
  <c r="AG728" i="7" s="1"/>
  <c r="M730" i="7"/>
  <c r="N730" i="7" s="1"/>
  <c r="G726" i="28"/>
  <c r="H726" i="28" s="1"/>
  <c r="F725" i="28"/>
  <c r="G722" i="27"/>
  <c r="H722" i="27" s="1"/>
  <c r="J722" i="27" s="1"/>
  <c r="L722" i="27" s="1"/>
  <c r="F721" i="27"/>
  <c r="J725" i="13" l="1"/>
  <c r="I725" i="13"/>
  <c r="F723" i="13"/>
  <c r="H724" i="13"/>
  <c r="G724" i="13"/>
  <c r="AH729" i="7"/>
  <c r="L728" i="7"/>
  <c r="J728" i="7"/>
  <c r="K728" i="7"/>
  <c r="G726" i="7"/>
  <c r="H727" i="7"/>
  <c r="AI727" i="7" s="1"/>
  <c r="I727" i="7"/>
  <c r="AG727" i="7" s="1"/>
  <c r="M729" i="7"/>
  <c r="N729" i="7" s="1"/>
  <c r="F724" i="28"/>
  <c r="G725" i="28"/>
  <c r="H725" i="28" s="1"/>
  <c r="G721" i="27"/>
  <c r="H721" i="27" s="1"/>
  <c r="J721" i="27" s="1"/>
  <c r="L721" i="27" s="1"/>
  <c r="F720" i="27"/>
  <c r="J724" i="13" l="1"/>
  <c r="I724" i="13"/>
  <c r="F722" i="13"/>
  <c r="H723" i="13"/>
  <c r="G723" i="13"/>
  <c r="AH728" i="7"/>
  <c r="J727" i="7"/>
  <c r="L727" i="7"/>
  <c r="K727" i="7"/>
  <c r="G725" i="7"/>
  <c r="H726" i="7"/>
  <c r="AI726" i="7" s="1"/>
  <c r="I726" i="7"/>
  <c r="AG726" i="7" s="1"/>
  <c r="M728" i="7"/>
  <c r="N728" i="7" s="1"/>
  <c r="G724" i="28"/>
  <c r="H724" i="28" s="1"/>
  <c r="F723" i="28"/>
  <c r="G720" i="27"/>
  <c r="H720" i="27" s="1"/>
  <c r="J720" i="27" s="1"/>
  <c r="L720" i="27" s="1"/>
  <c r="F719" i="27"/>
  <c r="J723" i="13" l="1"/>
  <c r="I723" i="13"/>
  <c r="F721" i="13"/>
  <c r="H722" i="13"/>
  <c r="G722" i="13"/>
  <c r="AH727" i="7"/>
  <c r="J726" i="7"/>
  <c r="L726" i="7"/>
  <c r="K726" i="7"/>
  <c r="G724" i="7"/>
  <c r="M727" i="7"/>
  <c r="N727" i="7" s="1"/>
  <c r="H725" i="7"/>
  <c r="AI725" i="7" s="1"/>
  <c r="I725" i="7"/>
  <c r="AG725" i="7" s="1"/>
  <c r="F722" i="28"/>
  <c r="G723" i="28"/>
  <c r="H723" i="28" s="1"/>
  <c r="G719" i="27"/>
  <c r="H719" i="27" s="1"/>
  <c r="J719" i="27" s="1"/>
  <c r="L719" i="27" s="1"/>
  <c r="F718" i="27"/>
  <c r="J722" i="13" l="1"/>
  <c r="I722" i="13"/>
  <c r="F720" i="13"/>
  <c r="H721" i="13"/>
  <c r="G721" i="13"/>
  <c r="AH726" i="7"/>
  <c r="J725" i="7"/>
  <c r="L725" i="7"/>
  <c r="H724" i="7"/>
  <c r="AI724" i="7" s="1"/>
  <c r="I724" i="7"/>
  <c r="AG724" i="7" s="1"/>
  <c r="K725" i="7"/>
  <c r="G723" i="7"/>
  <c r="M726" i="7"/>
  <c r="N726" i="7" s="1"/>
  <c r="G722" i="28"/>
  <c r="H722" i="28" s="1"/>
  <c r="F721" i="28"/>
  <c r="G718" i="27"/>
  <c r="H718" i="27" s="1"/>
  <c r="J718" i="27" s="1"/>
  <c r="L718" i="27" s="1"/>
  <c r="F717" i="27"/>
  <c r="J721" i="13" l="1"/>
  <c r="I721" i="13"/>
  <c r="F719" i="13"/>
  <c r="H720" i="13"/>
  <c r="G720" i="13"/>
  <c r="AH725" i="7"/>
  <c r="G722" i="7"/>
  <c r="L724" i="7"/>
  <c r="M724" i="7" s="1"/>
  <c r="J724" i="7"/>
  <c r="AH724" i="7" s="1"/>
  <c r="H723" i="7"/>
  <c r="AI723" i="7" s="1"/>
  <c r="I723" i="7"/>
  <c r="AG723" i="7" s="1"/>
  <c r="K724" i="7"/>
  <c r="M725" i="7"/>
  <c r="N725" i="7" s="1"/>
  <c r="G721" i="28"/>
  <c r="H721" i="28" s="1"/>
  <c r="F720" i="28"/>
  <c r="G717" i="27"/>
  <c r="H717" i="27" s="1"/>
  <c r="J717" i="27" s="1"/>
  <c r="L717" i="27" s="1"/>
  <c r="F716" i="27"/>
  <c r="J720" i="13" l="1"/>
  <c r="I720" i="13"/>
  <c r="F718" i="13"/>
  <c r="H719" i="13"/>
  <c r="G719" i="13"/>
  <c r="N724" i="7"/>
  <c r="J723" i="7"/>
  <c r="L723" i="7"/>
  <c r="I722" i="7"/>
  <c r="AG722" i="7" s="1"/>
  <c r="H722" i="7"/>
  <c r="AI722" i="7" s="1"/>
  <c r="K723" i="7"/>
  <c r="G721" i="7"/>
  <c r="F719" i="28"/>
  <c r="G720" i="28"/>
  <c r="H720" i="28" s="1"/>
  <c r="G716" i="27"/>
  <c r="H716" i="27" s="1"/>
  <c r="J716" i="27" s="1"/>
  <c r="L716" i="27" s="1"/>
  <c r="F715" i="27"/>
  <c r="J719" i="13" l="1"/>
  <c r="I719" i="13"/>
  <c r="F717" i="13"/>
  <c r="H718" i="13"/>
  <c r="G718" i="13"/>
  <c r="AH723" i="7"/>
  <c r="J722" i="7"/>
  <c r="AH722" i="7" s="1"/>
  <c r="L722" i="7"/>
  <c r="M722" i="7" s="1"/>
  <c r="M723" i="7"/>
  <c r="N723" i="7" s="1"/>
  <c r="G720" i="7"/>
  <c r="H721" i="7"/>
  <c r="AI721" i="7" s="1"/>
  <c r="I721" i="7"/>
  <c r="AG721" i="7" s="1"/>
  <c r="K722" i="7"/>
  <c r="G719" i="28"/>
  <c r="H719" i="28" s="1"/>
  <c r="F718" i="28"/>
  <c r="G715" i="27"/>
  <c r="H715" i="27" s="1"/>
  <c r="J715" i="27" s="1"/>
  <c r="L715" i="27" s="1"/>
  <c r="F714" i="27"/>
  <c r="J718" i="13" l="1"/>
  <c r="I718" i="13"/>
  <c r="F716" i="13"/>
  <c r="H717" i="13"/>
  <c r="G717" i="13"/>
  <c r="J721" i="7"/>
  <c r="L721" i="7"/>
  <c r="K721" i="7"/>
  <c r="G719" i="7"/>
  <c r="I720" i="7"/>
  <c r="AG720" i="7" s="1"/>
  <c r="H720" i="7"/>
  <c r="AI720" i="7" s="1"/>
  <c r="N722" i="7"/>
  <c r="G718" i="28"/>
  <c r="H718" i="28" s="1"/>
  <c r="F717" i="28"/>
  <c r="G714" i="27"/>
  <c r="H714" i="27" s="1"/>
  <c r="J714" i="27" s="1"/>
  <c r="L714" i="27" s="1"/>
  <c r="F713" i="27"/>
  <c r="J717" i="13" l="1"/>
  <c r="I717" i="13"/>
  <c r="F715" i="13"/>
  <c r="H716" i="13"/>
  <c r="G716" i="13"/>
  <c r="AH721" i="7"/>
  <c r="J720" i="7"/>
  <c r="L720" i="7"/>
  <c r="G718" i="7"/>
  <c r="H719" i="7"/>
  <c r="AI719" i="7" s="1"/>
  <c r="I719" i="7"/>
  <c r="AG719" i="7" s="1"/>
  <c r="M721" i="7"/>
  <c r="N721" i="7" s="1"/>
  <c r="K720" i="7"/>
  <c r="G717" i="28"/>
  <c r="H717" i="28" s="1"/>
  <c r="F716" i="28"/>
  <c r="G713" i="27"/>
  <c r="H713" i="27" s="1"/>
  <c r="J713" i="27" s="1"/>
  <c r="L713" i="27" s="1"/>
  <c r="F712" i="27"/>
  <c r="J716" i="13" l="1"/>
  <c r="I716" i="13"/>
  <c r="F714" i="13"/>
  <c r="H715" i="13"/>
  <c r="G715" i="13"/>
  <c r="AH720" i="7"/>
  <c r="G717" i="7"/>
  <c r="H718" i="7"/>
  <c r="AI718" i="7" s="1"/>
  <c r="I718" i="7"/>
  <c r="AG718" i="7" s="1"/>
  <c r="L719" i="7"/>
  <c r="J719" i="7"/>
  <c r="M720" i="7"/>
  <c r="N720" i="7" s="1"/>
  <c r="K719" i="7"/>
  <c r="G716" i="28"/>
  <c r="H716" i="28" s="1"/>
  <c r="F715" i="28"/>
  <c r="G712" i="27"/>
  <c r="H712" i="27" s="1"/>
  <c r="J712" i="27" s="1"/>
  <c r="L712" i="27" s="1"/>
  <c r="F711" i="27"/>
  <c r="F713" i="13" l="1"/>
  <c r="H714" i="13"/>
  <c r="G714" i="13"/>
  <c r="J715" i="13"/>
  <c r="I715" i="13"/>
  <c r="AH719" i="7"/>
  <c r="K718" i="7"/>
  <c r="H717" i="7"/>
  <c r="AI717" i="7" s="1"/>
  <c r="I717" i="7"/>
  <c r="AG717" i="7" s="1"/>
  <c r="L718" i="7"/>
  <c r="J718" i="7"/>
  <c r="M719" i="7"/>
  <c r="N719" i="7" s="1"/>
  <c r="G716" i="7"/>
  <c r="F714" i="28"/>
  <c r="G715" i="28"/>
  <c r="H715" i="28" s="1"/>
  <c r="G711" i="27"/>
  <c r="H711" i="27" s="1"/>
  <c r="J711" i="27" s="1"/>
  <c r="L711" i="27" s="1"/>
  <c r="F710" i="27"/>
  <c r="J714" i="13" l="1"/>
  <c r="I714" i="13"/>
  <c r="F712" i="13"/>
  <c r="H713" i="13"/>
  <c r="G713" i="13"/>
  <c r="AH718" i="7"/>
  <c r="J717" i="7"/>
  <c r="L717" i="7"/>
  <c r="K717" i="7"/>
  <c r="H716" i="7"/>
  <c r="AI716" i="7" s="1"/>
  <c r="I716" i="7"/>
  <c r="AG716" i="7" s="1"/>
  <c r="G715" i="7"/>
  <c r="M718" i="7"/>
  <c r="N718" i="7" s="1"/>
  <c r="G714" i="28"/>
  <c r="H714" i="28" s="1"/>
  <c r="F713" i="28"/>
  <c r="G710" i="27"/>
  <c r="H710" i="27" s="1"/>
  <c r="J710" i="27" s="1"/>
  <c r="L710" i="27" s="1"/>
  <c r="F709" i="27"/>
  <c r="F711" i="13" l="1"/>
  <c r="H712" i="13"/>
  <c r="G712" i="13"/>
  <c r="J713" i="13"/>
  <c r="I713" i="13"/>
  <c r="AH717" i="7"/>
  <c r="H715" i="7"/>
  <c r="AI715" i="7" s="1"/>
  <c r="I715" i="7"/>
  <c r="AG715" i="7" s="1"/>
  <c r="J716" i="7"/>
  <c r="L716" i="7"/>
  <c r="M717" i="7"/>
  <c r="N717" i="7" s="1"/>
  <c r="G714" i="7"/>
  <c r="K716" i="7"/>
  <c r="G713" i="28"/>
  <c r="H713" i="28" s="1"/>
  <c r="F712" i="28"/>
  <c r="G709" i="27"/>
  <c r="H709" i="27" s="1"/>
  <c r="J709" i="27" s="1"/>
  <c r="L709" i="27" s="1"/>
  <c r="F708" i="27"/>
  <c r="J712" i="13" l="1"/>
  <c r="I712" i="13"/>
  <c r="F710" i="13"/>
  <c r="H711" i="13"/>
  <c r="G711" i="13"/>
  <c r="AH716" i="7"/>
  <c r="H714" i="7"/>
  <c r="AI714" i="7" s="1"/>
  <c r="I714" i="7"/>
  <c r="AG714" i="7" s="1"/>
  <c r="M716" i="7"/>
  <c r="N716" i="7" s="1"/>
  <c r="G713" i="7"/>
  <c r="L715" i="7"/>
  <c r="J715" i="7"/>
  <c r="K715" i="7"/>
  <c r="G712" i="28"/>
  <c r="H712" i="28" s="1"/>
  <c r="F711" i="28"/>
  <c r="G708" i="27"/>
  <c r="H708" i="27" s="1"/>
  <c r="J708" i="27" s="1"/>
  <c r="L708" i="27" s="1"/>
  <c r="F707" i="27"/>
  <c r="F709" i="13" l="1"/>
  <c r="H710" i="13"/>
  <c r="G710" i="13"/>
  <c r="J711" i="13"/>
  <c r="I711" i="13"/>
  <c r="AH715" i="7"/>
  <c r="M715" i="7"/>
  <c r="N715" i="7" s="1"/>
  <c r="G712" i="7"/>
  <c r="J714" i="7"/>
  <c r="L714" i="7"/>
  <c r="I713" i="7"/>
  <c r="AG713" i="7" s="1"/>
  <c r="H713" i="7"/>
  <c r="AI713" i="7" s="1"/>
  <c r="K714" i="7"/>
  <c r="F710" i="28"/>
  <c r="G711" i="28"/>
  <c r="H711" i="28" s="1"/>
  <c r="G707" i="27"/>
  <c r="H707" i="27" s="1"/>
  <c r="J707" i="27" s="1"/>
  <c r="L707" i="27" s="1"/>
  <c r="F706" i="27"/>
  <c r="J710" i="13" l="1"/>
  <c r="I710" i="13"/>
  <c r="F708" i="13"/>
  <c r="H709" i="13"/>
  <c r="G709" i="13"/>
  <c r="AH714" i="7"/>
  <c r="K713" i="7"/>
  <c r="G711" i="7"/>
  <c r="J713" i="7"/>
  <c r="L713" i="7"/>
  <c r="I712" i="7"/>
  <c r="AG712" i="7" s="1"/>
  <c r="H712" i="7"/>
  <c r="AI712" i="7" s="1"/>
  <c r="M714" i="7"/>
  <c r="N714" i="7" s="1"/>
  <c r="G710" i="28"/>
  <c r="H710" i="28" s="1"/>
  <c r="F709" i="28"/>
  <c r="G706" i="27"/>
  <c r="H706" i="27" s="1"/>
  <c r="J706" i="27" s="1"/>
  <c r="L706" i="27" s="1"/>
  <c r="F705" i="27"/>
  <c r="F707" i="13" l="1"/>
  <c r="H708" i="13"/>
  <c r="G708" i="13"/>
  <c r="J709" i="13"/>
  <c r="I709" i="13"/>
  <c r="AH713" i="7"/>
  <c r="K712" i="7"/>
  <c r="H711" i="7"/>
  <c r="AI711" i="7" s="1"/>
  <c r="I711" i="7"/>
  <c r="AG711" i="7" s="1"/>
  <c r="J712" i="7"/>
  <c r="L712" i="7"/>
  <c r="G710" i="7"/>
  <c r="M713" i="7"/>
  <c r="N713" i="7" s="1"/>
  <c r="F708" i="28"/>
  <c r="G709" i="28"/>
  <c r="H709" i="28" s="1"/>
  <c r="G705" i="27"/>
  <c r="H705" i="27" s="1"/>
  <c r="J705" i="27" s="1"/>
  <c r="L705" i="27" s="1"/>
  <c r="F704" i="27"/>
  <c r="J708" i="13" l="1"/>
  <c r="I708" i="13"/>
  <c r="F706" i="13"/>
  <c r="H707" i="13"/>
  <c r="G707" i="13"/>
  <c r="AH712" i="7"/>
  <c r="H710" i="7"/>
  <c r="AI710" i="7" s="1"/>
  <c r="I710" i="7"/>
  <c r="AG710" i="7" s="1"/>
  <c r="L711" i="7"/>
  <c r="J711" i="7"/>
  <c r="G709" i="7"/>
  <c r="K711" i="7"/>
  <c r="M712" i="7"/>
  <c r="N712" i="7" s="1"/>
  <c r="G708" i="28"/>
  <c r="H708" i="28" s="1"/>
  <c r="F707" i="28"/>
  <c r="G704" i="27"/>
  <c r="H704" i="27" s="1"/>
  <c r="J704" i="27" s="1"/>
  <c r="L704" i="27" s="1"/>
  <c r="F703" i="27"/>
  <c r="F705" i="13" l="1"/>
  <c r="H706" i="13"/>
  <c r="G706" i="13"/>
  <c r="J707" i="13"/>
  <c r="I707" i="13"/>
  <c r="AH711" i="7"/>
  <c r="M711" i="7"/>
  <c r="N711" i="7" s="1"/>
  <c r="G708" i="7"/>
  <c r="L710" i="7"/>
  <c r="J710" i="7"/>
  <c r="I709" i="7"/>
  <c r="AG709" i="7" s="1"/>
  <c r="H709" i="7"/>
  <c r="AI709" i="7" s="1"/>
  <c r="K710" i="7"/>
  <c r="G707" i="28"/>
  <c r="H707" i="28" s="1"/>
  <c r="F706" i="28"/>
  <c r="G703" i="27"/>
  <c r="H703" i="27" s="1"/>
  <c r="J703" i="27" s="1"/>
  <c r="L703" i="27" s="1"/>
  <c r="F702" i="27"/>
  <c r="J706" i="13" l="1"/>
  <c r="I706" i="13"/>
  <c r="F704" i="13"/>
  <c r="H705" i="13"/>
  <c r="G705" i="13"/>
  <c r="AH710" i="7"/>
  <c r="K709" i="7"/>
  <c r="G707" i="7"/>
  <c r="L709" i="7"/>
  <c r="J709" i="7"/>
  <c r="H708" i="7"/>
  <c r="AI708" i="7" s="1"/>
  <c r="I708" i="7"/>
  <c r="AG708" i="7" s="1"/>
  <c r="M710" i="7"/>
  <c r="N710" i="7" s="1"/>
  <c r="F705" i="28"/>
  <c r="G706" i="28"/>
  <c r="H706" i="28" s="1"/>
  <c r="G702" i="27"/>
  <c r="H702" i="27" s="1"/>
  <c r="J702" i="27" s="1"/>
  <c r="L702" i="27" s="1"/>
  <c r="F701" i="27"/>
  <c r="F703" i="13" l="1"/>
  <c r="H704" i="13"/>
  <c r="G704" i="13"/>
  <c r="J705" i="13"/>
  <c r="I705" i="13"/>
  <c r="AH709" i="7"/>
  <c r="J708" i="7"/>
  <c r="L708" i="7"/>
  <c r="G706" i="7"/>
  <c r="K708" i="7"/>
  <c r="H707" i="7"/>
  <c r="AI707" i="7" s="1"/>
  <c r="I707" i="7"/>
  <c r="AG707" i="7" s="1"/>
  <c r="M709" i="7"/>
  <c r="N709" i="7" s="1"/>
  <c r="G705" i="28"/>
  <c r="H705" i="28" s="1"/>
  <c r="F704" i="28"/>
  <c r="G701" i="27"/>
  <c r="H701" i="27" s="1"/>
  <c r="J701" i="27" s="1"/>
  <c r="L701" i="27" s="1"/>
  <c r="F700" i="27"/>
  <c r="J704" i="13" l="1"/>
  <c r="I704" i="13"/>
  <c r="F702" i="13"/>
  <c r="H703" i="13"/>
  <c r="G703" i="13"/>
  <c r="AH708" i="7"/>
  <c r="M708" i="7"/>
  <c r="N708" i="7" s="1"/>
  <c r="G705" i="7"/>
  <c r="J707" i="7"/>
  <c r="L707" i="7"/>
  <c r="K707" i="7"/>
  <c r="H706" i="7"/>
  <c r="AI706" i="7" s="1"/>
  <c r="I706" i="7"/>
  <c r="AG706" i="7" s="1"/>
  <c r="G704" i="28"/>
  <c r="H704" i="28" s="1"/>
  <c r="F703" i="28"/>
  <c r="G700" i="27"/>
  <c r="H700" i="27" s="1"/>
  <c r="J700" i="27" s="1"/>
  <c r="L700" i="27" s="1"/>
  <c r="F699" i="27"/>
  <c r="F701" i="13" l="1"/>
  <c r="H702" i="13"/>
  <c r="G702" i="13"/>
  <c r="J703" i="13"/>
  <c r="I703" i="13"/>
  <c r="AH707" i="7"/>
  <c r="H705" i="7"/>
  <c r="AI705" i="7" s="1"/>
  <c r="I705" i="7"/>
  <c r="AG705" i="7" s="1"/>
  <c r="G704" i="7"/>
  <c r="J706" i="7"/>
  <c r="L706" i="7"/>
  <c r="M707" i="7"/>
  <c r="N707" i="7" s="1"/>
  <c r="K706" i="7"/>
  <c r="G703" i="28"/>
  <c r="H703" i="28" s="1"/>
  <c r="F702" i="28"/>
  <c r="G699" i="27"/>
  <c r="H699" i="27" s="1"/>
  <c r="J699" i="27" s="1"/>
  <c r="L699" i="27" s="1"/>
  <c r="F698" i="27"/>
  <c r="J702" i="13" l="1"/>
  <c r="I702" i="13"/>
  <c r="F700" i="13"/>
  <c r="H701" i="13"/>
  <c r="G701" i="13"/>
  <c r="AH706" i="7"/>
  <c r="G703" i="7"/>
  <c r="H704" i="7"/>
  <c r="AI704" i="7" s="1"/>
  <c r="I704" i="7"/>
  <c r="AG704" i="7" s="1"/>
  <c r="M706" i="7"/>
  <c r="N706" i="7" s="1"/>
  <c r="J705" i="7"/>
  <c r="L705" i="7"/>
  <c r="K705" i="7"/>
  <c r="G702" i="28"/>
  <c r="H702" i="28" s="1"/>
  <c r="F701" i="28"/>
  <c r="G698" i="27"/>
  <c r="H698" i="27" s="1"/>
  <c r="J698" i="27" s="1"/>
  <c r="L698" i="27" s="1"/>
  <c r="F697" i="27"/>
  <c r="F699" i="13" l="1"/>
  <c r="H700" i="13"/>
  <c r="G700" i="13"/>
  <c r="J701" i="13"/>
  <c r="I701" i="13"/>
  <c r="AH705" i="7"/>
  <c r="M705" i="7"/>
  <c r="N705" i="7" s="1"/>
  <c r="L704" i="7"/>
  <c r="J704" i="7"/>
  <c r="K704" i="7"/>
  <c r="G702" i="7"/>
  <c r="H703" i="7"/>
  <c r="AI703" i="7" s="1"/>
  <c r="I703" i="7"/>
  <c r="AG703" i="7" s="1"/>
  <c r="F700" i="28"/>
  <c r="G701" i="28"/>
  <c r="H701" i="28" s="1"/>
  <c r="G697" i="27"/>
  <c r="H697" i="27" s="1"/>
  <c r="J697" i="27" s="1"/>
  <c r="L697" i="27" s="1"/>
  <c r="F696" i="27"/>
  <c r="J700" i="13" l="1"/>
  <c r="I700" i="13"/>
  <c r="F698" i="13"/>
  <c r="H699" i="13"/>
  <c r="G699" i="13"/>
  <c r="AH704" i="7"/>
  <c r="H702" i="7"/>
  <c r="AI702" i="7" s="1"/>
  <c r="I702" i="7"/>
  <c r="AG702" i="7" s="1"/>
  <c r="L703" i="7"/>
  <c r="J703" i="7"/>
  <c r="M704" i="7"/>
  <c r="N704" i="7" s="1"/>
  <c r="K703" i="7"/>
  <c r="G701" i="7"/>
  <c r="G700" i="28"/>
  <c r="H700" i="28" s="1"/>
  <c r="F699" i="28"/>
  <c r="G696" i="27"/>
  <c r="H696" i="27" s="1"/>
  <c r="J696" i="27" s="1"/>
  <c r="L696" i="27" s="1"/>
  <c r="F695" i="27"/>
  <c r="J699" i="13" l="1"/>
  <c r="I699" i="13"/>
  <c r="F697" i="13"/>
  <c r="H698" i="13"/>
  <c r="G698" i="13"/>
  <c r="AH703" i="7"/>
  <c r="M703" i="7"/>
  <c r="N703" i="7" s="1"/>
  <c r="H701" i="7"/>
  <c r="AI701" i="7" s="1"/>
  <c r="I701" i="7"/>
  <c r="AG701" i="7" s="1"/>
  <c r="J702" i="7"/>
  <c r="L702" i="7"/>
  <c r="G700" i="7"/>
  <c r="K702" i="7"/>
  <c r="G699" i="28"/>
  <c r="H699" i="28" s="1"/>
  <c r="F698" i="28"/>
  <c r="G695" i="27"/>
  <c r="H695" i="27" s="1"/>
  <c r="J695" i="27" s="1"/>
  <c r="L695" i="27" s="1"/>
  <c r="F694" i="27"/>
  <c r="F696" i="13" l="1"/>
  <c r="H697" i="13"/>
  <c r="G697" i="13"/>
  <c r="J698" i="13"/>
  <c r="I698" i="13"/>
  <c r="AH702" i="7"/>
  <c r="H700" i="7"/>
  <c r="AI700" i="7" s="1"/>
  <c r="I700" i="7"/>
  <c r="AG700" i="7" s="1"/>
  <c r="L701" i="7"/>
  <c r="J701" i="7"/>
  <c r="G699" i="7"/>
  <c r="K701" i="7"/>
  <c r="M702" i="7"/>
  <c r="N702" i="7" s="1"/>
  <c r="G698" i="28"/>
  <c r="H698" i="28" s="1"/>
  <c r="F697" i="28"/>
  <c r="G694" i="27"/>
  <c r="H694" i="27" s="1"/>
  <c r="J694" i="27" s="1"/>
  <c r="L694" i="27" s="1"/>
  <c r="F693" i="27"/>
  <c r="J697" i="13" l="1"/>
  <c r="I697" i="13"/>
  <c r="F695" i="13"/>
  <c r="H696" i="13"/>
  <c r="G696" i="13"/>
  <c r="AH701" i="7"/>
  <c r="M701" i="7"/>
  <c r="N701" i="7" s="1"/>
  <c r="H699" i="7"/>
  <c r="AI699" i="7" s="1"/>
  <c r="I699" i="7"/>
  <c r="AG699" i="7" s="1"/>
  <c r="L700" i="7"/>
  <c r="J700" i="7"/>
  <c r="G698" i="7"/>
  <c r="K700" i="7"/>
  <c r="G697" i="28"/>
  <c r="H697" i="28" s="1"/>
  <c r="F696" i="28"/>
  <c r="G693" i="27"/>
  <c r="H693" i="27" s="1"/>
  <c r="J693" i="27" s="1"/>
  <c r="L693" i="27" s="1"/>
  <c r="F692" i="27"/>
  <c r="J696" i="13" l="1"/>
  <c r="I696" i="13"/>
  <c r="F694" i="13"/>
  <c r="H695" i="13"/>
  <c r="G695" i="13"/>
  <c r="AH700" i="7"/>
  <c r="H698" i="7"/>
  <c r="I698" i="7"/>
  <c r="AG698" i="7" s="1"/>
  <c r="J699" i="7"/>
  <c r="L699" i="7"/>
  <c r="G697" i="7"/>
  <c r="K699" i="7"/>
  <c r="M700" i="7"/>
  <c r="N700" i="7" s="1"/>
  <c r="F695" i="28"/>
  <c r="G696" i="28"/>
  <c r="H696" i="28" s="1"/>
  <c r="G692" i="27"/>
  <c r="H692" i="27" s="1"/>
  <c r="J692" i="27" s="1"/>
  <c r="L692" i="27" s="1"/>
  <c r="F691" i="27"/>
  <c r="J695" i="13" l="1"/>
  <c r="I695" i="13"/>
  <c r="F693" i="13"/>
  <c r="H694" i="13"/>
  <c r="G694" i="13"/>
  <c r="K698" i="7"/>
  <c r="AI698" i="7"/>
  <c r="AH699" i="7"/>
  <c r="M699" i="7"/>
  <c r="N699" i="7" s="1"/>
  <c r="H697" i="7"/>
  <c r="AI697" i="7" s="1"/>
  <c r="I697" i="7"/>
  <c r="AG697" i="7" s="1"/>
  <c r="L698" i="7"/>
  <c r="J698" i="7"/>
  <c r="G696" i="7"/>
  <c r="F694" i="28"/>
  <c r="G695" i="28"/>
  <c r="H695" i="28" s="1"/>
  <c r="G691" i="27"/>
  <c r="H691" i="27" s="1"/>
  <c r="J691" i="27" s="1"/>
  <c r="L691" i="27" s="1"/>
  <c r="F690" i="27"/>
  <c r="J694" i="13" l="1"/>
  <c r="I694" i="13"/>
  <c r="F692" i="13"/>
  <c r="H693" i="13"/>
  <c r="G693" i="13"/>
  <c r="AH698" i="7"/>
  <c r="G695" i="7"/>
  <c r="L697" i="7"/>
  <c r="J697" i="7"/>
  <c r="AH697" i="7" s="1"/>
  <c r="I696" i="7"/>
  <c r="AG696" i="7" s="1"/>
  <c r="H696" i="7"/>
  <c r="K697" i="7"/>
  <c r="M698" i="7"/>
  <c r="N698" i="7" s="1"/>
  <c r="F693" i="28"/>
  <c r="G694" i="28"/>
  <c r="H694" i="28" s="1"/>
  <c r="G690" i="27"/>
  <c r="H690" i="27" s="1"/>
  <c r="J690" i="27" s="1"/>
  <c r="L690" i="27" s="1"/>
  <c r="F689" i="27"/>
  <c r="J693" i="13" l="1"/>
  <c r="I693" i="13"/>
  <c r="F691" i="13"/>
  <c r="H692" i="13"/>
  <c r="G692" i="13"/>
  <c r="K696" i="7"/>
  <c r="AI696" i="7"/>
  <c r="M697" i="7"/>
  <c r="N697" i="7" s="1"/>
  <c r="H695" i="7"/>
  <c r="I695" i="7"/>
  <c r="AG695" i="7" s="1"/>
  <c r="J696" i="7"/>
  <c r="L696" i="7"/>
  <c r="G694" i="7"/>
  <c r="F692" i="28"/>
  <c r="G693" i="28"/>
  <c r="H693" i="28" s="1"/>
  <c r="G689" i="27"/>
  <c r="H689" i="27" s="1"/>
  <c r="J689" i="27" s="1"/>
  <c r="L689" i="27" s="1"/>
  <c r="F688" i="27"/>
  <c r="J692" i="13" l="1"/>
  <c r="I692" i="13"/>
  <c r="F690" i="13"/>
  <c r="H691" i="13"/>
  <c r="G691" i="13"/>
  <c r="AH696" i="7"/>
  <c r="K695" i="7"/>
  <c r="AI695" i="7"/>
  <c r="M696" i="7"/>
  <c r="N696" i="7" s="1"/>
  <c r="G693" i="7"/>
  <c r="L695" i="7"/>
  <c r="J695" i="7"/>
  <c r="H694" i="7"/>
  <c r="AI694" i="7" s="1"/>
  <c r="I694" i="7"/>
  <c r="AG694" i="7" s="1"/>
  <c r="F691" i="28"/>
  <c r="G692" i="28"/>
  <c r="H692" i="28" s="1"/>
  <c r="G688" i="27"/>
  <c r="H688" i="27" s="1"/>
  <c r="J688" i="27" s="1"/>
  <c r="L688" i="27" s="1"/>
  <c r="F687" i="27"/>
  <c r="J691" i="13" l="1"/>
  <c r="I691" i="13"/>
  <c r="F689" i="13"/>
  <c r="H690" i="13"/>
  <c r="G690" i="13"/>
  <c r="AH695" i="7"/>
  <c r="M695" i="7"/>
  <c r="N695" i="7" s="1"/>
  <c r="L694" i="7"/>
  <c r="M694" i="7" s="1"/>
  <c r="J694" i="7"/>
  <c r="H693" i="7"/>
  <c r="AI693" i="7" s="1"/>
  <c r="I693" i="7"/>
  <c r="AG693" i="7" s="1"/>
  <c r="K694" i="7"/>
  <c r="G692" i="7"/>
  <c r="F690" i="28"/>
  <c r="G691" i="28"/>
  <c r="H691" i="28" s="1"/>
  <c r="G687" i="27"/>
  <c r="H687" i="27" s="1"/>
  <c r="J687" i="27" s="1"/>
  <c r="L687" i="27" s="1"/>
  <c r="F686" i="27"/>
  <c r="J690" i="13" l="1"/>
  <c r="I690" i="13"/>
  <c r="F688" i="13"/>
  <c r="H689" i="13"/>
  <c r="G689" i="13"/>
  <c r="AH694" i="7"/>
  <c r="N694" i="7"/>
  <c r="G691" i="7"/>
  <c r="L693" i="7"/>
  <c r="J693" i="7"/>
  <c r="I692" i="7"/>
  <c r="AG692" i="7" s="1"/>
  <c r="H692" i="7"/>
  <c r="AI692" i="7" s="1"/>
  <c r="K693" i="7"/>
  <c r="F689" i="28"/>
  <c r="G690" i="28"/>
  <c r="H690" i="28" s="1"/>
  <c r="G686" i="27"/>
  <c r="H686" i="27" s="1"/>
  <c r="J686" i="27" s="1"/>
  <c r="L686" i="27" s="1"/>
  <c r="F685" i="27"/>
  <c r="J689" i="13" l="1"/>
  <c r="I689" i="13"/>
  <c r="F687" i="13"/>
  <c r="H688" i="13"/>
  <c r="G688" i="13"/>
  <c r="AH693" i="7"/>
  <c r="M693" i="7"/>
  <c r="N693" i="7" s="1"/>
  <c r="K692" i="7"/>
  <c r="G690" i="7"/>
  <c r="L692" i="7"/>
  <c r="J692" i="7"/>
  <c r="I691" i="7"/>
  <c r="AG691" i="7" s="1"/>
  <c r="H691" i="7"/>
  <c r="AI691" i="7" s="1"/>
  <c r="G689" i="28"/>
  <c r="H689" i="28" s="1"/>
  <c r="F688" i="28"/>
  <c r="G685" i="27"/>
  <c r="H685" i="27" s="1"/>
  <c r="J685" i="27" s="1"/>
  <c r="L685" i="27" s="1"/>
  <c r="F684" i="27"/>
  <c r="J688" i="13" l="1"/>
  <c r="I688" i="13"/>
  <c r="F686" i="13"/>
  <c r="H687" i="13"/>
  <c r="G687" i="13"/>
  <c r="AH692" i="7"/>
  <c r="M692" i="7"/>
  <c r="N692" i="7" s="1"/>
  <c r="K691" i="7"/>
  <c r="H690" i="7"/>
  <c r="I690" i="7"/>
  <c r="AG690" i="7" s="1"/>
  <c r="J691" i="7"/>
  <c r="L691" i="7"/>
  <c r="G689" i="7"/>
  <c r="F687" i="28"/>
  <c r="G688" i="28"/>
  <c r="H688" i="28" s="1"/>
  <c r="G684" i="27"/>
  <c r="H684" i="27" s="1"/>
  <c r="J684" i="27" s="1"/>
  <c r="L684" i="27" s="1"/>
  <c r="F683" i="27"/>
  <c r="J687" i="13" l="1"/>
  <c r="I687" i="13"/>
  <c r="F685" i="13"/>
  <c r="H686" i="13"/>
  <c r="G686" i="13"/>
  <c r="K690" i="7"/>
  <c r="AI690" i="7"/>
  <c r="AH691" i="7"/>
  <c r="G688" i="7"/>
  <c r="L690" i="7"/>
  <c r="J690" i="7"/>
  <c r="H689" i="7"/>
  <c r="AI689" i="7" s="1"/>
  <c r="I689" i="7"/>
  <c r="AG689" i="7" s="1"/>
  <c r="M691" i="7"/>
  <c r="N691" i="7" s="1"/>
  <c r="F686" i="28"/>
  <c r="G687" i="28"/>
  <c r="H687" i="28" s="1"/>
  <c r="G683" i="27"/>
  <c r="H683" i="27" s="1"/>
  <c r="J683" i="27" s="1"/>
  <c r="L683" i="27" s="1"/>
  <c r="F682" i="27"/>
  <c r="J686" i="13" l="1"/>
  <c r="I686" i="13"/>
  <c r="F684" i="13"/>
  <c r="H685" i="13"/>
  <c r="G685" i="13"/>
  <c r="AH690" i="7"/>
  <c r="M690" i="7"/>
  <c r="N690" i="7" s="1"/>
  <c r="L689" i="7"/>
  <c r="J689" i="7"/>
  <c r="G687" i="7"/>
  <c r="K689" i="7"/>
  <c r="H688" i="7"/>
  <c r="AI688" i="7" s="1"/>
  <c r="I688" i="7"/>
  <c r="AG688" i="7" s="1"/>
  <c r="G686" i="28"/>
  <c r="H686" i="28" s="1"/>
  <c r="F685" i="28"/>
  <c r="G682" i="27"/>
  <c r="H682" i="27" s="1"/>
  <c r="J682" i="27" s="1"/>
  <c r="L682" i="27" s="1"/>
  <c r="F681" i="27"/>
  <c r="J685" i="13" l="1"/>
  <c r="I685" i="13"/>
  <c r="F683" i="13"/>
  <c r="H684" i="13"/>
  <c r="G684" i="13"/>
  <c r="AH689" i="7"/>
  <c r="L688" i="7"/>
  <c r="J688" i="7"/>
  <c r="G686" i="7"/>
  <c r="K688" i="7"/>
  <c r="I687" i="7"/>
  <c r="AG687" i="7" s="1"/>
  <c r="H687" i="7"/>
  <c r="AI687" i="7" s="1"/>
  <c r="M689" i="7"/>
  <c r="N689" i="7" s="1"/>
  <c r="G685" i="28"/>
  <c r="H685" i="28" s="1"/>
  <c r="F684" i="28"/>
  <c r="G681" i="27"/>
  <c r="H681" i="27" s="1"/>
  <c r="J681" i="27" s="1"/>
  <c r="L681" i="27" s="1"/>
  <c r="F680" i="27"/>
  <c r="J684" i="13" l="1"/>
  <c r="I684" i="13"/>
  <c r="F682" i="13"/>
  <c r="H683" i="13"/>
  <c r="G683" i="13"/>
  <c r="AH688" i="7"/>
  <c r="K687" i="7"/>
  <c r="G685" i="7"/>
  <c r="L687" i="7"/>
  <c r="J687" i="7"/>
  <c r="H686" i="7"/>
  <c r="AI686" i="7" s="1"/>
  <c r="I686" i="7"/>
  <c r="AG686" i="7" s="1"/>
  <c r="M688" i="7"/>
  <c r="N688" i="7" s="1"/>
  <c r="G684" i="28"/>
  <c r="H684" i="28" s="1"/>
  <c r="F683" i="28"/>
  <c r="G680" i="27"/>
  <c r="H680" i="27" s="1"/>
  <c r="J680" i="27" s="1"/>
  <c r="L680" i="27" s="1"/>
  <c r="F679" i="27"/>
  <c r="J683" i="13" l="1"/>
  <c r="I683" i="13"/>
  <c r="F681" i="13"/>
  <c r="H682" i="13"/>
  <c r="G682" i="13"/>
  <c r="AH687" i="7"/>
  <c r="L686" i="7"/>
  <c r="J686" i="7"/>
  <c r="G684" i="7"/>
  <c r="K686" i="7"/>
  <c r="I685" i="7"/>
  <c r="AG685" i="7" s="1"/>
  <c r="H685" i="7"/>
  <c r="AI685" i="7" s="1"/>
  <c r="M687" i="7"/>
  <c r="N687" i="7" s="1"/>
  <c r="G683" i="28"/>
  <c r="H683" i="28" s="1"/>
  <c r="F682" i="28"/>
  <c r="G679" i="27"/>
  <c r="H679" i="27" s="1"/>
  <c r="J679" i="27" s="1"/>
  <c r="L679" i="27" s="1"/>
  <c r="F678" i="27"/>
  <c r="J682" i="13" l="1"/>
  <c r="I682" i="13"/>
  <c r="F680" i="13"/>
  <c r="H681" i="13"/>
  <c r="G681" i="13"/>
  <c r="AH686" i="7"/>
  <c r="K685" i="7"/>
  <c r="H684" i="7"/>
  <c r="AI684" i="7" s="1"/>
  <c r="I684" i="7"/>
  <c r="AG684" i="7" s="1"/>
  <c r="L685" i="7"/>
  <c r="J685" i="7"/>
  <c r="G683" i="7"/>
  <c r="M686" i="7"/>
  <c r="N686" i="7" s="1"/>
  <c r="F681" i="28"/>
  <c r="G682" i="28"/>
  <c r="H682" i="28" s="1"/>
  <c r="G678" i="27"/>
  <c r="H678" i="27" s="1"/>
  <c r="J678" i="27" s="1"/>
  <c r="L678" i="27" s="1"/>
  <c r="F677" i="27"/>
  <c r="J681" i="13" l="1"/>
  <c r="I681" i="13"/>
  <c r="F679" i="13"/>
  <c r="H680" i="13"/>
  <c r="G680" i="13"/>
  <c r="AH685" i="7"/>
  <c r="G682" i="7"/>
  <c r="J684" i="7"/>
  <c r="L684" i="7"/>
  <c r="H683" i="7"/>
  <c r="AI683" i="7" s="1"/>
  <c r="I683" i="7"/>
  <c r="AG683" i="7" s="1"/>
  <c r="K684" i="7"/>
  <c r="M685" i="7"/>
  <c r="N685" i="7" s="1"/>
  <c r="F680" i="28"/>
  <c r="G681" i="28"/>
  <c r="H681" i="28" s="1"/>
  <c r="G677" i="27"/>
  <c r="H677" i="27" s="1"/>
  <c r="J677" i="27" s="1"/>
  <c r="L677" i="27" s="1"/>
  <c r="F676" i="27"/>
  <c r="J680" i="13" l="1"/>
  <c r="I680" i="13"/>
  <c r="F678" i="13"/>
  <c r="H679" i="13"/>
  <c r="G679" i="13"/>
  <c r="AH684" i="7"/>
  <c r="M684" i="7"/>
  <c r="N684" i="7" s="1"/>
  <c r="J683" i="7"/>
  <c r="L683" i="7"/>
  <c r="H682" i="7"/>
  <c r="AI682" i="7" s="1"/>
  <c r="I682" i="7"/>
  <c r="AG682" i="7" s="1"/>
  <c r="K683" i="7"/>
  <c r="G681" i="7"/>
  <c r="G680" i="28"/>
  <c r="H680" i="28" s="1"/>
  <c r="F679" i="28"/>
  <c r="G676" i="27"/>
  <c r="H676" i="27" s="1"/>
  <c r="J676" i="27" s="1"/>
  <c r="L676" i="27" s="1"/>
  <c r="F675" i="27"/>
  <c r="J679" i="13" l="1"/>
  <c r="I679" i="13"/>
  <c r="F677" i="13"/>
  <c r="H678" i="13"/>
  <c r="G678" i="13"/>
  <c r="AH683" i="7"/>
  <c r="M683" i="7"/>
  <c r="N683" i="7" s="1"/>
  <c r="G680" i="7"/>
  <c r="I681" i="7"/>
  <c r="AG681" i="7" s="1"/>
  <c r="H681" i="7"/>
  <c r="AI681" i="7" s="1"/>
  <c r="J682" i="7"/>
  <c r="L682" i="7"/>
  <c r="K682" i="7"/>
  <c r="G679" i="28"/>
  <c r="H679" i="28" s="1"/>
  <c r="F678" i="28"/>
  <c r="G675" i="27"/>
  <c r="H675" i="27" s="1"/>
  <c r="J675" i="27" s="1"/>
  <c r="L675" i="27" s="1"/>
  <c r="F674" i="27"/>
  <c r="J678" i="13" l="1"/>
  <c r="I678" i="13"/>
  <c r="F676" i="13"/>
  <c r="H677" i="13"/>
  <c r="G677" i="13"/>
  <c r="AH682" i="7"/>
  <c r="M682" i="7"/>
  <c r="N682" i="7" s="1"/>
  <c r="H680" i="7"/>
  <c r="AI680" i="7" s="1"/>
  <c r="I680" i="7"/>
  <c r="AG680" i="7" s="1"/>
  <c r="G679" i="7"/>
  <c r="K681" i="7"/>
  <c r="L681" i="7"/>
  <c r="J681" i="7"/>
  <c r="G678" i="28"/>
  <c r="H678" i="28" s="1"/>
  <c r="F677" i="28"/>
  <c r="G674" i="27"/>
  <c r="H674" i="27" s="1"/>
  <c r="J674" i="27" s="1"/>
  <c r="L674" i="27" s="1"/>
  <c r="F673" i="27"/>
  <c r="J677" i="13" l="1"/>
  <c r="I677" i="13"/>
  <c r="F675" i="13"/>
  <c r="H676" i="13"/>
  <c r="G676" i="13"/>
  <c r="AH681" i="7"/>
  <c r="J680" i="7"/>
  <c r="L680" i="7"/>
  <c r="K680" i="7"/>
  <c r="M681" i="7"/>
  <c r="N681" i="7" s="1"/>
  <c r="G678" i="7"/>
  <c r="I679" i="7"/>
  <c r="AG679" i="7" s="1"/>
  <c r="H679" i="7"/>
  <c r="AI679" i="7" s="1"/>
  <c r="F676" i="28"/>
  <c r="G677" i="28"/>
  <c r="H677" i="28" s="1"/>
  <c r="G673" i="27"/>
  <c r="H673" i="27" s="1"/>
  <c r="J673" i="27" s="1"/>
  <c r="L673" i="27" s="1"/>
  <c r="F672" i="27"/>
  <c r="J676" i="13" l="1"/>
  <c r="I676" i="13"/>
  <c r="F674" i="13"/>
  <c r="H675" i="13"/>
  <c r="G675" i="13"/>
  <c r="AH680" i="7"/>
  <c r="G677" i="7"/>
  <c r="K679" i="7"/>
  <c r="I678" i="7"/>
  <c r="AG678" i="7" s="1"/>
  <c r="H678" i="7"/>
  <c r="AI678" i="7" s="1"/>
  <c r="J679" i="7"/>
  <c r="L679" i="7"/>
  <c r="M680" i="7"/>
  <c r="N680" i="7" s="1"/>
  <c r="G676" i="28"/>
  <c r="H676" i="28" s="1"/>
  <c r="F675" i="28"/>
  <c r="G672" i="27"/>
  <c r="H672" i="27" s="1"/>
  <c r="J672" i="27" s="1"/>
  <c r="L672" i="27" s="1"/>
  <c r="F671" i="27"/>
  <c r="J675" i="13" l="1"/>
  <c r="I675" i="13"/>
  <c r="F673" i="13"/>
  <c r="H674" i="13"/>
  <c r="G674" i="13"/>
  <c r="AH679" i="7"/>
  <c r="K678" i="7"/>
  <c r="J678" i="7"/>
  <c r="L678" i="7"/>
  <c r="M679" i="7"/>
  <c r="N679" i="7" s="1"/>
  <c r="G676" i="7"/>
  <c r="H677" i="7"/>
  <c r="AI677" i="7" s="1"/>
  <c r="I677" i="7"/>
  <c r="AG677" i="7" s="1"/>
  <c r="G675" i="28"/>
  <c r="H675" i="28" s="1"/>
  <c r="F674" i="28"/>
  <c r="G671" i="27"/>
  <c r="H671" i="27" s="1"/>
  <c r="J671" i="27" s="1"/>
  <c r="L671" i="27" s="1"/>
  <c r="F670" i="27"/>
  <c r="J674" i="13" l="1"/>
  <c r="I674" i="13"/>
  <c r="F672" i="13"/>
  <c r="H673" i="13"/>
  <c r="G673" i="13"/>
  <c r="AH678" i="7"/>
  <c r="G675" i="7"/>
  <c r="M678" i="7"/>
  <c r="N678" i="7" s="1"/>
  <c r="H676" i="7"/>
  <c r="AI676" i="7" s="1"/>
  <c r="I676" i="7"/>
  <c r="AG676" i="7" s="1"/>
  <c r="L677" i="7"/>
  <c r="J677" i="7"/>
  <c r="K677" i="7"/>
  <c r="G674" i="28"/>
  <c r="H674" i="28" s="1"/>
  <c r="F673" i="28"/>
  <c r="G670" i="27"/>
  <c r="H670" i="27" s="1"/>
  <c r="J670" i="27" s="1"/>
  <c r="L670" i="27" s="1"/>
  <c r="F669" i="27"/>
  <c r="J673" i="13" l="1"/>
  <c r="I673" i="13"/>
  <c r="F671" i="13"/>
  <c r="H672" i="13"/>
  <c r="G672" i="13"/>
  <c r="AH677" i="7"/>
  <c r="M677" i="7"/>
  <c r="N677" i="7" s="1"/>
  <c r="J676" i="7"/>
  <c r="L676" i="7"/>
  <c r="G674" i="7"/>
  <c r="K676" i="7"/>
  <c r="H675" i="7"/>
  <c r="AI675" i="7" s="1"/>
  <c r="I675" i="7"/>
  <c r="AG675" i="7" s="1"/>
  <c r="G673" i="28"/>
  <c r="H673" i="28" s="1"/>
  <c r="F672" i="28"/>
  <c r="G669" i="27"/>
  <c r="H669" i="27" s="1"/>
  <c r="J669" i="27" s="1"/>
  <c r="L669" i="27" s="1"/>
  <c r="F668" i="27"/>
  <c r="J672" i="13" l="1"/>
  <c r="I672" i="13"/>
  <c r="F670" i="13"/>
  <c r="H671" i="13"/>
  <c r="G671" i="13"/>
  <c r="AH676" i="7"/>
  <c r="M676" i="7"/>
  <c r="N676" i="7" s="1"/>
  <c r="L675" i="7"/>
  <c r="J675" i="7"/>
  <c r="G673" i="7"/>
  <c r="K675" i="7"/>
  <c r="I674" i="7"/>
  <c r="AG674" i="7" s="1"/>
  <c r="H674" i="7"/>
  <c r="AI674" i="7" s="1"/>
  <c r="G672" i="28"/>
  <c r="H672" i="28" s="1"/>
  <c r="F671" i="28"/>
  <c r="G668" i="27"/>
  <c r="H668" i="27" s="1"/>
  <c r="J668" i="27" s="1"/>
  <c r="L668" i="27" s="1"/>
  <c r="F667" i="27"/>
  <c r="J671" i="13" l="1"/>
  <c r="I671" i="13"/>
  <c r="F669" i="13"/>
  <c r="H670" i="13"/>
  <c r="G670" i="13"/>
  <c r="AH675" i="7"/>
  <c r="M675" i="7"/>
  <c r="N675" i="7" s="1"/>
  <c r="K674" i="7"/>
  <c r="G672" i="7"/>
  <c r="J674" i="7"/>
  <c r="L674" i="7"/>
  <c r="H673" i="7"/>
  <c r="AI673" i="7" s="1"/>
  <c r="I673" i="7"/>
  <c r="AG673" i="7" s="1"/>
  <c r="G671" i="28"/>
  <c r="H671" i="28" s="1"/>
  <c r="F670" i="28"/>
  <c r="G667" i="27"/>
  <c r="H667" i="27" s="1"/>
  <c r="J667" i="27" s="1"/>
  <c r="L667" i="27" s="1"/>
  <c r="F666" i="27"/>
  <c r="J670" i="13" l="1"/>
  <c r="I670" i="13"/>
  <c r="F668" i="13"/>
  <c r="H669" i="13"/>
  <c r="G669" i="13"/>
  <c r="AH674" i="7"/>
  <c r="M674" i="7"/>
  <c r="N674" i="7" s="1"/>
  <c r="L673" i="7"/>
  <c r="J673" i="7"/>
  <c r="H672" i="7"/>
  <c r="I672" i="7"/>
  <c r="AG672" i="7" s="1"/>
  <c r="K673" i="7"/>
  <c r="G671" i="7"/>
  <c r="F669" i="28"/>
  <c r="G670" i="28"/>
  <c r="H670" i="28" s="1"/>
  <c r="G666" i="27"/>
  <c r="H666" i="27" s="1"/>
  <c r="J666" i="27" s="1"/>
  <c r="L666" i="27" s="1"/>
  <c r="F665" i="27"/>
  <c r="J669" i="13" l="1"/>
  <c r="I669" i="13"/>
  <c r="F667" i="13"/>
  <c r="H668" i="13"/>
  <c r="G668" i="13"/>
  <c r="K672" i="7"/>
  <c r="AI672" i="7"/>
  <c r="AH673" i="7"/>
  <c r="M673" i="7"/>
  <c r="N673" i="7" s="1"/>
  <c r="G670" i="7"/>
  <c r="J672" i="7"/>
  <c r="L672" i="7"/>
  <c r="I671" i="7"/>
  <c r="AG671" i="7" s="1"/>
  <c r="H671" i="7"/>
  <c r="AI671" i="7" s="1"/>
  <c r="G669" i="28"/>
  <c r="H669" i="28" s="1"/>
  <c r="F668" i="28"/>
  <c r="G665" i="27"/>
  <c r="H665" i="27" s="1"/>
  <c r="J665" i="27" s="1"/>
  <c r="L665" i="27" s="1"/>
  <c r="F664" i="27"/>
  <c r="J668" i="13" l="1"/>
  <c r="I668" i="13"/>
  <c r="F666" i="13"/>
  <c r="H667" i="13"/>
  <c r="G667" i="13"/>
  <c r="AH672" i="7"/>
  <c r="K671" i="7"/>
  <c r="G669" i="7"/>
  <c r="L671" i="7"/>
  <c r="J671" i="7"/>
  <c r="I670" i="7"/>
  <c r="AG670" i="7" s="1"/>
  <c r="H670" i="7"/>
  <c r="AI670" i="7" s="1"/>
  <c r="M672" i="7"/>
  <c r="N672" i="7" s="1"/>
  <c r="F667" i="28"/>
  <c r="G668" i="28"/>
  <c r="H668" i="28" s="1"/>
  <c r="G664" i="27"/>
  <c r="H664" i="27" s="1"/>
  <c r="J664" i="27" s="1"/>
  <c r="L664" i="27" s="1"/>
  <c r="F663" i="27"/>
  <c r="J667" i="13" l="1"/>
  <c r="I667" i="13"/>
  <c r="F665" i="13"/>
  <c r="H666" i="13"/>
  <c r="G666" i="13"/>
  <c r="AH671" i="7"/>
  <c r="K670" i="7"/>
  <c r="G668" i="7"/>
  <c r="J670" i="7"/>
  <c r="L670" i="7"/>
  <c r="H669" i="7"/>
  <c r="AI669" i="7" s="1"/>
  <c r="I669" i="7"/>
  <c r="AG669" i="7" s="1"/>
  <c r="M671" i="7"/>
  <c r="N671" i="7" s="1"/>
  <c r="F666" i="28"/>
  <c r="G667" i="28"/>
  <c r="H667" i="28" s="1"/>
  <c r="G663" i="27"/>
  <c r="H663" i="27" s="1"/>
  <c r="J663" i="27" s="1"/>
  <c r="L663" i="27" s="1"/>
  <c r="F662" i="27"/>
  <c r="J666" i="13" l="1"/>
  <c r="I666" i="13"/>
  <c r="F664" i="13"/>
  <c r="H665" i="13"/>
  <c r="G665" i="13"/>
  <c r="AH670" i="7"/>
  <c r="J669" i="7"/>
  <c r="L669" i="7"/>
  <c r="G667" i="7"/>
  <c r="K669" i="7"/>
  <c r="I668" i="7"/>
  <c r="AG668" i="7" s="1"/>
  <c r="H668" i="7"/>
  <c r="AI668" i="7" s="1"/>
  <c r="M670" i="7"/>
  <c r="N670" i="7" s="1"/>
  <c r="G666" i="28"/>
  <c r="H666" i="28" s="1"/>
  <c r="F665" i="28"/>
  <c r="G662" i="27"/>
  <c r="H662" i="27" s="1"/>
  <c r="J662" i="27" s="1"/>
  <c r="L662" i="27" s="1"/>
  <c r="F661" i="27"/>
  <c r="J665" i="13" l="1"/>
  <c r="I665" i="13"/>
  <c r="F663" i="13"/>
  <c r="H664" i="13"/>
  <c r="G664" i="13"/>
  <c r="AH669" i="7"/>
  <c r="H667" i="7"/>
  <c r="AI667" i="7" s="1"/>
  <c r="I667" i="7"/>
  <c r="AG667" i="7" s="1"/>
  <c r="L668" i="7"/>
  <c r="J668" i="7"/>
  <c r="G666" i="7"/>
  <c r="K668" i="7"/>
  <c r="M669" i="7"/>
  <c r="N669" i="7" s="1"/>
  <c r="F664" i="28"/>
  <c r="G665" i="28"/>
  <c r="H665" i="28" s="1"/>
  <c r="G661" i="27"/>
  <c r="H661" i="27" s="1"/>
  <c r="J661" i="27" s="1"/>
  <c r="L661" i="27" s="1"/>
  <c r="F660" i="27"/>
  <c r="J664" i="13" l="1"/>
  <c r="I664" i="13"/>
  <c r="F662" i="13"/>
  <c r="H663" i="13"/>
  <c r="G663" i="13"/>
  <c r="AH668" i="7"/>
  <c r="M668" i="7"/>
  <c r="N668" i="7" s="1"/>
  <c r="G665" i="7"/>
  <c r="L667" i="7"/>
  <c r="J667" i="7"/>
  <c r="H666" i="7"/>
  <c r="AI666" i="7" s="1"/>
  <c r="I666" i="7"/>
  <c r="AG666" i="7" s="1"/>
  <c r="K667" i="7"/>
  <c r="G664" i="28"/>
  <c r="H664" i="28" s="1"/>
  <c r="F663" i="28"/>
  <c r="G660" i="27"/>
  <c r="H660" i="27" s="1"/>
  <c r="J660" i="27" s="1"/>
  <c r="L660" i="27" s="1"/>
  <c r="F659" i="27"/>
  <c r="J663" i="13" l="1"/>
  <c r="I663" i="13"/>
  <c r="F661" i="13"/>
  <c r="H662" i="13"/>
  <c r="G662" i="13"/>
  <c r="AH667" i="7"/>
  <c r="K666" i="7"/>
  <c r="G664" i="7"/>
  <c r="J666" i="7"/>
  <c r="L666" i="7"/>
  <c r="H665" i="7"/>
  <c r="I665" i="7"/>
  <c r="AG665" i="7" s="1"/>
  <c r="M667" i="7"/>
  <c r="N667" i="7" s="1"/>
  <c r="F662" i="28"/>
  <c r="G663" i="28"/>
  <c r="H663" i="28" s="1"/>
  <c r="G659" i="27"/>
  <c r="H659" i="27" s="1"/>
  <c r="J659" i="27" s="1"/>
  <c r="L659" i="27" s="1"/>
  <c r="F658" i="27"/>
  <c r="J662" i="13" l="1"/>
  <c r="I662" i="13"/>
  <c r="F660" i="13"/>
  <c r="H661" i="13"/>
  <c r="G661" i="13"/>
  <c r="K665" i="7"/>
  <c r="AI665" i="7"/>
  <c r="AH666" i="7"/>
  <c r="J665" i="7"/>
  <c r="L665" i="7"/>
  <c r="M666" i="7"/>
  <c r="N666" i="7" s="1"/>
  <c r="G663" i="7"/>
  <c r="I664" i="7"/>
  <c r="AG664" i="7" s="1"/>
  <c r="H664" i="7"/>
  <c r="AI664" i="7" s="1"/>
  <c r="G662" i="28"/>
  <c r="H662" i="28" s="1"/>
  <c r="F661" i="28"/>
  <c r="G658" i="27"/>
  <c r="H658" i="27" s="1"/>
  <c r="J658" i="27" s="1"/>
  <c r="L658" i="27" s="1"/>
  <c r="F657" i="27"/>
  <c r="J661" i="13" l="1"/>
  <c r="I661" i="13"/>
  <c r="F659" i="13"/>
  <c r="H660" i="13"/>
  <c r="G660" i="13"/>
  <c r="AH665" i="7"/>
  <c r="J664" i="7"/>
  <c r="L664" i="7"/>
  <c r="K664" i="7"/>
  <c r="G662" i="7"/>
  <c r="M665" i="7"/>
  <c r="N665" i="7" s="1"/>
  <c r="I663" i="7"/>
  <c r="AG663" i="7" s="1"/>
  <c r="H663" i="7"/>
  <c r="AI663" i="7" s="1"/>
  <c r="G661" i="28"/>
  <c r="H661" i="28" s="1"/>
  <c r="F660" i="28"/>
  <c r="G657" i="27"/>
  <c r="H657" i="27" s="1"/>
  <c r="J657" i="27" s="1"/>
  <c r="L657" i="27" s="1"/>
  <c r="F656" i="27"/>
  <c r="J660" i="13" l="1"/>
  <c r="I660" i="13"/>
  <c r="F658" i="13"/>
  <c r="H659" i="13"/>
  <c r="G659" i="13"/>
  <c r="AH664" i="7"/>
  <c r="K663" i="7"/>
  <c r="G661" i="7"/>
  <c r="J663" i="7"/>
  <c r="L663" i="7"/>
  <c r="I662" i="7"/>
  <c r="AG662" i="7" s="1"/>
  <c r="H662" i="7"/>
  <c r="AI662" i="7" s="1"/>
  <c r="M664" i="7"/>
  <c r="N664" i="7" s="1"/>
  <c r="G660" i="28"/>
  <c r="H660" i="28" s="1"/>
  <c r="F659" i="28"/>
  <c r="G656" i="27"/>
  <c r="H656" i="27" s="1"/>
  <c r="J656" i="27" s="1"/>
  <c r="L656" i="27" s="1"/>
  <c r="F655" i="27"/>
  <c r="J659" i="13" l="1"/>
  <c r="I659" i="13"/>
  <c r="F657" i="13"/>
  <c r="H658" i="13"/>
  <c r="G658" i="13"/>
  <c r="AH663" i="7"/>
  <c r="L662" i="7"/>
  <c r="J662" i="7"/>
  <c r="H661" i="7"/>
  <c r="AI661" i="7" s="1"/>
  <c r="I661" i="7"/>
  <c r="AG661" i="7" s="1"/>
  <c r="G660" i="7"/>
  <c r="M663" i="7"/>
  <c r="N663" i="7" s="1"/>
  <c r="K662" i="7"/>
  <c r="F658" i="28"/>
  <c r="G659" i="28"/>
  <c r="H659" i="28" s="1"/>
  <c r="G655" i="27"/>
  <c r="H655" i="27" s="1"/>
  <c r="J655" i="27" s="1"/>
  <c r="L655" i="27" s="1"/>
  <c r="F654" i="27"/>
  <c r="J658" i="13" l="1"/>
  <c r="I658" i="13"/>
  <c r="F656" i="13"/>
  <c r="H657" i="13"/>
  <c r="G657" i="13"/>
  <c r="AH662" i="7"/>
  <c r="G659" i="7"/>
  <c r="H660" i="7"/>
  <c r="AI660" i="7" s="1"/>
  <c r="I660" i="7"/>
  <c r="AG660" i="7" s="1"/>
  <c r="M662" i="7"/>
  <c r="N662" i="7" s="1"/>
  <c r="L661" i="7"/>
  <c r="J661" i="7"/>
  <c r="K661" i="7"/>
  <c r="F657" i="28"/>
  <c r="G658" i="28"/>
  <c r="H658" i="28" s="1"/>
  <c r="G654" i="27"/>
  <c r="H654" i="27" s="1"/>
  <c r="J654" i="27" s="1"/>
  <c r="L654" i="27" s="1"/>
  <c r="F653" i="27"/>
  <c r="J657" i="13" l="1"/>
  <c r="I657" i="13"/>
  <c r="F655" i="13"/>
  <c r="H656" i="13"/>
  <c r="G656" i="13"/>
  <c r="AH661" i="7"/>
  <c r="L660" i="7"/>
  <c r="J660" i="7"/>
  <c r="M661" i="7"/>
  <c r="N661" i="7" s="1"/>
  <c r="K660" i="7"/>
  <c r="H659" i="7"/>
  <c r="AI659" i="7" s="1"/>
  <c r="I659" i="7"/>
  <c r="AG659" i="7" s="1"/>
  <c r="G658" i="7"/>
  <c r="G657" i="28"/>
  <c r="H657" i="28" s="1"/>
  <c r="F656" i="28"/>
  <c r="G653" i="27"/>
  <c r="H653" i="27" s="1"/>
  <c r="J653" i="27" s="1"/>
  <c r="L653" i="27" s="1"/>
  <c r="F652" i="27"/>
  <c r="J656" i="13" l="1"/>
  <c r="I656" i="13"/>
  <c r="F654" i="13"/>
  <c r="H655" i="13"/>
  <c r="G655" i="13"/>
  <c r="AH660" i="7"/>
  <c r="I658" i="7"/>
  <c r="AG658" i="7" s="1"/>
  <c r="H658" i="7"/>
  <c r="AI658" i="7" s="1"/>
  <c r="G657" i="7"/>
  <c r="K659" i="7"/>
  <c r="L659" i="7"/>
  <c r="M659" i="7" s="1"/>
  <c r="J659" i="7"/>
  <c r="M660" i="7"/>
  <c r="N660" i="7" s="1"/>
  <c r="F655" i="28"/>
  <c r="G656" i="28"/>
  <c r="H656" i="28" s="1"/>
  <c r="G652" i="27"/>
  <c r="H652" i="27" s="1"/>
  <c r="J652" i="27" s="1"/>
  <c r="L652" i="27" s="1"/>
  <c r="F651" i="27"/>
  <c r="J655" i="13" l="1"/>
  <c r="I655" i="13"/>
  <c r="F653" i="13"/>
  <c r="H654" i="13"/>
  <c r="G654" i="13"/>
  <c r="AH659" i="7"/>
  <c r="G656" i="7"/>
  <c r="H657" i="7"/>
  <c r="AI657" i="7" s="1"/>
  <c r="I657" i="7"/>
  <c r="AG657" i="7" s="1"/>
  <c r="K658" i="7"/>
  <c r="N659" i="7"/>
  <c r="L658" i="7"/>
  <c r="J658" i="7"/>
  <c r="F654" i="28"/>
  <c r="G655" i="28"/>
  <c r="H655" i="28" s="1"/>
  <c r="G651" i="27"/>
  <c r="H651" i="27" s="1"/>
  <c r="J651" i="27" s="1"/>
  <c r="L651" i="27" s="1"/>
  <c r="F650" i="27"/>
  <c r="J654" i="13" l="1"/>
  <c r="I654" i="13"/>
  <c r="F652" i="13"/>
  <c r="H653" i="13"/>
  <c r="G653" i="13"/>
  <c r="AH658" i="7"/>
  <c r="G655" i="7"/>
  <c r="H656" i="7"/>
  <c r="AI656" i="7" s="1"/>
  <c r="I656" i="7"/>
  <c r="AG656" i="7" s="1"/>
  <c r="M658" i="7"/>
  <c r="N658" i="7" s="1"/>
  <c r="L657" i="7"/>
  <c r="J657" i="7"/>
  <c r="K657" i="7"/>
  <c r="G654" i="28"/>
  <c r="H654" i="28" s="1"/>
  <c r="F653" i="28"/>
  <c r="G650" i="27"/>
  <c r="H650" i="27" s="1"/>
  <c r="J650" i="27" s="1"/>
  <c r="L650" i="27" s="1"/>
  <c r="F649" i="27"/>
  <c r="J653" i="13" l="1"/>
  <c r="I653" i="13"/>
  <c r="F651" i="13"/>
  <c r="H652" i="13"/>
  <c r="G652" i="13"/>
  <c r="AH657" i="7"/>
  <c r="L656" i="7"/>
  <c r="J656" i="7"/>
  <c r="M657" i="7"/>
  <c r="N657" i="7" s="1"/>
  <c r="K656" i="7"/>
  <c r="G654" i="7"/>
  <c r="H655" i="7"/>
  <c r="AI655" i="7" s="1"/>
  <c r="I655" i="7"/>
  <c r="AG655" i="7" s="1"/>
  <c r="F652" i="28"/>
  <c r="G653" i="28"/>
  <c r="H653" i="28" s="1"/>
  <c r="G649" i="27"/>
  <c r="H649" i="27" s="1"/>
  <c r="J649" i="27" s="1"/>
  <c r="L649" i="27" s="1"/>
  <c r="F648" i="27"/>
  <c r="J652" i="13" l="1"/>
  <c r="I652" i="13"/>
  <c r="F650" i="13"/>
  <c r="H651" i="13"/>
  <c r="G651" i="13"/>
  <c r="AH656" i="7"/>
  <c r="G653" i="7"/>
  <c r="H654" i="7"/>
  <c r="AI654" i="7" s="1"/>
  <c r="I654" i="7"/>
  <c r="AG654" i="7" s="1"/>
  <c r="L655" i="7"/>
  <c r="J655" i="7"/>
  <c r="K655" i="7"/>
  <c r="M656" i="7"/>
  <c r="N656" i="7" s="1"/>
  <c r="F651" i="28"/>
  <c r="G652" i="28"/>
  <c r="H652" i="28" s="1"/>
  <c r="G648" i="27"/>
  <c r="H648" i="27" s="1"/>
  <c r="J648" i="27" s="1"/>
  <c r="L648" i="27" s="1"/>
  <c r="F647" i="27"/>
  <c r="J651" i="13" l="1"/>
  <c r="I651" i="13"/>
  <c r="F649" i="13"/>
  <c r="H650" i="13"/>
  <c r="G650" i="13"/>
  <c r="AH655" i="7"/>
  <c r="L654" i="7"/>
  <c r="J654" i="7"/>
  <c r="K654" i="7"/>
  <c r="G652" i="7"/>
  <c r="M655" i="7"/>
  <c r="N655" i="7" s="1"/>
  <c r="H653" i="7"/>
  <c r="AI653" i="7" s="1"/>
  <c r="I653" i="7"/>
  <c r="AG653" i="7" s="1"/>
  <c r="G651" i="28"/>
  <c r="H651" i="28" s="1"/>
  <c r="F650" i="28"/>
  <c r="G647" i="27"/>
  <c r="H647" i="27" s="1"/>
  <c r="J647" i="27" s="1"/>
  <c r="L647" i="27" s="1"/>
  <c r="F646" i="27"/>
  <c r="J650" i="13" l="1"/>
  <c r="I650" i="13"/>
  <c r="F648" i="13"/>
  <c r="H649" i="13"/>
  <c r="G649" i="13"/>
  <c r="AH654" i="7"/>
  <c r="L653" i="7"/>
  <c r="J653" i="7"/>
  <c r="G651" i="7"/>
  <c r="K653" i="7"/>
  <c r="H652" i="7"/>
  <c r="AI652" i="7" s="1"/>
  <c r="I652" i="7"/>
  <c r="AG652" i="7" s="1"/>
  <c r="M654" i="7"/>
  <c r="N654" i="7" s="1"/>
  <c r="F649" i="28"/>
  <c r="G650" i="28"/>
  <c r="H650" i="28" s="1"/>
  <c r="G646" i="27"/>
  <c r="H646" i="27" s="1"/>
  <c r="J646" i="27" s="1"/>
  <c r="L646" i="27" s="1"/>
  <c r="F645" i="27"/>
  <c r="J649" i="13" l="1"/>
  <c r="I649" i="13"/>
  <c r="F647" i="13"/>
  <c r="H648" i="13"/>
  <c r="G648" i="13"/>
  <c r="AH653" i="7"/>
  <c r="J652" i="7"/>
  <c r="L652" i="7"/>
  <c r="H651" i="7"/>
  <c r="AI651" i="7" s="1"/>
  <c r="I651" i="7"/>
  <c r="AG651" i="7" s="1"/>
  <c r="K652" i="7"/>
  <c r="G650" i="7"/>
  <c r="M653" i="7"/>
  <c r="N653" i="7" s="1"/>
  <c r="F648" i="28"/>
  <c r="G649" i="28"/>
  <c r="H649" i="28" s="1"/>
  <c r="G645" i="27"/>
  <c r="H645" i="27" s="1"/>
  <c r="J645" i="27" s="1"/>
  <c r="L645" i="27" s="1"/>
  <c r="F644" i="27"/>
  <c r="J648" i="13" l="1"/>
  <c r="I648" i="13"/>
  <c r="F646" i="13"/>
  <c r="H647" i="13"/>
  <c r="G647" i="13"/>
  <c r="AH652" i="7"/>
  <c r="G649" i="7"/>
  <c r="L651" i="7"/>
  <c r="M651" i="7" s="1"/>
  <c r="J651" i="7"/>
  <c r="H650" i="7"/>
  <c r="AI650" i="7" s="1"/>
  <c r="I650" i="7"/>
  <c r="AG650" i="7" s="1"/>
  <c r="K651" i="7"/>
  <c r="M652" i="7"/>
  <c r="N652" i="7" s="1"/>
  <c r="F647" i="28"/>
  <c r="G648" i="28"/>
  <c r="H648" i="28" s="1"/>
  <c r="G644" i="27"/>
  <c r="H644" i="27" s="1"/>
  <c r="J644" i="27" s="1"/>
  <c r="L644" i="27" s="1"/>
  <c r="F643" i="27"/>
  <c r="J647" i="13" l="1"/>
  <c r="I647" i="13"/>
  <c r="F645" i="13"/>
  <c r="H646" i="13"/>
  <c r="G646" i="13"/>
  <c r="AH651" i="7"/>
  <c r="N651" i="7"/>
  <c r="L650" i="7"/>
  <c r="J650" i="7"/>
  <c r="H649" i="7"/>
  <c r="AI649" i="7" s="1"/>
  <c r="I649" i="7"/>
  <c r="AG649" i="7" s="1"/>
  <c r="K650" i="7"/>
  <c r="G648" i="7"/>
  <c r="G647" i="28"/>
  <c r="H647" i="28" s="1"/>
  <c r="F646" i="28"/>
  <c r="G643" i="27"/>
  <c r="H643" i="27" s="1"/>
  <c r="J643" i="27" s="1"/>
  <c r="L643" i="27" s="1"/>
  <c r="F642" i="27"/>
  <c r="J646" i="13" l="1"/>
  <c r="I646" i="13"/>
  <c r="F644" i="13"/>
  <c r="H645" i="13"/>
  <c r="G645" i="13"/>
  <c r="AH650" i="7"/>
  <c r="M650" i="7"/>
  <c r="N650" i="7" s="1"/>
  <c r="G647" i="7"/>
  <c r="J649" i="7"/>
  <c r="L649" i="7"/>
  <c r="H648" i="7"/>
  <c r="AI648" i="7" s="1"/>
  <c r="I648" i="7"/>
  <c r="AG648" i="7" s="1"/>
  <c r="K649" i="7"/>
  <c r="F645" i="28"/>
  <c r="G646" i="28"/>
  <c r="H646" i="28" s="1"/>
  <c r="G642" i="27"/>
  <c r="H642" i="27" s="1"/>
  <c r="J642" i="27" s="1"/>
  <c r="L642" i="27" s="1"/>
  <c r="F641" i="27"/>
  <c r="J645" i="13" l="1"/>
  <c r="I645" i="13"/>
  <c r="F643" i="13"/>
  <c r="H644" i="13"/>
  <c r="G644" i="13"/>
  <c r="AH649" i="7"/>
  <c r="J648" i="7"/>
  <c r="L648" i="7"/>
  <c r="G646" i="7"/>
  <c r="K648" i="7"/>
  <c r="H647" i="7"/>
  <c r="AI647" i="7" s="1"/>
  <c r="I647" i="7"/>
  <c r="AG647" i="7" s="1"/>
  <c r="M649" i="7"/>
  <c r="N649" i="7" s="1"/>
  <c r="G645" i="28"/>
  <c r="H645" i="28" s="1"/>
  <c r="F644" i="28"/>
  <c r="G641" i="27"/>
  <c r="H641" i="27" s="1"/>
  <c r="J641" i="27" s="1"/>
  <c r="L641" i="27" s="1"/>
  <c r="F640" i="27"/>
  <c r="J644" i="13" l="1"/>
  <c r="I644" i="13"/>
  <c r="F642" i="13"/>
  <c r="H643" i="13"/>
  <c r="G643" i="13"/>
  <c r="AH648" i="7"/>
  <c r="L647" i="7"/>
  <c r="J647" i="7"/>
  <c r="G645" i="7"/>
  <c r="K647" i="7"/>
  <c r="H646" i="7"/>
  <c r="AI646" i="7" s="1"/>
  <c r="I646" i="7"/>
  <c r="AG646" i="7" s="1"/>
  <c r="M648" i="7"/>
  <c r="N648" i="7" s="1"/>
  <c r="G644" i="28"/>
  <c r="H644" i="28" s="1"/>
  <c r="F643" i="28"/>
  <c r="G640" i="27"/>
  <c r="H640" i="27" s="1"/>
  <c r="J640" i="27" s="1"/>
  <c r="L640" i="27" s="1"/>
  <c r="F639" i="27"/>
  <c r="J643" i="13" l="1"/>
  <c r="I643" i="13"/>
  <c r="F641" i="13"/>
  <c r="H642" i="13"/>
  <c r="G642" i="13"/>
  <c r="AH647" i="7"/>
  <c r="L646" i="7"/>
  <c r="J646" i="7"/>
  <c r="H645" i="7"/>
  <c r="AI645" i="7" s="1"/>
  <c r="I645" i="7"/>
  <c r="AG645" i="7" s="1"/>
  <c r="K646" i="7"/>
  <c r="G644" i="7"/>
  <c r="M647" i="7"/>
  <c r="N647" i="7" s="1"/>
  <c r="F642" i="28"/>
  <c r="G643" i="28"/>
  <c r="H643" i="28" s="1"/>
  <c r="G639" i="27"/>
  <c r="H639" i="27" s="1"/>
  <c r="J639" i="27" s="1"/>
  <c r="L639" i="27" s="1"/>
  <c r="F638" i="27"/>
  <c r="J642" i="13" l="1"/>
  <c r="I642" i="13"/>
  <c r="F640" i="13"/>
  <c r="H641" i="13"/>
  <c r="G641" i="13"/>
  <c r="AH646" i="7"/>
  <c r="G643" i="7"/>
  <c r="L645" i="7"/>
  <c r="J645" i="7"/>
  <c r="I644" i="7"/>
  <c r="AG644" i="7" s="1"/>
  <c r="H644" i="7"/>
  <c r="AI644" i="7" s="1"/>
  <c r="K645" i="7"/>
  <c r="M646" i="7"/>
  <c r="N646" i="7" s="1"/>
  <c r="F641" i="28"/>
  <c r="G642" i="28"/>
  <c r="H642" i="28" s="1"/>
  <c r="G638" i="27"/>
  <c r="H638" i="27" s="1"/>
  <c r="J638" i="27" s="1"/>
  <c r="L638" i="27" s="1"/>
  <c r="F637" i="27"/>
  <c r="J641" i="13" l="1"/>
  <c r="I641" i="13"/>
  <c r="F639" i="13"/>
  <c r="H640" i="13"/>
  <c r="G640" i="13"/>
  <c r="AH645" i="7"/>
  <c r="M645" i="7"/>
  <c r="N645" i="7" s="1"/>
  <c r="K644" i="7"/>
  <c r="G642" i="7"/>
  <c r="L644" i="7"/>
  <c r="J644" i="7"/>
  <c r="H643" i="7"/>
  <c r="AI643" i="7" s="1"/>
  <c r="I643" i="7"/>
  <c r="AG643" i="7" s="1"/>
  <c r="G641" i="28"/>
  <c r="H641" i="28" s="1"/>
  <c r="F640" i="28"/>
  <c r="G637" i="27"/>
  <c r="H637" i="27" s="1"/>
  <c r="J637" i="27" s="1"/>
  <c r="L637" i="27" s="1"/>
  <c r="F636" i="27"/>
  <c r="J640" i="13" l="1"/>
  <c r="I640" i="13"/>
  <c r="F638" i="13"/>
  <c r="H639" i="13"/>
  <c r="G639" i="13"/>
  <c r="AH644" i="7"/>
  <c r="M644" i="7"/>
  <c r="N644" i="7" s="1"/>
  <c r="L643" i="7"/>
  <c r="J643" i="7"/>
  <c r="G641" i="7"/>
  <c r="K643" i="7"/>
  <c r="I642" i="7"/>
  <c r="AG642" i="7" s="1"/>
  <c r="H642" i="7"/>
  <c r="AI642" i="7" s="1"/>
  <c r="G640" i="28"/>
  <c r="H640" i="28" s="1"/>
  <c r="F639" i="28"/>
  <c r="G636" i="27"/>
  <c r="H636" i="27" s="1"/>
  <c r="J636" i="27" s="1"/>
  <c r="L636" i="27" s="1"/>
  <c r="F635" i="27"/>
  <c r="J639" i="13" l="1"/>
  <c r="I639" i="13"/>
  <c r="F637" i="13"/>
  <c r="H638" i="13"/>
  <c r="G638" i="13"/>
  <c r="AH643" i="7"/>
  <c r="M643" i="7"/>
  <c r="N643" i="7" s="1"/>
  <c r="K642" i="7"/>
  <c r="H641" i="7"/>
  <c r="AI641" i="7" s="1"/>
  <c r="I641" i="7"/>
  <c r="AG641" i="7" s="1"/>
  <c r="L642" i="7"/>
  <c r="J642" i="7"/>
  <c r="G640" i="7"/>
  <c r="G639" i="28"/>
  <c r="H639" i="28" s="1"/>
  <c r="F638" i="28"/>
  <c r="G635" i="27"/>
  <c r="H635" i="27" s="1"/>
  <c r="J635" i="27" s="1"/>
  <c r="L635" i="27" s="1"/>
  <c r="F634" i="27"/>
  <c r="J638" i="13" l="1"/>
  <c r="I638" i="13"/>
  <c r="F636" i="13"/>
  <c r="H637" i="13"/>
  <c r="G637" i="13"/>
  <c r="AH642" i="7"/>
  <c r="M642" i="7"/>
  <c r="N642" i="7" s="1"/>
  <c r="G639" i="7"/>
  <c r="J641" i="7"/>
  <c r="L641" i="7"/>
  <c r="H640" i="7"/>
  <c r="AI640" i="7" s="1"/>
  <c r="I640" i="7"/>
  <c r="AG640" i="7" s="1"/>
  <c r="K641" i="7"/>
  <c r="G638" i="28"/>
  <c r="H638" i="28" s="1"/>
  <c r="F637" i="28"/>
  <c r="G634" i="27"/>
  <c r="H634" i="27" s="1"/>
  <c r="J634" i="27" s="1"/>
  <c r="L634" i="27" s="1"/>
  <c r="F633" i="27"/>
  <c r="J637" i="13" l="1"/>
  <c r="I637" i="13"/>
  <c r="F635" i="13"/>
  <c r="H636" i="13"/>
  <c r="G636" i="13"/>
  <c r="AH641" i="7"/>
  <c r="K640" i="7"/>
  <c r="G638" i="7"/>
  <c r="M641" i="7"/>
  <c r="N641" i="7" s="1"/>
  <c r="J640" i="7"/>
  <c r="L640" i="7"/>
  <c r="I639" i="7"/>
  <c r="AG639" i="7" s="1"/>
  <c r="H639" i="7"/>
  <c r="AI639" i="7" s="1"/>
  <c r="F636" i="28"/>
  <c r="G637" i="28"/>
  <c r="H637" i="28" s="1"/>
  <c r="G633" i="27"/>
  <c r="H633" i="27" s="1"/>
  <c r="J633" i="27" s="1"/>
  <c r="L633" i="27" s="1"/>
  <c r="F632" i="27"/>
  <c r="J636" i="13" l="1"/>
  <c r="I636" i="13"/>
  <c r="F634" i="13"/>
  <c r="H635" i="13"/>
  <c r="G635" i="13"/>
  <c r="AH640" i="7"/>
  <c r="M640" i="7"/>
  <c r="N640" i="7" s="1"/>
  <c r="G637" i="7"/>
  <c r="H638" i="7"/>
  <c r="AI638" i="7" s="1"/>
  <c r="I638" i="7"/>
  <c r="AG638" i="7" s="1"/>
  <c r="K639" i="7"/>
  <c r="L639" i="7"/>
  <c r="J639" i="7"/>
  <c r="F635" i="28"/>
  <c r="G636" i="28"/>
  <c r="H636" i="28" s="1"/>
  <c r="G632" i="27"/>
  <c r="H632" i="27" s="1"/>
  <c r="J632" i="27" s="1"/>
  <c r="L632" i="27" s="1"/>
  <c r="F631" i="27"/>
  <c r="F633" i="13" l="1"/>
  <c r="H634" i="13"/>
  <c r="G634" i="13"/>
  <c r="J635" i="13"/>
  <c r="I635" i="13"/>
  <c r="AH639" i="7"/>
  <c r="H637" i="7"/>
  <c r="AI637" i="7" s="1"/>
  <c r="I637" i="7"/>
  <c r="AG637" i="7" s="1"/>
  <c r="G636" i="7"/>
  <c r="M639" i="7"/>
  <c r="N639" i="7" s="1"/>
  <c r="L638" i="7"/>
  <c r="J638" i="7"/>
  <c r="K638" i="7"/>
  <c r="G635" i="28"/>
  <c r="H635" i="28" s="1"/>
  <c r="F634" i="28"/>
  <c r="G631" i="27"/>
  <c r="H631" i="27" s="1"/>
  <c r="J631" i="27" s="1"/>
  <c r="L631" i="27" s="1"/>
  <c r="F630" i="27"/>
  <c r="J634" i="13" l="1"/>
  <c r="I634" i="13"/>
  <c r="F632" i="13"/>
  <c r="H633" i="13"/>
  <c r="G633" i="13"/>
  <c r="AH638" i="7"/>
  <c r="M638" i="7"/>
  <c r="N638" i="7" s="1"/>
  <c r="H636" i="7"/>
  <c r="AI636" i="7" s="1"/>
  <c r="I636" i="7"/>
  <c r="AG636" i="7" s="1"/>
  <c r="J637" i="7"/>
  <c r="L637" i="7"/>
  <c r="K637" i="7"/>
  <c r="G635" i="7"/>
  <c r="G634" i="28"/>
  <c r="H634" i="28" s="1"/>
  <c r="F633" i="28"/>
  <c r="G630" i="27"/>
  <c r="H630" i="27" s="1"/>
  <c r="J630" i="27" s="1"/>
  <c r="L630" i="27" s="1"/>
  <c r="F629" i="27"/>
  <c r="J633" i="13" l="1"/>
  <c r="I633" i="13"/>
  <c r="F631" i="13"/>
  <c r="H632" i="13"/>
  <c r="G632" i="13"/>
  <c r="AH637" i="7"/>
  <c r="J636" i="7"/>
  <c r="L636" i="7"/>
  <c r="H635" i="7"/>
  <c r="AI635" i="7" s="1"/>
  <c r="I635" i="7"/>
  <c r="AG635" i="7" s="1"/>
  <c r="M637" i="7"/>
  <c r="N637" i="7" s="1"/>
  <c r="K636" i="7"/>
  <c r="G634" i="7"/>
  <c r="F632" i="28"/>
  <c r="G633" i="28"/>
  <c r="H633" i="28" s="1"/>
  <c r="G629" i="27"/>
  <c r="H629" i="27" s="1"/>
  <c r="J629" i="27" s="1"/>
  <c r="L629" i="27" s="1"/>
  <c r="F628" i="27"/>
  <c r="J632" i="13" l="1"/>
  <c r="I632" i="13"/>
  <c r="F630" i="13"/>
  <c r="H631" i="13"/>
  <c r="G631" i="13"/>
  <c r="AH636" i="7"/>
  <c r="J635" i="7"/>
  <c r="L635" i="7"/>
  <c r="K635" i="7"/>
  <c r="G633" i="7"/>
  <c r="M636" i="7"/>
  <c r="N636" i="7" s="1"/>
  <c r="H634" i="7"/>
  <c r="AI634" i="7" s="1"/>
  <c r="I634" i="7"/>
  <c r="AG634" i="7" s="1"/>
  <c r="G632" i="28"/>
  <c r="H632" i="28" s="1"/>
  <c r="F631" i="28"/>
  <c r="G628" i="27"/>
  <c r="H628" i="27" s="1"/>
  <c r="J628" i="27" s="1"/>
  <c r="L628" i="27" s="1"/>
  <c r="F627" i="27"/>
  <c r="J631" i="13" l="1"/>
  <c r="I631" i="13"/>
  <c r="F629" i="13"/>
  <c r="H630" i="13"/>
  <c r="G630" i="13"/>
  <c r="AH635" i="7"/>
  <c r="L634" i="7"/>
  <c r="J634" i="7"/>
  <c r="G632" i="7"/>
  <c r="M635" i="7"/>
  <c r="N635" i="7" s="1"/>
  <c r="K634" i="7"/>
  <c r="H633" i="7"/>
  <c r="AI633" i="7" s="1"/>
  <c r="I633" i="7"/>
  <c r="AG633" i="7" s="1"/>
  <c r="F630" i="28"/>
  <c r="G631" i="28"/>
  <c r="H631" i="28" s="1"/>
  <c r="G627" i="27"/>
  <c r="H627" i="27" s="1"/>
  <c r="J627" i="27" s="1"/>
  <c r="L627" i="27" s="1"/>
  <c r="F626" i="27"/>
  <c r="J630" i="13" l="1"/>
  <c r="I630" i="13"/>
  <c r="F628" i="13"/>
  <c r="H629" i="13"/>
  <c r="G629" i="13"/>
  <c r="AH634" i="7"/>
  <c r="H632" i="7"/>
  <c r="AI632" i="7" s="1"/>
  <c r="I632" i="7"/>
  <c r="AG632" i="7" s="1"/>
  <c r="G631" i="7"/>
  <c r="J633" i="7"/>
  <c r="L633" i="7"/>
  <c r="K633" i="7"/>
  <c r="M634" i="7"/>
  <c r="N634" i="7" s="1"/>
  <c r="F629" i="28"/>
  <c r="G630" i="28"/>
  <c r="H630" i="28" s="1"/>
  <c r="G626" i="27"/>
  <c r="H626" i="27" s="1"/>
  <c r="J626" i="27" s="1"/>
  <c r="L626" i="27" s="1"/>
  <c r="F625" i="27"/>
  <c r="J629" i="13" l="1"/>
  <c r="I629" i="13"/>
  <c r="F627" i="13"/>
  <c r="H628" i="13"/>
  <c r="G628" i="13"/>
  <c r="AH633" i="7"/>
  <c r="G630" i="7"/>
  <c r="I631" i="7"/>
  <c r="AG631" i="7" s="1"/>
  <c r="H631" i="7"/>
  <c r="AI631" i="7" s="1"/>
  <c r="M633" i="7"/>
  <c r="N633" i="7" s="1"/>
  <c r="L632" i="7"/>
  <c r="J632" i="7"/>
  <c r="K632" i="7"/>
  <c r="F628" i="28"/>
  <c r="G629" i="28"/>
  <c r="H629" i="28" s="1"/>
  <c r="G625" i="27"/>
  <c r="H625" i="27" s="1"/>
  <c r="J625" i="27" s="1"/>
  <c r="L625" i="27" s="1"/>
  <c r="F624" i="27"/>
  <c r="J628" i="13" l="1"/>
  <c r="I628" i="13"/>
  <c r="F626" i="13"/>
  <c r="H627" i="13"/>
  <c r="G627" i="13"/>
  <c r="AH632" i="7"/>
  <c r="K631" i="7"/>
  <c r="M632" i="7"/>
  <c r="N632" i="7" s="1"/>
  <c r="J631" i="7"/>
  <c r="L631" i="7"/>
  <c r="H630" i="7"/>
  <c r="AI630" i="7" s="1"/>
  <c r="I630" i="7"/>
  <c r="AG630" i="7" s="1"/>
  <c r="G629" i="7"/>
  <c r="G628" i="28"/>
  <c r="H628" i="28" s="1"/>
  <c r="F627" i="28"/>
  <c r="G624" i="27"/>
  <c r="H624" i="27" s="1"/>
  <c r="J624" i="27" s="1"/>
  <c r="L624" i="27" s="1"/>
  <c r="F623" i="27"/>
  <c r="F625" i="13" l="1"/>
  <c r="H626" i="13"/>
  <c r="G626" i="13"/>
  <c r="J627" i="13"/>
  <c r="I627" i="13"/>
  <c r="AH631" i="7"/>
  <c r="G628" i="7"/>
  <c r="I629" i="7"/>
  <c r="AG629" i="7" s="1"/>
  <c r="H629" i="7"/>
  <c r="AI629" i="7" s="1"/>
  <c r="M631" i="7"/>
  <c r="N631" i="7" s="1"/>
  <c r="J630" i="7"/>
  <c r="L630" i="7"/>
  <c r="K630" i="7"/>
  <c r="F626" i="28"/>
  <c r="G627" i="28"/>
  <c r="H627" i="28" s="1"/>
  <c r="G623" i="27"/>
  <c r="H623" i="27" s="1"/>
  <c r="J623" i="27" s="1"/>
  <c r="L623" i="27" s="1"/>
  <c r="F622" i="27"/>
  <c r="J626" i="13" l="1"/>
  <c r="I626" i="13"/>
  <c r="F624" i="13"/>
  <c r="H625" i="13"/>
  <c r="G625" i="13"/>
  <c r="AH630" i="7"/>
  <c r="G627" i="7"/>
  <c r="H628" i="7"/>
  <c r="AI628" i="7" s="1"/>
  <c r="I628" i="7"/>
  <c r="AG628" i="7" s="1"/>
  <c r="M630" i="7"/>
  <c r="N630" i="7" s="1"/>
  <c r="K629" i="7"/>
  <c r="L629" i="7"/>
  <c r="J629" i="7"/>
  <c r="F625" i="28"/>
  <c r="G626" i="28"/>
  <c r="H626" i="28" s="1"/>
  <c r="G622" i="27"/>
  <c r="H622" i="27" s="1"/>
  <c r="J622" i="27" s="1"/>
  <c r="L622" i="27" s="1"/>
  <c r="F621" i="27"/>
  <c r="J625" i="13" l="1"/>
  <c r="I625" i="13"/>
  <c r="F623" i="13"/>
  <c r="H624" i="13"/>
  <c r="G624" i="13"/>
  <c r="AH629" i="7"/>
  <c r="L628" i="7"/>
  <c r="J628" i="7"/>
  <c r="K628" i="7"/>
  <c r="M629" i="7"/>
  <c r="N629" i="7" s="1"/>
  <c r="H627" i="7"/>
  <c r="AI627" i="7" s="1"/>
  <c r="I627" i="7"/>
  <c r="AG627" i="7" s="1"/>
  <c r="G626" i="7"/>
  <c r="G625" i="28"/>
  <c r="H625" i="28" s="1"/>
  <c r="F624" i="28"/>
  <c r="G621" i="27"/>
  <c r="H621" i="27" s="1"/>
  <c r="J621" i="27" s="1"/>
  <c r="L621" i="27" s="1"/>
  <c r="F620" i="27"/>
  <c r="J624" i="13" l="1"/>
  <c r="I624" i="13"/>
  <c r="F622" i="13"/>
  <c r="H623" i="13"/>
  <c r="G623" i="13"/>
  <c r="AH628" i="7"/>
  <c r="G625" i="7"/>
  <c r="H626" i="7"/>
  <c r="AI626" i="7" s="1"/>
  <c r="I626" i="7"/>
  <c r="AG626" i="7" s="1"/>
  <c r="M628" i="7"/>
  <c r="N628" i="7" s="1"/>
  <c r="L627" i="7"/>
  <c r="J627" i="7"/>
  <c r="K627" i="7"/>
  <c r="G624" i="28"/>
  <c r="H624" i="28" s="1"/>
  <c r="F623" i="28"/>
  <c r="G620" i="27"/>
  <c r="H620" i="27" s="1"/>
  <c r="J620" i="27" s="1"/>
  <c r="L620" i="27" s="1"/>
  <c r="F619" i="27"/>
  <c r="J623" i="13" l="1"/>
  <c r="I623" i="13"/>
  <c r="F621" i="13"/>
  <c r="H622" i="13"/>
  <c r="G622" i="13"/>
  <c r="AH627" i="7"/>
  <c r="L626" i="7"/>
  <c r="J626" i="7"/>
  <c r="M627" i="7"/>
  <c r="N627" i="7" s="1"/>
  <c r="K626" i="7"/>
  <c r="G624" i="7"/>
  <c r="I625" i="7"/>
  <c r="AG625" i="7" s="1"/>
  <c r="H625" i="7"/>
  <c r="AI625" i="7" s="1"/>
  <c r="G623" i="28"/>
  <c r="H623" i="28" s="1"/>
  <c r="F622" i="28"/>
  <c r="G619" i="27"/>
  <c r="H619" i="27" s="1"/>
  <c r="J619" i="27" s="1"/>
  <c r="L619" i="27" s="1"/>
  <c r="F618" i="27"/>
  <c r="J622" i="13" l="1"/>
  <c r="I622" i="13"/>
  <c r="F620" i="13"/>
  <c r="H621" i="13"/>
  <c r="G621" i="13"/>
  <c r="AH626" i="7"/>
  <c r="G623" i="7"/>
  <c r="H624" i="7"/>
  <c r="AI624" i="7" s="1"/>
  <c r="I624" i="7"/>
  <c r="AG624" i="7" s="1"/>
  <c r="K625" i="7"/>
  <c r="L625" i="7"/>
  <c r="J625" i="7"/>
  <c r="M626" i="7"/>
  <c r="N626" i="7" s="1"/>
  <c r="G622" i="28"/>
  <c r="H622" i="28" s="1"/>
  <c r="F621" i="28"/>
  <c r="G618" i="27"/>
  <c r="H618" i="27" s="1"/>
  <c r="J618" i="27" s="1"/>
  <c r="L618" i="27" s="1"/>
  <c r="F617" i="27"/>
  <c r="J621" i="13" l="1"/>
  <c r="I621" i="13"/>
  <c r="F619" i="13"/>
  <c r="H620" i="13"/>
  <c r="G620" i="13"/>
  <c r="AH625" i="7"/>
  <c r="L624" i="7"/>
  <c r="J624" i="7"/>
  <c r="M625" i="7"/>
  <c r="N625" i="7" s="1"/>
  <c r="K624" i="7"/>
  <c r="G622" i="7"/>
  <c r="H623" i="7"/>
  <c r="AI623" i="7" s="1"/>
  <c r="I623" i="7"/>
  <c r="AG623" i="7" s="1"/>
  <c r="G621" i="28"/>
  <c r="H621" i="28" s="1"/>
  <c r="F620" i="28"/>
  <c r="G617" i="27"/>
  <c r="H617" i="27" s="1"/>
  <c r="J617" i="27" s="1"/>
  <c r="L617" i="27" s="1"/>
  <c r="F616" i="27"/>
  <c r="J620" i="13" l="1"/>
  <c r="I620" i="13"/>
  <c r="F618" i="13"/>
  <c r="H619" i="13"/>
  <c r="G619" i="13"/>
  <c r="AH624" i="7"/>
  <c r="H622" i="7"/>
  <c r="AI622" i="7" s="1"/>
  <c r="I622" i="7"/>
  <c r="AG622" i="7" s="1"/>
  <c r="J623" i="7"/>
  <c r="L623" i="7"/>
  <c r="K623" i="7"/>
  <c r="G621" i="7"/>
  <c r="M624" i="7"/>
  <c r="N624" i="7" s="1"/>
  <c r="G620" i="28"/>
  <c r="H620" i="28" s="1"/>
  <c r="F619" i="28"/>
  <c r="G616" i="27"/>
  <c r="H616" i="27" s="1"/>
  <c r="J616" i="27" s="1"/>
  <c r="L616" i="27" s="1"/>
  <c r="F615" i="27"/>
  <c r="F617" i="13" l="1"/>
  <c r="H618" i="13"/>
  <c r="G618" i="13"/>
  <c r="J619" i="13"/>
  <c r="I619" i="13"/>
  <c r="AH623" i="7"/>
  <c r="G620" i="7"/>
  <c r="M623" i="7"/>
  <c r="N623" i="7" s="1"/>
  <c r="H621" i="7"/>
  <c r="AI621" i="7" s="1"/>
  <c r="I621" i="7"/>
  <c r="AG621" i="7" s="1"/>
  <c r="L622" i="7"/>
  <c r="J622" i="7"/>
  <c r="K622" i="7"/>
  <c r="G619" i="28"/>
  <c r="H619" i="28" s="1"/>
  <c r="F618" i="28"/>
  <c r="G615" i="27"/>
  <c r="H615" i="27" s="1"/>
  <c r="J615" i="27" s="1"/>
  <c r="L615" i="27" s="1"/>
  <c r="F614" i="27"/>
  <c r="J618" i="13" l="1"/>
  <c r="I618" i="13"/>
  <c r="F616" i="13"/>
  <c r="H617" i="13"/>
  <c r="G617" i="13"/>
  <c r="AH622" i="7"/>
  <c r="M622" i="7"/>
  <c r="N622" i="7" s="1"/>
  <c r="L621" i="7"/>
  <c r="J621" i="7"/>
  <c r="AH621" i="7" s="1"/>
  <c r="I620" i="7"/>
  <c r="AG620" i="7" s="1"/>
  <c r="H620" i="7"/>
  <c r="K621" i="7"/>
  <c r="G619" i="7"/>
  <c r="G618" i="28"/>
  <c r="H618" i="28" s="1"/>
  <c r="F617" i="28"/>
  <c r="G614" i="27"/>
  <c r="H614" i="27" s="1"/>
  <c r="J614" i="27" s="1"/>
  <c r="L614" i="27" s="1"/>
  <c r="F613" i="27"/>
  <c r="F615" i="13" l="1"/>
  <c r="H616" i="13"/>
  <c r="G616" i="13"/>
  <c r="J617" i="13"/>
  <c r="I617" i="13"/>
  <c r="K620" i="7"/>
  <c r="AI620" i="7"/>
  <c r="M621" i="7"/>
  <c r="N621" i="7" s="1"/>
  <c r="G618" i="7"/>
  <c r="H619" i="7"/>
  <c r="AI619" i="7" s="1"/>
  <c r="I619" i="7"/>
  <c r="AG619" i="7" s="1"/>
  <c r="J620" i="7"/>
  <c r="L620" i="7"/>
  <c r="G617" i="28"/>
  <c r="H617" i="28" s="1"/>
  <c r="F616" i="28"/>
  <c r="G613" i="27"/>
  <c r="H613" i="27" s="1"/>
  <c r="J613" i="27" s="1"/>
  <c r="L613" i="27" s="1"/>
  <c r="F612" i="27"/>
  <c r="J616" i="13" l="1"/>
  <c r="I616" i="13"/>
  <c r="F614" i="13"/>
  <c r="H615" i="13"/>
  <c r="G615" i="13"/>
  <c r="AH620" i="7"/>
  <c r="M620" i="7"/>
  <c r="N620" i="7" s="1"/>
  <c r="I618" i="7"/>
  <c r="AG618" i="7" s="1"/>
  <c r="H618" i="7"/>
  <c r="AI618" i="7" s="1"/>
  <c r="G617" i="7"/>
  <c r="L619" i="7"/>
  <c r="J619" i="7"/>
  <c r="K619" i="7"/>
  <c r="F615" i="28"/>
  <c r="G616" i="28"/>
  <c r="H616" i="28" s="1"/>
  <c r="G612" i="27"/>
  <c r="H612" i="27" s="1"/>
  <c r="J612" i="27" s="1"/>
  <c r="L612" i="27" s="1"/>
  <c r="F611" i="27"/>
  <c r="J615" i="13" l="1"/>
  <c r="I615" i="13"/>
  <c r="F613" i="13"/>
  <c r="H614" i="13"/>
  <c r="G614" i="13"/>
  <c r="AH619" i="7"/>
  <c r="H617" i="7"/>
  <c r="AI617" i="7" s="1"/>
  <c r="I617" i="7"/>
  <c r="AG617" i="7" s="1"/>
  <c r="K618" i="7"/>
  <c r="G616" i="7"/>
  <c r="L618" i="7"/>
  <c r="J618" i="7"/>
  <c r="M619" i="7"/>
  <c r="N619" i="7" s="1"/>
  <c r="G615" i="28"/>
  <c r="H615" i="28" s="1"/>
  <c r="F614" i="28"/>
  <c r="G611" i="27"/>
  <c r="H611" i="27" s="1"/>
  <c r="J611" i="27" s="1"/>
  <c r="L611" i="27" s="1"/>
  <c r="F610" i="27"/>
  <c r="F612" i="13" l="1"/>
  <c r="H613" i="13"/>
  <c r="G613" i="13"/>
  <c r="J614" i="13"/>
  <c r="I614" i="13"/>
  <c r="AH618" i="7"/>
  <c r="M618" i="7"/>
  <c r="N618" i="7" s="1"/>
  <c r="G615" i="7"/>
  <c r="L617" i="7"/>
  <c r="J617" i="7"/>
  <c r="H616" i="7"/>
  <c r="AI616" i="7" s="1"/>
  <c r="I616" i="7"/>
  <c r="AG616" i="7" s="1"/>
  <c r="K617" i="7"/>
  <c r="G614" i="28"/>
  <c r="H614" i="28" s="1"/>
  <c r="F613" i="28"/>
  <c r="G610" i="27"/>
  <c r="H610" i="27" s="1"/>
  <c r="J610" i="27" s="1"/>
  <c r="L610" i="27" s="1"/>
  <c r="F609" i="27"/>
  <c r="J613" i="13" l="1"/>
  <c r="I613" i="13"/>
  <c r="F611" i="13"/>
  <c r="H612" i="13"/>
  <c r="G612" i="13"/>
  <c r="AH617" i="7"/>
  <c r="K616" i="7"/>
  <c r="H615" i="7"/>
  <c r="AI615" i="7" s="1"/>
  <c r="I615" i="7"/>
  <c r="AG615" i="7" s="1"/>
  <c r="M617" i="7"/>
  <c r="N617" i="7" s="1"/>
  <c r="L616" i="7"/>
  <c r="J616" i="7"/>
  <c r="G614" i="7"/>
  <c r="G613" i="28"/>
  <c r="H613" i="28" s="1"/>
  <c r="F612" i="28"/>
  <c r="G609" i="27"/>
  <c r="H609" i="27" s="1"/>
  <c r="J609" i="27" s="1"/>
  <c r="L609" i="27" s="1"/>
  <c r="F608" i="27"/>
  <c r="F610" i="13" l="1"/>
  <c r="H611" i="13"/>
  <c r="G611" i="13"/>
  <c r="J612" i="13"/>
  <c r="I612" i="13"/>
  <c r="AH616" i="7"/>
  <c r="L615" i="7"/>
  <c r="J615" i="7"/>
  <c r="M616" i="7"/>
  <c r="N616" i="7" s="1"/>
  <c r="K615" i="7"/>
  <c r="H614" i="7"/>
  <c r="AI614" i="7" s="1"/>
  <c r="I614" i="7"/>
  <c r="AG614" i="7" s="1"/>
  <c r="G613" i="7"/>
  <c r="G612" i="28"/>
  <c r="H612" i="28" s="1"/>
  <c r="F611" i="28"/>
  <c r="G608" i="27"/>
  <c r="H608" i="27" s="1"/>
  <c r="J608" i="27" s="1"/>
  <c r="L608" i="27" s="1"/>
  <c r="F607" i="27"/>
  <c r="J611" i="13" l="1"/>
  <c r="I611" i="13"/>
  <c r="F609" i="13"/>
  <c r="H610" i="13"/>
  <c r="G610" i="13"/>
  <c r="AH615" i="7"/>
  <c r="G612" i="7"/>
  <c r="K614" i="7"/>
  <c r="I613" i="7"/>
  <c r="AG613" i="7" s="1"/>
  <c r="H613" i="7"/>
  <c r="AI613" i="7" s="1"/>
  <c r="L614" i="7"/>
  <c r="J614" i="7"/>
  <c r="M615" i="7"/>
  <c r="N615" i="7" s="1"/>
  <c r="F610" i="28"/>
  <c r="G611" i="28"/>
  <c r="H611" i="28" s="1"/>
  <c r="G607" i="27"/>
  <c r="H607" i="27" s="1"/>
  <c r="J607" i="27" s="1"/>
  <c r="L607" i="27" s="1"/>
  <c r="F606" i="27"/>
  <c r="J610" i="13" l="1"/>
  <c r="I610" i="13"/>
  <c r="F608" i="13"/>
  <c r="H609" i="13"/>
  <c r="G609" i="13"/>
  <c r="AH614" i="7"/>
  <c r="M614" i="7"/>
  <c r="N614" i="7" s="1"/>
  <c r="K613" i="7"/>
  <c r="G611" i="7"/>
  <c r="J613" i="7"/>
  <c r="L613" i="7"/>
  <c r="H612" i="7"/>
  <c r="AI612" i="7" s="1"/>
  <c r="I612" i="7"/>
  <c r="AG612" i="7" s="1"/>
  <c r="G610" i="28"/>
  <c r="H610" i="28" s="1"/>
  <c r="F609" i="28"/>
  <c r="G606" i="27"/>
  <c r="H606" i="27" s="1"/>
  <c r="J606" i="27" s="1"/>
  <c r="L606" i="27" s="1"/>
  <c r="F605" i="27"/>
  <c r="F607" i="13" l="1"/>
  <c r="H608" i="13"/>
  <c r="G608" i="13"/>
  <c r="J609" i="13"/>
  <c r="I609" i="13"/>
  <c r="AH613" i="7"/>
  <c r="L612" i="7"/>
  <c r="J612" i="7"/>
  <c r="AH612" i="7" s="1"/>
  <c r="G610" i="7"/>
  <c r="K612" i="7"/>
  <c r="H611" i="7"/>
  <c r="AI611" i="7" s="1"/>
  <c r="I611" i="7"/>
  <c r="AG611" i="7" s="1"/>
  <c r="M613" i="7"/>
  <c r="N613" i="7" s="1"/>
  <c r="F608" i="28"/>
  <c r="G609" i="28"/>
  <c r="H609" i="28" s="1"/>
  <c r="G605" i="27"/>
  <c r="H605" i="27" s="1"/>
  <c r="J605" i="27" s="1"/>
  <c r="L605" i="27" s="1"/>
  <c r="F604" i="27"/>
  <c r="J608" i="13" l="1"/>
  <c r="I608" i="13"/>
  <c r="F606" i="13"/>
  <c r="H607" i="13"/>
  <c r="G607" i="13"/>
  <c r="L611" i="7"/>
  <c r="J611" i="7"/>
  <c r="AH611" i="7" s="1"/>
  <c r="G609" i="7"/>
  <c r="K611" i="7"/>
  <c r="H610" i="7"/>
  <c r="AI610" i="7" s="1"/>
  <c r="I610" i="7"/>
  <c r="AG610" i="7" s="1"/>
  <c r="M612" i="7"/>
  <c r="N612" i="7" s="1"/>
  <c r="G608" i="28"/>
  <c r="H608" i="28" s="1"/>
  <c r="F607" i="28"/>
  <c r="G604" i="27"/>
  <c r="H604" i="27" s="1"/>
  <c r="J604" i="27" s="1"/>
  <c r="L604" i="27" s="1"/>
  <c r="F603" i="27"/>
  <c r="J607" i="13" l="1"/>
  <c r="I607" i="13"/>
  <c r="F605" i="13"/>
  <c r="H606" i="13"/>
  <c r="G606" i="13"/>
  <c r="K610" i="7"/>
  <c r="I609" i="7"/>
  <c r="AG609" i="7" s="1"/>
  <c r="H609" i="7"/>
  <c r="AI609" i="7" s="1"/>
  <c r="G608" i="7"/>
  <c r="J610" i="7"/>
  <c r="L610" i="7"/>
  <c r="M611" i="7"/>
  <c r="N611" i="7" s="1"/>
  <c r="G607" i="28"/>
  <c r="H607" i="28" s="1"/>
  <c r="F606" i="28"/>
  <c r="G603" i="27"/>
  <c r="H603" i="27" s="1"/>
  <c r="J603" i="27" s="1"/>
  <c r="L603" i="27" s="1"/>
  <c r="F602" i="27"/>
  <c r="J606" i="13" l="1"/>
  <c r="I606" i="13"/>
  <c r="F604" i="13"/>
  <c r="H605" i="13"/>
  <c r="G605" i="13"/>
  <c r="AH610" i="7"/>
  <c r="L609" i="7"/>
  <c r="J609" i="7"/>
  <c r="AH609" i="7" s="1"/>
  <c r="H608" i="7"/>
  <c r="AI608" i="7" s="1"/>
  <c r="I608" i="7"/>
  <c r="AG608" i="7" s="1"/>
  <c r="G607" i="7"/>
  <c r="M610" i="7"/>
  <c r="N610" i="7" s="1"/>
  <c r="K609" i="7"/>
  <c r="G606" i="28"/>
  <c r="H606" i="28" s="1"/>
  <c r="F605" i="28"/>
  <c r="G602" i="27"/>
  <c r="H602" i="27" s="1"/>
  <c r="J602" i="27" s="1"/>
  <c r="L602" i="27" s="1"/>
  <c r="F601" i="27"/>
  <c r="J605" i="13" l="1"/>
  <c r="I605" i="13"/>
  <c r="F603" i="13"/>
  <c r="H604" i="13"/>
  <c r="G604" i="13"/>
  <c r="J608" i="7"/>
  <c r="L608" i="7"/>
  <c r="G606" i="7"/>
  <c r="K608" i="7"/>
  <c r="I607" i="7"/>
  <c r="AG607" i="7" s="1"/>
  <c r="H607" i="7"/>
  <c r="AI607" i="7" s="1"/>
  <c r="M609" i="7"/>
  <c r="N609" i="7" s="1"/>
  <c r="G605" i="28"/>
  <c r="H605" i="28" s="1"/>
  <c r="F604" i="28"/>
  <c r="G601" i="27"/>
  <c r="H601" i="27" s="1"/>
  <c r="J601" i="27" s="1"/>
  <c r="L601" i="27" s="1"/>
  <c r="F600" i="27"/>
  <c r="J604" i="13" l="1"/>
  <c r="I604" i="13"/>
  <c r="F602" i="13"/>
  <c r="H603" i="13"/>
  <c r="G603" i="13"/>
  <c r="AH608" i="7"/>
  <c r="J607" i="7"/>
  <c r="L607" i="7"/>
  <c r="H606" i="7"/>
  <c r="AI606" i="7" s="1"/>
  <c r="I606" i="7"/>
  <c r="AG606" i="7" s="1"/>
  <c r="M608" i="7"/>
  <c r="N608" i="7" s="1"/>
  <c r="K607" i="7"/>
  <c r="G605" i="7"/>
  <c r="F603" i="28"/>
  <c r="G604" i="28"/>
  <c r="H604" i="28" s="1"/>
  <c r="G600" i="27"/>
  <c r="H600" i="27" s="1"/>
  <c r="J600" i="27" s="1"/>
  <c r="L600" i="27" s="1"/>
  <c r="F599" i="27"/>
  <c r="J603" i="13" l="1"/>
  <c r="I603" i="13"/>
  <c r="F601" i="13"/>
  <c r="H602" i="13"/>
  <c r="G602" i="13"/>
  <c r="AH607" i="7"/>
  <c r="J606" i="7"/>
  <c r="L606" i="7"/>
  <c r="K606" i="7"/>
  <c r="G604" i="7"/>
  <c r="M607" i="7"/>
  <c r="N607" i="7" s="1"/>
  <c r="I605" i="7"/>
  <c r="AG605" i="7" s="1"/>
  <c r="H605" i="7"/>
  <c r="AI605" i="7" s="1"/>
  <c r="G603" i="28"/>
  <c r="H603" i="28" s="1"/>
  <c r="F602" i="28"/>
  <c r="G599" i="27"/>
  <c r="H599" i="27" s="1"/>
  <c r="J599" i="27" s="1"/>
  <c r="L599" i="27" s="1"/>
  <c r="F598" i="27"/>
  <c r="J602" i="13" l="1"/>
  <c r="I602" i="13"/>
  <c r="F600" i="13"/>
  <c r="H601" i="13"/>
  <c r="G601" i="13"/>
  <c r="AH606" i="7"/>
  <c r="K605" i="7"/>
  <c r="G603" i="7"/>
  <c r="M606" i="7"/>
  <c r="N606" i="7" s="1"/>
  <c r="L605" i="7"/>
  <c r="J605" i="7"/>
  <c r="H604" i="7"/>
  <c r="AI604" i="7" s="1"/>
  <c r="I604" i="7"/>
  <c r="AG604" i="7" s="1"/>
  <c r="F601" i="28"/>
  <c r="G602" i="28"/>
  <c r="H602" i="28" s="1"/>
  <c r="G598" i="27"/>
  <c r="H598" i="27" s="1"/>
  <c r="J598" i="27" s="1"/>
  <c r="L598" i="27" s="1"/>
  <c r="F597" i="27"/>
  <c r="J601" i="13" l="1"/>
  <c r="I601" i="13"/>
  <c r="F599" i="13"/>
  <c r="H600" i="13"/>
  <c r="G600" i="13"/>
  <c r="AH605" i="7"/>
  <c r="H603" i="7"/>
  <c r="AI603" i="7" s="1"/>
  <c r="I603" i="7"/>
  <c r="AG603" i="7" s="1"/>
  <c r="M605" i="7"/>
  <c r="N605" i="7" s="1"/>
  <c r="G602" i="7"/>
  <c r="J604" i="7"/>
  <c r="L604" i="7"/>
  <c r="K604" i="7"/>
  <c r="G601" i="28"/>
  <c r="H601" i="28" s="1"/>
  <c r="F600" i="28"/>
  <c r="G597" i="27"/>
  <c r="H597" i="27" s="1"/>
  <c r="J597" i="27" s="1"/>
  <c r="L597" i="27" s="1"/>
  <c r="F596" i="27"/>
  <c r="J600" i="13" l="1"/>
  <c r="I600" i="13"/>
  <c r="F598" i="13"/>
  <c r="H599" i="13"/>
  <c r="G599" i="13"/>
  <c r="AH604" i="7"/>
  <c r="M604" i="7"/>
  <c r="N604" i="7" s="1"/>
  <c r="G601" i="7"/>
  <c r="J603" i="7"/>
  <c r="L603" i="7"/>
  <c r="H602" i="7"/>
  <c r="AI602" i="7" s="1"/>
  <c r="I602" i="7"/>
  <c r="AG602" i="7" s="1"/>
  <c r="K603" i="7"/>
  <c r="F599" i="28"/>
  <c r="G600" i="28"/>
  <c r="H600" i="28" s="1"/>
  <c r="G596" i="27"/>
  <c r="H596" i="27" s="1"/>
  <c r="J596" i="27" s="1"/>
  <c r="L596" i="27" s="1"/>
  <c r="F595" i="27"/>
  <c r="J599" i="13" l="1"/>
  <c r="I599" i="13"/>
  <c r="F597" i="13"/>
  <c r="H598" i="13"/>
  <c r="G598" i="13"/>
  <c r="AH603" i="7"/>
  <c r="L602" i="7"/>
  <c r="J602" i="7"/>
  <c r="G600" i="7"/>
  <c r="K602" i="7"/>
  <c r="I601" i="7"/>
  <c r="AG601" i="7" s="1"/>
  <c r="H601" i="7"/>
  <c r="AI601" i="7" s="1"/>
  <c r="M603" i="7"/>
  <c r="N603" i="7" s="1"/>
  <c r="F598" i="28"/>
  <c r="G599" i="28"/>
  <c r="H599" i="28" s="1"/>
  <c r="G595" i="27"/>
  <c r="H595" i="27" s="1"/>
  <c r="J595" i="27" s="1"/>
  <c r="L595" i="27" s="1"/>
  <c r="F594" i="27"/>
  <c r="J598" i="13" l="1"/>
  <c r="I598" i="13"/>
  <c r="F596" i="13"/>
  <c r="H597" i="13"/>
  <c r="G597" i="13"/>
  <c r="AH602" i="7"/>
  <c r="K601" i="7"/>
  <c r="G599" i="7"/>
  <c r="J601" i="7"/>
  <c r="L601" i="7"/>
  <c r="H600" i="7"/>
  <c r="AI600" i="7" s="1"/>
  <c r="I600" i="7"/>
  <c r="AG600" i="7" s="1"/>
  <c r="M602" i="7"/>
  <c r="N602" i="7" s="1"/>
  <c r="G598" i="28"/>
  <c r="H598" i="28" s="1"/>
  <c r="F597" i="28"/>
  <c r="G594" i="27"/>
  <c r="H594" i="27" s="1"/>
  <c r="J594" i="27" s="1"/>
  <c r="L594" i="27" s="1"/>
  <c r="F593" i="27"/>
  <c r="J597" i="13" l="1"/>
  <c r="I597" i="13"/>
  <c r="F595" i="13"/>
  <c r="H596" i="13"/>
  <c r="G596" i="13"/>
  <c r="AH601" i="7"/>
  <c r="L600" i="7"/>
  <c r="J600" i="7"/>
  <c r="G598" i="7"/>
  <c r="K600" i="7"/>
  <c r="H599" i="7"/>
  <c r="AI599" i="7" s="1"/>
  <c r="I599" i="7"/>
  <c r="AG599" i="7" s="1"/>
  <c r="M601" i="7"/>
  <c r="N601" i="7" s="1"/>
  <c r="F596" i="28"/>
  <c r="G597" i="28"/>
  <c r="H597" i="28" s="1"/>
  <c r="G593" i="27"/>
  <c r="H593" i="27" s="1"/>
  <c r="J593" i="27" s="1"/>
  <c r="L593" i="27" s="1"/>
  <c r="F592" i="27"/>
  <c r="J596" i="13" l="1"/>
  <c r="I596" i="13"/>
  <c r="F594" i="13"/>
  <c r="H595" i="13"/>
  <c r="G595" i="13"/>
  <c r="AH600" i="7"/>
  <c r="M600" i="7"/>
  <c r="N600" i="7" s="1"/>
  <c r="J599" i="7"/>
  <c r="L599" i="7"/>
  <c r="G597" i="7"/>
  <c r="K599" i="7"/>
  <c r="H598" i="7"/>
  <c r="AI598" i="7" s="1"/>
  <c r="I598" i="7"/>
  <c r="AG598" i="7" s="1"/>
  <c r="F595" i="28"/>
  <c r="G596" i="28"/>
  <c r="H596" i="28" s="1"/>
  <c r="G592" i="27"/>
  <c r="H592" i="27" s="1"/>
  <c r="J592" i="27" s="1"/>
  <c r="L592" i="27" s="1"/>
  <c r="F591" i="27"/>
  <c r="J595" i="13" l="1"/>
  <c r="I595" i="13"/>
  <c r="F593" i="13"/>
  <c r="H594" i="13"/>
  <c r="G594" i="13"/>
  <c r="AH599" i="7"/>
  <c r="M599" i="7"/>
  <c r="N599" i="7" s="1"/>
  <c r="L598" i="7"/>
  <c r="J598" i="7"/>
  <c r="G596" i="7"/>
  <c r="K598" i="7"/>
  <c r="I597" i="7"/>
  <c r="AG597" i="7" s="1"/>
  <c r="H597" i="7"/>
  <c r="AI597" i="7" s="1"/>
  <c r="F594" i="28"/>
  <c r="G595" i="28"/>
  <c r="H595" i="28" s="1"/>
  <c r="G591" i="27"/>
  <c r="H591" i="27" s="1"/>
  <c r="J591" i="27" s="1"/>
  <c r="L591" i="27" s="1"/>
  <c r="F590" i="27"/>
  <c r="J594" i="13" l="1"/>
  <c r="I594" i="13"/>
  <c r="F592" i="13"/>
  <c r="H593" i="13"/>
  <c r="G593" i="13"/>
  <c r="AH598" i="7"/>
  <c r="M598" i="7"/>
  <c r="N598" i="7" s="1"/>
  <c r="K597" i="7"/>
  <c r="G595" i="7"/>
  <c r="J597" i="7"/>
  <c r="L597" i="7"/>
  <c r="H596" i="7"/>
  <c r="AI596" i="7" s="1"/>
  <c r="I596" i="7"/>
  <c r="AG596" i="7" s="1"/>
  <c r="G594" i="28"/>
  <c r="H594" i="28" s="1"/>
  <c r="F593" i="28"/>
  <c r="G590" i="27"/>
  <c r="H590" i="27" s="1"/>
  <c r="J590" i="27" s="1"/>
  <c r="L590" i="27" s="1"/>
  <c r="F589" i="27"/>
  <c r="J593" i="13" l="1"/>
  <c r="I593" i="13"/>
  <c r="F591" i="13"/>
  <c r="H592" i="13"/>
  <c r="G592" i="13"/>
  <c r="AH597" i="7"/>
  <c r="M597" i="7"/>
  <c r="N597" i="7" s="1"/>
  <c r="L596" i="7"/>
  <c r="J596" i="7"/>
  <c r="G594" i="7"/>
  <c r="K596" i="7"/>
  <c r="H595" i="7"/>
  <c r="AI595" i="7" s="1"/>
  <c r="I595" i="7"/>
  <c r="AG595" i="7" s="1"/>
  <c r="G593" i="28"/>
  <c r="H593" i="28" s="1"/>
  <c r="F592" i="28"/>
  <c r="G589" i="27"/>
  <c r="H589" i="27" s="1"/>
  <c r="J589" i="27" s="1"/>
  <c r="L589" i="27" s="1"/>
  <c r="F588" i="27"/>
  <c r="J592" i="13" l="1"/>
  <c r="I592" i="13"/>
  <c r="F590" i="13"/>
  <c r="H591" i="13"/>
  <c r="G591" i="13"/>
  <c r="AH596" i="7"/>
  <c r="M596" i="7"/>
  <c r="N596" i="7" s="1"/>
  <c r="L595" i="7"/>
  <c r="J595" i="7"/>
  <c r="G593" i="7"/>
  <c r="K595" i="7"/>
  <c r="H594" i="7"/>
  <c r="AI594" i="7" s="1"/>
  <c r="I594" i="7"/>
  <c r="AG594" i="7" s="1"/>
  <c r="G592" i="28"/>
  <c r="H592" i="28" s="1"/>
  <c r="F591" i="28"/>
  <c r="G588" i="27"/>
  <c r="H588" i="27" s="1"/>
  <c r="J588" i="27" s="1"/>
  <c r="L588" i="27" s="1"/>
  <c r="F587" i="27"/>
  <c r="J591" i="13" l="1"/>
  <c r="I591" i="13"/>
  <c r="F589" i="13"/>
  <c r="H590" i="13"/>
  <c r="G590" i="13"/>
  <c r="AH595" i="7"/>
  <c r="M595" i="7"/>
  <c r="N595" i="7" s="1"/>
  <c r="L594" i="7"/>
  <c r="J594" i="7"/>
  <c r="G592" i="7"/>
  <c r="K594" i="7"/>
  <c r="H593" i="7"/>
  <c r="AI593" i="7" s="1"/>
  <c r="I593" i="7"/>
  <c r="AG593" i="7" s="1"/>
  <c r="G591" i="28"/>
  <c r="H591" i="28" s="1"/>
  <c r="F590" i="28"/>
  <c r="G587" i="27"/>
  <c r="H587" i="27" s="1"/>
  <c r="J587" i="27" s="1"/>
  <c r="L587" i="27" s="1"/>
  <c r="F586" i="27"/>
  <c r="J590" i="13" l="1"/>
  <c r="I590" i="13"/>
  <c r="F588" i="13"/>
  <c r="H589" i="13"/>
  <c r="G589" i="13"/>
  <c r="AH594" i="7"/>
  <c r="M594" i="7"/>
  <c r="N594" i="7" s="1"/>
  <c r="L593" i="7"/>
  <c r="J593" i="7"/>
  <c r="G591" i="7"/>
  <c r="K593" i="7"/>
  <c r="H592" i="7"/>
  <c r="AI592" i="7" s="1"/>
  <c r="I592" i="7"/>
  <c r="AG592" i="7" s="1"/>
  <c r="F589" i="28"/>
  <c r="G590" i="28"/>
  <c r="H590" i="28" s="1"/>
  <c r="G586" i="27"/>
  <c r="H586" i="27" s="1"/>
  <c r="J586" i="27" s="1"/>
  <c r="L586" i="27" s="1"/>
  <c r="F585" i="27"/>
  <c r="J589" i="13" l="1"/>
  <c r="I589" i="13"/>
  <c r="F587" i="13"/>
  <c r="H588" i="13"/>
  <c r="G588" i="13"/>
  <c r="AH593" i="7"/>
  <c r="M593" i="7"/>
  <c r="N593" i="7" s="1"/>
  <c r="J592" i="7"/>
  <c r="L592" i="7"/>
  <c r="G590" i="7"/>
  <c r="K592" i="7"/>
  <c r="H591" i="7"/>
  <c r="AI591" i="7" s="1"/>
  <c r="I591" i="7"/>
  <c r="AG591" i="7" s="1"/>
  <c r="F588" i="28"/>
  <c r="G589" i="28"/>
  <c r="H589" i="28" s="1"/>
  <c r="G585" i="27"/>
  <c r="H585" i="27" s="1"/>
  <c r="J585" i="27" s="1"/>
  <c r="L585" i="27" s="1"/>
  <c r="F584" i="27"/>
  <c r="J588" i="13" l="1"/>
  <c r="I588" i="13"/>
  <c r="F586" i="13"/>
  <c r="H587" i="13"/>
  <c r="G587" i="13"/>
  <c r="AH592" i="7"/>
  <c r="M592" i="7"/>
  <c r="N592" i="7" s="1"/>
  <c r="J591" i="7"/>
  <c r="L591" i="7"/>
  <c r="G589" i="7"/>
  <c r="K591" i="7"/>
  <c r="H590" i="7"/>
  <c r="AI590" i="7" s="1"/>
  <c r="I590" i="7"/>
  <c r="AG590" i="7" s="1"/>
  <c r="F587" i="28"/>
  <c r="G588" i="28"/>
  <c r="H588" i="28" s="1"/>
  <c r="G584" i="27"/>
  <c r="H584" i="27" s="1"/>
  <c r="J584" i="27" s="1"/>
  <c r="L584" i="27" s="1"/>
  <c r="F583" i="27"/>
  <c r="J587" i="13" l="1"/>
  <c r="I587" i="13"/>
  <c r="F585" i="13"/>
  <c r="H586" i="13"/>
  <c r="G586" i="13"/>
  <c r="AH591" i="7"/>
  <c r="M591" i="7"/>
  <c r="N591" i="7" s="1"/>
  <c r="J590" i="7"/>
  <c r="L590" i="7"/>
  <c r="M590" i="7" s="1"/>
  <c r="G588" i="7"/>
  <c r="K590" i="7"/>
  <c r="H589" i="7"/>
  <c r="AI589" i="7" s="1"/>
  <c r="I589" i="7"/>
  <c r="AG589" i="7" s="1"/>
  <c r="G587" i="28"/>
  <c r="H587" i="28" s="1"/>
  <c r="F586" i="28"/>
  <c r="G583" i="27"/>
  <c r="H583" i="27" s="1"/>
  <c r="J583" i="27" s="1"/>
  <c r="L583" i="27" s="1"/>
  <c r="F582" i="27"/>
  <c r="J586" i="13" l="1"/>
  <c r="I586" i="13"/>
  <c r="F584" i="13"/>
  <c r="H585" i="13"/>
  <c r="G585" i="13"/>
  <c r="AH590" i="7"/>
  <c r="J589" i="7"/>
  <c r="L589" i="7"/>
  <c r="N590" i="7"/>
  <c r="K589" i="7"/>
  <c r="G587" i="7"/>
  <c r="H588" i="7"/>
  <c r="AI588" i="7" s="1"/>
  <c r="I588" i="7"/>
  <c r="AG588" i="7" s="1"/>
  <c r="G586" i="28"/>
  <c r="H586" i="28" s="1"/>
  <c r="F585" i="28"/>
  <c r="G582" i="27"/>
  <c r="H582" i="27" s="1"/>
  <c r="J582" i="27" s="1"/>
  <c r="L582" i="27" s="1"/>
  <c r="F581" i="27"/>
  <c r="J585" i="13" l="1"/>
  <c r="I585" i="13"/>
  <c r="F583" i="13"/>
  <c r="H584" i="13"/>
  <c r="G584" i="13"/>
  <c r="AH589" i="7"/>
  <c r="G586" i="7"/>
  <c r="L588" i="7"/>
  <c r="J588" i="7"/>
  <c r="I587" i="7"/>
  <c r="AG587" i="7" s="1"/>
  <c r="H587" i="7"/>
  <c r="AI587" i="7" s="1"/>
  <c r="M589" i="7"/>
  <c r="N589" i="7" s="1"/>
  <c r="K588" i="7"/>
  <c r="G585" i="28"/>
  <c r="H585" i="28" s="1"/>
  <c r="F584" i="28"/>
  <c r="G581" i="27"/>
  <c r="H581" i="27" s="1"/>
  <c r="J581" i="27" s="1"/>
  <c r="L581" i="27" s="1"/>
  <c r="F580" i="27"/>
  <c r="J584" i="13" l="1"/>
  <c r="I584" i="13"/>
  <c r="F582" i="13"/>
  <c r="H583" i="13"/>
  <c r="G583" i="13"/>
  <c r="AH588" i="7"/>
  <c r="M588" i="7"/>
  <c r="N588" i="7" s="1"/>
  <c r="K587" i="7"/>
  <c r="G585" i="7"/>
  <c r="L587" i="7"/>
  <c r="J587" i="7"/>
  <c r="I586" i="7"/>
  <c r="AG586" i="7" s="1"/>
  <c r="H586" i="7"/>
  <c r="AI586" i="7" s="1"/>
  <c r="G584" i="28"/>
  <c r="H584" i="28" s="1"/>
  <c r="F583" i="28"/>
  <c r="G580" i="27"/>
  <c r="H580" i="27" s="1"/>
  <c r="J580" i="27" s="1"/>
  <c r="L580" i="27" s="1"/>
  <c r="F579" i="27"/>
  <c r="J583" i="13" l="1"/>
  <c r="I583" i="13"/>
  <c r="F581" i="13"/>
  <c r="H582" i="13"/>
  <c r="G582" i="13"/>
  <c r="AH587" i="7"/>
  <c r="M587" i="7"/>
  <c r="N587" i="7" s="1"/>
  <c r="K586" i="7"/>
  <c r="G584" i="7"/>
  <c r="J586" i="7"/>
  <c r="L586" i="7"/>
  <c r="H585" i="7"/>
  <c r="AI585" i="7" s="1"/>
  <c r="I585" i="7"/>
  <c r="AG585" i="7" s="1"/>
  <c r="G583" i="28"/>
  <c r="H583" i="28" s="1"/>
  <c r="F582" i="28"/>
  <c r="G579" i="27"/>
  <c r="H579" i="27" s="1"/>
  <c r="J579" i="27" s="1"/>
  <c r="L579" i="27" s="1"/>
  <c r="F578" i="27"/>
  <c r="J582" i="13" l="1"/>
  <c r="I582" i="13"/>
  <c r="F580" i="13"/>
  <c r="H581" i="13"/>
  <c r="G581" i="13"/>
  <c r="AH586" i="7"/>
  <c r="M586" i="7"/>
  <c r="N586" i="7" s="1"/>
  <c r="L585" i="7"/>
  <c r="J585" i="7"/>
  <c r="G583" i="7"/>
  <c r="K585" i="7"/>
  <c r="H584" i="7"/>
  <c r="AI584" i="7" s="1"/>
  <c r="I584" i="7"/>
  <c r="AG584" i="7" s="1"/>
  <c r="F581" i="28"/>
  <c r="G582" i="28"/>
  <c r="H582" i="28" s="1"/>
  <c r="G578" i="27"/>
  <c r="H578" i="27" s="1"/>
  <c r="J578" i="27" s="1"/>
  <c r="L578" i="27" s="1"/>
  <c r="F577" i="27"/>
  <c r="J581" i="13" l="1"/>
  <c r="I581" i="13"/>
  <c r="F579" i="13"/>
  <c r="H580" i="13"/>
  <c r="G580" i="13"/>
  <c r="AH585" i="7"/>
  <c r="M585" i="7"/>
  <c r="N585" i="7" s="1"/>
  <c r="J584" i="7"/>
  <c r="L584" i="7"/>
  <c r="H583" i="7"/>
  <c r="AI583" i="7" s="1"/>
  <c r="I583" i="7"/>
  <c r="AG583" i="7" s="1"/>
  <c r="K584" i="7"/>
  <c r="G582" i="7"/>
  <c r="F580" i="28"/>
  <c r="G581" i="28"/>
  <c r="H581" i="28" s="1"/>
  <c r="G577" i="27"/>
  <c r="H577" i="27" s="1"/>
  <c r="J577" i="27" s="1"/>
  <c r="L577" i="27" s="1"/>
  <c r="F576" i="27"/>
  <c r="J580" i="13" l="1"/>
  <c r="I580" i="13"/>
  <c r="F578" i="13"/>
  <c r="H579" i="13"/>
  <c r="G579" i="13"/>
  <c r="AH584" i="7"/>
  <c r="M584" i="7"/>
  <c r="N584" i="7" s="1"/>
  <c r="G581" i="7"/>
  <c r="L583" i="7"/>
  <c r="J583" i="7"/>
  <c r="H582" i="7"/>
  <c r="AI582" i="7" s="1"/>
  <c r="I582" i="7"/>
  <c r="AG582" i="7" s="1"/>
  <c r="K583" i="7"/>
  <c r="G580" i="28"/>
  <c r="H580" i="28" s="1"/>
  <c r="F579" i="28"/>
  <c r="G576" i="27"/>
  <c r="H576" i="27" s="1"/>
  <c r="J576" i="27" s="1"/>
  <c r="L576" i="27" s="1"/>
  <c r="F575" i="27"/>
  <c r="J579" i="13" l="1"/>
  <c r="I579" i="13"/>
  <c r="F577" i="13"/>
  <c r="H578" i="13"/>
  <c r="G578" i="13"/>
  <c r="AH583" i="7"/>
  <c r="J582" i="7"/>
  <c r="L582" i="7"/>
  <c r="G580" i="7"/>
  <c r="K582" i="7"/>
  <c r="H581" i="7"/>
  <c r="AI581" i="7" s="1"/>
  <c r="I581" i="7"/>
  <c r="AG581" i="7" s="1"/>
  <c r="M583" i="7"/>
  <c r="N583" i="7" s="1"/>
  <c r="G579" i="28"/>
  <c r="H579" i="28" s="1"/>
  <c r="F578" i="28"/>
  <c r="G575" i="27"/>
  <c r="H575" i="27" s="1"/>
  <c r="J575" i="27" s="1"/>
  <c r="L575" i="27" s="1"/>
  <c r="F574" i="27"/>
  <c r="J578" i="13" l="1"/>
  <c r="I578" i="13"/>
  <c r="F576" i="13"/>
  <c r="H577" i="13"/>
  <c r="G577" i="13"/>
  <c r="AH582" i="7"/>
  <c r="L581" i="7"/>
  <c r="J581" i="7"/>
  <c r="H580" i="7"/>
  <c r="AI580" i="7" s="1"/>
  <c r="I580" i="7"/>
  <c r="AG580" i="7" s="1"/>
  <c r="K581" i="7"/>
  <c r="G579" i="7"/>
  <c r="M582" i="7"/>
  <c r="N582" i="7" s="1"/>
  <c r="G578" i="28"/>
  <c r="H578" i="28" s="1"/>
  <c r="F577" i="28"/>
  <c r="G574" i="27"/>
  <c r="H574" i="27" s="1"/>
  <c r="J574" i="27" s="1"/>
  <c r="L574" i="27" s="1"/>
  <c r="F573" i="27"/>
  <c r="J577" i="13" l="1"/>
  <c r="I577" i="13"/>
  <c r="F575" i="13"/>
  <c r="H576" i="13"/>
  <c r="G576" i="13"/>
  <c r="AH581" i="7"/>
  <c r="G578" i="7"/>
  <c r="L580" i="7"/>
  <c r="J580" i="7"/>
  <c r="H579" i="7"/>
  <c r="AI579" i="7" s="1"/>
  <c r="I579" i="7"/>
  <c r="AG579" i="7" s="1"/>
  <c r="K580" i="7"/>
  <c r="M581" i="7"/>
  <c r="N581" i="7" s="1"/>
  <c r="G577" i="28"/>
  <c r="H577" i="28" s="1"/>
  <c r="F576" i="28"/>
  <c r="G573" i="27"/>
  <c r="H573" i="27" s="1"/>
  <c r="J573" i="27" s="1"/>
  <c r="L573" i="27" s="1"/>
  <c r="F572" i="27"/>
  <c r="F574" i="13" l="1"/>
  <c r="H575" i="13"/>
  <c r="G575" i="13"/>
  <c r="J576" i="13"/>
  <c r="I576" i="13"/>
  <c r="AH580" i="7"/>
  <c r="M580" i="7"/>
  <c r="N580" i="7" s="1"/>
  <c r="J579" i="7"/>
  <c r="L579" i="7"/>
  <c r="G577" i="7"/>
  <c r="K579" i="7"/>
  <c r="H578" i="7"/>
  <c r="AI578" i="7" s="1"/>
  <c r="I578" i="7"/>
  <c r="AG578" i="7" s="1"/>
  <c r="F575" i="28"/>
  <c r="G576" i="28"/>
  <c r="H576" i="28" s="1"/>
  <c r="G572" i="27"/>
  <c r="H572" i="27" s="1"/>
  <c r="J572" i="27" s="1"/>
  <c r="L572" i="27" s="1"/>
  <c r="F571" i="27"/>
  <c r="J575" i="13" l="1"/>
  <c r="I575" i="13"/>
  <c r="F573" i="13"/>
  <c r="H574" i="13"/>
  <c r="G574" i="13"/>
  <c r="AH579" i="7"/>
  <c r="M579" i="7"/>
  <c r="N579" i="7" s="1"/>
  <c r="L578" i="7"/>
  <c r="J578" i="7"/>
  <c r="G576" i="7"/>
  <c r="K578" i="7"/>
  <c r="I577" i="7"/>
  <c r="AG577" i="7" s="1"/>
  <c r="H577" i="7"/>
  <c r="AI577" i="7" s="1"/>
  <c r="G575" i="28"/>
  <c r="H575" i="28" s="1"/>
  <c r="F574" i="28"/>
  <c r="G571" i="27"/>
  <c r="H571" i="27" s="1"/>
  <c r="J571" i="27" s="1"/>
  <c r="L571" i="27" s="1"/>
  <c r="F570" i="27"/>
  <c r="F572" i="13" l="1"/>
  <c r="H573" i="13"/>
  <c r="G573" i="13"/>
  <c r="J574" i="13"/>
  <c r="I574" i="13"/>
  <c r="AH578" i="7"/>
  <c r="M578" i="7"/>
  <c r="N578" i="7" s="1"/>
  <c r="K577" i="7"/>
  <c r="G575" i="7"/>
  <c r="L577" i="7"/>
  <c r="J577" i="7"/>
  <c r="AH577" i="7" s="1"/>
  <c r="I576" i="7"/>
  <c r="AG576" i="7" s="1"/>
  <c r="H576" i="7"/>
  <c r="AI576" i="7" s="1"/>
  <c r="F573" i="28"/>
  <c r="G574" i="28"/>
  <c r="H574" i="28" s="1"/>
  <c r="G570" i="27"/>
  <c r="H570" i="27" s="1"/>
  <c r="J570" i="27" s="1"/>
  <c r="L570" i="27" s="1"/>
  <c r="F569" i="27"/>
  <c r="J573" i="13" l="1"/>
  <c r="I573" i="13"/>
  <c r="F571" i="13"/>
  <c r="H572" i="13"/>
  <c r="G572" i="13"/>
  <c r="M577" i="7"/>
  <c r="N577" i="7" s="1"/>
  <c r="K576" i="7"/>
  <c r="G574" i="7"/>
  <c r="L576" i="7"/>
  <c r="J576" i="7"/>
  <c r="AH576" i="7" s="1"/>
  <c r="H575" i="7"/>
  <c r="AI575" i="7" s="1"/>
  <c r="I575" i="7"/>
  <c r="AG575" i="7" s="1"/>
  <c r="G573" i="28"/>
  <c r="H573" i="28" s="1"/>
  <c r="F572" i="28"/>
  <c r="G569" i="27"/>
  <c r="H569" i="27" s="1"/>
  <c r="J569" i="27" s="1"/>
  <c r="L569" i="27" s="1"/>
  <c r="F568" i="27"/>
  <c r="J572" i="13" l="1"/>
  <c r="I572" i="13"/>
  <c r="F570" i="13"/>
  <c r="H571" i="13"/>
  <c r="G571" i="13"/>
  <c r="M576" i="7"/>
  <c r="N576" i="7" s="1"/>
  <c r="L575" i="7"/>
  <c r="J575" i="7"/>
  <c r="AH575" i="7" s="1"/>
  <c r="G573" i="7"/>
  <c r="K575" i="7"/>
  <c r="H574" i="7"/>
  <c r="AI574" i="7" s="1"/>
  <c r="I574" i="7"/>
  <c r="AG574" i="7" s="1"/>
  <c r="G572" i="28"/>
  <c r="H572" i="28" s="1"/>
  <c r="F571" i="28"/>
  <c r="G568" i="27"/>
  <c r="H568" i="27" s="1"/>
  <c r="J568" i="27" s="1"/>
  <c r="L568" i="27" s="1"/>
  <c r="F567" i="27"/>
  <c r="J571" i="13" l="1"/>
  <c r="I571" i="13"/>
  <c r="F569" i="13"/>
  <c r="H570" i="13"/>
  <c r="G570" i="13"/>
  <c r="J574" i="7"/>
  <c r="L574" i="7"/>
  <c r="M575" i="7"/>
  <c r="N575" i="7" s="1"/>
  <c r="K574" i="7"/>
  <c r="G572" i="7"/>
  <c r="H573" i="7"/>
  <c r="AI573" i="7" s="1"/>
  <c r="I573" i="7"/>
  <c r="AG573" i="7" s="1"/>
  <c r="G571" i="28"/>
  <c r="H571" i="28" s="1"/>
  <c r="F570" i="28"/>
  <c r="G567" i="27"/>
  <c r="H567" i="27" s="1"/>
  <c r="J567" i="27" s="1"/>
  <c r="L567" i="27" s="1"/>
  <c r="F566" i="27"/>
  <c r="J570" i="13" l="1"/>
  <c r="I570" i="13"/>
  <c r="F568" i="13"/>
  <c r="H569" i="13"/>
  <c r="G569" i="13"/>
  <c r="AH574" i="7"/>
  <c r="G571" i="7"/>
  <c r="J573" i="7"/>
  <c r="L573" i="7"/>
  <c r="H572" i="7"/>
  <c r="AI572" i="7" s="1"/>
  <c r="I572" i="7"/>
  <c r="AG572" i="7" s="1"/>
  <c r="K573" i="7"/>
  <c r="M574" i="7"/>
  <c r="N574" i="7" s="1"/>
  <c r="G570" i="28"/>
  <c r="H570" i="28" s="1"/>
  <c r="F569" i="28"/>
  <c r="G566" i="27"/>
  <c r="H566" i="27" s="1"/>
  <c r="J566" i="27" s="1"/>
  <c r="L566" i="27" s="1"/>
  <c r="F565" i="27"/>
  <c r="J569" i="13" l="1"/>
  <c r="I569" i="13"/>
  <c r="F567" i="13"/>
  <c r="H568" i="13"/>
  <c r="G568" i="13"/>
  <c r="AH573" i="7"/>
  <c r="M573" i="7"/>
  <c r="N573" i="7" s="1"/>
  <c r="L572" i="7"/>
  <c r="J572" i="7"/>
  <c r="AH572" i="7" s="1"/>
  <c r="G570" i="7"/>
  <c r="K572" i="7"/>
  <c r="H571" i="7"/>
  <c r="AI571" i="7" s="1"/>
  <c r="I571" i="7"/>
  <c r="AG571" i="7" s="1"/>
  <c r="G569" i="28"/>
  <c r="H569" i="28" s="1"/>
  <c r="F568" i="28"/>
  <c r="G565" i="27"/>
  <c r="H565" i="27" s="1"/>
  <c r="J565" i="27" s="1"/>
  <c r="L565" i="27" s="1"/>
  <c r="F564" i="27"/>
  <c r="J568" i="13" l="1"/>
  <c r="I568" i="13"/>
  <c r="F566" i="13"/>
  <c r="H567" i="13"/>
  <c r="G567" i="13"/>
  <c r="J571" i="7"/>
  <c r="L571" i="7"/>
  <c r="M572" i="7"/>
  <c r="N572" i="7" s="1"/>
  <c r="K571" i="7"/>
  <c r="G569" i="7"/>
  <c r="H570" i="7"/>
  <c r="AI570" i="7" s="1"/>
  <c r="I570" i="7"/>
  <c r="AG570" i="7" s="1"/>
  <c r="F567" i="28"/>
  <c r="G568" i="28"/>
  <c r="H568" i="28" s="1"/>
  <c r="G564" i="27"/>
  <c r="H564" i="27" s="1"/>
  <c r="J564" i="27" s="1"/>
  <c r="L564" i="27" s="1"/>
  <c r="F563" i="27"/>
  <c r="J567" i="13" l="1"/>
  <c r="I567" i="13"/>
  <c r="F565" i="13"/>
  <c r="H566" i="13"/>
  <c r="G566" i="13"/>
  <c r="AH571" i="7"/>
  <c r="G568" i="7"/>
  <c r="H569" i="7"/>
  <c r="AI569" i="7" s="1"/>
  <c r="I569" i="7"/>
  <c r="AG569" i="7" s="1"/>
  <c r="L570" i="7"/>
  <c r="J570" i="7"/>
  <c r="M571" i="7"/>
  <c r="N571" i="7" s="1"/>
  <c r="K570" i="7"/>
  <c r="G567" i="28"/>
  <c r="H567" i="28" s="1"/>
  <c r="F566" i="28"/>
  <c r="G563" i="27"/>
  <c r="H563" i="27" s="1"/>
  <c r="J563" i="27" s="1"/>
  <c r="L563" i="27" s="1"/>
  <c r="F562" i="27"/>
  <c r="J566" i="13" l="1"/>
  <c r="I566" i="13"/>
  <c r="F564" i="13"/>
  <c r="H565" i="13"/>
  <c r="G565" i="13"/>
  <c r="AH570" i="7"/>
  <c r="L569" i="7"/>
  <c r="J569" i="7"/>
  <c r="K569" i="7"/>
  <c r="I568" i="7"/>
  <c r="AG568" i="7" s="1"/>
  <c r="H568" i="7"/>
  <c r="AI568" i="7" s="1"/>
  <c r="M570" i="7"/>
  <c r="N570" i="7" s="1"/>
  <c r="G567" i="7"/>
  <c r="G566" i="28"/>
  <c r="H566" i="28" s="1"/>
  <c r="F565" i="28"/>
  <c r="G562" i="27"/>
  <c r="H562" i="27" s="1"/>
  <c r="J562" i="27" s="1"/>
  <c r="L562" i="27" s="1"/>
  <c r="F561" i="27"/>
  <c r="J565" i="13" l="1"/>
  <c r="I565" i="13"/>
  <c r="F563" i="13"/>
  <c r="H564" i="13"/>
  <c r="G564" i="13"/>
  <c r="AH569" i="7"/>
  <c r="G566" i="7"/>
  <c r="K568" i="7"/>
  <c r="H567" i="7"/>
  <c r="AI567" i="7" s="1"/>
  <c r="I567" i="7"/>
  <c r="AG567" i="7" s="1"/>
  <c r="L568" i="7"/>
  <c r="J568" i="7"/>
  <c r="M569" i="7"/>
  <c r="N569" i="7" s="1"/>
  <c r="G565" i="28"/>
  <c r="H565" i="28" s="1"/>
  <c r="F564" i="28"/>
  <c r="G561" i="27"/>
  <c r="H561" i="27" s="1"/>
  <c r="J561" i="27" s="1"/>
  <c r="L561" i="27" s="1"/>
  <c r="F560" i="27"/>
  <c r="J564" i="13" l="1"/>
  <c r="I564" i="13"/>
  <c r="F562" i="13"/>
  <c r="H563" i="13"/>
  <c r="G563" i="13"/>
  <c r="AH568" i="7"/>
  <c r="M568" i="7"/>
  <c r="N568" i="7" s="1"/>
  <c r="J567" i="7"/>
  <c r="L567" i="7"/>
  <c r="H566" i="7"/>
  <c r="AI566" i="7" s="1"/>
  <c r="I566" i="7"/>
  <c r="AG566" i="7" s="1"/>
  <c r="K567" i="7"/>
  <c r="G565" i="7"/>
  <c r="G564" i="28"/>
  <c r="H564" i="28" s="1"/>
  <c r="F563" i="28"/>
  <c r="G560" i="27"/>
  <c r="H560" i="27" s="1"/>
  <c r="J560" i="27" s="1"/>
  <c r="L560" i="27" s="1"/>
  <c r="F559" i="27"/>
  <c r="J563" i="13" l="1"/>
  <c r="I563" i="13"/>
  <c r="F561" i="13"/>
  <c r="H562" i="13"/>
  <c r="G562" i="13"/>
  <c r="AH567" i="7"/>
  <c r="G564" i="7"/>
  <c r="L566" i="7"/>
  <c r="J566" i="7"/>
  <c r="I565" i="7"/>
  <c r="AG565" i="7" s="1"/>
  <c r="H565" i="7"/>
  <c r="AI565" i="7" s="1"/>
  <c r="K566" i="7"/>
  <c r="M567" i="7"/>
  <c r="N567" i="7" s="1"/>
  <c r="G563" i="28"/>
  <c r="H563" i="28" s="1"/>
  <c r="F562" i="28"/>
  <c r="G559" i="27"/>
  <c r="H559" i="27" s="1"/>
  <c r="J559" i="27" s="1"/>
  <c r="L559" i="27" s="1"/>
  <c r="F558" i="27"/>
  <c r="J562" i="13" l="1"/>
  <c r="I562" i="13"/>
  <c r="F560" i="13"/>
  <c r="H561" i="13"/>
  <c r="G561" i="13"/>
  <c r="AH566" i="7"/>
  <c r="M566" i="7"/>
  <c r="N566" i="7" s="1"/>
  <c r="K565" i="7"/>
  <c r="G563" i="7"/>
  <c r="J565" i="7"/>
  <c r="L565" i="7"/>
  <c r="H564" i="7"/>
  <c r="AI564" i="7" s="1"/>
  <c r="I564" i="7"/>
  <c r="AG564" i="7" s="1"/>
  <c r="G562" i="28"/>
  <c r="H562" i="28" s="1"/>
  <c r="F561" i="28"/>
  <c r="G558" i="27"/>
  <c r="H558" i="27" s="1"/>
  <c r="J558" i="27" s="1"/>
  <c r="L558" i="27" s="1"/>
  <c r="F557" i="27"/>
  <c r="J561" i="13" l="1"/>
  <c r="I561" i="13"/>
  <c r="F559" i="13"/>
  <c r="H560" i="13"/>
  <c r="G560" i="13"/>
  <c r="AH565" i="7"/>
  <c r="M565" i="7"/>
  <c r="N565" i="7" s="1"/>
  <c r="J564" i="7"/>
  <c r="L564" i="7"/>
  <c r="G562" i="7"/>
  <c r="K564" i="7"/>
  <c r="H563" i="7"/>
  <c r="AI563" i="7" s="1"/>
  <c r="I563" i="7"/>
  <c r="AG563" i="7" s="1"/>
  <c r="G561" i="28"/>
  <c r="H561" i="28" s="1"/>
  <c r="F560" i="28"/>
  <c r="G557" i="27"/>
  <c r="H557" i="27" s="1"/>
  <c r="J557" i="27" s="1"/>
  <c r="L557" i="27" s="1"/>
  <c r="F556" i="27"/>
  <c r="J560" i="13" l="1"/>
  <c r="I560" i="13"/>
  <c r="F558" i="13"/>
  <c r="H559" i="13"/>
  <c r="G559" i="13"/>
  <c r="AH564" i="7"/>
  <c r="J563" i="7"/>
  <c r="L563" i="7"/>
  <c r="K563" i="7"/>
  <c r="H562" i="7"/>
  <c r="AI562" i="7" s="1"/>
  <c r="I562" i="7"/>
  <c r="AG562" i="7" s="1"/>
  <c r="G561" i="7"/>
  <c r="M564" i="7"/>
  <c r="N564" i="7" s="1"/>
  <c r="F559" i="28"/>
  <c r="G560" i="28"/>
  <c r="H560" i="28" s="1"/>
  <c r="G556" i="27"/>
  <c r="H556" i="27" s="1"/>
  <c r="J556" i="27" s="1"/>
  <c r="L556" i="27" s="1"/>
  <c r="F555" i="27"/>
  <c r="J559" i="13" l="1"/>
  <c r="I559" i="13"/>
  <c r="F557" i="13"/>
  <c r="H558" i="13"/>
  <c r="G558" i="13"/>
  <c r="AH563" i="7"/>
  <c r="H561" i="7"/>
  <c r="AI561" i="7" s="1"/>
  <c r="I561" i="7"/>
  <c r="AG561" i="7" s="1"/>
  <c r="G560" i="7"/>
  <c r="J562" i="7"/>
  <c r="L562" i="7"/>
  <c r="M563" i="7"/>
  <c r="N563" i="7" s="1"/>
  <c r="K562" i="7"/>
  <c r="G559" i="28"/>
  <c r="H559" i="28" s="1"/>
  <c r="F558" i="28"/>
  <c r="G555" i="27"/>
  <c r="H555" i="27" s="1"/>
  <c r="J555" i="27" s="1"/>
  <c r="L555" i="27" s="1"/>
  <c r="F554" i="27"/>
  <c r="J558" i="13" l="1"/>
  <c r="I558" i="13"/>
  <c r="F556" i="13"/>
  <c r="H557" i="13"/>
  <c r="G557" i="13"/>
  <c r="AH562" i="7"/>
  <c r="G559" i="7"/>
  <c r="H560" i="7"/>
  <c r="AI560" i="7" s="1"/>
  <c r="I560" i="7"/>
  <c r="AG560" i="7" s="1"/>
  <c r="M562" i="7"/>
  <c r="N562" i="7" s="1"/>
  <c r="J561" i="7"/>
  <c r="L561" i="7"/>
  <c r="K561" i="7"/>
  <c r="G558" i="28"/>
  <c r="H558" i="28" s="1"/>
  <c r="F557" i="28"/>
  <c r="G554" i="27"/>
  <c r="H554" i="27" s="1"/>
  <c r="J554" i="27" s="1"/>
  <c r="L554" i="27" s="1"/>
  <c r="F553" i="27"/>
  <c r="J557" i="13" l="1"/>
  <c r="I557" i="13"/>
  <c r="F555" i="13"/>
  <c r="H556" i="13"/>
  <c r="G556" i="13"/>
  <c r="AH561" i="7"/>
  <c r="M561" i="7"/>
  <c r="N561" i="7" s="1"/>
  <c r="L560" i="7"/>
  <c r="J560" i="7"/>
  <c r="K560" i="7"/>
  <c r="G558" i="7"/>
  <c r="H559" i="7"/>
  <c r="AI559" i="7" s="1"/>
  <c r="I559" i="7"/>
  <c r="AG559" i="7" s="1"/>
  <c r="G557" i="28"/>
  <c r="H557" i="28" s="1"/>
  <c r="F556" i="28"/>
  <c r="G553" i="27"/>
  <c r="H553" i="27" s="1"/>
  <c r="J553" i="27" s="1"/>
  <c r="L553" i="27" s="1"/>
  <c r="F552" i="27"/>
  <c r="J556" i="13" l="1"/>
  <c r="I556" i="13"/>
  <c r="F554" i="13"/>
  <c r="H555" i="13"/>
  <c r="G555" i="13"/>
  <c r="AH560" i="7"/>
  <c r="G557" i="7"/>
  <c r="H558" i="7"/>
  <c r="I558" i="7"/>
  <c r="AG558" i="7" s="1"/>
  <c r="M560" i="7"/>
  <c r="N560" i="7" s="1"/>
  <c r="L559" i="7"/>
  <c r="J559" i="7"/>
  <c r="K559" i="7"/>
  <c r="G556" i="28"/>
  <c r="H556" i="28" s="1"/>
  <c r="F555" i="28"/>
  <c r="G552" i="27"/>
  <c r="H552" i="27" s="1"/>
  <c r="J552" i="27" s="1"/>
  <c r="L552" i="27" s="1"/>
  <c r="F551" i="27"/>
  <c r="J555" i="13" l="1"/>
  <c r="I555" i="13"/>
  <c r="F553" i="13"/>
  <c r="H554" i="13"/>
  <c r="G554" i="13"/>
  <c r="AH559" i="7"/>
  <c r="K558" i="7"/>
  <c r="AI558" i="7"/>
  <c r="L558" i="7"/>
  <c r="J558" i="7"/>
  <c r="M559" i="7"/>
  <c r="N559" i="7" s="1"/>
  <c r="G556" i="7"/>
  <c r="I557" i="7"/>
  <c r="AG557" i="7" s="1"/>
  <c r="H557" i="7"/>
  <c r="AI557" i="7" s="1"/>
  <c r="G555" i="28"/>
  <c r="H555" i="28" s="1"/>
  <c r="F554" i="28"/>
  <c r="G551" i="27"/>
  <c r="H551" i="27" s="1"/>
  <c r="J551" i="27" s="1"/>
  <c r="L551" i="27" s="1"/>
  <c r="F550" i="27"/>
  <c r="F552" i="13" l="1"/>
  <c r="H553" i="13"/>
  <c r="G553" i="13"/>
  <c r="J554" i="13"/>
  <c r="I554" i="13"/>
  <c r="AH558" i="7"/>
  <c r="K557" i="7"/>
  <c r="J557" i="7"/>
  <c r="L557" i="7"/>
  <c r="G555" i="7"/>
  <c r="H556" i="7"/>
  <c r="AI556" i="7" s="1"/>
  <c r="I556" i="7"/>
  <c r="AG556" i="7" s="1"/>
  <c r="M558" i="7"/>
  <c r="N558" i="7" s="1"/>
  <c r="G554" i="28"/>
  <c r="H554" i="28" s="1"/>
  <c r="F553" i="28"/>
  <c r="G550" i="27"/>
  <c r="H550" i="27" s="1"/>
  <c r="J550" i="27" s="1"/>
  <c r="L550" i="27" s="1"/>
  <c r="F549" i="27"/>
  <c r="J553" i="13" l="1"/>
  <c r="I553" i="13"/>
  <c r="F551" i="13"/>
  <c r="H552" i="13"/>
  <c r="G552" i="13"/>
  <c r="AH557" i="7"/>
  <c r="J556" i="7"/>
  <c r="L556" i="7"/>
  <c r="H555" i="7"/>
  <c r="AI555" i="7" s="1"/>
  <c r="I555" i="7"/>
  <c r="AG555" i="7" s="1"/>
  <c r="K556" i="7"/>
  <c r="G554" i="7"/>
  <c r="M557" i="7"/>
  <c r="N557" i="7" s="1"/>
  <c r="G553" i="28"/>
  <c r="H553" i="28" s="1"/>
  <c r="F552" i="28"/>
  <c r="G549" i="27"/>
  <c r="H549" i="27" s="1"/>
  <c r="J549" i="27" s="1"/>
  <c r="L549" i="27" s="1"/>
  <c r="F548" i="27"/>
  <c r="F550" i="13" l="1"/>
  <c r="H551" i="13"/>
  <c r="G551" i="13"/>
  <c r="J552" i="13"/>
  <c r="I552" i="13"/>
  <c r="AH556" i="7"/>
  <c r="G553" i="7"/>
  <c r="J555" i="7"/>
  <c r="L555" i="7"/>
  <c r="K555" i="7"/>
  <c r="M556" i="7"/>
  <c r="N556" i="7" s="1"/>
  <c r="H554" i="7"/>
  <c r="AI554" i="7" s="1"/>
  <c r="I554" i="7"/>
  <c r="AG554" i="7" s="1"/>
  <c r="G552" i="28"/>
  <c r="H552" i="28" s="1"/>
  <c r="F551" i="28"/>
  <c r="G548" i="27"/>
  <c r="H548" i="27" s="1"/>
  <c r="J548" i="27" s="1"/>
  <c r="L548" i="27" s="1"/>
  <c r="F547" i="27"/>
  <c r="J551" i="13" l="1"/>
  <c r="I551" i="13"/>
  <c r="F549" i="13"/>
  <c r="H550" i="13"/>
  <c r="G550" i="13"/>
  <c r="AH555" i="7"/>
  <c r="M555" i="7"/>
  <c r="N555" i="7" s="1"/>
  <c r="L554" i="7"/>
  <c r="J554" i="7"/>
  <c r="G552" i="7"/>
  <c r="K554" i="7"/>
  <c r="H553" i="7"/>
  <c r="AI553" i="7" s="1"/>
  <c r="I553" i="7"/>
  <c r="AG553" i="7" s="1"/>
  <c r="F550" i="28"/>
  <c r="G551" i="28"/>
  <c r="H551" i="28" s="1"/>
  <c r="G547" i="27"/>
  <c r="H547" i="27" s="1"/>
  <c r="J547" i="27" s="1"/>
  <c r="L547" i="27" s="1"/>
  <c r="F546" i="27"/>
  <c r="J550" i="13" l="1"/>
  <c r="I550" i="13"/>
  <c r="F548" i="13"/>
  <c r="H549" i="13"/>
  <c r="G549" i="13"/>
  <c r="AH554" i="7"/>
  <c r="M554" i="7"/>
  <c r="N554" i="7" s="1"/>
  <c r="L553" i="7"/>
  <c r="M553" i="7" s="1"/>
  <c r="J553" i="7"/>
  <c r="AH553" i="7" s="1"/>
  <c r="G551" i="7"/>
  <c r="K553" i="7"/>
  <c r="I552" i="7"/>
  <c r="AG552" i="7" s="1"/>
  <c r="H552" i="7"/>
  <c r="AI552" i="7" s="1"/>
  <c r="G550" i="28"/>
  <c r="H550" i="28" s="1"/>
  <c r="F549" i="28"/>
  <c r="G546" i="27"/>
  <c r="H546" i="27" s="1"/>
  <c r="J546" i="27" s="1"/>
  <c r="L546" i="27" s="1"/>
  <c r="F545" i="27"/>
  <c r="J549" i="13" l="1"/>
  <c r="I549" i="13"/>
  <c r="F547" i="13"/>
  <c r="H548" i="13"/>
  <c r="G548" i="13"/>
  <c r="N553" i="7"/>
  <c r="K552" i="7"/>
  <c r="H551" i="7"/>
  <c r="AI551" i="7" s="1"/>
  <c r="I551" i="7"/>
  <c r="AG551" i="7" s="1"/>
  <c r="J552" i="7"/>
  <c r="L552" i="7"/>
  <c r="G550" i="7"/>
  <c r="G549" i="28"/>
  <c r="H549" i="28" s="1"/>
  <c r="F548" i="28"/>
  <c r="G545" i="27"/>
  <c r="H545" i="27" s="1"/>
  <c r="J545" i="27" s="1"/>
  <c r="L545" i="27" s="1"/>
  <c r="F544" i="27"/>
  <c r="F546" i="13" l="1"/>
  <c r="H547" i="13"/>
  <c r="G547" i="13"/>
  <c r="J548" i="13"/>
  <c r="I548" i="13"/>
  <c r="AH552" i="7"/>
  <c r="G549" i="7"/>
  <c r="J551" i="7"/>
  <c r="L551" i="7"/>
  <c r="M551" i="7" s="1"/>
  <c r="H550" i="7"/>
  <c r="AI550" i="7" s="1"/>
  <c r="I550" i="7"/>
  <c r="AG550" i="7" s="1"/>
  <c r="K551" i="7"/>
  <c r="M552" i="7"/>
  <c r="N552" i="7" s="1"/>
  <c r="G548" i="28"/>
  <c r="H548" i="28" s="1"/>
  <c r="F547" i="28"/>
  <c r="G544" i="27"/>
  <c r="H544" i="27" s="1"/>
  <c r="J544" i="27" s="1"/>
  <c r="L544" i="27" s="1"/>
  <c r="F543" i="27"/>
  <c r="J547" i="13" l="1"/>
  <c r="I547" i="13"/>
  <c r="F545" i="13"/>
  <c r="H546" i="13"/>
  <c r="G546" i="13"/>
  <c r="AH551" i="7"/>
  <c r="N551" i="7"/>
  <c r="J550" i="7"/>
  <c r="L550" i="7"/>
  <c r="G548" i="7"/>
  <c r="K550" i="7"/>
  <c r="H549" i="7"/>
  <c r="AI549" i="7" s="1"/>
  <c r="I549" i="7"/>
  <c r="AG549" i="7" s="1"/>
  <c r="G547" i="28"/>
  <c r="H547" i="28" s="1"/>
  <c r="F546" i="28"/>
  <c r="G543" i="27"/>
  <c r="H543" i="27" s="1"/>
  <c r="J543" i="27" s="1"/>
  <c r="L543" i="27" s="1"/>
  <c r="F542" i="27"/>
  <c r="F544" i="13" l="1"/>
  <c r="H545" i="13"/>
  <c r="G545" i="13"/>
  <c r="J546" i="13"/>
  <c r="I546" i="13"/>
  <c r="AH550" i="7"/>
  <c r="H548" i="7"/>
  <c r="AI548" i="7" s="1"/>
  <c r="I548" i="7"/>
  <c r="AG548" i="7" s="1"/>
  <c r="M550" i="7"/>
  <c r="N550" i="7" s="1"/>
  <c r="J549" i="7"/>
  <c r="L549" i="7"/>
  <c r="K549" i="7"/>
  <c r="G547" i="7"/>
  <c r="F545" i="28"/>
  <c r="G546" i="28"/>
  <c r="H546" i="28" s="1"/>
  <c r="G542" i="27"/>
  <c r="H542" i="27" s="1"/>
  <c r="J542" i="27" s="1"/>
  <c r="L542" i="27" s="1"/>
  <c r="F541" i="27"/>
  <c r="J545" i="13" l="1"/>
  <c r="I545" i="13"/>
  <c r="F543" i="13"/>
  <c r="H544" i="13"/>
  <c r="G544" i="13"/>
  <c r="AH549" i="7"/>
  <c r="H547" i="7"/>
  <c r="AI547" i="7" s="1"/>
  <c r="I547" i="7"/>
  <c r="AG547" i="7" s="1"/>
  <c r="M549" i="7"/>
  <c r="N549" i="7" s="1"/>
  <c r="L548" i="7"/>
  <c r="J548" i="7"/>
  <c r="AH548" i="7" s="1"/>
  <c r="G546" i="7"/>
  <c r="K548" i="7"/>
  <c r="F544" i="28"/>
  <c r="G545" i="28"/>
  <c r="H545" i="28" s="1"/>
  <c r="G541" i="27"/>
  <c r="H541" i="27" s="1"/>
  <c r="J541" i="27" s="1"/>
  <c r="L541" i="27" s="1"/>
  <c r="F540" i="27"/>
  <c r="J544" i="13" l="1"/>
  <c r="I544" i="13"/>
  <c r="F542" i="13"/>
  <c r="H543" i="13"/>
  <c r="G543" i="13"/>
  <c r="G545" i="7"/>
  <c r="H546" i="7"/>
  <c r="AI546" i="7" s="1"/>
  <c r="I546" i="7"/>
  <c r="AG546" i="7" s="1"/>
  <c r="L547" i="7"/>
  <c r="J547" i="7"/>
  <c r="M548" i="7"/>
  <c r="N548" i="7" s="1"/>
  <c r="K547" i="7"/>
  <c r="G544" i="28"/>
  <c r="H544" i="28" s="1"/>
  <c r="F543" i="28"/>
  <c r="G540" i="27"/>
  <c r="H540" i="27" s="1"/>
  <c r="J540" i="27" s="1"/>
  <c r="L540" i="27" s="1"/>
  <c r="F539" i="27"/>
  <c r="J543" i="13" l="1"/>
  <c r="I543" i="13"/>
  <c r="F541" i="13"/>
  <c r="H542" i="13"/>
  <c r="G542" i="13"/>
  <c r="AH547" i="7"/>
  <c r="L546" i="7"/>
  <c r="J546" i="7"/>
  <c r="K546" i="7"/>
  <c r="H545" i="7"/>
  <c r="AI545" i="7" s="1"/>
  <c r="I545" i="7"/>
  <c r="AG545" i="7" s="1"/>
  <c r="M547" i="7"/>
  <c r="N547" i="7" s="1"/>
  <c r="G544" i="7"/>
  <c r="F542" i="28"/>
  <c r="G543" i="28"/>
  <c r="H543" i="28" s="1"/>
  <c r="G539" i="27"/>
  <c r="H539" i="27" s="1"/>
  <c r="J539" i="27" s="1"/>
  <c r="L539" i="27" s="1"/>
  <c r="F538" i="27"/>
  <c r="J542" i="13" l="1"/>
  <c r="I542" i="13"/>
  <c r="F540" i="13"/>
  <c r="H541" i="13"/>
  <c r="G541" i="13"/>
  <c r="AH546" i="7"/>
  <c r="G543" i="7"/>
  <c r="L545" i="7"/>
  <c r="J545" i="7"/>
  <c r="H544" i="7"/>
  <c r="AI544" i="7" s="1"/>
  <c r="I544" i="7"/>
  <c r="AG544" i="7" s="1"/>
  <c r="K545" i="7"/>
  <c r="M546" i="7"/>
  <c r="N546" i="7" s="1"/>
  <c r="G542" i="28"/>
  <c r="H542" i="28" s="1"/>
  <c r="F541" i="28"/>
  <c r="G538" i="27"/>
  <c r="H538" i="27" s="1"/>
  <c r="J538" i="27" s="1"/>
  <c r="L538" i="27" s="1"/>
  <c r="F537" i="27"/>
  <c r="F539" i="13" l="1"/>
  <c r="H540" i="13"/>
  <c r="G540" i="13"/>
  <c r="J541" i="13"/>
  <c r="I541" i="13"/>
  <c r="AH545" i="7"/>
  <c r="M545" i="7"/>
  <c r="N545" i="7" s="1"/>
  <c r="L544" i="7"/>
  <c r="J544" i="7"/>
  <c r="G542" i="7"/>
  <c r="K544" i="7"/>
  <c r="H543" i="7"/>
  <c r="AI543" i="7" s="1"/>
  <c r="I543" i="7"/>
  <c r="AG543" i="7" s="1"/>
  <c r="G541" i="28"/>
  <c r="H541" i="28" s="1"/>
  <c r="F540" i="28"/>
  <c r="G537" i="27"/>
  <c r="H537" i="27" s="1"/>
  <c r="J537" i="27" s="1"/>
  <c r="L537" i="27" s="1"/>
  <c r="F536" i="27"/>
  <c r="J540" i="13" l="1"/>
  <c r="I540" i="13"/>
  <c r="F538" i="13"/>
  <c r="H539" i="13"/>
  <c r="G539" i="13"/>
  <c r="AH544" i="7"/>
  <c r="M544" i="7"/>
  <c r="N544" i="7" s="1"/>
  <c r="J543" i="7"/>
  <c r="L543" i="7"/>
  <c r="G541" i="7"/>
  <c r="K543" i="7"/>
  <c r="H542" i="7"/>
  <c r="AI542" i="7" s="1"/>
  <c r="I542" i="7"/>
  <c r="AG542" i="7" s="1"/>
  <c r="F539" i="28"/>
  <c r="G540" i="28"/>
  <c r="H540" i="28" s="1"/>
  <c r="G536" i="27"/>
  <c r="H536" i="27" s="1"/>
  <c r="J536" i="27" s="1"/>
  <c r="L536" i="27" s="1"/>
  <c r="F535" i="27"/>
  <c r="F537" i="13" l="1"/>
  <c r="H538" i="13"/>
  <c r="G538" i="13"/>
  <c r="J539" i="13"/>
  <c r="I539" i="13"/>
  <c r="AH543" i="7"/>
  <c r="M543" i="7"/>
  <c r="N543" i="7" s="1"/>
  <c r="J542" i="7"/>
  <c r="L542" i="7"/>
  <c r="G540" i="7"/>
  <c r="K542" i="7"/>
  <c r="H541" i="7"/>
  <c r="AI541" i="7" s="1"/>
  <c r="I541" i="7"/>
  <c r="AG541" i="7" s="1"/>
  <c r="F538" i="28"/>
  <c r="G539" i="28"/>
  <c r="H539" i="28" s="1"/>
  <c r="G535" i="27"/>
  <c r="H535" i="27" s="1"/>
  <c r="J535" i="27" s="1"/>
  <c r="L535" i="27" s="1"/>
  <c r="F534" i="27"/>
  <c r="J538" i="13" l="1"/>
  <c r="I538" i="13"/>
  <c r="F536" i="13"/>
  <c r="H537" i="13"/>
  <c r="G537" i="13"/>
  <c r="AH542" i="7"/>
  <c r="M542" i="7"/>
  <c r="N542" i="7" s="1"/>
  <c r="J541" i="7"/>
  <c r="L541" i="7"/>
  <c r="K541" i="7"/>
  <c r="G539" i="7"/>
  <c r="H540" i="7"/>
  <c r="AI540" i="7" s="1"/>
  <c r="I540" i="7"/>
  <c r="AG540" i="7" s="1"/>
  <c r="F537" i="28"/>
  <c r="G538" i="28"/>
  <c r="H538" i="28" s="1"/>
  <c r="G534" i="27"/>
  <c r="H534" i="27" s="1"/>
  <c r="J534" i="27" s="1"/>
  <c r="L534" i="27" s="1"/>
  <c r="F533" i="27"/>
  <c r="J537" i="13" l="1"/>
  <c r="I537" i="13"/>
  <c r="F535" i="13"/>
  <c r="H536" i="13"/>
  <c r="G536" i="13"/>
  <c r="AH541" i="7"/>
  <c r="J540" i="7"/>
  <c r="L540" i="7"/>
  <c r="I539" i="7"/>
  <c r="AG539" i="7" s="1"/>
  <c r="H539" i="7"/>
  <c r="AI539" i="7" s="1"/>
  <c r="K540" i="7"/>
  <c r="M541" i="7"/>
  <c r="N541" i="7" s="1"/>
  <c r="G538" i="7"/>
  <c r="G537" i="28"/>
  <c r="H537" i="28" s="1"/>
  <c r="F536" i="28"/>
  <c r="G533" i="27"/>
  <c r="H533" i="27" s="1"/>
  <c r="J533" i="27" s="1"/>
  <c r="L533" i="27" s="1"/>
  <c r="F532" i="27"/>
  <c r="J536" i="13" l="1"/>
  <c r="I536" i="13"/>
  <c r="F534" i="13"/>
  <c r="H535" i="13"/>
  <c r="G535" i="13"/>
  <c r="AH540" i="7"/>
  <c r="G537" i="7"/>
  <c r="I538" i="7"/>
  <c r="AG538" i="7" s="1"/>
  <c r="H538" i="7"/>
  <c r="AI538" i="7" s="1"/>
  <c r="M540" i="7"/>
  <c r="N540" i="7" s="1"/>
  <c r="K539" i="7"/>
  <c r="J539" i="7"/>
  <c r="L539" i="7"/>
  <c r="M539" i="7" s="1"/>
  <c r="G536" i="28"/>
  <c r="H536" i="28" s="1"/>
  <c r="F535" i="28"/>
  <c r="G532" i="27"/>
  <c r="H532" i="27" s="1"/>
  <c r="J532" i="27" s="1"/>
  <c r="L532" i="27" s="1"/>
  <c r="F531" i="27"/>
  <c r="J535" i="13" l="1"/>
  <c r="I535" i="13"/>
  <c r="F533" i="13"/>
  <c r="H534" i="13"/>
  <c r="G534" i="13"/>
  <c r="AH539" i="7"/>
  <c r="J538" i="7"/>
  <c r="L538" i="7"/>
  <c r="N539" i="7"/>
  <c r="H537" i="7"/>
  <c r="AI537" i="7" s="1"/>
  <c r="I537" i="7"/>
  <c r="AG537" i="7" s="1"/>
  <c r="K538" i="7"/>
  <c r="G536" i="7"/>
  <c r="G535" i="28"/>
  <c r="H535" i="28" s="1"/>
  <c r="F534" i="28"/>
  <c r="G531" i="27"/>
  <c r="H531" i="27" s="1"/>
  <c r="J531" i="27" s="1"/>
  <c r="L531" i="27" s="1"/>
  <c r="F530" i="27"/>
  <c r="J534" i="13" l="1"/>
  <c r="I534" i="13"/>
  <c r="F532" i="13"/>
  <c r="H533" i="13"/>
  <c r="G533" i="13"/>
  <c r="AH538" i="7"/>
  <c r="K537" i="7"/>
  <c r="G535" i="7"/>
  <c r="M538" i="7"/>
  <c r="N538" i="7" s="1"/>
  <c r="H536" i="7"/>
  <c r="AI536" i="7" s="1"/>
  <c r="I536" i="7"/>
  <c r="AG536" i="7" s="1"/>
  <c r="L537" i="7"/>
  <c r="J537" i="7"/>
  <c r="G534" i="28"/>
  <c r="H534" i="28" s="1"/>
  <c r="F533" i="28"/>
  <c r="G530" i="27"/>
  <c r="H530" i="27" s="1"/>
  <c r="J530" i="27" s="1"/>
  <c r="L530" i="27" s="1"/>
  <c r="F529" i="27"/>
  <c r="J533" i="13" l="1"/>
  <c r="I533" i="13"/>
  <c r="F531" i="13"/>
  <c r="H532" i="13"/>
  <c r="G532" i="13"/>
  <c r="AH537" i="7"/>
  <c r="L536" i="7"/>
  <c r="M536" i="7" s="1"/>
  <c r="J536" i="7"/>
  <c r="AH536" i="7" s="1"/>
  <c r="H535" i="7"/>
  <c r="AI535" i="7" s="1"/>
  <c r="I535" i="7"/>
  <c r="AG535" i="7" s="1"/>
  <c r="K536" i="7"/>
  <c r="G534" i="7"/>
  <c r="M537" i="7"/>
  <c r="N537" i="7" s="1"/>
  <c r="G533" i="28"/>
  <c r="H533" i="28" s="1"/>
  <c r="F532" i="28"/>
  <c r="G529" i="27"/>
  <c r="H529" i="27" s="1"/>
  <c r="J529" i="27" s="1"/>
  <c r="L529" i="27" s="1"/>
  <c r="F528" i="27"/>
  <c r="F530" i="13" l="1"/>
  <c r="H531" i="13"/>
  <c r="G531" i="13"/>
  <c r="J532" i="13"/>
  <c r="I532" i="13"/>
  <c r="G533" i="7"/>
  <c r="J535" i="7"/>
  <c r="L535" i="7"/>
  <c r="K535" i="7"/>
  <c r="N536" i="7"/>
  <c r="H534" i="7"/>
  <c r="AI534" i="7" s="1"/>
  <c r="I534" i="7"/>
  <c r="AG534" i="7" s="1"/>
  <c r="F531" i="28"/>
  <c r="G532" i="28"/>
  <c r="H532" i="28" s="1"/>
  <c r="G528" i="27"/>
  <c r="H528" i="27" s="1"/>
  <c r="J528" i="27" s="1"/>
  <c r="L528" i="27" s="1"/>
  <c r="F527" i="27"/>
  <c r="J531" i="13" l="1"/>
  <c r="I531" i="13"/>
  <c r="F529" i="13"/>
  <c r="H530" i="13"/>
  <c r="G530" i="13"/>
  <c r="AH535" i="7"/>
  <c r="K534" i="7"/>
  <c r="M535" i="7"/>
  <c r="N535" i="7" s="1"/>
  <c r="G532" i="7"/>
  <c r="L534" i="7"/>
  <c r="J534" i="7"/>
  <c r="AH534" i="7" s="1"/>
  <c r="I533" i="7"/>
  <c r="AG533" i="7" s="1"/>
  <c r="H533" i="7"/>
  <c r="AI533" i="7" s="1"/>
  <c r="G531" i="28"/>
  <c r="H531" i="28" s="1"/>
  <c r="F530" i="28"/>
  <c r="G527" i="27"/>
  <c r="H527" i="27" s="1"/>
  <c r="J527" i="27" s="1"/>
  <c r="L527" i="27" s="1"/>
  <c r="F526" i="27"/>
  <c r="F528" i="13" l="1"/>
  <c r="H529" i="13"/>
  <c r="G529" i="13"/>
  <c r="J530" i="13"/>
  <c r="I530" i="13"/>
  <c r="G531" i="7"/>
  <c r="M534" i="7"/>
  <c r="N534" i="7" s="1"/>
  <c r="J533" i="7"/>
  <c r="L533" i="7"/>
  <c r="K533" i="7"/>
  <c r="H532" i="7"/>
  <c r="I532" i="7"/>
  <c r="AG532" i="7" s="1"/>
  <c r="G530" i="28"/>
  <c r="H530" i="28" s="1"/>
  <c r="F529" i="28"/>
  <c r="G526" i="27"/>
  <c r="H526" i="27" s="1"/>
  <c r="J526" i="27" s="1"/>
  <c r="L526" i="27" s="1"/>
  <c r="F525" i="27"/>
  <c r="J529" i="13" l="1"/>
  <c r="I529" i="13"/>
  <c r="F527" i="13"/>
  <c r="H528" i="13"/>
  <c r="G528" i="13"/>
  <c r="AH533" i="7"/>
  <c r="K532" i="7"/>
  <c r="AI532" i="7"/>
  <c r="J532" i="7"/>
  <c r="L532" i="7"/>
  <c r="M533" i="7"/>
  <c r="N533" i="7" s="1"/>
  <c r="G530" i="7"/>
  <c r="H531" i="7"/>
  <c r="AI531" i="7" s="1"/>
  <c r="I531" i="7"/>
  <c r="AG531" i="7" s="1"/>
  <c r="F528" i="28"/>
  <c r="G529" i="28"/>
  <c r="H529" i="28" s="1"/>
  <c r="G525" i="27"/>
  <c r="H525" i="27" s="1"/>
  <c r="J525" i="27" s="1"/>
  <c r="L525" i="27" s="1"/>
  <c r="F524" i="27"/>
  <c r="F526" i="13" l="1"/>
  <c r="H527" i="13"/>
  <c r="G527" i="13"/>
  <c r="J528" i="13"/>
  <c r="I528" i="13"/>
  <c r="AH532" i="7"/>
  <c r="L531" i="7"/>
  <c r="J531" i="7"/>
  <c r="K531" i="7"/>
  <c r="H530" i="7"/>
  <c r="AI530" i="7" s="1"/>
  <c r="I530" i="7"/>
  <c r="AG530" i="7" s="1"/>
  <c r="M532" i="7"/>
  <c r="N532" i="7" s="1"/>
  <c r="G529" i="7"/>
  <c r="G528" i="28"/>
  <c r="H528" i="28" s="1"/>
  <c r="F527" i="28"/>
  <c r="G524" i="27"/>
  <c r="H524" i="27" s="1"/>
  <c r="J524" i="27" s="1"/>
  <c r="L524" i="27" s="1"/>
  <c r="F523" i="27"/>
  <c r="J527" i="13" l="1"/>
  <c r="I527" i="13"/>
  <c r="F525" i="13"/>
  <c r="H526" i="13"/>
  <c r="G526" i="13"/>
  <c r="AH531" i="7"/>
  <c r="H529" i="7"/>
  <c r="AI529" i="7" s="1"/>
  <c r="I529" i="7"/>
  <c r="AG529" i="7" s="1"/>
  <c r="J530" i="7"/>
  <c r="L530" i="7"/>
  <c r="G528" i="7"/>
  <c r="K530" i="7"/>
  <c r="M531" i="7"/>
  <c r="N531" i="7" s="1"/>
  <c r="G527" i="28"/>
  <c r="H527" i="28" s="1"/>
  <c r="F526" i="28"/>
  <c r="G523" i="27"/>
  <c r="H523" i="27" s="1"/>
  <c r="J523" i="27" s="1"/>
  <c r="L523" i="27" s="1"/>
  <c r="F522" i="27"/>
  <c r="F524" i="13" l="1"/>
  <c r="H525" i="13"/>
  <c r="G525" i="13"/>
  <c r="J526" i="13"/>
  <c r="I526" i="13"/>
  <c r="AH530" i="7"/>
  <c r="M530" i="7"/>
  <c r="N530" i="7" s="1"/>
  <c r="J529" i="7"/>
  <c r="L529" i="7"/>
  <c r="G527" i="7"/>
  <c r="H528" i="7"/>
  <c r="AI528" i="7" s="1"/>
  <c r="I528" i="7"/>
  <c r="AG528" i="7" s="1"/>
  <c r="K529" i="7"/>
  <c r="G526" i="28"/>
  <c r="H526" i="28" s="1"/>
  <c r="F525" i="28"/>
  <c r="G522" i="27"/>
  <c r="H522" i="27" s="1"/>
  <c r="J522" i="27" s="1"/>
  <c r="L522" i="27" s="1"/>
  <c r="F521" i="27"/>
  <c r="J525" i="13" l="1"/>
  <c r="I525" i="13"/>
  <c r="F523" i="13"/>
  <c r="H524" i="13"/>
  <c r="G524" i="13"/>
  <c r="AH529" i="7"/>
  <c r="L528" i="7"/>
  <c r="J528" i="7"/>
  <c r="M529" i="7"/>
  <c r="N529" i="7" s="1"/>
  <c r="K528" i="7"/>
  <c r="G526" i="7"/>
  <c r="H527" i="7"/>
  <c r="AI527" i="7" s="1"/>
  <c r="I527" i="7"/>
  <c r="AG527" i="7" s="1"/>
  <c r="F524" i="28"/>
  <c r="G525" i="28"/>
  <c r="H525" i="28" s="1"/>
  <c r="G521" i="27"/>
  <c r="H521" i="27" s="1"/>
  <c r="J521" i="27" s="1"/>
  <c r="L521" i="27" s="1"/>
  <c r="F520" i="27"/>
  <c r="F522" i="13" l="1"/>
  <c r="H523" i="13"/>
  <c r="G523" i="13"/>
  <c r="J524" i="13"/>
  <c r="I524" i="13"/>
  <c r="AH528" i="7"/>
  <c r="H526" i="7"/>
  <c r="AI526" i="7" s="1"/>
  <c r="I526" i="7"/>
  <c r="AG526" i="7" s="1"/>
  <c r="G525" i="7"/>
  <c r="L527" i="7"/>
  <c r="J527" i="7"/>
  <c r="K527" i="7"/>
  <c r="M528" i="7"/>
  <c r="N528" i="7" s="1"/>
  <c r="G524" i="28"/>
  <c r="H524" i="28" s="1"/>
  <c r="F523" i="28"/>
  <c r="G520" i="27"/>
  <c r="H520" i="27" s="1"/>
  <c r="J520" i="27" s="1"/>
  <c r="L520" i="27" s="1"/>
  <c r="F519" i="27"/>
  <c r="J523" i="13" l="1"/>
  <c r="I523" i="13"/>
  <c r="F521" i="13"/>
  <c r="H522" i="13"/>
  <c r="G522" i="13"/>
  <c r="AH527" i="7"/>
  <c r="G524" i="7"/>
  <c r="H525" i="7"/>
  <c r="AI525" i="7" s="1"/>
  <c r="I525" i="7"/>
  <c r="AG525" i="7" s="1"/>
  <c r="L526" i="7"/>
  <c r="J526" i="7"/>
  <c r="M527" i="7"/>
  <c r="N527" i="7" s="1"/>
  <c r="K526" i="7"/>
  <c r="F522" i="28"/>
  <c r="G523" i="28"/>
  <c r="H523" i="28" s="1"/>
  <c r="G519" i="27"/>
  <c r="H519" i="27" s="1"/>
  <c r="J519" i="27" s="1"/>
  <c r="L519" i="27" s="1"/>
  <c r="F518" i="27"/>
  <c r="J522" i="13" l="1"/>
  <c r="I522" i="13"/>
  <c r="F520" i="13"/>
  <c r="H521" i="13"/>
  <c r="G521" i="13"/>
  <c r="AH526" i="7"/>
  <c r="L525" i="7"/>
  <c r="J525" i="7"/>
  <c r="K525" i="7"/>
  <c r="G523" i="7"/>
  <c r="M526" i="7"/>
  <c r="N526" i="7" s="1"/>
  <c r="H524" i="7"/>
  <c r="AI524" i="7" s="1"/>
  <c r="I524" i="7"/>
  <c r="AG524" i="7" s="1"/>
  <c r="G522" i="28"/>
  <c r="H522" i="28" s="1"/>
  <c r="F521" i="28"/>
  <c r="G518" i="27"/>
  <c r="H518" i="27" s="1"/>
  <c r="J518" i="27" s="1"/>
  <c r="L518" i="27" s="1"/>
  <c r="F517" i="27"/>
  <c r="J521" i="13" l="1"/>
  <c r="I521" i="13"/>
  <c r="F519" i="13"/>
  <c r="H520" i="13"/>
  <c r="G520" i="13"/>
  <c r="AH525" i="7"/>
  <c r="J524" i="7"/>
  <c r="L524" i="7"/>
  <c r="H523" i="7"/>
  <c r="AI523" i="7" s="1"/>
  <c r="I523" i="7"/>
  <c r="AG523" i="7" s="1"/>
  <c r="K524" i="7"/>
  <c r="G522" i="7"/>
  <c r="M525" i="7"/>
  <c r="N525" i="7" s="1"/>
  <c r="F520" i="28"/>
  <c r="G521" i="28"/>
  <c r="H521" i="28" s="1"/>
  <c r="G517" i="27"/>
  <c r="H517" i="27" s="1"/>
  <c r="J517" i="27" s="1"/>
  <c r="L517" i="27" s="1"/>
  <c r="F516" i="27"/>
  <c r="F518" i="13" l="1"/>
  <c r="H519" i="13"/>
  <c r="G519" i="13"/>
  <c r="J520" i="13"/>
  <c r="I520" i="13"/>
  <c r="AH524" i="7"/>
  <c r="G521" i="7"/>
  <c r="L523" i="7"/>
  <c r="J523" i="7"/>
  <c r="H522" i="7"/>
  <c r="AI522" i="7" s="1"/>
  <c r="I522" i="7"/>
  <c r="AG522" i="7" s="1"/>
  <c r="K523" i="7"/>
  <c r="M524" i="7"/>
  <c r="N524" i="7" s="1"/>
  <c r="G520" i="28"/>
  <c r="H520" i="28" s="1"/>
  <c r="F519" i="28"/>
  <c r="G516" i="27"/>
  <c r="H516" i="27" s="1"/>
  <c r="J516" i="27" s="1"/>
  <c r="L516" i="27" s="1"/>
  <c r="F515" i="27"/>
  <c r="J519" i="13" l="1"/>
  <c r="I519" i="13"/>
  <c r="F517" i="13"/>
  <c r="H518" i="13"/>
  <c r="G518" i="13"/>
  <c r="AH523" i="7"/>
  <c r="M523" i="7"/>
  <c r="N523" i="7" s="1"/>
  <c r="J522" i="7"/>
  <c r="L522" i="7"/>
  <c r="H521" i="7"/>
  <c r="AI521" i="7" s="1"/>
  <c r="I521" i="7"/>
  <c r="AG521" i="7" s="1"/>
  <c r="K522" i="7"/>
  <c r="G520" i="7"/>
  <c r="F518" i="28"/>
  <c r="G519" i="28"/>
  <c r="H519" i="28" s="1"/>
  <c r="G515" i="27"/>
  <c r="H515" i="27" s="1"/>
  <c r="J515" i="27" s="1"/>
  <c r="L515" i="27" s="1"/>
  <c r="F514" i="27"/>
  <c r="J518" i="13" l="1"/>
  <c r="I518" i="13"/>
  <c r="F516" i="13"/>
  <c r="H517" i="13"/>
  <c r="G517" i="13"/>
  <c r="AH522" i="7"/>
  <c r="M522" i="7"/>
  <c r="N522" i="7" s="1"/>
  <c r="G519" i="7"/>
  <c r="J521" i="7"/>
  <c r="L521" i="7"/>
  <c r="H520" i="7"/>
  <c r="AI520" i="7" s="1"/>
  <c r="I520" i="7"/>
  <c r="AG520" i="7" s="1"/>
  <c r="K521" i="7"/>
  <c r="G518" i="28"/>
  <c r="H518" i="28" s="1"/>
  <c r="F517" i="28"/>
  <c r="G514" i="27"/>
  <c r="H514" i="27" s="1"/>
  <c r="J514" i="27" s="1"/>
  <c r="L514" i="27" s="1"/>
  <c r="F513" i="27"/>
  <c r="J517" i="13" l="1"/>
  <c r="I517" i="13"/>
  <c r="F515" i="13"/>
  <c r="H516" i="13"/>
  <c r="G516" i="13"/>
  <c r="AH521" i="7"/>
  <c r="J520" i="7"/>
  <c r="L520" i="7"/>
  <c r="M520" i="7" s="1"/>
  <c r="G518" i="7"/>
  <c r="K520" i="7"/>
  <c r="H519" i="7"/>
  <c r="AI519" i="7" s="1"/>
  <c r="I519" i="7"/>
  <c r="AG519" i="7" s="1"/>
  <c r="M521" i="7"/>
  <c r="N521" i="7" s="1"/>
  <c r="G517" i="28"/>
  <c r="H517" i="28" s="1"/>
  <c r="F516" i="28"/>
  <c r="G513" i="27"/>
  <c r="H513" i="27" s="1"/>
  <c r="J513" i="27" s="1"/>
  <c r="L513" i="27" s="1"/>
  <c r="F512" i="27"/>
  <c r="F514" i="13" l="1"/>
  <c r="H515" i="13"/>
  <c r="G515" i="13"/>
  <c r="J516" i="13"/>
  <c r="I516" i="13"/>
  <c r="AH520" i="7"/>
  <c r="K519" i="7"/>
  <c r="G517" i="7"/>
  <c r="H518" i="7"/>
  <c r="AI518" i="7" s="1"/>
  <c r="I518" i="7"/>
  <c r="AG518" i="7" s="1"/>
  <c r="L519" i="7"/>
  <c r="M519" i="7" s="1"/>
  <c r="J519" i="7"/>
  <c r="AH519" i="7" s="1"/>
  <c r="N520" i="7"/>
  <c r="F515" i="28"/>
  <c r="G516" i="28"/>
  <c r="H516" i="28" s="1"/>
  <c r="G512" i="27"/>
  <c r="H512" i="27" s="1"/>
  <c r="J512" i="27" s="1"/>
  <c r="L512" i="27" s="1"/>
  <c r="F511" i="27"/>
  <c r="J515" i="13" l="1"/>
  <c r="I515" i="13"/>
  <c r="F513" i="13"/>
  <c r="H514" i="13"/>
  <c r="G514" i="13"/>
  <c r="N519" i="7"/>
  <c r="I517" i="7"/>
  <c r="AG517" i="7" s="1"/>
  <c r="H517" i="7"/>
  <c r="AI517" i="7" s="1"/>
  <c r="L518" i="7"/>
  <c r="J518" i="7"/>
  <c r="K518" i="7"/>
  <c r="G516" i="7"/>
  <c r="G515" i="28"/>
  <c r="H515" i="28" s="1"/>
  <c r="F514" i="28"/>
  <c r="G511" i="27"/>
  <c r="H511" i="27" s="1"/>
  <c r="J511" i="27" s="1"/>
  <c r="L511" i="27" s="1"/>
  <c r="F510" i="27"/>
  <c r="J514" i="13" l="1"/>
  <c r="I514" i="13"/>
  <c r="F512" i="13"/>
  <c r="H513" i="13"/>
  <c r="G513" i="13"/>
  <c r="AH518" i="7"/>
  <c r="G515" i="7"/>
  <c r="M518" i="7"/>
  <c r="N518" i="7" s="1"/>
  <c r="H516" i="7"/>
  <c r="AI516" i="7" s="1"/>
  <c r="I516" i="7"/>
  <c r="AG516" i="7" s="1"/>
  <c r="K517" i="7"/>
  <c r="J517" i="7"/>
  <c r="L517" i="7"/>
  <c r="G514" i="28"/>
  <c r="H514" i="28" s="1"/>
  <c r="F513" i="28"/>
  <c r="G510" i="27"/>
  <c r="H510" i="27" s="1"/>
  <c r="J510" i="27" s="1"/>
  <c r="L510" i="27" s="1"/>
  <c r="F509" i="27"/>
  <c r="F511" i="13" l="1"/>
  <c r="H512" i="13"/>
  <c r="G512" i="13"/>
  <c r="J513" i="13"/>
  <c r="I513" i="13"/>
  <c r="AH517" i="7"/>
  <c r="M517" i="7"/>
  <c r="N517" i="7" s="1"/>
  <c r="J516" i="7"/>
  <c r="L516" i="7"/>
  <c r="G514" i="7"/>
  <c r="K516" i="7"/>
  <c r="H515" i="7"/>
  <c r="AI515" i="7" s="1"/>
  <c r="I515" i="7"/>
  <c r="AG515" i="7" s="1"/>
  <c r="G513" i="28"/>
  <c r="H513" i="28" s="1"/>
  <c r="F512" i="28"/>
  <c r="G509" i="27"/>
  <c r="H509" i="27" s="1"/>
  <c r="J509" i="27" s="1"/>
  <c r="L509" i="27" s="1"/>
  <c r="F508" i="27"/>
  <c r="J512" i="13" l="1"/>
  <c r="I512" i="13"/>
  <c r="F510" i="13"/>
  <c r="H511" i="13"/>
  <c r="G511" i="13"/>
  <c r="AH516" i="7"/>
  <c r="M516" i="7"/>
  <c r="N516" i="7" s="1"/>
  <c r="L515" i="7"/>
  <c r="J515" i="7"/>
  <c r="AH515" i="7" s="1"/>
  <c r="H514" i="7"/>
  <c r="AI514" i="7" s="1"/>
  <c r="I514" i="7"/>
  <c r="AG514" i="7" s="1"/>
  <c r="K515" i="7"/>
  <c r="G513" i="7"/>
  <c r="G512" i="28"/>
  <c r="H512" i="28" s="1"/>
  <c r="F511" i="28"/>
  <c r="G508" i="27"/>
  <c r="H508" i="27" s="1"/>
  <c r="J508" i="27" s="1"/>
  <c r="L508" i="27" s="1"/>
  <c r="F507" i="27"/>
  <c r="J511" i="13" l="1"/>
  <c r="I511" i="13"/>
  <c r="F509" i="13"/>
  <c r="H510" i="13"/>
  <c r="G510" i="13"/>
  <c r="H513" i="7"/>
  <c r="AI513" i="7" s="1"/>
  <c r="I513" i="7"/>
  <c r="AG513" i="7" s="1"/>
  <c r="M515" i="7"/>
  <c r="N515" i="7" s="1"/>
  <c r="G512" i="7"/>
  <c r="L514" i="7"/>
  <c r="J514" i="7"/>
  <c r="K514" i="7"/>
  <c r="F510" i="28"/>
  <c r="G511" i="28"/>
  <c r="H511" i="28" s="1"/>
  <c r="G507" i="27"/>
  <c r="H507" i="27" s="1"/>
  <c r="J507" i="27" s="1"/>
  <c r="L507" i="27" s="1"/>
  <c r="F506" i="27"/>
  <c r="F508" i="13" l="1"/>
  <c r="H509" i="13"/>
  <c r="G509" i="13"/>
  <c r="J510" i="13"/>
  <c r="I510" i="13"/>
  <c r="AH514" i="7"/>
  <c r="M514" i="7"/>
  <c r="N514" i="7" s="1"/>
  <c r="G511" i="7"/>
  <c r="L513" i="7"/>
  <c r="J513" i="7"/>
  <c r="AH513" i="7" s="1"/>
  <c r="H512" i="7"/>
  <c r="AI512" i="7" s="1"/>
  <c r="I512" i="7"/>
  <c r="AG512" i="7" s="1"/>
  <c r="K513" i="7"/>
  <c r="G510" i="28"/>
  <c r="H510" i="28" s="1"/>
  <c r="F509" i="28"/>
  <c r="G506" i="27"/>
  <c r="H506" i="27" s="1"/>
  <c r="J506" i="27" s="1"/>
  <c r="L506" i="27" s="1"/>
  <c r="F505" i="27"/>
  <c r="J509" i="13" l="1"/>
  <c r="I509" i="13"/>
  <c r="F507" i="13"/>
  <c r="H508" i="13"/>
  <c r="G508" i="13"/>
  <c r="L512" i="7"/>
  <c r="J512" i="7"/>
  <c r="H511" i="7"/>
  <c r="AI511" i="7" s="1"/>
  <c r="I511" i="7"/>
  <c r="AG511" i="7" s="1"/>
  <c r="K512" i="7"/>
  <c r="G510" i="7"/>
  <c r="M513" i="7"/>
  <c r="N513" i="7" s="1"/>
  <c r="F508" i="28"/>
  <c r="G509" i="28"/>
  <c r="H509" i="28" s="1"/>
  <c r="G505" i="27"/>
  <c r="H505" i="27" s="1"/>
  <c r="J505" i="27" s="1"/>
  <c r="L505" i="27" s="1"/>
  <c r="F504" i="27"/>
  <c r="F506" i="13" l="1"/>
  <c r="H507" i="13"/>
  <c r="G507" i="13"/>
  <c r="J508" i="13"/>
  <c r="I508" i="13"/>
  <c r="AH512" i="7"/>
  <c r="G509" i="7"/>
  <c r="J511" i="7"/>
  <c r="L511" i="7"/>
  <c r="H510" i="7"/>
  <c r="AI510" i="7" s="1"/>
  <c r="I510" i="7"/>
  <c r="AG510" i="7" s="1"/>
  <c r="K511" i="7"/>
  <c r="M512" i="7"/>
  <c r="N512" i="7" s="1"/>
  <c r="G508" i="28"/>
  <c r="H508" i="28" s="1"/>
  <c r="F507" i="28"/>
  <c r="G504" i="27"/>
  <c r="H504" i="27" s="1"/>
  <c r="J504" i="27" s="1"/>
  <c r="L504" i="27" s="1"/>
  <c r="F503" i="27"/>
  <c r="J507" i="13" l="1"/>
  <c r="I507" i="13"/>
  <c r="F505" i="13"/>
  <c r="H506" i="13"/>
  <c r="G506" i="13"/>
  <c r="AH511" i="7"/>
  <c r="M511" i="7"/>
  <c r="N511" i="7" s="1"/>
  <c r="J510" i="7"/>
  <c r="L510" i="7"/>
  <c r="G508" i="7"/>
  <c r="K510" i="7"/>
  <c r="H509" i="7"/>
  <c r="AI509" i="7" s="1"/>
  <c r="I509" i="7"/>
  <c r="AG509" i="7" s="1"/>
  <c r="G507" i="28"/>
  <c r="H507" i="28" s="1"/>
  <c r="F506" i="28"/>
  <c r="G503" i="27"/>
  <c r="H503" i="27" s="1"/>
  <c r="J503" i="27" s="1"/>
  <c r="L503" i="27" s="1"/>
  <c r="F502" i="27"/>
  <c r="F504" i="13" l="1"/>
  <c r="H505" i="13"/>
  <c r="G505" i="13"/>
  <c r="J506" i="13"/>
  <c r="I506" i="13"/>
  <c r="AH510" i="7"/>
  <c r="M510" i="7"/>
  <c r="N510" i="7" s="1"/>
  <c r="L509" i="7"/>
  <c r="M509" i="7" s="1"/>
  <c r="J509" i="7"/>
  <c r="AH509" i="7" s="1"/>
  <c r="K509" i="7"/>
  <c r="G507" i="7"/>
  <c r="H508" i="7"/>
  <c r="AI508" i="7" s="1"/>
  <c r="I508" i="7"/>
  <c r="AG508" i="7" s="1"/>
  <c r="G506" i="28"/>
  <c r="H506" i="28" s="1"/>
  <c r="F505" i="28"/>
  <c r="G502" i="27"/>
  <c r="H502" i="27" s="1"/>
  <c r="J502" i="27" s="1"/>
  <c r="L502" i="27" s="1"/>
  <c r="F501" i="27"/>
  <c r="J505" i="13" l="1"/>
  <c r="I505" i="13"/>
  <c r="F503" i="13"/>
  <c r="H504" i="13"/>
  <c r="G504" i="13"/>
  <c r="L508" i="7"/>
  <c r="J508" i="7"/>
  <c r="H507" i="7"/>
  <c r="AI507" i="7" s="1"/>
  <c r="I507" i="7"/>
  <c r="AG507" i="7" s="1"/>
  <c r="N509" i="7"/>
  <c r="K508" i="7"/>
  <c r="G506" i="7"/>
  <c r="G505" i="28"/>
  <c r="H505" i="28" s="1"/>
  <c r="F504" i="28"/>
  <c r="G501" i="27"/>
  <c r="H501" i="27" s="1"/>
  <c r="J501" i="27" s="1"/>
  <c r="L501" i="27" s="1"/>
  <c r="F500" i="27"/>
  <c r="F502" i="13" l="1"/>
  <c r="H503" i="13"/>
  <c r="G503" i="13"/>
  <c r="J504" i="13"/>
  <c r="I504" i="13"/>
  <c r="AH508" i="7"/>
  <c r="J507" i="7"/>
  <c r="L507" i="7"/>
  <c r="K507" i="7"/>
  <c r="G505" i="7"/>
  <c r="I506" i="7"/>
  <c r="AG506" i="7" s="1"/>
  <c r="H506" i="7"/>
  <c r="AI506" i="7" s="1"/>
  <c r="M508" i="7"/>
  <c r="N508" i="7" s="1"/>
  <c r="G504" i="28"/>
  <c r="H504" i="28" s="1"/>
  <c r="F503" i="28"/>
  <c r="G500" i="27"/>
  <c r="H500" i="27" s="1"/>
  <c r="J500" i="27" s="1"/>
  <c r="L500" i="27" s="1"/>
  <c r="F499" i="27"/>
  <c r="J503" i="13" l="1"/>
  <c r="I503" i="13"/>
  <c r="F501" i="13"/>
  <c r="H502" i="13"/>
  <c r="G502" i="13"/>
  <c r="AH507" i="7"/>
  <c r="G504" i="7"/>
  <c r="M507" i="7"/>
  <c r="N507" i="7" s="1"/>
  <c r="H505" i="7"/>
  <c r="AI505" i="7" s="1"/>
  <c r="I505" i="7"/>
  <c r="AG505" i="7" s="1"/>
  <c r="K506" i="7"/>
  <c r="J506" i="7"/>
  <c r="L506" i="7"/>
  <c r="M506" i="7" s="1"/>
  <c r="F502" i="28"/>
  <c r="G503" i="28"/>
  <c r="H503" i="28" s="1"/>
  <c r="G499" i="27"/>
  <c r="H499" i="27" s="1"/>
  <c r="J499" i="27" s="1"/>
  <c r="L499" i="27" s="1"/>
  <c r="F498" i="27"/>
  <c r="F500" i="13" l="1"/>
  <c r="H501" i="13"/>
  <c r="G501" i="13"/>
  <c r="J502" i="13"/>
  <c r="I502" i="13"/>
  <c r="AH506" i="7"/>
  <c r="N506" i="7"/>
  <c r="L505" i="7"/>
  <c r="J505" i="7"/>
  <c r="G503" i="7"/>
  <c r="K505" i="7"/>
  <c r="H504" i="7"/>
  <c r="AI504" i="7" s="1"/>
  <c r="I504" i="7"/>
  <c r="AG504" i="7" s="1"/>
  <c r="G502" i="28"/>
  <c r="H502" i="28" s="1"/>
  <c r="F501" i="28"/>
  <c r="G498" i="27"/>
  <c r="H498" i="27" s="1"/>
  <c r="J498" i="27" s="1"/>
  <c r="L498" i="27" s="1"/>
  <c r="F497" i="27"/>
  <c r="J501" i="13" l="1"/>
  <c r="I501" i="13"/>
  <c r="F499" i="13"/>
  <c r="H500" i="13"/>
  <c r="G500" i="13"/>
  <c r="AH505" i="7"/>
  <c r="G502" i="7"/>
  <c r="L504" i="7"/>
  <c r="J504" i="7"/>
  <c r="M505" i="7"/>
  <c r="N505" i="7" s="1"/>
  <c r="K504" i="7"/>
  <c r="I503" i="7"/>
  <c r="AG503" i="7" s="1"/>
  <c r="H503" i="7"/>
  <c r="AI503" i="7" s="1"/>
  <c r="F500" i="28"/>
  <c r="G501" i="28"/>
  <c r="H501" i="28" s="1"/>
  <c r="G497" i="27"/>
  <c r="H497" i="27" s="1"/>
  <c r="J497" i="27" s="1"/>
  <c r="L497" i="27" s="1"/>
  <c r="F496" i="27"/>
  <c r="J500" i="13" l="1"/>
  <c r="I500" i="13"/>
  <c r="F498" i="13"/>
  <c r="H499" i="13"/>
  <c r="G499" i="13"/>
  <c r="AH504" i="7"/>
  <c r="K503" i="7"/>
  <c r="M504" i="7"/>
  <c r="N504" i="7" s="1"/>
  <c r="L503" i="7"/>
  <c r="J503" i="7"/>
  <c r="I502" i="7"/>
  <c r="AG502" i="7" s="1"/>
  <c r="H502" i="7"/>
  <c r="AI502" i="7" s="1"/>
  <c r="G501" i="7"/>
  <c r="G500" i="28"/>
  <c r="H500" i="28" s="1"/>
  <c r="F499" i="28"/>
  <c r="G496" i="27"/>
  <c r="H496" i="27" s="1"/>
  <c r="J496" i="27" s="1"/>
  <c r="L496" i="27" s="1"/>
  <c r="F495" i="27"/>
  <c r="J499" i="13" l="1"/>
  <c r="I499" i="13"/>
  <c r="F497" i="13"/>
  <c r="H498" i="13"/>
  <c r="G498" i="13"/>
  <c r="AH503" i="7"/>
  <c r="L502" i="7"/>
  <c r="J502" i="7"/>
  <c r="G500" i="7"/>
  <c r="H501" i="7"/>
  <c r="AI501" i="7" s="1"/>
  <c r="I501" i="7"/>
  <c r="AG501" i="7" s="1"/>
  <c r="M503" i="7"/>
  <c r="N503" i="7" s="1"/>
  <c r="K502" i="7"/>
  <c r="G499" i="28"/>
  <c r="H499" i="28" s="1"/>
  <c r="F498" i="28"/>
  <c r="G495" i="27"/>
  <c r="H495" i="27" s="1"/>
  <c r="J495" i="27" s="1"/>
  <c r="L495" i="27" s="1"/>
  <c r="F494" i="27"/>
  <c r="F496" i="13" l="1"/>
  <c r="H497" i="13"/>
  <c r="G497" i="13"/>
  <c r="J498" i="13"/>
  <c r="I498" i="13"/>
  <c r="AH502" i="7"/>
  <c r="G499" i="7"/>
  <c r="L501" i="7"/>
  <c r="J501" i="7"/>
  <c r="AH501" i="7" s="1"/>
  <c r="H500" i="7"/>
  <c r="AI500" i="7" s="1"/>
  <c r="I500" i="7"/>
  <c r="AG500" i="7" s="1"/>
  <c r="K501" i="7"/>
  <c r="M502" i="7"/>
  <c r="N502" i="7" s="1"/>
  <c r="G498" i="28"/>
  <c r="H498" i="28" s="1"/>
  <c r="F497" i="28"/>
  <c r="G494" i="27"/>
  <c r="H494" i="27" s="1"/>
  <c r="J494" i="27" s="1"/>
  <c r="L494" i="27" s="1"/>
  <c r="F493" i="27"/>
  <c r="J497" i="13" l="1"/>
  <c r="I497" i="13"/>
  <c r="F495" i="13"/>
  <c r="H496" i="13"/>
  <c r="G496" i="13"/>
  <c r="M501" i="7"/>
  <c r="N501" i="7" s="1"/>
  <c r="J500" i="7"/>
  <c r="L500" i="7"/>
  <c r="G498" i="7"/>
  <c r="K500" i="7"/>
  <c r="H499" i="7"/>
  <c r="AI499" i="7" s="1"/>
  <c r="I499" i="7"/>
  <c r="AG499" i="7" s="1"/>
  <c r="G497" i="28"/>
  <c r="H497" i="28" s="1"/>
  <c r="F496" i="28"/>
  <c r="G493" i="27"/>
  <c r="H493" i="27" s="1"/>
  <c r="J493" i="27" s="1"/>
  <c r="L493" i="27" s="1"/>
  <c r="F492" i="27"/>
  <c r="J496" i="13" l="1"/>
  <c r="I496" i="13"/>
  <c r="F494" i="13"/>
  <c r="H495" i="13"/>
  <c r="G495" i="13"/>
  <c r="AH500" i="7"/>
  <c r="K499" i="7"/>
  <c r="G497" i="7"/>
  <c r="H498" i="7"/>
  <c r="AI498" i="7" s="1"/>
  <c r="I498" i="7"/>
  <c r="AG498" i="7" s="1"/>
  <c r="M500" i="7"/>
  <c r="N500" i="7" s="1"/>
  <c r="J499" i="7"/>
  <c r="L499" i="7"/>
  <c r="F495" i="28"/>
  <c r="G496" i="28"/>
  <c r="H496" i="28" s="1"/>
  <c r="G492" i="27"/>
  <c r="H492" i="27" s="1"/>
  <c r="J492" i="27" s="1"/>
  <c r="L492" i="27" s="1"/>
  <c r="F491" i="27"/>
  <c r="J495" i="13" l="1"/>
  <c r="I495" i="13"/>
  <c r="F493" i="13"/>
  <c r="H494" i="13"/>
  <c r="G494" i="13"/>
  <c r="AH499" i="7"/>
  <c r="H497" i="7"/>
  <c r="AI497" i="7" s="1"/>
  <c r="I497" i="7"/>
  <c r="AG497" i="7" s="1"/>
  <c r="M499" i="7"/>
  <c r="N499" i="7" s="1"/>
  <c r="J498" i="7"/>
  <c r="L498" i="7"/>
  <c r="G496" i="7"/>
  <c r="K498" i="7"/>
  <c r="F494" i="28"/>
  <c r="G495" i="28"/>
  <c r="H495" i="28" s="1"/>
  <c r="G491" i="27"/>
  <c r="H491" i="27" s="1"/>
  <c r="J491" i="27" s="1"/>
  <c r="L491" i="27" s="1"/>
  <c r="F490" i="27"/>
  <c r="J494" i="13" l="1"/>
  <c r="I494" i="13"/>
  <c r="F492" i="13"/>
  <c r="H493" i="13"/>
  <c r="G493" i="13"/>
  <c r="AH498" i="7"/>
  <c r="G495" i="7"/>
  <c r="H496" i="7"/>
  <c r="AI496" i="7" s="1"/>
  <c r="I496" i="7"/>
  <c r="AG496" i="7" s="1"/>
  <c r="M498" i="7"/>
  <c r="N498" i="7" s="1"/>
  <c r="L497" i="7"/>
  <c r="J497" i="7"/>
  <c r="K497" i="7"/>
  <c r="G494" i="28"/>
  <c r="H494" i="28" s="1"/>
  <c r="F493" i="28"/>
  <c r="G490" i="27"/>
  <c r="H490" i="27" s="1"/>
  <c r="J490" i="27" s="1"/>
  <c r="L490" i="27" s="1"/>
  <c r="F489" i="27"/>
  <c r="J493" i="13" l="1"/>
  <c r="I493" i="13"/>
  <c r="F491" i="13"/>
  <c r="H492" i="13"/>
  <c r="G492" i="13"/>
  <c r="AH497" i="7"/>
  <c r="M497" i="7"/>
  <c r="N497" i="7" s="1"/>
  <c r="K496" i="7"/>
  <c r="I495" i="7"/>
  <c r="AG495" i="7" s="1"/>
  <c r="H495" i="7"/>
  <c r="AI495" i="7" s="1"/>
  <c r="L496" i="7"/>
  <c r="J496" i="7"/>
  <c r="G494" i="7"/>
  <c r="F492" i="28"/>
  <c r="G493" i="28"/>
  <c r="H493" i="28" s="1"/>
  <c r="G489" i="27"/>
  <c r="H489" i="27" s="1"/>
  <c r="J489" i="27" s="1"/>
  <c r="L489" i="27" s="1"/>
  <c r="F488" i="27"/>
  <c r="J492" i="13" l="1"/>
  <c r="I492" i="13"/>
  <c r="F490" i="13"/>
  <c r="H491" i="13"/>
  <c r="G491" i="13"/>
  <c r="AH496" i="7"/>
  <c r="G493" i="7"/>
  <c r="K495" i="7"/>
  <c r="H494" i="7"/>
  <c r="AI494" i="7" s="1"/>
  <c r="I494" i="7"/>
  <c r="AG494" i="7" s="1"/>
  <c r="L495" i="7"/>
  <c r="J495" i="7"/>
  <c r="M496" i="7"/>
  <c r="N496" i="7" s="1"/>
  <c r="F491" i="28"/>
  <c r="G492" i="28"/>
  <c r="H492" i="28" s="1"/>
  <c r="G488" i="27"/>
  <c r="H488" i="27" s="1"/>
  <c r="J488" i="27" s="1"/>
  <c r="L488" i="27" s="1"/>
  <c r="F487" i="27"/>
  <c r="J491" i="13" l="1"/>
  <c r="I491" i="13"/>
  <c r="F489" i="13"/>
  <c r="H490" i="13"/>
  <c r="G490" i="13"/>
  <c r="AH495" i="7"/>
  <c r="M495" i="7"/>
  <c r="N495" i="7" s="1"/>
  <c r="L494" i="7"/>
  <c r="J494" i="7"/>
  <c r="H493" i="7"/>
  <c r="AI493" i="7" s="1"/>
  <c r="I493" i="7"/>
  <c r="AG493" i="7" s="1"/>
  <c r="K494" i="7"/>
  <c r="G492" i="7"/>
  <c r="G491" i="28"/>
  <c r="H491" i="28" s="1"/>
  <c r="F490" i="28"/>
  <c r="G487" i="27"/>
  <c r="H487" i="27" s="1"/>
  <c r="J487" i="27" s="1"/>
  <c r="L487" i="27" s="1"/>
  <c r="F486" i="27"/>
  <c r="J490" i="13" l="1"/>
  <c r="I490" i="13"/>
  <c r="F488" i="13"/>
  <c r="H489" i="13"/>
  <c r="G489" i="13"/>
  <c r="AH494" i="7"/>
  <c r="G491" i="7"/>
  <c r="M494" i="7"/>
  <c r="N494" i="7" s="1"/>
  <c r="I492" i="7"/>
  <c r="AG492" i="7" s="1"/>
  <c r="H492" i="7"/>
  <c r="AI492" i="7" s="1"/>
  <c r="L493" i="7"/>
  <c r="J493" i="7"/>
  <c r="K493" i="7"/>
  <c r="F489" i="28"/>
  <c r="G490" i="28"/>
  <c r="H490" i="28" s="1"/>
  <c r="G486" i="27"/>
  <c r="H486" i="27" s="1"/>
  <c r="J486" i="27" s="1"/>
  <c r="L486" i="27" s="1"/>
  <c r="F485" i="27"/>
  <c r="J489" i="13" l="1"/>
  <c r="I489" i="13"/>
  <c r="F487" i="13"/>
  <c r="H488" i="13"/>
  <c r="G488" i="13"/>
  <c r="AH493" i="7"/>
  <c r="M493" i="7"/>
  <c r="N493" i="7" s="1"/>
  <c r="K492" i="7"/>
  <c r="G490" i="7"/>
  <c r="L492" i="7"/>
  <c r="J492" i="7"/>
  <c r="H491" i="7"/>
  <c r="AI491" i="7" s="1"/>
  <c r="I491" i="7"/>
  <c r="AG491" i="7" s="1"/>
  <c r="G489" i="28"/>
  <c r="H489" i="28" s="1"/>
  <c r="F488" i="28"/>
  <c r="G485" i="27"/>
  <c r="H485" i="27" s="1"/>
  <c r="J485" i="27" s="1"/>
  <c r="L485" i="27" s="1"/>
  <c r="F484" i="27"/>
  <c r="J488" i="13" l="1"/>
  <c r="I488" i="13"/>
  <c r="F486" i="13"/>
  <c r="H487" i="13"/>
  <c r="G487" i="13"/>
  <c r="AH492" i="7"/>
  <c r="M492" i="7"/>
  <c r="N492" i="7" s="1"/>
  <c r="J491" i="7"/>
  <c r="L491" i="7"/>
  <c r="G489" i="7"/>
  <c r="K491" i="7"/>
  <c r="H490" i="7"/>
  <c r="I490" i="7"/>
  <c r="AG490" i="7" s="1"/>
  <c r="G488" i="28"/>
  <c r="H488" i="28" s="1"/>
  <c r="F487" i="28"/>
  <c r="G484" i="27"/>
  <c r="H484" i="27" s="1"/>
  <c r="J484" i="27" s="1"/>
  <c r="L484" i="27" s="1"/>
  <c r="F483" i="27"/>
  <c r="J487" i="13" l="1"/>
  <c r="I487" i="13"/>
  <c r="F485" i="13"/>
  <c r="H486" i="13"/>
  <c r="G486" i="13"/>
  <c r="K490" i="7"/>
  <c r="AI490" i="7"/>
  <c r="AH491" i="7"/>
  <c r="L490" i="7"/>
  <c r="J490" i="7"/>
  <c r="G488" i="7"/>
  <c r="H489" i="7"/>
  <c r="AI489" i="7" s="1"/>
  <c r="I489" i="7"/>
  <c r="AG489" i="7" s="1"/>
  <c r="M491" i="7"/>
  <c r="N491" i="7" s="1"/>
  <c r="F486" i="28"/>
  <c r="G487" i="28"/>
  <c r="H487" i="28" s="1"/>
  <c r="G483" i="27"/>
  <c r="H483" i="27" s="1"/>
  <c r="J483" i="27" s="1"/>
  <c r="L483" i="27" s="1"/>
  <c r="F482" i="27"/>
  <c r="J486" i="13" l="1"/>
  <c r="I486" i="13"/>
  <c r="F484" i="13"/>
  <c r="H485" i="13"/>
  <c r="G485" i="13"/>
  <c r="AH490" i="7"/>
  <c r="H488" i="7"/>
  <c r="AI488" i="7" s="1"/>
  <c r="I488" i="7"/>
  <c r="AG488" i="7" s="1"/>
  <c r="G487" i="7"/>
  <c r="J489" i="7"/>
  <c r="L489" i="7"/>
  <c r="K489" i="7"/>
  <c r="M490" i="7"/>
  <c r="N490" i="7" s="1"/>
  <c r="G486" i="28"/>
  <c r="H486" i="28" s="1"/>
  <c r="F485" i="28"/>
  <c r="G482" i="27"/>
  <c r="H482" i="27" s="1"/>
  <c r="J482" i="27" s="1"/>
  <c r="L482" i="27" s="1"/>
  <c r="F481" i="27"/>
  <c r="J485" i="13" l="1"/>
  <c r="I485" i="13"/>
  <c r="F483" i="13"/>
  <c r="H484" i="13"/>
  <c r="G484" i="13"/>
  <c r="AH489" i="7"/>
  <c r="H487" i="7"/>
  <c r="AI487" i="7" s="1"/>
  <c r="I487" i="7"/>
  <c r="AG487" i="7" s="1"/>
  <c r="G486" i="7"/>
  <c r="M489" i="7"/>
  <c r="N489" i="7" s="1"/>
  <c r="J488" i="7"/>
  <c r="AH488" i="7" s="1"/>
  <c r="L488" i="7"/>
  <c r="M488" i="7" s="1"/>
  <c r="K488" i="7"/>
  <c r="G485" i="28"/>
  <c r="H485" i="28" s="1"/>
  <c r="F484" i="28"/>
  <c r="G481" i="27"/>
  <c r="H481" i="27" s="1"/>
  <c r="J481" i="27" s="1"/>
  <c r="L481" i="27" s="1"/>
  <c r="F480" i="27"/>
  <c r="J484" i="13" l="1"/>
  <c r="I484" i="13"/>
  <c r="F482" i="13"/>
  <c r="H483" i="13"/>
  <c r="G483" i="13"/>
  <c r="N488" i="7"/>
  <c r="H486" i="7"/>
  <c r="AI486" i="7" s="1"/>
  <c r="I486" i="7"/>
  <c r="AG486" i="7" s="1"/>
  <c r="G485" i="7"/>
  <c r="J487" i="7"/>
  <c r="L487" i="7"/>
  <c r="K487" i="7"/>
  <c r="G484" i="28"/>
  <c r="H484" i="28" s="1"/>
  <c r="F483" i="28"/>
  <c r="G480" i="27"/>
  <c r="H480" i="27" s="1"/>
  <c r="J480" i="27" s="1"/>
  <c r="L480" i="27" s="1"/>
  <c r="F479" i="27"/>
  <c r="J483" i="13" l="1"/>
  <c r="I483" i="13"/>
  <c r="F481" i="13"/>
  <c r="H482" i="13"/>
  <c r="G482" i="13"/>
  <c r="AH487" i="7"/>
  <c r="G484" i="7"/>
  <c r="M487" i="7"/>
  <c r="N487" i="7" s="1"/>
  <c r="H485" i="7"/>
  <c r="AI485" i="7" s="1"/>
  <c r="I485" i="7"/>
  <c r="AG485" i="7" s="1"/>
  <c r="L486" i="7"/>
  <c r="J486" i="7"/>
  <c r="K486" i="7"/>
  <c r="G483" i="28"/>
  <c r="H483" i="28" s="1"/>
  <c r="F482" i="28"/>
  <c r="G479" i="27"/>
  <c r="H479" i="27" s="1"/>
  <c r="J479" i="27" s="1"/>
  <c r="L479" i="27" s="1"/>
  <c r="F478" i="27"/>
  <c r="J482" i="13" l="1"/>
  <c r="I482" i="13"/>
  <c r="F480" i="13"/>
  <c r="H481" i="13"/>
  <c r="G481" i="13"/>
  <c r="AH486" i="7"/>
  <c r="M486" i="7"/>
  <c r="N486" i="7" s="1"/>
  <c r="L485" i="7"/>
  <c r="J485" i="7"/>
  <c r="AH485" i="7" s="1"/>
  <c r="H484" i="7"/>
  <c r="AI484" i="7" s="1"/>
  <c r="I484" i="7"/>
  <c r="AG484" i="7" s="1"/>
  <c r="K485" i="7"/>
  <c r="G483" i="7"/>
  <c r="F481" i="28"/>
  <c r="G482" i="28"/>
  <c r="H482" i="28" s="1"/>
  <c r="G478" i="27"/>
  <c r="H478" i="27" s="1"/>
  <c r="J478" i="27" s="1"/>
  <c r="L478" i="27" s="1"/>
  <c r="F477" i="27"/>
  <c r="J481" i="13" l="1"/>
  <c r="I481" i="13"/>
  <c r="F479" i="13"/>
  <c r="H480" i="13"/>
  <c r="G480" i="13"/>
  <c r="G482" i="7"/>
  <c r="M485" i="7"/>
  <c r="N485" i="7" s="1"/>
  <c r="H483" i="7"/>
  <c r="AI483" i="7" s="1"/>
  <c r="I483" i="7"/>
  <c r="AG483" i="7" s="1"/>
  <c r="L484" i="7"/>
  <c r="J484" i="7"/>
  <c r="K484" i="7"/>
  <c r="F480" i="28"/>
  <c r="G481" i="28"/>
  <c r="H481" i="28" s="1"/>
  <c r="G477" i="27"/>
  <c r="H477" i="27" s="1"/>
  <c r="J477" i="27" s="1"/>
  <c r="L477" i="27" s="1"/>
  <c r="F476" i="27"/>
  <c r="J480" i="13" l="1"/>
  <c r="I480" i="13"/>
  <c r="F478" i="13"/>
  <c r="H479" i="13"/>
  <c r="G479" i="13"/>
  <c r="AH484" i="7"/>
  <c r="M484" i="7"/>
  <c r="N484" i="7" s="1"/>
  <c r="J483" i="7"/>
  <c r="L483" i="7"/>
  <c r="H482" i="7"/>
  <c r="AI482" i="7" s="1"/>
  <c r="I482" i="7"/>
  <c r="AG482" i="7" s="1"/>
  <c r="K483" i="7"/>
  <c r="G481" i="7"/>
  <c r="G480" i="28"/>
  <c r="H480" i="28" s="1"/>
  <c r="F479" i="28"/>
  <c r="G476" i="27"/>
  <c r="H476" i="27" s="1"/>
  <c r="J476" i="27" s="1"/>
  <c r="L476" i="27" s="1"/>
  <c r="F475" i="27"/>
  <c r="J479" i="13" l="1"/>
  <c r="I479" i="13"/>
  <c r="F477" i="13"/>
  <c r="H478" i="13"/>
  <c r="G478" i="13"/>
  <c r="AH483" i="7"/>
  <c r="H481" i="7"/>
  <c r="AI481" i="7" s="1"/>
  <c r="I481" i="7"/>
  <c r="AG481" i="7" s="1"/>
  <c r="L482" i="7"/>
  <c r="J482" i="7"/>
  <c r="G480" i="7"/>
  <c r="K482" i="7"/>
  <c r="M483" i="7"/>
  <c r="N483" i="7" s="1"/>
  <c r="F478" i="28"/>
  <c r="G479" i="28"/>
  <c r="H479" i="28" s="1"/>
  <c r="G475" i="27"/>
  <c r="H475" i="27" s="1"/>
  <c r="J475" i="27" s="1"/>
  <c r="L475" i="27" s="1"/>
  <c r="F474" i="27"/>
  <c r="J478" i="13" l="1"/>
  <c r="I478" i="13"/>
  <c r="F476" i="13"/>
  <c r="H477" i="13"/>
  <c r="G477" i="13"/>
  <c r="AH482" i="7"/>
  <c r="M482" i="7"/>
  <c r="N482" i="7" s="1"/>
  <c r="G479" i="7"/>
  <c r="J481" i="7"/>
  <c r="L481" i="7"/>
  <c r="M481" i="7" s="1"/>
  <c r="I480" i="7"/>
  <c r="AG480" i="7" s="1"/>
  <c r="H480" i="7"/>
  <c r="AI480" i="7" s="1"/>
  <c r="K481" i="7"/>
  <c r="G478" i="28"/>
  <c r="H478" i="28" s="1"/>
  <c r="F477" i="28"/>
  <c r="G474" i="27"/>
  <c r="H474" i="27" s="1"/>
  <c r="J474" i="27" s="1"/>
  <c r="L474" i="27" s="1"/>
  <c r="F473" i="27"/>
  <c r="J477" i="13" l="1"/>
  <c r="I477" i="13"/>
  <c r="F475" i="13"/>
  <c r="H476" i="13"/>
  <c r="G476" i="13"/>
  <c r="AH481" i="7"/>
  <c r="K480" i="7"/>
  <c r="H479" i="7"/>
  <c r="AI479" i="7" s="1"/>
  <c r="I479" i="7"/>
  <c r="AG479" i="7" s="1"/>
  <c r="J480" i="7"/>
  <c r="AH480" i="7" s="1"/>
  <c r="L480" i="7"/>
  <c r="M480" i="7" s="1"/>
  <c r="G478" i="7"/>
  <c r="N481" i="7"/>
  <c r="G477" i="28"/>
  <c r="H477" i="28" s="1"/>
  <c r="F476" i="28"/>
  <c r="G473" i="27"/>
  <c r="H473" i="27" s="1"/>
  <c r="J473" i="27" s="1"/>
  <c r="L473" i="27" s="1"/>
  <c r="F472" i="27"/>
  <c r="J476" i="13" l="1"/>
  <c r="I476" i="13"/>
  <c r="F474" i="13"/>
  <c r="H475" i="13"/>
  <c r="G475" i="13"/>
  <c r="G477" i="7"/>
  <c r="K479" i="7"/>
  <c r="N480" i="7"/>
  <c r="I478" i="7"/>
  <c r="AG478" i="7" s="1"/>
  <c r="H478" i="7"/>
  <c r="AI478" i="7" s="1"/>
  <c r="L479" i="7"/>
  <c r="J479" i="7"/>
  <c r="G476" i="28"/>
  <c r="H476" i="28" s="1"/>
  <c r="F475" i="28"/>
  <c r="G472" i="27"/>
  <c r="H472" i="27" s="1"/>
  <c r="J472" i="27" s="1"/>
  <c r="L472" i="27" s="1"/>
  <c r="F471" i="27"/>
  <c r="J475" i="13" l="1"/>
  <c r="I475" i="13"/>
  <c r="F473" i="13"/>
  <c r="H474" i="13"/>
  <c r="G474" i="13"/>
  <c r="AH479" i="7"/>
  <c r="J478" i="7"/>
  <c r="L478" i="7"/>
  <c r="M478" i="7" s="1"/>
  <c r="G476" i="7"/>
  <c r="K478" i="7"/>
  <c r="M479" i="7"/>
  <c r="N479" i="7" s="1"/>
  <c r="I477" i="7"/>
  <c r="AG477" i="7" s="1"/>
  <c r="H477" i="7"/>
  <c r="AI477" i="7" s="1"/>
  <c r="F474" i="28"/>
  <c r="G475" i="28"/>
  <c r="H475" i="28" s="1"/>
  <c r="G471" i="27"/>
  <c r="H471" i="27" s="1"/>
  <c r="J471" i="27" s="1"/>
  <c r="L471" i="27" s="1"/>
  <c r="F470" i="27"/>
  <c r="J474" i="13" l="1"/>
  <c r="I474" i="13"/>
  <c r="F472" i="13"/>
  <c r="H473" i="13"/>
  <c r="G473" i="13"/>
  <c r="AH478" i="7"/>
  <c r="G475" i="7"/>
  <c r="K477" i="7"/>
  <c r="I476" i="7"/>
  <c r="AG476" i="7" s="1"/>
  <c r="H476" i="7"/>
  <c r="AI476" i="7" s="1"/>
  <c r="N478" i="7"/>
  <c r="J477" i="7"/>
  <c r="L477" i="7"/>
  <c r="F473" i="28"/>
  <c r="G474" i="28"/>
  <c r="H474" i="28" s="1"/>
  <c r="G470" i="27"/>
  <c r="H470" i="27" s="1"/>
  <c r="J470" i="27" s="1"/>
  <c r="L470" i="27" s="1"/>
  <c r="F469" i="27"/>
  <c r="J473" i="13" l="1"/>
  <c r="I473" i="13"/>
  <c r="F471" i="13"/>
  <c r="H472" i="13"/>
  <c r="G472" i="13"/>
  <c r="AH477" i="7"/>
  <c r="K476" i="7"/>
  <c r="M477" i="7"/>
  <c r="N477" i="7" s="1"/>
  <c r="J476" i="7"/>
  <c r="L476" i="7"/>
  <c r="G474" i="7"/>
  <c r="H475" i="7"/>
  <c r="AI475" i="7" s="1"/>
  <c r="I475" i="7"/>
  <c r="AG475" i="7" s="1"/>
  <c r="F472" i="28"/>
  <c r="G473" i="28"/>
  <c r="H473" i="28" s="1"/>
  <c r="G469" i="27"/>
  <c r="H469" i="27" s="1"/>
  <c r="J469" i="27" s="1"/>
  <c r="L469" i="27" s="1"/>
  <c r="F468" i="27"/>
  <c r="J472" i="13" l="1"/>
  <c r="I472" i="13"/>
  <c r="F470" i="13"/>
  <c r="H471" i="13"/>
  <c r="G471" i="13"/>
  <c r="AH476" i="7"/>
  <c r="G473" i="7"/>
  <c r="J475" i="7"/>
  <c r="L475" i="7"/>
  <c r="M476" i="7"/>
  <c r="N476" i="7" s="1"/>
  <c r="K475" i="7"/>
  <c r="H474" i="7"/>
  <c r="AI474" i="7" s="1"/>
  <c r="I474" i="7"/>
  <c r="AG474" i="7" s="1"/>
  <c r="F471" i="28"/>
  <c r="G472" i="28"/>
  <c r="H472" i="28" s="1"/>
  <c r="G468" i="27"/>
  <c r="H468" i="27" s="1"/>
  <c r="J468" i="27" s="1"/>
  <c r="L468" i="27" s="1"/>
  <c r="F467" i="27"/>
  <c r="J471" i="13" l="1"/>
  <c r="I471" i="13"/>
  <c r="F469" i="13"/>
  <c r="H470" i="13"/>
  <c r="G470" i="13"/>
  <c r="AH475" i="7"/>
  <c r="M475" i="7"/>
  <c r="N475" i="7" s="1"/>
  <c r="J474" i="7"/>
  <c r="L474" i="7"/>
  <c r="K474" i="7"/>
  <c r="H473" i="7"/>
  <c r="AI473" i="7" s="1"/>
  <c r="I473" i="7"/>
  <c r="AG473" i="7" s="1"/>
  <c r="G472" i="7"/>
  <c r="G471" i="28"/>
  <c r="H471" i="28" s="1"/>
  <c r="F470" i="28"/>
  <c r="G467" i="27"/>
  <c r="H467" i="27" s="1"/>
  <c r="J467" i="27" s="1"/>
  <c r="L467" i="27" s="1"/>
  <c r="F466" i="27"/>
  <c r="J470" i="13" l="1"/>
  <c r="I470" i="13"/>
  <c r="F468" i="13"/>
  <c r="H469" i="13"/>
  <c r="G469" i="13"/>
  <c r="AH474" i="7"/>
  <c r="J473" i="7"/>
  <c r="L473" i="7"/>
  <c r="M474" i="7"/>
  <c r="N474" i="7" s="1"/>
  <c r="K473" i="7"/>
  <c r="G471" i="7"/>
  <c r="H472" i="7"/>
  <c r="AI472" i="7" s="1"/>
  <c r="I472" i="7"/>
  <c r="AG472" i="7" s="1"/>
  <c r="G470" i="28"/>
  <c r="H470" i="28" s="1"/>
  <c r="F469" i="28"/>
  <c r="G466" i="27"/>
  <c r="H466" i="27" s="1"/>
  <c r="J466" i="27" s="1"/>
  <c r="L466" i="27" s="1"/>
  <c r="F465" i="27"/>
  <c r="J469" i="13" l="1"/>
  <c r="I469" i="13"/>
  <c r="F467" i="13"/>
  <c r="H468" i="13"/>
  <c r="G468" i="13"/>
  <c r="AH473" i="7"/>
  <c r="L472" i="7"/>
  <c r="J472" i="7"/>
  <c r="H471" i="7"/>
  <c r="AI471" i="7" s="1"/>
  <c r="I471" i="7"/>
  <c r="AG471" i="7" s="1"/>
  <c r="K472" i="7"/>
  <c r="G470" i="7"/>
  <c r="M473" i="7"/>
  <c r="N473" i="7" s="1"/>
  <c r="G469" i="28"/>
  <c r="H469" i="28" s="1"/>
  <c r="F468" i="28"/>
  <c r="G465" i="27"/>
  <c r="H465" i="27" s="1"/>
  <c r="J465" i="27" s="1"/>
  <c r="L465" i="27" s="1"/>
  <c r="F464" i="27"/>
  <c r="J468" i="13" l="1"/>
  <c r="I468" i="13"/>
  <c r="F466" i="13"/>
  <c r="H467" i="13"/>
  <c r="G467" i="13"/>
  <c r="AH472" i="7"/>
  <c r="G469" i="7"/>
  <c r="J471" i="7"/>
  <c r="L471" i="7"/>
  <c r="H470" i="7"/>
  <c r="AI470" i="7" s="1"/>
  <c r="I470" i="7"/>
  <c r="AG470" i="7" s="1"/>
  <c r="K471" i="7"/>
  <c r="M472" i="7"/>
  <c r="N472" i="7" s="1"/>
  <c r="F467" i="28"/>
  <c r="G468" i="28"/>
  <c r="H468" i="28" s="1"/>
  <c r="G464" i="27"/>
  <c r="H464" i="27" s="1"/>
  <c r="J464" i="27" s="1"/>
  <c r="L464" i="27" s="1"/>
  <c r="F463" i="27"/>
  <c r="J467" i="13" l="1"/>
  <c r="I467" i="13"/>
  <c r="F465" i="13"/>
  <c r="H466" i="13"/>
  <c r="G466" i="13"/>
  <c r="AH471" i="7"/>
  <c r="M471" i="7"/>
  <c r="N471" i="7" s="1"/>
  <c r="L470" i="7"/>
  <c r="J470" i="7"/>
  <c r="G468" i="7"/>
  <c r="K470" i="7"/>
  <c r="I469" i="7"/>
  <c r="AG469" i="7" s="1"/>
  <c r="H469" i="7"/>
  <c r="AI469" i="7" s="1"/>
  <c r="G467" i="28"/>
  <c r="H467" i="28" s="1"/>
  <c r="F466" i="28"/>
  <c r="G463" i="27"/>
  <c r="H463" i="27" s="1"/>
  <c r="J463" i="27" s="1"/>
  <c r="L463" i="27" s="1"/>
  <c r="F462" i="27"/>
  <c r="J466" i="13" l="1"/>
  <c r="I466" i="13"/>
  <c r="F464" i="13"/>
  <c r="H465" i="13"/>
  <c r="G465" i="13"/>
  <c r="AH470" i="7"/>
  <c r="M470" i="7"/>
  <c r="N470" i="7" s="1"/>
  <c r="K469" i="7"/>
  <c r="I468" i="7"/>
  <c r="AG468" i="7" s="1"/>
  <c r="H468" i="7"/>
  <c r="AI468" i="7" s="1"/>
  <c r="L469" i="7"/>
  <c r="J469" i="7"/>
  <c r="G467" i="7"/>
  <c r="G466" i="28"/>
  <c r="H466" i="28" s="1"/>
  <c r="F465" i="28"/>
  <c r="G462" i="27"/>
  <c r="H462" i="27" s="1"/>
  <c r="J462" i="27" s="1"/>
  <c r="L462" i="27" s="1"/>
  <c r="F461" i="27"/>
  <c r="J465" i="13" l="1"/>
  <c r="I465" i="13"/>
  <c r="F463" i="13"/>
  <c r="H464" i="13"/>
  <c r="G464" i="13"/>
  <c r="AH469" i="7"/>
  <c r="M469" i="7"/>
  <c r="N469" i="7" s="1"/>
  <c r="G466" i="7"/>
  <c r="K468" i="7"/>
  <c r="H467" i="7"/>
  <c r="AI467" i="7" s="1"/>
  <c r="I467" i="7"/>
  <c r="AG467" i="7" s="1"/>
  <c r="J468" i="7"/>
  <c r="AH468" i="7" s="1"/>
  <c r="L468" i="7"/>
  <c r="M468" i="7" s="1"/>
  <c r="G465" i="28"/>
  <c r="H465" i="28" s="1"/>
  <c r="F464" i="28"/>
  <c r="G461" i="27"/>
  <c r="H461" i="27" s="1"/>
  <c r="J461" i="27" s="1"/>
  <c r="L461" i="27" s="1"/>
  <c r="F460" i="27"/>
  <c r="J464" i="13" l="1"/>
  <c r="I464" i="13"/>
  <c r="F462" i="13"/>
  <c r="H463" i="13"/>
  <c r="G463" i="13"/>
  <c r="K467" i="7"/>
  <c r="G465" i="7"/>
  <c r="H466" i="7"/>
  <c r="AI466" i="7" s="1"/>
  <c r="I466" i="7"/>
  <c r="AG466" i="7" s="1"/>
  <c r="N468" i="7"/>
  <c r="J467" i="7"/>
  <c r="L467" i="7"/>
  <c r="G464" i="28"/>
  <c r="H464" i="28" s="1"/>
  <c r="F463" i="28"/>
  <c r="G460" i="27"/>
  <c r="H460" i="27" s="1"/>
  <c r="J460" i="27" s="1"/>
  <c r="L460" i="27" s="1"/>
  <c r="F459" i="27"/>
  <c r="J463" i="13" l="1"/>
  <c r="I463" i="13"/>
  <c r="F461" i="13"/>
  <c r="H462" i="13"/>
  <c r="G462" i="13"/>
  <c r="AH467" i="7"/>
  <c r="H465" i="7"/>
  <c r="AI465" i="7" s="1"/>
  <c r="I465" i="7"/>
  <c r="AG465" i="7" s="1"/>
  <c r="G464" i="7"/>
  <c r="M467" i="7"/>
  <c r="N467" i="7" s="1"/>
  <c r="J466" i="7"/>
  <c r="L466" i="7"/>
  <c r="M466" i="7" s="1"/>
  <c r="K466" i="7"/>
  <c r="F462" i="28"/>
  <c r="G463" i="28"/>
  <c r="H463" i="28" s="1"/>
  <c r="G459" i="27"/>
  <c r="H459" i="27" s="1"/>
  <c r="J459" i="27" s="1"/>
  <c r="L459" i="27" s="1"/>
  <c r="F458" i="27"/>
  <c r="J462" i="13" l="1"/>
  <c r="I462" i="13"/>
  <c r="F460" i="13"/>
  <c r="H461" i="13"/>
  <c r="G461" i="13"/>
  <c r="AH466" i="7"/>
  <c r="J465" i="7"/>
  <c r="L465" i="7"/>
  <c r="K465" i="7"/>
  <c r="G463" i="7"/>
  <c r="N466" i="7"/>
  <c r="I464" i="7"/>
  <c r="AG464" i="7" s="1"/>
  <c r="H464" i="7"/>
  <c r="AI464" i="7" s="1"/>
  <c r="F461" i="28"/>
  <c r="G462" i="28"/>
  <c r="H462" i="28" s="1"/>
  <c r="G458" i="27"/>
  <c r="H458" i="27" s="1"/>
  <c r="J458" i="27" s="1"/>
  <c r="L458" i="27" s="1"/>
  <c r="F457" i="27"/>
  <c r="J461" i="13" l="1"/>
  <c r="I461" i="13"/>
  <c r="F459" i="13"/>
  <c r="H460" i="13"/>
  <c r="G460" i="13"/>
  <c r="AH465" i="7"/>
  <c r="G462" i="7"/>
  <c r="K464" i="7"/>
  <c r="I463" i="7"/>
  <c r="AG463" i="7" s="1"/>
  <c r="H463" i="7"/>
  <c r="M465" i="7"/>
  <c r="N465" i="7" s="1"/>
  <c r="L464" i="7"/>
  <c r="J464" i="7"/>
  <c r="G461" i="28"/>
  <c r="H461" i="28" s="1"/>
  <c r="F460" i="28"/>
  <c r="G457" i="27"/>
  <c r="H457" i="27" s="1"/>
  <c r="J457" i="27" s="1"/>
  <c r="L457" i="27" s="1"/>
  <c r="F456" i="27"/>
  <c r="J460" i="13" l="1"/>
  <c r="I460" i="13"/>
  <c r="F458" i="13"/>
  <c r="H459" i="13"/>
  <c r="G459" i="13"/>
  <c r="K463" i="7"/>
  <c r="AI463" i="7"/>
  <c r="AH464" i="7"/>
  <c r="I462" i="7"/>
  <c r="AG462" i="7" s="1"/>
  <c r="H462" i="7"/>
  <c r="AI462" i="7" s="1"/>
  <c r="M464" i="7"/>
  <c r="N464" i="7" s="1"/>
  <c r="J463" i="7"/>
  <c r="L463" i="7"/>
  <c r="G461" i="7"/>
  <c r="F459" i="28"/>
  <c r="G460" i="28"/>
  <c r="H460" i="28" s="1"/>
  <c r="G456" i="27"/>
  <c r="H456" i="27" s="1"/>
  <c r="J456" i="27" s="1"/>
  <c r="L456" i="27" s="1"/>
  <c r="F455" i="27"/>
  <c r="J459" i="13" l="1"/>
  <c r="I459" i="13"/>
  <c r="F457" i="13"/>
  <c r="H458" i="13"/>
  <c r="G458" i="13"/>
  <c r="AH463" i="7"/>
  <c r="G460" i="7"/>
  <c r="I461" i="7"/>
  <c r="AG461" i="7" s="1"/>
  <c r="H461" i="7"/>
  <c r="AI461" i="7" s="1"/>
  <c r="M463" i="7"/>
  <c r="N463" i="7" s="1"/>
  <c r="K462" i="7"/>
  <c r="J462" i="7"/>
  <c r="L462" i="7"/>
  <c r="F458" i="28"/>
  <c r="G459" i="28"/>
  <c r="H459" i="28" s="1"/>
  <c r="G455" i="27"/>
  <c r="H455" i="27" s="1"/>
  <c r="J455" i="27" s="1"/>
  <c r="L455" i="27" s="1"/>
  <c r="F454" i="27"/>
  <c r="J458" i="13" l="1"/>
  <c r="I458" i="13"/>
  <c r="F456" i="13"/>
  <c r="H457" i="13"/>
  <c r="G457" i="13"/>
  <c r="AH462" i="7"/>
  <c r="M462" i="7"/>
  <c r="N462" i="7" s="1"/>
  <c r="K461" i="7"/>
  <c r="J461" i="7"/>
  <c r="L461" i="7"/>
  <c r="G459" i="7"/>
  <c r="I460" i="7"/>
  <c r="AG460" i="7" s="1"/>
  <c r="H460" i="7"/>
  <c r="AI460" i="7" s="1"/>
  <c r="G458" i="28"/>
  <c r="H458" i="28" s="1"/>
  <c r="F457" i="28"/>
  <c r="G454" i="27"/>
  <c r="H454" i="27" s="1"/>
  <c r="J454" i="27" s="1"/>
  <c r="L454" i="27" s="1"/>
  <c r="F453" i="27"/>
  <c r="I457" i="13" l="1"/>
  <c r="J457" i="13"/>
  <c r="F455" i="13"/>
  <c r="H456" i="13"/>
  <c r="G456" i="13"/>
  <c r="AH461" i="7"/>
  <c r="K460" i="7"/>
  <c r="M461" i="7"/>
  <c r="N461" i="7" s="1"/>
  <c r="J460" i="7"/>
  <c r="L460" i="7"/>
  <c r="H459" i="7"/>
  <c r="AI459" i="7" s="1"/>
  <c r="I459" i="7"/>
  <c r="AG459" i="7" s="1"/>
  <c r="G458" i="7"/>
  <c r="F456" i="28"/>
  <c r="G457" i="28"/>
  <c r="H457" i="28" s="1"/>
  <c r="G453" i="27"/>
  <c r="H453" i="27" s="1"/>
  <c r="J453" i="27" s="1"/>
  <c r="L453" i="27" s="1"/>
  <c r="F452" i="27"/>
  <c r="J456" i="13" l="1"/>
  <c r="I456" i="13"/>
  <c r="F454" i="13"/>
  <c r="H455" i="13"/>
  <c r="G455" i="13"/>
  <c r="AH460" i="7"/>
  <c r="L459" i="7"/>
  <c r="J459" i="7"/>
  <c r="G457" i="7"/>
  <c r="K459" i="7"/>
  <c r="H458" i="7"/>
  <c r="AI458" i="7" s="1"/>
  <c r="I458" i="7"/>
  <c r="AG458" i="7" s="1"/>
  <c r="M460" i="7"/>
  <c r="N460" i="7" s="1"/>
  <c r="G456" i="28"/>
  <c r="H456" i="28" s="1"/>
  <c r="F455" i="28"/>
  <c r="G452" i="27"/>
  <c r="H452" i="27" s="1"/>
  <c r="J452" i="27" s="1"/>
  <c r="L452" i="27" s="1"/>
  <c r="F451" i="27"/>
  <c r="J455" i="13" l="1"/>
  <c r="I455" i="13"/>
  <c r="F453" i="13"/>
  <c r="H454" i="13"/>
  <c r="G454" i="13"/>
  <c r="AH459" i="7"/>
  <c r="L458" i="7"/>
  <c r="J458" i="7"/>
  <c r="G456" i="7"/>
  <c r="K458" i="7"/>
  <c r="H457" i="7"/>
  <c r="AI457" i="7" s="1"/>
  <c r="I457" i="7"/>
  <c r="AG457" i="7" s="1"/>
  <c r="M459" i="7"/>
  <c r="N459" i="7" s="1"/>
  <c r="G455" i="28"/>
  <c r="H455" i="28" s="1"/>
  <c r="F454" i="28"/>
  <c r="G451" i="27"/>
  <c r="H451" i="27" s="1"/>
  <c r="J451" i="27" s="1"/>
  <c r="L451" i="27" s="1"/>
  <c r="F450" i="27"/>
  <c r="F452" i="13" l="1"/>
  <c r="H453" i="13"/>
  <c r="G453" i="13"/>
  <c r="J454" i="13"/>
  <c r="I454" i="13"/>
  <c r="AH458" i="7"/>
  <c r="L457" i="7"/>
  <c r="J457" i="7"/>
  <c r="G455" i="7"/>
  <c r="K457" i="7"/>
  <c r="H456" i="7"/>
  <c r="I456" i="7"/>
  <c r="AG456" i="7" s="1"/>
  <c r="M458" i="7"/>
  <c r="N458" i="7" s="1"/>
  <c r="F453" i="28"/>
  <c r="G454" i="28"/>
  <c r="H454" i="28" s="1"/>
  <c r="G450" i="27"/>
  <c r="H450" i="27" s="1"/>
  <c r="J450" i="27" s="1"/>
  <c r="L450" i="27" s="1"/>
  <c r="F449" i="27"/>
  <c r="I453" i="13" l="1"/>
  <c r="J453" i="13"/>
  <c r="F451" i="13"/>
  <c r="H452" i="13"/>
  <c r="G452" i="13"/>
  <c r="K456" i="7"/>
  <c r="AI456" i="7"/>
  <c r="AH457" i="7"/>
  <c r="G454" i="7"/>
  <c r="H455" i="7"/>
  <c r="AI455" i="7" s="1"/>
  <c r="I455" i="7"/>
  <c r="AG455" i="7" s="1"/>
  <c r="L456" i="7"/>
  <c r="J456" i="7"/>
  <c r="M457" i="7"/>
  <c r="N457" i="7" s="1"/>
  <c r="F452" i="28"/>
  <c r="G453" i="28"/>
  <c r="H453" i="28" s="1"/>
  <c r="G449" i="27"/>
  <c r="H449" i="27" s="1"/>
  <c r="J449" i="27" s="1"/>
  <c r="L449" i="27" s="1"/>
  <c r="F448" i="27"/>
  <c r="I452" i="13" l="1"/>
  <c r="J452" i="13"/>
  <c r="F450" i="13"/>
  <c r="H451" i="13"/>
  <c r="G451" i="13"/>
  <c r="AH456" i="7"/>
  <c r="J455" i="7"/>
  <c r="L455" i="7"/>
  <c r="K455" i="7"/>
  <c r="G453" i="7"/>
  <c r="M456" i="7"/>
  <c r="N456" i="7" s="1"/>
  <c r="H454" i="7"/>
  <c r="AI454" i="7" s="1"/>
  <c r="I454" i="7"/>
  <c r="AG454" i="7" s="1"/>
  <c r="F451" i="28"/>
  <c r="G452" i="28"/>
  <c r="H452" i="28" s="1"/>
  <c r="G448" i="27"/>
  <c r="H448" i="27" s="1"/>
  <c r="J448" i="27" s="1"/>
  <c r="L448" i="27" s="1"/>
  <c r="F447" i="27"/>
  <c r="F449" i="13" l="1"/>
  <c r="H450" i="13"/>
  <c r="G450" i="13"/>
  <c r="I451" i="13"/>
  <c r="J451" i="13"/>
  <c r="AH455" i="7"/>
  <c r="J454" i="7"/>
  <c r="L454" i="7"/>
  <c r="H453" i="7"/>
  <c r="AI453" i="7" s="1"/>
  <c r="I453" i="7"/>
  <c r="AG453" i="7" s="1"/>
  <c r="K454" i="7"/>
  <c r="G452" i="7"/>
  <c r="M455" i="7"/>
  <c r="N455" i="7" s="1"/>
  <c r="G451" i="28"/>
  <c r="H451" i="28" s="1"/>
  <c r="F450" i="28"/>
  <c r="G447" i="27"/>
  <c r="H447" i="27" s="1"/>
  <c r="J447" i="27" s="1"/>
  <c r="L447" i="27" s="1"/>
  <c r="F446" i="27"/>
  <c r="J450" i="13" l="1"/>
  <c r="I450" i="13"/>
  <c r="F448" i="13"/>
  <c r="H449" i="13"/>
  <c r="G449" i="13"/>
  <c r="AH454" i="7"/>
  <c r="H452" i="7"/>
  <c r="AI452" i="7" s="1"/>
  <c r="I452" i="7"/>
  <c r="AG452" i="7" s="1"/>
  <c r="L453" i="7"/>
  <c r="J453" i="7"/>
  <c r="K453" i="7"/>
  <c r="M454" i="7"/>
  <c r="N454" i="7" s="1"/>
  <c r="G451" i="7"/>
  <c r="G450" i="28"/>
  <c r="H450" i="28" s="1"/>
  <c r="F449" i="28"/>
  <c r="G446" i="27"/>
  <c r="H446" i="27" s="1"/>
  <c r="J446" i="27" s="1"/>
  <c r="L446" i="27" s="1"/>
  <c r="F445" i="27"/>
  <c r="I449" i="13" l="1"/>
  <c r="J449" i="13"/>
  <c r="F447" i="13"/>
  <c r="H448" i="13"/>
  <c r="G448" i="13"/>
  <c r="AH453" i="7"/>
  <c r="G450" i="7"/>
  <c r="M453" i="7"/>
  <c r="N453" i="7" s="1"/>
  <c r="H451" i="7"/>
  <c r="I451" i="7"/>
  <c r="AG451" i="7" s="1"/>
  <c r="L452" i="7"/>
  <c r="J452" i="7"/>
  <c r="K452" i="7"/>
  <c r="G449" i="28"/>
  <c r="H449" i="28" s="1"/>
  <c r="F448" i="28"/>
  <c r="G445" i="27"/>
  <c r="H445" i="27" s="1"/>
  <c r="J445" i="27" s="1"/>
  <c r="L445" i="27" s="1"/>
  <c r="F444" i="27"/>
  <c r="J448" i="13" l="1"/>
  <c r="I448" i="13"/>
  <c r="F446" i="13"/>
  <c r="H447" i="13"/>
  <c r="G447" i="13"/>
  <c r="K451" i="7"/>
  <c r="AI451" i="7"/>
  <c r="AH452" i="7"/>
  <c r="M452" i="7"/>
  <c r="N452" i="7" s="1"/>
  <c r="L451" i="7"/>
  <c r="J451" i="7"/>
  <c r="G449" i="7"/>
  <c r="H450" i="7"/>
  <c r="AI450" i="7" s="1"/>
  <c r="I450" i="7"/>
  <c r="AG450" i="7" s="1"/>
  <c r="G448" i="28"/>
  <c r="H448" i="28" s="1"/>
  <c r="F447" i="28"/>
  <c r="G444" i="27"/>
  <c r="H444" i="27" s="1"/>
  <c r="J444" i="27" s="1"/>
  <c r="L444" i="27" s="1"/>
  <c r="F443" i="27"/>
  <c r="I447" i="13" l="1"/>
  <c r="J447" i="13"/>
  <c r="F445" i="13"/>
  <c r="H446" i="13"/>
  <c r="G446" i="13"/>
  <c r="AH451" i="7"/>
  <c r="M451" i="7"/>
  <c r="N451" i="7" s="1"/>
  <c r="G448" i="7"/>
  <c r="I449" i="7"/>
  <c r="AG449" i="7" s="1"/>
  <c r="H449" i="7"/>
  <c r="AI449" i="7" s="1"/>
  <c r="K450" i="7"/>
  <c r="J450" i="7"/>
  <c r="L450" i="7"/>
  <c r="M450" i="7" s="1"/>
  <c r="G447" i="28"/>
  <c r="H447" i="28" s="1"/>
  <c r="F446" i="28"/>
  <c r="G443" i="27"/>
  <c r="H443" i="27" s="1"/>
  <c r="J443" i="27" s="1"/>
  <c r="L443" i="27" s="1"/>
  <c r="F442" i="27"/>
  <c r="J446" i="13" l="1"/>
  <c r="I446" i="13"/>
  <c r="F444" i="13"/>
  <c r="H445" i="13"/>
  <c r="G445" i="13"/>
  <c r="AH450" i="7"/>
  <c r="G447" i="7"/>
  <c r="H448" i="7"/>
  <c r="AI448" i="7" s="1"/>
  <c r="I448" i="7"/>
  <c r="AG448" i="7" s="1"/>
  <c r="K449" i="7"/>
  <c r="N450" i="7"/>
  <c r="J449" i="7"/>
  <c r="L449" i="7"/>
  <c r="F445" i="28"/>
  <c r="G446" i="28"/>
  <c r="H446" i="28" s="1"/>
  <c r="G442" i="27"/>
  <c r="H442" i="27" s="1"/>
  <c r="J442" i="27" s="1"/>
  <c r="L442" i="27" s="1"/>
  <c r="F441" i="27"/>
  <c r="I445" i="13" l="1"/>
  <c r="J445" i="13"/>
  <c r="F443" i="13"/>
  <c r="H444" i="13"/>
  <c r="G444" i="13"/>
  <c r="AH449" i="7"/>
  <c r="H447" i="7"/>
  <c r="AI447" i="7" s="1"/>
  <c r="I447" i="7"/>
  <c r="AG447" i="7" s="1"/>
  <c r="M449" i="7"/>
  <c r="N449" i="7" s="1"/>
  <c r="G446" i="7"/>
  <c r="L448" i="7"/>
  <c r="J448" i="7"/>
  <c r="K448" i="7"/>
  <c r="F444" i="28"/>
  <c r="G445" i="28"/>
  <c r="H445" i="28" s="1"/>
  <c r="G441" i="27"/>
  <c r="H441" i="27" s="1"/>
  <c r="J441" i="27" s="1"/>
  <c r="L441" i="27" s="1"/>
  <c r="F440" i="27"/>
  <c r="J444" i="13" l="1"/>
  <c r="I444" i="13"/>
  <c r="F442" i="13"/>
  <c r="H443" i="13"/>
  <c r="G443" i="13"/>
  <c r="AH448" i="7"/>
  <c r="M448" i="7"/>
  <c r="N448" i="7" s="1"/>
  <c r="H446" i="7"/>
  <c r="AI446" i="7" s="1"/>
  <c r="I446" i="7"/>
  <c r="AG446" i="7" s="1"/>
  <c r="J447" i="7"/>
  <c r="L447" i="7"/>
  <c r="M447" i="7" s="1"/>
  <c r="G445" i="7"/>
  <c r="K447" i="7"/>
  <c r="G444" i="28"/>
  <c r="H444" i="28" s="1"/>
  <c r="F443" i="28"/>
  <c r="G440" i="27"/>
  <c r="H440" i="27" s="1"/>
  <c r="J440" i="27" s="1"/>
  <c r="L440" i="27" s="1"/>
  <c r="F439" i="27"/>
  <c r="I443" i="13" l="1"/>
  <c r="J443" i="13"/>
  <c r="F441" i="13"/>
  <c r="H442" i="13"/>
  <c r="G442" i="13"/>
  <c r="AH447" i="7"/>
  <c r="H445" i="7"/>
  <c r="AI445" i="7" s="1"/>
  <c r="I445" i="7"/>
  <c r="AG445" i="7" s="1"/>
  <c r="K446" i="7"/>
  <c r="N447" i="7"/>
  <c r="G444" i="7"/>
  <c r="L446" i="7"/>
  <c r="J446" i="7"/>
  <c r="G443" i="28"/>
  <c r="H443" i="28" s="1"/>
  <c r="F442" i="28"/>
  <c r="G439" i="27"/>
  <c r="H439" i="27" s="1"/>
  <c r="J439" i="27" s="1"/>
  <c r="L439" i="27" s="1"/>
  <c r="F438" i="27"/>
  <c r="I442" i="13" l="1"/>
  <c r="J442" i="13"/>
  <c r="F440" i="13"/>
  <c r="H441" i="13"/>
  <c r="G441" i="13"/>
  <c r="AH446" i="7"/>
  <c r="G443" i="7"/>
  <c r="H444" i="7"/>
  <c r="AI444" i="7" s="1"/>
  <c r="I444" i="7"/>
  <c r="AG444" i="7" s="1"/>
  <c r="L445" i="7"/>
  <c r="J445" i="7"/>
  <c r="K445" i="7"/>
  <c r="M446" i="7"/>
  <c r="N446" i="7" s="1"/>
  <c r="G442" i="28"/>
  <c r="H442" i="28" s="1"/>
  <c r="F441" i="28"/>
  <c r="G438" i="27"/>
  <c r="H438" i="27" s="1"/>
  <c r="J438" i="27" s="1"/>
  <c r="L438" i="27" s="1"/>
  <c r="F437" i="27"/>
  <c r="J441" i="13" l="1"/>
  <c r="I441" i="13"/>
  <c r="F439" i="13"/>
  <c r="H440" i="13"/>
  <c r="G440" i="13"/>
  <c r="AH445" i="7"/>
  <c r="L444" i="7"/>
  <c r="J444" i="7"/>
  <c r="K444" i="7"/>
  <c r="H443" i="7"/>
  <c r="AI443" i="7" s="1"/>
  <c r="I443" i="7"/>
  <c r="AG443" i="7" s="1"/>
  <c r="M445" i="7"/>
  <c r="N445" i="7" s="1"/>
  <c r="G442" i="7"/>
  <c r="G441" i="28"/>
  <c r="H441" i="28" s="1"/>
  <c r="F440" i="28"/>
  <c r="G437" i="27"/>
  <c r="H437" i="27" s="1"/>
  <c r="J437" i="27" s="1"/>
  <c r="L437" i="27" s="1"/>
  <c r="F436" i="27"/>
  <c r="J440" i="13" l="1"/>
  <c r="I440" i="13"/>
  <c r="F438" i="13"/>
  <c r="H439" i="13"/>
  <c r="G439" i="13"/>
  <c r="AH444" i="7"/>
  <c r="G441" i="7"/>
  <c r="L443" i="7"/>
  <c r="J443" i="7"/>
  <c r="H442" i="7"/>
  <c r="AI442" i="7" s="1"/>
  <c r="I442" i="7"/>
  <c r="AG442" i="7" s="1"/>
  <c r="K443" i="7"/>
  <c r="M444" i="7"/>
  <c r="N444" i="7" s="1"/>
  <c r="F439" i="28"/>
  <c r="G440" i="28"/>
  <c r="H440" i="28" s="1"/>
  <c r="G436" i="27"/>
  <c r="H436" i="27" s="1"/>
  <c r="J436" i="27" s="1"/>
  <c r="L436" i="27" s="1"/>
  <c r="F435" i="27"/>
  <c r="F437" i="13" l="1"/>
  <c r="H438" i="13"/>
  <c r="G438" i="13"/>
  <c r="J439" i="13"/>
  <c r="I439" i="13"/>
  <c r="AH443" i="7"/>
  <c r="M443" i="7"/>
  <c r="N443" i="7" s="1"/>
  <c r="J442" i="7"/>
  <c r="L442" i="7"/>
  <c r="G440" i="7"/>
  <c r="K442" i="7"/>
  <c r="H441" i="7"/>
  <c r="AI441" i="7" s="1"/>
  <c r="I441" i="7"/>
  <c r="AG441" i="7" s="1"/>
  <c r="G439" i="28"/>
  <c r="H439" i="28" s="1"/>
  <c r="F438" i="28"/>
  <c r="G435" i="27"/>
  <c r="H435" i="27" s="1"/>
  <c r="J435" i="27" s="1"/>
  <c r="L435" i="27" s="1"/>
  <c r="F434" i="27"/>
  <c r="J438" i="13" l="1"/>
  <c r="I438" i="13"/>
  <c r="F436" i="13"/>
  <c r="H437" i="13"/>
  <c r="G437" i="13"/>
  <c r="AH442" i="7"/>
  <c r="M442" i="7"/>
  <c r="N442" i="7" s="1"/>
  <c r="L441" i="7"/>
  <c r="J441" i="7"/>
  <c r="K441" i="7"/>
  <c r="G439" i="7"/>
  <c r="H440" i="7"/>
  <c r="AI440" i="7" s="1"/>
  <c r="I440" i="7"/>
  <c r="AG440" i="7" s="1"/>
  <c r="G438" i="28"/>
  <c r="H438" i="28" s="1"/>
  <c r="F437" i="28"/>
  <c r="G434" i="27"/>
  <c r="H434" i="27" s="1"/>
  <c r="J434" i="27" s="1"/>
  <c r="L434" i="27" s="1"/>
  <c r="F433" i="27"/>
  <c r="F435" i="13" l="1"/>
  <c r="H436" i="13"/>
  <c r="G436" i="13"/>
  <c r="I437" i="13"/>
  <c r="J437" i="13"/>
  <c r="AH441" i="7"/>
  <c r="G438" i="7"/>
  <c r="L440" i="7"/>
  <c r="J440" i="7"/>
  <c r="I439" i="7"/>
  <c r="AG439" i="7" s="1"/>
  <c r="H439" i="7"/>
  <c r="AI439" i="7" s="1"/>
  <c r="M441" i="7"/>
  <c r="N441" i="7" s="1"/>
  <c r="K440" i="7"/>
  <c r="G437" i="28"/>
  <c r="H437" i="28" s="1"/>
  <c r="F436" i="28"/>
  <c r="G433" i="27"/>
  <c r="H433" i="27" s="1"/>
  <c r="J433" i="27" s="1"/>
  <c r="L433" i="27" s="1"/>
  <c r="F432" i="27"/>
  <c r="I436" i="13" l="1"/>
  <c r="J436" i="13"/>
  <c r="F434" i="13"/>
  <c r="H435" i="13"/>
  <c r="G435" i="13"/>
  <c r="AH440" i="7"/>
  <c r="M440" i="7"/>
  <c r="N440" i="7" s="1"/>
  <c r="K439" i="7"/>
  <c r="G437" i="7"/>
  <c r="L439" i="7"/>
  <c r="J439" i="7"/>
  <c r="I438" i="7"/>
  <c r="AG438" i="7" s="1"/>
  <c r="H438" i="7"/>
  <c r="AI438" i="7" s="1"/>
  <c r="F435" i="28"/>
  <c r="G436" i="28"/>
  <c r="H436" i="28" s="1"/>
  <c r="G432" i="27"/>
  <c r="H432" i="27" s="1"/>
  <c r="J432" i="27" s="1"/>
  <c r="L432" i="27" s="1"/>
  <c r="F431" i="27"/>
  <c r="J435" i="13" l="1"/>
  <c r="I435" i="13"/>
  <c r="F433" i="13"/>
  <c r="H434" i="13"/>
  <c r="G434" i="13"/>
  <c r="AH439" i="7"/>
  <c r="M439" i="7"/>
  <c r="N439" i="7" s="1"/>
  <c r="K438" i="7"/>
  <c r="G436" i="7"/>
  <c r="J438" i="7"/>
  <c r="L438" i="7"/>
  <c r="H437" i="7"/>
  <c r="AI437" i="7" s="1"/>
  <c r="I437" i="7"/>
  <c r="AG437" i="7" s="1"/>
  <c r="F434" i="28"/>
  <c r="G435" i="28"/>
  <c r="H435" i="28" s="1"/>
  <c r="G431" i="27"/>
  <c r="H431" i="27" s="1"/>
  <c r="J431" i="27" s="1"/>
  <c r="L431" i="27" s="1"/>
  <c r="F430" i="27"/>
  <c r="I434" i="13" l="1"/>
  <c r="J434" i="13"/>
  <c r="F432" i="13"/>
  <c r="H433" i="13"/>
  <c r="G433" i="13"/>
  <c r="AH438" i="7"/>
  <c r="M438" i="7"/>
  <c r="N438" i="7" s="1"/>
  <c r="L437" i="7"/>
  <c r="J437" i="7"/>
  <c r="AH437" i="7" s="1"/>
  <c r="G435" i="7"/>
  <c r="K437" i="7"/>
  <c r="H436" i="7"/>
  <c r="AI436" i="7" s="1"/>
  <c r="I436" i="7"/>
  <c r="AG436" i="7" s="1"/>
  <c r="G434" i="28"/>
  <c r="H434" i="28" s="1"/>
  <c r="F433" i="28"/>
  <c r="G430" i="27"/>
  <c r="H430" i="27" s="1"/>
  <c r="J430" i="27" s="1"/>
  <c r="L430" i="27" s="1"/>
  <c r="F429" i="27"/>
  <c r="I433" i="13" l="1"/>
  <c r="J433" i="13"/>
  <c r="F431" i="13"/>
  <c r="H432" i="13"/>
  <c r="G432" i="13"/>
  <c r="L436" i="7"/>
  <c r="J436" i="7"/>
  <c r="M437" i="7"/>
  <c r="N437" i="7" s="1"/>
  <c r="K436" i="7"/>
  <c r="G434" i="7"/>
  <c r="H435" i="7"/>
  <c r="AI435" i="7" s="1"/>
  <c r="I435" i="7"/>
  <c r="AG435" i="7" s="1"/>
  <c r="G433" i="28"/>
  <c r="H433" i="28" s="1"/>
  <c r="F432" i="28"/>
  <c r="G429" i="27"/>
  <c r="H429" i="27" s="1"/>
  <c r="J429" i="27" s="1"/>
  <c r="L429" i="27" s="1"/>
  <c r="F428" i="27"/>
  <c r="F430" i="13" l="1"/>
  <c r="H431" i="13"/>
  <c r="G431" i="13"/>
  <c r="I432" i="13"/>
  <c r="J432" i="13"/>
  <c r="AH436" i="7"/>
  <c r="G433" i="7"/>
  <c r="H434" i="7"/>
  <c r="AI434" i="7" s="1"/>
  <c r="I434" i="7"/>
  <c r="AG434" i="7" s="1"/>
  <c r="J435" i="7"/>
  <c r="L435" i="7"/>
  <c r="K435" i="7"/>
  <c r="M436" i="7"/>
  <c r="N436" i="7" s="1"/>
  <c r="G432" i="28"/>
  <c r="H432" i="28" s="1"/>
  <c r="F431" i="28"/>
  <c r="G428" i="27"/>
  <c r="H428" i="27" s="1"/>
  <c r="J428" i="27" s="1"/>
  <c r="L428" i="27" s="1"/>
  <c r="F427" i="27"/>
  <c r="I431" i="13" l="1"/>
  <c r="J431" i="13"/>
  <c r="F429" i="13"/>
  <c r="H430" i="13"/>
  <c r="G430" i="13"/>
  <c r="AH435" i="7"/>
  <c r="J434" i="7"/>
  <c r="L434" i="7"/>
  <c r="K434" i="7"/>
  <c r="M435" i="7"/>
  <c r="N435" i="7" s="1"/>
  <c r="G432" i="7"/>
  <c r="H433" i="7"/>
  <c r="AI433" i="7" s="1"/>
  <c r="I433" i="7"/>
  <c r="AG433" i="7" s="1"/>
  <c r="F430" i="28"/>
  <c r="G431" i="28"/>
  <c r="H431" i="28" s="1"/>
  <c r="G427" i="27"/>
  <c r="H427" i="27" s="1"/>
  <c r="J427" i="27" s="1"/>
  <c r="L427" i="27" s="1"/>
  <c r="F426" i="27"/>
  <c r="F428" i="13" l="1"/>
  <c r="H429" i="13"/>
  <c r="G429" i="13"/>
  <c r="J430" i="13"/>
  <c r="I430" i="13"/>
  <c r="AH434" i="7"/>
  <c r="I432" i="7"/>
  <c r="AG432" i="7" s="1"/>
  <c r="H432" i="7"/>
  <c r="AI432" i="7" s="1"/>
  <c r="L433" i="7"/>
  <c r="J433" i="7"/>
  <c r="M434" i="7"/>
  <c r="N434" i="7" s="1"/>
  <c r="K433" i="7"/>
  <c r="G431" i="7"/>
  <c r="G430" i="28"/>
  <c r="H430" i="28" s="1"/>
  <c r="F429" i="28"/>
  <c r="G426" i="27"/>
  <c r="H426" i="27" s="1"/>
  <c r="J426" i="27" s="1"/>
  <c r="L426" i="27" s="1"/>
  <c r="F425" i="27"/>
  <c r="J429" i="13" l="1"/>
  <c r="I429" i="13"/>
  <c r="F427" i="13"/>
  <c r="H428" i="13"/>
  <c r="G428" i="13"/>
  <c r="AH433" i="7"/>
  <c r="M433" i="7"/>
  <c r="N433" i="7" s="1"/>
  <c r="H431" i="7"/>
  <c r="AI431" i="7" s="1"/>
  <c r="I431" i="7"/>
  <c r="AG431" i="7" s="1"/>
  <c r="K432" i="7"/>
  <c r="G430" i="7"/>
  <c r="J432" i="7"/>
  <c r="L432" i="7"/>
  <c r="G429" i="28"/>
  <c r="H429" i="28" s="1"/>
  <c r="F428" i="28"/>
  <c r="G425" i="27"/>
  <c r="H425" i="27" s="1"/>
  <c r="J425" i="27" s="1"/>
  <c r="L425" i="27" s="1"/>
  <c r="F424" i="27"/>
  <c r="J428" i="13" l="1"/>
  <c r="I428" i="13"/>
  <c r="F426" i="13"/>
  <c r="H427" i="13"/>
  <c r="G427" i="13"/>
  <c r="AH432" i="7"/>
  <c r="H430" i="7"/>
  <c r="AI430" i="7" s="1"/>
  <c r="I430" i="7"/>
  <c r="AG430" i="7" s="1"/>
  <c r="J431" i="7"/>
  <c r="L431" i="7"/>
  <c r="G429" i="7"/>
  <c r="K431" i="7"/>
  <c r="M432" i="7"/>
  <c r="N432" i="7" s="1"/>
  <c r="G428" i="28"/>
  <c r="H428" i="28" s="1"/>
  <c r="F427" i="28"/>
  <c r="G424" i="27"/>
  <c r="H424" i="27" s="1"/>
  <c r="J424" i="27" s="1"/>
  <c r="L424" i="27" s="1"/>
  <c r="F423" i="27"/>
  <c r="J427" i="13" l="1"/>
  <c r="I427" i="13"/>
  <c r="F425" i="13"/>
  <c r="H426" i="13"/>
  <c r="G426" i="13"/>
  <c r="AH431" i="7"/>
  <c r="M431" i="7"/>
  <c r="N431" i="7" s="1"/>
  <c r="G428" i="7"/>
  <c r="J430" i="7"/>
  <c r="L430" i="7"/>
  <c r="I429" i="7"/>
  <c r="AG429" i="7" s="1"/>
  <c r="H429" i="7"/>
  <c r="AI429" i="7" s="1"/>
  <c r="K430" i="7"/>
  <c r="F426" i="28"/>
  <c r="G427" i="28"/>
  <c r="H427" i="28" s="1"/>
  <c r="G423" i="27"/>
  <c r="H423" i="27" s="1"/>
  <c r="J423" i="27" s="1"/>
  <c r="L423" i="27" s="1"/>
  <c r="F422" i="27"/>
  <c r="J426" i="13" l="1"/>
  <c r="I426" i="13"/>
  <c r="F424" i="13"/>
  <c r="H425" i="13"/>
  <c r="G425" i="13"/>
  <c r="AH430" i="7"/>
  <c r="K429" i="7"/>
  <c r="I428" i="7"/>
  <c r="AG428" i="7" s="1"/>
  <c r="H428" i="7"/>
  <c r="AI428" i="7" s="1"/>
  <c r="L429" i="7"/>
  <c r="J429" i="7"/>
  <c r="G427" i="7"/>
  <c r="M430" i="7"/>
  <c r="N430" i="7" s="1"/>
  <c r="G426" i="28"/>
  <c r="H426" i="28" s="1"/>
  <c r="F425" i="28"/>
  <c r="G422" i="27"/>
  <c r="H422" i="27" s="1"/>
  <c r="J422" i="27" s="1"/>
  <c r="L422" i="27" s="1"/>
  <c r="F421" i="27"/>
  <c r="J425" i="13" l="1"/>
  <c r="I425" i="13"/>
  <c r="F423" i="13"/>
  <c r="H424" i="13"/>
  <c r="G424" i="13"/>
  <c r="AH429" i="7"/>
  <c r="G426" i="7"/>
  <c r="K428" i="7"/>
  <c r="H427" i="7"/>
  <c r="AI427" i="7" s="1"/>
  <c r="I427" i="7"/>
  <c r="AG427" i="7" s="1"/>
  <c r="J428" i="7"/>
  <c r="L428" i="7"/>
  <c r="M429" i="7"/>
  <c r="N429" i="7" s="1"/>
  <c r="F424" i="28"/>
  <c r="G425" i="28"/>
  <c r="H425" i="28" s="1"/>
  <c r="G421" i="27"/>
  <c r="H421" i="27" s="1"/>
  <c r="J421" i="27" s="1"/>
  <c r="L421" i="27" s="1"/>
  <c r="F420" i="27"/>
  <c r="J424" i="13" l="1"/>
  <c r="I424" i="13"/>
  <c r="F422" i="13"/>
  <c r="H423" i="13"/>
  <c r="G423" i="13"/>
  <c r="AH428" i="7"/>
  <c r="M428" i="7"/>
  <c r="N428" i="7" s="1"/>
  <c r="J427" i="7"/>
  <c r="L427" i="7"/>
  <c r="G425" i="7"/>
  <c r="K427" i="7"/>
  <c r="H426" i="7"/>
  <c r="AI426" i="7" s="1"/>
  <c r="I426" i="7"/>
  <c r="AG426" i="7" s="1"/>
  <c r="G424" i="28"/>
  <c r="H424" i="28" s="1"/>
  <c r="F423" i="28"/>
  <c r="G420" i="27"/>
  <c r="H420" i="27" s="1"/>
  <c r="J420" i="27" s="1"/>
  <c r="L420" i="27" s="1"/>
  <c r="F419" i="27"/>
  <c r="J423" i="13" l="1"/>
  <c r="I423" i="13"/>
  <c r="F421" i="13"/>
  <c r="H422" i="13"/>
  <c r="G422" i="13"/>
  <c r="AH427" i="7"/>
  <c r="J426" i="7"/>
  <c r="L426" i="7"/>
  <c r="G424" i="7"/>
  <c r="K426" i="7"/>
  <c r="H425" i="7"/>
  <c r="AI425" i="7" s="1"/>
  <c r="I425" i="7"/>
  <c r="AG425" i="7" s="1"/>
  <c r="M427" i="7"/>
  <c r="N427" i="7" s="1"/>
  <c r="G423" i="28"/>
  <c r="H423" i="28" s="1"/>
  <c r="F422" i="28"/>
  <c r="G419" i="27"/>
  <c r="H419" i="27" s="1"/>
  <c r="J419" i="27" s="1"/>
  <c r="L419" i="27" s="1"/>
  <c r="F418" i="27"/>
  <c r="I422" i="13" l="1"/>
  <c r="J422" i="13"/>
  <c r="F420" i="13"/>
  <c r="H421" i="13"/>
  <c r="G421" i="13"/>
  <c r="AH426" i="7"/>
  <c r="J425" i="7"/>
  <c r="L425" i="7"/>
  <c r="G423" i="7"/>
  <c r="K425" i="7"/>
  <c r="I424" i="7"/>
  <c r="AG424" i="7" s="1"/>
  <c r="H424" i="7"/>
  <c r="AI424" i="7" s="1"/>
  <c r="M426" i="7"/>
  <c r="N426" i="7" s="1"/>
  <c r="G422" i="28"/>
  <c r="H422" i="28" s="1"/>
  <c r="F421" i="28"/>
  <c r="G418" i="27"/>
  <c r="H418" i="27" s="1"/>
  <c r="J418" i="27" s="1"/>
  <c r="L418" i="27" s="1"/>
  <c r="F417" i="27"/>
  <c r="I421" i="13" l="1"/>
  <c r="J421" i="13"/>
  <c r="F419" i="13"/>
  <c r="H420" i="13"/>
  <c r="G420" i="13"/>
  <c r="AH425" i="7"/>
  <c r="K424" i="7"/>
  <c r="G422" i="7"/>
  <c r="J424" i="7"/>
  <c r="L424" i="7"/>
  <c r="I423" i="7"/>
  <c r="AG423" i="7" s="1"/>
  <c r="H423" i="7"/>
  <c r="AI423" i="7" s="1"/>
  <c r="M425" i="7"/>
  <c r="N425" i="7" s="1"/>
  <c r="G421" i="28"/>
  <c r="H421" i="28" s="1"/>
  <c r="F420" i="28"/>
  <c r="G417" i="27"/>
  <c r="H417" i="27" s="1"/>
  <c r="J417" i="27" s="1"/>
  <c r="L417" i="27" s="1"/>
  <c r="F416" i="27"/>
  <c r="I420" i="13" l="1"/>
  <c r="J420" i="13"/>
  <c r="F418" i="13"/>
  <c r="H419" i="13"/>
  <c r="G419" i="13"/>
  <c r="AH424" i="7"/>
  <c r="J423" i="7"/>
  <c r="L423" i="7"/>
  <c r="M423" i="7" s="1"/>
  <c r="I422" i="7"/>
  <c r="AG422" i="7" s="1"/>
  <c r="H422" i="7"/>
  <c r="AI422" i="7" s="1"/>
  <c r="M424" i="7"/>
  <c r="N424" i="7" s="1"/>
  <c r="K423" i="7"/>
  <c r="G421" i="7"/>
  <c r="G420" i="28"/>
  <c r="H420" i="28" s="1"/>
  <c r="F419" i="28"/>
  <c r="G416" i="27"/>
  <c r="H416" i="27" s="1"/>
  <c r="J416" i="27" s="1"/>
  <c r="L416" i="27" s="1"/>
  <c r="F415" i="27"/>
  <c r="J419" i="13" l="1"/>
  <c r="I419" i="13"/>
  <c r="F417" i="13"/>
  <c r="H418" i="13"/>
  <c r="G418" i="13"/>
  <c r="AH423" i="7"/>
  <c r="H421" i="7"/>
  <c r="AI421" i="7" s="1"/>
  <c r="I421" i="7"/>
  <c r="AG421" i="7" s="1"/>
  <c r="N423" i="7"/>
  <c r="K422" i="7"/>
  <c r="G420" i="7"/>
  <c r="L422" i="7"/>
  <c r="J422" i="7"/>
  <c r="G419" i="28"/>
  <c r="H419" i="28" s="1"/>
  <c r="F418" i="28"/>
  <c r="G415" i="27"/>
  <c r="H415" i="27" s="1"/>
  <c r="J415" i="27" s="1"/>
  <c r="L415" i="27" s="1"/>
  <c r="F414" i="27"/>
  <c r="J418" i="13" l="1"/>
  <c r="I418" i="13"/>
  <c r="F416" i="13"/>
  <c r="H417" i="13"/>
  <c r="G417" i="13"/>
  <c r="AH422" i="7"/>
  <c r="G419" i="7"/>
  <c r="H420" i="7"/>
  <c r="AI420" i="7" s="1"/>
  <c r="I420" i="7"/>
  <c r="AG420" i="7" s="1"/>
  <c r="J421" i="7"/>
  <c r="L421" i="7"/>
  <c r="M422" i="7"/>
  <c r="N422" i="7" s="1"/>
  <c r="K421" i="7"/>
  <c r="F417" i="28"/>
  <c r="G418" i="28"/>
  <c r="H418" i="28" s="1"/>
  <c r="G414" i="27"/>
  <c r="H414" i="27" s="1"/>
  <c r="J414" i="27" s="1"/>
  <c r="L414" i="27" s="1"/>
  <c r="F413" i="27"/>
  <c r="J417" i="13" l="1"/>
  <c r="I417" i="13"/>
  <c r="F415" i="13"/>
  <c r="H416" i="13"/>
  <c r="G416" i="13"/>
  <c r="AH421" i="7"/>
  <c r="J420" i="7"/>
  <c r="L420" i="7"/>
  <c r="M421" i="7"/>
  <c r="N421" i="7" s="1"/>
  <c r="K420" i="7"/>
  <c r="G418" i="7"/>
  <c r="H419" i="7"/>
  <c r="AI419" i="7" s="1"/>
  <c r="I419" i="7"/>
  <c r="AG419" i="7" s="1"/>
  <c r="G417" i="28"/>
  <c r="H417" i="28" s="1"/>
  <c r="F416" i="28"/>
  <c r="G413" i="27"/>
  <c r="H413" i="27" s="1"/>
  <c r="J413" i="27" s="1"/>
  <c r="L413" i="27" s="1"/>
  <c r="F412" i="27"/>
  <c r="J416" i="13" l="1"/>
  <c r="I416" i="13"/>
  <c r="F414" i="13"/>
  <c r="H415" i="13"/>
  <c r="G415" i="13"/>
  <c r="AH420" i="7"/>
  <c r="H418" i="7"/>
  <c r="AI418" i="7" s="1"/>
  <c r="I418" i="7"/>
  <c r="AG418" i="7" s="1"/>
  <c r="J419" i="7"/>
  <c r="L419" i="7"/>
  <c r="K419" i="7"/>
  <c r="M420" i="7"/>
  <c r="N420" i="7" s="1"/>
  <c r="G417" i="7"/>
  <c r="G416" i="28"/>
  <c r="H416" i="28" s="1"/>
  <c r="F415" i="28"/>
  <c r="G412" i="27"/>
  <c r="H412" i="27" s="1"/>
  <c r="J412" i="27" s="1"/>
  <c r="L412" i="27" s="1"/>
  <c r="F411" i="27"/>
  <c r="J415" i="13" l="1"/>
  <c r="I415" i="13"/>
  <c r="F413" i="13"/>
  <c r="H414" i="13"/>
  <c r="G414" i="13"/>
  <c r="AH419" i="7"/>
  <c r="M419" i="7"/>
  <c r="N419" i="7" s="1"/>
  <c r="H417" i="7"/>
  <c r="AI417" i="7" s="1"/>
  <c r="I417" i="7"/>
  <c r="AG417" i="7" s="1"/>
  <c r="G416" i="7"/>
  <c r="J418" i="7"/>
  <c r="L418" i="7"/>
  <c r="M418" i="7" s="1"/>
  <c r="K418" i="7"/>
  <c r="G415" i="28"/>
  <c r="H415" i="28" s="1"/>
  <c r="F414" i="28"/>
  <c r="G411" i="27"/>
  <c r="H411" i="27" s="1"/>
  <c r="J411" i="27" s="1"/>
  <c r="L411" i="27" s="1"/>
  <c r="F410" i="27"/>
  <c r="J414" i="13" l="1"/>
  <c r="I414" i="13"/>
  <c r="F412" i="13"/>
  <c r="H413" i="13"/>
  <c r="G413" i="13"/>
  <c r="AH418" i="7"/>
  <c r="G415" i="7"/>
  <c r="H416" i="7"/>
  <c r="AI416" i="7" s="1"/>
  <c r="I416" i="7"/>
  <c r="AG416" i="7" s="1"/>
  <c r="J417" i="7"/>
  <c r="L417" i="7"/>
  <c r="N418" i="7"/>
  <c r="K417" i="7"/>
  <c r="G414" i="28"/>
  <c r="H414" i="28" s="1"/>
  <c r="F413" i="28"/>
  <c r="G410" i="27"/>
  <c r="H410" i="27" s="1"/>
  <c r="J410" i="27" s="1"/>
  <c r="L410" i="27" s="1"/>
  <c r="F409" i="27"/>
  <c r="J413" i="13" l="1"/>
  <c r="I413" i="13"/>
  <c r="F411" i="13"/>
  <c r="H412" i="13"/>
  <c r="G412" i="13"/>
  <c r="AH417" i="7"/>
  <c r="J416" i="7"/>
  <c r="L416" i="7"/>
  <c r="K416" i="7"/>
  <c r="M417" i="7"/>
  <c r="N417" i="7" s="1"/>
  <c r="H415" i="7"/>
  <c r="AI415" i="7" s="1"/>
  <c r="I415" i="7"/>
  <c r="AG415" i="7" s="1"/>
  <c r="G414" i="7"/>
  <c r="G413" i="28"/>
  <c r="H413" i="28" s="1"/>
  <c r="F412" i="28"/>
  <c r="G409" i="27"/>
  <c r="H409" i="27" s="1"/>
  <c r="J409" i="27" s="1"/>
  <c r="L409" i="27" s="1"/>
  <c r="F408" i="27"/>
  <c r="I412" i="13" l="1"/>
  <c r="J412" i="13"/>
  <c r="F410" i="13"/>
  <c r="H411" i="13"/>
  <c r="G411" i="13"/>
  <c r="AH416" i="7"/>
  <c r="K415" i="7"/>
  <c r="H414" i="7"/>
  <c r="AI414" i="7" s="1"/>
  <c r="I414" i="7"/>
  <c r="AG414" i="7" s="1"/>
  <c r="G413" i="7"/>
  <c r="M416" i="7"/>
  <c r="N416" i="7" s="1"/>
  <c r="J415" i="7"/>
  <c r="L415" i="7"/>
  <c r="G412" i="28"/>
  <c r="H412" i="28" s="1"/>
  <c r="F411" i="28"/>
  <c r="G408" i="27"/>
  <c r="H408" i="27" s="1"/>
  <c r="J408" i="27" s="1"/>
  <c r="L408" i="27" s="1"/>
  <c r="F407" i="27"/>
  <c r="I411" i="13" l="1"/>
  <c r="J411" i="13"/>
  <c r="F409" i="13"/>
  <c r="H410" i="13"/>
  <c r="G410" i="13"/>
  <c r="AH415" i="7"/>
  <c r="L414" i="7"/>
  <c r="J414" i="7"/>
  <c r="K414" i="7"/>
  <c r="M415" i="7"/>
  <c r="N415" i="7" s="1"/>
  <c r="I413" i="7"/>
  <c r="AG413" i="7" s="1"/>
  <c r="H413" i="7"/>
  <c r="AI413" i="7" s="1"/>
  <c r="G412" i="7"/>
  <c r="F410" i="28"/>
  <c r="G411" i="28"/>
  <c r="H411" i="28" s="1"/>
  <c r="G407" i="27"/>
  <c r="H407" i="27" s="1"/>
  <c r="J407" i="27" s="1"/>
  <c r="L407" i="27" s="1"/>
  <c r="F406" i="27"/>
  <c r="I410" i="13" l="1"/>
  <c r="J410" i="13"/>
  <c r="F408" i="13"/>
  <c r="H409" i="13"/>
  <c r="G409" i="13"/>
  <c r="AH414" i="7"/>
  <c r="K413" i="7"/>
  <c r="G411" i="7"/>
  <c r="L413" i="7"/>
  <c r="J413" i="7"/>
  <c r="I412" i="7"/>
  <c r="AG412" i="7" s="1"/>
  <c r="H412" i="7"/>
  <c r="AI412" i="7" s="1"/>
  <c r="M414" i="7"/>
  <c r="N414" i="7" s="1"/>
  <c r="G410" i="28"/>
  <c r="H410" i="28" s="1"/>
  <c r="F409" i="28"/>
  <c r="G406" i="27"/>
  <c r="H406" i="27" s="1"/>
  <c r="J406" i="27" s="1"/>
  <c r="L406" i="27" s="1"/>
  <c r="F405" i="27"/>
  <c r="J409" i="13" l="1"/>
  <c r="I409" i="13"/>
  <c r="F407" i="13"/>
  <c r="H408" i="13"/>
  <c r="G408" i="13"/>
  <c r="AH413" i="7"/>
  <c r="J412" i="7"/>
  <c r="L412" i="7"/>
  <c r="H411" i="7"/>
  <c r="AI411" i="7" s="1"/>
  <c r="I411" i="7"/>
  <c r="AG411" i="7" s="1"/>
  <c r="M413" i="7"/>
  <c r="N413" i="7" s="1"/>
  <c r="K412" i="7"/>
  <c r="G410" i="7"/>
  <c r="G409" i="28"/>
  <c r="H409" i="28" s="1"/>
  <c r="F408" i="28"/>
  <c r="G405" i="27"/>
  <c r="H405" i="27" s="1"/>
  <c r="J405" i="27" s="1"/>
  <c r="L405" i="27" s="1"/>
  <c r="F404" i="27"/>
  <c r="I408" i="13" l="1"/>
  <c r="J408" i="13"/>
  <c r="F406" i="13"/>
  <c r="H407" i="13"/>
  <c r="G407" i="13"/>
  <c r="AH412" i="7"/>
  <c r="L411" i="7"/>
  <c r="J411" i="7"/>
  <c r="G409" i="7"/>
  <c r="K411" i="7"/>
  <c r="I410" i="7"/>
  <c r="AG410" i="7" s="1"/>
  <c r="H410" i="7"/>
  <c r="AI410" i="7" s="1"/>
  <c r="M412" i="7"/>
  <c r="N412" i="7" s="1"/>
  <c r="F407" i="28"/>
  <c r="G408" i="28"/>
  <c r="H408" i="28" s="1"/>
  <c r="G404" i="27"/>
  <c r="H404" i="27" s="1"/>
  <c r="J404" i="27" s="1"/>
  <c r="L404" i="27" s="1"/>
  <c r="F403" i="27"/>
  <c r="J407" i="13" l="1"/>
  <c r="I407" i="13"/>
  <c r="F405" i="13"/>
  <c r="H406" i="13"/>
  <c r="G406" i="13"/>
  <c r="AH411" i="7"/>
  <c r="K410" i="7"/>
  <c r="G408" i="7"/>
  <c r="J410" i="7"/>
  <c r="L410" i="7"/>
  <c r="H409" i="7"/>
  <c r="AI409" i="7" s="1"/>
  <c r="I409" i="7"/>
  <c r="AG409" i="7" s="1"/>
  <c r="M411" i="7"/>
  <c r="N411" i="7" s="1"/>
  <c r="G407" i="28"/>
  <c r="H407" i="28" s="1"/>
  <c r="F406" i="28"/>
  <c r="G403" i="27"/>
  <c r="H403" i="27" s="1"/>
  <c r="J403" i="27" s="1"/>
  <c r="L403" i="27" s="1"/>
  <c r="F402" i="27"/>
  <c r="F404" i="13" l="1"/>
  <c r="H405" i="13"/>
  <c r="G405" i="13"/>
  <c r="I406" i="13"/>
  <c r="J406" i="13"/>
  <c r="AH410" i="7"/>
  <c r="J409" i="7"/>
  <c r="L409" i="7"/>
  <c r="G407" i="7"/>
  <c r="K409" i="7"/>
  <c r="H408" i="7"/>
  <c r="AI408" i="7" s="1"/>
  <c r="I408" i="7"/>
  <c r="AG408" i="7" s="1"/>
  <c r="M410" i="7"/>
  <c r="N410" i="7" s="1"/>
  <c r="G406" i="28"/>
  <c r="H406" i="28" s="1"/>
  <c r="F405" i="28"/>
  <c r="G402" i="27"/>
  <c r="H402" i="27" s="1"/>
  <c r="J402" i="27" s="1"/>
  <c r="L402" i="27" s="1"/>
  <c r="F401" i="27"/>
  <c r="I405" i="13" l="1"/>
  <c r="J405" i="13"/>
  <c r="F403" i="13"/>
  <c r="H404" i="13"/>
  <c r="G404" i="13"/>
  <c r="AH409" i="7"/>
  <c r="L408" i="7"/>
  <c r="J408" i="7"/>
  <c r="G406" i="7"/>
  <c r="K408" i="7"/>
  <c r="H407" i="7"/>
  <c r="AI407" i="7" s="1"/>
  <c r="I407" i="7"/>
  <c r="AG407" i="7" s="1"/>
  <c r="M409" i="7"/>
  <c r="N409" i="7" s="1"/>
  <c r="F404" i="28"/>
  <c r="G405" i="28"/>
  <c r="H405" i="28" s="1"/>
  <c r="G401" i="27"/>
  <c r="H401" i="27" s="1"/>
  <c r="J401" i="27" s="1"/>
  <c r="L401" i="27" s="1"/>
  <c r="F400" i="27"/>
  <c r="I404" i="13" l="1"/>
  <c r="J404" i="13"/>
  <c r="F402" i="13"/>
  <c r="H403" i="13"/>
  <c r="G403" i="13"/>
  <c r="AH408" i="7"/>
  <c r="G405" i="7"/>
  <c r="K407" i="7"/>
  <c r="H406" i="7"/>
  <c r="AI406" i="7" s="1"/>
  <c r="I406" i="7"/>
  <c r="AG406" i="7" s="1"/>
  <c r="L407" i="7"/>
  <c r="J407" i="7"/>
  <c r="M408" i="7"/>
  <c r="N408" i="7" s="1"/>
  <c r="F403" i="28"/>
  <c r="G404" i="28"/>
  <c r="H404" i="28" s="1"/>
  <c r="G400" i="27"/>
  <c r="H400" i="27" s="1"/>
  <c r="J400" i="27" s="1"/>
  <c r="L400" i="27" s="1"/>
  <c r="F399" i="27"/>
  <c r="F401" i="13" l="1"/>
  <c r="H402" i="13"/>
  <c r="G402" i="13"/>
  <c r="J403" i="13"/>
  <c r="I403" i="13"/>
  <c r="AH407" i="7"/>
  <c r="M407" i="7"/>
  <c r="N407" i="7" s="1"/>
  <c r="J406" i="7"/>
  <c r="L406" i="7"/>
  <c r="H405" i="7"/>
  <c r="AI405" i="7" s="1"/>
  <c r="I405" i="7"/>
  <c r="AG405" i="7" s="1"/>
  <c r="K406" i="7"/>
  <c r="G404" i="7"/>
  <c r="G403" i="28"/>
  <c r="H403" i="28" s="1"/>
  <c r="F402" i="28"/>
  <c r="G399" i="27"/>
  <c r="H399" i="27" s="1"/>
  <c r="J399" i="27" s="1"/>
  <c r="L399" i="27" s="1"/>
  <c r="F398" i="27"/>
  <c r="I402" i="13" l="1"/>
  <c r="J402" i="13"/>
  <c r="F400" i="13"/>
  <c r="H401" i="13"/>
  <c r="G401" i="13"/>
  <c r="AH406" i="7"/>
  <c r="G403" i="7"/>
  <c r="L405" i="7"/>
  <c r="J405" i="7"/>
  <c r="H404" i="7"/>
  <c r="AI404" i="7" s="1"/>
  <c r="I404" i="7"/>
  <c r="AG404" i="7" s="1"/>
  <c r="K405" i="7"/>
  <c r="M406" i="7"/>
  <c r="N406" i="7" s="1"/>
  <c r="G402" i="28"/>
  <c r="H402" i="28" s="1"/>
  <c r="F401" i="28"/>
  <c r="G398" i="27"/>
  <c r="H398" i="27" s="1"/>
  <c r="J398" i="27" s="1"/>
  <c r="L398" i="27" s="1"/>
  <c r="F397" i="27"/>
  <c r="I401" i="13" l="1"/>
  <c r="J401" i="13"/>
  <c r="F399" i="13"/>
  <c r="H400" i="13"/>
  <c r="G400" i="13"/>
  <c r="AH405" i="7"/>
  <c r="M405" i="7"/>
  <c r="N405" i="7" s="1"/>
  <c r="L404" i="7"/>
  <c r="J404" i="7"/>
  <c r="H403" i="7"/>
  <c r="AI403" i="7" s="1"/>
  <c r="I403" i="7"/>
  <c r="AG403" i="7" s="1"/>
  <c r="K404" i="7"/>
  <c r="G402" i="7"/>
  <c r="G401" i="28"/>
  <c r="H401" i="28" s="1"/>
  <c r="F400" i="28"/>
  <c r="G397" i="27"/>
  <c r="H397" i="27" s="1"/>
  <c r="J397" i="27" s="1"/>
  <c r="L397" i="27" s="1"/>
  <c r="F396" i="27"/>
  <c r="I400" i="13" l="1"/>
  <c r="J400" i="13"/>
  <c r="F398" i="13"/>
  <c r="H399" i="13"/>
  <c r="G399" i="13"/>
  <c r="AH404" i="7"/>
  <c r="M404" i="7"/>
  <c r="N404" i="7" s="1"/>
  <c r="G401" i="7"/>
  <c r="L403" i="7"/>
  <c r="J403" i="7"/>
  <c r="AH403" i="7" s="1"/>
  <c r="I402" i="7"/>
  <c r="AG402" i="7" s="1"/>
  <c r="H402" i="7"/>
  <c r="AI402" i="7" s="1"/>
  <c r="K403" i="7"/>
  <c r="G400" i="28"/>
  <c r="H400" i="28" s="1"/>
  <c r="F399" i="28"/>
  <c r="G396" i="27"/>
  <c r="H396" i="27" s="1"/>
  <c r="J396" i="27" s="1"/>
  <c r="L396" i="27" s="1"/>
  <c r="F395" i="27"/>
  <c r="F397" i="13" l="1"/>
  <c r="H398" i="13"/>
  <c r="G398" i="13"/>
  <c r="J399" i="13"/>
  <c r="I399" i="13"/>
  <c r="K402" i="7"/>
  <c r="G400" i="7"/>
  <c r="J402" i="7"/>
  <c r="L402" i="7"/>
  <c r="H401" i="7"/>
  <c r="AI401" i="7" s="1"/>
  <c r="I401" i="7"/>
  <c r="AG401" i="7" s="1"/>
  <c r="M403" i="7"/>
  <c r="N403" i="7" s="1"/>
  <c r="G399" i="28"/>
  <c r="H399" i="28" s="1"/>
  <c r="F398" i="28"/>
  <c r="G395" i="27"/>
  <c r="H395" i="27" s="1"/>
  <c r="J395" i="27" s="1"/>
  <c r="L395" i="27" s="1"/>
  <c r="F394" i="27"/>
  <c r="J398" i="13" l="1"/>
  <c r="I398" i="13"/>
  <c r="F396" i="13"/>
  <c r="H397" i="13"/>
  <c r="G397" i="13"/>
  <c r="AH402" i="7"/>
  <c r="J401" i="7"/>
  <c r="L401" i="7"/>
  <c r="H400" i="7"/>
  <c r="AI400" i="7" s="1"/>
  <c r="I400" i="7"/>
  <c r="AG400" i="7" s="1"/>
  <c r="K401" i="7"/>
  <c r="G399" i="7"/>
  <c r="M402" i="7"/>
  <c r="N402" i="7" s="1"/>
  <c r="G398" i="28"/>
  <c r="H398" i="28" s="1"/>
  <c r="F397" i="28"/>
  <c r="G394" i="27"/>
  <c r="H394" i="27" s="1"/>
  <c r="J394" i="27" s="1"/>
  <c r="L394" i="27" s="1"/>
  <c r="F393" i="27"/>
  <c r="F395" i="13" l="1"/>
  <c r="H396" i="13"/>
  <c r="G396" i="13"/>
  <c r="I397" i="13"/>
  <c r="J397" i="13"/>
  <c r="AH401" i="7"/>
  <c r="H399" i="7"/>
  <c r="I399" i="7"/>
  <c r="AG399" i="7" s="1"/>
  <c r="J400" i="7"/>
  <c r="L400" i="7"/>
  <c r="G398" i="7"/>
  <c r="K400" i="7"/>
  <c r="M401" i="7"/>
  <c r="N401" i="7" s="1"/>
  <c r="G397" i="28"/>
  <c r="H397" i="28" s="1"/>
  <c r="F396" i="28"/>
  <c r="G393" i="27"/>
  <c r="H393" i="27" s="1"/>
  <c r="J393" i="27" s="1"/>
  <c r="L393" i="27" s="1"/>
  <c r="F392" i="27"/>
  <c r="J396" i="13" l="1"/>
  <c r="I396" i="13"/>
  <c r="F394" i="13"/>
  <c r="H395" i="13"/>
  <c r="G395" i="13"/>
  <c r="K399" i="7"/>
  <c r="AI399" i="7"/>
  <c r="AH400" i="7"/>
  <c r="M400" i="7"/>
  <c r="N400" i="7" s="1"/>
  <c r="G397" i="7"/>
  <c r="J399" i="7"/>
  <c r="L399" i="7"/>
  <c r="H398" i="7"/>
  <c r="AI398" i="7" s="1"/>
  <c r="I398" i="7"/>
  <c r="AG398" i="7" s="1"/>
  <c r="F395" i="28"/>
  <c r="G396" i="28"/>
  <c r="H396" i="28" s="1"/>
  <c r="G392" i="27"/>
  <c r="H392" i="27" s="1"/>
  <c r="J392" i="27" s="1"/>
  <c r="L392" i="27" s="1"/>
  <c r="F391" i="27"/>
  <c r="F393" i="13" l="1"/>
  <c r="H394" i="13"/>
  <c r="G394" i="13"/>
  <c r="J395" i="13"/>
  <c r="I395" i="13"/>
  <c r="AH399" i="7"/>
  <c r="K398" i="7"/>
  <c r="G396" i="7"/>
  <c r="I397" i="7"/>
  <c r="AG397" i="7" s="1"/>
  <c r="H397" i="7"/>
  <c r="AI397" i="7" s="1"/>
  <c r="M399" i="7"/>
  <c r="N399" i="7" s="1"/>
  <c r="L398" i="7"/>
  <c r="J398" i="7"/>
  <c r="F394" i="28"/>
  <c r="G395" i="28"/>
  <c r="H395" i="28" s="1"/>
  <c r="G391" i="27"/>
  <c r="H391" i="27" s="1"/>
  <c r="J391" i="27" s="1"/>
  <c r="L391" i="27" s="1"/>
  <c r="F390" i="27"/>
  <c r="J394" i="13" l="1"/>
  <c r="I394" i="13"/>
  <c r="F392" i="13"/>
  <c r="H393" i="13"/>
  <c r="G393" i="13"/>
  <c r="AH398" i="7"/>
  <c r="G395" i="7"/>
  <c r="I396" i="7"/>
  <c r="AG396" i="7" s="1"/>
  <c r="H396" i="7"/>
  <c r="AI396" i="7" s="1"/>
  <c r="K397" i="7"/>
  <c r="M398" i="7"/>
  <c r="N398" i="7" s="1"/>
  <c r="J397" i="7"/>
  <c r="L397" i="7"/>
  <c r="F393" i="28"/>
  <c r="G394" i="28"/>
  <c r="H394" i="28" s="1"/>
  <c r="G390" i="27"/>
  <c r="H390" i="27" s="1"/>
  <c r="J390" i="27" s="1"/>
  <c r="L390" i="27" s="1"/>
  <c r="F389" i="27"/>
  <c r="J393" i="13" l="1"/>
  <c r="I393" i="13"/>
  <c r="F391" i="13"/>
  <c r="H392" i="13"/>
  <c r="G392" i="13"/>
  <c r="AH397" i="7"/>
  <c r="K396" i="7"/>
  <c r="M397" i="7"/>
  <c r="N397" i="7" s="1"/>
  <c r="J396" i="7"/>
  <c r="L396" i="7"/>
  <c r="G394" i="7"/>
  <c r="H395" i="7"/>
  <c r="AI395" i="7" s="1"/>
  <c r="I395" i="7"/>
  <c r="AG395" i="7" s="1"/>
  <c r="G393" i="28"/>
  <c r="H393" i="28" s="1"/>
  <c r="F392" i="28"/>
  <c r="G389" i="27"/>
  <c r="H389" i="27" s="1"/>
  <c r="J389" i="27" s="1"/>
  <c r="L389" i="27" s="1"/>
  <c r="F388" i="27"/>
  <c r="I392" i="13" l="1"/>
  <c r="J392" i="13"/>
  <c r="F390" i="13"/>
  <c r="H391" i="13"/>
  <c r="G391" i="13"/>
  <c r="AH396" i="7"/>
  <c r="H394" i="7"/>
  <c r="AI394" i="7" s="1"/>
  <c r="I394" i="7"/>
  <c r="AG394" i="7" s="1"/>
  <c r="L395" i="7"/>
  <c r="M395" i="7" s="1"/>
  <c r="J395" i="7"/>
  <c r="K395" i="7"/>
  <c r="M396" i="7"/>
  <c r="N396" i="7" s="1"/>
  <c r="G393" i="7"/>
  <c r="G392" i="28"/>
  <c r="H392" i="28" s="1"/>
  <c r="F391" i="28"/>
  <c r="G388" i="27"/>
  <c r="H388" i="27" s="1"/>
  <c r="J388" i="27" s="1"/>
  <c r="L388" i="27" s="1"/>
  <c r="F387" i="27"/>
  <c r="I391" i="13" l="1"/>
  <c r="J391" i="13"/>
  <c r="F389" i="13"/>
  <c r="H390" i="13"/>
  <c r="G390" i="13"/>
  <c r="AH395" i="7"/>
  <c r="H393" i="7"/>
  <c r="AI393" i="7" s="1"/>
  <c r="I393" i="7"/>
  <c r="AG393" i="7" s="1"/>
  <c r="N395" i="7"/>
  <c r="G392" i="7"/>
  <c r="L394" i="7"/>
  <c r="J394" i="7"/>
  <c r="K394" i="7"/>
  <c r="F390" i="28"/>
  <c r="G391" i="28"/>
  <c r="H391" i="28" s="1"/>
  <c r="G387" i="27"/>
  <c r="H387" i="27" s="1"/>
  <c r="J387" i="27" s="1"/>
  <c r="L387" i="27" s="1"/>
  <c r="F386" i="27"/>
  <c r="I390" i="13" l="1"/>
  <c r="J390" i="13"/>
  <c r="F388" i="13"/>
  <c r="H389" i="13"/>
  <c r="G389" i="13"/>
  <c r="AH394" i="7"/>
  <c r="G391" i="7"/>
  <c r="M394" i="7"/>
  <c r="N394" i="7" s="1"/>
  <c r="J393" i="7"/>
  <c r="L393" i="7"/>
  <c r="I392" i="7"/>
  <c r="AG392" i="7" s="1"/>
  <c r="H392" i="7"/>
  <c r="K393" i="7"/>
  <c r="G390" i="28"/>
  <c r="H390" i="28" s="1"/>
  <c r="F389" i="28"/>
  <c r="G386" i="27"/>
  <c r="H386" i="27" s="1"/>
  <c r="J386" i="27" s="1"/>
  <c r="L386" i="27" s="1"/>
  <c r="F385" i="27"/>
  <c r="I389" i="13" l="1"/>
  <c r="J389" i="13"/>
  <c r="F387" i="13"/>
  <c r="H388" i="13"/>
  <c r="G388" i="13"/>
  <c r="K392" i="7"/>
  <c r="AI392" i="7"/>
  <c r="AH393" i="7"/>
  <c r="J392" i="7"/>
  <c r="L392" i="7"/>
  <c r="M393" i="7"/>
  <c r="N393" i="7" s="1"/>
  <c r="I391" i="7"/>
  <c r="AG391" i="7" s="1"/>
  <c r="H391" i="7"/>
  <c r="G390" i="7"/>
  <c r="G389" i="28"/>
  <c r="H389" i="28" s="1"/>
  <c r="F388" i="28"/>
  <c r="G385" i="27"/>
  <c r="H385" i="27" s="1"/>
  <c r="J385" i="27" s="1"/>
  <c r="L385" i="27" s="1"/>
  <c r="F384" i="27"/>
  <c r="I388" i="13" l="1"/>
  <c r="J388" i="13"/>
  <c r="F386" i="13"/>
  <c r="H387" i="13"/>
  <c r="G387" i="13"/>
  <c r="K391" i="7"/>
  <c r="AI391" i="7"/>
  <c r="AH392" i="7"/>
  <c r="G389" i="7"/>
  <c r="L391" i="7"/>
  <c r="J391" i="7"/>
  <c r="M392" i="7"/>
  <c r="N392" i="7" s="1"/>
  <c r="H390" i="7"/>
  <c r="I390" i="7"/>
  <c r="AG390" i="7" s="1"/>
  <c r="F387" i="28"/>
  <c r="G388" i="28"/>
  <c r="H388" i="28" s="1"/>
  <c r="G384" i="27"/>
  <c r="H384" i="27" s="1"/>
  <c r="J384" i="27" s="1"/>
  <c r="L384" i="27" s="1"/>
  <c r="F383" i="27"/>
  <c r="J387" i="13" l="1"/>
  <c r="I387" i="13"/>
  <c r="F385" i="13"/>
  <c r="H386" i="13"/>
  <c r="G386" i="13"/>
  <c r="AH391" i="7"/>
  <c r="K390" i="7"/>
  <c r="AI390" i="7"/>
  <c r="L390" i="7"/>
  <c r="J390" i="7"/>
  <c r="M391" i="7"/>
  <c r="N391" i="7" s="1"/>
  <c r="G388" i="7"/>
  <c r="H389" i="7"/>
  <c r="AI389" i="7" s="1"/>
  <c r="I389" i="7"/>
  <c r="AG389" i="7" s="1"/>
  <c r="G387" i="28"/>
  <c r="H387" i="28" s="1"/>
  <c r="F386" i="28"/>
  <c r="G383" i="27"/>
  <c r="H383" i="27" s="1"/>
  <c r="J383" i="27" s="1"/>
  <c r="L383" i="27" s="1"/>
  <c r="F382" i="27"/>
  <c r="J386" i="13" l="1"/>
  <c r="I386" i="13"/>
  <c r="F384" i="13"/>
  <c r="H385" i="13"/>
  <c r="G385" i="13"/>
  <c r="AH390" i="7"/>
  <c r="G387" i="7"/>
  <c r="I388" i="7"/>
  <c r="AG388" i="7" s="1"/>
  <c r="H388" i="7"/>
  <c r="AI388" i="7" s="1"/>
  <c r="J389" i="7"/>
  <c r="L389" i="7"/>
  <c r="K389" i="7"/>
  <c r="M390" i="7"/>
  <c r="N390" i="7" s="1"/>
  <c r="G386" i="28"/>
  <c r="H386" i="28" s="1"/>
  <c r="F385" i="28"/>
  <c r="G382" i="27"/>
  <c r="H382" i="27" s="1"/>
  <c r="J382" i="27" s="1"/>
  <c r="L382" i="27" s="1"/>
  <c r="F381" i="27"/>
  <c r="J385" i="13" l="1"/>
  <c r="I385" i="13"/>
  <c r="F383" i="13"/>
  <c r="H384" i="13"/>
  <c r="G384" i="13"/>
  <c r="AH389" i="7"/>
  <c r="K388" i="7"/>
  <c r="J388" i="7"/>
  <c r="L388" i="7"/>
  <c r="M389" i="7"/>
  <c r="N389" i="7" s="1"/>
  <c r="G386" i="7"/>
  <c r="H387" i="7"/>
  <c r="AI387" i="7" s="1"/>
  <c r="I387" i="7"/>
  <c r="AG387" i="7" s="1"/>
  <c r="G385" i="28"/>
  <c r="H385" i="28" s="1"/>
  <c r="F384" i="28"/>
  <c r="G381" i="27"/>
  <c r="H381" i="27" s="1"/>
  <c r="J381" i="27" s="1"/>
  <c r="L381" i="27" s="1"/>
  <c r="F380" i="27"/>
  <c r="I384" i="13" l="1"/>
  <c r="J384" i="13"/>
  <c r="F382" i="13"/>
  <c r="H383" i="13"/>
  <c r="G383" i="13"/>
  <c r="AH388" i="7"/>
  <c r="I386" i="7"/>
  <c r="AG386" i="7" s="1"/>
  <c r="H386" i="7"/>
  <c r="AI386" i="7" s="1"/>
  <c r="L387" i="7"/>
  <c r="J387" i="7"/>
  <c r="K387" i="7"/>
  <c r="G385" i="7"/>
  <c r="M388" i="7"/>
  <c r="N388" i="7" s="1"/>
  <c r="G384" i="28"/>
  <c r="H384" i="28" s="1"/>
  <c r="F383" i="28"/>
  <c r="G380" i="27"/>
  <c r="H380" i="27" s="1"/>
  <c r="J380" i="27" s="1"/>
  <c r="L380" i="27" s="1"/>
  <c r="F379" i="27"/>
  <c r="I383" i="13" l="1"/>
  <c r="J383" i="13"/>
  <c r="F381" i="13"/>
  <c r="H382" i="13"/>
  <c r="G382" i="13"/>
  <c r="AH387" i="7"/>
  <c r="I385" i="7"/>
  <c r="AG385" i="7" s="1"/>
  <c r="H385" i="7"/>
  <c r="AI385" i="7" s="1"/>
  <c r="M387" i="7"/>
  <c r="N387" i="7" s="1"/>
  <c r="K386" i="7"/>
  <c r="G384" i="7"/>
  <c r="L386" i="7"/>
  <c r="J386" i="7"/>
  <c r="G383" i="28"/>
  <c r="H383" i="28" s="1"/>
  <c r="F382" i="28"/>
  <c r="G379" i="27"/>
  <c r="H379" i="27" s="1"/>
  <c r="J379" i="27" s="1"/>
  <c r="L379" i="27" s="1"/>
  <c r="F378" i="27"/>
  <c r="I382" i="13" l="1"/>
  <c r="J382" i="13"/>
  <c r="F380" i="13"/>
  <c r="H381" i="13"/>
  <c r="G381" i="13"/>
  <c r="AH386" i="7"/>
  <c r="G383" i="7"/>
  <c r="I384" i="7"/>
  <c r="AG384" i="7" s="1"/>
  <c r="H384" i="7"/>
  <c r="AI384" i="7" s="1"/>
  <c r="K385" i="7"/>
  <c r="M386" i="7"/>
  <c r="N386" i="7" s="1"/>
  <c r="L385" i="7"/>
  <c r="J385" i="7"/>
  <c r="G382" i="28"/>
  <c r="H382" i="28" s="1"/>
  <c r="F381" i="28"/>
  <c r="G378" i="27"/>
  <c r="H378" i="27" s="1"/>
  <c r="J378" i="27" s="1"/>
  <c r="L378" i="27" s="1"/>
  <c r="F377" i="27"/>
  <c r="J381" i="13" l="1"/>
  <c r="I381" i="13"/>
  <c r="F379" i="13"/>
  <c r="H380" i="13"/>
  <c r="G380" i="13"/>
  <c r="AH385" i="7"/>
  <c r="K384" i="7"/>
  <c r="J384" i="7"/>
  <c r="L384" i="7"/>
  <c r="M385" i="7"/>
  <c r="N385" i="7" s="1"/>
  <c r="G382" i="7"/>
  <c r="I383" i="7"/>
  <c r="AG383" i="7" s="1"/>
  <c r="H383" i="7"/>
  <c r="AI383" i="7" s="1"/>
  <c r="G381" i="28"/>
  <c r="H381" i="28" s="1"/>
  <c r="F380" i="28"/>
  <c r="G377" i="27"/>
  <c r="H377" i="27" s="1"/>
  <c r="J377" i="27" s="1"/>
  <c r="L377" i="27" s="1"/>
  <c r="F376" i="27"/>
  <c r="J380" i="13" l="1"/>
  <c r="I380" i="13"/>
  <c r="F378" i="13"/>
  <c r="H379" i="13"/>
  <c r="G379" i="13"/>
  <c r="AH384" i="7"/>
  <c r="H382" i="7"/>
  <c r="AI382" i="7" s="1"/>
  <c r="I382" i="7"/>
  <c r="AG382" i="7" s="1"/>
  <c r="K383" i="7"/>
  <c r="L383" i="7"/>
  <c r="J383" i="7"/>
  <c r="AH383" i="7" s="1"/>
  <c r="G381" i="7"/>
  <c r="M384" i="7"/>
  <c r="N384" i="7" s="1"/>
  <c r="F379" i="28"/>
  <c r="G380" i="28"/>
  <c r="H380" i="28" s="1"/>
  <c r="G376" i="27"/>
  <c r="H376" i="27" s="1"/>
  <c r="J376" i="27" s="1"/>
  <c r="L376" i="27" s="1"/>
  <c r="F375" i="27"/>
  <c r="I379" i="13" l="1"/>
  <c r="J379" i="13"/>
  <c r="F377" i="13"/>
  <c r="H378" i="13"/>
  <c r="G378" i="13"/>
  <c r="G380" i="7"/>
  <c r="M383" i="7"/>
  <c r="N383" i="7" s="1"/>
  <c r="L382" i="7"/>
  <c r="J382" i="7"/>
  <c r="AH382" i="7" s="1"/>
  <c r="I381" i="7"/>
  <c r="AG381" i="7" s="1"/>
  <c r="H381" i="7"/>
  <c r="AI381" i="7" s="1"/>
  <c r="K382" i="7"/>
  <c r="F378" i="28"/>
  <c r="G379" i="28"/>
  <c r="H379" i="28" s="1"/>
  <c r="G375" i="27"/>
  <c r="H375" i="27" s="1"/>
  <c r="J375" i="27" s="1"/>
  <c r="L375" i="27" s="1"/>
  <c r="F374" i="27"/>
  <c r="J378" i="13" l="1"/>
  <c r="I378" i="13"/>
  <c r="F376" i="13"/>
  <c r="H377" i="13"/>
  <c r="G377" i="13"/>
  <c r="G379" i="7"/>
  <c r="M382" i="7"/>
  <c r="N382" i="7" s="1"/>
  <c r="H380" i="7"/>
  <c r="AI380" i="7" s="1"/>
  <c r="I380" i="7"/>
  <c r="AG380" i="7" s="1"/>
  <c r="K381" i="7"/>
  <c r="J381" i="7"/>
  <c r="L381" i="7"/>
  <c r="G378" i="28"/>
  <c r="H378" i="28" s="1"/>
  <c r="F377" i="28"/>
  <c r="G374" i="27"/>
  <c r="H374" i="27" s="1"/>
  <c r="J374" i="27" s="1"/>
  <c r="L374" i="27" s="1"/>
  <c r="F373" i="27"/>
  <c r="J377" i="13" l="1"/>
  <c r="I377" i="13"/>
  <c r="F375" i="13"/>
  <c r="H376" i="13"/>
  <c r="G376" i="13"/>
  <c r="AH381" i="7"/>
  <c r="M381" i="7"/>
  <c r="N381" i="7" s="1"/>
  <c r="J380" i="7"/>
  <c r="L380" i="7"/>
  <c r="G378" i="7"/>
  <c r="K380" i="7"/>
  <c r="H379" i="7"/>
  <c r="AI379" i="7" s="1"/>
  <c r="I379" i="7"/>
  <c r="AG379" i="7" s="1"/>
  <c r="F376" i="28"/>
  <c r="G377" i="28"/>
  <c r="H377" i="28" s="1"/>
  <c r="G373" i="27"/>
  <c r="H373" i="27" s="1"/>
  <c r="J373" i="27" s="1"/>
  <c r="L373" i="27" s="1"/>
  <c r="F372" i="27"/>
  <c r="J376" i="13" l="1"/>
  <c r="I376" i="13"/>
  <c r="F374" i="13"/>
  <c r="H375" i="13"/>
  <c r="G375" i="13"/>
  <c r="AH380" i="7"/>
  <c r="L379" i="7"/>
  <c r="J379" i="7"/>
  <c r="G377" i="7"/>
  <c r="K379" i="7"/>
  <c r="H378" i="7"/>
  <c r="AI378" i="7" s="1"/>
  <c r="I378" i="7"/>
  <c r="AG378" i="7" s="1"/>
  <c r="M380" i="7"/>
  <c r="N380" i="7" s="1"/>
  <c r="G376" i="28"/>
  <c r="H376" i="28" s="1"/>
  <c r="F375" i="28"/>
  <c r="G372" i="27"/>
  <c r="H372" i="27" s="1"/>
  <c r="J372" i="27" s="1"/>
  <c r="L372" i="27" s="1"/>
  <c r="F371" i="27"/>
  <c r="I375" i="13" l="1"/>
  <c r="J375" i="13"/>
  <c r="F373" i="13"/>
  <c r="H374" i="13"/>
  <c r="G374" i="13"/>
  <c r="AH379" i="7"/>
  <c r="L378" i="7"/>
  <c r="M378" i="7" s="1"/>
  <c r="J378" i="7"/>
  <c r="AH378" i="7" s="1"/>
  <c r="G376" i="7"/>
  <c r="K378" i="7"/>
  <c r="H377" i="7"/>
  <c r="AI377" i="7" s="1"/>
  <c r="I377" i="7"/>
  <c r="AG377" i="7" s="1"/>
  <c r="M379" i="7"/>
  <c r="N379" i="7" s="1"/>
  <c r="G375" i="28"/>
  <c r="H375" i="28" s="1"/>
  <c r="F374" i="28"/>
  <c r="G371" i="27"/>
  <c r="H371" i="27" s="1"/>
  <c r="J371" i="27" s="1"/>
  <c r="L371" i="27" s="1"/>
  <c r="F370" i="27"/>
  <c r="F372" i="13" l="1"/>
  <c r="H373" i="13"/>
  <c r="G373" i="13"/>
  <c r="J374" i="13"/>
  <c r="I374" i="13"/>
  <c r="K377" i="7"/>
  <c r="G375" i="7"/>
  <c r="H376" i="7"/>
  <c r="AI376" i="7" s="1"/>
  <c r="I376" i="7"/>
  <c r="AG376" i="7" s="1"/>
  <c r="N378" i="7"/>
  <c r="J377" i="7"/>
  <c r="L377" i="7"/>
  <c r="G374" i="28"/>
  <c r="H374" i="28" s="1"/>
  <c r="F373" i="28"/>
  <c r="G370" i="27"/>
  <c r="H370" i="27" s="1"/>
  <c r="J370" i="27" s="1"/>
  <c r="L370" i="27" s="1"/>
  <c r="F369" i="27"/>
  <c r="J373" i="13" l="1"/>
  <c r="I373" i="13"/>
  <c r="F371" i="13"/>
  <c r="H372" i="13"/>
  <c r="G372" i="13"/>
  <c r="AH377" i="7"/>
  <c r="G374" i="7"/>
  <c r="I375" i="7"/>
  <c r="AG375" i="7" s="1"/>
  <c r="H375" i="7"/>
  <c r="AI375" i="7" s="1"/>
  <c r="J376" i="7"/>
  <c r="L376" i="7"/>
  <c r="M376" i="7" s="1"/>
  <c r="M377" i="7"/>
  <c r="N377" i="7" s="1"/>
  <c r="K376" i="7"/>
  <c r="G373" i="28"/>
  <c r="H373" i="28" s="1"/>
  <c r="F372" i="28"/>
  <c r="G369" i="27"/>
  <c r="H369" i="27" s="1"/>
  <c r="J369" i="27" s="1"/>
  <c r="L369" i="27" s="1"/>
  <c r="F368" i="27"/>
  <c r="F370" i="13" l="1"/>
  <c r="H371" i="13"/>
  <c r="G371" i="13"/>
  <c r="I372" i="13"/>
  <c r="J372" i="13"/>
  <c r="AH376" i="7"/>
  <c r="K375" i="7"/>
  <c r="J375" i="7"/>
  <c r="L375" i="7"/>
  <c r="H374" i="7"/>
  <c r="AI374" i="7" s="1"/>
  <c r="I374" i="7"/>
  <c r="AG374" i="7" s="1"/>
  <c r="N376" i="7"/>
  <c r="G373" i="7"/>
  <c r="F371" i="28"/>
  <c r="G372" i="28"/>
  <c r="H372" i="28" s="1"/>
  <c r="G368" i="27"/>
  <c r="H368" i="27" s="1"/>
  <c r="J368" i="27" s="1"/>
  <c r="L368" i="27" s="1"/>
  <c r="F367" i="27"/>
  <c r="I371" i="13" l="1"/>
  <c r="J371" i="13"/>
  <c r="F369" i="13"/>
  <c r="H370" i="13"/>
  <c r="G370" i="13"/>
  <c r="AH375" i="7"/>
  <c r="H373" i="7"/>
  <c r="AI373" i="7" s="1"/>
  <c r="I373" i="7"/>
  <c r="AG373" i="7" s="1"/>
  <c r="M375" i="7"/>
  <c r="N375" i="7" s="1"/>
  <c r="L374" i="7"/>
  <c r="J374" i="7"/>
  <c r="G372" i="7"/>
  <c r="K374" i="7"/>
  <c r="G371" i="28"/>
  <c r="H371" i="28" s="1"/>
  <c r="F370" i="28"/>
  <c r="G367" i="27"/>
  <c r="H367" i="27" s="1"/>
  <c r="J367" i="27" s="1"/>
  <c r="L367" i="27" s="1"/>
  <c r="F366" i="27"/>
  <c r="J370" i="13" l="1"/>
  <c r="I370" i="13"/>
  <c r="F368" i="13"/>
  <c r="H369" i="13"/>
  <c r="G369" i="13"/>
  <c r="AH374" i="7"/>
  <c r="H372" i="7"/>
  <c r="I372" i="7"/>
  <c r="AG372" i="7" s="1"/>
  <c r="J373" i="7"/>
  <c r="L373" i="7"/>
  <c r="G371" i="7"/>
  <c r="M374" i="7"/>
  <c r="N374" i="7" s="1"/>
  <c r="K373" i="7"/>
  <c r="F369" i="28"/>
  <c r="G370" i="28"/>
  <c r="H370" i="28" s="1"/>
  <c r="G366" i="27"/>
  <c r="H366" i="27" s="1"/>
  <c r="J366" i="27" s="1"/>
  <c r="L366" i="27" s="1"/>
  <c r="F365" i="27"/>
  <c r="J369" i="13" l="1"/>
  <c r="I369" i="13"/>
  <c r="F367" i="13"/>
  <c r="H368" i="13"/>
  <c r="G368" i="13"/>
  <c r="K372" i="7"/>
  <c r="AI372" i="7"/>
  <c r="AH373" i="7"/>
  <c r="M373" i="7"/>
  <c r="N373" i="7" s="1"/>
  <c r="G370" i="7"/>
  <c r="L372" i="7"/>
  <c r="J372" i="7"/>
  <c r="I371" i="7"/>
  <c r="AG371" i="7" s="1"/>
  <c r="H371" i="7"/>
  <c r="AI371" i="7" s="1"/>
  <c r="F368" i="28"/>
  <c r="G369" i="28"/>
  <c r="H369" i="28" s="1"/>
  <c r="G365" i="27"/>
  <c r="H365" i="27" s="1"/>
  <c r="J365" i="27" s="1"/>
  <c r="L365" i="27" s="1"/>
  <c r="F364" i="27"/>
  <c r="I368" i="13" l="1"/>
  <c r="J368" i="13"/>
  <c r="F366" i="13"/>
  <c r="H367" i="13"/>
  <c r="G367" i="13"/>
  <c r="AH372" i="7"/>
  <c r="K371" i="7"/>
  <c r="H370" i="7"/>
  <c r="AI370" i="7" s="1"/>
  <c r="I370" i="7"/>
  <c r="AG370" i="7" s="1"/>
  <c r="J371" i="7"/>
  <c r="L371" i="7"/>
  <c r="G369" i="7"/>
  <c r="M372" i="7"/>
  <c r="N372" i="7" s="1"/>
  <c r="G368" i="28"/>
  <c r="H368" i="28" s="1"/>
  <c r="F367" i="28"/>
  <c r="G364" i="27"/>
  <c r="H364" i="27" s="1"/>
  <c r="J364" i="27" s="1"/>
  <c r="L364" i="27" s="1"/>
  <c r="F363" i="27"/>
  <c r="J367" i="13" l="1"/>
  <c r="I367" i="13"/>
  <c r="F365" i="13"/>
  <c r="H366" i="13"/>
  <c r="G366" i="13"/>
  <c r="AH371" i="7"/>
  <c r="G368" i="7"/>
  <c r="L370" i="7"/>
  <c r="J370" i="7"/>
  <c r="H369" i="7"/>
  <c r="AI369" i="7" s="1"/>
  <c r="I369" i="7"/>
  <c r="AG369" i="7" s="1"/>
  <c r="K370" i="7"/>
  <c r="M371" i="7"/>
  <c r="N371" i="7" s="1"/>
  <c r="G367" i="28"/>
  <c r="H367" i="28" s="1"/>
  <c r="F366" i="28"/>
  <c r="G363" i="27"/>
  <c r="H363" i="27" s="1"/>
  <c r="J363" i="27" s="1"/>
  <c r="L363" i="27" s="1"/>
  <c r="F362" i="27"/>
  <c r="I366" i="13" l="1"/>
  <c r="J366" i="13"/>
  <c r="F364" i="13"/>
  <c r="H365" i="13"/>
  <c r="G365" i="13"/>
  <c r="AH370" i="7"/>
  <c r="M370" i="7"/>
  <c r="N370" i="7" s="1"/>
  <c r="L369" i="7"/>
  <c r="J369" i="7"/>
  <c r="I368" i="7"/>
  <c r="AG368" i="7" s="1"/>
  <c r="H368" i="7"/>
  <c r="AI368" i="7" s="1"/>
  <c r="K369" i="7"/>
  <c r="G367" i="7"/>
  <c r="F365" i="28"/>
  <c r="G366" i="28"/>
  <c r="H366" i="28" s="1"/>
  <c r="G362" i="27"/>
  <c r="H362" i="27" s="1"/>
  <c r="J362" i="27" s="1"/>
  <c r="L362" i="27" s="1"/>
  <c r="F361" i="27"/>
  <c r="J365" i="13" l="1"/>
  <c r="I365" i="13"/>
  <c r="F363" i="13"/>
  <c r="H364" i="13"/>
  <c r="G364" i="13"/>
  <c r="AH369" i="7"/>
  <c r="M369" i="7"/>
  <c r="N369" i="7" s="1"/>
  <c r="G366" i="7"/>
  <c r="K368" i="7"/>
  <c r="H367" i="7"/>
  <c r="AI367" i="7" s="1"/>
  <c r="I367" i="7"/>
  <c r="AG367" i="7" s="1"/>
  <c r="L368" i="7"/>
  <c r="J368" i="7"/>
  <c r="F364" i="28"/>
  <c r="G365" i="28"/>
  <c r="H365" i="28" s="1"/>
  <c r="G361" i="27"/>
  <c r="H361" i="27" s="1"/>
  <c r="J361" i="27" s="1"/>
  <c r="L361" i="27" s="1"/>
  <c r="F360" i="27"/>
  <c r="I364" i="13" l="1"/>
  <c r="J364" i="13"/>
  <c r="F362" i="13"/>
  <c r="H363" i="13"/>
  <c r="G363" i="13"/>
  <c r="AH368" i="7"/>
  <c r="L367" i="7"/>
  <c r="J367" i="7"/>
  <c r="G365" i="7"/>
  <c r="K367" i="7"/>
  <c r="H366" i="7"/>
  <c r="AI366" i="7" s="1"/>
  <c r="I366" i="7"/>
  <c r="AG366" i="7" s="1"/>
  <c r="M368" i="7"/>
  <c r="N368" i="7" s="1"/>
  <c r="F363" i="28"/>
  <c r="G364" i="28"/>
  <c r="H364" i="28" s="1"/>
  <c r="G360" i="27"/>
  <c r="H360" i="27" s="1"/>
  <c r="J360" i="27" s="1"/>
  <c r="L360" i="27" s="1"/>
  <c r="F359" i="27"/>
  <c r="J363" i="13" l="1"/>
  <c r="I363" i="13"/>
  <c r="F361" i="13"/>
  <c r="H362" i="13"/>
  <c r="G362" i="13"/>
  <c r="AH367" i="7"/>
  <c r="J366" i="7"/>
  <c r="L366" i="7"/>
  <c r="G364" i="7"/>
  <c r="K366" i="7"/>
  <c r="H365" i="7"/>
  <c r="AI365" i="7" s="1"/>
  <c r="I365" i="7"/>
  <c r="AG365" i="7" s="1"/>
  <c r="M367" i="7"/>
  <c r="N367" i="7" s="1"/>
  <c r="G363" i="28"/>
  <c r="H363" i="28" s="1"/>
  <c r="F362" i="28"/>
  <c r="G359" i="27"/>
  <c r="H359" i="27" s="1"/>
  <c r="J359" i="27" s="1"/>
  <c r="L359" i="27" s="1"/>
  <c r="F358" i="27"/>
  <c r="I362" i="13" l="1"/>
  <c r="J362" i="13"/>
  <c r="F360" i="13"/>
  <c r="H361" i="13"/>
  <c r="G361" i="13"/>
  <c r="AH366" i="7"/>
  <c r="L365" i="7"/>
  <c r="J365" i="7"/>
  <c r="G363" i="7"/>
  <c r="K365" i="7"/>
  <c r="H364" i="7"/>
  <c r="AI364" i="7" s="1"/>
  <c r="I364" i="7"/>
  <c r="AG364" i="7" s="1"/>
  <c r="M366" i="7"/>
  <c r="N366" i="7" s="1"/>
  <c r="G362" i="28"/>
  <c r="H362" i="28" s="1"/>
  <c r="F361" i="28"/>
  <c r="G358" i="27"/>
  <c r="H358" i="27" s="1"/>
  <c r="J358" i="27" s="1"/>
  <c r="L358" i="27" s="1"/>
  <c r="F357" i="27"/>
  <c r="I361" i="13" l="1"/>
  <c r="J361" i="13"/>
  <c r="F359" i="13"/>
  <c r="H360" i="13"/>
  <c r="G360" i="13"/>
  <c r="AH365" i="7"/>
  <c r="L364" i="7"/>
  <c r="J364" i="7"/>
  <c r="G362" i="7"/>
  <c r="K364" i="7"/>
  <c r="H363" i="7"/>
  <c r="AI363" i="7" s="1"/>
  <c r="I363" i="7"/>
  <c r="AG363" i="7" s="1"/>
  <c r="M365" i="7"/>
  <c r="N365" i="7" s="1"/>
  <c r="G361" i="28"/>
  <c r="H361" i="28" s="1"/>
  <c r="F360" i="28"/>
  <c r="G357" i="27"/>
  <c r="H357" i="27" s="1"/>
  <c r="J357" i="27" s="1"/>
  <c r="L357" i="27" s="1"/>
  <c r="F356" i="27"/>
  <c r="I360" i="13" l="1"/>
  <c r="J360" i="13"/>
  <c r="F358" i="13"/>
  <c r="H359" i="13"/>
  <c r="G359" i="13"/>
  <c r="AH364" i="7"/>
  <c r="J363" i="7"/>
  <c r="L363" i="7"/>
  <c r="G361" i="7"/>
  <c r="K363" i="7"/>
  <c r="H362" i="7"/>
  <c r="AI362" i="7" s="1"/>
  <c r="I362" i="7"/>
  <c r="AG362" i="7" s="1"/>
  <c r="M364" i="7"/>
  <c r="N364" i="7" s="1"/>
  <c r="F359" i="28"/>
  <c r="G360" i="28"/>
  <c r="H360" i="28" s="1"/>
  <c r="G356" i="27"/>
  <c r="H356" i="27" s="1"/>
  <c r="J356" i="27" s="1"/>
  <c r="L356" i="27" s="1"/>
  <c r="F355" i="27"/>
  <c r="I359" i="13" l="1"/>
  <c r="J359" i="13"/>
  <c r="F357" i="13"/>
  <c r="H358" i="13"/>
  <c r="G358" i="13"/>
  <c r="AH363" i="7"/>
  <c r="K362" i="7"/>
  <c r="G360" i="7"/>
  <c r="H361" i="7"/>
  <c r="AI361" i="7" s="1"/>
  <c r="I361" i="7"/>
  <c r="AG361" i="7" s="1"/>
  <c r="M363" i="7"/>
  <c r="N363" i="7" s="1"/>
  <c r="L362" i="7"/>
  <c r="J362" i="7"/>
  <c r="G359" i="28"/>
  <c r="H359" i="28" s="1"/>
  <c r="F358" i="28"/>
  <c r="G355" i="27"/>
  <c r="H355" i="27" s="1"/>
  <c r="J355" i="27" s="1"/>
  <c r="L355" i="27" s="1"/>
  <c r="F354" i="27"/>
  <c r="I358" i="13" l="1"/>
  <c r="J358" i="13"/>
  <c r="F356" i="13"/>
  <c r="H357" i="13"/>
  <c r="G357" i="13"/>
  <c r="AH362" i="7"/>
  <c r="H360" i="7"/>
  <c r="AI360" i="7" s="1"/>
  <c r="I360" i="7"/>
  <c r="AG360" i="7" s="1"/>
  <c r="G359" i="7"/>
  <c r="L361" i="7"/>
  <c r="J361" i="7"/>
  <c r="M362" i="7"/>
  <c r="N362" i="7" s="1"/>
  <c r="K361" i="7"/>
  <c r="G358" i="28"/>
  <c r="H358" i="28" s="1"/>
  <c r="F357" i="28"/>
  <c r="G354" i="27"/>
  <c r="H354" i="27" s="1"/>
  <c r="J354" i="27" s="1"/>
  <c r="L354" i="27" s="1"/>
  <c r="F353" i="27"/>
  <c r="J357" i="13" l="1"/>
  <c r="I357" i="13"/>
  <c r="F355" i="13"/>
  <c r="H356" i="13"/>
  <c r="G356" i="13"/>
  <c r="AH361" i="7"/>
  <c r="G358" i="7"/>
  <c r="H359" i="7"/>
  <c r="AI359" i="7" s="1"/>
  <c r="I359" i="7"/>
  <c r="AG359" i="7" s="1"/>
  <c r="L360" i="7"/>
  <c r="J360" i="7"/>
  <c r="M361" i="7"/>
  <c r="N361" i="7" s="1"/>
  <c r="K360" i="7"/>
  <c r="G357" i="28"/>
  <c r="H357" i="28" s="1"/>
  <c r="F356" i="28"/>
  <c r="G353" i="27"/>
  <c r="H353" i="27" s="1"/>
  <c r="J353" i="27" s="1"/>
  <c r="L353" i="27" s="1"/>
  <c r="F352" i="27"/>
  <c r="I356" i="13" l="1"/>
  <c r="J356" i="13"/>
  <c r="F354" i="13"/>
  <c r="H355" i="13"/>
  <c r="G355" i="13"/>
  <c r="AH360" i="7"/>
  <c r="J359" i="7"/>
  <c r="L359" i="7"/>
  <c r="K359" i="7"/>
  <c r="G357" i="7"/>
  <c r="M360" i="7"/>
  <c r="N360" i="7" s="1"/>
  <c r="H358" i="7"/>
  <c r="AI358" i="7" s="1"/>
  <c r="I358" i="7"/>
  <c r="AG358" i="7" s="1"/>
  <c r="G356" i="28"/>
  <c r="H356" i="28" s="1"/>
  <c r="F355" i="28"/>
  <c r="G352" i="27"/>
  <c r="H352" i="27" s="1"/>
  <c r="J352" i="27" s="1"/>
  <c r="L352" i="27" s="1"/>
  <c r="F351" i="27"/>
  <c r="I355" i="13" l="1"/>
  <c r="J355" i="13"/>
  <c r="F353" i="13"/>
  <c r="H354" i="13"/>
  <c r="G354" i="13"/>
  <c r="AH359" i="7"/>
  <c r="L358" i="7"/>
  <c r="J358" i="7"/>
  <c r="G356" i="7"/>
  <c r="M359" i="7"/>
  <c r="N359" i="7" s="1"/>
  <c r="K358" i="7"/>
  <c r="H357" i="7"/>
  <c r="AI357" i="7" s="1"/>
  <c r="I357" i="7"/>
  <c r="AG357" i="7" s="1"/>
  <c r="F354" i="28"/>
  <c r="G355" i="28"/>
  <c r="H355" i="28" s="1"/>
  <c r="G351" i="27"/>
  <c r="H351" i="27" s="1"/>
  <c r="J351" i="27" s="1"/>
  <c r="L351" i="27" s="1"/>
  <c r="F350" i="27"/>
  <c r="I354" i="13" l="1"/>
  <c r="J354" i="13"/>
  <c r="F352" i="13"/>
  <c r="H353" i="13"/>
  <c r="G353" i="13"/>
  <c r="AH358" i="7"/>
  <c r="L357" i="7"/>
  <c r="J357" i="7"/>
  <c r="K357" i="7"/>
  <c r="M358" i="7"/>
  <c r="N358" i="7" s="1"/>
  <c r="G355" i="7"/>
  <c r="H356" i="7"/>
  <c r="AI356" i="7" s="1"/>
  <c r="I356" i="7"/>
  <c r="AG356" i="7" s="1"/>
  <c r="F353" i="28"/>
  <c r="G354" i="28"/>
  <c r="H354" i="28" s="1"/>
  <c r="G350" i="27"/>
  <c r="H350" i="27" s="1"/>
  <c r="J350" i="27" s="1"/>
  <c r="L350" i="27" s="1"/>
  <c r="F349" i="27"/>
  <c r="I353" i="13" l="1"/>
  <c r="J353" i="13"/>
  <c r="F351" i="13"/>
  <c r="H352" i="13"/>
  <c r="G352" i="13"/>
  <c r="AH357" i="7"/>
  <c r="J356" i="7"/>
  <c r="L356" i="7"/>
  <c r="K356" i="7"/>
  <c r="H355" i="7"/>
  <c r="AI355" i="7" s="1"/>
  <c r="I355" i="7"/>
  <c r="AG355" i="7" s="1"/>
  <c r="G354" i="7"/>
  <c r="M357" i="7"/>
  <c r="N357" i="7" s="1"/>
  <c r="G353" i="28"/>
  <c r="H353" i="28" s="1"/>
  <c r="F352" i="28"/>
  <c r="G349" i="27"/>
  <c r="H349" i="27" s="1"/>
  <c r="J349" i="27" s="1"/>
  <c r="L349" i="27" s="1"/>
  <c r="F348" i="27"/>
  <c r="I352" i="13" l="1"/>
  <c r="J352" i="13"/>
  <c r="F350" i="13"/>
  <c r="H351" i="13"/>
  <c r="G351" i="13"/>
  <c r="AH356" i="7"/>
  <c r="H354" i="7"/>
  <c r="AI354" i="7" s="1"/>
  <c r="I354" i="7"/>
  <c r="AG354" i="7" s="1"/>
  <c r="J355" i="7"/>
  <c r="L355" i="7"/>
  <c r="K355" i="7"/>
  <c r="M356" i="7"/>
  <c r="N356" i="7" s="1"/>
  <c r="G353" i="7"/>
  <c r="G352" i="28"/>
  <c r="H352" i="28" s="1"/>
  <c r="F351" i="28"/>
  <c r="G348" i="27"/>
  <c r="H348" i="27" s="1"/>
  <c r="J348" i="27" s="1"/>
  <c r="L348" i="27" s="1"/>
  <c r="F347" i="27"/>
  <c r="I351" i="13" l="1"/>
  <c r="J351" i="13"/>
  <c r="F349" i="13"/>
  <c r="H350" i="13"/>
  <c r="G350" i="13"/>
  <c r="AH355" i="7"/>
  <c r="M355" i="7"/>
  <c r="N355" i="7" s="1"/>
  <c r="G352" i="7"/>
  <c r="L354" i="7"/>
  <c r="J354" i="7"/>
  <c r="H353" i="7"/>
  <c r="AI353" i="7" s="1"/>
  <c r="I353" i="7"/>
  <c r="AG353" i="7" s="1"/>
  <c r="K354" i="7"/>
  <c r="F350" i="28"/>
  <c r="G351" i="28"/>
  <c r="H351" i="28" s="1"/>
  <c r="G347" i="27"/>
  <c r="H347" i="27" s="1"/>
  <c r="J347" i="27" s="1"/>
  <c r="L347" i="27" s="1"/>
  <c r="F346" i="27"/>
  <c r="J350" i="13" l="1"/>
  <c r="I350" i="13"/>
  <c r="F348" i="13"/>
  <c r="H349" i="13"/>
  <c r="G349" i="13"/>
  <c r="AH354" i="7"/>
  <c r="K353" i="7"/>
  <c r="H352" i="7"/>
  <c r="I352" i="7"/>
  <c r="AG352" i="7" s="1"/>
  <c r="G351" i="7"/>
  <c r="M354" i="7"/>
  <c r="N354" i="7" s="1"/>
  <c r="L353" i="7"/>
  <c r="J353" i="7"/>
  <c r="G350" i="28"/>
  <c r="H350" i="28" s="1"/>
  <c r="F349" i="28"/>
  <c r="G346" i="27"/>
  <c r="H346" i="27" s="1"/>
  <c r="J346" i="27" s="1"/>
  <c r="L346" i="27" s="1"/>
  <c r="F345" i="27"/>
  <c r="J349" i="13" l="1"/>
  <c r="I349" i="13"/>
  <c r="F347" i="13"/>
  <c r="H348" i="13"/>
  <c r="G348" i="13"/>
  <c r="AH353" i="7"/>
  <c r="K352" i="7"/>
  <c r="AI352" i="7"/>
  <c r="J352" i="7"/>
  <c r="L352" i="7"/>
  <c r="G350" i="7"/>
  <c r="M353" i="7"/>
  <c r="N353" i="7" s="1"/>
  <c r="H351" i="7"/>
  <c r="AI351" i="7" s="1"/>
  <c r="I351" i="7"/>
  <c r="AG351" i="7" s="1"/>
  <c r="F348" i="28"/>
  <c r="G349" i="28"/>
  <c r="H349" i="28" s="1"/>
  <c r="G345" i="27"/>
  <c r="H345" i="27" s="1"/>
  <c r="J345" i="27" s="1"/>
  <c r="L345" i="27" s="1"/>
  <c r="F344" i="27"/>
  <c r="I348" i="13" l="1"/>
  <c r="J348" i="13"/>
  <c r="F346" i="13"/>
  <c r="H347" i="13"/>
  <c r="G347" i="13"/>
  <c r="AH352" i="7"/>
  <c r="K351" i="7"/>
  <c r="G349" i="7"/>
  <c r="I350" i="7"/>
  <c r="AG350" i="7" s="1"/>
  <c r="H350" i="7"/>
  <c r="AI350" i="7" s="1"/>
  <c r="M352" i="7"/>
  <c r="N352" i="7" s="1"/>
  <c r="L351" i="7"/>
  <c r="J351" i="7"/>
  <c r="G348" i="28"/>
  <c r="H348" i="28" s="1"/>
  <c r="F347" i="28"/>
  <c r="G344" i="27"/>
  <c r="H344" i="27" s="1"/>
  <c r="J344" i="27" s="1"/>
  <c r="L344" i="27" s="1"/>
  <c r="F343" i="27"/>
  <c r="J347" i="13" l="1"/>
  <c r="I347" i="13"/>
  <c r="F345" i="13"/>
  <c r="H346" i="13"/>
  <c r="G346" i="13"/>
  <c r="AH351" i="7"/>
  <c r="G348" i="7"/>
  <c r="H349" i="7"/>
  <c r="AI349" i="7" s="1"/>
  <c r="I349" i="7"/>
  <c r="AG349" i="7" s="1"/>
  <c r="K350" i="7"/>
  <c r="M351" i="7"/>
  <c r="N351" i="7" s="1"/>
  <c r="L350" i="7"/>
  <c r="J350" i="7"/>
  <c r="G347" i="28"/>
  <c r="H347" i="28" s="1"/>
  <c r="F346" i="28"/>
  <c r="G343" i="27"/>
  <c r="H343" i="27" s="1"/>
  <c r="J343" i="27" s="1"/>
  <c r="L343" i="27" s="1"/>
  <c r="F342" i="27"/>
  <c r="I346" i="13" l="1"/>
  <c r="J346" i="13"/>
  <c r="F344" i="13"/>
  <c r="H345" i="13"/>
  <c r="G345" i="13"/>
  <c r="AH350" i="7"/>
  <c r="L349" i="7"/>
  <c r="J349" i="7"/>
  <c r="K349" i="7"/>
  <c r="M350" i="7"/>
  <c r="N350" i="7" s="1"/>
  <c r="G347" i="7"/>
  <c r="H348" i="7"/>
  <c r="AI348" i="7" s="1"/>
  <c r="I348" i="7"/>
  <c r="AG348" i="7" s="1"/>
  <c r="G346" i="28"/>
  <c r="H346" i="28" s="1"/>
  <c r="F345" i="28"/>
  <c r="G342" i="27"/>
  <c r="H342" i="27" s="1"/>
  <c r="J342" i="27" s="1"/>
  <c r="L342" i="27" s="1"/>
  <c r="F341" i="27"/>
  <c r="I345" i="13" l="1"/>
  <c r="J345" i="13"/>
  <c r="F343" i="13"/>
  <c r="H344" i="13"/>
  <c r="G344" i="13"/>
  <c r="AH349" i="7"/>
  <c r="I347" i="7"/>
  <c r="AG347" i="7" s="1"/>
  <c r="H347" i="7"/>
  <c r="AI347" i="7" s="1"/>
  <c r="J348" i="7"/>
  <c r="L348" i="7"/>
  <c r="K348" i="7"/>
  <c r="G346" i="7"/>
  <c r="M349" i="7"/>
  <c r="N349" i="7" s="1"/>
  <c r="G345" i="28"/>
  <c r="H345" i="28" s="1"/>
  <c r="F344" i="28"/>
  <c r="G341" i="27"/>
  <c r="H341" i="27" s="1"/>
  <c r="J341" i="27" s="1"/>
  <c r="L341" i="27" s="1"/>
  <c r="F340" i="27"/>
  <c r="I344" i="13" l="1"/>
  <c r="J344" i="13"/>
  <c r="F342" i="13"/>
  <c r="H343" i="13"/>
  <c r="G343" i="13"/>
  <c r="AH348" i="7"/>
  <c r="H346" i="7"/>
  <c r="AI346" i="7" s="1"/>
  <c r="I346" i="7"/>
  <c r="AG346" i="7" s="1"/>
  <c r="M348" i="7"/>
  <c r="N348" i="7" s="1"/>
  <c r="G345" i="7"/>
  <c r="K347" i="7"/>
  <c r="L347" i="7"/>
  <c r="J347" i="7"/>
  <c r="G344" i="28"/>
  <c r="H344" i="28" s="1"/>
  <c r="F343" i="28"/>
  <c r="G340" i="27"/>
  <c r="H340" i="27" s="1"/>
  <c r="J340" i="27" s="1"/>
  <c r="L340" i="27" s="1"/>
  <c r="F339" i="27"/>
  <c r="J343" i="13" l="1"/>
  <c r="I343" i="13"/>
  <c r="F341" i="13"/>
  <c r="H342" i="13"/>
  <c r="G342" i="13"/>
  <c r="AH347" i="7"/>
  <c r="M347" i="7"/>
  <c r="N347" i="7" s="1"/>
  <c r="G344" i="7"/>
  <c r="J346" i="7"/>
  <c r="L346" i="7"/>
  <c r="I345" i="7"/>
  <c r="AG345" i="7" s="1"/>
  <c r="H345" i="7"/>
  <c r="K346" i="7"/>
  <c r="F342" i="28"/>
  <c r="G343" i="28"/>
  <c r="H343" i="28" s="1"/>
  <c r="G339" i="27"/>
  <c r="H339" i="27" s="1"/>
  <c r="J339" i="27" s="1"/>
  <c r="L339" i="27" s="1"/>
  <c r="F338" i="27"/>
  <c r="I342" i="13" l="1"/>
  <c r="J342" i="13"/>
  <c r="F340" i="13"/>
  <c r="H341" i="13"/>
  <c r="G341" i="13"/>
  <c r="K345" i="7"/>
  <c r="AI345" i="7"/>
  <c r="AH346" i="7"/>
  <c r="J345" i="7"/>
  <c r="L345" i="7"/>
  <c r="G343" i="7"/>
  <c r="I344" i="7"/>
  <c r="AG344" i="7" s="1"/>
  <c r="H344" i="7"/>
  <c r="AI344" i="7" s="1"/>
  <c r="M346" i="7"/>
  <c r="N346" i="7" s="1"/>
  <c r="G342" i="28"/>
  <c r="H342" i="28" s="1"/>
  <c r="F341" i="28"/>
  <c r="G338" i="27"/>
  <c r="H338" i="27" s="1"/>
  <c r="J338" i="27" s="1"/>
  <c r="L338" i="27" s="1"/>
  <c r="F337" i="27"/>
  <c r="J341" i="13" l="1"/>
  <c r="I341" i="13"/>
  <c r="F339" i="13"/>
  <c r="H340" i="13"/>
  <c r="G340" i="13"/>
  <c r="AH345" i="7"/>
  <c r="G342" i="7"/>
  <c r="H343" i="7"/>
  <c r="AI343" i="7" s="1"/>
  <c r="I343" i="7"/>
  <c r="AG343" i="7" s="1"/>
  <c r="K344" i="7"/>
  <c r="M345" i="7"/>
  <c r="N345" i="7" s="1"/>
  <c r="J344" i="7"/>
  <c r="L344" i="7"/>
  <c r="F340" i="28"/>
  <c r="G341" i="28"/>
  <c r="H341" i="28" s="1"/>
  <c r="G337" i="27"/>
  <c r="H337" i="27" s="1"/>
  <c r="J337" i="27" s="1"/>
  <c r="L337" i="27" s="1"/>
  <c r="F336" i="27"/>
  <c r="J340" i="13" l="1"/>
  <c r="I340" i="13"/>
  <c r="F338" i="13"/>
  <c r="H339" i="13"/>
  <c r="G339" i="13"/>
  <c r="AH344" i="7"/>
  <c r="J343" i="7"/>
  <c r="L343" i="7"/>
  <c r="K343" i="7"/>
  <c r="M344" i="7"/>
  <c r="N344" i="7" s="1"/>
  <c r="I342" i="7"/>
  <c r="AG342" i="7" s="1"/>
  <c r="H342" i="7"/>
  <c r="AI342" i="7" s="1"/>
  <c r="G341" i="7"/>
  <c r="F339" i="28"/>
  <c r="G340" i="28"/>
  <c r="H340" i="28" s="1"/>
  <c r="G336" i="27"/>
  <c r="H336" i="27" s="1"/>
  <c r="J336" i="27" s="1"/>
  <c r="L336" i="27" s="1"/>
  <c r="F335" i="27"/>
  <c r="J339" i="13" l="1"/>
  <c r="I339" i="13"/>
  <c r="F337" i="13"/>
  <c r="H338" i="13"/>
  <c r="G338" i="13"/>
  <c r="AH343" i="7"/>
  <c r="L342" i="7"/>
  <c r="J342" i="7"/>
  <c r="H341" i="7"/>
  <c r="AI341" i="7" s="1"/>
  <c r="I341" i="7"/>
  <c r="AG341" i="7" s="1"/>
  <c r="G340" i="7"/>
  <c r="M343" i="7"/>
  <c r="N343" i="7" s="1"/>
  <c r="K342" i="7"/>
  <c r="F338" i="28"/>
  <c r="G339" i="28"/>
  <c r="H339" i="28" s="1"/>
  <c r="G335" i="27"/>
  <c r="H335" i="27" s="1"/>
  <c r="J335" i="27" s="1"/>
  <c r="L335" i="27" s="1"/>
  <c r="F334" i="27"/>
  <c r="J338" i="13" l="1"/>
  <c r="I338" i="13"/>
  <c r="F336" i="13"/>
  <c r="H337" i="13"/>
  <c r="G337" i="13"/>
  <c r="AH342" i="7"/>
  <c r="L341" i="7"/>
  <c r="J341" i="7"/>
  <c r="K341" i="7"/>
  <c r="H340" i="7"/>
  <c r="AI340" i="7" s="1"/>
  <c r="I340" i="7"/>
  <c r="AG340" i="7" s="1"/>
  <c r="G339" i="7"/>
  <c r="M342" i="7"/>
  <c r="N342" i="7" s="1"/>
  <c r="G338" i="28"/>
  <c r="H338" i="28" s="1"/>
  <c r="F337" i="28"/>
  <c r="G334" i="27"/>
  <c r="H334" i="27" s="1"/>
  <c r="J334" i="27" s="1"/>
  <c r="L334" i="27" s="1"/>
  <c r="F333" i="27"/>
  <c r="F335" i="13" l="1"/>
  <c r="H336" i="13"/>
  <c r="G336" i="13"/>
  <c r="I337" i="13"/>
  <c r="J337" i="13"/>
  <c r="AH341" i="7"/>
  <c r="G338" i="7"/>
  <c r="I339" i="7"/>
  <c r="AG339" i="7" s="1"/>
  <c r="H339" i="7"/>
  <c r="AI339" i="7" s="1"/>
  <c r="L340" i="7"/>
  <c r="J340" i="7"/>
  <c r="K340" i="7"/>
  <c r="M341" i="7"/>
  <c r="N341" i="7" s="1"/>
  <c r="G337" i="28"/>
  <c r="H337" i="28" s="1"/>
  <c r="F336" i="28"/>
  <c r="G333" i="27"/>
  <c r="H333" i="27" s="1"/>
  <c r="J333" i="27" s="1"/>
  <c r="L333" i="27" s="1"/>
  <c r="F332" i="27"/>
  <c r="I336" i="13" l="1"/>
  <c r="J336" i="13"/>
  <c r="F334" i="13"/>
  <c r="H335" i="13"/>
  <c r="G335" i="13"/>
  <c r="AH340" i="7"/>
  <c r="K339" i="7"/>
  <c r="J339" i="7"/>
  <c r="L339" i="7"/>
  <c r="G337" i="7"/>
  <c r="M340" i="7"/>
  <c r="N340" i="7" s="1"/>
  <c r="I338" i="7"/>
  <c r="AG338" i="7" s="1"/>
  <c r="H338" i="7"/>
  <c r="AI338" i="7" s="1"/>
  <c r="F335" i="28"/>
  <c r="G336" i="28"/>
  <c r="H336" i="28" s="1"/>
  <c r="G332" i="27"/>
  <c r="H332" i="27" s="1"/>
  <c r="J332" i="27" s="1"/>
  <c r="L332" i="27" s="1"/>
  <c r="F331" i="27"/>
  <c r="F333" i="13" l="1"/>
  <c r="H334" i="13"/>
  <c r="G334" i="13"/>
  <c r="I335" i="13"/>
  <c r="J335" i="13"/>
  <c r="AH339" i="7"/>
  <c r="K338" i="7"/>
  <c r="G336" i="7"/>
  <c r="L338" i="7"/>
  <c r="J338" i="7"/>
  <c r="H337" i="7"/>
  <c r="AI337" i="7" s="1"/>
  <c r="I337" i="7"/>
  <c r="AG337" i="7" s="1"/>
  <c r="M339" i="7"/>
  <c r="N339" i="7" s="1"/>
  <c r="G335" i="28"/>
  <c r="H335" i="28" s="1"/>
  <c r="F334" i="28"/>
  <c r="G331" i="27"/>
  <c r="H331" i="27" s="1"/>
  <c r="J331" i="27" s="1"/>
  <c r="L331" i="27" s="1"/>
  <c r="F330" i="27"/>
  <c r="I334" i="13" l="1"/>
  <c r="J334" i="13"/>
  <c r="F332" i="13"/>
  <c r="H333" i="13"/>
  <c r="G333" i="13"/>
  <c r="AH338" i="7"/>
  <c r="K337" i="7"/>
  <c r="G335" i="7"/>
  <c r="H336" i="7"/>
  <c r="AI336" i="7" s="1"/>
  <c r="I336" i="7"/>
  <c r="AG336" i="7" s="1"/>
  <c r="M338" i="7"/>
  <c r="N338" i="7" s="1"/>
  <c r="L337" i="7"/>
  <c r="J337" i="7"/>
  <c r="F333" i="28"/>
  <c r="G334" i="28"/>
  <c r="H334" i="28" s="1"/>
  <c r="G330" i="27"/>
  <c r="H330" i="27" s="1"/>
  <c r="J330" i="27" s="1"/>
  <c r="L330" i="27" s="1"/>
  <c r="F329" i="27"/>
  <c r="I333" i="13" l="1"/>
  <c r="J333" i="13"/>
  <c r="F331" i="13"/>
  <c r="H332" i="13"/>
  <c r="G332" i="13"/>
  <c r="AH337" i="7"/>
  <c r="I335" i="7"/>
  <c r="AG335" i="7" s="1"/>
  <c r="H335" i="7"/>
  <c r="AI335" i="7" s="1"/>
  <c r="G334" i="7"/>
  <c r="M337" i="7"/>
  <c r="N337" i="7" s="1"/>
  <c r="L336" i="7"/>
  <c r="J336" i="7"/>
  <c r="K336" i="7"/>
  <c r="F332" i="28"/>
  <c r="G333" i="28"/>
  <c r="H333" i="28" s="1"/>
  <c r="G329" i="27"/>
  <c r="H329" i="27" s="1"/>
  <c r="J329" i="27" s="1"/>
  <c r="L329" i="27" s="1"/>
  <c r="F328" i="27"/>
  <c r="J332" i="13" l="1"/>
  <c r="I332" i="13"/>
  <c r="F330" i="13"/>
  <c r="H331" i="13"/>
  <c r="G331" i="13"/>
  <c r="AH336" i="7"/>
  <c r="K335" i="7"/>
  <c r="J335" i="7"/>
  <c r="L335" i="7"/>
  <c r="M335" i="7" s="1"/>
  <c r="G333" i="7"/>
  <c r="M336" i="7"/>
  <c r="N336" i="7" s="1"/>
  <c r="I334" i="7"/>
  <c r="AG334" i="7" s="1"/>
  <c r="H334" i="7"/>
  <c r="AI334" i="7" s="1"/>
  <c r="G332" i="28"/>
  <c r="H332" i="28" s="1"/>
  <c r="F331" i="28"/>
  <c r="G328" i="27"/>
  <c r="H328" i="27" s="1"/>
  <c r="J328" i="27" s="1"/>
  <c r="L328" i="27" s="1"/>
  <c r="F327" i="27"/>
  <c r="I331" i="13" l="1"/>
  <c r="J331" i="13"/>
  <c r="F329" i="13"/>
  <c r="H330" i="13"/>
  <c r="G330" i="13"/>
  <c r="AH335" i="7"/>
  <c r="K334" i="7"/>
  <c r="I333" i="7"/>
  <c r="AG333" i="7" s="1"/>
  <c r="H333" i="7"/>
  <c r="J334" i="7"/>
  <c r="L334" i="7"/>
  <c r="G332" i="7"/>
  <c r="N335" i="7"/>
  <c r="F330" i="28"/>
  <c r="G331" i="28"/>
  <c r="H331" i="28" s="1"/>
  <c r="G327" i="27"/>
  <c r="H327" i="27" s="1"/>
  <c r="J327" i="27" s="1"/>
  <c r="L327" i="27" s="1"/>
  <c r="F326" i="27"/>
  <c r="I330" i="13" l="1"/>
  <c r="J330" i="13"/>
  <c r="F328" i="13"/>
  <c r="H329" i="13"/>
  <c r="G329" i="13"/>
  <c r="AH334" i="7"/>
  <c r="K333" i="7"/>
  <c r="AI333" i="7"/>
  <c r="H332" i="7"/>
  <c r="AI332" i="7" s="1"/>
  <c r="I332" i="7"/>
  <c r="AG332" i="7" s="1"/>
  <c r="M334" i="7"/>
  <c r="N334" i="7" s="1"/>
  <c r="J333" i="7"/>
  <c r="L333" i="7"/>
  <c r="G331" i="7"/>
  <c r="F329" i="28"/>
  <c r="G330" i="28"/>
  <c r="H330" i="28" s="1"/>
  <c r="G326" i="27"/>
  <c r="H326" i="27" s="1"/>
  <c r="J326" i="27" s="1"/>
  <c r="L326" i="27" s="1"/>
  <c r="F325" i="27"/>
  <c r="F327" i="13" l="1"/>
  <c r="H328" i="13"/>
  <c r="G328" i="13"/>
  <c r="J329" i="13"/>
  <c r="I329" i="13"/>
  <c r="AH333" i="7"/>
  <c r="M333" i="7"/>
  <c r="N333" i="7" s="1"/>
  <c r="L332" i="7"/>
  <c r="J332" i="7"/>
  <c r="K332" i="7"/>
  <c r="G330" i="7"/>
  <c r="I331" i="7"/>
  <c r="AG331" i="7" s="1"/>
  <c r="H331" i="7"/>
  <c r="AI331" i="7" s="1"/>
  <c r="G329" i="28"/>
  <c r="H329" i="28" s="1"/>
  <c r="F328" i="28"/>
  <c r="G325" i="27"/>
  <c r="H325" i="27" s="1"/>
  <c r="J325" i="27" s="1"/>
  <c r="L325" i="27" s="1"/>
  <c r="F324" i="27"/>
  <c r="J328" i="13" l="1"/>
  <c r="I328" i="13"/>
  <c r="F326" i="13"/>
  <c r="H327" i="13"/>
  <c r="G327" i="13"/>
  <c r="AH332" i="7"/>
  <c r="K331" i="7"/>
  <c r="L331" i="7"/>
  <c r="J331" i="7"/>
  <c r="M332" i="7"/>
  <c r="N332" i="7" s="1"/>
  <c r="H330" i="7"/>
  <c r="AI330" i="7" s="1"/>
  <c r="I330" i="7"/>
  <c r="AG330" i="7" s="1"/>
  <c r="G329" i="7"/>
  <c r="F327" i="28"/>
  <c r="G328" i="28"/>
  <c r="H328" i="28" s="1"/>
  <c r="G324" i="27"/>
  <c r="H324" i="27" s="1"/>
  <c r="J324" i="27" s="1"/>
  <c r="L324" i="27" s="1"/>
  <c r="F323" i="27"/>
  <c r="F325" i="13" l="1"/>
  <c r="H326" i="13"/>
  <c r="G326" i="13"/>
  <c r="I327" i="13"/>
  <c r="J327" i="13"/>
  <c r="AH331" i="7"/>
  <c r="L330" i="7"/>
  <c r="J330" i="7"/>
  <c r="K330" i="7"/>
  <c r="M331" i="7"/>
  <c r="N331" i="7" s="1"/>
  <c r="G328" i="7"/>
  <c r="I329" i="7"/>
  <c r="AG329" i="7" s="1"/>
  <c r="H329" i="7"/>
  <c r="AI329" i="7" s="1"/>
  <c r="F326" i="28"/>
  <c r="G327" i="28"/>
  <c r="H327" i="28" s="1"/>
  <c r="G323" i="27"/>
  <c r="H323" i="27" s="1"/>
  <c r="J323" i="27" s="1"/>
  <c r="L323" i="27" s="1"/>
  <c r="F322" i="27"/>
  <c r="J326" i="13" l="1"/>
  <c r="I326" i="13"/>
  <c r="F324" i="13"/>
  <c r="H325" i="13"/>
  <c r="G325" i="13"/>
  <c r="AH330" i="7"/>
  <c r="K329" i="7"/>
  <c r="G327" i="7"/>
  <c r="L329" i="7"/>
  <c r="J329" i="7"/>
  <c r="H328" i="7"/>
  <c r="AI328" i="7" s="1"/>
  <c r="I328" i="7"/>
  <c r="AG328" i="7" s="1"/>
  <c r="M330" i="7"/>
  <c r="N330" i="7" s="1"/>
  <c r="F325" i="28"/>
  <c r="G326" i="28"/>
  <c r="H326" i="28" s="1"/>
  <c r="G322" i="27"/>
  <c r="H322" i="27" s="1"/>
  <c r="J322" i="27" s="1"/>
  <c r="L322" i="27" s="1"/>
  <c r="F321" i="27"/>
  <c r="F323" i="13" l="1"/>
  <c r="H324" i="13"/>
  <c r="G324" i="13"/>
  <c r="I325" i="13"/>
  <c r="J325" i="13"/>
  <c r="AH329" i="7"/>
  <c r="L328" i="7"/>
  <c r="M328" i="7" s="1"/>
  <c r="J328" i="7"/>
  <c r="AH328" i="7" s="1"/>
  <c r="G326" i="7"/>
  <c r="K328" i="7"/>
  <c r="H327" i="7"/>
  <c r="AI327" i="7" s="1"/>
  <c r="I327" i="7"/>
  <c r="AG327" i="7" s="1"/>
  <c r="M329" i="7"/>
  <c r="N329" i="7" s="1"/>
  <c r="G325" i="28"/>
  <c r="H325" i="28" s="1"/>
  <c r="F324" i="28"/>
  <c r="G321" i="27"/>
  <c r="H321" i="27" s="1"/>
  <c r="J321" i="27" s="1"/>
  <c r="L321" i="27" s="1"/>
  <c r="F320" i="27"/>
  <c r="I324" i="13" l="1"/>
  <c r="J324" i="13"/>
  <c r="F322" i="13"/>
  <c r="H323" i="13"/>
  <c r="G323" i="13"/>
  <c r="N328" i="7"/>
  <c r="L327" i="7"/>
  <c r="J327" i="7"/>
  <c r="K327" i="7"/>
  <c r="H326" i="7"/>
  <c r="AI326" i="7" s="1"/>
  <c r="I326" i="7"/>
  <c r="AG326" i="7" s="1"/>
  <c r="G325" i="7"/>
  <c r="G324" i="28"/>
  <c r="H324" i="28" s="1"/>
  <c r="F323" i="28"/>
  <c r="G320" i="27"/>
  <c r="H320" i="27" s="1"/>
  <c r="J320" i="27" s="1"/>
  <c r="L320" i="27" s="1"/>
  <c r="F319" i="27"/>
  <c r="I323" i="13" l="1"/>
  <c r="J323" i="13"/>
  <c r="F321" i="13"/>
  <c r="H322" i="13"/>
  <c r="G322" i="13"/>
  <c r="AH327" i="7"/>
  <c r="H325" i="7"/>
  <c r="AI325" i="7" s="1"/>
  <c r="I325" i="7"/>
  <c r="AG325" i="7" s="1"/>
  <c r="L326" i="7"/>
  <c r="J326" i="7"/>
  <c r="K326" i="7"/>
  <c r="M327" i="7"/>
  <c r="N327" i="7" s="1"/>
  <c r="G324" i="7"/>
  <c r="F322" i="28"/>
  <c r="G323" i="28"/>
  <c r="H323" i="28" s="1"/>
  <c r="G319" i="27"/>
  <c r="H319" i="27" s="1"/>
  <c r="J319" i="27" s="1"/>
  <c r="L319" i="27" s="1"/>
  <c r="F318" i="27"/>
  <c r="F320" i="13" l="1"/>
  <c r="H321" i="13"/>
  <c r="G321" i="13"/>
  <c r="J322" i="13"/>
  <c r="I322" i="13"/>
  <c r="AH326" i="7"/>
  <c r="M326" i="7"/>
  <c r="N326" i="7" s="1"/>
  <c r="G323" i="7"/>
  <c r="J325" i="7"/>
  <c r="L325" i="7"/>
  <c r="H324" i="7"/>
  <c r="AI324" i="7" s="1"/>
  <c r="I324" i="7"/>
  <c r="AG324" i="7" s="1"/>
  <c r="K325" i="7"/>
  <c r="F321" i="28"/>
  <c r="G322" i="28"/>
  <c r="H322" i="28" s="1"/>
  <c r="G318" i="27"/>
  <c r="H318" i="27" s="1"/>
  <c r="J318" i="27" s="1"/>
  <c r="L318" i="27" s="1"/>
  <c r="F317" i="27"/>
  <c r="I321" i="13" l="1"/>
  <c r="J321" i="13"/>
  <c r="F319" i="13"/>
  <c r="H320" i="13"/>
  <c r="G320" i="13"/>
  <c r="AH325" i="7"/>
  <c r="K324" i="7"/>
  <c r="H323" i="7"/>
  <c r="AI323" i="7" s="1"/>
  <c r="I323" i="7"/>
  <c r="AG323" i="7" s="1"/>
  <c r="M325" i="7"/>
  <c r="N325" i="7" s="1"/>
  <c r="G322" i="7"/>
  <c r="J324" i="7"/>
  <c r="L324" i="7"/>
  <c r="F320" i="28"/>
  <c r="G321" i="28"/>
  <c r="H321" i="28" s="1"/>
  <c r="G317" i="27"/>
  <c r="H317" i="27" s="1"/>
  <c r="J317" i="27" s="1"/>
  <c r="L317" i="27" s="1"/>
  <c r="F316" i="27"/>
  <c r="I320" i="13" l="1"/>
  <c r="J320" i="13"/>
  <c r="F318" i="13"/>
  <c r="H319" i="13"/>
  <c r="G319" i="13"/>
  <c r="AH324" i="7"/>
  <c r="G321" i="7"/>
  <c r="L323" i="7"/>
  <c r="J323" i="7"/>
  <c r="H322" i="7"/>
  <c r="AI322" i="7" s="1"/>
  <c r="I322" i="7"/>
  <c r="AG322" i="7" s="1"/>
  <c r="K323" i="7"/>
  <c r="M324" i="7"/>
  <c r="N324" i="7" s="1"/>
  <c r="G320" i="28"/>
  <c r="H320" i="28" s="1"/>
  <c r="F319" i="28"/>
  <c r="G316" i="27"/>
  <c r="H316" i="27" s="1"/>
  <c r="J316" i="27" s="1"/>
  <c r="L316" i="27" s="1"/>
  <c r="F315" i="27"/>
  <c r="I319" i="13" l="1"/>
  <c r="J319" i="13"/>
  <c r="F317" i="13"/>
  <c r="H318" i="13"/>
  <c r="G318" i="13"/>
  <c r="AH323" i="7"/>
  <c r="M323" i="7"/>
  <c r="N323" i="7" s="1"/>
  <c r="L322" i="7"/>
  <c r="J322" i="7"/>
  <c r="H321" i="7"/>
  <c r="AI321" i="7" s="1"/>
  <c r="I321" i="7"/>
  <c r="AG321" i="7" s="1"/>
  <c r="K322" i="7"/>
  <c r="G320" i="7"/>
  <c r="G319" i="28"/>
  <c r="H319" i="28" s="1"/>
  <c r="F318" i="28"/>
  <c r="G315" i="27"/>
  <c r="H315" i="27" s="1"/>
  <c r="J315" i="27" s="1"/>
  <c r="L315" i="27" s="1"/>
  <c r="F314" i="27"/>
  <c r="I318" i="13" l="1"/>
  <c r="J318" i="13"/>
  <c r="F316" i="13"/>
  <c r="H317" i="13"/>
  <c r="G317" i="13"/>
  <c r="AH322" i="7"/>
  <c r="M322" i="7"/>
  <c r="N322" i="7" s="1"/>
  <c r="G319" i="7"/>
  <c r="L321" i="7"/>
  <c r="J321" i="7"/>
  <c r="H320" i="7"/>
  <c r="AI320" i="7" s="1"/>
  <c r="I320" i="7"/>
  <c r="AG320" i="7" s="1"/>
  <c r="K321" i="7"/>
  <c r="G318" i="28"/>
  <c r="H318" i="28" s="1"/>
  <c r="F317" i="28"/>
  <c r="G314" i="27"/>
  <c r="H314" i="27" s="1"/>
  <c r="J314" i="27" s="1"/>
  <c r="L314" i="27" s="1"/>
  <c r="F313" i="27"/>
  <c r="F315" i="13" l="1"/>
  <c r="H316" i="13"/>
  <c r="G316" i="13"/>
  <c r="I317" i="13"/>
  <c r="J317" i="13"/>
  <c r="AH321" i="7"/>
  <c r="J320" i="7"/>
  <c r="L320" i="7"/>
  <c r="H319" i="7"/>
  <c r="AI319" i="7" s="1"/>
  <c r="I319" i="7"/>
  <c r="AG319" i="7" s="1"/>
  <c r="K320" i="7"/>
  <c r="G318" i="7"/>
  <c r="M321" i="7"/>
  <c r="N321" i="7" s="1"/>
  <c r="G317" i="28"/>
  <c r="H317" i="28" s="1"/>
  <c r="F316" i="28"/>
  <c r="G313" i="27"/>
  <c r="H313" i="27" s="1"/>
  <c r="J313" i="27" s="1"/>
  <c r="L313" i="27" s="1"/>
  <c r="F312" i="27"/>
  <c r="I316" i="13" l="1"/>
  <c r="J316" i="13"/>
  <c r="F314" i="13"/>
  <c r="H315" i="13"/>
  <c r="G315" i="13"/>
  <c r="AH320" i="7"/>
  <c r="G317" i="7"/>
  <c r="L319" i="7"/>
  <c r="J319" i="7"/>
  <c r="H318" i="7"/>
  <c r="AI318" i="7" s="1"/>
  <c r="I318" i="7"/>
  <c r="AG318" i="7" s="1"/>
  <c r="K319" i="7"/>
  <c r="M320" i="7"/>
  <c r="N320" i="7" s="1"/>
  <c r="F315" i="28"/>
  <c r="G316" i="28"/>
  <c r="H316" i="28" s="1"/>
  <c r="G312" i="27"/>
  <c r="H312" i="27" s="1"/>
  <c r="J312" i="27" s="1"/>
  <c r="L312" i="27" s="1"/>
  <c r="F311" i="27"/>
  <c r="F313" i="13" l="1"/>
  <c r="H314" i="13"/>
  <c r="G314" i="13"/>
  <c r="J315" i="13"/>
  <c r="I315" i="13"/>
  <c r="AH319" i="7"/>
  <c r="M319" i="7"/>
  <c r="N319" i="7" s="1"/>
  <c r="L318" i="7"/>
  <c r="J318" i="7"/>
  <c r="G316" i="7"/>
  <c r="K318" i="7"/>
  <c r="H317" i="7"/>
  <c r="AI317" i="7" s="1"/>
  <c r="I317" i="7"/>
  <c r="AG317" i="7" s="1"/>
  <c r="F314" i="28"/>
  <c r="G315" i="28"/>
  <c r="H315" i="28" s="1"/>
  <c r="G311" i="27"/>
  <c r="H311" i="27" s="1"/>
  <c r="J311" i="27" s="1"/>
  <c r="L311" i="27" s="1"/>
  <c r="F310" i="27"/>
  <c r="I314" i="13" l="1"/>
  <c r="J314" i="13"/>
  <c r="F312" i="13"/>
  <c r="H313" i="13"/>
  <c r="G313" i="13"/>
  <c r="AH318" i="7"/>
  <c r="M318" i="7"/>
  <c r="N318" i="7" s="1"/>
  <c r="L317" i="7"/>
  <c r="J317" i="7"/>
  <c r="H316" i="7"/>
  <c r="AI316" i="7" s="1"/>
  <c r="I316" i="7"/>
  <c r="AG316" i="7" s="1"/>
  <c r="K317" i="7"/>
  <c r="G315" i="7"/>
  <c r="G314" i="28"/>
  <c r="H314" i="28" s="1"/>
  <c r="F313" i="28"/>
  <c r="G310" i="27"/>
  <c r="H310" i="27" s="1"/>
  <c r="J310" i="27" s="1"/>
  <c r="L310" i="27" s="1"/>
  <c r="F309" i="27"/>
  <c r="F311" i="13" l="1"/>
  <c r="H312" i="13"/>
  <c r="G312" i="13"/>
  <c r="I313" i="13"/>
  <c r="J313" i="13"/>
  <c r="AH317" i="7"/>
  <c r="M317" i="7"/>
  <c r="N317" i="7" s="1"/>
  <c r="H315" i="7"/>
  <c r="AI315" i="7" s="1"/>
  <c r="I315" i="7"/>
  <c r="AG315" i="7" s="1"/>
  <c r="L316" i="7"/>
  <c r="J316" i="7"/>
  <c r="G314" i="7"/>
  <c r="K316" i="7"/>
  <c r="G313" i="28"/>
  <c r="H313" i="28" s="1"/>
  <c r="F312" i="28"/>
  <c r="G309" i="27"/>
  <c r="H309" i="27" s="1"/>
  <c r="J309" i="27" s="1"/>
  <c r="L309" i="27" s="1"/>
  <c r="F308" i="27"/>
  <c r="I312" i="13" l="1"/>
  <c r="J312" i="13"/>
  <c r="F310" i="13"/>
  <c r="H311" i="13"/>
  <c r="G311" i="13"/>
  <c r="AH316" i="7"/>
  <c r="G313" i="7"/>
  <c r="J315" i="7"/>
  <c r="L315" i="7"/>
  <c r="H314" i="7"/>
  <c r="AI314" i="7" s="1"/>
  <c r="I314" i="7"/>
  <c r="AG314" i="7" s="1"/>
  <c r="K315" i="7"/>
  <c r="M316" i="7"/>
  <c r="N316" i="7" s="1"/>
  <c r="G312" i="28"/>
  <c r="H312" i="28" s="1"/>
  <c r="F311" i="28"/>
  <c r="G308" i="27"/>
  <c r="H308" i="27" s="1"/>
  <c r="J308" i="27" s="1"/>
  <c r="L308" i="27" s="1"/>
  <c r="F307" i="27"/>
  <c r="I311" i="13" l="1"/>
  <c r="J311" i="13"/>
  <c r="F309" i="13"/>
  <c r="H310" i="13"/>
  <c r="G310" i="13"/>
  <c r="AH315" i="7"/>
  <c r="M315" i="7"/>
  <c r="N315" i="7" s="1"/>
  <c r="L314" i="7"/>
  <c r="J314" i="7"/>
  <c r="I313" i="7"/>
  <c r="AG313" i="7" s="1"/>
  <c r="H313" i="7"/>
  <c r="AI313" i="7" s="1"/>
  <c r="K314" i="7"/>
  <c r="G312" i="7"/>
  <c r="G311" i="28"/>
  <c r="H311" i="28" s="1"/>
  <c r="F310" i="28"/>
  <c r="G307" i="27"/>
  <c r="H307" i="27" s="1"/>
  <c r="J307" i="27" s="1"/>
  <c r="L307" i="27" s="1"/>
  <c r="F306" i="27"/>
  <c r="I310" i="13" l="1"/>
  <c r="J310" i="13"/>
  <c r="F308" i="13"/>
  <c r="H309" i="13"/>
  <c r="G309" i="13"/>
  <c r="AH314" i="7"/>
  <c r="M314" i="7"/>
  <c r="N314" i="7" s="1"/>
  <c r="H312" i="7"/>
  <c r="AI312" i="7" s="1"/>
  <c r="I312" i="7"/>
  <c r="AG312" i="7" s="1"/>
  <c r="K313" i="7"/>
  <c r="G311" i="7"/>
  <c r="L313" i="7"/>
  <c r="J313" i="7"/>
  <c r="G310" i="28"/>
  <c r="H310" i="28" s="1"/>
  <c r="F309" i="28"/>
  <c r="G306" i="27"/>
  <c r="H306" i="27" s="1"/>
  <c r="J306" i="27" s="1"/>
  <c r="L306" i="27" s="1"/>
  <c r="F305" i="27"/>
  <c r="I309" i="13" l="1"/>
  <c r="J309" i="13"/>
  <c r="F307" i="13"/>
  <c r="H308" i="13"/>
  <c r="G308" i="13"/>
  <c r="AH313" i="7"/>
  <c r="G310" i="7"/>
  <c r="L312" i="7"/>
  <c r="M312" i="7" s="1"/>
  <c r="J312" i="7"/>
  <c r="AH312" i="7" s="1"/>
  <c r="I311" i="7"/>
  <c r="AG311" i="7" s="1"/>
  <c r="H311" i="7"/>
  <c r="AI311" i="7" s="1"/>
  <c r="K312" i="7"/>
  <c r="M313" i="7"/>
  <c r="N313" i="7" s="1"/>
  <c r="G309" i="28"/>
  <c r="H309" i="28" s="1"/>
  <c r="F308" i="28"/>
  <c r="G305" i="27"/>
  <c r="H305" i="27" s="1"/>
  <c r="J305" i="27" s="1"/>
  <c r="L305" i="27" s="1"/>
  <c r="F304" i="27"/>
  <c r="F306" i="13" l="1"/>
  <c r="H307" i="13"/>
  <c r="G307" i="13"/>
  <c r="J308" i="13"/>
  <c r="I308" i="13"/>
  <c r="K311" i="7"/>
  <c r="G309" i="7"/>
  <c r="L311" i="7"/>
  <c r="J311" i="7"/>
  <c r="I310" i="7"/>
  <c r="AG310" i="7" s="1"/>
  <c r="H310" i="7"/>
  <c r="AI310" i="7" s="1"/>
  <c r="N312" i="7"/>
  <c r="G308" i="28"/>
  <c r="H308" i="28" s="1"/>
  <c r="F307" i="28"/>
  <c r="G304" i="27"/>
  <c r="H304" i="27" s="1"/>
  <c r="J304" i="27" s="1"/>
  <c r="L304" i="27" s="1"/>
  <c r="F303" i="27"/>
  <c r="I307" i="13" l="1"/>
  <c r="J307" i="13"/>
  <c r="F305" i="13"/>
  <c r="H306" i="13"/>
  <c r="G306" i="13"/>
  <c r="AH311" i="7"/>
  <c r="K310" i="7"/>
  <c r="G308" i="7"/>
  <c r="J310" i="7"/>
  <c r="L310" i="7"/>
  <c r="H309" i="7"/>
  <c r="AI309" i="7" s="1"/>
  <c r="I309" i="7"/>
  <c r="AG309" i="7" s="1"/>
  <c r="M311" i="7"/>
  <c r="N311" i="7" s="1"/>
  <c r="G307" i="28"/>
  <c r="H307" i="28" s="1"/>
  <c r="F306" i="28"/>
  <c r="G303" i="27"/>
  <c r="H303" i="27" s="1"/>
  <c r="J303" i="27" s="1"/>
  <c r="L303" i="27" s="1"/>
  <c r="F302" i="27"/>
  <c r="F304" i="13" l="1"/>
  <c r="H305" i="13"/>
  <c r="G305" i="13"/>
  <c r="J306" i="13"/>
  <c r="I306" i="13"/>
  <c r="AH310" i="7"/>
  <c r="L309" i="7"/>
  <c r="J309" i="7"/>
  <c r="G307" i="7"/>
  <c r="K309" i="7"/>
  <c r="I308" i="7"/>
  <c r="AG308" i="7" s="1"/>
  <c r="H308" i="7"/>
  <c r="AI308" i="7" s="1"/>
  <c r="M310" i="7"/>
  <c r="N310" i="7" s="1"/>
  <c r="G306" i="28"/>
  <c r="H306" i="28" s="1"/>
  <c r="F305" i="28"/>
  <c r="G302" i="27"/>
  <c r="H302" i="27" s="1"/>
  <c r="J302" i="27" s="1"/>
  <c r="L302" i="27" s="1"/>
  <c r="F301" i="27"/>
  <c r="L303" i="13"/>
  <c r="I305" i="13" l="1"/>
  <c r="J305" i="13"/>
  <c r="F303" i="13"/>
  <c r="H304" i="13"/>
  <c r="G304" i="13"/>
  <c r="AH309" i="7"/>
  <c r="K308" i="7"/>
  <c r="H307" i="7"/>
  <c r="AI307" i="7" s="1"/>
  <c r="I307" i="7"/>
  <c r="AG307" i="7" s="1"/>
  <c r="L308" i="7"/>
  <c r="J308" i="7"/>
  <c r="G306" i="7"/>
  <c r="M309" i="7"/>
  <c r="N309" i="7" s="1"/>
  <c r="G305" i="28"/>
  <c r="H305" i="28" s="1"/>
  <c r="F304" i="28"/>
  <c r="G301" i="27"/>
  <c r="H301" i="27" s="1"/>
  <c r="J301" i="27" s="1"/>
  <c r="L301" i="27" s="1"/>
  <c r="F300" i="27"/>
  <c r="L302" i="13"/>
  <c r="J304" i="13" l="1"/>
  <c r="I304" i="13"/>
  <c r="F302" i="13"/>
  <c r="H303" i="13"/>
  <c r="G303" i="13"/>
  <c r="AH308" i="7"/>
  <c r="H306" i="7"/>
  <c r="AI306" i="7" s="1"/>
  <c r="I306" i="7"/>
  <c r="AG306" i="7" s="1"/>
  <c r="L307" i="7"/>
  <c r="J307" i="7"/>
  <c r="G305" i="7"/>
  <c r="K307" i="7"/>
  <c r="M308" i="7"/>
  <c r="N308" i="7" s="1"/>
  <c r="G304" i="28"/>
  <c r="H304" i="28" s="1"/>
  <c r="F303" i="28"/>
  <c r="G300" i="27"/>
  <c r="H300" i="27" s="1"/>
  <c r="J300" i="27" s="1"/>
  <c r="L300" i="27" s="1"/>
  <c r="F299" i="27"/>
  <c r="L301" i="13"/>
  <c r="J303" i="13" l="1"/>
  <c r="I303" i="13"/>
  <c r="F301" i="13"/>
  <c r="H302" i="13"/>
  <c r="G302" i="13"/>
  <c r="AH307" i="7"/>
  <c r="M307" i="7"/>
  <c r="N307" i="7" s="1"/>
  <c r="G304" i="7"/>
  <c r="L306" i="7"/>
  <c r="J306" i="7"/>
  <c r="H305" i="7"/>
  <c r="AI305" i="7" s="1"/>
  <c r="I305" i="7"/>
  <c r="AG305" i="7" s="1"/>
  <c r="K306" i="7"/>
  <c r="G303" i="28"/>
  <c r="H303" i="28" s="1"/>
  <c r="F302" i="28"/>
  <c r="G299" i="27"/>
  <c r="H299" i="27" s="1"/>
  <c r="J299" i="27" s="1"/>
  <c r="L299" i="27" s="1"/>
  <c r="F298" i="27"/>
  <c r="L300" i="13"/>
  <c r="I302" i="13" l="1"/>
  <c r="J302" i="13"/>
  <c r="F300" i="13"/>
  <c r="H301" i="13"/>
  <c r="G301" i="13"/>
  <c r="AH306" i="7"/>
  <c r="J305" i="7"/>
  <c r="L305" i="7"/>
  <c r="G303" i="7"/>
  <c r="K305" i="7"/>
  <c r="H304" i="7"/>
  <c r="AI304" i="7" s="1"/>
  <c r="I304" i="7"/>
  <c r="AG304" i="7" s="1"/>
  <c r="M306" i="7"/>
  <c r="N306" i="7" s="1"/>
  <c r="G302" i="28"/>
  <c r="H302" i="28" s="1"/>
  <c r="F301" i="28"/>
  <c r="G298" i="27"/>
  <c r="H298" i="27" s="1"/>
  <c r="J298" i="27" s="1"/>
  <c r="L298" i="27" s="1"/>
  <c r="F297" i="27"/>
  <c r="L299" i="13"/>
  <c r="F299" i="13" l="1"/>
  <c r="H300" i="13"/>
  <c r="G300" i="13"/>
  <c r="I301" i="13"/>
  <c r="J301" i="13"/>
  <c r="AH305" i="7"/>
  <c r="L304" i="7"/>
  <c r="J304" i="7"/>
  <c r="G302" i="7"/>
  <c r="K304" i="7"/>
  <c r="H303" i="7"/>
  <c r="AI303" i="7" s="1"/>
  <c r="I303" i="7"/>
  <c r="AG303" i="7" s="1"/>
  <c r="M305" i="7"/>
  <c r="N305" i="7" s="1"/>
  <c r="G301" i="28"/>
  <c r="H301" i="28" s="1"/>
  <c r="F300" i="28"/>
  <c r="G297" i="27"/>
  <c r="H297" i="27" s="1"/>
  <c r="J297" i="27" s="1"/>
  <c r="L297" i="27" s="1"/>
  <c r="F296" i="27"/>
  <c r="L298" i="13"/>
  <c r="I300" i="13" l="1"/>
  <c r="J300" i="13"/>
  <c r="F298" i="13"/>
  <c r="H299" i="13"/>
  <c r="G299" i="13"/>
  <c r="AH304" i="7"/>
  <c r="J303" i="7"/>
  <c r="L303" i="7"/>
  <c r="G301" i="7"/>
  <c r="K303" i="7"/>
  <c r="H302" i="7"/>
  <c r="AI302" i="7" s="1"/>
  <c r="I302" i="7"/>
  <c r="AG302" i="7" s="1"/>
  <c r="M304" i="7"/>
  <c r="N304" i="7" s="1"/>
  <c r="G300" i="28"/>
  <c r="H300" i="28" s="1"/>
  <c r="F299" i="28"/>
  <c r="G296" i="27"/>
  <c r="H296" i="27" s="1"/>
  <c r="J296" i="27" s="1"/>
  <c r="L296" i="27" s="1"/>
  <c r="F295" i="27"/>
  <c r="L297" i="13"/>
  <c r="I299" i="13" l="1"/>
  <c r="J299" i="13"/>
  <c r="F297" i="13"/>
  <c r="H298" i="13"/>
  <c r="G298" i="13"/>
  <c r="AH303" i="7"/>
  <c r="L302" i="7"/>
  <c r="J302" i="7"/>
  <c r="G300" i="7"/>
  <c r="K302" i="7"/>
  <c r="I301" i="7"/>
  <c r="AG301" i="7" s="1"/>
  <c r="H301" i="7"/>
  <c r="AI301" i="7" s="1"/>
  <c r="M303" i="7"/>
  <c r="N303" i="7" s="1"/>
  <c r="G299" i="28"/>
  <c r="H299" i="28" s="1"/>
  <c r="F298" i="28"/>
  <c r="L296" i="13"/>
  <c r="G295" i="27"/>
  <c r="H295" i="27" s="1"/>
  <c r="J295" i="27" s="1"/>
  <c r="L295" i="27" s="1"/>
  <c r="F294" i="27"/>
  <c r="F296" i="13" l="1"/>
  <c r="H297" i="13"/>
  <c r="G297" i="13"/>
  <c r="J298" i="13"/>
  <c r="I298" i="13"/>
  <c r="AH302" i="7"/>
  <c r="K301" i="7"/>
  <c r="H300" i="7"/>
  <c r="AI300" i="7" s="1"/>
  <c r="I300" i="7"/>
  <c r="AG300" i="7" s="1"/>
  <c r="L301" i="7"/>
  <c r="J301" i="7"/>
  <c r="G299" i="7"/>
  <c r="M302" i="7"/>
  <c r="N302" i="7" s="1"/>
  <c r="G298" i="28"/>
  <c r="H298" i="28" s="1"/>
  <c r="F297" i="28"/>
  <c r="G294" i="27"/>
  <c r="H294" i="27" s="1"/>
  <c r="J294" i="27" s="1"/>
  <c r="L294" i="27" s="1"/>
  <c r="F293" i="27"/>
  <c r="L295" i="13"/>
  <c r="J297" i="13" l="1"/>
  <c r="I297" i="13"/>
  <c r="F295" i="13"/>
  <c r="H296" i="13"/>
  <c r="G296" i="13"/>
  <c r="AH301" i="7"/>
  <c r="H299" i="7"/>
  <c r="AI299" i="7" s="1"/>
  <c r="I299" i="7"/>
  <c r="AG299" i="7" s="1"/>
  <c r="L300" i="7"/>
  <c r="J300" i="7"/>
  <c r="G298" i="7"/>
  <c r="K300" i="7"/>
  <c r="M301" i="7"/>
  <c r="N301" i="7" s="1"/>
  <c r="G297" i="28"/>
  <c r="H297" i="28" s="1"/>
  <c r="F296" i="28"/>
  <c r="G293" i="27"/>
  <c r="H293" i="27" s="1"/>
  <c r="J293" i="27" s="1"/>
  <c r="L293" i="27" s="1"/>
  <c r="F292" i="27"/>
  <c r="L294" i="13"/>
  <c r="F294" i="13" l="1"/>
  <c r="H295" i="13"/>
  <c r="G295" i="13"/>
  <c r="I296" i="13"/>
  <c r="J296" i="13"/>
  <c r="AH300" i="7"/>
  <c r="M300" i="7"/>
  <c r="N300" i="7" s="1"/>
  <c r="G297" i="7"/>
  <c r="J299" i="7"/>
  <c r="L299" i="7"/>
  <c r="H298" i="7"/>
  <c r="AI298" i="7" s="1"/>
  <c r="I298" i="7"/>
  <c r="AG298" i="7" s="1"/>
  <c r="K299" i="7"/>
  <c r="G296" i="28"/>
  <c r="H296" i="28" s="1"/>
  <c r="F295" i="28"/>
  <c r="G292" i="27"/>
  <c r="H292" i="27" s="1"/>
  <c r="J292" i="27" s="1"/>
  <c r="L292" i="27" s="1"/>
  <c r="F291" i="27"/>
  <c r="L293" i="13"/>
  <c r="I295" i="13" l="1"/>
  <c r="J295" i="13"/>
  <c r="F293" i="13"/>
  <c r="H294" i="13"/>
  <c r="G294" i="13"/>
  <c r="AH299" i="7"/>
  <c r="L298" i="7"/>
  <c r="J298" i="7"/>
  <c r="G296" i="7"/>
  <c r="K298" i="7"/>
  <c r="I297" i="7"/>
  <c r="AG297" i="7" s="1"/>
  <c r="H297" i="7"/>
  <c r="AI297" i="7" s="1"/>
  <c r="M299" i="7"/>
  <c r="N299" i="7" s="1"/>
  <c r="G295" i="28"/>
  <c r="H295" i="28" s="1"/>
  <c r="F294" i="28"/>
  <c r="G291" i="27"/>
  <c r="H291" i="27" s="1"/>
  <c r="J291" i="27" s="1"/>
  <c r="L291" i="27" s="1"/>
  <c r="F290" i="27"/>
  <c r="L292" i="13"/>
  <c r="F292" i="13" l="1"/>
  <c r="H293" i="13"/>
  <c r="G293" i="13"/>
  <c r="I294" i="13"/>
  <c r="J294" i="13"/>
  <c r="AH298" i="7"/>
  <c r="K297" i="7"/>
  <c r="G295" i="7"/>
  <c r="J297" i="7"/>
  <c r="L297" i="7"/>
  <c r="I296" i="7"/>
  <c r="AG296" i="7" s="1"/>
  <c r="H296" i="7"/>
  <c r="AI296" i="7" s="1"/>
  <c r="M298" i="7"/>
  <c r="N298" i="7" s="1"/>
  <c r="G294" i="28"/>
  <c r="H294" i="28" s="1"/>
  <c r="F293" i="28"/>
  <c r="G290" i="27"/>
  <c r="H290" i="27" s="1"/>
  <c r="J290" i="27" s="1"/>
  <c r="L290" i="27" s="1"/>
  <c r="F289" i="27"/>
  <c r="L291" i="13"/>
  <c r="I293" i="13" l="1"/>
  <c r="J293" i="13"/>
  <c r="F291" i="13"/>
  <c r="H292" i="13"/>
  <c r="G292" i="13"/>
  <c r="AH297" i="7"/>
  <c r="J296" i="7"/>
  <c r="L296" i="7"/>
  <c r="H295" i="7"/>
  <c r="AI295" i="7" s="1"/>
  <c r="I295" i="7"/>
  <c r="AG295" i="7" s="1"/>
  <c r="M297" i="7"/>
  <c r="N297" i="7" s="1"/>
  <c r="K296" i="7"/>
  <c r="G294" i="7"/>
  <c r="G293" i="28"/>
  <c r="H293" i="28" s="1"/>
  <c r="F292" i="28"/>
  <c r="L290" i="13"/>
  <c r="G289" i="27"/>
  <c r="H289" i="27" s="1"/>
  <c r="J289" i="27" s="1"/>
  <c r="L289" i="27" s="1"/>
  <c r="F288" i="27"/>
  <c r="F290" i="13" l="1"/>
  <c r="H291" i="13"/>
  <c r="G291" i="13"/>
  <c r="I292" i="13"/>
  <c r="J292" i="13"/>
  <c r="AH296" i="7"/>
  <c r="L295" i="7"/>
  <c r="J295" i="7"/>
  <c r="H294" i="7"/>
  <c r="AI294" i="7" s="1"/>
  <c r="I294" i="7"/>
  <c r="AG294" i="7" s="1"/>
  <c r="K295" i="7"/>
  <c r="G293" i="7"/>
  <c r="M296" i="7"/>
  <c r="N296" i="7" s="1"/>
  <c r="G292" i="28"/>
  <c r="H292" i="28" s="1"/>
  <c r="F291" i="28"/>
  <c r="G288" i="27"/>
  <c r="H288" i="27" s="1"/>
  <c r="J288" i="27" s="1"/>
  <c r="L288" i="27" s="1"/>
  <c r="F287" i="27"/>
  <c r="L289" i="13"/>
  <c r="I291" i="13" l="1"/>
  <c r="J291" i="13"/>
  <c r="F289" i="13"/>
  <c r="H290" i="13"/>
  <c r="G290" i="13"/>
  <c r="AH295" i="7"/>
  <c r="G292" i="7"/>
  <c r="J294" i="7"/>
  <c r="L294" i="7"/>
  <c r="M294" i="7" s="1"/>
  <c r="H293" i="7"/>
  <c r="AI293" i="7" s="1"/>
  <c r="I293" i="7"/>
  <c r="AG293" i="7" s="1"/>
  <c r="K294" i="7"/>
  <c r="M295" i="7"/>
  <c r="N295" i="7" s="1"/>
  <c r="G291" i="28"/>
  <c r="H291" i="28" s="1"/>
  <c r="F290" i="28"/>
  <c r="L288" i="13"/>
  <c r="G287" i="27"/>
  <c r="H287" i="27" s="1"/>
  <c r="J287" i="27" s="1"/>
  <c r="L287" i="27" s="1"/>
  <c r="F286" i="27"/>
  <c r="I290" i="13" l="1"/>
  <c r="J290" i="13"/>
  <c r="F288" i="13"/>
  <c r="H289" i="13"/>
  <c r="G289" i="13"/>
  <c r="AH294" i="7"/>
  <c r="N294" i="7"/>
  <c r="J293" i="7"/>
  <c r="L293" i="7"/>
  <c r="I292" i="7"/>
  <c r="AG292" i="7" s="1"/>
  <c r="H292" i="7"/>
  <c r="AI292" i="7" s="1"/>
  <c r="K293" i="7"/>
  <c r="G291" i="7"/>
  <c r="G290" i="28"/>
  <c r="H290" i="28" s="1"/>
  <c r="F289" i="28"/>
  <c r="L287" i="13"/>
  <c r="G286" i="27"/>
  <c r="H286" i="27" s="1"/>
  <c r="J286" i="27" s="1"/>
  <c r="L286" i="27" s="1"/>
  <c r="F285" i="27"/>
  <c r="I289" i="13" l="1"/>
  <c r="J289" i="13"/>
  <c r="F287" i="13"/>
  <c r="H288" i="13"/>
  <c r="G288" i="13"/>
  <c r="AH293" i="7"/>
  <c r="H291" i="7"/>
  <c r="AI291" i="7" s="1"/>
  <c r="I291" i="7"/>
  <c r="AG291" i="7" s="1"/>
  <c r="K292" i="7"/>
  <c r="G290" i="7"/>
  <c r="L292" i="7"/>
  <c r="J292" i="7"/>
  <c r="AH292" i="7" s="1"/>
  <c r="M293" i="7"/>
  <c r="N293" i="7" s="1"/>
  <c r="F288" i="28"/>
  <c r="G289" i="28"/>
  <c r="H289" i="28" s="1"/>
  <c r="G285" i="27"/>
  <c r="H285" i="27" s="1"/>
  <c r="J285" i="27" s="1"/>
  <c r="L285" i="27" s="1"/>
  <c r="F284" i="27"/>
  <c r="L286" i="13"/>
  <c r="I288" i="13" l="1"/>
  <c r="J288" i="13"/>
  <c r="F286" i="13"/>
  <c r="H287" i="13"/>
  <c r="G287" i="13"/>
  <c r="M292" i="7"/>
  <c r="N292" i="7" s="1"/>
  <c r="G289" i="7"/>
  <c r="H290" i="7"/>
  <c r="AI290" i="7" s="1"/>
  <c r="I290" i="7"/>
  <c r="AG290" i="7" s="1"/>
  <c r="L291" i="7"/>
  <c r="J291" i="7"/>
  <c r="K291" i="7"/>
  <c r="G288" i="28"/>
  <c r="H288" i="28" s="1"/>
  <c r="F287" i="28"/>
  <c r="L285" i="13"/>
  <c r="G284" i="27"/>
  <c r="H284" i="27" s="1"/>
  <c r="J284" i="27" s="1"/>
  <c r="L284" i="27" s="1"/>
  <c r="F283" i="27"/>
  <c r="I287" i="13" l="1"/>
  <c r="J287" i="13"/>
  <c r="F285" i="13"/>
  <c r="H286" i="13"/>
  <c r="G286" i="13"/>
  <c r="AH291" i="7"/>
  <c r="I289" i="7"/>
  <c r="AG289" i="7" s="1"/>
  <c r="H289" i="7"/>
  <c r="AI289" i="7" s="1"/>
  <c r="M291" i="7"/>
  <c r="N291" i="7" s="1"/>
  <c r="G288" i="7"/>
  <c r="J290" i="7"/>
  <c r="L290" i="7"/>
  <c r="K290" i="7"/>
  <c r="G287" i="28"/>
  <c r="H287" i="28" s="1"/>
  <c r="F286" i="28"/>
  <c r="G283" i="27"/>
  <c r="H283" i="27" s="1"/>
  <c r="J283" i="27" s="1"/>
  <c r="L283" i="27" s="1"/>
  <c r="F282" i="27"/>
  <c r="L284" i="13"/>
  <c r="F284" i="13" l="1"/>
  <c r="H285" i="13"/>
  <c r="G285" i="13"/>
  <c r="I286" i="13"/>
  <c r="J286" i="13"/>
  <c r="AH290" i="7"/>
  <c r="G287" i="7"/>
  <c r="K289" i="7"/>
  <c r="M290" i="7"/>
  <c r="N290" i="7" s="1"/>
  <c r="H288" i="7"/>
  <c r="AI288" i="7" s="1"/>
  <c r="I288" i="7"/>
  <c r="AG288" i="7" s="1"/>
  <c r="L289" i="7"/>
  <c r="J289" i="7"/>
  <c r="G286" i="28"/>
  <c r="H286" i="28" s="1"/>
  <c r="F285" i="28"/>
  <c r="G282" i="27"/>
  <c r="H282" i="27" s="1"/>
  <c r="J282" i="27" s="1"/>
  <c r="L282" i="27" s="1"/>
  <c r="F281" i="27"/>
  <c r="L283" i="13"/>
  <c r="I285" i="13" l="1"/>
  <c r="J285" i="13"/>
  <c r="F283" i="13"/>
  <c r="H284" i="13"/>
  <c r="G284" i="13"/>
  <c r="AH289" i="7"/>
  <c r="K288" i="7"/>
  <c r="G286" i="7"/>
  <c r="M289" i="7"/>
  <c r="N289" i="7" s="1"/>
  <c r="H287" i="7"/>
  <c r="AI287" i="7" s="1"/>
  <c r="I287" i="7"/>
  <c r="AG287" i="7" s="1"/>
  <c r="L288" i="7"/>
  <c r="J288" i="7"/>
  <c r="F284" i="28"/>
  <c r="G285" i="28"/>
  <c r="H285" i="28" s="1"/>
  <c r="L282" i="13"/>
  <c r="G281" i="27"/>
  <c r="H281" i="27" s="1"/>
  <c r="J281" i="27" s="1"/>
  <c r="L281" i="27" s="1"/>
  <c r="F280" i="27"/>
  <c r="J284" i="13" l="1"/>
  <c r="I284" i="13"/>
  <c r="F282" i="13"/>
  <c r="H283" i="13"/>
  <c r="G283" i="13"/>
  <c r="AH288" i="7"/>
  <c r="J287" i="7"/>
  <c r="L287" i="7"/>
  <c r="G285" i="7"/>
  <c r="K287" i="7"/>
  <c r="H286" i="7"/>
  <c r="AI286" i="7" s="1"/>
  <c r="I286" i="7"/>
  <c r="AG286" i="7" s="1"/>
  <c r="M288" i="7"/>
  <c r="N288" i="7" s="1"/>
  <c r="F283" i="28"/>
  <c r="G284" i="28"/>
  <c r="H284" i="28" s="1"/>
  <c r="G280" i="27"/>
  <c r="H280" i="27" s="1"/>
  <c r="J280" i="27" s="1"/>
  <c r="L280" i="27" s="1"/>
  <c r="F279" i="27"/>
  <c r="L281" i="13"/>
  <c r="I283" i="13" l="1"/>
  <c r="J283" i="13"/>
  <c r="F281" i="13"/>
  <c r="H282" i="13"/>
  <c r="G282" i="13"/>
  <c r="AH287" i="7"/>
  <c r="K286" i="7"/>
  <c r="G284" i="7"/>
  <c r="L286" i="7"/>
  <c r="J286" i="7"/>
  <c r="M287" i="7"/>
  <c r="N287" i="7" s="1"/>
  <c r="H285" i="7"/>
  <c r="AI285" i="7" s="1"/>
  <c r="I285" i="7"/>
  <c r="AG285" i="7" s="1"/>
  <c r="F282" i="28"/>
  <c r="G283" i="28"/>
  <c r="H283" i="28" s="1"/>
  <c r="G279" i="27"/>
  <c r="H279" i="27" s="1"/>
  <c r="J279" i="27" s="1"/>
  <c r="L279" i="27" s="1"/>
  <c r="F278" i="27"/>
  <c r="I282" i="13" l="1"/>
  <c r="J282" i="13"/>
  <c r="F280" i="13"/>
  <c r="H281" i="13"/>
  <c r="G281" i="13"/>
  <c r="AH286" i="7"/>
  <c r="I284" i="7"/>
  <c r="AG284" i="7" s="1"/>
  <c r="H284" i="7"/>
  <c r="AI284" i="7" s="1"/>
  <c r="G283" i="7"/>
  <c r="J285" i="7"/>
  <c r="L285" i="7"/>
  <c r="K285" i="7"/>
  <c r="M286" i="7"/>
  <c r="N286" i="7" s="1"/>
  <c r="F281" i="28"/>
  <c r="G282" i="28"/>
  <c r="H282" i="28" s="1"/>
  <c r="G278" i="27"/>
  <c r="H278" i="27" s="1"/>
  <c r="J278" i="27" s="1"/>
  <c r="L278" i="27" s="1"/>
  <c r="F277" i="27"/>
  <c r="I281" i="13" l="1"/>
  <c r="J281" i="13"/>
  <c r="F279" i="13"/>
  <c r="H280" i="13"/>
  <c r="L280" i="13" s="1"/>
  <c r="G280" i="13"/>
  <c r="AH285" i="7"/>
  <c r="G282" i="7"/>
  <c r="I283" i="7"/>
  <c r="AG283" i="7" s="1"/>
  <c r="H283" i="7"/>
  <c r="AI283" i="7" s="1"/>
  <c r="M285" i="7"/>
  <c r="N285" i="7" s="1"/>
  <c r="K284" i="7"/>
  <c r="J284" i="7"/>
  <c r="L284" i="7"/>
  <c r="F280" i="28"/>
  <c r="G281" i="28"/>
  <c r="H281" i="28" s="1"/>
  <c r="G277" i="27"/>
  <c r="H277" i="27" s="1"/>
  <c r="J277" i="27" s="1"/>
  <c r="L277" i="27" s="1"/>
  <c r="F276" i="27"/>
  <c r="J280" i="13" l="1"/>
  <c r="I280" i="13"/>
  <c r="F278" i="13"/>
  <c r="H279" i="13"/>
  <c r="L279" i="13" s="1"/>
  <c r="G279" i="13"/>
  <c r="AH284" i="7"/>
  <c r="K283" i="7"/>
  <c r="J283" i="7"/>
  <c r="L283" i="7"/>
  <c r="M284" i="7"/>
  <c r="N284" i="7" s="1"/>
  <c r="G281" i="7"/>
  <c r="H282" i="7"/>
  <c r="AI282" i="7" s="1"/>
  <c r="I282" i="7"/>
  <c r="AG282" i="7" s="1"/>
  <c r="F279" i="28"/>
  <c r="G280" i="28"/>
  <c r="H280" i="28" s="1"/>
  <c r="G276" i="27"/>
  <c r="H276" i="27" s="1"/>
  <c r="J276" i="27" s="1"/>
  <c r="L276" i="27" s="1"/>
  <c r="F275" i="27"/>
  <c r="I279" i="13" l="1"/>
  <c r="J279" i="13"/>
  <c r="F277" i="13"/>
  <c r="H278" i="13"/>
  <c r="L278" i="13" s="1"/>
  <c r="G278" i="13"/>
  <c r="AH283" i="7"/>
  <c r="G280" i="7"/>
  <c r="M283" i="7"/>
  <c r="N283" i="7" s="1"/>
  <c r="I281" i="7"/>
  <c r="AG281" i="7" s="1"/>
  <c r="H281" i="7"/>
  <c r="AI281" i="7" s="1"/>
  <c r="L282" i="7"/>
  <c r="J282" i="7"/>
  <c r="K282" i="7"/>
  <c r="G279" i="28"/>
  <c r="H279" i="28" s="1"/>
  <c r="F278" i="28"/>
  <c r="G275" i="27"/>
  <c r="H275" i="27" s="1"/>
  <c r="J275" i="27" s="1"/>
  <c r="L275" i="27" s="1"/>
  <c r="F274" i="27"/>
  <c r="J278" i="13" l="1"/>
  <c r="I278" i="13"/>
  <c r="F276" i="13"/>
  <c r="H277" i="13"/>
  <c r="L277" i="13" s="1"/>
  <c r="G277" i="13"/>
  <c r="AH282" i="7"/>
  <c r="M282" i="7"/>
  <c r="N282" i="7" s="1"/>
  <c r="K281" i="7"/>
  <c r="G279" i="7"/>
  <c r="J281" i="7"/>
  <c r="L281" i="7"/>
  <c r="H280" i="7"/>
  <c r="AI280" i="7" s="1"/>
  <c r="I280" i="7"/>
  <c r="AG280" i="7" s="1"/>
  <c r="G278" i="28"/>
  <c r="H278" i="28" s="1"/>
  <c r="F277" i="28"/>
  <c r="G274" i="27"/>
  <c r="H274" i="27" s="1"/>
  <c r="J274" i="27" s="1"/>
  <c r="L274" i="27" s="1"/>
  <c r="F273" i="27"/>
  <c r="I277" i="13" l="1"/>
  <c r="J277" i="13"/>
  <c r="F275" i="13"/>
  <c r="H276" i="13"/>
  <c r="L276" i="13" s="1"/>
  <c r="G276" i="13"/>
  <c r="AH281" i="7"/>
  <c r="M281" i="7"/>
  <c r="N281" i="7" s="1"/>
  <c r="L280" i="7"/>
  <c r="J280" i="7"/>
  <c r="H279" i="7"/>
  <c r="AI279" i="7" s="1"/>
  <c r="I279" i="7"/>
  <c r="AG279" i="7" s="1"/>
  <c r="K280" i="7"/>
  <c r="G278" i="7"/>
  <c r="G277" i="28"/>
  <c r="H277" i="28" s="1"/>
  <c r="F276" i="28"/>
  <c r="G273" i="27"/>
  <c r="H273" i="27" s="1"/>
  <c r="J273" i="27" s="1"/>
  <c r="L273" i="27" s="1"/>
  <c r="F272" i="27"/>
  <c r="J276" i="13" l="1"/>
  <c r="I276" i="13"/>
  <c r="F274" i="13"/>
  <c r="H275" i="13"/>
  <c r="L275" i="13" s="1"/>
  <c r="G275" i="13"/>
  <c r="AH280" i="7"/>
  <c r="M280" i="7"/>
  <c r="N280" i="7" s="1"/>
  <c r="H278" i="7"/>
  <c r="AI278" i="7" s="1"/>
  <c r="I278" i="7"/>
  <c r="AG278" i="7" s="1"/>
  <c r="L279" i="7"/>
  <c r="J279" i="7"/>
  <c r="AH279" i="7" s="1"/>
  <c r="G277" i="7"/>
  <c r="K279" i="7"/>
  <c r="G276" i="28"/>
  <c r="H276" i="28" s="1"/>
  <c r="F275" i="28"/>
  <c r="G272" i="27"/>
  <c r="H272" i="27" s="1"/>
  <c r="J272" i="27" s="1"/>
  <c r="L272" i="27" s="1"/>
  <c r="F271" i="27"/>
  <c r="I275" i="13" l="1"/>
  <c r="J275" i="13"/>
  <c r="F273" i="13"/>
  <c r="H274" i="13"/>
  <c r="L274" i="13" s="1"/>
  <c r="G274" i="13"/>
  <c r="I277" i="7"/>
  <c r="AG277" i="7" s="1"/>
  <c r="H277" i="7"/>
  <c r="AI277" i="7" s="1"/>
  <c r="J278" i="7"/>
  <c r="L278" i="7"/>
  <c r="G276" i="7"/>
  <c r="K278" i="7"/>
  <c r="M279" i="7"/>
  <c r="N279" i="7" s="1"/>
  <c r="F274" i="28"/>
  <c r="G275" i="28"/>
  <c r="H275" i="28" s="1"/>
  <c r="G271" i="27"/>
  <c r="H271" i="27" s="1"/>
  <c r="J271" i="27" s="1"/>
  <c r="L271" i="27" s="1"/>
  <c r="F270" i="27"/>
  <c r="I274" i="13" l="1"/>
  <c r="J274" i="13"/>
  <c r="F272" i="13"/>
  <c r="H273" i="13"/>
  <c r="L273" i="13" s="1"/>
  <c r="G273" i="13"/>
  <c r="AH278" i="7"/>
  <c r="M278" i="7"/>
  <c r="N278" i="7" s="1"/>
  <c r="G275" i="7"/>
  <c r="K277" i="7"/>
  <c r="H276" i="7"/>
  <c r="AI276" i="7" s="1"/>
  <c r="I276" i="7"/>
  <c r="AG276" i="7" s="1"/>
  <c r="J277" i="7"/>
  <c r="L277" i="7"/>
  <c r="F273" i="28"/>
  <c r="G274" i="28"/>
  <c r="H274" i="28" s="1"/>
  <c r="G270" i="27"/>
  <c r="H270" i="27" s="1"/>
  <c r="J270" i="27" s="1"/>
  <c r="L270" i="27" s="1"/>
  <c r="F269" i="27"/>
  <c r="J273" i="13" l="1"/>
  <c r="I273" i="13"/>
  <c r="F271" i="13"/>
  <c r="H272" i="13"/>
  <c r="L272" i="13" s="1"/>
  <c r="G272" i="13"/>
  <c r="AH277" i="7"/>
  <c r="L276" i="7"/>
  <c r="J276" i="7"/>
  <c r="K276" i="7"/>
  <c r="H275" i="7"/>
  <c r="AI275" i="7" s="1"/>
  <c r="I275" i="7"/>
  <c r="AG275" i="7" s="1"/>
  <c r="M277" i="7"/>
  <c r="N277" i="7" s="1"/>
  <c r="G274" i="7"/>
  <c r="F272" i="28"/>
  <c r="G273" i="28"/>
  <c r="H273" i="28" s="1"/>
  <c r="G269" i="27"/>
  <c r="H269" i="27" s="1"/>
  <c r="J269" i="27" s="1"/>
  <c r="L269" i="27" s="1"/>
  <c r="F268" i="27"/>
  <c r="J272" i="13" l="1"/>
  <c r="I272" i="13"/>
  <c r="F270" i="13"/>
  <c r="H271" i="13"/>
  <c r="L271" i="13" s="1"/>
  <c r="G271" i="13"/>
  <c r="AH276" i="7"/>
  <c r="G273" i="7"/>
  <c r="J275" i="7"/>
  <c r="L275" i="7"/>
  <c r="H274" i="7"/>
  <c r="AI274" i="7" s="1"/>
  <c r="I274" i="7"/>
  <c r="AG274" i="7" s="1"/>
  <c r="K275" i="7"/>
  <c r="M276" i="7"/>
  <c r="N276" i="7" s="1"/>
  <c r="F271" i="28"/>
  <c r="G272" i="28"/>
  <c r="H272" i="28" s="1"/>
  <c r="G268" i="27"/>
  <c r="H268" i="27" s="1"/>
  <c r="J268" i="27" s="1"/>
  <c r="L268" i="27" s="1"/>
  <c r="F267" i="27"/>
  <c r="I271" i="13" l="1"/>
  <c r="J271" i="13"/>
  <c r="F269" i="13"/>
  <c r="H270" i="13"/>
  <c r="L270" i="13" s="1"/>
  <c r="G270" i="13"/>
  <c r="AH275" i="7"/>
  <c r="L274" i="7"/>
  <c r="J274" i="7"/>
  <c r="I273" i="7"/>
  <c r="AG273" i="7" s="1"/>
  <c r="H273" i="7"/>
  <c r="AI273" i="7" s="1"/>
  <c r="M275" i="7"/>
  <c r="N275" i="7" s="1"/>
  <c r="K274" i="7"/>
  <c r="G272" i="7"/>
  <c r="G271" i="28"/>
  <c r="H271" i="28" s="1"/>
  <c r="F270" i="28"/>
  <c r="G267" i="27"/>
  <c r="H267" i="27" s="1"/>
  <c r="J267" i="27" s="1"/>
  <c r="L267" i="27" s="1"/>
  <c r="F266" i="27"/>
  <c r="J270" i="13" l="1"/>
  <c r="I270" i="13"/>
  <c r="F268" i="13"/>
  <c r="H269" i="13"/>
  <c r="L269" i="13" s="1"/>
  <c r="G269" i="13"/>
  <c r="AH274" i="7"/>
  <c r="L273" i="7"/>
  <c r="J273" i="7"/>
  <c r="G271" i="7"/>
  <c r="K273" i="7"/>
  <c r="I272" i="7"/>
  <c r="AG272" i="7" s="1"/>
  <c r="H272" i="7"/>
  <c r="AI272" i="7" s="1"/>
  <c r="M274" i="7"/>
  <c r="N274" i="7" s="1"/>
  <c r="F269" i="28"/>
  <c r="G270" i="28"/>
  <c r="H270" i="28" s="1"/>
  <c r="G266" i="27"/>
  <c r="H266" i="27" s="1"/>
  <c r="J266" i="27" s="1"/>
  <c r="L266" i="27" s="1"/>
  <c r="F265" i="27"/>
  <c r="I269" i="13" l="1"/>
  <c r="J269" i="13"/>
  <c r="F267" i="13"/>
  <c r="H268" i="13"/>
  <c r="L268" i="13" s="1"/>
  <c r="G268" i="13"/>
  <c r="AH273" i="7"/>
  <c r="L272" i="7"/>
  <c r="J272" i="7"/>
  <c r="AH272" i="7" s="1"/>
  <c r="G270" i="7"/>
  <c r="K272" i="7"/>
  <c r="H271" i="7"/>
  <c r="AI271" i="7" s="1"/>
  <c r="I271" i="7"/>
  <c r="AG271" i="7" s="1"/>
  <c r="M273" i="7"/>
  <c r="N273" i="7" s="1"/>
  <c r="G269" i="28"/>
  <c r="H269" i="28" s="1"/>
  <c r="F268" i="28"/>
  <c r="G265" i="27"/>
  <c r="H265" i="27" s="1"/>
  <c r="J265" i="27" s="1"/>
  <c r="L265" i="27" s="1"/>
  <c r="F264" i="27"/>
  <c r="I268" i="13" l="1"/>
  <c r="J268" i="13"/>
  <c r="F266" i="13"/>
  <c r="H267" i="13"/>
  <c r="L267" i="13" s="1"/>
  <c r="G267" i="13"/>
  <c r="G269" i="7"/>
  <c r="H270" i="7"/>
  <c r="AI270" i="7" s="1"/>
  <c r="I270" i="7"/>
  <c r="AG270" i="7" s="1"/>
  <c r="K271" i="7"/>
  <c r="J271" i="7"/>
  <c r="L271" i="7"/>
  <c r="M272" i="7"/>
  <c r="N272" i="7" s="1"/>
  <c r="G268" i="28"/>
  <c r="H268" i="28" s="1"/>
  <c r="F267" i="28"/>
  <c r="G264" i="27"/>
  <c r="H264" i="27" s="1"/>
  <c r="J264" i="27" s="1"/>
  <c r="L264" i="27" s="1"/>
  <c r="F263" i="27"/>
  <c r="J267" i="13" l="1"/>
  <c r="I267" i="13"/>
  <c r="F265" i="13"/>
  <c r="H266" i="13"/>
  <c r="L266" i="13" s="1"/>
  <c r="G266" i="13"/>
  <c r="AH271" i="7"/>
  <c r="J270" i="7"/>
  <c r="L270" i="7"/>
  <c r="K270" i="7"/>
  <c r="G268" i="7"/>
  <c r="M271" i="7"/>
  <c r="N271" i="7" s="1"/>
  <c r="H269" i="7"/>
  <c r="AI269" i="7" s="1"/>
  <c r="I269" i="7"/>
  <c r="AG269" i="7" s="1"/>
  <c r="F266" i="28"/>
  <c r="G267" i="28"/>
  <c r="H267" i="28" s="1"/>
  <c r="G263" i="27"/>
  <c r="H263" i="27" s="1"/>
  <c r="J263" i="27" s="1"/>
  <c r="L263" i="27" s="1"/>
  <c r="F262" i="27"/>
  <c r="J266" i="13" l="1"/>
  <c r="I266" i="13"/>
  <c r="F264" i="13"/>
  <c r="H265" i="13"/>
  <c r="L265" i="13" s="1"/>
  <c r="G265" i="13"/>
  <c r="AH270" i="7"/>
  <c r="J269" i="7"/>
  <c r="L269" i="7"/>
  <c r="G267" i="7"/>
  <c r="K269" i="7"/>
  <c r="H268" i="7"/>
  <c r="AI268" i="7" s="1"/>
  <c r="I268" i="7"/>
  <c r="AG268" i="7" s="1"/>
  <c r="M270" i="7"/>
  <c r="N270" i="7" s="1"/>
  <c r="G266" i="28"/>
  <c r="H266" i="28" s="1"/>
  <c r="F265" i="28"/>
  <c r="G262" i="27"/>
  <c r="H262" i="27" s="1"/>
  <c r="J262" i="27" s="1"/>
  <c r="L262" i="27" s="1"/>
  <c r="F261" i="27"/>
  <c r="I265" i="13" l="1"/>
  <c r="J265" i="13"/>
  <c r="F263" i="13"/>
  <c r="H264" i="13"/>
  <c r="L264" i="13" s="1"/>
  <c r="G264" i="13"/>
  <c r="AH269" i="7"/>
  <c r="J268" i="7"/>
  <c r="L268" i="7"/>
  <c r="G266" i="7"/>
  <c r="K268" i="7"/>
  <c r="H267" i="7"/>
  <c r="AI267" i="7" s="1"/>
  <c r="I267" i="7"/>
  <c r="AG267" i="7" s="1"/>
  <c r="M269" i="7"/>
  <c r="N269" i="7" s="1"/>
  <c r="G265" i="28"/>
  <c r="H265" i="28" s="1"/>
  <c r="F264" i="28"/>
  <c r="G261" i="27"/>
  <c r="H261" i="27" s="1"/>
  <c r="J261" i="27" s="1"/>
  <c r="L261" i="27" s="1"/>
  <c r="F260" i="27"/>
  <c r="I264" i="13" l="1"/>
  <c r="J264" i="13"/>
  <c r="F262" i="13"/>
  <c r="H263" i="13"/>
  <c r="L263" i="13" s="1"/>
  <c r="G263" i="13"/>
  <c r="AH268" i="7"/>
  <c r="J267" i="7"/>
  <c r="L267" i="7"/>
  <c r="H266" i="7"/>
  <c r="AI266" i="7" s="1"/>
  <c r="I266" i="7"/>
  <c r="AG266" i="7" s="1"/>
  <c r="K267" i="7"/>
  <c r="G265" i="7"/>
  <c r="M268" i="7"/>
  <c r="N268" i="7" s="1"/>
  <c r="G264" i="28"/>
  <c r="H264" i="28" s="1"/>
  <c r="F263" i="28"/>
  <c r="G260" i="27"/>
  <c r="H260" i="27" s="1"/>
  <c r="J260" i="27" s="1"/>
  <c r="L260" i="27" s="1"/>
  <c r="F259" i="27"/>
  <c r="I263" i="13" l="1"/>
  <c r="J263" i="13"/>
  <c r="F261" i="13"/>
  <c r="H262" i="13"/>
  <c r="L262" i="13" s="1"/>
  <c r="G262" i="13"/>
  <c r="AH267" i="7"/>
  <c r="G264" i="7"/>
  <c r="J266" i="7"/>
  <c r="L266" i="7"/>
  <c r="I265" i="7"/>
  <c r="AG265" i="7" s="1"/>
  <c r="H265" i="7"/>
  <c r="AI265" i="7" s="1"/>
  <c r="K266" i="7"/>
  <c r="M267" i="7"/>
  <c r="N267" i="7" s="1"/>
  <c r="G263" i="28"/>
  <c r="H263" i="28" s="1"/>
  <c r="F262" i="28"/>
  <c r="G259" i="27"/>
  <c r="H259" i="27" s="1"/>
  <c r="J259" i="27" s="1"/>
  <c r="L259" i="27" s="1"/>
  <c r="F258" i="27"/>
  <c r="I262" i="13" l="1"/>
  <c r="J262" i="13"/>
  <c r="F260" i="13"/>
  <c r="H261" i="13"/>
  <c r="L261" i="13" s="1"/>
  <c r="G261" i="13"/>
  <c r="AH266" i="7"/>
  <c r="M266" i="7"/>
  <c r="N266" i="7" s="1"/>
  <c r="K265" i="7"/>
  <c r="G263" i="7"/>
  <c r="J265" i="7"/>
  <c r="AH265" i="7" s="1"/>
  <c r="L265" i="7"/>
  <c r="H264" i="7"/>
  <c r="AI264" i="7" s="1"/>
  <c r="I264" i="7"/>
  <c r="AG264" i="7" s="1"/>
  <c r="G262" i="28"/>
  <c r="H262" i="28" s="1"/>
  <c r="F261" i="28"/>
  <c r="G258" i="27"/>
  <c r="H258" i="27" s="1"/>
  <c r="J258" i="27" s="1"/>
  <c r="L258" i="27" s="1"/>
  <c r="F257" i="27"/>
  <c r="J261" i="13" l="1"/>
  <c r="I261" i="13"/>
  <c r="F259" i="13"/>
  <c r="H260" i="13"/>
  <c r="L260" i="13" s="1"/>
  <c r="G260" i="13"/>
  <c r="L264" i="7"/>
  <c r="J264" i="7"/>
  <c r="AH264" i="7" s="1"/>
  <c r="G262" i="7"/>
  <c r="K264" i="7"/>
  <c r="H263" i="7"/>
  <c r="AI263" i="7" s="1"/>
  <c r="I263" i="7"/>
  <c r="AG263" i="7" s="1"/>
  <c r="M265" i="7"/>
  <c r="N265" i="7" s="1"/>
  <c r="G261" i="28"/>
  <c r="H261" i="28" s="1"/>
  <c r="F260" i="28"/>
  <c r="G257" i="27"/>
  <c r="H257" i="27" s="1"/>
  <c r="J257" i="27" s="1"/>
  <c r="L257" i="27" s="1"/>
  <c r="F256" i="27"/>
  <c r="I260" i="13" l="1"/>
  <c r="J260" i="13"/>
  <c r="F258" i="13"/>
  <c r="H259" i="13"/>
  <c r="L259" i="13" s="1"/>
  <c r="G259" i="13"/>
  <c r="L263" i="7"/>
  <c r="J263" i="7"/>
  <c r="M264" i="7"/>
  <c r="N264" i="7" s="1"/>
  <c r="K263" i="7"/>
  <c r="G261" i="7"/>
  <c r="H262" i="7"/>
  <c r="AI262" i="7" s="1"/>
  <c r="I262" i="7"/>
  <c r="AG262" i="7" s="1"/>
  <c r="F259" i="28"/>
  <c r="G260" i="28"/>
  <c r="H260" i="28" s="1"/>
  <c r="G256" i="27"/>
  <c r="H256" i="27" s="1"/>
  <c r="J256" i="27" s="1"/>
  <c r="L256" i="27" s="1"/>
  <c r="F255" i="27"/>
  <c r="J259" i="13" l="1"/>
  <c r="I259" i="13"/>
  <c r="F257" i="13"/>
  <c r="H258" i="13"/>
  <c r="L258" i="13" s="1"/>
  <c r="G258" i="13"/>
  <c r="AH263" i="7"/>
  <c r="H261" i="7"/>
  <c r="AI261" i="7" s="1"/>
  <c r="I261" i="7"/>
  <c r="AG261" i="7" s="1"/>
  <c r="G260" i="7"/>
  <c r="J262" i="7"/>
  <c r="L262" i="7"/>
  <c r="K262" i="7"/>
  <c r="M263" i="7"/>
  <c r="N263" i="7" s="1"/>
  <c r="G259" i="28"/>
  <c r="H259" i="28" s="1"/>
  <c r="F258" i="28"/>
  <c r="G255" i="27"/>
  <c r="H255" i="27" s="1"/>
  <c r="J255" i="27" s="1"/>
  <c r="L255" i="27" s="1"/>
  <c r="F254" i="27"/>
  <c r="J258" i="13" l="1"/>
  <c r="I258" i="13"/>
  <c r="F256" i="13"/>
  <c r="H257" i="13"/>
  <c r="L257" i="13" s="1"/>
  <c r="G257" i="13"/>
  <c r="AH262" i="7"/>
  <c r="G259" i="7"/>
  <c r="I260" i="7"/>
  <c r="AG260" i="7" s="1"/>
  <c r="H260" i="7"/>
  <c r="AI260" i="7" s="1"/>
  <c r="M262" i="7"/>
  <c r="N262" i="7" s="1"/>
  <c r="J261" i="7"/>
  <c r="L261" i="7"/>
  <c r="K261" i="7"/>
  <c r="G258" i="28"/>
  <c r="H258" i="28" s="1"/>
  <c r="F257" i="28"/>
  <c r="G254" i="27"/>
  <c r="H254" i="27" s="1"/>
  <c r="J254" i="27" s="1"/>
  <c r="L254" i="27" s="1"/>
  <c r="F253" i="27"/>
  <c r="I257" i="13" l="1"/>
  <c r="J257" i="13"/>
  <c r="F255" i="13"/>
  <c r="H256" i="13"/>
  <c r="L256" i="13" s="1"/>
  <c r="G256" i="13"/>
  <c r="AH261" i="7"/>
  <c r="M261" i="7"/>
  <c r="N261" i="7" s="1"/>
  <c r="K260" i="7"/>
  <c r="J260" i="7"/>
  <c r="L260" i="7"/>
  <c r="G258" i="7"/>
  <c r="H259" i="7"/>
  <c r="AI259" i="7" s="1"/>
  <c r="I259" i="7"/>
  <c r="AG259" i="7" s="1"/>
  <c r="G257" i="28"/>
  <c r="H257" i="28" s="1"/>
  <c r="F256" i="28"/>
  <c r="G253" i="27"/>
  <c r="H253" i="27" s="1"/>
  <c r="J253" i="27" s="1"/>
  <c r="L253" i="27" s="1"/>
  <c r="F252" i="27"/>
  <c r="J256" i="13" l="1"/>
  <c r="I256" i="13"/>
  <c r="F254" i="13"/>
  <c r="H255" i="13"/>
  <c r="L255" i="13" s="1"/>
  <c r="G255" i="13"/>
  <c r="G257" i="7"/>
  <c r="H257" i="7" s="1"/>
  <c r="AI257" i="7" s="1"/>
  <c r="AH260" i="7"/>
  <c r="H258" i="7"/>
  <c r="AI258" i="7" s="1"/>
  <c r="I258" i="7"/>
  <c r="AG258" i="7" s="1"/>
  <c r="J259" i="7"/>
  <c r="L259" i="7"/>
  <c r="M260" i="7"/>
  <c r="N260" i="7" s="1"/>
  <c r="K259" i="7"/>
  <c r="F255" i="28"/>
  <c r="G256" i="28"/>
  <c r="H256" i="28" s="1"/>
  <c r="G252" i="27"/>
  <c r="H252" i="27" s="1"/>
  <c r="J252" i="27" s="1"/>
  <c r="L252" i="27" s="1"/>
  <c r="F251" i="27"/>
  <c r="I255" i="13" l="1"/>
  <c r="J255" i="13"/>
  <c r="F253" i="13"/>
  <c r="H254" i="13"/>
  <c r="L254" i="13" s="1"/>
  <c r="G254" i="13"/>
  <c r="I257" i="7"/>
  <c r="AG257" i="7" s="1"/>
  <c r="G256" i="7"/>
  <c r="H256" i="7" s="1"/>
  <c r="AH259" i="7"/>
  <c r="K258" i="7"/>
  <c r="M259" i="7"/>
  <c r="N259" i="7" s="1"/>
  <c r="L258" i="7"/>
  <c r="J258" i="7"/>
  <c r="K257" i="7"/>
  <c r="G255" i="28"/>
  <c r="H255" i="28" s="1"/>
  <c r="F254" i="28"/>
  <c r="G251" i="27"/>
  <c r="H251" i="27" s="1"/>
  <c r="J251" i="27" s="1"/>
  <c r="L251" i="27" s="1"/>
  <c r="F250" i="27"/>
  <c r="J254" i="13" l="1"/>
  <c r="I254" i="13"/>
  <c r="F252" i="13"/>
  <c r="H253" i="13"/>
  <c r="L253" i="13" s="1"/>
  <c r="G253" i="13"/>
  <c r="J257" i="7"/>
  <c r="AH257" i="7" s="1"/>
  <c r="L257" i="7"/>
  <c r="M257" i="7" s="1"/>
  <c r="N257" i="7" s="1"/>
  <c r="I256" i="7"/>
  <c r="AG256" i="7" s="1"/>
  <c r="G255" i="7"/>
  <c r="AI256" i="7"/>
  <c r="K256" i="7"/>
  <c r="AH258" i="7"/>
  <c r="M258" i="7"/>
  <c r="N258" i="7" s="1"/>
  <c r="F253" i="28"/>
  <c r="G254" i="28"/>
  <c r="H254" i="28" s="1"/>
  <c r="G250" i="27"/>
  <c r="H250" i="27" s="1"/>
  <c r="J250" i="27" s="1"/>
  <c r="L250" i="27" s="1"/>
  <c r="F249" i="27"/>
  <c r="J253" i="13" l="1"/>
  <c r="I253" i="13"/>
  <c r="H252" i="13"/>
  <c r="L252" i="13" s="1"/>
  <c r="G252" i="13"/>
  <c r="F251" i="13"/>
  <c r="L256" i="7"/>
  <c r="M256" i="7" s="1"/>
  <c r="N256" i="7" s="1"/>
  <c r="J256" i="7"/>
  <c r="AH256" i="7" s="1"/>
  <c r="H255" i="7"/>
  <c r="I255" i="7"/>
  <c r="G254" i="7"/>
  <c r="G253" i="28"/>
  <c r="H253" i="28" s="1"/>
  <c r="F252" i="28"/>
  <c r="G249" i="27"/>
  <c r="H249" i="27" s="1"/>
  <c r="J249" i="27" s="1"/>
  <c r="L249" i="27" s="1"/>
  <c r="F248" i="27"/>
  <c r="I252" i="13" l="1"/>
  <c r="J252" i="13"/>
  <c r="F250" i="13"/>
  <c r="H251" i="13"/>
  <c r="L251" i="13" s="1"/>
  <c r="G251" i="13"/>
  <c r="AG255" i="7"/>
  <c r="J255" i="7"/>
  <c r="AH255" i="7" s="1"/>
  <c r="L255" i="7"/>
  <c r="AI255" i="7"/>
  <c r="K255" i="7"/>
  <c r="H254" i="7"/>
  <c r="I254" i="7"/>
  <c r="G253" i="7"/>
  <c r="G252" i="28"/>
  <c r="H252" i="28" s="1"/>
  <c r="F251" i="28"/>
  <c r="G248" i="27"/>
  <c r="H248" i="27" s="1"/>
  <c r="J248" i="27" s="1"/>
  <c r="L248" i="27" s="1"/>
  <c r="F247" i="27"/>
  <c r="I251" i="13" l="1"/>
  <c r="J251" i="13"/>
  <c r="F249" i="13"/>
  <c r="H250" i="13"/>
  <c r="L250" i="13" s="1"/>
  <c r="G250" i="13"/>
  <c r="G251" i="28"/>
  <c r="H251" i="28" s="1"/>
  <c r="F250" i="28"/>
  <c r="G252" i="7"/>
  <c r="AG254" i="7"/>
  <c r="J254" i="7"/>
  <c r="AH254" i="7" s="1"/>
  <c r="L254" i="7"/>
  <c r="M255" i="7"/>
  <c r="N255" i="7" s="1"/>
  <c r="K254" i="7"/>
  <c r="AI254" i="7"/>
  <c r="H253" i="7"/>
  <c r="I253" i="7"/>
  <c r="G247" i="27"/>
  <c r="H247" i="27" s="1"/>
  <c r="J247" i="27" s="1"/>
  <c r="L247" i="27" s="1"/>
  <c r="F246" i="27"/>
  <c r="I250" i="13" l="1"/>
  <c r="J250" i="13"/>
  <c r="F248" i="13"/>
  <c r="H249" i="13"/>
  <c r="L249" i="13" s="1"/>
  <c r="G249" i="13"/>
  <c r="G250" i="28"/>
  <c r="H250" i="28" s="1"/>
  <c r="F249" i="28"/>
  <c r="AI253" i="7"/>
  <c r="K253" i="7"/>
  <c r="M254" i="7"/>
  <c r="N254" i="7" s="1"/>
  <c r="H252" i="7"/>
  <c r="I252" i="7"/>
  <c r="AG253" i="7"/>
  <c r="L253" i="7"/>
  <c r="J253" i="7"/>
  <c r="AH253" i="7" s="1"/>
  <c r="G251" i="7"/>
  <c r="G246" i="27"/>
  <c r="H246" i="27" s="1"/>
  <c r="J246" i="27" s="1"/>
  <c r="L246" i="27" s="1"/>
  <c r="F245" i="27"/>
  <c r="I249" i="13" l="1"/>
  <c r="J249" i="13"/>
  <c r="F247" i="13"/>
  <c r="H248" i="13"/>
  <c r="L248" i="13" s="1"/>
  <c r="G248" i="13"/>
  <c r="G249" i="28"/>
  <c r="H249" i="28" s="1"/>
  <c r="F248" i="28"/>
  <c r="AI252" i="7"/>
  <c r="K252" i="7"/>
  <c r="G250" i="7"/>
  <c r="AG252" i="7"/>
  <c r="J252" i="7"/>
  <c r="AH252" i="7" s="1"/>
  <c r="L252" i="7"/>
  <c r="M253" i="7"/>
  <c r="N253" i="7" s="1"/>
  <c r="H251" i="7"/>
  <c r="I251" i="7"/>
  <c r="G245" i="27"/>
  <c r="H245" i="27" s="1"/>
  <c r="J245" i="27" s="1"/>
  <c r="L245" i="27" s="1"/>
  <c r="F244" i="27"/>
  <c r="J248" i="13" l="1"/>
  <c r="I248" i="13"/>
  <c r="F246" i="13"/>
  <c r="H247" i="13"/>
  <c r="L247" i="13" s="1"/>
  <c r="G247" i="13"/>
  <c r="F247" i="28"/>
  <c r="G248" i="28"/>
  <c r="H248" i="28" s="1"/>
  <c r="AI251" i="7"/>
  <c r="K251" i="7"/>
  <c r="H250" i="7"/>
  <c r="I250" i="7"/>
  <c r="AG251" i="7"/>
  <c r="L251" i="7"/>
  <c r="J251" i="7"/>
  <c r="AH251" i="7" s="1"/>
  <c r="M252" i="7"/>
  <c r="N252" i="7" s="1"/>
  <c r="G249" i="7"/>
  <c r="G244" i="27"/>
  <c r="H244" i="27" s="1"/>
  <c r="J244" i="27" s="1"/>
  <c r="L244" i="27" s="1"/>
  <c r="F243" i="27"/>
  <c r="J247" i="13" l="1"/>
  <c r="I247" i="13"/>
  <c r="F245" i="13"/>
  <c r="H246" i="13"/>
  <c r="L246" i="13" s="1"/>
  <c r="G246" i="13"/>
  <c r="G247" i="28"/>
  <c r="H247" i="28" s="1"/>
  <c r="F246" i="28"/>
  <c r="G248" i="7"/>
  <c r="M251" i="7"/>
  <c r="N251" i="7" s="1"/>
  <c r="AG250" i="7"/>
  <c r="L250" i="7"/>
  <c r="J250" i="7"/>
  <c r="AH250" i="7" s="1"/>
  <c r="I249" i="7"/>
  <c r="H249" i="7"/>
  <c r="AI250" i="7"/>
  <c r="K250" i="7"/>
  <c r="G243" i="27"/>
  <c r="H243" i="27" s="1"/>
  <c r="J243" i="27" s="1"/>
  <c r="L243" i="27" s="1"/>
  <c r="F242" i="27"/>
  <c r="I246" i="13" l="1"/>
  <c r="J246" i="13"/>
  <c r="F244" i="13"/>
  <c r="H245" i="13"/>
  <c r="L245" i="13" s="1"/>
  <c r="G245" i="13"/>
  <c r="G246" i="28"/>
  <c r="H246" i="28" s="1"/>
  <c r="F245" i="28"/>
  <c r="I248" i="7"/>
  <c r="H248" i="7"/>
  <c r="G247" i="7"/>
  <c r="M250" i="7"/>
  <c r="N250" i="7" s="1"/>
  <c r="K249" i="7"/>
  <c r="AI249" i="7"/>
  <c r="AG249" i="7"/>
  <c r="L249" i="7"/>
  <c r="J249" i="7"/>
  <c r="AH249" i="7" s="1"/>
  <c r="G242" i="27"/>
  <c r="H242" i="27" s="1"/>
  <c r="J242" i="27" s="1"/>
  <c r="L242" i="27" s="1"/>
  <c r="F241" i="27"/>
  <c r="I245" i="13" l="1"/>
  <c r="J245" i="13"/>
  <c r="F243" i="13"/>
  <c r="H244" i="13"/>
  <c r="L244" i="13" s="1"/>
  <c r="G244" i="13"/>
  <c r="G245" i="28"/>
  <c r="H245" i="28" s="1"/>
  <c r="F244" i="28"/>
  <c r="M249" i="7"/>
  <c r="N249" i="7" s="1"/>
  <c r="AI248" i="7"/>
  <c r="K248" i="7"/>
  <c r="AG248" i="7"/>
  <c r="J248" i="7"/>
  <c r="AH248" i="7" s="1"/>
  <c r="L248" i="7"/>
  <c r="I247" i="7"/>
  <c r="H247" i="7"/>
  <c r="G246" i="7"/>
  <c r="G241" i="27"/>
  <c r="H241" i="27" s="1"/>
  <c r="J241" i="27" s="1"/>
  <c r="L241" i="27" s="1"/>
  <c r="F240" i="27"/>
  <c r="J244" i="13" l="1"/>
  <c r="I244" i="13"/>
  <c r="F242" i="13"/>
  <c r="H243" i="13"/>
  <c r="L243" i="13" s="1"/>
  <c r="G243" i="13"/>
  <c r="F243" i="28"/>
  <c r="G244" i="28"/>
  <c r="H244" i="28" s="1"/>
  <c r="G245" i="7"/>
  <c r="AI247" i="7"/>
  <c r="K247" i="7"/>
  <c r="AG247" i="7"/>
  <c r="J247" i="7"/>
  <c r="AH247" i="7" s="1"/>
  <c r="L247" i="7"/>
  <c r="I246" i="7"/>
  <c r="H246" i="7"/>
  <c r="M248" i="7"/>
  <c r="N248" i="7" s="1"/>
  <c r="G240" i="27"/>
  <c r="H240" i="27" s="1"/>
  <c r="J240" i="27" s="1"/>
  <c r="L240" i="27" s="1"/>
  <c r="F239" i="27"/>
  <c r="J243" i="13" l="1"/>
  <c r="I243" i="13"/>
  <c r="F241" i="13"/>
  <c r="H242" i="13"/>
  <c r="L242" i="13" s="1"/>
  <c r="G242" i="13"/>
  <c r="G243" i="28"/>
  <c r="H243" i="28" s="1"/>
  <c r="F242" i="28"/>
  <c r="I245" i="7"/>
  <c r="H245" i="7"/>
  <c r="G244" i="7"/>
  <c r="AI246" i="7"/>
  <c r="K246" i="7"/>
  <c r="AG246" i="7"/>
  <c r="J246" i="7"/>
  <c r="AH246" i="7" s="1"/>
  <c r="L246" i="7"/>
  <c r="M247" i="7"/>
  <c r="N247" i="7" s="1"/>
  <c r="G239" i="27"/>
  <c r="H239" i="27" s="1"/>
  <c r="J239" i="27" s="1"/>
  <c r="L239" i="27" s="1"/>
  <c r="F238" i="27"/>
  <c r="J242" i="13" l="1"/>
  <c r="I242" i="13"/>
  <c r="F240" i="13"/>
  <c r="H241" i="13"/>
  <c r="L241" i="13" s="1"/>
  <c r="G241" i="13"/>
  <c r="F241" i="28"/>
  <c r="G242" i="28"/>
  <c r="H242" i="28" s="1"/>
  <c r="M246" i="7"/>
  <c r="N246" i="7" s="1"/>
  <c r="AG245" i="7"/>
  <c r="J245" i="7"/>
  <c r="AH245" i="7" s="1"/>
  <c r="L245" i="7"/>
  <c r="I244" i="7"/>
  <c r="H244" i="7"/>
  <c r="G243" i="7"/>
  <c r="AI245" i="7"/>
  <c r="K245" i="7"/>
  <c r="G238" i="27"/>
  <c r="H238" i="27" s="1"/>
  <c r="J238" i="27" s="1"/>
  <c r="L238" i="27" s="1"/>
  <c r="F237" i="27"/>
  <c r="F239" i="13" l="1"/>
  <c r="H240" i="13"/>
  <c r="L240" i="13" s="1"/>
  <c r="G240" i="13"/>
  <c r="I241" i="13"/>
  <c r="J241" i="13"/>
  <c r="G241" i="28"/>
  <c r="H241" i="28" s="1"/>
  <c r="F240" i="28"/>
  <c r="AG244" i="7"/>
  <c r="J244" i="7"/>
  <c r="AH244" i="7" s="1"/>
  <c r="L244" i="7"/>
  <c r="I243" i="7"/>
  <c r="H243" i="7"/>
  <c r="M245" i="7"/>
  <c r="N245" i="7" s="1"/>
  <c r="G242" i="7"/>
  <c r="AI244" i="7"/>
  <c r="K244" i="7"/>
  <c r="G237" i="27"/>
  <c r="H237" i="27" s="1"/>
  <c r="J237" i="27" s="1"/>
  <c r="L237" i="27" s="1"/>
  <c r="F236" i="27"/>
  <c r="J240" i="13" l="1"/>
  <c r="I240" i="13"/>
  <c r="F238" i="13"/>
  <c r="H239" i="13"/>
  <c r="L239" i="13" s="1"/>
  <c r="G239" i="13"/>
  <c r="F239" i="28"/>
  <c r="G240" i="28"/>
  <c r="H240" i="28" s="1"/>
  <c r="G241" i="7"/>
  <c r="AG243" i="7"/>
  <c r="J243" i="7"/>
  <c r="AH243" i="7" s="1"/>
  <c r="L243" i="7"/>
  <c r="M244" i="7"/>
  <c r="N244" i="7" s="1"/>
  <c r="H242" i="7"/>
  <c r="I242" i="7"/>
  <c r="AI243" i="7"/>
  <c r="K243" i="7"/>
  <c r="G236" i="27"/>
  <c r="H236" i="27" s="1"/>
  <c r="J236" i="27" s="1"/>
  <c r="L236" i="27" s="1"/>
  <c r="F235" i="27"/>
  <c r="J239" i="13" l="1"/>
  <c r="I239" i="13"/>
  <c r="H238" i="13"/>
  <c r="L238" i="13" s="1"/>
  <c r="F237" i="13"/>
  <c r="G238" i="13"/>
  <c r="G239" i="28"/>
  <c r="H239" i="28" s="1"/>
  <c r="F238" i="28"/>
  <c r="AG242" i="7"/>
  <c r="L242" i="7"/>
  <c r="J242" i="7"/>
  <c r="AH242" i="7" s="1"/>
  <c r="AI242" i="7"/>
  <c r="K242" i="7"/>
  <c r="I241" i="7"/>
  <c r="H241" i="7"/>
  <c r="M243" i="7"/>
  <c r="N243" i="7" s="1"/>
  <c r="G240" i="7"/>
  <c r="G235" i="27"/>
  <c r="H235" i="27" s="1"/>
  <c r="J235" i="27" s="1"/>
  <c r="L235" i="27" s="1"/>
  <c r="F234" i="27"/>
  <c r="H237" i="13" l="1"/>
  <c r="L237" i="13" s="1"/>
  <c r="G237" i="13"/>
  <c r="F236" i="13"/>
  <c r="J238" i="13"/>
  <c r="I238" i="13"/>
  <c r="G238" i="28"/>
  <c r="H238" i="28" s="1"/>
  <c r="F237" i="28"/>
  <c r="H240" i="7"/>
  <c r="I240" i="7"/>
  <c r="AI241" i="7"/>
  <c r="K241" i="7"/>
  <c r="M242" i="7"/>
  <c r="N242" i="7" s="1"/>
  <c r="G239" i="7"/>
  <c r="AG241" i="7"/>
  <c r="L241" i="7"/>
  <c r="J241" i="7"/>
  <c r="AH241" i="7" s="1"/>
  <c r="G234" i="27"/>
  <c r="H234" i="27" s="1"/>
  <c r="J234" i="27" s="1"/>
  <c r="L234" i="27" s="1"/>
  <c r="F233" i="27"/>
  <c r="H236" i="13" l="1"/>
  <c r="L236" i="13" s="1"/>
  <c r="G236" i="13"/>
  <c r="F235" i="13"/>
  <c r="I237" i="13"/>
  <c r="J237" i="13"/>
  <c r="G237" i="28"/>
  <c r="H237" i="28" s="1"/>
  <c r="F236" i="28"/>
  <c r="G238" i="7"/>
  <c r="AG240" i="7"/>
  <c r="L240" i="7"/>
  <c r="J240" i="7"/>
  <c r="AH240" i="7" s="1"/>
  <c r="M241" i="7"/>
  <c r="N241" i="7" s="1"/>
  <c r="H239" i="7"/>
  <c r="I239" i="7"/>
  <c r="AI240" i="7"/>
  <c r="K240" i="7"/>
  <c r="G233" i="27"/>
  <c r="H233" i="27" s="1"/>
  <c r="J233" i="27" s="1"/>
  <c r="L233" i="27" s="1"/>
  <c r="F232" i="27"/>
  <c r="H235" i="13" l="1"/>
  <c r="L235" i="13" s="1"/>
  <c r="F234" i="13"/>
  <c r="G235" i="13"/>
  <c r="J236" i="13"/>
  <c r="I236" i="13"/>
  <c r="G236" i="28"/>
  <c r="H236" i="28" s="1"/>
  <c r="F235" i="28"/>
  <c r="AG239" i="7"/>
  <c r="L239" i="7"/>
  <c r="J239" i="7"/>
  <c r="AH239" i="7" s="1"/>
  <c r="AI239" i="7"/>
  <c r="K239" i="7"/>
  <c r="M240" i="7"/>
  <c r="N240" i="7" s="1"/>
  <c r="I238" i="7"/>
  <c r="H238" i="7"/>
  <c r="G237" i="7"/>
  <c r="G232" i="27"/>
  <c r="H232" i="27" s="1"/>
  <c r="J232" i="27" s="1"/>
  <c r="L232" i="27" s="1"/>
  <c r="F231" i="27"/>
  <c r="H234" i="13" l="1"/>
  <c r="L234" i="13" s="1"/>
  <c r="G234" i="13"/>
  <c r="F233" i="13"/>
  <c r="J235" i="13"/>
  <c r="I235" i="13"/>
  <c r="G235" i="28"/>
  <c r="H235" i="28" s="1"/>
  <c r="F234" i="28"/>
  <c r="M239" i="7"/>
  <c r="N239" i="7" s="1"/>
  <c r="AI238" i="7"/>
  <c r="K238" i="7"/>
  <c r="I237" i="7"/>
  <c r="H237" i="7"/>
  <c r="AG238" i="7"/>
  <c r="J238" i="7"/>
  <c r="AH238" i="7" s="1"/>
  <c r="L238" i="7"/>
  <c r="G236" i="7"/>
  <c r="G231" i="27"/>
  <c r="H231" i="27" s="1"/>
  <c r="J231" i="27" s="1"/>
  <c r="L231" i="27" s="1"/>
  <c r="F230" i="27"/>
  <c r="H233" i="13" l="1"/>
  <c r="L233" i="13" s="1"/>
  <c r="G233" i="13"/>
  <c r="F232" i="13"/>
  <c r="J234" i="13"/>
  <c r="I234" i="13"/>
  <c r="G234" i="28"/>
  <c r="H234" i="28" s="1"/>
  <c r="F233" i="28"/>
  <c r="H236" i="7"/>
  <c r="I236" i="7"/>
  <c r="G235" i="7"/>
  <c r="AI237" i="7"/>
  <c r="K237" i="7"/>
  <c r="M238" i="7"/>
  <c r="N238" i="7" s="1"/>
  <c r="AG237" i="7"/>
  <c r="L237" i="7"/>
  <c r="J237" i="7"/>
  <c r="AH237" i="7" s="1"/>
  <c r="G230" i="27"/>
  <c r="H230" i="27" s="1"/>
  <c r="J230" i="27" s="1"/>
  <c r="L230" i="27" s="1"/>
  <c r="F229" i="27"/>
  <c r="H232" i="13" l="1"/>
  <c r="L232" i="13" s="1"/>
  <c r="F231" i="13"/>
  <c r="G232" i="13"/>
  <c r="I233" i="13"/>
  <c r="J233" i="13"/>
  <c r="G233" i="28"/>
  <c r="H233" i="28" s="1"/>
  <c r="F232" i="28"/>
  <c r="H235" i="7"/>
  <c r="I235" i="7"/>
  <c r="G234" i="7"/>
  <c r="AG236" i="7"/>
  <c r="L236" i="7"/>
  <c r="J236" i="7"/>
  <c r="AH236" i="7" s="1"/>
  <c r="M237" i="7"/>
  <c r="N237" i="7" s="1"/>
  <c r="AI236" i="7"/>
  <c r="K236" i="7"/>
  <c r="G229" i="27"/>
  <c r="H229" i="27" s="1"/>
  <c r="J229" i="27" s="1"/>
  <c r="L229" i="27" s="1"/>
  <c r="F228" i="27"/>
  <c r="H231" i="13" l="1"/>
  <c r="L231" i="13" s="1"/>
  <c r="F230" i="13"/>
  <c r="G231" i="13"/>
  <c r="J232" i="13"/>
  <c r="I232" i="13"/>
  <c r="G232" i="28"/>
  <c r="H232" i="28" s="1"/>
  <c r="F231" i="28"/>
  <c r="M236" i="7"/>
  <c r="N236" i="7" s="1"/>
  <c r="AG235" i="7"/>
  <c r="L235" i="7"/>
  <c r="J235" i="7"/>
  <c r="AH235" i="7" s="1"/>
  <c r="AI235" i="7"/>
  <c r="K235" i="7"/>
  <c r="G233" i="7"/>
  <c r="H234" i="7"/>
  <c r="I234" i="7"/>
  <c r="G228" i="27"/>
  <c r="H228" i="27" s="1"/>
  <c r="J228" i="27" s="1"/>
  <c r="L228" i="27" s="1"/>
  <c r="F227" i="27"/>
  <c r="H230" i="13" l="1"/>
  <c r="L230" i="13" s="1"/>
  <c r="G230" i="13"/>
  <c r="F229" i="13"/>
  <c r="I231" i="13"/>
  <c r="J231" i="13"/>
  <c r="G231" i="28"/>
  <c r="H231" i="28" s="1"/>
  <c r="F230" i="28"/>
  <c r="G232" i="7"/>
  <c r="AG234" i="7"/>
  <c r="J234" i="7"/>
  <c r="AH234" i="7" s="1"/>
  <c r="L234" i="7"/>
  <c r="H233" i="7"/>
  <c r="I233" i="7"/>
  <c r="M235" i="7"/>
  <c r="N235" i="7" s="1"/>
  <c r="AI234" i="7"/>
  <c r="K234" i="7"/>
  <c r="G227" i="27"/>
  <c r="H227" i="27" s="1"/>
  <c r="J227" i="27" s="1"/>
  <c r="L227" i="27" s="1"/>
  <c r="F226" i="27"/>
  <c r="H229" i="13" l="1"/>
  <c r="L229" i="13" s="1"/>
  <c r="F228" i="13"/>
  <c r="G229" i="13"/>
  <c r="I230" i="13"/>
  <c r="J230" i="13"/>
  <c r="G230" i="28"/>
  <c r="H230" i="28" s="1"/>
  <c r="F229" i="28"/>
  <c r="AG233" i="7"/>
  <c r="J233" i="7"/>
  <c r="AH233" i="7" s="1"/>
  <c r="L233" i="7"/>
  <c r="K233" i="7"/>
  <c r="AI233" i="7"/>
  <c r="G231" i="7"/>
  <c r="M234" i="7"/>
  <c r="N234" i="7" s="1"/>
  <c r="H232" i="7"/>
  <c r="I232" i="7"/>
  <c r="G226" i="27"/>
  <c r="H226" i="27" s="1"/>
  <c r="J226" i="27" s="1"/>
  <c r="L226" i="27" s="1"/>
  <c r="F225" i="27"/>
  <c r="H228" i="13" l="1"/>
  <c r="L228" i="13" s="1"/>
  <c r="F227" i="13"/>
  <c r="G228" i="13"/>
  <c r="I229" i="13"/>
  <c r="J229" i="13"/>
  <c r="F228" i="28"/>
  <c r="G229" i="28"/>
  <c r="H229" i="28" s="1"/>
  <c r="AG232" i="7"/>
  <c r="L232" i="7"/>
  <c r="J232" i="7"/>
  <c r="AH232" i="7" s="1"/>
  <c r="G230" i="7"/>
  <c r="M233" i="7"/>
  <c r="N233" i="7" s="1"/>
  <c r="AI232" i="7"/>
  <c r="K232" i="7"/>
  <c r="H231" i="7"/>
  <c r="I231" i="7"/>
  <c r="G225" i="27"/>
  <c r="H225" i="27" s="1"/>
  <c r="J225" i="27" s="1"/>
  <c r="L225" i="27" s="1"/>
  <c r="F224" i="27"/>
  <c r="H227" i="13" l="1"/>
  <c r="L227" i="13" s="1"/>
  <c r="F226" i="13"/>
  <c r="G227" i="13"/>
  <c r="I228" i="13"/>
  <c r="J228" i="13"/>
  <c r="F227" i="28"/>
  <c r="G228" i="28"/>
  <c r="H228" i="28" s="1"/>
  <c r="H230" i="7"/>
  <c r="I230" i="7"/>
  <c r="G229" i="7"/>
  <c r="AG231" i="7"/>
  <c r="L231" i="7"/>
  <c r="J231" i="7"/>
  <c r="AH231" i="7" s="1"/>
  <c r="K231" i="7"/>
  <c r="AI231" i="7"/>
  <c r="M232" i="7"/>
  <c r="N232" i="7" s="1"/>
  <c r="G224" i="27"/>
  <c r="H224" i="27" s="1"/>
  <c r="J224" i="27" s="1"/>
  <c r="L224" i="27" s="1"/>
  <c r="F223" i="27"/>
  <c r="H226" i="13" l="1"/>
  <c r="L226" i="13" s="1"/>
  <c r="F225" i="13"/>
  <c r="G226" i="13"/>
  <c r="J227" i="13"/>
  <c r="I227" i="13"/>
  <c r="G227" i="28"/>
  <c r="H227" i="28" s="1"/>
  <c r="F226" i="28"/>
  <c r="M231" i="7"/>
  <c r="N231" i="7" s="1"/>
  <c r="H229" i="7"/>
  <c r="I229" i="7"/>
  <c r="G228" i="7"/>
  <c r="AG230" i="7"/>
  <c r="J230" i="7"/>
  <c r="AH230" i="7" s="1"/>
  <c r="L230" i="7"/>
  <c r="AI230" i="7"/>
  <c r="K230" i="7"/>
  <c r="G223" i="27"/>
  <c r="H223" i="27" s="1"/>
  <c r="J223" i="27" s="1"/>
  <c r="L223" i="27" s="1"/>
  <c r="F222" i="27"/>
  <c r="H225" i="13" l="1"/>
  <c r="L225" i="13" s="1"/>
  <c r="G225" i="13"/>
  <c r="F224" i="13"/>
  <c r="J226" i="13"/>
  <c r="I226" i="13"/>
  <c r="G226" i="28"/>
  <c r="H226" i="28" s="1"/>
  <c r="F225" i="28"/>
  <c r="AI229" i="7"/>
  <c r="K229" i="7"/>
  <c r="I228" i="7"/>
  <c r="H228" i="7"/>
  <c r="M230" i="7"/>
  <c r="N230" i="7" s="1"/>
  <c r="G227" i="7"/>
  <c r="AG229" i="7"/>
  <c r="J229" i="7"/>
  <c r="AH229" i="7" s="1"/>
  <c r="L229" i="7"/>
  <c r="G222" i="27"/>
  <c r="H222" i="27" s="1"/>
  <c r="J222" i="27" s="1"/>
  <c r="L222" i="27" s="1"/>
  <c r="F221" i="27"/>
  <c r="H224" i="13" l="1"/>
  <c r="L224" i="13" s="1"/>
  <c r="F223" i="13"/>
  <c r="G224" i="13"/>
  <c r="J225" i="13"/>
  <c r="I225" i="13"/>
  <c r="G225" i="28"/>
  <c r="H225" i="28" s="1"/>
  <c r="F224" i="28"/>
  <c r="G226" i="7"/>
  <c r="AI228" i="7"/>
  <c r="K228" i="7"/>
  <c r="M229" i="7"/>
  <c r="N229" i="7" s="1"/>
  <c r="H227" i="7"/>
  <c r="I227" i="7"/>
  <c r="AG228" i="7"/>
  <c r="J228" i="7"/>
  <c r="AH228" i="7" s="1"/>
  <c r="L228" i="7"/>
  <c r="G221" i="27"/>
  <c r="H221" i="27" s="1"/>
  <c r="J221" i="27" s="1"/>
  <c r="L221" i="27" s="1"/>
  <c r="F220" i="27"/>
  <c r="F219" i="27" s="1"/>
  <c r="H223" i="13" l="1"/>
  <c r="L223" i="13" s="1"/>
  <c r="F222" i="13"/>
  <c r="G223" i="13"/>
  <c r="J224" i="13"/>
  <c r="I224" i="13"/>
  <c r="G224" i="28"/>
  <c r="H224" i="28" s="1"/>
  <c r="F223" i="28"/>
  <c r="M228" i="7"/>
  <c r="N228" i="7" s="1"/>
  <c r="AI227" i="7"/>
  <c r="K227" i="7"/>
  <c r="I226" i="7"/>
  <c r="H226" i="7"/>
  <c r="G225" i="7"/>
  <c r="AG227" i="7"/>
  <c r="L227" i="7"/>
  <c r="J227" i="7"/>
  <c r="AH227" i="7" s="1"/>
  <c r="G219" i="27"/>
  <c r="H219" i="27" s="1"/>
  <c r="J219" i="27" s="1"/>
  <c r="L219" i="27" s="1"/>
  <c r="F218" i="27"/>
  <c r="G220" i="27"/>
  <c r="H220" i="27" s="1"/>
  <c r="J220" i="27" s="1"/>
  <c r="L220" i="27" s="1"/>
  <c r="H222" i="13" l="1"/>
  <c r="L222" i="13" s="1"/>
  <c r="F221" i="13"/>
  <c r="G222" i="13"/>
  <c r="J223" i="13"/>
  <c r="I223" i="13"/>
  <c r="G223" i="28"/>
  <c r="H223" i="28" s="1"/>
  <c r="F222" i="28"/>
  <c r="G224" i="7"/>
  <c r="AG226" i="7"/>
  <c r="J226" i="7"/>
  <c r="AH226" i="7" s="1"/>
  <c r="L226" i="7"/>
  <c r="H225" i="7"/>
  <c r="I225" i="7"/>
  <c r="M227" i="7"/>
  <c r="N227" i="7" s="1"/>
  <c r="AI226" i="7"/>
  <c r="K226" i="7"/>
  <c r="G218" i="27"/>
  <c r="H218" i="27" s="1"/>
  <c r="J218" i="27" s="1"/>
  <c r="L218" i="27" s="1"/>
  <c r="F217" i="27"/>
  <c r="F220" i="13" l="1"/>
  <c r="H221" i="13"/>
  <c r="L221" i="13" s="1"/>
  <c r="G221" i="13"/>
  <c r="J222" i="13"/>
  <c r="I222" i="13"/>
  <c r="G222" i="28"/>
  <c r="H222" i="28" s="1"/>
  <c r="F221" i="28"/>
  <c r="AG225" i="7"/>
  <c r="J225" i="7"/>
  <c r="AH225" i="7" s="1"/>
  <c r="L225" i="7"/>
  <c r="AI225" i="7"/>
  <c r="K225" i="7"/>
  <c r="G223" i="7"/>
  <c r="M226" i="7"/>
  <c r="N226" i="7" s="1"/>
  <c r="H224" i="7"/>
  <c r="I224" i="7"/>
  <c r="G217" i="27"/>
  <c r="H217" i="27" s="1"/>
  <c r="J217" i="27" s="1"/>
  <c r="L217" i="27" s="1"/>
  <c r="F216" i="27"/>
  <c r="J221" i="13" l="1"/>
  <c r="I221" i="13"/>
  <c r="H220" i="13"/>
  <c r="L220" i="13" s="1"/>
  <c r="G220" i="13"/>
  <c r="F219" i="13"/>
  <c r="F220" i="28"/>
  <c r="G221" i="28"/>
  <c r="H221" i="28" s="1"/>
  <c r="H223" i="7"/>
  <c r="I223" i="7"/>
  <c r="M225" i="7"/>
  <c r="N225" i="7" s="1"/>
  <c r="AG224" i="7"/>
  <c r="J224" i="7"/>
  <c r="AH224" i="7" s="1"/>
  <c r="L224" i="7"/>
  <c r="AI224" i="7"/>
  <c r="K224" i="7"/>
  <c r="G222" i="7"/>
  <c r="G216" i="27"/>
  <c r="H216" i="27" s="1"/>
  <c r="J216" i="27" s="1"/>
  <c r="L216" i="27" s="1"/>
  <c r="F215" i="27"/>
  <c r="H219" i="13" l="1"/>
  <c r="L219" i="13" s="1"/>
  <c r="F218" i="13"/>
  <c r="G219" i="13"/>
  <c r="J220" i="13"/>
  <c r="I220" i="13"/>
  <c r="F219" i="28"/>
  <c r="G220" i="28"/>
  <c r="H220" i="28" s="1"/>
  <c r="M224" i="7"/>
  <c r="N224" i="7" s="1"/>
  <c r="G221" i="7"/>
  <c r="AG223" i="7"/>
  <c r="J223" i="7"/>
  <c r="AH223" i="7" s="1"/>
  <c r="L223" i="7"/>
  <c r="H222" i="7"/>
  <c r="I222" i="7"/>
  <c r="AI223" i="7"/>
  <c r="K223" i="7"/>
  <c r="F214" i="27"/>
  <c r="G215" i="27"/>
  <c r="H215" i="27" s="1"/>
  <c r="J215" i="27" s="1"/>
  <c r="L215" i="27" s="1"/>
  <c r="H218" i="13" l="1"/>
  <c r="L218" i="13" s="1"/>
  <c r="G218" i="13"/>
  <c r="F217" i="13"/>
  <c r="J219" i="13"/>
  <c r="I219" i="13"/>
  <c r="F218" i="28"/>
  <c r="G219" i="28"/>
  <c r="H219" i="28" s="1"/>
  <c r="M223" i="7"/>
  <c r="N223" i="7" s="1"/>
  <c r="H221" i="7"/>
  <c r="I221" i="7"/>
  <c r="AG222" i="7"/>
  <c r="J222" i="7"/>
  <c r="AH222" i="7" s="1"/>
  <c r="L222" i="7"/>
  <c r="AI222" i="7"/>
  <c r="K222" i="7"/>
  <c r="G220" i="7"/>
  <c r="G214" i="27"/>
  <c r="H214" i="27" s="1"/>
  <c r="J214" i="27" s="1"/>
  <c r="L214" i="27" s="1"/>
  <c r="F213" i="27"/>
  <c r="I218" i="13" l="1"/>
  <c r="J218" i="13"/>
  <c r="H217" i="13"/>
  <c r="L217" i="13" s="1"/>
  <c r="G217" i="13"/>
  <c r="F216" i="13"/>
  <c r="G218" i="28"/>
  <c r="H218" i="28" s="1"/>
  <c r="F217" i="28"/>
  <c r="H220" i="7"/>
  <c r="I220" i="7"/>
  <c r="AG221" i="7"/>
  <c r="J221" i="7"/>
  <c r="AH221" i="7" s="1"/>
  <c r="L221" i="7"/>
  <c r="G219" i="7"/>
  <c r="M222" i="7"/>
  <c r="N222" i="7" s="1"/>
  <c r="AI221" i="7"/>
  <c r="K221" i="7"/>
  <c r="F212" i="27"/>
  <c r="G213" i="27"/>
  <c r="H213" i="27" s="1"/>
  <c r="J213" i="27" s="1"/>
  <c r="L213" i="27" s="1"/>
  <c r="J217" i="13" l="1"/>
  <c r="I217" i="13"/>
  <c r="H216" i="13"/>
  <c r="L216" i="13" s="1"/>
  <c r="G216" i="13"/>
  <c r="F215" i="13"/>
  <c r="F216" i="28"/>
  <c r="G217" i="28"/>
  <c r="H217" i="28" s="1"/>
  <c r="AG220" i="7"/>
  <c r="L220" i="7"/>
  <c r="J220" i="7"/>
  <c r="AH220" i="7" s="1"/>
  <c r="G218" i="7"/>
  <c r="M221" i="7"/>
  <c r="N221" i="7" s="1"/>
  <c r="AI220" i="7"/>
  <c r="K220" i="7"/>
  <c r="H219" i="7"/>
  <c r="I219" i="7"/>
  <c r="G212" i="27"/>
  <c r="H212" i="27" s="1"/>
  <c r="J212" i="27" s="1"/>
  <c r="L212" i="27" s="1"/>
  <c r="F211" i="27"/>
  <c r="I216" i="13" l="1"/>
  <c r="J216" i="13"/>
  <c r="H215" i="13"/>
  <c r="L215" i="13" s="1"/>
  <c r="F214" i="13"/>
  <c r="G215" i="13"/>
  <c r="G216" i="28"/>
  <c r="H216" i="28" s="1"/>
  <c r="F215" i="28"/>
  <c r="H218" i="7"/>
  <c r="I218" i="7"/>
  <c r="AG219" i="7"/>
  <c r="L219" i="7"/>
  <c r="J219" i="7"/>
  <c r="AH219" i="7" s="1"/>
  <c r="AI219" i="7"/>
  <c r="K219" i="7"/>
  <c r="M220" i="7"/>
  <c r="N220" i="7" s="1"/>
  <c r="G217" i="7"/>
  <c r="G211" i="27"/>
  <c r="H211" i="27" s="1"/>
  <c r="J211" i="27" s="1"/>
  <c r="L211" i="27" s="1"/>
  <c r="F210" i="27"/>
  <c r="J215" i="13" l="1"/>
  <c r="I215" i="13"/>
  <c r="H214" i="13"/>
  <c r="L214" i="13" s="1"/>
  <c r="F213" i="13"/>
  <c r="G214" i="13"/>
  <c r="F214" i="28"/>
  <c r="G215" i="28"/>
  <c r="H215" i="28" s="1"/>
  <c r="AG218" i="7"/>
  <c r="L218" i="7"/>
  <c r="J218" i="7"/>
  <c r="AH218" i="7" s="1"/>
  <c r="H217" i="7"/>
  <c r="I217" i="7"/>
  <c r="K218" i="7"/>
  <c r="AI218" i="7"/>
  <c r="G216" i="7"/>
  <c r="M219" i="7"/>
  <c r="N219" i="7" s="1"/>
  <c r="F209" i="27"/>
  <c r="G210" i="27"/>
  <c r="H210" i="27" s="1"/>
  <c r="J210" i="27" s="1"/>
  <c r="L210" i="27" s="1"/>
  <c r="H213" i="13" l="1"/>
  <c r="L213" i="13" s="1"/>
  <c r="G213" i="13"/>
  <c r="F212" i="13"/>
  <c r="J214" i="13"/>
  <c r="I214" i="13"/>
  <c r="F213" i="28"/>
  <c r="G214" i="28"/>
  <c r="H214" i="28" s="1"/>
  <c r="AG217" i="7"/>
  <c r="L217" i="7"/>
  <c r="J217" i="7"/>
  <c r="AH217" i="7" s="1"/>
  <c r="H216" i="7"/>
  <c r="I216" i="7"/>
  <c r="AI217" i="7"/>
  <c r="K217" i="7"/>
  <c r="M218" i="7"/>
  <c r="N218" i="7" s="1"/>
  <c r="G215" i="7"/>
  <c r="G209" i="27"/>
  <c r="H209" i="27" s="1"/>
  <c r="J209" i="27" s="1"/>
  <c r="L209" i="27" s="1"/>
  <c r="F208" i="27"/>
  <c r="H212" i="13" l="1"/>
  <c r="L212" i="13" s="1"/>
  <c r="G212" i="13"/>
  <c r="F211" i="13"/>
  <c r="J213" i="13"/>
  <c r="I213" i="13"/>
  <c r="G213" i="28"/>
  <c r="H213" i="28" s="1"/>
  <c r="F212" i="28"/>
  <c r="M217" i="7"/>
  <c r="N217" i="7" s="1"/>
  <c r="G214" i="7"/>
  <c r="AG216" i="7"/>
  <c r="J216" i="7"/>
  <c r="AH216" i="7" s="1"/>
  <c r="L216" i="7"/>
  <c r="H215" i="7"/>
  <c r="I215" i="7"/>
  <c r="AI216" i="7"/>
  <c r="K216" i="7"/>
  <c r="G208" i="27"/>
  <c r="H208" i="27" s="1"/>
  <c r="J208" i="27" s="1"/>
  <c r="L208" i="27" s="1"/>
  <c r="F207" i="27"/>
  <c r="H211" i="13" l="1"/>
  <c r="L211" i="13" s="1"/>
  <c r="G211" i="13"/>
  <c r="F210" i="13"/>
  <c r="J212" i="13"/>
  <c r="I212" i="13"/>
  <c r="G212" i="28"/>
  <c r="H212" i="28" s="1"/>
  <c r="F211" i="28"/>
  <c r="K215" i="7"/>
  <c r="AI215" i="7"/>
  <c r="H214" i="7"/>
  <c r="I214" i="7"/>
  <c r="M216" i="7"/>
  <c r="N216" i="7" s="1"/>
  <c r="AG215" i="7"/>
  <c r="L215" i="7"/>
  <c r="J215" i="7"/>
  <c r="AH215" i="7" s="1"/>
  <c r="G213" i="7"/>
  <c r="G207" i="27"/>
  <c r="H207" i="27" s="1"/>
  <c r="J207" i="27" s="1"/>
  <c r="L207" i="27" s="1"/>
  <c r="F206" i="27"/>
  <c r="H210" i="13" l="1"/>
  <c r="L210" i="13" s="1"/>
  <c r="G210" i="13"/>
  <c r="F209" i="13"/>
  <c r="J211" i="13"/>
  <c r="I211" i="13"/>
  <c r="G211" i="28"/>
  <c r="H211" i="28" s="1"/>
  <c r="F210" i="28"/>
  <c r="I213" i="7"/>
  <c r="H213" i="7"/>
  <c r="M215" i="7"/>
  <c r="N215" i="7" s="1"/>
  <c r="G212" i="7"/>
  <c r="AG214" i="7"/>
  <c r="L214" i="7"/>
  <c r="J214" i="7"/>
  <c r="AH214" i="7" s="1"/>
  <c r="AI214" i="7"/>
  <c r="K214" i="7"/>
  <c r="F205" i="27"/>
  <c r="G206" i="27"/>
  <c r="H206" i="27" s="1"/>
  <c r="J206" i="27" s="1"/>
  <c r="L206" i="27" s="1"/>
  <c r="H209" i="13" l="1"/>
  <c r="L209" i="13" s="1"/>
  <c r="G209" i="13"/>
  <c r="F208" i="13"/>
  <c r="J210" i="13"/>
  <c r="I210" i="13"/>
  <c r="F209" i="28"/>
  <c r="G210" i="28"/>
  <c r="H210" i="28" s="1"/>
  <c r="M214" i="7"/>
  <c r="N214" i="7" s="1"/>
  <c r="H212" i="7"/>
  <c r="I212" i="7"/>
  <c r="AI213" i="7"/>
  <c r="K213" i="7"/>
  <c r="AG213" i="7"/>
  <c r="L213" i="7"/>
  <c r="J213" i="7"/>
  <c r="AH213" i="7" s="1"/>
  <c r="G211" i="7"/>
  <c r="F204" i="27"/>
  <c r="G205" i="27"/>
  <c r="H205" i="27" s="1"/>
  <c r="J205" i="27" s="1"/>
  <c r="L205" i="27" s="1"/>
  <c r="H208" i="13" l="1"/>
  <c r="L208" i="13" s="1"/>
  <c r="F207" i="13"/>
  <c r="G208" i="13"/>
  <c r="J209" i="13"/>
  <c r="I209" i="13"/>
  <c r="F208" i="28"/>
  <c r="G209" i="28"/>
  <c r="H209" i="28" s="1"/>
  <c r="M213" i="7"/>
  <c r="N213" i="7" s="1"/>
  <c r="AI212" i="7"/>
  <c r="K212" i="7"/>
  <c r="H211" i="7"/>
  <c r="I211" i="7"/>
  <c r="G210" i="7"/>
  <c r="AG212" i="7"/>
  <c r="J212" i="7"/>
  <c r="AH212" i="7" s="1"/>
  <c r="L212" i="7"/>
  <c r="F203" i="27"/>
  <c r="G204" i="27"/>
  <c r="H204" i="27" s="1"/>
  <c r="J204" i="27" s="1"/>
  <c r="L204" i="27" s="1"/>
  <c r="H207" i="13" l="1"/>
  <c r="L207" i="13" s="1"/>
  <c r="F206" i="13"/>
  <c r="G207" i="13"/>
  <c r="J208" i="13"/>
  <c r="I208" i="13"/>
  <c r="G208" i="28"/>
  <c r="H208" i="28" s="1"/>
  <c r="F207" i="28"/>
  <c r="M212" i="7"/>
  <c r="N212" i="7" s="1"/>
  <c r="G209" i="7"/>
  <c r="AI211" i="7"/>
  <c r="K211" i="7"/>
  <c r="I210" i="7"/>
  <c r="H210" i="7"/>
  <c r="AG211" i="7"/>
  <c r="L211" i="7"/>
  <c r="J211" i="7"/>
  <c r="AH211" i="7" s="1"/>
  <c r="G203" i="27"/>
  <c r="H203" i="27" s="1"/>
  <c r="J203" i="27" s="1"/>
  <c r="L203" i="27" s="1"/>
  <c r="F202" i="27"/>
  <c r="H206" i="13" l="1"/>
  <c r="L206" i="13" s="1"/>
  <c r="G206" i="13"/>
  <c r="F205" i="13"/>
  <c r="J207" i="13"/>
  <c r="I207" i="13"/>
  <c r="G207" i="28"/>
  <c r="H207" i="28" s="1"/>
  <c r="F206" i="28"/>
  <c r="AI210" i="7"/>
  <c r="K210" i="7"/>
  <c r="M211" i="7"/>
  <c r="N211" i="7" s="1"/>
  <c r="AG210" i="7"/>
  <c r="L210" i="7"/>
  <c r="J210" i="7"/>
  <c r="AH210" i="7" s="1"/>
  <c r="G208" i="7"/>
  <c r="H209" i="7"/>
  <c r="I209" i="7"/>
  <c r="G202" i="27"/>
  <c r="H202" i="27" s="1"/>
  <c r="J202" i="27" s="1"/>
  <c r="L202" i="27" s="1"/>
  <c r="F201" i="27"/>
  <c r="H205" i="13" l="1"/>
  <c r="L205" i="13" s="1"/>
  <c r="G205" i="13"/>
  <c r="F204" i="13"/>
  <c r="I206" i="13"/>
  <c r="J206" i="13"/>
  <c r="G206" i="28"/>
  <c r="H206" i="28" s="1"/>
  <c r="F205" i="28"/>
  <c r="AG209" i="7"/>
  <c r="J209" i="7"/>
  <c r="AH209" i="7" s="1"/>
  <c r="L209" i="7"/>
  <c r="H208" i="7"/>
  <c r="I208" i="7"/>
  <c r="AI209" i="7"/>
  <c r="K209" i="7"/>
  <c r="M210" i="7"/>
  <c r="N210" i="7" s="1"/>
  <c r="G207" i="7"/>
  <c r="F200" i="27"/>
  <c r="G201" i="27"/>
  <c r="H201" i="27" s="1"/>
  <c r="J201" i="27" s="1"/>
  <c r="L201" i="27" s="1"/>
  <c r="H204" i="13" l="1"/>
  <c r="L204" i="13" s="1"/>
  <c r="G204" i="13"/>
  <c r="F203" i="13"/>
  <c r="J205" i="13"/>
  <c r="I205" i="13"/>
  <c r="G205" i="28"/>
  <c r="H205" i="28" s="1"/>
  <c r="F204" i="28"/>
  <c r="G206" i="7"/>
  <c r="M209" i="7"/>
  <c r="N209" i="7" s="1"/>
  <c r="AG208" i="7"/>
  <c r="J208" i="7"/>
  <c r="AH208" i="7" s="1"/>
  <c r="L208" i="7"/>
  <c r="H207" i="7"/>
  <c r="I207" i="7"/>
  <c r="AI208" i="7"/>
  <c r="K208" i="7"/>
  <c r="G200" i="27"/>
  <c r="H200" i="27" s="1"/>
  <c r="J200" i="27" s="1"/>
  <c r="L200" i="27" s="1"/>
  <c r="F199" i="27"/>
  <c r="H203" i="13" l="1"/>
  <c r="L203" i="13" s="1"/>
  <c r="F202" i="13"/>
  <c r="G203" i="13"/>
  <c r="J204" i="13"/>
  <c r="I204" i="13"/>
  <c r="G204" i="28"/>
  <c r="H204" i="28" s="1"/>
  <c r="F203" i="28"/>
  <c r="AG207" i="7"/>
  <c r="J207" i="7"/>
  <c r="AH207" i="7" s="1"/>
  <c r="L207" i="7"/>
  <c r="AI207" i="7"/>
  <c r="K207" i="7"/>
  <c r="G205" i="7"/>
  <c r="M208" i="7"/>
  <c r="N208" i="7" s="1"/>
  <c r="H206" i="7"/>
  <c r="I206" i="7"/>
  <c r="F198" i="27"/>
  <c r="G199" i="27"/>
  <c r="H199" i="27" s="1"/>
  <c r="J199" i="27" s="1"/>
  <c r="L199" i="27" s="1"/>
  <c r="H202" i="13" l="1"/>
  <c r="L202" i="13" s="1"/>
  <c r="F201" i="13"/>
  <c r="G202" i="13"/>
  <c r="J203" i="13"/>
  <c r="I203" i="13"/>
  <c r="F202" i="28"/>
  <c r="G203" i="28"/>
  <c r="H203" i="28" s="1"/>
  <c r="AG206" i="7"/>
  <c r="J206" i="7"/>
  <c r="AH206" i="7" s="1"/>
  <c r="L206" i="7"/>
  <c r="I205" i="7"/>
  <c r="H205" i="7"/>
  <c r="AI206" i="7"/>
  <c r="K206" i="7"/>
  <c r="M207" i="7"/>
  <c r="N207" i="7" s="1"/>
  <c r="G204" i="7"/>
  <c r="F197" i="27"/>
  <c r="G198" i="27"/>
  <c r="H198" i="27" s="1"/>
  <c r="J198" i="27" s="1"/>
  <c r="L198" i="27" s="1"/>
  <c r="H201" i="13" l="1"/>
  <c r="L201" i="13" s="1"/>
  <c r="G201" i="13"/>
  <c r="F200" i="13"/>
  <c r="J202" i="13"/>
  <c r="I202" i="13"/>
  <c r="F201" i="28"/>
  <c r="G202" i="28"/>
  <c r="H202" i="28" s="1"/>
  <c r="AG205" i="7"/>
  <c r="L205" i="7"/>
  <c r="J205" i="7"/>
  <c r="AH205" i="7" s="1"/>
  <c r="H204" i="7"/>
  <c r="I204" i="7"/>
  <c r="M206" i="7"/>
  <c r="N206" i="7" s="1"/>
  <c r="G203" i="7"/>
  <c r="AI205" i="7"/>
  <c r="K205" i="7"/>
  <c r="F196" i="27"/>
  <c r="F195" i="27" s="1"/>
  <c r="G197" i="27"/>
  <c r="H197" i="27" s="1"/>
  <c r="J197" i="27" s="1"/>
  <c r="L197" i="27" s="1"/>
  <c r="H200" i="13" l="1"/>
  <c r="L200" i="13" s="1"/>
  <c r="F199" i="13"/>
  <c r="G200" i="13"/>
  <c r="J201" i="13"/>
  <c r="I201" i="13"/>
  <c r="F200" i="28"/>
  <c r="G201" i="28"/>
  <c r="H201" i="28" s="1"/>
  <c r="G202" i="7"/>
  <c r="AG204" i="7"/>
  <c r="J204" i="7"/>
  <c r="AH204" i="7" s="1"/>
  <c r="L204" i="7"/>
  <c r="H203" i="7"/>
  <c r="I203" i="7"/>
  <c r="K204" i="7"/>
  <c r="AI204" i="7"/>
  <c r="M205" i="7"/>
  <c r="N205" i="7" s="1"/>
  <c r="G195" i="27"/>
  <c r="H195" i="27" s="1"/>
  <c r="J195" i="27" s="1"/>
  <c r="L195" i="27" s="1"/>
  <c r="F194" i="27"/>
  <c r="G196" i="27"/>
  <c r="H196" i="27" s="1"/>
  <c r="J196" i="27" s="1"/>
  <c r="L196" i="27" s="1"/>
  <c r="J200" i="13" l="1"/>
  <c r="I200" i="13"/>
  <c r="H199" i="13"/>
  <c r="L199" i="13" s="1"/>
  <c r="F198" i="13"/>
  <c r="G199" i="13"/>
  <c r="G200" i="28"/>
  <c r="H200" i="28" s="1"/>
  <c r="F199" i="28"/>
  <c r="AI203" i="7"/>
  <c r="K203" i="7"/>
  <c r="G201" i="7"/>
  <c r="M204" i="7"/>
  <c r="N204" i="7" s="1"/>
  <c r="H202" i="7"/>
  <c r="I202" i="7"/>
  <c r="AG203" i="7"/>
  <c r="J203" i="7"/>
  <c r="AH203" i="7" s="1"/>
  <c r="L203" i="7"/>
  <c r="G194" i="27"/>
  <c r="H194" i="27" s="1"/>
  <c r="J194" i="27" s="1"/>
  <c r="L194" i="27" s="1"/>
  <c r="F193" i="27"/>
  <c r="H198" i="13" l="1"/>
  <c r="L198" i="13" s="1"/>
  <c r="G198" i="13"/>
  <c r="F197" i="13"/>
  <c r="J199" i="13"/>
  <c r="I199" i="13"/>
  <c r="F198" i="28"/>
  <c r="G199" i="28"/>
  <c r="H199" i="28" s="1"/>
  <c r="M203" i="7"/>
  <c r="N203" i="7" s="1"/>
  <c r="AG202" i="7"/>
  <c r="L202" i="7"/>
  <c r="J202" i="7"/>
  <c r="AH202" i="7" s="1"/>
  <c r="H201" i="7"/>
  <c r="I201" i="7"/>
  <c r="AI202" i="7"/>
  <c r="K202" i="7"/>
  <c r="G200" i="7"/>
  <c r="G193" i="27"/>
  <c r="H193" i="27" s="1"/>
  <c r="J193" i="27" s="1"/>
  <c r="L193" i="27" s="1"/>
  <c r="F192" i="27"/>
  <c r="F196" i="13" l="1"/>
  <c r="H197" i="13"/>
  <c r="L197" i="13" s="1"/>
  <c r="G197" i="13"/>
  <c r="I198" i="13"/>
  <c r="J198" i="13"/>
  <c r="G198" i="28"/>
  <c r="H198" i="28" s="1"/>
  <c r="F197" i="28"/>
  <c r="G199" i="7"/>
  <c r="M202" i="7"/>
  <c r="N202" i="7" s="1"/>
  <c r="H200" i="7"/>
  <c r="I200" i="7"/>
  <c r="AG201" i="7"/>
  <c r="J201" i="7"/>
  <c r="AH201" i="7" s="1"/>
  <c r="L201" i="7"/>
  <c r="AI201" i="7"/>
  <c r="K201" i="7"/>
  <c r="G192" i="27"/>
  <c r="H192" i="27" s="1"/>
  <c r="J192" i="27" s="1"/>
  <c r="L192" i="27" s="1"/>
  <c r="F191" i="27"/>
  <c r="I197" i="13" l="1"/>
  <c r="J197" i="13"/>
  <c r="H196" i="13"/>
  <c r="L196" i="13" s="1"/>
  <c r="G196" i="13"/>
  <c r="F195" i="13"/>
  <c r="G197" i="28"/>
  <c r="H197" i="28" s="1"/>
  <c r="F196" i="28"/>
  <c r="AG200" i="7"/>
  <c r="J200" i="7"/>
  <c r="AH200" i="7" s="1"/>
  <c r="L200" i="7"/>
  <c r="G198" i="7"/>
  <c r="M201" i="7"/>
  <c r="N201" i="7" s="1"/>
  <c r="AI200" i="7"/>
  <c r="K200" i="7"/>
  <c r="I199" i="7"/>
  <c r="H199" i="7"/>
  <c r="G191" i="27"/>
  <c r="H191" i="27" s="1"/>
  <c r="J191" i="27" s="1"/>
  <c r="L191" i="27" s="1"/>
  <c r="F190" i="27"/>
  <c r="H195" i="13" l="1"/>
  <c r="L195" i="13" s="1"/>
  <c r="F194" i="13"/>
  <c r="G195" i="13"/>
  <c r="J196" i="13"/>
  <c r="I196" i="13"/>
  <c r="F195" i="28"/>
  <c r="G196" i="28"/>
  <c r="H196" i="28" s="1"/>
  <c r="AG199" i="7"/>
  <c r="J199" i="7"/>
  <c r="AH199" i="7" s="1"/>
  <c r="L199" i="7"/>
  <c r="H198" i="7"/>
  <c r="I198" i="7"/>
  <c r="G197" i="7"/>
  <c r="AI199" i="7"/>
  <c r="K199" i="7"/>
  <c r="M200" i="7"/>
  <c r="N200" i="7" s="1"/>
  <c r="F189" i="27"/>
  <c r="G190" i="27"/>
  <c r="H190" i="27" s="1"/>
  <c r="J190" i="27" s="1"/>
  <c r="L190" i="27" s="1"/>
  <c r="H194" i="13" l="1"/>
  <c r="L194" i="13" s="1"/>
  <c r="F193" i="13"/>
  <c r="G194" i="13"/>
  <c r="J195" i="13"/>
  <c r="I195" i="13"/>
  <c r="G195" i="28"/>
  <c r="H195" i="28" s="1"/>
  <c r="F194" i="28"/>
  <c r="AG198" i="7"/>
  <c r="J198" i="7"/>
  <c r="AH198" i="7" s="1"/>
  <c r="L198" i="7"/>
  <c r="M199" i="7"/>
  <c r="N199" i="7" s="1"/>
  <c r="H197" i="7"/>
  <c r="I197" i="7"/>
  <c r="AI198" i="7"/>
  <c r="K198" i="7"/>
  <c r="G196" i="7"/>
  <c r="G189" i="27"/>
  <c r="H189" i="27" s="1"/>
  <c r="J189" i="27" s="1"/>
  <c r="L189" i="27" s="1"/>
  <c r="F188" i="27"/>
  <c r="H193" i="13" l="1"/>
  <c r="L193" i="13" s="1"/>
  <c r="F192" i="13"/>
  <c r="G193" i="13"/>
  <c r="I194" i="13"/>
  <c r="J194" i="13"/>
  <c r="F193" i="28"/>
  <c r="G194" i="28"/>
  <c r="H194" i="28" s="1"/>
  <c r="H196" i="7"/>
  <c r="I196" i="7"/>
  <c r="AG197" i="7"/>
  <c r="J197" i="7"/>
  <c r="AH197" i="7" s="1"/>
  <c r="L197" i="7"/>
  <c r="M198" i="7"/>
  <c r="N198" i="7" s="1"/>
  <c r="G195" i="7"/>
  <c r="AI197" i="7"/>
  <c r="K197" i="7"/>
  <c r="G188" i="27"/>
  <c r="H188" i="27" s="1"/>
  <c r="J188" i="27" s="1"/>
  <c r="L188" i="27" s="1"/>
  <c r="F187" i="27"/>
  <c r="H192" i="13" l="1"/>
  <c r="L192" i="13" s="1"/>
  <c r="G192" i="13"/>
  <c r="F191" i="13"/>
  <c r="I193" i="13"/>
  <c r="J193" i="13"/>
  <c r="G193" i="28"/>
  <c r="H193" i="28" s="1"/>
  <c r="F192" i="28"/>
  <c r="AG196" i="7"/>
  <c r="J196" i="7"/>
  <c r="AH196" i="7" s="1"/>
  <c r="L196" i="7"/>
  <c r="G194" i="7"/>
  <c r="M197" i="7"/>
  <c r="N197" i="7" s="1"/>
  <c r="AI196" i="7"/>
  <c r="K196" i="7"/>
  <c r="H195" i="7"/>
  <c r="I195" i="7"/>
  <c r="G187" i="27"/>
  <c r="H187" i="27" s="1"/>
  <c r="J187" i="27" s="1"/>
  <c r="L187" i="27" s="1"/>
  <c r="F186" i="27"/>
  <c r="H191" i="13" l="1"/>
  <c r="L191" i="13" s="1"/>
  <c r="G191" i="13"/>
  <c r="F190" i="13"/>
  <c r="J192" i="13"/>
  <c r="I192" i="13"/>
  <c r="G192" i="28"/>
  <c r="H192" i="28" s="1"/>
  <c r="F191" i="28"/>
  <c r="H194" i="7"/>
  <c r="I194" i="7"/>
  <c r="M196" i="7"/>
  <c r="N196" i="7" s="1"/>
  <c r="G193" i="7"/>
  <c r="AG195" i="7"/>
  <c r="L195" i="7"/>
  <c r="J195" i="7"/>
  <c r="AH195" i="7" s="1"/>
  <c r="K195" i="7"/>
  <c r="AI195" i="7"/>
  <c r="G186" i="27"/>
  <c r="H186" i="27" s="1"/>
  <c r="J186" i="27" s="1"/>
  <c r="L186" i="27" s="1"/>
  <c r="F185" i="27"/>
  <c r="H190" i="13" l="1"/>
  <c r="L190" i="13" s="1"/>
  <c r="F189" i="13"/>
  <c r="G190" i="13"/>
  <c r="J191" i="13"/>
  <c r="I191" i="13"/>
  <c r="G191" i="28"/>
  <c r="H191" i="28" s="1"/>
  <c r="F190" i="28"/>
  <c r="G192" i="7"/>
  <c r="H193" i="7"/>
  <c r="I193" i="7"/>
  <c r="AG194" i="7"/>
  <c r="J194" i="7"/>
  <c r="AH194" i="7" s="1"/>
  <c r="L194" i="7"/>
  <c r="M195" i="7"/>
  <c r="N195" i="7" s="1"/>
  <c r="AI194" i="7"/>
  <c r="K194" i="7"/>
  <c r="F184" i="27"/>
  <c r="G185" i="27"/>
  <c r="H185" i="27" s="1"/>
  <c r="J185" i="27" s="1"/>
  <c r="L185" i="27" s="1"/>
  <c r="H189" i="13" l="1"/>
  <c r="L189" i="13" s="1"/>
  <c r="F188" i="13"/>
  <c r="G189" i="13"/>
  <c r="I190" i="13"/>
  <c r="J190" i="13"/>
  <c r="G190" i="28"/>
  <c r="H190" i="28" s="1"/>
  <c r="F189" i="28"/>
  <c r="AG193" i="7"/>
  <c r="J193" i="7"/>
  <c r="AH193" i="7" s="1"/>
  <c r="L193" i="7"/>
  <c r="M194" i="7"/>
  <c r="N194" i="7" s="1"/>
  <c r="AI193" i="7"/>
  <c r="K193" i="7"/>
  <c r="H192" i="7"/>
  <c r="I192" i="7"/>
  <c r="G191" i="7"/>
  <c r="G184" i="27"/>
  <c r="H184" i="27" s="1"/>
  <c r="J184" i="27" s="1"/>
  <c r="L184" i="27" s="1"/>
  <c r="F183" i="27"/>
  <c r="H188" i="13" l="1"/>
  <c r="L188" i="13" s="1"/>
  <c r="G188" i="13"/>
  <c r="F187" i="13"/>
  <c r="J189" i="13"/>
  <c r="I189" i="13"/>
  <c r="G189" i="28"/>
  <c r="H189" i="28" s="1"/>
  <c r="F188" i="28"/>
  <c r="AG192" i="7"/>
  <c r="J192" i="7"/>
  <c r="AH192" i="7" s="1"/>
  <c r="L192" i="7"/>
  <c r="M193" i="7"/>
  <c r="N193" i="7" s="1"/>
  <c r="G190" i="7"/>
  <c r="AI192" i="7"/>
  <c r="K192" i="7"/>
  <c r="H191" i="7"/>
  <c r="I191" i="7"/>
  <c r="G183" i="27"/>
  <c r="H183" i="27" s="1"/>
  <c r="J183" i="27" s="1"/>
  <c r="L183" i="27" s="1"/>
  <c r="F182" i="27"/>
  <c r="H187" i="13" l="1"/>
  <c r="L187" i="13" s="1"/>
  <c r="F186" i="13"/>
  <c r="G187" i="13"/>
  <c r="J188" i="13"/>
  <c r="I188" i="13"/>
  <c r="F187" i="28"/>
  <c r="G188" i="28"/>
  <c r="H188" i="28" s="1"/>
  <c r="AG191" i="7"/>
  <c r="J191" i="7"/>
  <c r="AH191" i="7" s="1"/>
  <c r="L191" i="7"/>
  <c r="H190" i="7"/>
  <c r="I190" i="7"/>
  <c r="M192" i="7"/>
  <c r="N192" i="7" s="1"/>
  <c r="AI191" i="7"/>
  <c r="K191" i="7"/>
  <c r="G189" i="7"/>
  <c r="G182" i="27"/>
  <c r="H182" i="27" s="1"/>
  <c r="J182" i="27" s="1"/>
  <c r="L182" i="27" s="1"/>
  <c r="F181" i="27"/>
  <c r="J187" i="13" l="1"/>
  <c r="I187" i="13"/>
  <c r="H186" i="13"/>
  <c r="L186" i="13" s="1"/>
  <c r="F185" i="13"/>
  <c r="G186" i="13"/>
  <c r="F186" i="28"/>
  <c r="G187" i="28"/>
  <c r="H187" i="28" s="1"/>
  <c r="G188" i="7"/>
  <c r="M191" i="7"/>
  <c r="N191" i="7" s="1"/>
  <c r="I189" i="7"/>
  <c r="H189" i="7"/>
  <c r="AG190" i="7"/>
  <c r="J190" i="7"/>
  <c r="AH190" i="7" s="1"/>
  <c r="L190" i="7"/>
  <c r="AI190" i="7"/>
  <c r="K190" i="7"/>
  <c r="G181" i="27"/>
  <c r="H181" i="27" s="1"/>
  <c r="J181" i="27" s="1"/>
  <c r="L181" i="27" s="1"/>
  <c r="F180" i="27"/>
  <c r="H185" i="13" l="1"/>
  <c r="L185" i="13" s="1"/>
  <c r="G185" i="13"/>
  <c r="F184" i="13"/>
  <c r="J186" i="13"/>
  <c r="I186" i="13"/>
  <c r="G186" i="28"/>
  <c r="H186" i="28" s="1"/>
  <c r="F185" i="28"/>
  <c r="M190" i="7"/>
  <c r="N190" i="7" s="1"/>
  <c r="AG189" i="7"/>
  <c r="J189" i="7"/>
  <c r="AH189" i="7" s="1"/>
  <c r="L189" i="7"/>
  <c r="I188" i="7"/>
  <c r="H188" i="7"/>
  <c r="G187" i="7"/>
  <c r="AI189" i="7"/>
  <c r="K189" i="7"/>
  <c r="G180" i="27"/>
  <c r="H180" i="27" s="1"/>
  <c r="J180" i="27" s="1"/>
  <c r="L180" i="27" s="1"/>
  <c r="F179" i="27"/>
  <c r="H184" i="13" l="1"/>
  <c r="L184" i="13" s="1"/>
  <c r="G184" i="13"/>
  <c r="F183" i="13"/>
  <c r="J185" i="13"/>
  <c r="I185" i="13"/>
  <c r="F184" i="28"/>
  <c r="G185" i="28"/>
  <c r="H185" i="28" s="1"/>
  <c r="H187" i="7"/>
  <c r="I187" i="7"/>
  <c r="AI188" i="7"/>
  <c r="K188" i="7"/>
  <c r="M189" i="7"/>
  <c r="N189" i="7" s="1"/>
  <c r="G186" i="7"/>
  <c r="AG188" i="7"/>
  <c r="J188" i="7"/>
  <c r="AH188" i="7" s="1"/>
  <c r="L188" i="7"/>
  <c r="F178" i="27"/>
  <c r="G179" i="27"/>
  <c r="H179" i="27" s="1"/>
  <c r="J179" i="27" s="1"/>
  <c r="L179" i="27" s="1"/>
  <c r="H183" i="13" l="1"/>
  <c r="L183" i="13" s="1"/>
  <c r="G183" i="13"/>
  <c r="F182" i="13"/>
  <c r="J184" i="13"/>
  <c r="I184" i="13"/>
  <c r="G184" i="28"/>
  <c r="H184" i="28" s="1"/>
  <c r="F183" i="28"/>
  <c r="G185" i="7"/>
  <c r="M188" i="7"/>
  <c r="N188" i="7" s="1"/>
  <c r="H186" i="7"/>
  <c r="I186" i="7"/>
  <c r="AG187" i="7"/>
  <c r="J187" i="7"/>
  <c r="AH187" i="7" s="1"/>
  <c r="L187" i="7"/>
  <c r="AI187" i="7"/>
  <c r="K187" i="7"/>
  <c r="F177" i="27"/>
  <c r="G178" i="27"/>
  <c r="H178" i="27" s="1"/>
  <c r="J178" i="27" s="1"/>
  <c r="L178" i="27" s="1"/>
  <c r="J183" i="13" l="1"/>
  <c r="I183" i="13"/>
  <c r="H182" i="13"/>
  <c r="L182" i="13" s="1"/>
  <c r="F181" i="13"/>
  <c r="G182" i="13"/>
  <c r="G183" i="28"/>
  <c r="H183" i="28" s="1"/>
  <c r="F182" i="28"/>
  <c r="AG186" i="7"/>
  <c r="J186" i="7"/>
  <c r="AH186" i="7" s="1"/>
  <c r="L186" i="7"/>
  <c r="G184" i="7"/>
  <c r="M187" i="7"/>
  <c r="N187" i="7" s="1"/>
  <c r="AI186" i="7"/>
  <c r="K186" i="7"/>
  <c r="H185" i="7"/>
  <c r="I185" i="7"/>
  <c r="F176" i="27"/>
  <c r="G177" i="27"/>
  <c r="H177" i="27" s="1"/>
  <c r="J177" i="27" s="1"/>
  <c r="L177" i="27" s="1"/>
  <c r="H181" i="13" l="1"/>
  <c r="L181" i="13" s="1"/>
  <c r="F180" i="13"/>
  <c r="G181" i="13"/>
  <c r="J182" i="13"/>
  <c r="I182" i="13"/>
  <c r="G182" i="28"/>
  <c r="H182" i="28" s="1"/>
  <c r="F181" i="28"/>
  <c r="H184" i="7"/>
  <c r="I184" i="7"/>
  <c r="AI185" i="7"/>
  <c r="K185" i="7"/>
  <c r="G183" i="7"/>
  <c r="AG185" i="7"/>
  <c r="J185" i="7"/>
  <c r="AH185" i="7" s="1"/>
  <c r="L185" i="7"/>
  <c r="M186" i="7"/>
  <c r="N186" i="7" s="1"/>
  <c r="F175" i="27"/>
  <c r="G176" i="27"/>
  <c r="H176" i="27" s="1"/>
  <c r="J176" i="27" s="1"/>
  <c r="L176" i="27" s="1"/>
  <c r="J181" i="13" l="1"/>
  <c r="I181" i="13"/>
  <c r="H180" i="13"/>
  <c r="L180" i="13" s="1"/>
  <c r="F179" i="13"/>
  <c r="G180" i="13"/>
  <c r="F180" i="28"/>
  <c r="G181" i="28"/>
  <c r="H181" i="28" s="1"/>
  <c r="M185" i="7"/>
  <c r="N185" i="7" s="1"/>
  <c r="H183" i="7"/>
  <c r="I183" i="7"/>
  <c r="AG184" i="7"/>
  <c r="J184" i="7"/>
  <c r="AH184" i="7" s="1"/>
  <c r="L184" i="7"/>
  <c r="AI184" i="7"/>
  <c r="K184" i="7"/>
  <c r="G182" i="7"/>
  <c r="F174" i="27"/>
  <c r="G175" i="27"/>
  <c r="H175" i="27" s="1"/>
  <c r="J175" i="27" s="1"/>
  <c r="L175" i="27" s="1"/>
  <c r="H179" i="13" l="1"/>
  <c r="L179" i="13" s="1"/>
  <c r="F178" i="13"/>
  <c r="G179" i="13"/>
  <c r="J180" i="13"/>
  <c r="I180" i="13"/>
  <c r="G180" i="28"/>
  <c r="H180" i="28" s="1"/>
  <c r="F179" i="28"/>
  <c r="AG183" i="7"/>
  <c r="L183" i="7"/>
  <c r="J183" i="7"/>
  <c r="AH183" i="7" s="1"/>
  <c r="M184" i="7"/>
  <c r="N184" i="7" s="1"/>
  <c r="AI183" i="7"/>
  <c r="K183" i="7"/>
  <c r="H182" i="7"/>
  <c r="I182" i="7"/>
  <c r="G181" i="7"/>
  <c r="G174" i="27"/>
  <c r="H174" i="27" s="1"/>
  <c r="J174" i="27" s="1"/>
  <c r="L174" i="27" s="1"/>
  <c r="F173" i="27"/>
  <c r="H178" i="13" l="1"/>
  <c r="L178" i="13" s="1"/>
  <c r="F177" i="13"/>
  <c r="G178" i="13"/>
  <c r="J179" i="13"/>
  <c r="I179" i="13"/>
  <c r="F178" i="28"/>
  <c r="G179" i="28"/>
  <c r="H179" i="28" s="1"/>
  <c r="H181" i="7"/>
  <c r="I181" i="7"/>
  <c r="AG182" i="7"/>
  <c r="L182" i="7"/>
  <c r="J182" i="7"/>
  <c r="AH182" i="7" s="1"/>
  <c r="M183" i="7"/>
  <c r="N183" i="7" s="1"/>
  <c r="K182" i="7"/>
  <c r="AI182" i="7"/>
  <c r="G180" i="7"/>
  <c r="G173" i="27"/>
  <c r="H173" i="27" s="1"/>
  <c r="J173" i="27" s="1"/>
  <c r="L173" i="27" s="1"/>
  <c r="F172" i="27"/>
  <c r="H177" i="13" l="1"/>
  <c r="L177" i="13" s="1"/>
  <c r="G177" i="13"/>
  <c r="F176" i="13"/>
  <c r="J178" i="13"/>
  <c r="I178" i="13"/>
  <c r="G178" i="28"/>
  <c r="H178" i="28" s="1"/>
  <c r="F177" i="28"/>
  <c r="H180" i="7"/>
  <c r="I180" i="7"/>
  <c r="AG181" i="7"/>
  <c r="J181" i="7"/>
  <c r="AH181" i="7" s="1"/>
  <c r="L181" i="7"/>
  <c r="G179" i="7"/>
  <c r="AI181" i="7"/>
  <c r="K181" i="7"/>
  <c r="M182" i="7"/>
  <c r="N182" i="7" s="1"/>
  <c r="G172" i="27"/>
  <c r="H172" i="27" s="1"/>
  <c r="J172" i="27" s="1"/>
  <c r="L172" i="27" s="1"/>
  <c r="F171" i="27"/>
  <c r="J177" i="13" l="1"/>
  <c r="I177" i="13"/>
  <c r="H176" i="13"/>
  <c r="L176" i="13" s="1"/>
  <c r="F175" i="13"/>
  <c r="G176" i="13"/>
  <c r="G177" i="28"/>
  <c r="H177" i="28" s="1"/>
  <c r="F176" i="28"/>
  <c r="H179" i="7"/>
  <c r="I179" i="7"/>
  <c r="AG180" i="7"/>
  <c r="J180" i="7"/>
  <c r="AH180" i="7" s="1"/>
  <c r="L180" i="7"/>
  <c r="M181" i="7"/>
  <c r="N181" i="7" s="1"/>
  <c r="AI180" i="7"/>
  <c r="K180" i="7"/>
  <c r="G178" i="7"/>
  <c r="F170" i="27"/>
  <c r="G171" i="27"/>
  <c r="H171" i="27" s="1"/>
  <c r="J171" i="27" s="1"/>
  <c r="L171" i="27" s="1"/>
  <c r="H175" i="13" l="1"/>
  <c r="L175" i="13" s="1"/>
  <c r="F174" i="13"/>
  <c r="G175" i="13"/>
  <c r="J176" i="13"/>
  <c r="I176" i="13"/>
  <c r="G176" i="28"/>
  <c r="H176" i="28" s="1"/>
  <c r="F175" i="28"/>
  <c r="AG179" i="7"/>
  <c r="J179" i="7"/>
  <c r="AH179" i="7" s="1"/>
  <c r="L179" i="7"/>
  <c r="H178" i="7"/>
  <c r="I178" i="7"/>
  <c r="M180" i="7"/>
  <c r="N180" i="7" s="1"/>
  <c r="AI179" i="7"/>
  <c r="K179" i="7"/>
  <c r="G177" i="7"/>
  <c r="G170" i="27"/>
  <c r="H170" i="27" s="1"/>
  <c r="J170" i="27" s="1"/>
  <c r="L170" i="27" s="1"/>
  <c r="F169" i="27"/>
  <c r="H174" i="13" l="1"/>
  <c r="L174" i="13" s="1"/>
  <c r="G174" i="13"/>
  <c r="F173" i="13"/>
  <c r="I175" i="13"/>
  <c r="J175" i="13"/>
  <c r="G175" i="28"/>
  <c r="H175" i="28" s="1"/>
  <c r="F174" i="28"/>
  <c r="AI178" i="7"/>
  <c r="K178" i="7"/>
  <c r="G176" i="7"/>
  <c r="M179" i="7"/>
  <c r="N179" i="7" s="1"/>
  <c r="I177" i="7"/>
  <c r="H177" i="7"/>
  <c r="AG178" i="7"/>
  <c r="J178" i="7"/>
  <c r="AH178" i="7" s="1"/>
  <c r="L178" i="7"/>
  <c r="G169" i="27"/>
  <c r="H169" i="27" s="1"/>
  <c r="J169" i="27" s="1"/>
  <c r="L169" i="27" s="1"/>
  <c r="F168" i="27"/>
  <c r="J174" i="13" l="1"/>
  <c r="I174" i="13"/>
  <c r="H173" i="13"/>
  <c r="L173" i="13" s="1"/>
  <c r="G173" i="13"/>
  <c r="F172" i="13"/>
  <c r="F173" i="28"/>
  <c r="G174" i="28"/>
  <c r="H174" i="28" s="1"/>
  <c r="H176" i="7"/>
  <c r="I176" i="7"/>
  <c r="AI177" i="7"/>
  <c r="K177" i="7"/>
  <c r="M178" i="7"/>
  <c r="N178" i="7" s="1"/>
  <c r="AG177" i="7"/>
  <c r="L177" i="7"/>
  <c r="J177" i="7"/>
  <c r="AH177" i="7" s="1"/>
  <c r="G175" i="7"/>
  <c r="G168" i="27"/>
  <c r="H168" i="27" s="1"/>
  <c r="J168" i="27" s="1"/>
  <c r="L168" i="27" s="1"/>
  <c r="F167" i="27"/>
  <c r="H172" i="13" l="1"/>
  <c r="L172" i="13" s="1"/>
  <c r="G172" i="13"/>
  <c r="F171" i="13"/>
  <c r="J173" i="13"/>
  <c r="I173" i="13"/>
  <c r="G173" i="28"/>
  <c r="H173" i="28" s="1"/>
  <c r="F172" i="28"/>
  <c r="AG176" i="7"/>
  <c r="J176" i="7"/>
  <c r="AH176" i="7" s="1"/>
  <c r="L176" i="7"/>
  <c r="G174" i="7"/>
  <c r="K176" i="7"/>
  <c r="AI176" i="7"/>
  <c r="H175" i="7"/>
  <c r="I175" i="7"/>
  <c r="M177" i="7"/>
  <c r="N177" i="7" s="1"/>
  <c r="F166" i="27"/>
  <c r="G167" i="27"/>
  <c r="H167" i="27" s="1"/>
  <c r="J167" i="27" s="1"/>
  <c r="L167" i="27" s="1"/>
  <c r="J172" i="13" l="1"/>
  <c r="I172" i="13"/>
  <c r="H171" i="13"/>
  <c r="L171" i="13" s="1"/>
  <c r="F170" i="13"/>
  <c r="G171" i="13"/>
  <c r="F171" i="28"/>
  <c r="G172" i="28"/>
  <c r="H172" i="28" s="1"/>
  <c r="M176" i="7"/>
  <c r="N176" i="7" s="1"/>
  <c r="AG175" i="7"/>
  <c r="L175" i="7"/>
  <c r="J175" i="7"/>
  <c r="AH175" i="7" s="1"/>
  <c r="AI175" i="7"/>
  <c r="K175" i="7"/>
  <c r="G173" i="7"/>
  <c r="H174" i="7"/>
  <c r="I174" i="7"/>
  <c r="G166" i="27"/>
  <c r="H166" i="27" s="1"/>
  <c r="J166" i="27" s="1"/>
  <c r="L166" i="27" s="1"/>
  <c r="F165" i="27"/>
  <c r="H170" i="13" l="1"/>
  <c r="L170" i="13" s="1"/>
  <c r="F169" i="13"/>
  <c r="G170" i="13"/>
  <c r="J171" i="13"/>
  <c r="I171" i="13"/>
  <c r="F170" i="28"/>
  <c r="G171" i="28"/>
  <c r="H171" i="28" s="1"/>
  <c r="AG174" i="7"/>
  <c r="L174" i="7"/>
  <c r="J174" i="7"/>
  <c r="AH174" i="7" s="1"/>
  <c r="G172" i="7"/>
  <c r="M175" i="7"/>
  <c r="N175" i="7" s="1"/>
  <c r="H173" i="7"/>
  <c r="I173" i="7"/>
  <c r="AI174" i="7"/>
  <c r="K174" i="7"/>
  <c r="G165" i="27"/>
  <c r="H165" i="27" s="1"/>
  <c r="J165" i="27" s="1"/>
  <c r="L165" i="27" s="1"/>
  <c r="F164" i="27"/>
  <c r="H169" i="13" l="1"/>
  <c r="L169" i="13" s="1"/>
  <c r="G169" i="13"/>
  <c r="F168" i="13"/>
  <c r="J170" i="13"/>
  <c r="I170" i="13"/>
  <c r="G170" i="28"/>
  <c r="H170" i="28" s="1"/>
  <c r="F169" i="28"/>
  <c r="M174" i="7"/>
  <c r="N174" i="7" s="1"/>
  <c r="G171" i="7"/>
  <c r="AG173" i="7"/>
  <c r="J173" i="7"/>
  <c r="AH173" i="7" s="1"/>
  <c r="L173" i="7"/>
  <c r="AI173" i="7"/>
  <c r="K173" i="7"/>
  <c r="H172" i="7"/>
  <c r="I172" i="7"/>
  <c r="G164" i="27"/>
  <c r="H164" i="27" s="1"/>
  <c r="J164" i="27" s="1"/>
  <c r="L164" i="27" s="1"/>
  <c r="F163" i="27"/>
  <c r="H168" i="13" l="1"/>
  <c r="L168" i="13" s="1"/>
  <c r="F167" i="13"/>
  <c r="G168" i="13"/>
  <c r="J169" i="13"/>
  <c r="I169" i="13"/>
  <c r="F168" i="28"/>
  <c r="G169" i="28"/>
  <c r="H169" i="28" s="1"/>
  <c r="AG172" i="7"/>
  <c r="J172" i="7"/>
  <c r="AH172" i="7" s="1"/>
  <c r="L172" i="7"/>
  <c r="M173" i="7"/>
  <c r="N173" i="7" s="1"/>
  <c r="H171" i="7"/>
  <c r="I171" i="7"/>
  <c r="AI172" i="7"/>
  <c r="K172" i="7"/>
  <c r="G170" i="7"/>
  <c r="G163" i="27"/>
  <c r="H163" i="27" s="1"/>
  <c r="J163" i="27" s="1"/>
  <c r="L163" i="27" s="1"/>
  <c r="F162" i="27"/>
  <c r="H167" i="13" l="1"/>
  <c r="L167" i="13" s="1"/>
  <c r="F166" i="13"/>
  <c r="G167" i="13"/>
  <c r="J168" i="13"/>
  <c r="I168" i="13"/>
  <c r="G168" i="28"/>
  <c r="H168" i="28" s="1"/>
  <c r="F167" i="28"/>
  <c r="H170" i="7"/>
  <c r="I170" i="7"/>
  <c r="AG171" i="7"/>
  <c r="J171" i="7"/>
  <c r="AH171" i="7" s="1"/>
  <c r="L171" i="7"/>
  <c r="M172" i="7"/>
  <c r="N172" i="7" s="1"/>
  <c r="AI171" i="7"/>
  <c r="K171" i="7"/>
  <c r="G169" i="7"/>
  <c r="G162" i="27"/>
  <c r="H162" i="27" s="1"/>
  <c r="J162" i="27" s="1"/>
  <c r="L162" i="27" s="1"/>
  <c r="F161" i="27"/>
  <c r="H166" i="13" l="1"/>
  <c r="L166" i="13" s="1"/>
  <c r="F165" i="13"/>
  <c r="G166" i="13"/>
  <c r="J167" i="13"/>
  <c r="I167" i="13"/>
  <c r="G167" i="28"/>
  <c r="H167" i="28" s="1"/>
  <c r="F166" i="28"/>
  <c r="G168" i="7"/>
  <c r="H169" i="7"/>
  <c r="I169" i="7"/>
  <c r="AG170" i="7"/>
  <c r="J170" i="7"/>
  <c r="AH170" i="7" s="1"/>
  <c r="L170" i="7"/>
  <c r="M171" i="7"/>
  <c r="N171" i="7" s="1"/>
  <c r="AI170" i="7"/>
  <c r="K170" i="7"/>
  <c r="G161" i="27"/>
  <c r="H161" i="27" s="1"/>
  <c r="J161" i="27" s="1"/>
  <c r="L161" i="27" s="1"/>
  <c r="F160" i="27"/>
  <c r="H165" i="13" l="1"/>
  <c r="L165" i="13" s="1"/>
  <c r="F164" i="13"/>
  <c r="G165" i="13"/>
  <c r="J166" i="13"/>
  <c r="I166" i="13"/>
  <c r="F165" i="28"/>
  <c r="G166" i="28"/>
  <c r="H166" i="28" s="1"/>
  <c r="M170" i="7"/>
  <c r="N170" i="7" s="1"/>
  <c r="G167" i="7"/>
  <c r="AG169" i="7"/>
  <c r="J169" i="7"/>
  <c r="AH169" i="7" s="1"/>
  <c r="L169" i="7"/>
  <c r="H168" i="7"/>
  <c r="I168" i="7"/>
  <c r="AI169" i="7"/>
  <c r="K169" i="7"/>
  <c r="G160" i="27"/>
  <c r="H160" i="27" s="1"/>
  <c r="J160" i="27" s="1"/>
  <c r="L160" i="27" s="1"/>
  <c r="F159" i="27"/>
  <c r="H164" i="13" l="1"/>
  <c r="L164" i="13" s="1"/>
  <c r="F163" i="13"/>
  <c r="G164" i="13"/>
  <c r="J165" i="13"/>
  <c r="I165" i="13"/>
  <c r="F164" i="28"/>
  <c r="G165" i="28"/>
  <c r="H165" i="28" s="1"/>
  <c r="AG168" i="7"/>
  <c r="J168" i="7"/>
  <c r="AH168" i="7" s="1"/>
  <c r="L168" i="7"/>
  <c r="AI168" i="7"/>
  <c r="K168" i="7"/>
  <c r="G166" i="7"/>
  <c r="M169" i="7"/>
  <c r="N169" i="7" s="1"/>
  <c r="H167" i="7"/>
  <c r="I167" i="7"/>
  <c r="G159" i="27"/>
  <c r="H159" i="27" s="1"/>
  <c r="J159" i="27" s="1"/>
  <c r="L159" i="27" s="1"/>
  <c r="F158" i="27"/>
  <c r="H163" i="13" l="1"/>
  <c r="L163" i="13" s="1"/>
  <c r="F162" i="13"/>
  <c r="G163" i="13"/>
  <c r="J164" i="13"/>
  <c r="I164" i="13"/>
  <c r="G164" i="28"/>
  <c r="H164" i="28" s="1"/>
  <c r="F163" i="28"/>
  <c r="G165" i="7"/>
  <c r="M168" i="7"/>
  <c r="N168" i="7" s="1"/>
  <c r="AG167" i="7"/>
  <c r="J167" i="7"/>
  <c r="AH167" i="7" s="1"/>
  <c r="L167" i="7"/>
  <c r="AI167" i="7"/>
  <c r="K167" i="7"/>
  <c r="H166" i="7"/>
  <c r="I166" i="7"/>
  <c r="G158" i="27"/>
  <c r="H158" i="27" s="1"/>
  <c r="J158" i="27" s="1"/>
  <c r="L158" i="27" s="1"/>
  <c r="F157" i="27"/>
  <c r="H162" i="13" l="1"/>
  <c r="L162" i="13" s="1"/>
  <c r="F161" i="13"/>
  <c r="G162" i="13"/>
  <c r="J163" i="13"/>
  <c r="I163" i="13"/>
  <c r="F162" i="28"/>
  <c r="G163" i="28"/>
  <c r="H163" i="28" s="1"/>
  <c r="AG166" i="7"/>
  <c r="L166" i="7"/>
  <c r="J166" i="7"/>
  <c r="AH166" i="7" s="1"/>
  <c r="M167" i="7"/>
  <c r="N167" i="7" s="1"/>
  <c r="AI166" i="7"/>
  <c r="K166" i="7"/>
  <c r="I165" i="7"/>
  <c r="H165" i="7"/>
  <c r="G164" i="7"/>
  <c r="G157" i="27"/>
  <c r="H157" i="27" s="1"/>
  <c r="J157" i="27" s="1"/>
  <c r="L157" i="27" s="1"/>
  <c r="F156" i="27"/>
  <c r="H161" i="13" l="1"/>
  <c r="L161" i="13" s="1"/>
  <c r="F160" i="13"/>
  <c r="G161" i="13"/>
  <c r="I162" i="13"/>
  <c r="J162" i="13"/>
  <c r="F161" i="28"/>
  <c r="G162" i="28"/>
  <c r="H162" i="28" s="1"/>
  <c r="H164" i="7"/>
  <c r="I164" i="7"/>
  <c r="M166" i="7"/>
  <c r="N166" i="7" s="1"/>
  <c r="G163" i="7"/>
  <c r="AI165" i="7"/>
  <c r="K165" i="7"/>
  <c r="AG165" i="7"/>
  <c r="L165" i="7"/>
  <c r="J165" i="7"/>
  <c r="AH165" i="7" s="1"/>
  <c r="F155" i="27"/>
  <c r="G156" i="27"/>
  <c r="H156" i="27" s="1"/>
  <c r="J156" i="27" s="1"/>
  <c r="L156" i="27" s="1"/>
  <c r="H160" i="13" l="1"/>
  <c r="L160" i="13" s="1"/>
  <c r="G160" i="13"/>
  <c r="F159" i="13"/>
  <c r="J161" i="13"/>
  <c r="I161" i="13"/>
  <c r="F160" i="28"/>
  <c r="G161" i="28"/>
  <c r="H161" i="28" s="1"/>
  <c r="AI164" i="7"/>
  <c r="K164" i="7"/>
  <c r="M165" i="7"/>
  <c r="N165" i="7" s="1"/>
  <c r="G162" i="7"/>
  <c r="I163" i="7"/>
  <c r="H163" i="7"/>
  <c r="AG164" i="7"/>
  <c r="J164" i="7"/>
  <c r="AH164" i="7" s="1"/>
  <c r="L164" i="7"/>
  <c r="G155" i="27"/>
  <c r="H155" i="27" s="1"/>
  <c r="J155" i="27" s="1"/>
  <c r="L155" i="27" s="1"/>
  <c r="F154" i="27"/>
  <c r="H159" i="13" l="1"/>
  <c r="L159" i="13" s="1"/>
  <c r="G159" i="13"/>
  <c r="F158" i="13"/>
  <c r="J160" i="13"/>
  <c r="I160" i="13"/>
  <c r="G160" i="28"/>
  <c r="H160" i="28" s="1"/>
  <c r="F159" i="28"/>
  <c r="AI163" i="7"/>
  <c r="K163" i="7"/>
  <c r="H162" i="7"/>
  <c r="I162" i="7"/>
  <c r="M164" i="7"/>
  <c r="N164" i="7" s="1"/>
  <c r="AG163" i="7"/>
  <c r="J163" i="7"/>
  <c r="AH163" i="7" s="1"/>
  <c r="L163" i="7"/>
  <c r="G161" i="7"/>
  <c r="G154" i="27"/>
  <c r="H154" i="27" s="1"/>
  <c r="J154" i="27" s="1"/>
  <c r="L154" i="27" s="1"/>
  <c r="F153" i="27"/>
  <c r="H158" i="13" l="1"/>
  <c r="L158" i="13" s="1"/>
  <c r="F157" i="13"/>
  <c r="G158" i="13"/>
  <c r="J159" i="13"/>
  <c r="I159" i="13"/>
  <c r="G159" i="28"/>
  <c r="H159" i="28" s="1"/>
  <c r="F158" i="28"/>
  <c r="G160" i="7"/>
  <c r="AI162" i="7"/>
  <c r="K162" i="7"/>
  <c r="M163" i="7"/>
  <c r="N163" i="7" s="1"/>
  <c r="H161" i="7"/>
  <c r="I161" i="7"/>
  <c r="AG162" i="7"/>
  <c r="J162" i="7"/>
  <c r="AH162" i="7" s="1"/>
  <c r="L162" i="7"/>
  <c r="F152" i="27"/>
  <c r="G153" i="27"/>
  <c r="H153" i="27" s="1"/>
  <c r="J153" i="27" s="1"/>
  <c r="L153" i="27" s="1"/>
  <c r="H157" i="13" l="1"/>
  <c r="L157" i="13" s="1"/>
  <c r="F156" i="13"/>
  <c r="G157" i="13"/>
  <c r="I158" i="13"/>
  <c r="J158" i="13"/>
  <c r="G158" i="28"/>
  <c r="H158" i="28" s="1"/>
  <c r="F157" i="28"/>
  <c r="M162" i="7"/>
  <c r="N162" i="7" s="1"/>
  <c r="AG161" i="7"/>
  <c r="J161" i="7"/>
  <c r="AH161" i="7" s="1"/>
  <c r="L161" i="7"/>
  <c r="AI161" i="7"/>
  <c r="K161" i="7"/>
  <c r="G159" i="7"/>
  <c r="H160" i="7"/>
  <c r="I160" i="7"/>
  <c r="G152" i="27"/>
  <c r="H152" i="27" s="1"/>
  <c r="J152" i="27" s="1"/>
  <c r="L152" i="27" s="1"/>
  <c r="F151" i="27"/>
  <c r="H156" i="13" l="1"/>
  <c r="L156" i="13" s="1"/>
  <c r="G156" i="13"/>
  <c r="F155" i="13"/>
  <c r="I157" i="13"/>
  <c r="J157" i="13"/>
  <c r="G157" i="28"/>
  <c r="H157" i="28" s="1"/>
  <c r="F156" i="28"/>
  <c r="G158" i="7"/>
  <c r="AG160" i="7"/>
  <c r="L160" i="7"/>
  <c r="J160" i="7"/>
  <c r="AH160" i="7" s="1"/>
  <c r="H159" i="7"/>
  <c r="I159" i="7"/>
  <c r="AI160" i="7"/>
  <c r="K160" i="7"/>
  <c r="M161" i="7"/>
  <c r="N161" i="7" s="1"/>
  <c r="G151" i="27"/>
  <c r="H151" i="27" s="1"/>
  <c r="J151" i="27" s="1"/>
  <c r="L151" i="27" s="1"/>
  <c r="F150" i="27"/>
  <c r="H155" i="13" l="1"/>
  <c r="L155" i="13" s="1"/>
  <c r="F154" i="13"/>
  <c r="G155" i="13"/>
  <c r="I156" i="13"/>
  <c r="J156" i="13"/>
  <c r="G156" i="28"/>
  <c r="H156" i="28" s="1"/>
  <c r="F155" i="28"/>
  <c r="M160" i="7"/>
  <c r="N160" i="7" s="1"/>
  <c r="AG159" i="7"/>
  <c r="J159" i="7"/>
  <c r="AH159" i="7" s="1"/>
  <c r="L159" i="7"/>
  <c r="H158" i="7"/>
  <c r="I158" i="7"/>
  <c r="AI159" i="7"/>
  <c r="K159" i="7"/>
  <c r="G157" i="7"/>
  <c r="G150" i="27"/>
  <c r="H150" i="27" s="1"/>
  <c r="J150" i="27" s="1"/>
  <c r="L150" i="27" s="1"/>
  <c r="F149" i="27"/>
  <c r="H154" i="13" l="1"/>
  <c r="L154" i="13" s="1"/>
  <c r="F153" i="13"/>
  <c r="G154" i="13"/>
  <c r="J155" i="13"/>
  <c r="I155" i="13"/>
  <c r="F154" i="28"/>
  <c r="G155" i="28"/>
  <c r="H155" i="28" s="1"/>
  <c r="H157" i="7"/>
  <c r="I157" i="7"/>
  <c r="AG158" i="7"/>
  <c r="L158" i="7"/>
  <c r="J158" i="7"/>
  <c r="AH158" i="7" s="1"/>
  <c r="M159" i="7"/>
  <c r="N159" i="7" s="1"/>
  <c r="G156" i="7"/>
  <c r="AI158" i="7"/>
  <c r="K158" i="7"/>
  <c r="G149" i="27"/>
  <c r="H149" i="27" s="1"/>
  <c r="J149" i="27" s="1"/>
  <c r="L149" i="27" s="1"/>
  <c r="F148" i="27"/>
  <c r="H153" i="13" l="1"/>
  <c r="L153" i="13" s="1"/>
  <c r="G153" i="13"/>
  <c r="F152" i="13"/>
  <c r="J154" i="13"/>
  <c r="I154" i="13"/>
  <c r="G154" i="28"/>
  <c r="H154" i="28" s="1"/>
  <c r="F153" i="28"/>
  <c r="H156" i="7"/>
  <c r="I156" i="7"/>
  <c r="AI157" i="7"/>
  <c r="K157" i="7"/>
  <c r="G155" i="7"/>
  <c r="M158" i="7"/>
  <c r="N158" i="7" s="1"/>
  <c r="AG157" i="7"/>
  <c r="J157" i="7"/>
  <c r="AH157" i="7" s="1"/>
  <c r="L157" i="7"/>
  <c r="G148" i="27"/>
  <c r="H148" i="27" s="1"/>
  <c r="J148" i="27" s="1"/>
  <c r="L148" i="27" s="1"/>
  <c r="F147" i="27"/>
  <c r="H152" i="13" l="1"/>
  <c r="L152" i="13" s="1"/>
  <c r="F151" i="13"/>
  <c r="G152" i="13"/>
  <c r="J153" i="13"/>
  <c r="I153" i="13"/>
  <c r="G153" i="28"/>
  <c r="H153" i="28" s="1"/>
  <c r="F152" i="28"/>
  <c r="M157" i="7"/>
  <c r="N157" i="7" s="1"/>
  <c r="G154" i="7"/>
  <c r="AG156" i="7"/>
  <c r="J156" i="7"/>
  <c r="AH156" i="7" s="1"/>
  <c r="L156" i="7"/>
  <c r="H155" i="7"/>
  <c r="I155" i="7"/>
  <c r="AI156" i="7"/>
  <c r="K156" i="7"/>
  <c r="G147" i="27"/>
  <c r="H147" i="27" s="1"/>
  <c r="J147" i="27" s="1"/>
  <c r="L147" i="27" s="1"/>
  <c r="F146" i="27"/>
  <c r="H151" i="13" l="1"/>
  <c r="L151" i="13" s="1"/>
  <c r="G151" i="13"/>
  <c r="F150" i="13"/>
  <c r="J152" i="13"/>
  <c r="I152" i="13"/>
  <c r="G152" i="28"/>
  <c r="H152" i="28" s="1"/>
  <c r="F151" i="28"/>
  <c r="AG155" i="7"/>
  <c r="L155" i="7"/>
  <c r="J155" i="7"/>
  <c r="AH155" i="7" s="1"/>
  <c r="AI155" i="7"/>
  <c r="K155" i="7"/>
  <c r="H154" i="7"/>
  <c r="I154" i="7"/>
  <c r="M156" i="7"/>
  <c r="N156" i="7" s="1"/>
  <c r="G153" i="7"/>
  <c r="F145" i="27"/>
  <c r="G146" i="27"/>
  <c r="H146" i="27" s="1"/>
  <c r="J146" i="27" s="1"/>
  <c r="L146" i="27" s="1"/>
  <c r="H150" i="13" l="1"/>
  <c r="L150" i="13" s="1"/>
  <c r="F149" i="13"/>
  <c r="G150" i="13"/>
  <c r="J151" i="13"/>
  <c r="I151" i="13"/>
  <c r="F150" i="28"/>
  <c r="G151" i="28"/>
  <c r="H151" i="28" s="1"/>
  <c r="G152" i="7"/>
  <c r="AI154" i="7"/>
  <c r="K154" i="7"/>
  <c r="M155" i="7"/>
  <c r="N155" i="7" s="1"/>
  <c r="H153" i="7"/>
  <c r="I153" i="7"/>
  <c r="AG154" i="7"/>
  <c r="L154" i="7"/>
  <c r="J154" i="7"/>
  <c r="AH154" i="7" s="1"/>
  <c r="G145" i="27"/>
  <c r="H145" i="27" s="1"/>
  <c r="J145" i="27" s="1"/>
  <c r="L145" i="27" s="1"/>
  <c r="F144" i="27"/>
  <c r="H149" i="13" l="1"/>
  <c r="L149" i="13" s="1"/>
  <c r="G149" i="13"/>
  <c r="F148" i="13"/>
  <c r="I150" i="13"/>
  <c r="J150" i="13"/>
  <c r="G150" i="28"/>
  <c r="H150" i="28" s="1"/>
  <c r="F149" i="28"/>
  <c r="AG153" i="7"/>
  <c r="J153" i="7"/>
  <c r="AH153" i="7" s="1"/>
  <c r="L153" i="7"/>
  <c r="AI153" i="7"/>
  <c r="K153" i="7"/>
  <c r="H152" i="7"/>
  <c r="I152" i="7"/>
  <c r="M154" i="7"/>
  <c r="N154" i="7" s="1"/>
  <c r="G151" i="7"/>
  <c r="G144" i="27"/>
  <c r="H144" i="27" s="1"/>
  <c r="J144" i="27" s="1"/>
  <c r="L144" i="27" s="1"/>
  <c r="F143" i="27"/>
  <c r="H148" i="13" l="1"/>
  <c r="L148" i="13" s="1"/>
  <c r="G148" i="13"/>
  <c r="F147" i="13"/>
  <c r="J149" i="13"/>
  <c r="I149" i="13"/>
  <c r="G149" i="28"/>
  <c r="H149" i="28" s="1"/>
  <c r="F148" i="28"/>
  <c r="M153" i="7"/>
  <c r="N153" i="7" s="1"/>
  <c r="G150" i="7"/>
  <c r="AG152" i="7"/>
  <c r="J152" i="7"/>
  <c r="AH152" i="7" s="1"/>
  <c r="L152" i="7"/>
  <c r="H151" i="7"/>
  <c r="I151" i="7"/>
  <c r="AI152" i="7"/>
  <c r="K152" i="7"/>
  <c r="G143" i="27"/>
  <c r="H143" i="27" s="1"/>
  <c r="J143" i="27" s="1"/>
  <c r="L143" i="27" s="1"/>
  <c r="F142" i="27"/>
  <c r="H147" i="13" l="1"/>
  <c r="L147" i="13" s="1"/>
  <c r="F146" i="13"/>
  <c r="G147" i="13"/>
  <c r="J148" i="13"/>
  <c r="I148" i="13"/>
  <c r="G148" i="28"/>
  <c r="H148" i="28" s="1"/>
  <c r="F147" i="28"/>
  <c r="G149" i="7"/>
  <c r="M152" i="7"/>
  <c r="N152" i="7" s="1"/>
  <c r="H150" i="7"/>
  <c r="I150" i="7"/>
  <c r="AG151" i="7"/>
  <c r="L151" i="7"/>
  <c r="J151" i="7"/>
  <c r="AH151" i="7" s="1"/>
  <c r="AI151" i="7"/>
  <c r="K151" i="7"/>
  <c r="G142" i="27"/>
  <c r="H142" i="27" s="1"/>
  <c r="J142" i="27" s="1"/>
  <c r="L142" i="27" s="1"/>
  <c r="F141" i="27"/>
  <c r="H146" i="13" l="1"/>
  <c r="L146" i="13" s="1"/>
  <c r="F145" i="13"/>
  <c r="G146" i="13"/>
  <c r="J147" i="13"/>
  <c r="I147" i="13"/>
  <c r="G147" i="28"/>
  <c r="H147" i="28" s="1"/>
  <c r="F146" i="28"/>
  <c r="M151" i="7"/>
  <c r="N151" i="7" s="1"/>
  <c r="AG150" i="7"/>
  <c r="L150" i="7"/>
  <c r="J150" i="7"/>
  <c r="AH150" i="7" s="1"/>
  <c r="G148" i="7"/>
  <c r="AI150" i="7"/>
  <c r="K150" i="7"/>
  <c r="I149" i="7"/>
  <c r="H149" i="7"/>
  <c r="G141" i="27"/>
  <c r="H141" i="27" s="1"/>
  <c r="J141" i="27" s="1"/>
  <c r="L141" i="27" s="1"/>
  <c r="F140" i="27"/>
  <c r="H145" i="13" l="1"/>
  <c r="L145" i="13" s="1"/>
  <c r="G145" i="13"/>
  <c r="F144" i="13"/>
  <c r="I146" i="13"/>
  <c r="J146" i="13"/>
  <c r="G146" i="28"/>
  <c r="H146" i="28" s="1"/>
  <c r="F145" i="28"/>
  <c r="AG149" i="7"/>
  <c r="J149" i="7"/>
  <c r="AH149" i="7" s="1"/>
  <c r="L149" i="7"/>
  <c r="H148" i="7"/>
  <c r="I148" i="7"/>
  <c r="G147" i="7"/>
  <c r="AI149" i="7"/>
  <c r="K149" i="7"/>
  <c r="M150" i="7"/>
  <c r="N150" i="7" s="1"/>
  <c r="F139" i="27"/>
  <c r="G140" i="27"/>
  <c r="H140" i="27" s="1"/>
  <c r="J140" i="27" s="1"/>
  <c r="L140" i="27" s="1"/>
  <c r="H144" i="13" l="1"/>
  <c r="L144" i="13" s="1"/>
  <c r="G144" i="13"/>
  <c r="F143" i="13"/>
  <c r="J145" i="13"/>
  <c r="I145" i="13"/>
  <c r="G145" i="28"/>
  <c r="H145" i="28" s="1"/>
  <c r="F144" i="28"/>
  <c r="M149" i="7"/>
  <c r="N149" i="7" s="1"/>
  <c r="G146" i="7"/>
  <c r="H147" i="7"/>
  <c r="I147" i="7"/>
  <c r="AG148" i="7"/>
  <c r="J148" i="7"/>
  <c r="AH148" i="7" s="1"/>
  <c r="L148" i="7"/>
  <c r="AI148" i="7"/>
  <c r="K148" i="7"/>
  <c r="G139" i="27"/>
  <c r="H139" i="27" s="1"/>
  <c r="J139" i="27" s="1"/>
  <c r="L139" i="27" s="1"/>
  <c r="F138" i="27"/>
  <c r="H143" i="13" l="1"/>
  <c r="L143" i="13" s="1"/>
  <c r="G143" i="13"/>
  <c r="F142" i="13"/>
  <c r="J144" i="13"/>
  <c r="I144" i="13"/>
  <c r="G144" i="28"/>
  <c r="H144" i="28" s="1"/>
  <c r="F143" i="28"/>
  <c r="H146" i="7"/>
  <c r="I146" i="7"/>
  <c r="G145" i="7"/>
  <c r="AG147" i="7"/>
  <c r="J147" i="7"/>
  <c r="AH147" i="7" s="1"/>
  <c r="L147" i="7"/>
  <c r="M148" i="7"/>
  <c r="N148" i="7" s="1"/>
  <c r="AI147" i="7"/>
  <c r="K147" i="7"/>
  <c r="G138" i="27"/>
  <c r="H138" i="27" s="1"/>
  <c r="J138" i="27" s="1"/>
  <c r="L138" i="27" s="1"/>
  <c r="F137" i="27"/>
  <c r="H142" i="13" l="1"/>
  <c r="L142" i="13" s="1"/>
  <c r="F141" i="13"/>
  <c r="G142" i="13"/>
  <c r="J143" i="13"/>
  <c r="I143" i="13"/>
  <c r="F142" i="28"/>
  <c r="G143" i="28"/>
  <c r="H143" i="28" s="1"/>
  <c r="G144" i="7"/>
  <c r="AG146" i="7"/>
  <c r="J146" i="7"/>
  <c r="AH146" i="7" s="1"/>
  <c r="L146" i="7"/>
  <c r="M147" i="7"/>
  <c r="N147" i="7" s="1"/>
  <c r="H145" i="7"/>
  <c r="I145" i="7"/>
  <c r="AI146" i="7"/>
  <c r="K146" i="7"/>
  <c r="F136" i="27"/>
  <c r="G137" i="27"/>
  <c r="H137" i="27" s="1"/>
  <c r="J137" i="27" s="1"/>
  <c r="L137" i="27" s="1"/>
  <c r="H141" i="13" l="1"/>
  <c r="L141" i="13" s="1"/>
  <c r="G141" i="13"/>
  <c r="F140" i="13"/>
  <c r="J142" i="13"/>
  <c r="I142" i="13"/>
  <c r="F141" i="28"/>
  <c r="G142" i="28"/>
  <c r="H142" i="28" s="1"/>
  <c r="K145" i="7"/>
  <c r="AI145" i="7"/>
  <c r="G143" i="7"/>
  <c r="AG145" i="7"/>
  <c r="J145" i="7"/>
  <c r="AH145" i="7" s="1"/>
  <c r="L145" i="7"/>
  <c r="M146" i="7"/>
  <c r="N146" i="7" s="1"/>
  <c r="H144" i="7"/>
  <c r="I144" i="7"/>
  <c r="F135" i="27"/>
  <c r="G136" i="27"/>
  <c r="H136" i="27" s="1"/>
  <c r="J136" i="27" s="1"/>
  <c r="L136" i="27" s="1"/>
  <c r="H140" i="13" l="1"/>
  <c r="L140" i="13" s="1"/>
  <c r="G140" i="13"/>
  <c r="F139" i="13"/>
  <c r="J141" i="13"/>
  <c r="I141" i="13"/>
  <c r="F140" i="28"/>
  <c r="G141" i="28"/>
  <c r="H141" i="28" s="1"/>
  <c r="H143" i="7"/>
  <c r="I143" i="7"/>
  <c r="AG144" i="7"/>
  <c r="J144" i="7"/>
  <c r="AH144" i="7" s="1"/>
  <c r="L144" i="7"/>
  <c r="M145" i="7"/>
  <c r="N145" i="7" s="1"/>
  <c r="G142" i="7"/>
  <c r="AI144" i="7"/>
  <c r="K144" i="7"/>
  <c r="G135" i="27"/>
  <c r="H135" i="27" s="1"/>
  <c r="J135" i="27" s="1"/>
  <c r="L135" i="27" s="1"/>
  <c r="F134" i="27"/>
  <c r="H139" i="13" l="1"/>
  <c r="L139" i="13" s="1"/>
  <c r="F138" i="13"/>
  <c r="G139" i="13"/>
  <c r="J140" i="13"/>
  <c r="I140" i="13"/>
  <c r="G140" i="28"/>
  <c r="H140" i="28" s="1"/>
  <c r="F139" i="28"/>
  <c r="AG143" i="7"/>
  <c r="J143" i="7"/>
  <c r="AH143" i="7" s="1"/>
  <c r="L143" i="7"/>
  <c r="H142" i="7"/>
  <c r="I142" i="7"/>
  <c r="M144" i="7"/>
  <c r="N144" i="7" s="1"/>
  <c r="AI143" i="7"/>
  <c r="K143" i="7"/>
  <c r="G141" i="7"/>
  <c r="G134" i="27"/>
  <c r="H134" i="27" s="1"/>
  <c r="J134" i="27" s="1"/>
  <c r="L134" i="27" s="1"/>
  <c r="F133" i="27"/>
  <c r="H138" i="13" l="1"/>
  <c r="L138" i="13" s="1"/>
  <c r="G138" i="13"/>
  <c r="F137" i="13"/>
  <c r="J139" i="13"/>
  <c r="I139" i="13"/>
  <c r="F138" i="28"/>
  <c r="G139" i="28"/>
  <c r="H139" i="28" s="1"/>
  <c r="AI142" i="7"/>
  <c r="K142" i="7"/>
  <c r="H141" i="7"/>
  <c r="I141" i="7"/>
  <c r="M143" i="7"/>
  <c r="N143" i="7" s="1"/>
  <c r="G140" i="7"/>
  <c r="AG142" i="7"/>
  <c r="L142" i="7"/>
  <c r="J142" i="7"/>
  <c r="AH142" i="7" s="1"/>
  <c r="G133" i="27"/>
  <c r="H133" i="27" s="1"/>
  <c r="J133" i="27" s="1"/>
  <c r="L133" i="27" s="1"/>
  <c r="F132" i="27"/>
  <c r="H137" i="13" l="1"/>
  <c r="L137" i="13" s="1"/>
  <c r="G137" i="13"/>
  <c r="F136" i="13"/>
  <c r="J138" i="13"/>
  <c r="I138" i="13"/>
  <c r="G138" i="28"/>
  <c r="H138" i="28" s="1"/>
  <c r="F137" i="28"/>
  <c r="G139" i="7"/>
  <c r="AG141" i="7"/>
  <c r="L141" i="7"/>
  <c r="J141" i="7"/>
  <c r="AH141" i="7" s="1"/>
  <c r="H140" i="7"/>
  <c r="I140" i="7"/>
  <c r="AI141" i="7"/>
  <c r="K141" i="7"/>
  <c r="M142" i="7"/>
  <c r="N142" i="7" s="1"/>
  <c r="G132" i="27"/>
  <c r="H132" i="27" s="1"/>
  <c r="J132" i="27" s="1"/>
  <c r="L132" i="27" s="1"/>
  <c r="F131" i="27"/>
  <c r="H136" i="13" l="1"/>
  <c r="L136" i="13" s="1"/>
  <c r="F135" i="13"/>
  <c r="G136" i="13"/>
  <c r="I137" i="13"/>
  <c r="J137" i="13"/>
  <c r="G137" i="28"/>
  <c r="H137" i="28" s="1"/>
  <c r="F136" i="28"/>
  <c r="AI140" i="7"/>
  <c r="K140" i="7"/>
  <c r="G138" i="7"/>
  <c r="H139" i="7"/>
  <c r="I139" i="7"/>
  <c r="M141" i="7"/>
  <c r="N141" i="7" s="1"/>
  <c r="AG140" i="7"/>
  <c r="J140" i="7"/>
  <c r="AH140" i="7" s="1"/>
  <c r="L140" i="7"/>
  <c r="G131" i="27"/>
  <c r="H131" i="27" s="1"/>
  <c r="J131" i="27" s="1"/>
  <c r="L131" i="27" s="1"/>
  <c r="F130" i="27"/>
  <c r="H135" i="13" l="1"/>
  <c r="L135" i="13" s="1"/>
  <c r="G135" i="13"/>
  <c r="F134" i="13"/>
  <c r="J136" i="13"/>
  <c r="I136" i="13"/>
  <c r="G136" i="28"/>
  <c r="H136" i="28" s="1"/>
  <c r="F135" i="28"/>
  <c r="AI139" i="7"/>
  <c r="K139" i="7"/>
  <c r="H138" i="7"/>
  <c r="I138" i="7"/>
  <c r="M140" i="7"/>
  <c r="N140" i="7" s="1"/>
  <c r="AG139" i="7"/>
  <c r="J139" i="7"/>
  <c r="AH139" i="7" s="1"/>
  <c r="L139" i="7"/>
  <c r="G137" i="7"/>
  <c r="G130" i="27"/>
  <c r="H130" i="27" s="1"/>
  <c r="J130" i="27" s="1"/>
  <c r="L130" i="27" s="1"/>
  <c r="F129" i="27"/>
  <c r="H134" i="13" l="1"/>
  <c r="L134" i="13" s="1"/>
  <c r="F133" i="13"/>
  <c r="G134" i="13"/>
  <c r="I135" i="13"/>
  <c r="J135" i="13"/>
  <c r="F134" i="28"/>
  <c r="G135" i="28"/>
  <c r="H135" i="28" s="1"/>
  <c r="G136" i="7"/>
  <c r="AG138" i="7"/>
  <c r="J138" i="7"/>
  <c r="AH138" i="7" s="1"/>
  <c r="L138" i="7"/>
  <c r="H137" i="7"/>
  <c r="I137" i="7"/>
  <c r="M139" i="7"/>
  <c r="N139" i="7" s="1"/>
  <c r="AI138" i="7"/>
  <c r="K138" i="7"/>
  <c r="G129" i="27"/>
  <c r="H129" i="27" s="1"/>
  <c r="J129" i="27" s="1"/>
  <c r="L129" i="27" s="1"/>
  <c r="F128" i="27"/>
  <c r="H133" i="13" l="1"/>
  <c r="L133" i="13" s="1"/>
  <c r="G133" i="13"/>
  <c r="F132" i="13"/>
  <c r="J134" i="13"/>
  <c r="I134" i="13"/>
  <c r="F133" i="28"/>
  <c r="G134" i="28"/>
  <c r="H134" i="28" s="1"/>
  <c r="AG137" i="7"/>
  <c r="J137" i="7"/>
  <c r="AH137" i="7" s="1"/>
  <c r="L137" i="7"/>
  <c r="AI137" i="7"/>
  <c r="K137" i="7"/>
  <c r="I136" i="7"/>
  <c r="H136" i="7"/>
  <c r="M138" i="7"/>
  <c r="N138" i="7" s="1"/>
  <c r="G135" i="7"/>
  <c r="G128" i="27"/>
  <c r="H128" i="27" s="1"/>
  <c r="J128" i="27" s="1"/>
  <c r="L128" i="27" s="1"/>
  <c r="F127" i="27"/>
  <c r="H132" i="13" l="1"/>
  <c r="L132" i="13" s="1"/>
  <c r="G132" i="13"/>
  <c r="F131" i="13"/>
  <c r="J133" i="13"/>
  <c r="I133" i="13"/>
  <c r="F132" i="28"/>
  <c r="G133" i="28"/>
  <c r="H133" i="28" s="1"/>
  <c r="M137" i="7"/>
  <c r="N137" i="7" s="1"/>
  <c r="H135" i="7"/>
  <c r="I135" i="7"/>
  <c r="AI136" i="7"/>
  <c r="K136" i="7"/>
  <c r="G134" i="7"/>
  <c r="AG136" i="7"/>
  <c r="J136" i="7"/>
  <c r="AH136" i="7" s="1"/>
  <c r="L136" i="7"/>
  <c r="M136" i="7" s="1"/>
  <c r="F126" i="27"/>
  <c r="G127" i="27"/>
  <c r="H127" i="27" s="1"/>
  <c r="J127" i="27" s="1"/>
  <c r="L127" i="27" s="1"/>
  <c r="H131" i="13" l="1"/>
  <c r="L131" i="13" s="1"/>
  <c r="F130" i="13"/>
  <c r="G131" i="13"/>
  <c r="J132" i="13"/>
  <c r="I132" i="13"/>
  <c r="G132" i="28"/>
  <c r="H132" i="28" s="1"/>
  <c r="F131" i="28"/>
  <c r="AG135" i="7"/>
  <c r="L135" i="7"/>
  <c r="J135" i="7"/>
  <c r="AH135" i="7" s="1"/>
  <c r="AI135" i="7"/>
  <c r="K135" i="7"/>
  <c r="G133" i="7"/>
  <c r="N136" i="7"/>
  <c r="I134" i="7"/>
  <c r="H134" i="7"/>
  <c r="F125" i="27"/>
  <c r="G126" i="27"/>
  <c r="H126" i="27" s="1"/>
  <c r="J126" i="27" s="1"/>
  <c r="L126" i="27" s="1"/>
  <c r="H130" i="13" l="1"/>
  <c r="L130" i="13" s="1"/>
  <c r="F129" i="13"/>
  <c r="G130" i="13"/>
  <c r="I131" i="13"/>
  <c r="J131" i="13"/>
  <c r="F130" i="28"/>
  <c r="G131" i="28"/>
  <c r="H131" i="28" s="1"/>
  <c r="AG134" i="7"/>
  <c r="L134" i="7"/>
  <c r="J134" i="7"/>
  <c r="AH134" i="7" s="1"/>
  <c r="M135" i="7"/>
  <c r="N135" i="7" s="1"/>
  <c r="G132" i="7"/>
  <c r="AI134" i="7"/>
  <c r="K134" i="7"/>
  <c r="I133" i="7"/>
  <c r="H133" i="7"/>
  <c r="G125" i="27"/>
  <c r="H125" i="27" s="1"/>
  <c r="J125" i="27" s="1"/>
  <c r="L125" i="27" s="1"/>
  <c r="F124" i="27"/>
  <c r="H129" i="13" l="1"/>
  <c r="L129" i="13" s="1"/>
  <c r="F128" i="13"/>
  <c r="G129" i="13"/>
  <c r="J130" i="13"/>
  <c r="I130" i="13"/>
  <c r="G130" i="28"/>
  <c r="H130" i="28" s="1"/>
  <c r="F129" i="28"/>
  <c r="AG133" i="7"/>
  <c r="J133" i="7"/>
  <c r="AH133" i="7" s="1"/>
  <c r="L133" i="7"/>
  <c r="G131" i="7"/>
  <c r="I132" i="7"/>
  <c r="H132" i="7"/>
  <c r="M134" i="7"/>
  <c r="N134" i="7" s="1"/>
  <c r="AI133" i="7"/>
  <c r="K133" i="7"/>
  <c r="F123" i="27"/>
  <c r="G124" i="27"/>
  <c r="H124" i="27" s="1"/>
  <c r="J124" i="27" s="1"/>
  <c r="L124" i="27" s="1"/>
  <c r="H128" i="13" l="1"/>
  <c r="L128" i="13" s="1"/>
  <c r="F127" i="13"/>
  <c r="G128" i="13"/>
  <c r="J129" i="13"/>
  <c r="I129" i="13"/>
  <c r="G129" i="28"/>
  <c r="H129" i="28" s="1"/>
  <c r="F128" i="28"/>
  <c r="M133" i="7"/>
  <c r="N133" i="7" s="1"/>
  <c r="AI132" i="7"/>
  <c r="K132" i="7"/>
  <c r="G130" i="7"/>
  <c r="AG132" i="7"/>
  <c r="J132" i="7"/>
  <c r="AH132" i="7" s="1"/>
  <c r="L132" i="7"/>
  <c r="H131" i="7"/>
  <c r="I131" i="7"/>
  <c r="G123" i="27"/>
  <c r="H123" i="27" s="1"/>
  <c r="J123" i="27" s="1"/>
  <c r="L123" i="27" s="1"/>
  <c r="F122" i="27"/>
  <c r="H127" i="13" l="1"/>
  <c r="L127" i="13" s="1"/>
  <c r="G127" i="13"/>
  <c r="F126" i="13"/>
  <c r="J128" i="13"/>
  <c r="I128" i="13"/>
  <c r="G128" i="28"/>
  <c r="H128" i="28" s="1"/>
  <c r="F127" i="28"/>
  <c r="G129" i="7"/>
  <c r="AG131" i="7"/>
  <c r="J131" i="7"/>
  <c r="AH131" i="7" s="1"/>
  <c r="L131" i="7"/>
  <c r="AI131" i="7"/>
  <c r="K131" i="7"/>
  <c r="M132" i="7"/>
  <c r="N132" i="7" s="1"/>
  <c r="H130" i="7"/>
  <c r="I130" i="7"/>
  <c r="F121" i="27"/>
  <c r="G122" i="27"/>
  <c r="H122" i="27" s="1"/>
  <c r="J122" i="27" s="1"/>
  <c r="L122" i="27" s="1"/>
  <c r="H126" i="13" l="1"/>
  <c r="L126" i="13" s="1"/>
  <c r="G126" i="13"/>
  <c r="F125" i="13"/>
  <c r="J127" i="13"/>
  <c r="I127" i="13"/>
  <c r="F126" i="28"/>
  <c r="G127" i="28"/>
  <c r="H127" i="28" s="1"/>
  <c r="AG130" i="7"/>
  <c r="L130" i="7"/>
  <c r="J130" i="7"/>
  <c r="AH130" i="7" s="1"/>
  <c r="G128" i="7"/>
  <c r="K130" i="7"/>
  <c r="AI130" i="7"/>
  <c r="M131" i="7"/>
  <c r="N131" i="7" s="1"/>
  <c r="H129" i="7"/>
  <c r="I129" i="7"/>
  <c r="F120" i="27"/>
  <c r="G121" i="27"/>
  <c r="H121" i="27" s="1"/>
  <c r="J121" i="27" s="1"/>
  <c r="L121" i="27" s="1"/>
  <c r="H125" i="13" l="1"/>
  <c r="L125" i="13" s="1"/>
  <c r="G125" i="13"/>
  <c r="F124" i="13"/>
  <c r="I126" i="13"/>
  <c r="J126" i="13"/>
  <c r="G126" i="28"/>
  <c r="H126" i="28" s="1"/>
  <c r="F125" i="28"/>
  <c r="AI129" i="7"/>
  <c r="K129" i="7"/>
  <c r="M130" i="7"/>
  <c r="N130" i="7" s="1"/>
  <c r="I128" i="7"/>
  <c r="H128" i="7"/>
  <c r="G127" i="7"/>
  <c r="AG129" i="7"/>
  <c r="L129" i="7"/>
  <c r="J129" i="7"/>
  <c r="AH129" i="7" s="1"/>
  <c r="G120" i="27"/>
  <c r="H120" i="27" s="1"/>
  <c r="J120" i="27" s="1"/>
  <c r="L120" i="27" s="1"/>
  <c r="F119" i="27"/>
  <c r="H124" i="13" l="1"/>
  <c r="L124" i="13" s="1"/>
  <c r="F123" i="13"/>
  <c r="G124" i="13"/>
  <c r="J125" i="13"/>
  <c r="I125" i="13"/>
  <c r="G125" i="28"/>
  <c r="H125" i="28" s="1"/>
  <c r="F124" i="28"/>
  <c r="G126" i="7"/>
  <c r="AG128" i="7"/>
  <c r="AK7" i="7" s="1"/>
  <c r="AL7" i="7" s="1"/>
  <c r="AM7" i="7" s="1"/>
  <c r="L128" i="7"/>
  <c r="J128" i="7"/>
  <c r="AH128" i="7" s="1"/>
  <c r="AP7" i="7" s="1"/>
  <c r="AQ7" i="7" s="1"/>
  <c r="H127" i="7"/>
  <c r="I127" i="7"/>
  <c r="M129" i="7"/>
  <c r="N129" i="7" s="1"/>
  <c r="AI128" i="7"/>
  <c r="AU7" i="7" s="1"/>
  <c r="AV7" i="7" s="1"/>
  <c r="K128" i="7"/>
  <c r="G119" i="27"/>
  <c r="H119" i="27" s="1"/>
  <c r="J119" i="27" s="1"/>
  <c r="L119" i="27" s="1"/>
  <c r="F118" i="27"/>
  <c r="AN7" i="7" l="1"/>
  <c r="AM8" i="7"/>
  <c r="H123" i="13"/>
  <c r="L123" i="13" s="1"/>
  <c r="G123" i="13"/>
  <c r="F122" i="13"/>
  <c r="J124" i="13"/>
  <c r="I124" i="13"/>
  <c r="G124" i="28"/>
  <c r="H124" i="28" s="1"/>
  <c r="F123" i="28"/>
  <c r="AG127" i="7"/>
  <c r="AK8" i="7" s="1"/>
  <c r="AL8" i="7" s="1"/>
  <c r="J127" i="7"/>
  <c r="AH127" i="7" s="1"/>
  <c r="AP8" i="7" s="1"/>
  <c r="AQ8" i="7" s="1"/>
  <c r="L127" i="7"/>
  <c r="AI127" i="7"/>
  <c r="AU8" i="7" s="1"/>
  <c r="AV8" i="7" s="1"/>
  <c r="K127" i="7"/>
  <c r="G125" i="7"/>
  <c r="H126" i="7"/>
  <c r="I126" i="7"/>
  <c r="M128" i="7"/>
  <c r="N128" i="7" s="1"/>
  <c r="F117" i="27"/>
  <c r="G118" i="27"/>
  <c r="H118" i="27" s="1"/>
  <c r="J118" i="27" s="1"/>
  <c r="L118" i="27" s="1"/>
  <c r="AN8" i="7" l="1"/>
  <c r="AO8" i="7" s="1"/>
  <c r="AM9" i="7"/>
  <c r="AO7" i="7"/>
  <c r="H122" i="13"/>
  <c r="L122" i="13" s="1"/>
  <c r="G122" i="13"/>
  <c r="F121" i="13"/>
  <c r="J123" i="13"/>
  <c r="I123" i="13"/>
  <c r="F122" i="28"/>
  <c r="G123" i="28"/>
  <c r="H123" i="28" s="1"/>
  <c r="AI126" i="7"/>
  <c r="AU9" i="7" s="1"/>
  <c r="AV9" i="7" s="1"/>
  <c r="K126" i="7"/>
  <c r="H125" i="7"/>
  <c r="I125" i="7"/>
  <c r="M127" i="7"/>
  <c r="N127" i="7" s="1"/>
  <c r="AG126" i="7"/>
  <c r="AK9" i="7" s="1"/>
  <c r="AL9" i="7" s="1"/>
  <c r="J126" i="7"/>
  <c r="AH126" i="7" s="1"/>
  <c r="AP9" i="7" s="1"/>
  <c r="AQ9" i="7" s="1"/>
  <c r="L126" i="7"/>
  <c r="G124" i="7"/>
  <c r="G117" i="27"/>
  <c r="H117" i="27" s="1"/>
  <c r="J117" i="27" s="1"/>
  <c r="L117" i="27" s="1"/>
  <c r="F116" i="27"/>
  <c r="AM10" i="7" l="1"/>
  <c r="AN10" i="7" s="1"/>
  <c r="AN9" i="7"/>
  <c r="AO9" i="7" s="1"/>
  <c r="H121" i="13"/>
  <c r="L121" i="13" s="1"/>
  <c r="F120" i="13"/>
  <c r="G121" i="13"/>
  <c r="J122" i="13"/>
  <c r="I122" i="13"/>
  <c r="F121" i="28"/>
  <c r="G122" i="28"/>
  <c r="H122" i="28" s="1"/>
  <c r="AI125" i="7"/>
  <c r="AU10" i="7" s="1"/>
  <c r="AV10" i="7" s="1"/>
  <c r="K125" i="7"/>
  <c r="G123" i="7"/>
  <c r="H124" i="7"/>
  <c r="I124" i="7"/>
  <c r="M126" i="7"/>
  <c r="N126" i="7" s="1"/>
  <c r="AG125" i="7"/>
  <c r="AK10" i="7" s="1"/>
  <c r="J125" i="7"/>
  <c r="AH125" i="7" s="1"/>
  <c r="AP10" i="7" s="1"/>
  <c r="AQ10" i="7" s="1"/>
  <c r="L125" i="7"/>
  <c r="G116" i="27"/>
  <c r="H116" i="27" s="1"/>
  <c r="J116" i="27" s="1"/>
  <c r="L116" i="27" s="1"/>
  <c r="F115" i="27"/>
  <c r="AL10" i="7" l="1"/>
  <c r="AO10" i="7"/>
  <c r="H120" i="13"/>
  <c r="L120" i="13" s="1"/>
  <c r="F119" i="13"/>
  <c r="G120" i="13"/>
  <c r="J121" i="13"/>
  <c r="I121" i="13"/>
  <c r="F120" i="28"/>
  <c r="G121" i="28"/>
  <c r="H121" i="28" s="1"/>
  <c r="AG124" i="7"/>
  <c r="AK11" i="7" s="1"/>
  <c r="J124" i="7"/>
  <c r="AH124" i="7" s="1"/>
  <c r="AP11" i="7" s="1"/>
  <c r="AQ11" i="7" s="1"/>
  <c r="L124" i="7"/>
  <c r="H123" i="7"/>
  <c r="I123" i="7"/>
  <c r="M125" i="7"/>
  <c r="N125" i="7" s="1"/>
  <c r="AI124" i="7"/>
  <c r="AU11" i="7" s="1"/>
  <c r="AV11" i="7" s="1"/>
  <c r="K124" i="7"/>
  <c r="G122" i="7"/>
  <c r="G115" i="27"/>
  <c r="H115" i="27" s="1"/>
  <c r="J115" i="27" s="1"/>
  <c r="L115" i="27" s="1"/>
  <c r="F114" i="27"/>
  <c r="AL11" i="7" l="1"/>
  <c r="AM11" i="7" s="1"/>
  <c r="AN11" i="7" s="1"/>
  <c r="AO11" i="7" s="1"/>
  <c r="H119" i="13"/>
  <c r="L119" i="13" s="1"/>
  <c r="G119" i="13"/>
  <c r="F118" i="13"/>
  <c r="I120" i="13"/>
  <c r="J120" i="13"/>
  <c r="G120" i="28"/>
  <c r="H120" i="28" s="1"/>
  <c r="F119" i="28"/>
  <c r="AG123" i="7"/>
  <c r="AK12" i="7" s="1"/>
  <c r="J123" i="7"/>
  <c r="AH123" i="7" s="1"/>
  <c r="AP12" i="7" s="1"/>
  <c r="AQ12" i="7" s="1"/>
  <c r="L123" i="7"/>
  <c r="G121" i="7"/>
  <c r="AI123" i="7"/>
  <c r="AU12" i="7" s="1"/>
  <c r="AV12" i="7" s="1"/>
  <c r="K123" i="7"/>
  <c r="H122" i="7"/>
  <c r="I122" i="7"/>
  <c r="M124" i="7"/>
  <c r="N124" i="7" s="1"/>
  <c r="G114" i="27"/>
  <c r="H114" i="27" s="1"/>
  <c r="J114" i="27" s="1"/>
  <c r="L114" i="27" s="1"/>
  <c r="F113" i="27"/>
  <c r="AL12" i="7" l="1"/>
  <c r="AM12" i="7" s="1"/>
  <c r="AN12" i="7" s="1"/>
  <c r="AO12" i="7" s="1"/>
  <c r="H118" i="13"/>
  <c r="L118" i="13" s="1"/>
  <c r="G118" i="13"/>
  <c r="F117" i="13"/>
  <c r="I119" i="13"/>
  <c r="J119" i="13"/>
  <c r="G119" i="28"/>
  <c r="H119" i="28" s="1"/>
  <c r="F118" i="28"/>
  <c r="AI122" i="7"/>
  <c r="AU13" i="7" s="1"/>
  <c r="AV13" i="7" s="1"/>
  <c r="K122" i="7"/>
  <c r="G120" i="7"/>
  <c r="M123" i="7"/>
  <c r="N123" i="7" s="1"/>
  <c r="H121" i="7"/>
  <c r="I121" i="7"/>
  <c r="AG122" i="7"/>
  <c r="AK13" i="7" s="1"/>
  <c r="J122" i="7"/>
  <c r="AH122" i="7" s="1"/>
  <c r="AP13" i="7" s="1"/>
  <c r="AQ13" i="7" s="1"/>
  <c r="L122" i="7"/>
  <c r="F112" i="27"/>
  <c r="G113" i="27"/>
  <c r="H113" i="27" s="1"/>
  <c r="J113" i="27" s="1"/>
  <c r="L113" i="27" s="1"/>
  <c r="AL13" i="7" l="1"/>
  <c r="AM13" i="7" s="1"/>
  <c r="AN13" i="7" s="1"/>
  <c r="AO13" i="7" s="1"/>
  <c r="H117" i="13"/>
  <c r="L117" i="13" s="1"/>
  <c r="G117" i="13"/>
  <c r="F116" i="13"/>
  <c r="I118" i="13"/>
  <c r="J118" i="13"/>
  <c r="F117" i="28"/>
  <c r="G118" i="28"/>
  <c r="H118" i="28" s="1"/>
  <c r="AG121" i="7"/>
  <c r="AK14" i="7" s="1"/>
  <c r="J121" i="7"/>
  <c r="AH121" i="7" s="1"/>
  <c r="AP14" i="7" s="1"/>
  <c r="AQ14" i="7" s="1"/>
  <c r="L121" i="7"/>
  <c r="H120" i="7"/>
  <c r="I120" i="7"/>
  <c r="M122" i="7"/>
  <c r="N122" i="7" s="1"/>
  <c r="K121" i="7"/>
  <c r="AI121" i="7"/>
  <c r="AU14" i="7" s="1"/>
  <c r="AV14" i="7" s="1"/>
  <c r="G119" i="7"/>
  <c r="G112" i="27"/>
  <c r="H112" i="27" s="1"/>
  <c r="J112" i="27" s="1"/>
  <c r="L112" i="27" s="1"/>
  <c r="F111" i="27"/>
  <c r="AL14" i="7" l="1"/>
  <c r="AM14" i="7" s="1"/>
  <c r="AN14" i="7" s="1"/>
  <c r="AO14" i="7" s="1"/>
  <c r="H116" i="13"/>
  <c r="L116" i="13" s="1"/>
  <c r="G116" i="13"/>
  <c r="F115" i="13"/>
  <c r="J117" i="13"/>
  <c r="I117" i="13"/>
  <c r="AK290" i="7"/>
  <c r="AU290" i="7"/>
  <c r="AP290" i="7"/>
  <c r="G117" i="28"/>
  <c r="H117" i="28" s="1"/>
  <c r="F116" i="28"/>
  <c r="H119" i="7"/>
  <c r="I119" i="7"/>
  <c r="AG120" i="7"/>
  <c r="AK15" i="7" s="1"/>
  <c r="J120" i="7"/>
  <c r="AH120" i="7" s="1"/>
  <c r="AP15" i="7" s="1"/>
  <c r="AQ15" i="7" s="1"/>
  <c r="L120" i="7"/>
  <c r="AI120" i="7"/>
  <c r="AU15" i="7" s="1"/>
  <c r="AV15" i="7" s="1"/>
  <c r="K120" i="7"/>
  <c r="G118" i="7"/>
  <c r="M121" i="7"/>
  <c r="N121" i="7" s="1"/>
  <c r="G111" i="27"/>
  <c r="H111" i="27" s="1"/>
  <c r="J111" i="27" s="1"/>
  <c r="L111" i="27" s="1"/>
  <c r="F110" i="27"/>
  <c r="AL15" i="7" l="1"/>
  <c r="AM15" i="7" s="1"/>
  <c r="AN15" i="7" s="1"/>
  <c r="AO15" i="7" s="1"/>
  <c r="H115" i="13"/>
  <c r="L115" i="13" s="1"/>
  <c r="F114" i="13"/>
  <c r="G115" i="13"/>
  <c r="I116" i="13"/>
  <c r="J116" i="13"/>
  <c r="AU291" i="7"/>
  <c r="AK291" i="7"/>
  <c r="AP291" i="7"/>
  <c r="F115" i="28"/>
  <c r="G116" i="28"/>
  <c r="H116" i="28" s="1"/>
  <c r="G117" i="7"/>
  <c r="M120" i="7"/>
  <c r="N120" i="7" s="1"/>
  <c r="AG119" i="7"/>
  <c r="AK16" i="7" s="1"/>
  <c r="J119" i="7"/>
  <c r="AH119" i="7" s="1"/>
  <c r="AP16" i="7" s="1"/>
  <c r="AQ16" i="7" s="1"/>
  <c r="L119" i="7"/>
  <c r="H118" i="7"/>
  <c r="I118" i="7"/>
  <c r="AI119" i="7"/>
  <c r="AU16" i="7" s="1"/>
  <c r="AV16" i="7" s="1"/>
  <c r="K119" i="7"/>
  <c r="F109" i="27"/>
  <c r="G110" i="27"/>
  <c r="H110" i="27" s="1"/>
  <c r="J110" i="27" s="1"/>
  <c r="L110" i="27" s="1"/>
  <c r="AL16" i="7" l="1"/>
  <c r="AM16" i="7" s="1"/>
  <c r="AN16" i="7" s="1"/>
  <c r="AO16" i="7" s="1"/>
  <c r="H114" i="13"/>
  <c r="L114" i="13" s="1"/>
  <c r="F113" i="13"/>
  <c r="G114" i="13"/>
  <c r="J115" i="13"/>
  <c r="I115" i="13"/>
  <c r="AU292" i="7"/>
  <c r="AP292" i="7"/>
  <c r="AK292" i="7"/>
  <c r="F114" i="28"/>
  <c r="G115" i="28"/>
  <c r="H115" i="28" s="1"/>
  <c r="AG118" i="7"/>
  <c r="AK17" i="7" s="1"/>
  <c r="L118" i="7"/>
  <c r="J118" i="7"/>
  <c r="AH118" i="7" s="1"/>
  <c r="AP17" i="7" s="1"/>
  <c r="AQ17" i="7" s="1"/>
  <c r="K118" i="7"/>
  <c r="AI118" i="7"/>
  <c r="AU17" i="7" s="1"/>
  <c r="AV17" i="7" s="1"/>
  <c r="I117" i="7"/>
  <c r="H117" i="7"/>
  <c r="M119" i="7"/>
  <c r="N119" i="7" s="1"/>
  <c r="G116" i="7"/>
  <c r="G109" i="27"/>
  <c r="H109" i="27" s="1"/>
  <c r="J109" i="27" s="1"/>
  <c r="L109" i="27" s="1"/>
  <c r="F108" i="27"/>
  <c r="AL17" i="7" l="1"/>
  <c r="AM17" i="7" s="1"/>
  <c r="AN17" i="7" s="1"/>
  <c r="AO17" i="7" s="1"/>
  <c r="H113" i="13"/>
  <c r="L113" i="13" s="1"/>
  <c r="F112" i="13"/>
  <c r="G113" i="13"/>
  <c r="J114" i="13"/>
  <c r="I114" i="13"/>
  <c r="AU293" i="7"/>
  <c r="AK293" i="7"/>
  <c r="AP293" i="7"/>
  <c r="G114" i="28"/>
  <c r="H114" i="28" s="1"/>
  <c r="F113" i="28"/>
  <c r="H116" i="7"/>
  <c r="I116" i="7"/>
  <c r="AG117" i="7"/>
  <c r="AK18" i="7" s="1"/>
  <c r="L117" i="7"/>
  <c r="J117" i="7"/>
  <c r="AH117" i="7" s="1"/>
  <c r="AP18" i="7" s="1"/>
  <c r="AQ18" i="7" s="1"/>
  <c r="M118" i="7"/>
  <c r="N118" i="7" s="1"/>
  <c r="G115" i="7"/>
  <c r="AI117" i="7"/>
  <c r="AU18" i="7" s="1"/>
  <c r="AV18" i="7" s="1"/>
  <c r="K117" i="7"/>
  <c r="G108" i="27"/>
  <c r="H108" i="27" s="1"/>
  <c r="J108" i="27" s="1"/>
  <c r="L108" i="27" s="1"/>
  <c r="F107" i="27"/>
  <c r="AL18" i="7" l="1"/>
  <c r="AM18" i="7" s="1"/>
  <c r="AN18" i="7" s="1"/>
  <c r="J12" i="41" s="1"/>
  <c r="H112" i="13"/>
  <c r="L112" i="13" s="1"/>
  <c r="G112" i="13"/>
  <c r="F111" i="13"/>
  <c r="J113" i="13"/>
  <c r="I113" i="13"/>
  <c r="AK294" i="7"/>
  <c r="AP294" i="7"/>
  <c r="AU294" i="7"/>
  <c r="G113" i="28"/>
  <c r="H113" i="28" s="1"/>
  <c r="F112" i="28"/>
  <c r="G114" i="7"/>
  <c r="AG116" i="7"/>
  <c r="AK19" i="7" s="1"/>
  <c r="AL19" i="7" s="1"/>
  <c r="AM19" i="7" s="1"/>
  <c r="L116" i="7"/>
  <c r="J116" i="7"/>
  <c r="AH116" i="7" s="1"/>
  <c r="AP19" i="7" s="1"/>
  <c r="AQ19" i="7" s="1"/>
  <c r="AI116" i="7"/>
  <c r="AU19" i="7" s="1"/>
  <c r="AV19" i="7" s="1"/>
  <c r="K116" i="7"/>
  <c r="H115" i="7"/>
  <c r="I115" i="7"/>
  <c r="M117" i="7"/>
  <c r="N117" i="7" s="1"/>
  <c r="G107" i="27"/>
  <c r="H107" i="27" s="1"/>
  <c r="J107" i="27" s="1"/>
  <c r="L107" i="27" s="1"/>
  <c r="F106" i="27"/>
  <c r="AO18" i="7" l="1"/>
  <c r="J20" i="41" s="1"/>
  <c r="AM20" i="7"/>
  <c r="AN19" i="7"/>
  <c r="AO19" i="7" s="1"/>
  <c r="H111" i="13"/>
  <c r="L111" i="13" s="1"/>
  <c r="F110" i="13"/>
  <c r="G111" i="13"/>
  <c r="I112" i="13"/>
  <c r="J112" i="13"/>
  <c r="AU295" i="7"/>
  <c r="AV295" i="7" s="1"/>
  <c r="AP295" i="7"/>
  <c r="AK295" i="7"/>
  <c r="F111" i="28"/>
  <c r="G112" i="28"/>
  <c r="H112" i="28" s="1"/>
  <c r="K115" i="7"/>
  <c r="AI115" i="7"/>
  <c r="AU20" i="7" s="1"/>
  <c r="AV20" i="7" s="1"/>
  <c r="M116" i="7"/>
  <c r="N116" i="7" s="1"/>
  <c r="G113" i="7"/>
  <c r="H114" i="7"/>
  <c r="I114" i="7"/>
  <c r="AG115" i="7"/>
  <c r="AK20" i="7" s="1"/>
  <c r="J115" i="7"/>
  <c r="AH115" i="7" s="1"/>
  <c r="AP20" i="7" s="1"/>
  <c r="AQ20" i="7" s="1"/>
  <c r="L115" i="7"/>
  <c r="G106" i="27"/>
  <c r="H106" i="27" s="1"/>
  <c r="J106" i="27" s="1"/>
  <c r="L106" i="27" s="1"/>
  <c r="F105" i="27"/>
  <c r="AL20" i="7" l="1"/>
  <c r="AN20" i="7"/>
  <c r="AO20" i="7" s="1"/>
  <c r="AM21" i="7"/>
  <c r="AQ295" i="7"/>
  <c r="H110" i="13"/>
  <c r="L110" i="13" s="1"/>
  <c r="G110" i="13"/>
  <c r="F109" i="13"/>
  <c r="J111" i="13"/>
  <c r="I111" i="13"/>
  <c r="AU296" i="7"/>
  <c r="AV296" i="7" s="1"/>
  <c r="AP296" i="7"/>
  <c r="AL295" i="7"/>
  <c r="AK296" i="7"/>
  <c r="G111" i="28"/>
  <c r="H111" i="28" s="1"/>
  <c r="F110" i="28"/>
  <c r="G112" i="7"/>
  <c r="H113" i="7"/>
  <c r="I113" i="7"/>
  <c r="AG114" i="7"/>
  <c r="AK21" i="7" s="1"/>
  <c r="AL21" i="7" s="1"/>
  <c r="J114" i="7"/>
  <c r="AH114" i="7" s="1"/>
  <c r="AP21" i="7" s="1"/>
  <c r="AQ21" i="7" s="1"/>
  <c r="L114" i="7"/>
  <c r="M115" i="7"/>
  <c r="N115" i="7" s="1"/>
  <c r="AI114" i="7"/>
  <c r="AU21" i="7" s="1"/>
  <c r="AV21" i="7" s="1"/>
  <c r="K114" i="7"/>
  <c r="G105" i="27"/>
  <c r="H105" i="27" s="1"/>
  <c r="J105" i="27" s="1"/>
  <c r="L105" i="27" s="1"/>
  <c r="F104" i="27"/>
  <c r="AM22" i="7" l="1"/>
  <c r="AN21" i="7"/>
  <c r="AO21" i="7" s="1"/>
  <c r="AM295" i="7"/>
  <c r="AM296" i="7" s="1"/>
  <c r="AM297" i="7" s="1"/>
  <c r="AM298" i="7" s="1"/>
  <c r="AM299" i="7" s="1"/>
  <c r="AM300" i="7" s="1"/>
  <c r="AM301" i="7" s="1"/>
  <c r="AM302" i="7" s="1"/>
  <c r="AM303" i="7" s="1"/>
  <c r="AM304" i="7" s="1"/>
  <c r="AM305" i="7" s="1"/>
  <c r="AM306" i="7" s="1"/>
  <c r="AQ296" i="7"/>
  <c r="H109" i="13"/>
  <c r="L109" i="13" s="1"/>
  <c r="F108" i="13"/>
  <c r="G109" i="13"/>
  <c r="J110" i="13"/>
  <c r="I110" i="13"/>
  <c r="AP297" i="7"/>
  <c r="AL296" i="7"/>
  <c r="AU297" i="7"/>
  <c r="AV297" i="7" s="1"/>
  <c r="AK297" i="7"/>
  <c r="F109" i="28"/>
  <c r="G110" i="28"/>
  <c r="H110" i="28" s="1"/>
  <c r="M114" i="7"/>
  <c r="N114" i="7" s="1"/>
  <c r="G111" i="7"/>
  <c r="AG113" i="7"/>
  <c r="AK22" i="7" s="1"/>
  <c r="AL22" i="7" s="1"/>
  <c r="J113" i="7"/>
  <c r="AH113" i="7" s="1"/>
  <c r="AP22" i="7" s="1"/>
  <c r="AQ22" i="7" s="1"/>
  <c r="L113" i="7"/>
  <c r="H112" i="7"/>
  <c r="I112" i="7"/>
  <c r="AI113" i="7"/>
  <c r="AU22" i="7" s="1"/>
  <c r="AV22" i="7" s="1"/>
  <c r="K113" i="7"/>
  <c r="F103" i="27"/>
  <c r="G104" i="27"/>
  <c r="H104" i="27" s="1"/>
  <c r="J104" i="27" s="1"/>
  <c r="L104" i="27" s="1"/>
  <c r="AM23" i="7" l="1"/>
  <c r="AN22" i="7"/>
  <c r="AO22" i="7" s="1"/>
  <c r="AN296" i="7"/>
  <c r="AN295" i="7"/>
  <c r="AQ297" i="7"/>
  <c r="AN297" i="7"/>
  <c r="H108" i="13"/>
  <c r="L108" i="13" s="1"/>
  <c r="F107" i="13"/>
  <c r="G108" i="13"/>
  <c r="I109" i="13"/>
  <c r="J109" i="13"/>
  <c r="AK298" i="7"/>
  <c r="AL297" i="7"/>
  <c r="AU298" i="7"/>
  <c r="AV298" i="7" s="1"/>
  <c r="AP298" i="7"/>
  <c r="G109" i="28"/>
  <c r="H109" i="28" s="1"/>
  <c r="F108" i="28"/>
  <c r="AG112" i="7"/>
  <c r="AK23" i="7" s="1"/>
  <c r="AL23" i="7" s="1"/>
  <c r="J112" i="7"/>
  <c r="AH112" i="7" s="1"/>
  <c r="AP23" i="7" s="1"/>
  <c r="AQ23" i="7" s="1"/>
  <c r="L112" i="7"/>
  <c r="AI112" i="7"/>
  <c r="AU23" i="7" s="1"/>
  <c r="AV23" i="7" s="1"/>
  <c r="K112" i="7"/>
  <c r="G110" i="7"/>
  <c r="M113" i="7"/>
  <c r="N113" i="7" s="1"/>
  <c r="H111" i="7"/>
  <c r="I111" i="7"/>
  <c r="G103" i="27"/>
  <c r="H103" i="27" s="1"/>
  <c r="J103" i="27" s="1"/>
  <c r="L103" i="27" s="1"/>
  <c r="F102" i="27"/>
  <c r="AM24" i="7" l="1"/>
  <c r="AN23" i="7"/>
  <c r="AO23" i="7" s="1"/>
  <c r="AQ298" i="7"/>
  <c r="AN298" i="7"/>
  <c r="H107" i="13"/>
  <c r="L107" i="13" s="1"/>
  <c r="G107" i="13"/>
  <c r="F106" i="13"/>
  <c r="J108" i="13"/>
  <c r="I108" i="13"/>
  <c r="AP299" i="7"/>
  <c r="AO295" i="7"/>
  <c r="AK299" i="7"/>
  <c r="AO296" i="7"/>
  <c r="AU299" i="7"/>
  <c r="AV299" i="7" s="1"/>
  <c r="AL298" i="7"/>
  <c r="F107" i="28"/>
  <c r="G108" i="28"/>
  <c r="H108" i="28" s="1"/>
  <c r="G109" i="7"/>
  <c r="AI111" i="7"/>
  <c r="AU24" i="7" s="1"/>
  <c r="AV24" i="7" s="1"/>
  <c r="K111" i="7"/>
  <c r="H110" i="7"/>
  <c r="I110" i="7"/>
  <c r="M112" i="7"/>
  <c r="N112" i="7" s="1"/>
  <c r="AG111" i="7"/>
  <c r="AK24" i="7" s="1"/>
  <c r="AL24" i="7" s="1"/>
  <c r="J111" i="7"/>
  <c r="AH111" i="7" s="1"/>
  <c r="AP24" i="7" s="1"/>
  <c r="AQ24" i="7" s="1"/>
  <c r="L111" i="7"/>
  <c r="G102" i="27"/>
  <c r="H102" i="27" s="1"/>
  <c r="J102" i="27" s="1"/>
  <c r="L102" i="27" s="1"/>
  <c r="F101" i="27"/>
  <c r="AM25" i="7" l="1"/>
  <c r="AN24" i="7"/>
  <c r="AO24" i="7" s="1"/>
  <c r="AQ299" i="7"/>
  <c r="AN299" i="7"/>
  <c r="H106" i="13"/>
  <c r="L106" i="13" s="1"/>
  <c r="G106" i="13"/>
  <c r="F105" i="13"/>
  <c r="J107" i="13"/>
  <c r="I107" i="13"/>
  <c r="AP300" i="7"/>
  <c r="AK300" i="7"/>
  <c r="AU300" i="7"/>
  <c r="AV300" i="7" s="1"/>
  <c r="AL299" i="7"/>
  <c r="AO297" i="7"/>
  <c r="F106" i="28"/>
  <c r="G107" i="28"/>
  <c r="H107" i="28" s="1"/>
  <c r="M111" i="7"/>
  <c r="N111" i="7" s="1"/>
  <c r="AG110" i="7"/>
  <c r="AK25" i="7" s="1"/>
  <c r="AL25" i="7" s="1"/>
  <c r="J110" i="7"/>
  <c r="AH110" i="7" s="1"/>
  <c r="AP25" i="7" s="1"/>
  <c r="AQ25" i="7" s="1"/>
  <c r="L110" i="7"/>
  <c r="H109" i="7"/>
  <c r="I109" i="7"/>
  <c r="AI110" i="7"/>
  <c r="AU25" i="7" s="1"/>
  <c r="AV25" i="7" s="1"/>
  <c r="K110" i="7"/>
  <c r="G108" i="7"/>
  <c r="G101" i="27"/>
  <c r="H101" i="27" s="1"/>
  <c r="J101" i="27" s="1"/>
  <c r="L101" i="27" s="1"/>
  <c r="F100" i="27"/>
  <c r="AM26" i="7" l="1"/>
  <c r="AN25" i="7"/>
  <c r="AO25" i="7" s="1"/>
  <c r="AQ300" i="7"/>
  <c r="AN300" i="7"/>
  <c r="H105" i="13"/>
  <c r="L105" i="13" s="1"/>
  <c r="F104" i="13"/>
  <c r="G105" i="13"/>
  <c r="I106" i="13"/>
  <c r="J106" i="13"/>
  <c r="AK301" i="7"/>
  <c r="AL300" i="7"/>
  <c r="AU301" i="7"/>
  <c r="AV301" i="7" s="1"/>
  <c r="AP301" i="7"/>
  <c r="G106" i="28"/>
  <c r="H106" i="28" s="1"/>
  <c r="F105" i="28"/>
  <c r="AG109" i="7"/>
  <c r="AK26" i="7" s="1"/>
  <c r="AL26" i="7" s="1"/>
  <c r="J109" i="7"/>
  <c r="AH109" i="7" s="1"/>
  <c r="AP26" i="7" s="1"/>
  <c r="AQ26" i="7" s="1"/>
  <c r="L109" i="7"/>
  <c r="G107" i="7"/>
  <c r="AI109" i="7"/>
  <c r="AU26" i="7" s="1"/>
  <c r="AV26" i="7" s="1"/>
  <c r="K109" i="7"/>
  <c r="H108" i="7"/>
  <c r="I108" i="7"/>
  <c r="M110" i="7"/>
  <c r="N110" i="7" s="1"/>
  <c r="G100" i="27"/>
  <c r="H100" i="27" s="1"/>
  <c r="J100" i="27" s="1"/>
  <c r="L100" i="27" s="1"/>
  <c r="F99" i="27"/>
  <c r="AM27" i="7" l="1"/>
  <c r="AN26" i="7"/>
  <c r="AO26" i="7" s="1"/>
  <c r="AQ301" i="7"/>
  <c r="AN301" i="7"/>
  <c r="H104" i="13"/>
  <c r="L104" i="13" s="1"/>
  <c r="F103" i="13"/>
  <c r="G104" i="13"/>
  <c r="J105" i="13"/>
  <c r="I105" i="13"/>
  <c r="AL301" i="7"/>
  <c r="AP302" i="7"/>
  <c r="AU302" i="7"/>
  <c r="AV302" i="7" s="1"/>
  <c r="AK302" i="7"/>
  <c r="AO298" i="7"/>
  <c r="F104" i="28"/>
  <c r="G105" i="28"/>
  <c r="H105" i="28" s="1"/>
  <c r="M109" i="7"/>
  <c r="N109" i="7" s="1"/>
  <c r="AG108" i="7"/>
  <c r="AK27" i="7" s="1"/>
  <c r="AL27" i="7" s="1"/>
  <c r="L108" i="7"/>
  <c r="J108" i="7"/>
  <c r="AH108" i="7" s="1"/>
  <c r="AP27" i="7" s="1"/>
  <c r="AQ27" i="7" s="1"/>
  <c r="G106" i="7"/>
  <c r="AI108" i="7"/>
  <c r="AU27" i="7" s="1"/>
  <c r="AV27" i="7" s="1"/>
  <c r="K108" i="7"/>
  <c r="H107" i="7"/>
  <c r="I107" i="7"/>
  <c r="F98" i="27"/>
  <c r="G99" i="27"/>
  <c r="H99" i="27" s="1"/>
  <c r="J99" i="27" s="1"/>
  <c r="L99" i="27" s="1"/>
  <c r="AM28" i="7" l="1"/>
  <c r="AN27" i="7"/>
  <c r="AO27" i="7" s="1"/>
  <c r="AQ302" i="7"/>
  <c r="AN302" i="7"/>
  <c r="H103" i="13"/>
  <c r="L103" i="13" s="1"/>
  <c r="G103" i="13"/>
  <c r="F102" i="13"/>
  <c r="J104" i="13"/>
  <c r="I104" i="13"/>
  <c r="AU303" i="7"/>
  <c r="AV303" i="7" s="1"/>
  <c r="AK303" i="7"/>
  <c r="AP303" i="7"/>
  <c r="AO299" i="7"/>
  <c r="AL302" i="7"/>
  <c r="G104" i="28"/>
  <c r="H104" i="28" s="1"/>
  <c r="F103" i="28"/>
  <c r="AG107" i="7"/>
  <c r="AK28" i="7" s="1"/>
  <c r="AL28" i="7" s="1"/>
  <c r="J107" i="7"/>
  <c r="AH107" i="7" s="1"/>
  <c r="AP28" i="7" s="1"/>
  <c r="AQ28" i="7" s="1"/>
  <c r="L107" i="7"/>
  <c r="H106" i="7"/>
  <c r="I106" i="7"/>
  <c r="AI107" i="7"/>
  <c r="AU28" i="7" s="1"/>
  <c r="AV28" i="7" s="1"/>
  <c r="K107" i="7"/>
  <c r="G105" i="7"/>
  <c r="M108" i="7"/>
  <c r="N108" i="7" s="1"/>
  <c r="G98" i="27"/>
  <c r="H98" i="27" s="1"/>
  <c r="J98" i="27" s="1"/>
  <c r="L98" i="27" s="1"/>
  <c r="F97" i="27"/>
  <c r="AM29" i="7" l="1"/>
  <c r="AN28" i="7"/>
  <c r="AO28" i="7" s="1"/>
  <c r="AQ303" i="7"/>
  <c r="AN303" i="7"/>
  <c r="H102" i="13"/>
  <c r="L102" i="13" s="1"/>
  <c r="G102" i="13"/>
  <c r="F101" i="13"/>
  <c r="I103" i="13"/>
  <c r="J103" i="13"/>
  <c r="AL303" i="7"/>
  <c r="AU304" i="7"/>
  <c r="AV304" i="7" s="1"/>
  <c r="AP304" i="7"/>
  <c r="AO300" i="7"/>
  <c r="AK304" i="7"/>
  <c r="G103" i="28"/>
  <c r="H103" i="28" s="1"/>
  <c r="F102" i="28"/>
  <c r="H105" i="7"/>
  <c r="I105" i="7"/>
  <c r="M107" i="7"/>
  <c r="N107" i="7" s="1"/>
  <c r="AG106" i="7"/>
  <c r="AK29" i="7" s="1"/>
  <c r="AL29" i="7" s="1"/>
  <c r="J106" i="7"/>
  <c r="AH106" i="7" s="1"/>
  <c r="AP29" i="7" s="1"/>
  <c r="AQ29" i="7" s="1"/>
  <c r="L106" i="7"/>
  <c r="G104" i="7"/>
  <c r="AI106" i="7"/>
  <c r="AU29" i="7" s="1"/>
  <c r="AV29" i="7" s="1"/>
  <c r="K106" i="7"/>
  <c r="G97" i="27"/>
  <c r="H97" i="27" s="1"/>
  <c r="J97" i="27" s="1"/>
  <c r="L97" i="27" s="1"/>
  <c r="F96" i="27"/>
  <c r="AM30" i="7" l="1"/>
  <c r="AN30" i="7" s="1"/>
  <c r="AN29" i="7"/>
  <c r="AO29" i="7" s="1"/>
  <c r="AQ304" i="7"/>
  <c r="AN304" i="7"/>
  <c r="H101" i="13"/>
  <c r="L101" i="13" s="1"/>
  <c r="F100" i="13"/>
  <c r="G101" i="13"/>
  <c r="J102" i="13"/>
  <c r="I102" i="13"/>
  <c r="AL304" i="7"/>
  <c r="AP305" i="7"/>
  <c r="AO301" i="7"/>
  <c r="AU305" i="7"/>
  <c r="AV305" i="7" s="1"/>
  <c r="AK305" i="7"/>
  <c r="AO302" i="7"/>
  <c r="F101" i="28"/>
  <c r="G102" i="28"/>
  <c r="H102" i="28" s="1"/>
  <c r="M106" i="7"/>
  <c r="N106" i="7" s="1"/>
  <c r="H104" i="7"/>
  <c r="I104" i="7"/>
  <c r="AG105" i="7"/>
  <c r="AK30" i="7" s="1"/>
  <c r="J105" i="7"/>
  <c r="AH105" i="7" s="1"/>
  <c r="AP30" i="7" s="1"/>
  <c r="AQ30" i="7" s="1"/>
  <c r="L105" i="7"/>
  <c r="G103" i="7"/>
  <c r="AI105" i="7"/>
  <c r="AU30" i="7" s="1"/>
  <c r="AV30" i="7" s="1"/>
  <c r="K105" i="7"/>
  <c r="G96" i="27"/>
  <c r="H96" i="27" s="1"/>
  <c r="J96" i="27" s="1"/>
  <c r="L96" i="27" s="1"/>
  <c r="F95" i="27"/>
  <c r="AL30" i="7" l="1"/>
  <c r="AO30" i="7"/>
  <c r="AQ305" i="7"/>
  <c r="AN305" i="7"/>
  <c r="H100" i="13"/>
  <c r="L100" i="13" s="1"/>
  <c r="F99" i="13"/>
  <c r="G100" i="13"/>
  <c r="I101" i="13"/>
  <c r="J101" i="13"/>
  <c r="AP306" i="7"/>
  <c r="AL305" i="7"/>
  <c r="AU306" i="7"/>
  <c r="AV306" i="7" s="1"/>
  <c r="AK306" i="7"/>
  <c r="AO303" i="7"/>
  <c r="G101" i="28"/>
  <c r="H101" i="28" s="1"/>
  <c r="F100" i="28"/>
  <c r="M105" i="7"/>
  <c r="N105" i="7" s="1"/>
  <c r="K104" i="7"/>
  <c r="AI104" i="7"/>
  <c r="AU31" i="7" s="1"/>
  <c r="AV31" i="7" s="1"/>
  <c r="G102" i="7"/>
  <c r="H103" i="7"/>
  <c r="I103" i="7"/>
  <c r="AG104" i="7"/>
  <c r="AK31" i="7" s="1"/>
  <c r="AL31" i="7" s="1"/>
  <c r="AM31" i="7" s="1"/>
  <c r="J104" i="7"/>
  <c r="AH104" i="7" s="1"/>
  <c r="AP31" i="7" s="1"/>
  <c r="AQ31" i="7" s="1"/>
  <c r="L104" i="7"/>
  <c r="G95" i="27"/>
  <c r="H95" i="27" s="1"/>
  <c r="J95" i="27" s="1"/>
  <c r="L95" i="27" s="1"/>
  <c r="F94" i="27"/>
  <c r="AM32" i="7" l="1"/>
  <c r="AN31" i="7"/>
  <c r="AO31" i="7" s="1"/>
  <c r="AQ306" i="7"/>
  <c r="AN306" i="7"/>
  <c r="H99" i="13"/>
  <c r="L99" i="13" s="1"/>
  <c r="G99" i="13"/>
  <c r="F98" i="13"/>
  <c r="I100" i="13"/>
  <c r="J100" i="13"/>
  <c r="AO304" i="7"/>
  <c r="AP307" i="7"/>
  <c r="AL306" i="7"/>
  <c r="AK307" i="7"/>
  <c r="AU307" i="7"/>
  <c r="AV307" i="7" s="1"/>
  <c r="F99" i="28"/>
  <c r="G100" i="28"/>
  <c r="H100" i="28" s="1"/>
  <c r="AG103" i="7"/>
  <c r="AK32" i="7" s="1"/>
  <c r="AL32" i="7" s="1"/>
  <c r="J103" i="7"/>
  <c r="AH103" i="7" s="1"/>
  <c r="AP32" i="7" s="1"/>
  <c r="AQ32" i="7" s="1"/>
  <c r="L103" i="7"/>
  <c r="G101" i="7"/>
  <c r="M104" i="7"/>
  <c r="N104" i="7" s="1"/>
  <c r="AI103" i="7"/>
  <c r="AU32" i="7" s="1"/>
  <c r="AV32" i="7" s="1"/>
  <c r="K103" i="7"/>
  <c r="I102" i="7"/>
  <c r="H102" i="7"/>
  <c r="G94" i="27"/>
  <c r="H94" i="27" s="1"/>
  <c r="J94" i="27" s="1"/>
  <c r="L94" i="27" s="1"/>
  <c r="F93" i="27"/>
  <c r="AN32" i="7" l="1"/>
  <c r="AO32" i="7" s="1"/>
  <c r="AM33" i="7"/>
  <c r="AQ307" i="7"/>
  <c r="H98" i="13"/>
  <c r="L98" i="13" s="1"/>
  <c r="F97" i="13"/>
  <c r="G98" i="13"/>
  <c r="J99" i="13"/>
  <c r="I99" i="13"/>
  <c r="AL307" i="7"/>
  <c r="AU308" i="7"/>
  <c r="AV308" i="7" s="1"/>
  <c r="AP308" i="7"/>
  <c r="AO305" i="7"/>
  <c r="AO306" i="7"/>
  <c r="AK308" i="7"/>
  <c r="F98" i="28"/>
  <c r="G99" i="28"/>
  <c r="H99" i="28" s="1"/>
  <c r="M103" i="7"/>
  <c r="N103" i="7" s="1"/>
  <c r="AI102" i="7"/>
  <c r="AU33" i="7" s="1"/>
  <c r="AV33" i="7" s="1"/>
  <c r="K102" i="7"/>
  <c r="L102" i="7"/>
  <c r="J102" i="7"/>
  <c r="AH102" i="7" s="1"/>
  <c r="AP33" i="7" s="1"/>
  <c r="AQ33" i="7" s="1"/>
  <c r="AG102" i="7"/>
  <c r="AK33" i="7" s="1"/>
  <c r="AL33" i="7" s="1"/>
  <c r="G100" i="7"/>
  <c r="H101" i="7"/>
  <c r="I101" i="7"/>
  <c r="G93" i="27"/>
  <c r="H93" i="27" s="1"/>
  <c r="J93" i="27" s="1"/>
  <c r="L93" i="27" s="1"/>
  <c r="F92" i="27"/>
  <c r="AM34" i="7" l="1"/>
  <c r="AN33" i="7"/>
  <c r="AO33" i="7" s="1"/>
  <c r="AM307" i="7"/>
  <c r="AM308" i="7" s="1"/>
  <c r="AM309" i="7" s="1"/>
  <c r="AM310" i="7" s="1"/>
  <c r="AM311" i="7" s="1"/>
  <c r="AM312" i="7" s="1"/>
  <c r="AM313" i="7" s="1"/>
  <c r="AM314" i="7" s="1"/>
  <c r="AM315" i="7" s="1"/>
  <c r="AM316" i="7" s="1"/>
  <c r="AM317" i="7" s="1"/>
  <c r="AM318" i="7" s="1"/>
  <c r="AQ308" i="7"/>
  <c r="H97" i="13"/>
  <c r="L97" i="13" s="1"/>
  <c r="F96" i="13"/>
  <c r="G97" i="13"/>
  <c r="I98" i="13"/>
  <c r="J98" i="13"/>
  <c r="AK309" i="7"/>
  <c r="AU309" i="7"/>
  <c r="AV309" i="7" s="1"/>
  <c r="AP309" i="7"/>
  <c r="AL308" i="7"/>
  <c r="G98" i="28"/>
  <c r="H98" i="28" s="1"/>
  <c r="F97" i="28"/>
  <c r="H100" i="7"/>
  <c r="I100" i="7"/>
  <c r="M102" i="7"/>
  <c r="N102" i="7" s="1"/>
  <c r="L101" i="7"/>
  <c r="J101" i="7"/>
  <c r="AH101" i="7" s="1"/>
  <c r="AP34" i="7" s="1"/>
  <c r="AQ34" i="7" s="1"/>
  <c r="AG101" i="7"/>
  <c r="AK34" i="7" s="1"/>
  <c r="G99" i="7"/>
  <c r="AI101" i="7"/>
  <c r="AU34" i="7" s="1"/>
  <c r="AV34" i="7" s="1"/>
  <c r="K101" i="7"/>
  <c r="F91" i="27"/>
  <c r="G92" i="27"/>
  <c r="H92" i="27" s="1"/>
  <c r="J92" i="27" s="1"/>
  <c r="L92" i="27" s="1"/>
  <c r="AL34" i="7" l="1"/>
  <c r="AN34" i="7"/>
  <c r="AO34" i="7" s="1"/>
  <c r="AM35" i="7"/>
  <c r="AN308" i="7"/>
  <c r="AN307" i="7"/>
  <c r="AQ309" i="7"/>
  <c r="AN309" i="7"/>
  <c r="H96" i="13"/>
  <c r="L96" i="13" s="1"/>
  <c r="G96" i="13"/>
  <c r="F95" i="13"/>
  <c r="J97" i="13"/>
  <c r="I97" i="13"/>
  <c r="AL309" i="7"/>
  <c r="AK310" i="7"/>
  <c r="AP310" i="7"/>
  <c r="AU310" i="7"/>
  <c r="AV310" i="7" s="1"/>
  <c r="G97" i="28"/>
  <c r="H97" i="28" s="1"/>
  <c r="F96" i="28"/>
  <c r="L100" i="7"/>
  <c r="J100" i="7"/>
  <c r="AH100" i="7" s="1"/>
  <c r="AP35" i="7" s="1"/>
  <c r="AQ35" i="7" s="1"/>
  <c r="AG100" i="7"/>
  <c r="AK35" i="7" s="1"/>
  <c r="AL35" i="7" s="1"/>
  <c r="H99" i="7"/>
  <c r="I99" i="7"/>
  <c r="M101" i="7"/>
  <c r="N101" i="7" s="1"/>
  <c r="AI100" i="7"/>
  <c r="AU35" i="7" s="1"/>
  <c r="AV35" i="7" s="1"/>
  <c r="K100" i="7"/>
  <c r="G98" i="7"/>
  <c r="G91" i="27"/>
  <c r="H91" i="27" s="1"/>
  <c r="J91" i="27" s="1"/>
  <c r="L91" i="27" s="1"/>
  <c r="F90" i="27"/>
  <c r="AM36" i="7" l="1"/>
  <c r="AN35" i="7"/>
  <c r="AO35" i="7" s="1"/>
  <c r="AQ310" i="7"/>
  <c r="AN310" i="7"/>
  <c r="H95" i="13"/>
  <c r="L95" i="13" s="1"/>
  <c r="F94" i="13"/>
  <c r="G95" i="13"/>
  <c r="I96" i="13"/>
  <c r="J96" i="13"/>
  <c r="AL310" i="7"/>
  <c r="AP311" i="7"/>
  <c r="AO307" i="7"/>
  <c r="AU311" i="7"/>
  <c r="AV311" i="7" s="1"/>
  <c r="AK311" i="7"/>
  <c r="AO308" i="7"/>
  <c r="F95" i="28"/>
  <c r="G96" i="28"/>
  <c r="H96" i="28" s="1"/>
  <c r="L99" i="7"/>
  <c r="J99" i="7"/>
  <c r="AH99" i="7" s="1"/>
  <c r="AP36" i="7" s="1"/>
  <c r="AQ36" i="7" s="1"/>
  <c r="AG99" i="7"/>
  <c r="AK36" i="7" s="1"/>
  <c r="AL36" i="7" s="1"/>
  <c r="M100" i="7"/>
  <c r="N100" i="7" s="1"/>
  <c r="AI99" i="7"/>
  <c r="AU36" i="7" s="1"/>
  <c r="AV36" i="7" s="1"/>
  <c r="K99" i="7"/>
  <c r="G97" i="7"/>
  <c r="H98" i="7"/>
  <c r="I98" i="7"/>
  <c r="F89" i="27"/>
  <c r="G90" i="27"/>
  <c r="H90" i="27" s="1"/>
  <c r="J90" i="27" s="1"/>
  <c r="L90" i="27" s="1"/>
  <c r="AM37" i="7" l="1"/>
  <c r="AN36" i="7"/>
  <c r="AO36" i="7" s="1"/>
  <c r="AQ311" i="7"/>
  <c r="AN311" i="7"/>
  <c r="H94" i="13"/>
  <c r="L94" i="13" s="1"/>
  <c r="G94" i="13"/>
  <c r="F93" i="13"/>
  <c r="J95" i="13"/>
  <c r="I95" i="13"/>
  <c r="AU312" i="7"/>
  <c r="AV312" i="7" s="1"/>
  <c r="AO309" i="7"/>
  <c r="AL311" i="7"/>
  <c r="AK312" i="7"/>
  <c r="AP312" i="7"/>
  <c r="G95" i="28"/>
  <c r="H95" i="28" s="1"/>
  <c r="F94" i="28"/>
  <c r="L98" i="7"/>
  <c r="J98" i="7"/>
  <c r="AH98" i="7" s="1"/>
  <c r="AP37" i="7" s="1"/>
  <c r="AQ37" i="7" s="1"/>
  <c r="AG98" i="7"/>
  <c r="AK37" i="7" s="1"/>
  <c r="AL37" i="7" s="1"/>
  <c r="H97" i="7"/>
  <c r="I97" i="7"/>
  <c r="AI98" i="7"/>
  <c r="AU37" i="7" s="1"/>
  <c r="AV37" i="7" s="1"/>
  <c r="K98" i="7"/>
  <c r="G96" i="7"/>
  <c r="M99" i="7"/>
  <c r="N99" i="7" s="1"/>
  <c r="G89" i="27"/>
  <c r="H89" i="27" s="1"/>
  <c r="J89" i="27" s="1"/>
  <c r="L89" i="27" s="1"/>
  <c r="F88" i="27"/>
  <c r="AM38" i="7" l="1"/>
  <c r="AN37" i="7"/>
  <c r="AO37" i="7" s="1"/>
  <c r="AQ312" i="7"/>
  <c r="AN312" i="7"/>
  <c r="H93" i="13"/>
  <c r="L93" i="13" s="1"/>
  <c r="F92" i="13"/>
  <c r="G93" i="13"/>
  <c r="J94" i="13"/>
  <c r="I94" i="13"/>
  <c r="AK313" i="7"/>
  <c r="AU313" i="7"/>
  <c r="AV313" i="7" s="1"/>
  <c r="AP313" i="7"/>
  <c r="AL312" i="7"/>
  <c r="F93" i="28"/>
  <c r="G94" i="28"/>
  <c r="H94" i="28" s="1"/>
  <c r="H96" i="7"/>
  <c r="I96" i="7"/>
  <c r="AI97" i="7"/>
  <c r="AU38" i="7" s="1"/>
  <c r="AV38" i="7" s="1"/>
  <c r="K97" i="7"/>
  <c r="G95" i="7"/>
  <c r="L97" i="7"/>
  <c r="J97" i="7"/>
  <c r="AH97" i="7" s="1"/>
  <c r="AP38" i="7" s="1"/>
  <c r="AQ38" i="7" s="1"/>
  <c r="AG97" i="7"/>
  <c r="AK38" i="7" s="1"/>
  <c r="M98" i="7"/>
  <c r="N98" i="7" s="1"/>
  <c r="F87" i="27"/>
  <c r="G88" i="27"/>
  <c r="H88" i="27" s="1"/>
  <c r="J88" i="27" s="1"/>
  <c r="L88" i="27" s="1"/>
  <c r="AL38" i="7" l="1"/>
  <c r="AN38" i="7"/>
  <c r="AO38" i="7" s="1"/>
  <c r="AM39" i="7"/>
  <c r="AQ313" i="7"/>
  <c r="AN313" i="7"/>
  <c r="H92" i="13"/>
  <c r="L92" i="13" s="1"/>
  <c r="G92" i="13"/>
  <c r="F91" i="13"/>
  <c r="J93" i="13"/>
  <c r="I93" i="13"/>
  <c r="AL313" i="7"/>
  <c r="AO311" i="7"/>
  <c r="AO310" i="7"/>
  <c r="AK314" i="7"/>
  <c r="AP314" i="7"/>
  <c r="AU314" i="7"/>
  <c r="AV314" i="7" s="1"/>
  <c r="G93" i="28"/>
  <c r="H93" i="28" s="1"/>
  <c r="F92" i="28"/>
  <c r="M97" i="7"/>
  <c r="N97" i="7" s="1"/>
  <c r="J96" i="7"/>
  <c r="AH96" i="7" s="1"/>
  <c r="AP39" i="7" s="1"/>
  <c r="AQ39" i="7" s="1"/>
  <c r="L96" i="7"/>
  <c r="AG96" i="7"/>
  <c r="AK39" i="7" s="1"/>
  <c r="G94" i="7"/>
  <c r="AI96" i="7"/>
  <c r="AU39" i="7" s="1"/>
  <c r="AV39" i="7" s="1"/>
  <c r="K96" i="7"/>
  <c r="I95" i="7"/>
  <c r="H95" i="7"/>
  <c r="G87" i="27"/>
  <c r="H87" i="27" s="1"/>
  <c r="J87" i="27" s="1"/>
  <c r="L87" i="27" s="1"/>
  <c r="F86" i="27"/>
  <c r="AL39" i="7" l="1"/>
  <c r="AM40" i="7"/>
  <c r="AN39" i="7"/>
  <c r="AO39" i="7" s="1"/>
  <c r="AQ314" i="7"/>
  <c r="AN314" i="7"/>
  <c r="H91" i="13"/>
  <c r="L91" i="13" s="1"/>
  <c r="G91" i="13"/>
  <c r="F90" i="13"/>
  <c r="I92" i="13"/>
  <c r="J92" i="13"/>
  <c r="AL314" i="7"/>
  <c r="AK315" i="7"/>
  <c r="AU315" i="7"/>
  <c r="AV315" i="7" s="1"/>
  <c r="AP315" i="7"/>
  <c r="G92" i="28"/>
  <c r="H92" i="28" s="1"/>
  <c r="F91" i="28"/>
  <c r="G93" i="7"/>
  <c r="AI95" i="7"/>
  <c r="AU40" i="7" s="1"/>
  <c r="AV40" i="7" s="1"/>
  <c r="K95" i="7"/>
  <c r="H94" i="7"/>
  <c r="I94" i="7"/>
  <c r="L95" i="7"/>
  <c r="J95" i="7"/>
  <c r="AH95" i="7" s="1"/>
  <c r="AP40" i="7" s="1"/>
  <c r="AQ40" i="7" s="1"/>
  <c r="AG95" i="7"/>
  <c r="AK40" i="7" s="1"/>
  <c r="M96" i="7"/>
  <c r="N96" i="7" s="1"/>
  <c r="G86" i="27"/>
  <c r="H86" i="27" s="1"/>
  <c r="J86" i="27" s="1"/>
  <c r="L86" i="27" s="1"/>
  <c r="F85" i="27"/>
  <c r="AL40" i="7" l="1"/>
  <c r="AM41" i="7"/>
  <c r="AN40" i="7"/>
  <c r="AO40" i="7" s="1"/>
  <c r="AQ315" i="7"/>
  <c r="AN315" i="7"/>
  <c r="H90" i="13"/>
  <c r="L90" i="13" s="1"/>
  <c r="F89" i="13"/>
  <c r="G90" i="13"/>
  <c r="J91" i="13"/>
  <c r="I91" i="13"/>
  <c r="AL315" i="7"/>
  <c r="AO313" i="7"/>
  <c r="AU316" i="7"/>
  <c r="AV316" i="7" s="1"/>
  <c r="AO312" i="7"/>
  <c r="AK316" i="7"/>
  <c r="AP316" i="7"/>
  <c r="G91" i="28"/>
  <c r="H91" i="28" s="1"/>
  <c r="F90" i="28"/>
  <c r="M95" i="7"/>
  <c r="N95" i="7" s="1"/>
  <c r="L94" i="7"/>
  <c r="AG94" i="7"/>
  <c r="AK41" i="7" s="1"/>
  <c r="AL41" i="7" s="1"/>
  <c r="J94" i="7"/>
  <c r="AH94" i="7" s="1"/>
  <c r="AP41" i="7" s="1"/>
  <c r="AQ41" i="7" s="1"/>
  <c r="G92" i="7"/>
  <c r="AI94" i="7"/>
  <c r="AU41" i="7" s="1"/>
  <c r="AV41" i="7" s="1"/>
  <c r="K94" i="7"/>
  <c r="H93" i="7"/>
  <c r="I93" i="7"/>
  <c r="G85" i="27"/>
  <c r="H85" i="27" s="1"/>
  <c r="J85" i="27" s="1"/>
  <c r="L85" i="27" s="1"/>
  <c r="F84" i="27"/>
  <c r="AM42" i="7" l="1"/>
  <c r="AN42" i="7" s="1"/>
  <c r="AN41" i="7"/>
  <c r="AO41" i="7" s="1"/>
  <c r="AQ316" i="7"/>
  <c r="AN316" i="7"/>
  <c r="H89" i="13"/>
  <c r="L89" i="13" s="1"/>
  <c r="G89" i="13"/>
  <c r="F88" i="13"/>
  <c r="J90" i="13"/>
  <c r="I90" i="13"/>
  <c r="AL316" i="7"/>
  <c r="AP317" i="7"/>
  <c r="AU317" i="7"/>
  <c r="AV317" i="7" s="1"/>
  <c r="AK317" i="7"/>
  <c r="G90" i="28"/>
  <c r="H90" i="28" s="1"/>
  <c r="F89" i="28"/>
  <c r="L93" i="7"/>
  <c r="J93" i="7"/>
  <c r="AH93" i="7" s="1"/>
  <c r="AP42" i="7" s="1"/>
  <c r="AQ42" i="7" s="1"/>
  <c r="AG93" i="7"/>
  <c r="AK42" i="7" s="1"/>
  <c r="AL42" i="7" s="1"/>
  <c r="AI93" i="7"/>
  <c r="AU42" i="7" s="1"/>
  <c r="AV42" i="7" s="1"/>
  <c r="K93" i="7"/>
  <c r="G91" i="7"/>
  <c r="M94" i="7"/>
  <c r="N94" i="7" s="1"/>
  <c r="H92" i="7"/>
  <c r="I92" i="7"/>
  <c r="F83" i="27"/>
  <c r="G84" i="27"/>
  <c r="H84" i="27" s="1"/>
  <c r="J84" i="27" s="1"/>
  <c r="L84" i="27" s="1"/>
  <c r="AO42" i="7" l="1"/>
  <c r="AQ317" i="7"/>
  <c r="AN317" i="7"/>
  <c r="H88" i="13"/>
  <c r="L88" i="13" s="1"/>
  <c r="G88" i="13"/>
  <c r="F87" i="13"/>
  <c r="I89" i="13"/>
  <c r="J89" i="13"/>
  <c r="AP318" i="7"/>
  <c r="AO315" i="7"/>
  <c r="AU318" i="7"/>
  <c r="AV318" i="7" s="1"/>
  <c r="AK318" i="7"/>
  <c r="AO314" i="7"/>
  <c r="AL317" i="7"/>
  <c r="F88" i="28"/>
  <c r="G89" i="28"/>
  <c r="H89" i="28" s="1"/>
  <c r="L92" i="7"/>
  <c r="J92" i="7"/>
  <c r="AH92" i="7" s="1"/>
  <c r="AP43" i="7" s="1"/>
  <c r="AQ43" i="7" s="1"/>
  <c r="AG92" i="7"/>
  <c r="AK43" i="7" s="1"/>
  <c r="G90" i="7"/>
  <c r="AI92" i="7"/>
  <c r="AU43" i="7" s="1"/>
  <c r="AV43" i="7" s="1"/>
  <c r="K92" i="7"/>
  <c r="H91" i="7"/>
  <c r="I91" i="7"/>
  <c r="M93" i="7"/>
  <c r="N93" i="7" s="1"/>
  <c r="G83" i="27"/>
  <c r="H83" i="27" s="1"/>
  <c r="J83" i="27" s="1"/>
  <c r="L83" i="27" s="1"/>
  <c r="F82" i="27"/>
  <c r="AL43" i="7" l="1"/>
  <c r="AM43" i="7" s="1"/>
  <c r="AQ318" i="7"/>
  <c r="AN318" i="7"/>
  <c r="H87" i="13"/>
  <c r="L87" i="13" s="1"/>
  <c r="F86" i="13"/>
  <c r="G87" i="13"/>
  <c r="J88" i="13"/>
  <c r="I88" i="13"/>
  <c r="AL318" i="7"/>
  <c r="AU319" i="7"/>
  <c r="AV319" i="7" s="1"/>
  <c r="AK319" i="7"/>
  <c r="AO316" i="7"/>
  <c r="AP319" i="7"/>
  <c r="G88" i="28"/>
  <c r="H88" i="28" s="1"/>
  <c r="F87" i="28"/>
  <c r="H90" i="7"/>
  <c r="I90" i="7"/>
  <c r="M92" i="7"/>
  <c r="N92" i="7" s="1"/>
  <c r="L91" i="7"/>
  <c r="J91" i="7"/>
  <c r="AH91" i="7" s="1"/>
  <c r="AP44" i="7" s="1"/>
  <c r="AQ44" i="7" s="1"/>
  <c r="AG91" i="7"/>
  <c r="AK44" i="7" s="1"/>
  <c r="G89" i="7"/>
  <c r="AI91" i="7"/>
  <c r="AU44" i="7" s="1"/>
  <c r="AV44" i="7" s="1"/>
  <c r="K91" i="7"/>
  <c r="F81" i="27"/>
  <c r="G82" i="27"/>
  <c r="H82" i="27" s="1"/>
  <c r="J82" i="27" s="1"/>
  <c r="L82" i="27" s="1"/>
  <c r="AL44" i="7" l="1"/>
  <c r="AM44" i="7"/>
  <c r="AN43" i="7"/>
  <c r="AO43" i="7" s="1"/>
  <c r="AQ319" i="7"/>
  <c r="H86" i="13"/>
  <c r="L86" i="13" s="1"/>
  <c r="G86" i="13"/>
  <c r="F85" i="13"/>
  <c r="J87" i="13"/>
  <c r="I87" i="13"/>
  <c r="AP320" i="7"/>
  <c r="AL319" i="7"/>
  <c r="AU320" i="7"/>
  <c r="AV320" i="7" s="1"/>
  <c r="AO317" i="7"/>
  <c r="AO318" i="7"/>
  <c r="AK320" i="7"/>
  <c r="G87" i="28"/>
  <c r="H87" i="28" s="1"/>
  <c r="F86" i="28"/>
  <c r="L90" i="7"/>
  <c r="J90" i="7"/>
  <c r="AH90" i="7" s="1"/>
  <c r="AP45" i="7" s="1"/>
  <c r="AQ45" i="7" s="1"/>
  <c r="AG90" i="7"/>
  <c r="AK45" i="7" s="1"/>
  <c r="G88" i="7"/>
  <c r="M91" i="7"/>
  <c r="N91" i="7" s="1"/>
  <c r="AI90" i="7"/>
  <c r="AU45" i="7" s="1"/>
  <c r="AV45" i="7" s="1"/>
  <c r="K90" i="7"/>
  <c r="H89" i="7"/>
  <c r="I89" i="7"/>
  <c r="G81" i="27"/>
  <c r="H81" i="27" s="1"/>
  <c r="J81" i="27" s="1"/>
  <c r="L81" i="27" s="1"/>
  <c r="F80" i="27"/>
  <c r="AL45" i="7" l="1"/>
  <c r="AM45" i="7"/>
  <c r="AN44" i="7"/>
  <c r="AO44" i="7" s="1"/>
  <c r="AM319" i="7"/>
  <c r="AM320" i="7" s="1"/>
  <c r="AM321" i="7" s="1"/>
  <c r="AM322" i="7" s="1"/>
  <c r="AM323" i="7" s="1"/>
  <c r="AM324" i="7" s="1"/>
  <c r="AM325" i="7" s="1"/>
  <c r="AM326" i="7" s="1"/>
  <c r="AM327" i="7" s="1"/>
  <c r="AM328" i="7" s="1"/>
  <c r="AM329" i="7" s="1"/>
  <c r="AM330" i="7" s="1"/>
  <c r="AQ320" i="7"/>
  <c r="H85" i="13"/>
  <c r="L85" i="13" s="1"/>
  <c r="G85" i="13"/>
  <c r="F84" i="13"/>
  <c r="I86" i="13"/>
  <c r="J86" i="13"/>
  <c r="AK321" i="7"/>
  <c r="AU321" i="7"/>
  <c r="AV321" i="7" s="1"/>
  <c r="AP321" i="7"/>
  <c r="AL320" i="7"/>
  <c r="F85" i="28"/>
  <c r="G86" i="28"/>
  <c r="H86" i="28" s="1"/>
  <c r="H88" i="7"/>
  <c r="I88" i="7"/>
  <c r="L89" i="7"/>
  <c r="J89" i="7"/>
  <c r="AH89" i="7" s="1"/>
  <c r="AG89" i="7"/>
  <c r="M90" i="7"/>
  <c r="N90" i="7" s="1"/>
  <c r="AI89" i="7"/>
  <c r="K89" i="7"/>
  <c r="G87" i="7"/>
  <c r="G80" i="27"/>
  <c r="H80" i="27" s="1"/>
  <c r="J80" i="27" s="1"/>
  <c r="L80" i="27" s="1"/>
  <c r="F79" i="27"/>
  <c r="AP46" i="7" l="1"/>
  <c r="AQ46" i="7" s="1"/>
  <c r="AU46" i="7"/>
  <c r="AV46" i="7" s="1"/>
  <c r="AK46" i="7"/>
  <c r="AL46" i="7" s="1"/>
  <c r="AN45" i="7"/>
  <c r="AO45" i="7" s="1"/>
  <c r="AM46" i="7"/>
  <c r="AN320" i="7"/>
  <c r="AN319" i="7"/>
  <c r="AQ321" i="7"/>
  <c r="AN321" i="7"/>
  <c r="H84" i="13"/>
  <c r="L84" i="13" s="1"/>
  <c r="G84" i="13"/>
  <c r="F83" i="13"/>
  <c r="I85" i="13"/>
  <c r="J85" i="13"/>
  <c r="AL321" i="7"/>
  <c r="AU322" i="7"/>
  <c r="AV322" i="7" s="1"/>
  <c r="AK322" i="7"/>
  <c r="AP322" i="7"/>
  <c r="G85" i="28"/>
  <c r="H85" i="28" s="1"/>
  <c r="F84" i="28"/>
  <c r="M89" i="7"/>
  <c r="N89" i="7" s="1"/>
  <c r="L88" i="7"/>
  <c r="J88" i="7"/>
  <c r="AH88" i="7" s="1"/>
  <c r="AG88" i="7"/>
  <c r="G86" i="7"/>
  <c r="AI88" i="7"/>
  <c r="K88" i="7"/>
  <c r="H87" i="7"/>
  <c r="I87" i="7"/>
  <c r="G79" i="27"/>
  <c r="H79" i="27" s="1"/>
  <c r="J79" i="27" s="1"/>
  <c r="L79" i="27" s="1"/>
  <c r="F78" i="27"/>
  <c r="AK47" i="7" l="1"/>
  <c r="AL47" i="7" s="1"/>
  <c r="AP47" i="7"/>
  <c r="AQ47" i="7" s="1"/>
  <c r="AU47" i="7"/>
  <c r="AV47" i="7" s="1"/>
  <c r="AM47" i="7"/>
  <c r="AN46" i="7"/>
  <c r="AO46" i="7" s="1"/>
  <c r="AQ322" i="7"/>
  <c r="AN322" i="7"/>
  <c r="H83" i="13"/>
  <c r="L83" i="13" s="1"/>
  <c r="F82" i="13"/>
  <c r="G83" i="13"/>
  <c r="J84" i="13"/>
  <c r="I84" i="13"/>
  <c r="AU323" i="7"/>
  <c r="AV323" i="7" s="1"/>
  <c r="AK323" i="7"/>
  <c r="AO319" i="7"/>
  <c r="AL322" i="7"/>
  <c r="AP323" i="7"/>
  <c r="AO320" i="7"/>
  <c r="G84" i="28"/>
  <c r="H84" i="28" s="1"/>
  <c r="F83" i="28"/>
  <c r="I86" i="7"/>
  <c r="H86" i="7"/>
  <c r="L87" i="7"/>
  <c r="J87" i="7"/>
  <c r="AH87" i="7" s="1"/>
  <c r="AG87" i="7"/>
  <c r="AI87" i="7"/>
  <c r="K87" i="7"/>
  <c r="G85" i="7"/>
  <c r="M88" i="7"/>
  <c r="N88" i="7" s="1"/>
  <c r="F77" i="27"/>
  <c r="G78" i="27"/>
  <c r="H78" i="27" s="1"/>
  <c r="J78" i="27" s="1"/>
  <c r="L78" i="27" s="1"/>
  <c r="AK48" i="7" l="1"/>
  <c r="AL48" i="7" s="1"/>
  <c r="AP48" i="7"/>
  <c r="AQ48" i="7" s="1"/>
  <c r="AU48" i="7"/>
  <c r="AV48" i="7" s="1"/>
  <c r="AN47" i="7"/>
  <c r="AO47" i="7" s="1"/>
  <c r="AM48" i="7"/>
  <c r="AQ323" i="7"/>
  <c r="AN323" i="7"/>
  <c r="H82" i="13"/>
  <c r="L82" i="13" s="1"/>
  <c r="G82" i="13"/>
  <c r="F81" i="13"/>
  <c r="J83" i="13"/>
  <c r="I83" i="13"/>
  <c r="AL323" i="7"/>
  <c r="AK324" i="7"/>
  <c r="AP324" i="7"/>
  <c r="AU324" i="7"/>
  <c r="AV324" i="7" s="1"/>
  <c r="AO321" i="7"/>
  <c r="F82" i="28"/>
  <c r="G83" i="28"/>
  <c r="H83" i="28" s="1"/>
  <c r="I85" i="7"/>
  <c r="H85" i="7"/>
  <c r="G84" i="7"/>
  <c r="M87" i="7"/>
  <c r="N87" i="7" s="1"/>
  <c r="AI86" i="7"/>
  <c r="K86" i="7"/>
  <c r="L86" i="7"/>
  <c r="J86" i="7"/>
  <c r="AH86" i="7" s="1"/>
  <c r="AG86" i="7"/>
  <c r="G77" i="27"/>
  <c r="H77" i="27" s="1"/>
  <c r="J77" i="27" s="1"/>
  <c r="L77" i="27" s="1"/>
  <c r="F76" i="27"/>
  <c r="AP49" i="7" l="1"/>
  <c r="AQ49" i="7" s="1"/>
  <c r="AK49" i="7"/>
  <c r="AL49" i="7" s="1"/>
  <c r="AU49" i="7"/>
  <c r="AV49" i="7" s="1"/>
  <c r="AM49" i="7"/>
  <c r="AN48" i="7"/>
  <c r="AO48" i="7" s="1"/>
  <c r="AQ324" i="7"/>
  <c r="AN324" i="7"/>
  <c r="H81" i="13"/>
  <c r="L81" i="13" s="1"/>
  <c r="G81" i="13"/>
  <c r="F80" i="13"/>
  <c r="J82" i="13"/>
  <c r="I82" i="13"/>
  <c r="AL324" i="7"/>
  <c r="AK325" i="7"/>
  <c r="AU325" i="7"/>
  <c r="AV325" i="7" s="1"/>
  <c r="AP325" i="7"/>
  <c r="G82" i="28"/>
  <c r="H82" i="28" s="1"/>
  <c r="F81" i="28"/>
  <c r="G83" i="7"/>
  <c r="AI85" i="7"/>
  <c r="K85" i="7"/>
  <c r="M86" i="7"/>
  <c r="N86" i="7" s="1"/>
  <c r="L85" i="7"/>
  <c r="J85" i="7"/>
  <c r="AH85" i="7" s="1"/>
  <c r="AG85" i="7"/>
  <c r="H84" i="7"/>
  <c r="I84" i="7"/>
  <c r="G76" i="27"/>
  <c r="H76" i="27" s="1"/>
  <c r="J76" i="27" s="1"/>
  <c r="L76" i="27" s="1"/>
  <c r="F75" i="27"/>
  <c r="AK50" i="7" l="1"/>
  <c r="AL50" i="7" s="1"/>
  <c r="AP50" i="7"/>
  <c r="AQ50" i="7" s="1"/>
  <c r="AU50" i="7"/>
  <c r="AV50" i="7" s="1"/>
  <c r="AM50" i="7"/>
  <c r="AN49" i="7"/>
  <c r="AO49" i="7" s="1"/>
  <c r="AQ325" i="7"/>
  <c r="AN325" i="7"/>
  <c r="H80" i="13"/>
  <c r="L80" i="13" s="1"/>
  <c r="F79" i="13"/>
  <c r="G80" i="13"/>
  <c r="J81" i="13"/>
  <c r="I81" i="13"/>
  <c r="AL325" i="7"/>
  <c r="AO322" i="7"/>
  <c r="AK326" i="7"/>
  <c r="AP326" i="7"/>
  <c r="AU326" i="7"/>
  <c r="AV326" i="7" s="1"/>
  <c r="G81" i="28"/>
  <c r="H81" i="28" s="1"/>
  <c r="F80" i="28"/>
  <c r="G82" i="7"/>
  <c r="J84" i="7"/>
  <c r="AH84" i="7" s="1"/>
  <c r="L84" i="7"/>
  <c r="AG84" i="7"/>
  <c r="M85" i="7"/>
  <c r="N85" i="7" s="1"/>
  <c r="H83" i="7"/>
  <c r="I83" i="7"/>
  <c r="AI84" i="7"/>
  <c r="K84" i="7"/>
  <c r="G75" i="27"/>
  <c r="H75" i="27" s="1"/>
  <c r="J75" i="27" s="1"/>
  <c r="L75" i="27" s="1"/>
  <c r="F74" i="27"/>
  <c r="AU51" i="7" l="1"/>
  <c r="AV51" i="7" s="1"/>
  <c r="AK51" i="7"/>
  <c r="AL51" i="7" s="1"/>
  <c r="AP51" i="7"/>
  <c r="AQ51" i="7" s="1"/>
  <c r="AM51" i="7"/>
  <c r="AN50" i="7"/>
  <c r="AO50" i="7" s="1"/>
  <c r="AQ326" i="7"/>
  <c r="AN326" i="7"/>
  <c r="H79" i="13"/>
  <c r="L79" i="13" s="1"/>
  <c r="F78" i="13"/>
  <c r="G79" i="13"/>
  <c r="J80" i="13"/>
  <c r="I80" i="13"/>
  <c r="AU327" i="7"/>
  <c r="AV327" i="7" s="1"/>
  <c r="AK327" i="7"/>
  <c r="AL326" i="7"/>
  <c r="AP327" i="7"/>
  <c r="AO323" i="7"/>
  <c r="F79" i="28"/>
  <c r="G80" i="28"/>
  <c r="H80" i="28" s="1"/>
  <c r="H82" i="7"/>
  <c r="I82" i="7"/>
  <c r="L83" i="7"/>
  <c r="J83" i="7"/>
  <c r="AH83" i="7" s="1"/>
  <c r="AG83" i="7"/>
  <c r="G81" i="7"/>
  <c r="AI83" i="7"/>
  <c r="K83" i="7"/>
  <c r="M84" i="7"/>
  <c r="N84" i="7" s="1"/>
  <c r="G74" i="27"/>
  <c r="H74" i="27" s="1"/>
  <c r="J74" i="27" s="1"/>
  <c r="L74" i="27" s="1"/>
  <c r="F73" i="27"/>
  <c r="AK52" i="7" l="1"/>
  <c r="AP52" i="7"/>
  <c r="AQ52" i="7" s="1"/>
  <c r="AU52" i="7"/>
  <c r="AV52" i="7" s="1"/>
  <c r="AN51" i="7"/>
  <c r="AO51" i="7" s="1"/>
  <c r="AM52" i="7"/>
  <c r="AL52" i="7"/>
  <c r="AQ327" i="7"/>
  <c r="AN327" i="7"/>
  <c r="H78" i="13"/>
  <c r="L78" i="13" s="1"/>
  <c r="F77" i="13"/>
  <c r="G78" i="13"/>
  <c r="J79" i="13"/>
  <c r="I79" i="13"/>
  <c r="AK328" i="7"/>
  <c r="AP328" i="7"/>
  <c r="AU328" i="7"/>
  <c r="AV328" i="7" s="1"/>
  <c r="AO324" i="7"/>
  <c r="AL327" i="7"/>
  <c r="G79" i="28"/>
  <c r="H79" i="28" s="1"/>
  <c r="F78" i="28"/>
  <c r="G80" i="7"/>
  <c r="L82" i="7"/>
  <c r="J82" i="7"/>
  <c r="AH82" i="7" s="1"/>
  <c r="AG82" i="7"/>
  <c r="H81" i="7"/>
  <c r="I81" i="7"/>
  <c r="M83" i="7"/>
  <c r="N83" i="7" s="1"/>
  <c r="AI82" i="7"/>
  <c r="K82" i="7"/>
  <c r="F72" i="27"/>
  <c r="G73" i="27"/>
  <c r="H73" i="27" s="1"/>
  <c r="J73" i="27" s="1"/>
  <c r="L73" i="27" s="1"/>
  <c r="AU53" i="7" l="1"/>
  <c r="AV53" i="7" s="1"/>
  <c r="AK53" i="7"/>
  <c r="AL53" i="7" s="1"/>
  <c r="AP53" i="7"/>
  <c r="AQ53" i="7" s="1"/>
  <c r="AM53" i="7"/>
  <c r="AN52" i="7"/>
  <c r="AO52" i="7" s="1"/>
  <c r="AQ328" i="7"/>
  <c r="AN328" i="7"/>
  <c r="H77" i="13"/>
  <c r="L77" i="13" s="1"/>
  <c r="F76" i="13"/>
  <c r="G77" i="13"/>
  <c r="J78" i="13"/>
  <c r="I78" i="13"/>
  <c r="AL328" i="7"/>
  <c r="AU329" i="7"/>
  <c r="AV329" i="7" s="1"/>
  <c r="AK329" i="7"/>
  <c r="AP329" i="7"/>
  <c r="AO325" i="7"/>
  <c r="G78" i="28"/>
  <c r="H78" i="28" s="1"/>
  <c r="F77" i="28"/>
  <c r="H80" i="7"/>
  <c r="I80" i="7"/>
  <c r="G79" i="7"/>
  <c r="L81" i="7"/>
  <c r="AG81" i="7"/>
  <c r="J81" i="7"/>
  <c r="AH81" i="7" s="1"/>
  <c r="M82" i="7"/>
  <c r="N82" i="7" s="1"/>
  <c r="K81" i="7"/>
  <c r="AI81" i="7"/>
  <c r="G72" i="27"/>
  <c r="H72" i="27" s="1"/>
  <c r="J72" i="27" s="1"/>
  <c r="L72" i="27" s="1"/>
  <c r="F71" i="27"/>
  <c r="AU54" i="7" l="1"/>
  <c r="AV54" i="7" s="1"/>
  <c r="AK54" i="7"/>
  <c r="AL54" i="7" s="1"/>
  <c r="AP54" i="7"/>
  <c r="AQ54" i="7" s="1"/>
  <c r="AN53" i="7"/>
  <c r="AO53" i="7" s="1"/>
  <c r="AM54" i="7"/>
  <c r="AN54" i="7" s="1"/>
  <c r="AQ329" i="7"/>
  <c r="AN329" i="7"/>
  <c r="H76" i="13"/>
  <c r="L76" i="13" s="1"/>
  <c r="F75" i="13"/>
  <c r="G76" i="13"/>
  <c r="J77" i="13"/>
  <c r="I77" i="13"/>
  <c r="AL329" i="7"/>
  <c r="AU330" i="7"/>
  <c r="AV330" i="7" s="1"/>
  <c r="AK330" i="7"/>
  <c r="AO326" i="7"/>
  <c r="AO327" i="7"/>
  <c r="AP330" i="7"/>
  <c r="G77" i="28"/>
  <c r="H77" i="28" s="1"/>
  <c r="F76" i="28"/>
  <c r="I79" i="7"/>
  <c r="H79" i="7"/>
  <c r="G78" i="7"/>
  <c r="L80" i="7"/>
  <c r="AG80" i="7"/>
  <c r="J80" i="7"/>
  <c r="AH80" i="7" s="1"/>
  <c r="M81" i="7"/>
  <c r="N81" i="7" s="1"/>
  <c r="K80" i="7"/>
  <c r="AI80" i="7"/>
  <c r="F70" i="27"/>
  <c r="G71" i="27"/>
  <c r="H71" i="27" s="1"/>
  <c r="J71" i="27" s="1"/>
  <c r="L71" i="27" s="1"/>
  <c r="AO54" i="7" l="1"/>
  <c r="AL330" i="7"/>
  <c r="AU55" i="7"/>
  <c r="AV55" i="7" s="1"/>
  <c r="AK55" i="7"/>
  <c r="AL55" i="7" s="1"/>
  <c r="AM55" i="7" s="1"/>
  <c r="AP55" i="7"/>
  <c r="AQ55" i="7" s="1"/>
  <c r="AQ330" i="7"/>
  <c r="AN330" i="7"/>
  <c r="H75" i="13"/>
  <c r="L75" i="13" s="1"/>
  <c r="G75" i="13"/>
  <c r="F74" i="13"/>
  <c r="J76" i="13"/>
  <c r="I76" i="13"/>
  <c r="AU331" i="7"/>
  <c r="AV331" i="7" s="1"/>
  <c r="AK331" i="7"/>
  <c r="AO328" i="7"/>
  <c r="AP331" i="7"/>
  <c r="F75" i="28"/>
  <c r="G76" i="28"/>
  <c r="H76" i="28" s="1"/>
  <c r="H78" i="7"/>
  <c r="I78" i="7"/>
  <c r="AI79" i="7"/>
  <c r="K79" i="7"/>
  <c r="L79" i="7"/>
  <c r="J79" i="7"/>
  <c r="AH79" i="7" s="1"/>
  <c r="AG79" i="7"/>
  <c r="M80" i="7"/>
  <c r="N80" i="7" s="1"/>
  <c r="G77" i="7"/>
  <c r="G70" i="27"/>
  <c r="H70" i="27" s="1"/>
  <c r="J70" i="27" s="1"/>
  <c r="L70" i="27" s="1"/>
  <c r="F69" i="27"/>
  <c r="AK56" i="7" l="1"/>
  <c r="AL56" i="7" s="1"/>
  <c r="AU56" i="7"/>
  <c r="AV56" i="7" s="1"/>
  <c r="AP56" i="7"/>
  <c r="AQ56" i="7" s="1"/>
  <c r="AN55" i="7"/>
  <c r="AO55" i="7" s="1"/>
  <c r="AM56" i="7"/>
  <c r="AQ331" i="7"/>
  <c r="H74" i="13"/>
  <c r="L74" i="13" s="1"/>
  <c r="F73" i="13"/>
  <c r="G74" i="13"/>
  <c r="J75" i="13"/>
  <c r="I75" i="13"/>
  <c r="AL331" i="7"/>
  <c r="AK332" i="7"/>
  <c r="AO329" i="7"/>
  <c r="AO330" i="7"/>
  <c r="AU332" i="7"/>
  <c r="AV332" i="7" s="1"/>
  <c r="AP332" i="7"/>
  <c r="F74" i="28"/>
  <c r="G75" i="28"/>
  <c r="H75" i="28" s="1"/>
  <c r="H77" i="7"/>
  <c r="I77" i="7"/>
  <c r="G76" i="7"/>
  <c r="J78" i="7"/>
  <c r="AH78" i="7" s="1"/>
  <c r="L78" i="7"/>
  <c r="AG78" i="7"/>
  <c r="M79" i="7"/>
  <c r="N79" i="7" s="1"/>
  <c r="AI78" i="7"/>
  <c r="K78" i="7"/>
  <c r="G69" i="27"/>
  <c r="H69" i="27" s="1"/>
  <c r="J69" i="27" s="1"/>
  <c r="L69" i="27" s="1"/>
  <c r="F68" i="27"/>
  <c r="AP57" i="7" l="1"/>
  <c r="AQ57" i="7" s="1"/>
  <c r="AK57" i="7"/>
  <c r="AL57" i="7" s="1"/>
  <c r="AU57" i="7"/>
  <c r="AV57" i="7" s="1"/>
  <c r="AN56" i="7"/>
  <c r="AO56" i="7" s="1"/>
  <c r="AM57" i="7"/>
  <c r="AM331" i="7"/>
  <c r="AM332" i="7" s="1"/>
  <c r="AM333" i="7" s="1"/>
  <c r="AM334" i="7" s="1"/>
  <c r="AM335" i="7" s="1"/>
  <c r="AM336" i="7" s="1"/>
  <c r="AM337" i="7" s="1"/>
  <c r="AM338" i="7" s="1"/>
  <c r="AM339" i="7" s="1"/>
  <c r="AM340" i="7" s="1"/>
  <c r="AM341" i="7" s="1"/>
  <c r="AM342" i="7" s="1"/>
  <c r="AQ332" i="7"/>
  <c r="H73" i="13"/>
  <c r="L73" i="13" s="1"/>
  <c r="F72" i="13"/>
  <c r="G73" i="13"/>
  <c r="J74" i="13"/>
  <c r="I74" i="13"/>
  <c r="AK333" i="7"/>
  <c r="AU333" i="7"/>
  <c r="AV333" i="7" s="1"/>
  <c r="AP333" i="7"/>
  <c r="AL332" i="7"/>
  <c r="G74" i="28"/>
  <c r="H74" i="28" s="1"/>
  <c r="F73" i="28"/>
  <c r="M78" i="7"/>
  <c r="N78" i="7" s="1"/>
  <c r="J77" i="7"/>
  <c r="AH77" i="7" s="1"/>
  <c r="AG77" i="7"/>
  <c r="L77" i="7"/>
  <c r="I76" i="7"/>
  <c r="H76" i="7"/>
  <c r="AI77" i="7"/>
  <c r="K77" i="7"/>
  <c r="G75" i="7"/>
  <c r="F67" i="27"/>
  <c r="G68" i="27"/>
  <c r="H68" i="27" s="1"/>
  <c r="J68" i="27" s="1"/>
  <c r="L68" i="27" s="1"/>
  <c r="AP58" i="7" l="1"/>
  <c r="AQ58" i="7" s="1"/>
  <c r="AU58" i="7"/>
  <c r="AV58" i="7" s="1"/>
  <c r="AK58" i="7"/>
  <c r="AL58" i="7" s="1"/>
  <c r="AN57" i="7"/>
  <c r="AO57" i="7" s="1"/>
  <c r="AM58" i="7"/>
  <c r="AN332" i="7"/>
  <c r="AN331" i="7"/>
  <c r="AQ333" i="7"/>
  <c r="AN333" i="7"/>
  <c r="H72" i="13"/>
  <c r="L72" i="13" s="1"/>
  <c r="G72" i="13"/>
  <c r="F71" i="13"/>
  <c r="I73" i="13"/>
  <c r="J73" i="13"/>
  <c r="AL333" i="7"/>
  <c r="AU334" i="7"/>
  <c r="AV334" i="7" s="1"/>
  <c r="AK334" i="7"/>
  <c r="AP334" i="7"/>
  <c r="F72" i="28"/>
  <c r="G73" i="28"/>
  <c r="H73" i="28" s="1"/>
  <c r="AI76" i="7"/>
  <c r="K76" i="7"/>
  <c r="G74" i="7"/>
  <c r="AG76" i="7"/>
  <c r="L76" i="7"/>
  <c r="J76" i="7"/>
  <c r="AH76" i="7" s="1"/>
  <c r="H75" i="7"/>
  <c r="I75" i="7"/>
  <c r="M77" i="7"/>
  <c r="N77" i="7" s="1"/>
  <c r="G67" i="27"/>
  <c r="H67" i="27" s="1"/>
  <c r="J67" i="27" s="1"/>
  <c r="L67" i="27" s="1"/>
  <c r="F66" i="27"/>
  <c r="AU59" i="7" l="1"/>
  <c r="AV59" i="7" s="1"/>
  <c r="AP59" i="7"/>
  <c r="AQ59" i="7" s="1"/>
  <c r="AK59" i="7"/>
  <c r="AL59" i="7" s="1"/>
  <c r="AL334" i="7"/>
  <c r="AM59" i="7"/>
  <c r="AN58" i="7"/>
  <c r="AO58" i="7" s="1"/>
  <c r="AQ334" i="7"/>
  <c r="AN334" i="7"/>
  <c r="H71" i="13"/>
  <c r="L71" i="13" s="1"/>
  <c r="F70" i="13"/>
  <c r="G71" i="13"/>
  <c r="J72" i="13"/>
  <c r="I72" i="13"/>
  <c r="AP335" i="7"/>
  <c r="AO331" i="7"/>
  <c r="AU335" i="7"/>
  <c r="AV335" i="7" s="1"/>
  <c r="AO332" i="7"/>
  <c r="AK335" i="7"/>
  <c r="G72" i="28"/>
  <c r="H72" i="28" s="1"/>
  <c r="F71" i="28"/>
  <c r="M76" i="7"/>
  <c r="N76" i="7" s="1"/>
  <c r="J75" i="7"/>
  <c r="AH75" i="7" s="1"/>
  <c r="AG75" i="7"/>
  <c r="L75" i="7"/>
  <c r="AI75" i="7"/>
  <c r="K75" i="7"/>
  <c r="G73" i="7"/>
  <c r="H74" i="7"/>
  <c r="I74" i="7"/>
  <c r="F65" i="27"/>
  <c r="G66" i="27"/>
  <c r="H66" i="27" s="1"/>
  <c r="J66" i="27" s="1"/>
  <c r="L66" i="27" s="1"/>
  <c r="AL335" i="7" l="1"/>
  <c r="AP60" i="7"/>
  <c r="AQ60" i="7" s="1"/>
  <c r="AK60" i="7"/>
  <c r="AL60" i="7" s="1"/>
  <c r="AU60" i="7"/>
  <c r="AV60" i="7" s="1"/>
  <c r="AM60" i="7"/>
  <c r="AN59" i="7"/>
  <c r="AO59" i="7" s="1"/>
  <c r="AQ335" i="7"/>
  <c r="AN335" i="7"/>
  <c r="H70" i="13"/>
  <c r="L70" i="13" s="1"/>
  <c r="F69" i="13"/>
  <c r="G70" i="13"/>
  <c r="J71" i="13"/>
  <c r="I71" i="13"/>
  <c r="AU336" i="7"/>
  <c r="AV336" i="7" s="1"/>
  <c r="AK336" i="7"/>
  <c r="AP336" i="7"/>
  <c r="F70" i="28"/>
  <c r="G71" i="28"/>
  <c r="H71" i="28" s="1"/>
  <c r="G72" i="7"/>
  <c r="M75" i="7"/>
  <c r="N75" i="7" s="1"/>
  <c r="J74" i="7"/>
  <c r="AH74" i="7" s="1"/>
  <c r="L74" i="7"/>
  <c r="AG74" i="7"/>
  <c r="H73" i="7"/>
  <c r="I73" i="7"/>
  <c r="AI74" i="7"/>
  <c r="K74" i="7"/>
  <c r="F64" i="27"/>
  <c r="G65" i="27"/>
  <c r="H65" i="27" s="1"/>
  <c r="J65" i="27" s="1"/>
  <c r="L65" i="27" s="1"/>
  <c r="AP61" i="7" l="1"/>
  <c r="AQ61" i="7" s="1"/>
  <c r="AK61" i="7"/>
  <c r="AL61" i="7" s="1"/>
  <c r="AU61" i="7"/>
  <c r="AV61" i="7" s="1"/>
  <c r="AM61" i="7"/>
  <c r="AN60" i="7"/>
  <c r="AO60" i="7" s="1"/>
  <c r="AQ336" i="7"/>
  <c r="AN336" i="7"/>
  <c r="H69" i="13"/>
  <c r="L69" i="13" s="1"/>
  <c r="F68" i="13"/>
  <c r="G69" i="13"/>
  <c r="J70" i="13"/>
  <c r="I70" i="13"/>
  <c r="AL336" i="7"/>
  <c r="AK337" i="7"/>
  <c r="AU337" i="7"/>
  <c r="AV337" i="7" s="1"/>
  <c r="AP337" i="7"/>
  <c r="AO333" i="7"/>
  <c r="F69" i="28"/>
  <c r="G70" i="28"/>
  <c r="H70" i="28" s="1"/>
  <c r="M74" i="7"/>
  <c r="N74" i="7" s="1"/>
  <c r="G71" i="7"/>
  <c r="AG73" i="7"/>
  <c r="J73" i="7"/>
  <c r="AH73" i="7" s="1"/>
  <c r="L73" i="7"/>
  <c r="I72" i="7"/>
  <c r="H72" i="7"/>
  <c r="K73" i="7"/>
  <c r="AI73" i="7"/>
  <c r="F63" i="27"/>
  <c r="G64" i="27"/>
  <c r="H64" i="27" s="1"/>
  <c r="J64" i="27" s="1"/>
  <c r="L64" i="27" s="1"/>
  <c r="AU62" i="7" l="1"/>
  <c r="AV62" i="7" s="1"/>
  <c r="AP62" i="7"/>
  <c r="AQ62" i="7" s="1"/>
  <c r="AK62" i="7"/>
  <c r="AL62" i="7" s="1"/>
  <c r="AM62" i="7"/>
  <c r="AN61" i="7"/>
  <c r="AO61" i="7" s="1"/>
  <c r="AQ337" i="7"/>
  <c r="AN337" i="7"/>
  <c r="H68" i="13"/>
  <c r="L68" i="13" s="1"/>
  <c r="F67" i="13"/>
  <c r="G68" i="13"/>
  <c r="J69" i="13"/>
  <c r="I69" i="13"/>
  <c r="AL337" i="7"/>
  <c r="AU338" i="7"/>
  <c r="AV338" i="7" s="1"/>
  <c r="AP338" i="7"/>
  <c r="AK338" i="7"/>
  <c r="AO334" i="7"/>
  <c r="G69" i="28"/>
  <c r="H69" i="28" s="1"/>
  <c r="F68" i="28"/>
  <c r="AI72" i="7"/>
  <c r="K72" i="7"/>
  <c r="L72" i="7"/>
  <c r="J72" i="7"/>
  <c r="AH72" i="7" s="1"/>
  <c r="AG72" i="7"/>
  <c r="G70" i="7"/>
  <c r="M73" i="7"/>
  <c r="N73" i="7" s="1"/>
  <c r="H71" i="7"/>
  <c r="I71" i="7"/>
  <c r="G63" i="27"/>
  <c r="H63" i="27" s="1"/>
  <c r="J63" i="27" s="1"/>
  <c r="L63" i="27" s="1"/>
  <c r="F62" i="27"/>
  <c r="AK63" i="7" l="1"/>
  <c r="AL63" i="7" s="1"/>
  <c r="AU63" i="7"/>
  <c r="AV63" i="7" s="1"/>
  <c r="AP63" i="7"/>
  <c r="AQ63" i="7" s="1"/>
  <c r="AN62" i="7"/>
  <c r="AO62" i="7" s="1"/>
  <c r="AM63" i="7"/>
  <c r="AQ338" i="7"/>
  <c r="AN338" i="7"/>
  <c r="H67" i="13"/>
  <c r="L67" i="13" s="1"/>
  <c r="G67" i="13"/>
  <c r="F66" i="13"/>
  <c r="J68" i="13"/>
  <c r="I68" i="13"/>
  <c r="AK339" i="7"/>
  <c r="AU339" i="7"/>
  <c r="AV339" i="7" s="1"/>
  <c r="AL338" i="7"/>
  <c r="AP339" i="7"/>
  <c r="AO335" i="7"/>
  <c r="G68" i="28"/>
  <c r="H68" i="28" s="1"/>
  <c r="F67" i="28"/>
  <c r="H70" i="7"/>
  <c r="I70" i="7"/>
  <c r="L71" i="7"/>
  <c r="J71" i="7"/>
  <c r="AH71" i="7" s="1"/>
  <c r="AG71" i="7"/>
  <c r="AI71" i="7"/>
  <c r="K71" i="7"/>
  <c r="G69" i="7"/>
  <c r="M72" i="7"/>
  <c r="N72" i="7" s="1"/>
  <c r="G62" i="27"/>
  <c r="H62" i="27" s="1"/>
  <c r="J62" i="27" s="1"/>
  <c r="L62" i="27" s="1"/>
  <c r="F61" i="27"/>
  <c r="AK64" i="7" l="1"/>
  <c r="AL64" i="7" s="1"/>
  <c r="AP64" i="7"/>
  <c r="AQ64" i="7" s="1"/>
  <c r="AU64" i="7"/>
  <c r="AV64" i="7" s="1"/>
  <c r="AN63" i="7"/>
  <c r="AO63" i="7" s="1"/>
  <c r="AM64" i="7"/>
  <c r="AQ339" i="7"/>
  <c r="AN339" i="7"/>
  <c r="H66" i="13"/>
  <c r="L66" i="13" s="1"/>
  <c r="F65" i="13"/>
  <c r="G66" i="13"/>
  <c r="J67" i="13"/>
  <c r="I67" i="13"/>
  <c r="AK340" i="7"/>
  <c r="AO336" i="7"/>
  <c r="AP340" i="7"/>
  <c r="AU340" i="7"/>
  <c r="AV340" i="7" s="1"/>
  <c r="AL339" i="7"/>
  <c r="F66" i="28"/>
  <c r="G67" i="28"/>
  <c r="H67" i="28" s="1"/>
  <c r="I69" i="7"/>
  <c r="H69" i="7"/>
  <c r="AI70" i="7"/>
  <c r="K70" i="7"/>
  <c r="M71" i="7"/>
  <c r="N71" i="7" s="1"/>
  <c r="G68" i="7"/>
  <c r="AG70" i="7"/>
  <c r="J70" i="7"/>
  <c r="AH70" i="7" s="1"/>
  <c r="L70" i="7"/>
  <c r="G61" i="27"/>
  <c r="H61" i="27" s="1"/>
  <c r="J61" i="27" s="1"/>
  <c r="L61" i="27" s="1"/>
  <c r="F60" i="27"/>
  <c r="AP65" i="7" l="1"/>
  <c r="AQ65" i="7" s="1"/>
  <c r="AK65" i="7"/>
  <c r="AL65" i="7" s="1"/>
  <c r="AU65" i="7"/>
  <c r="AV65" i="7" s="1"/>
  <c r="AN64" i="7"/>
  <c r="AO64" i="7" s="1"/>
  <c r="AM65" i="7"/>
  <c r="AQ340" i="7"/>
  <c r="AN340" i="7"/>
  <c r="AL340" i="7"/>
  <c r="H65" i="13"/>
  <c r="L65" i="13" s="1"/>
  <c r="G65" i="13"/>
  <c r="F64" i="13"/>
  <c r="J66" i="13"/>
  <c r="I66" i="13"/>
  <c r="AP341" i="7"/>
  <c r="AK341" i="7"/>
  <c r="AU341" i="7"/>
  <c r="AV341" i="7" s="1"/>
  <c r="AO337" i="7"/>
  <c r="F65" i="28"/>
  <c r="G66" i="28"/>
  <c r="H66" i="28" s="1"/>
  <c r="M70" i="7"/>
  <c r="N70" i="7" s="1"/>
  <c r="G67" i="7"/>
  <c r="AI69" i="7"/>
  <c r="K69" i="7"/>
  <c r="H68" i="7"/>
  <c r="I68" i="7"/>
  <c r="L69" i="7"/>
  <c r="J69" i="7"/>
  <c r="AH69" i="7" s="1"/>
  <c r="AG69" i="7"/>
  <c r="F59" i="27"/>
  <c r="G60" i="27"/>
  <c r="H60" i="27" s="1"/>
  <c r="J60" i="27" s="1"/>
  <c r="L60" i="27" s="1"/>
  <c r="AL341" i="7" l="1"/>
  <c r="AU66" i="7"/>
  <c r="AV66" i="7" s="1"/>
  <c r="AP66" i="7"/>
  <c r="AQ66" i="7" s="1"/>
  <c r="AK66" i="7"/>
  <c r="AL66" i="7" s="1"/>
  <c r="AN65" i="7"/>
  <c r="AO65" i="7" s="1"/>
  <c r="AM66" i="7"/>
  <c r="AN66" i="7" s="1"/>
  <c r="AQ341" i="7"/>
  <c r="AN341" i="7"/>
  <c r="H64" i="13"/>
  <c r="L64" i="13" s="1"/>
  <c r="F63" i="13"/>
  <c r="G64" i="13"/>
  <c r="J65" i="13"/>
  <c r="I65" i="13"/>
  <c r="AO338" i="7"/>
  <c r="AP342" i="7"/>
  <c r="AU342" i="7"/>
  <c r="AV342" i="7" s="1"/>
  <c r="AK342" i="7"/>
  <c r="F64" i="28"/>
  <c r="G65" i="28"/>
  <c r="H65" i="28" s="1"/>
  <c r="AI68" i="7"/>
  <c r="K68" i="7"/>
  <c r="I67" i="7"/>
  <c r="H67" i="7"/>
  <c r="M69" i="7"/>
  <c r="N69" i="7" s="1"/>
  <c r="L68" i="7"/>
  <c r="J68" i="7"/>
  <c r="AH68" i="7" s="1"/>
  <c r="AG68" i="7"/>
  <c r="G66" i="7"/>
  <c r="F58" i="27"/>
  <c r="G59" i="27"/>
  <c r="H59" i="27" s="1"/>
  <c r="J59" i="27" s="1"/>
  <c r="L59" i="27" s="1"/>
  <c r="AL342" i="7" l="1"/>
  <c r="AK67" i="7"/>
  <c r="AL67" i="7" s="1"/>
  <c r="AM67" i="7" s="1"/>
  <c r="AP67" i="7"/>
  <c r="AQ67" i="7" s="1"/>
  <c r="AO66" i="7"/>
  <c r="AU67" i="7"/>
  <c r="AV67" i="7" s="1"/>
  <c r="AQ342" i="7"/>
  <c r="AN342" i="7"/>
  <c r="H63" i="13"/>
  <c r="L63" i="13" s="1"/>
  <c r="G63" i="13"/>
  <c r="F62" i="13"/>
  <c r="J64" i="13"/>
  <c r="I64" i="13"/>
  <c r="AU343" i="7"/>
  <c r="AV343" i="7" s="1"/>
  <c r="AP343" i="7"/>
  <c r="AK343" i="7"/>
  <c r="AO340" i="7"/>
  <c r="AO339" i="7"/>
  <c r="F63" i="28"/>
  <c r="G64" i="28"/>
  <c r="H64" i="28" s="1"/>
  <c r="G65" i="7"/>
  <c r="M68" i="7"/>
  <c r="N68" i="7" s="1"/>
  <c r="H66" i="7"/>
  <c r="I66" i="7"/>
  <c r="AI67" i="7"/>
  <c r="K67" i="7"/>
  <c r="L67" i="7"/>
  <c r="J67" i="7"/>
  <c r="AH67" i="7" s="1"/>
  <c r="AG67" i="7"/>
  <c r="F57" i="27"/>
  <c r="G58" i="27"/>
  <c r="H58" i="27" s="1"/>
  <c r="J58" i="27" s="1"/>
  <c r="L58" i="27" s="1"/>
  <c r="AP68" i="7" l="1"/>
  <c r="AQ68" i="7" s="1"/>
  <c r="AK68" i="7"/>
  <c r="AL68" i="7" s="1"/>
  <c r="AU68" i="7"/>
  <c r="AV68" i="7" s="1"/>
  <c r="AN67" i="7"/>
  <c r="AO67" i="7" s="1"/>
  <c r="AM68" i="7"/>
  <c r="AQ343" i="7"/>
  <c r="H62" i="13"/>
  <c r="L62" i="13" s="1"/>
  <c r="F61" i="13"/>
  <c r="G62" i="13"/>
  <c r="J63" i="13"/>
  <c r="I63" i="13"/>
  <c r="AO342" i="7"/>
  <c r="AO341" i="7"/>
  <c r="AL343" i="7"/>
  <c r="AK344" i="7"/>
  <c r="AU344" i="7"/>
  <c r="AV344" i="7" s="1"/>
  <c r="AP344" i="7"/>
  <c r="F62" i="28"/>
  <c r="G63" i="28"/>
  <c r="H63" i="28" s="1"/>
  <c r="AI66" i="7"/>
  <c r="K66" i="7"/>
  <c r="H65" i="7"/>
  <c r="I65" i="7"/>
  <c r="G64" i="7"/>
  <c r="M67" i="7"/>
  <c r="N67" i="7" s="1"/>
  <c r="L66" i="7"/>
  <c r="J66" i="7"/>
  <c r="AH66" i="7" s="1"/>
  <c r="AG66" i="7"/>
  <c r="G57" i="27"/>
  <c r="H57" i="27" s="1"/>
  <c r="J57" i="27" s="1"/>
  <c r="L57" i="27" s="1"/>
  <c r="F56" i="27"/>
  <c r="AK69" i="7" l="1"/>
  <c r="AL69" i="7" s="1"/>
  <c r="AU69" i="7"/>
  <c r="AV69" i="7" s="1"/>
  <c r="AP69" i="7"/>
  <c r="AQ69" i="7" s="1"/>
  <c r="AN68" i="7"/>
  <c r="AO68" i="7" s="1"/>
  <c r="AM69" i="7"/>
  <c r="AM343" i="7"/>
  <c r="AM344" i="7" s="1"/>
  <c r="AM345" i="7" s="1"/>
  <c r="AM346" i="7" s="1"/>
  <c r="AM347" i="7" s="1"/>
  <c r="AM348" i="7" s="1"/>
  <c r="AM349" i="7" s="1"/>
  <c r="AM350" i="7" s="1"/>
  <c r="AM351" i="7" s="1"/>
  <c r="AM352" i="7" s="1"/>
  <c r="AM353" i="7" s="1"/>
  <c r="AM354" i="7" s="1"/>
  <c r="AQ344" i="7"/>
  <c r="H61" i="13"/>
  <c r="L61" i="13" s="1"/>
  <c r="F60" i="13"/>
  <c r="G61" i="13"/>
  <c r="J62" i="13"/>
  <c r="I62" i="13"/>
  <c r="AL344" i="7"/>
  <c r="AK345" i="7"/>
  <c r="AU345" i="7"/>
  <c r="AV345" i="7" s="1"/>
  <c r="AP345" i="7"/>
  <c r="F61" i="28"/>
  <c r="G62" i="28"/>
  <c r="H62" i="28" s="1"/>
  <c r="L65" i="7"/>
  <c r="J65" i="7"/>
  <c r="AH65" i="7" s="1"/>
  <c r="AP195" i="7" s="1"/>
  <c r="AG65" i="7"/>
  <c r="AK195" i="7" s="1"/>
  <c r="AI65" i="7"/>
  <c r="AU195" i="7" s="1"/>
  <c r="K65" i="7"/>
  <c r="G63" i="7"/>
  <c r="M66" i="7"/>
  <c r="N66" i="7" s="1"/>
  <c r="H64" i="7"/>
  <c r="I64" i="7"/>
  <c r="F55" i="27"/>
  <c r="G56" i="27"/>
  <c r="H56" i="27" s="1"/>
  <c r="J56" i="27" s="1"/>
  <c r="L56" i="27" s="1"/>
  <c r="AU70" i="7" l="1"/>
  <c r="AV70" i="7" s="1"/>
  <c r="AK70" i="7"/>
  <c r="AL70" i="7" s="1"/>
  <c r="AP70" i="7"/>
  <c r="AQ70" i="7" s="1"/>
  <c r="AN344" i="7"/>
  <c r="AN69" i="7"/>
  <c r="AO69" i="7" s="1"/>
  <c r="AM70" i="7"/>
  <c r="AN343" i="7"/>
  <c r="AQ345" i="7"/>
  <c r="AN345" i="7"/>
  <c r="I61" i="13"/>
  <c r="J61" i="13"/>
  <c r="H60" i="13"/>
  <c r="L60" i="13" s="1"/>
  <c r="F59" i="13"/>
  <c r="G60" i="13"/>
  <c r="AK346" i="7"/>
  <c r="AP346" i="7"/>
  <c r="AU346" i="7"/>
  <c r="AV346" i="7" s="1"/>
  <c r="AL345" i="7"/>
  <c r="F60" i="28"/>
  <c r="G61" i="28"/>
  <c r="H61" i="28" s="1"/>
  <c r="H63" i="7"/>
  <c r="I63" i="7"/>
  <c r="J64" i="7"/>
  <c r="AH64" i="7" s="1"/>
  <c r="AP196" i="7" s="1"/>
  <c r="L64" i="7"/>
  <c r="AG64" i="7"/>
  <c r="AK196" i="7" s="1"/>
  <c r="M65" i="7"/>
  <c r="N65" i="7" s="1"/>
  <c r="AI64" i="7"/>
  <c r="AU196" i="7" s="1"/>
  <c r="K64" i="7"/>
  <c r="G62" i="7"/>
  <c r="F54" i="27"/>
  <c r="G55" i="27"/>
  <c r="H55" i="27" s="1"/>
  <c r="J55" i="27" s="1"/>
  <c r="L55" i="27" s="1"/>
  <c r="AP71" i="7" l="1"/>
  <c r="AQ71" i="7" s="1"/>
  <c r="AU71" i="7"/>
  <c r="AV71" i="7" s="1"/>
  <c r="AK71" i="7"/>
  <c r="AL71" i="7" s="1"/>
  <c r="AN70" i="7"/>
  <c r="AO70" i="7" s="1"/>
  <c r="AM71" i="7"/>
  <c r="AQ346" i="7"/>
  <c r="AN346" i="7"/>
  <c r="H59" i="13"/>
  <c r="L59" i="13" s="1"/>
  <c r="F58" i="13"/>
  <c r="G59" i="13"/>
  <c r="J60" i="13"/>
  <c r="I60" i="13"/>
  <c r="AL346" i="7"/>
  <c r="AK347" i="7"/>
  <c r="AO344" i="7"/>
  <c r="AU347" i="7"/>
  <c r="AV347" i="7" s="1"/>
  <c r="AP347" i="7"/>
  <c r="AO343" i="7"/>
  <c r="F59" i="28"/>
  <c r="G60" i="28"/>
  <c r="H60" i="28" s="1"/>
  <c r="G61" i="7"/>
  <c r="J63" i="7"/>
  <c r="AH63" i="7" s="1"/>
  <c r="AP197" i="7" s="1"/>
  <c r="L63" i="7"/>
  <c r="AG63" i="7"/>
  <c r="AK197" i="7" s="1"/>
  <c r="H62" i="7"/>
  <c r="I62" i="7"/>
  <c r="M64" i="7"/>
  <c r="N64" i="7" s="1"/>
  <c r="AI63" i="7"/>
  <c r="AU197" i="7" s="1"/>
  <c r="K63" i="7"/>
  <c r="F53" i="27"/>
  <c r="G54" i="27"/>
  <c r="H54" i="27" s="1"/>
  <c r="J54" i="27" s="1"/>
  <c r="L54" i="27" s="1"/>
  <c r="AP72" i="7" l="1"/>
  <c r="AQ72" i="7" s="1"/>
  <c r="AU72" i="7"/>
  <c r="AV72" i="7" s="1"/>
  <c r="AK72" i="7"/>
  <c r="AL72" i="7" s="1"/>
  <c r="AN71" i="7"/>
  <c r="AO71" i="7" s="1"/>
  <c r="AM72" i="7"/>
  <c r="AQ347" i="7"/>
  <c r="AN347" i="7"/>
  <c r="AL347" i="7"/>
  <c r="H58" i="13"/>
  <c r="L58" i="13" s="1"/>
  <c r="F57" i="13"/>
  <c r="G58" i="13"/>
  <c r="J59" i="13"/>
  <c r="I59" i="13"/>
  <c r="AP348" i="7"/>
  <c r="AU348" i="7"/>
  <c r="AV348" i="7" s="1"/>
  <c r="AK348" i="7"/>
  <c r="G59" i="28"/>
  <c r="H59" i="28" s="1"/>
  <c r="F58" i="28"/>
  <c r="M63" i="7"/>
  <c r="N63" i="7" s="1"/>
  <c r="G60" i="7"/>
  <c r="L62" i="7"/>
  <c r="J62" i="7"/>
  <c r="AH62" i="7" s="1"/>
  <c r="AP198" i="7" s="1"/>
  <c r="AG62" i="7"/>
  <c r="AK198" i="7" s="1"/>
  <c r="H61" i="7"/>
  <c r="I61" i="7"/>
  <c r="AI62" i="7"/>
  <c r="AU198" i="7" s="1"/>
  <c r="K62" i="7"/>
  <c r="G53" i="27"/>
  <c r="H53" i="27" s="1"/>
  <c r="J53" i="27" s="1"/>
  <c r="L53" i="27" s="1"/>
  <c r="F52" i="27"/>
  <c r="AU73" i="7" l="1"/>
  <c r="AV73" i="7" s="1"/>
  <c r="AP73" i="7"/>
  <c r="AQ73" i="7" s="1"/>
  <c r="AK73" i="7"/>
  <c r="AL73" i="7" s="1"/>
  <c r="AN72" i="7"/>
  <c r="AO72" i="7" s="1"/>
  <c r="AM73" i="7"/>
  <c r="AL348" i="7"/>
  <c r="AQ348" i="7"/>
  <c r="AN348" i="7"/>
  <c r="H57" i="13"/>
  <c r="L57" i="13" s="1"/>
  <c r="F56" i="13"/>
  <c r="G57" i="13"/>
  <c r="J58" i="13"/>
  <c r="I58" i="13"/>
  <c r="AK349" i="7"/>
  <c r="AO345" i="7"/>
  <c r="AU349" i="7"/>
  <c r="AV349" i="7" s="1"/>
  <c r="AP349" i="7"/>
  <c r="AO346" i="7"/>
  <c r="F57" i="28"/>
  <c r="G58" i="28"/>
  <c r="H58" i="28" s="1"/>
  <c r="AI61" i="7"/>
  <c r="AU199" i="7" s="1"/>
  <c r="AV199" i="7" s="1"/>
  <c r="K61" i="7"/>
  <c r="G59" i="7"/>
  <c r="H60" i="7"/>
  <c r="I60" i="7"/>
  <c r="L61" i="7"/>
  <c r="J61" i="7"/>
  <c r="AH61" i="7" s="1"/>
  <c r="AP199" i="7" s="1"/>
  <c r="AQ199" i="7" s="1"/>
  <c r="AG61" i="7"/>
  <c r="AK199" i="7" s="1"/>
  <c r="AL199" i="7" s="1"/>
  <c r="M62" i="7"/>
  <c r="N62" i="7" s="1"/>
  <c r="G52" i="27"/>
  <c r="H52" i="27" s="1"/>
  <c r="J52" i="27" s="1"/>
  <c r="L52" i="27" s="1"/>
  <c r="F51" i="27"/>
  <c r="AM199" i="7" l="1"/>
  <c r="AP74" i="7"/>
  <c r="AQ74" i="7" s="1"/>
  <c r="AK74" i="7"/>
  <c r="AL74" i="7" s="1"/>
  <c r="AU74" i="7"/>
  <c r="AV74" i="7" s="1"/>
  <c r="AL349" i="7"/>
  <c r="AN73" i="7"/>
  <c r="AO73" i="7" s="1"/>
  <c r="AM74" i="7"/>
  <c r="AQ349" i="7"/>
  <c r="AN349" i="7"/>
  <c r="H56" i="13"/>
  <c r="L56" i="13" s="1"/>
  <c r="F55" i="13"/>
  <c r="G56" i="13"/>
  <c r="J57" i="13"/>
  <c r="I57" i="13"/>
  <c r="AK350" i="7"/>
  <c r="AO347" i="7"/>
  <c r="AP350" i="7"/>
  <c r="AU350" i="7"/>
  <c r="AV350" i="7" s="1"/>
  <c r="F56" i="28"/>
  <c r="G57" i="28"/>
  <c r="H57" i="28" s="1"/>
  <c r="M61" i="7"/>
  <c r="N61" i="7" s="1"/>
  <c r="K60" i="7"/>
  <c r="AI60" i="7"/>
  <c r="AU200" i="7" s="1"/>
  <c r="AV200" i="7" s="1"/>
  <c r="H59" i="7"/>
  <c r="I59" i="7"/>
  <c r="J60" i="7"/>
  <c r="AH60" i="7" s="1"/>
  <c r="AP200" i="7" s="1"/>
  <c r="AQ200" i="7" s="1"/>
  <c r="L60" i="7"/>
  <c r="AG60" i="7"/>
  <c r="AK200" i="7" s="1"/>
  <c r="G58" i="7"/>
  <c r="G51" i="27"/>
  <c r="H51" i="27" s="1"/>
  <c r="J51" i="27" s="1"/>
  <c r="L51" i="27" s="1"/>
  <c r="F50" i="27"/>
  <c r="AL200" i="7" l="1"/>
  <c r="AM200" i="7"/>
  <c r="AN199" i="7"/>
  <c r="AO199" i="7" s="1"/>
  <c r="AL350" i="7"/>
  <c r="AP75" i="7"/>
  <c r="AQ75" i="7" s="1"/>
  <c r="AU75" i="7"/>
  <c r="AV75" i="7" s="1"/>
  <c r="AK75" i="7"/>
  <c r="AL75" i="7" s="1"/>
  <c r="AN74" i="7"/>
  <c r="AO74" i="7" s="1"/>
  <c r="AM75" i="7"/>
  <c r="AQ350" i="7"/>
  <c r="AN350" i="7"/>
  <c r="H55" i="13"/>
  <c r="L55" i="13" s="1"/>
  <c r="F54" i="13"/>
  <c r="G55" i="13"/>
  <c r="I56" i="13"/>
  <c r="J56" i="13"/>
  <c r="AP351" i="7"/>
  <c r="AK351" i="7"/>
  <c r="AU351" i="7"/>
  <c r="AV351" i="7" s="1"/>
  <c r="G56" i="28"/>
  <c r="H56" i="28" s="1"/>
  <c r="F55" i="28"/>
  <c r="G57" i="7"/>
  <c r="I58" i="7"/>
  <c r="H58" i="7"/>
  <c r="AG59" i="7"/>
  <c r="AK201" i="7" s="1"/>
  <c r="L59" i="7"/>
  <c r="J59" i="7"/>
  <c r="AH59" i="7" s="1"/>
  <c r="AP201" i="7" s="1"/>
  <c r="AQ201" i="7" s="1"/>
  <c r="M60" i="7"/>
  <c r="N60" i="7" s="1"/>
  <c r="K59" i="7"/>
  <c r="AI59" i="7"/>
  <c r="AU201" i="7" s="1"/>
  <c r="AV201" i="7" s="1"/>
  <c r="G50" i="27"/>
  <c r="H50" i="27" s="1"/>
  <c r="J50" i="27" s="1"/>
  <c r="L50" i="27" s="1"/>
  <c r="F49" i="27"/>
  <c r="AM201" i="7" l="1"/>
  <c r="AN200" i="7"/>
  <c r="AO200" i="7" s="1"/>
  <c r="AL201" i="7"/>
  <c r="AK76" i="7"/>
  <c r="AL76" i="7" s="1"/>
  <c r="AU76" i="7"/>
  <c r="AV76" i="7" s="1"/>
  <c r="AP76" i="7"/>
  <c r="AQ76" i="7" s="1"/>
  <c r="AN75" i="7"/>
  <c r="AO75" i="7" s="1"/>
  <c r="AM76" i="7"/>
  <c r="AQ351" i="7"/>
  <c r="AN351" i="7"/>
  <c r="H54" i="13"/>
  <c r="L54" i="13" s="1"/>
  <c r="F53" i="13"/>
  <c r="G54" i="13"/>
  <c r="J55" i="13"/>
  <c r="I55" i="13"/>
  <c r="AU352" i="7"/>
  <c r="AV352" i="7" s="1"/>
  <c r="AP352" i="7"/>
  <c r="AO349" i="7"/>
  <c r="AL351" i="7"/>
  <c r="AO348" i="7"/>
  <c r="AK352" i="7"/>
  <c r="F54" i="28"/>
  <c r="G55" i="28"/>
  <c r="H55" i="28" s="1"/>
  <c r="J58" i="7"/>
  <c r="AH58" i="7" s="1"/>
  <c r="AP202" i="7" s="1"/>
  <c r="AQ202" i="7" s="1"/>
  <c r="L58" i="7"/>
  <c r="AG58" i="7"/>
  <c r="AK202" i="7" s="1"/>
  <c r="G56" i="7"/>
  <c r="H57" i="7"/>
  <c r="I57" i="7"/>
  <c r="M59" i="7"/>
  <c r="N59" i="7" s="1"/>
  <c r="AI58" i="7"/>
  <c r="AU202" i="7" s="1"/>
  <c r="AV202" i="7" s="1"/>
  <c r="K58" i="7"/>
  <c r="G49" i="27"/>
  <c r="H49" i="27" s="1"/>
  <c r="J49" i="27" s="1"/>
  <c r="L49" i="27" s="1"/>
  <c r="F48" i="27"/>
  <c r="AL202" i="7" l="1"/>
  <c r="AM202" i="7"/>
  <c r="AN201" i="7"/>
  <c r="AO201" i="7" s="1"/>
  <c r="AU77" i="7"/>
  <c r="AV77" i="7" s="1"/>
  <c r="AK77" i="7"/>
  <c r="AL77" i="7" s="1"/>
  <c r="AP77" i="7"/>
  <c r="AQ77" i="7" s="1"/>
  <c r="AN76" i="7"/>
  <c r="AO76" i="7" s="1"/>
  <c r="AM77" i="7"/>
  <c r="AQ352" i="7"/>
  <c r="AN352" i="7"/>
  <c r="H53" i="13"/>
  <c r="L53" i="13" s="1"/>
  <c r="F52" i="13"/>
  <c r="G53" i="13"/>
  <c r="J54" i="13"/>
  <c r="I54" i="13"/>
  <c r="AU353" i="7"/>
  <c r="AV353" i="7" s="1"/>
  <c r="AK353" i="7"/>
  <c r="AP353" i="7"/>
  <c r="AL352" i="7"/>
  <c r="G54" i="28"/>
  <c r="H54" i="28" s="1"/>
  <c r="F53" i="28"/>
  <c r="L57" i="7"/>
  <c r="J57" i="7"/>
  <c r="AH57" i="7" s="1"/>
  <c r="AP203" i="7" s="1"/>
  <c r="AQ203" i="7" s="1"/>
  <c r="AG57" i="7"/>
  <c r="AK203" i="7" s="1"/>
  <c r="G55" i="7"/>
  <c r="M58" i="7"/>
  <c r="N58" i="7" s="1"/>
  <c r="AI57" i="7"/>
  <c r="AU203" i="7" s="1"/>
  <c r="AV203" i="7" s="1"/>
  <c r="K57" i="7"/>
  <c r="H56" i="7"/>
  <c r="I56" i="7"/>
  <c r="G48" i="27"/>
  <c r="H48" i="27" s="1"/>
  <c r="J48" i="27" s="1"/>
  <c r="L48" i="27" s="1"/>
  <c r="F47" i="27"/>
  <c r="AM203" i="7" l="1"/>
  <c r="AN202" i="7"/>
  <c r="AO202" i="7" s="1"/>
  <c r="AL203" i="7"/>
  <c r="AK78" i="7"/>
  <c r="AL78" i="7" s="1"/>
  <c r="AU78" i="7"/>
  <c r="AV78" i="7" s="1"/>
  <c r="AP78" i="7"/>
  <c r="AQ78" i="7" s="1"/>
  <c r="AN77" i="7"/>
  <c r="AO77" i="7" s="1"/>
  <c r="AM78" i="7"/>
  <c r="AN78" i="7" s="1"/>
  <c r="AQ353" i="7"/>
  <c r="AN353" i="7"/>
  <c r="H52" i="13"/>
  <c r="L52" i="13" s="1"/>
  <c r="G52" i="13"/>
  <c r="F51" i="13"/>
  <c r="I53" i="13"/>
  <c r="J53" i="13"/>
  <c r="AO351" i="7"/>
  <c r="AK354" i="7"/>
  <c r="AL353" i="7"/>
  <c r="AO350" i="7"/>
  <c r="AU354" i="7"/>
  <c r="AV354" i="7" s="1"/>
  <c r="AP354" i="7"/>
  <c r="G53" i="28"/>
  <c r="H53" i="28" s="1"/>
  <c r="F52" i="28"/>
  <c r="AG56" i="7"/>
  <c r="L56" i="7"/>
  <c r="J56" i="7"/>
  <c r="AH56" i="7" s="1"/>
  <c r="AP204" i="7" s="1"/>
  <c r="AQ204" i="7" s="1"/>
  <c r="AI56" i="7"/>
  <c r="AU204" i="7" s="1"/>
  <c r="AV204" i="7" s="1"/>
  <c r="K56" i="7"/>
  <c r="G54" i="7"/>
  <c r="M57" i="7"/>
  <c r="N57" i="7" s="1"/>
  <c r="H55" i="7"/>
  <c r="I55" i="7"/>
  <c r="G47" i="27"/>
  <c r="H47" i="27" s="1"/>
  <c r="J47" i="27" s="1"/>
  <c r="L47" i="27" s="1"/>
  <c r="F46" i="27"/>
  <c r="AM204" i="7" l="1"/>
  <c r="AN203" i="7"/>
  <c r="AO203" i="7" s="1"/>
  <c r="AK204" i="7"/>
  <c r="AO78" i="7"/>
  <c r="AP79" i="7"/>
  <c r="AQ79" i="7" s="1"/>
  <c r="AU79" i="7"/>
  <c r="AV79" i="7" s="1"/>
  <c r="AK355" i="7"/>
  <c r="AL355" i="7" s="1"/>
  <c r="AK79" i="7"/>
  <c r="AQ354" i="7"/>
  <c r="AN354" i="7"/>
  <c r="H51" i="13"/>
  <c r="L51" i="13" s="1"/>
  <c r="G51" i="13"/>
  <c r="F50" i="13"/>
  <c r="I52" i="13"/>
  <c r="J52" i="13"/>
  <c r="AL354" i="7"/>
  <c r="AU355" i="7"/>
  <c r="AV355" i="7" s="1"/>
  <c r="AP355" i="7"/>
  <c r="AO352" i="7"/>
  <c r="G52" i="28"/>
  <c r="H52" i="28" s="1"/>
  <c r="F51" i="28"/>
  <c r="AG55" i="7"/>
  <c r="L55" i="7"/>
  <c r="J55" i="7"/>
  <c r="AH55" i="7" s="1"/>
  <c r="AP205" i="7" s="1"/>
  <c r="AQ205" i="7" s="1"/>
  <c r="AI55" i="7"/>
  <c r="AU205" i="7" s="1"/>
  <c r="AV205" i="7" s="1"/>
  <c r="K55" i="7"/>
  <c r="H54" i="7"/>
  <c r="I54" i="7"/>
  <c r="M56" i="7"/>
  <c r="N56" i="7" s="1"/>
  <c r="G53" i="7"/>
  <c r="F45" i="27"/>
  <c r="G46" i="27"/>
  <c r="H46" i="27" s="1"/>
  <c r="J46" i="27" s="1"/>
  <c r="L46" i="27" s="1"/>
  <c r="AM205" i="7" l="1"/>
  <c r="AN204" i="7"/>
  <c r="AO204" i="7" s="1"/>
  <c r="AK205" i="7"/>
  <c r="AL204" i="7"/>
  <c r="AP80" i="7"/>
  <c r="AQ80" i="7" s="1"/>
  <c r="AU80" i="7"/>
  <c r="AV80" i="7" s="1"/>
  <c r="AK356" i="7"/>
  <c r="AL356" i="7" s="1"/>
  <c r="AK80" i="7"/>
  <c r="AL79" i="7"/>
  <c r="AM79" i="7" s="1"/>
  <c r="AM355" i="7"/>
  <c r="AM356" i="7" s="1"/>
  <c r="AM357" i="7" s="1"/>
  <c r="AM358" i="7" s="1"/>
  <c r="AM359" i="7" s="1"/>
  <c r="AM360" i="7" s="1"/>
  <c r="AM361" i="7" s="1"/>
  <c r="AM362" i="7" s="1"/>
  <c r="AM363" i="7" s="1"/>
  <c r="AM364" i="7" s="1"/>
  <c r="AM365" i="7" s="1"/>
  <c r="AM366" i="7" s="1"/>
  <c r="AQ355" i="7"/>
  <c r="H50" i="13"/>
  <c r="L50" i="13" s="1"/>
  <c r="G50" i="13"/>
  <c r="F49" i="13"/>
  <c r="I51" i="13"/>
  <c r="J51" i="13"/>
  <c r="AU356" i="7"/>
  <c r="AV356" i="7" s="1"/>
  <c r="AP356" i="7"/>
  <c r="AO354" i="7"/>
  <c r="AO353" i="7"/>
  <c r="F50" i="28"/>
  <c r="G51" i="28"/>
  <c r="H51" i="28" s="1"/>
  <c r="G52" i="7"/>
  <c r="AG54" i="7"/>
  <c r="L54" i="7"/>
  <c r="J54" i="7"/>
  <c r="AH54" i="7" s="1"/>
  <c r="AP206" i="7" s="1"/>
  <c r="AQ206" i="7" s="1"/>
  <c r="H53" i="7"/>
  <c r="I53" i="7"/>
  <c r="AI54" i="7"/>
  <c r="AU206" i="7" s="1"/>
  <c r="AV206" i="7" s="1"/>
  <c r="K54" i="7"/>
  <c r="M55" i="7"/>
  <c r="N55" i="7" s="1"/>
  <c r="G45" i="27"/>
  <c r="H45" i="27" s="1"/>
  <c r="J45" i="27" s="1"/>
  <c r="L45" i="27" s="1"/>
  <c r="F44" i="27"/>
  <c r="AL205" i="7" l="1"/>
  <c r="AM206" i="7"/>
  <c r="AN205" i="7"/>
  <c r="AO205" i="7" s="1"/>
  <c r="AK206" i="7"/>
  <c r="AP81" i="7"/>
  <c r="AQ81" i="7" s="1"/>
  <c r="AU81" i="7"/>
  <c r="AV81" i="7" s="1"/>
  <c r="AN79" i="7"/>
  <c r="AO79" i="7" s="1"/>
  <c r="AM80" i="7"/>
  <c r="AK357" i="7"/>
  <c r="AL357" i="7" s="1"/>
  <c r="AK81" i="7"/>
  <c r="AL80" i="7"/>
  <c r="AN356" i="7"/>
  <c r="AN355" i="7"/>
  <c r="AQ356" i="7"/>
  <c r="AN357" i="7"/>
  <c r="H49" i="13"/>
  <c r="L49" i="13" s="1"/>
  <c r="G49" i="13"/>
  <c r="F48" i="13"/>
  <c r="J50" i="13"/>
  <c r="I50" i="13"/>
  <c r="AU357" i="7"/>
  <c r="AV357" i="7" s="1"/>
  <c r="AP357" i="7"/>
  <c r="F49" i="28"/>
  <c r="G50" i="28"/>
  <c r="H50" i="28" s="1"/>
  <c r="J53" i="7"/>
  <c r="AH53" i="7" s="1"/>
  <c r="AP207" i="7" s="1"/>
  <c r="AQ207" i="7" s="1"/>
  <c r="L53" i="7"/>
  <c r="AG53" i="7"/>
  <c r="H52" i="7"/>
  <c r="I52" i="7"/>
  <c r="AI53" i="7"/>
  <c r="AU207" i="7" s="1"/>
  <c r="AV207" i="7" s="1"/>
  <c r="K53" i="7"/>
  <c r="M54" i="7"/>
  <c r="N54" i="7" s="1"/>
  <c r="G51" i="7"/>
  <c r="G44" i="27"/>
  <c r="H44" i="27" s="1"/>
  <c r="J44" i="27" s="1"/>
  <c r="L44" i="27" s="1"/>
  <c r="F43" i="27"/>
  <c r="AM207" i="7" l="1"/>
  <c r="AN206" i="7"/>
  <c r="AL206" i="7"/>
  <c r="AK207" i="7"/>
  <c r="AO206" i="7"/>
  <c r="AU82" i="7"/>
  <c r="AV82" i="7" s="1"/>
  <c r="AP82" i="7"/>
  <c r="AQ82" i="7" s="1"/>
  <c r="AM81" i="7"/>
  <c r="AN80" i="7"/>
  <c r="AO80" i="7" s="1"/>
  <c r="AK358" i="7"/>
  <c r="AL358" i="7" s="1"/>
  <c r="AK82" i="7"/>
  <c r="AL81" i="7"/>
  <c r="AQ357" i="7"/>
  <c r="AN358" i="7"/>
  <c r="H48" i="13"/>
  <c r="L48" i="13" s="1"/>
  <c r="G48" i="13"/>
  <c r="F47" i="13"/>
  <c r="I49" i="13"/>
  <c r="J49" i="13"/>
  <c r="AP358" i="7"/>
  <c r="AO355" i="7"/>
  <c r="AU358" i="7"/>
  <c r="AV358" i="7" s="1"/>
  <c r="AO356" i="7"/>
  <c r="G49" i="28"/>
  <c r="H49" i="28" s="1"/>
  <c r="F48" i="28"/>
  <c r="G50" i="7"/>
  <c r="M53" i="7"/>
  <c r="N53" i="7" s="1"/>
  <c r="H51" i="7"/>
  <c r="I51" i="7"/>
  <c r="J52" i="7"/>
  <c r="AH52" i="7" s="1"/>
  <c r="AP208" i="7" s="1"/>
  <c r="AQ208" i="7" s="1"/>
  <c r="L52" i="7"/>
  <c r="AG52" i="7"/>
  <c r="AI52" i="7"/>
  <c r="AU208" i="7" s="1"/>
  <c r="AV208" i="7" s="1"/>
  <c r="K52" i="7"/>
  <c r="F42" i="27"/>
  <c r="G43" i="27"/>
  <c r="H43" i="27" s="1"/>
  <c r="J43" i="27" s="1"/>
  <c r="L43" i="27" s="1"/>
  <c r="AL207" i="7" l="1"/>
  <c r="AK208" i="7"/>
  <c r="AM208" i="7"/>
  <c r="AN207" i="7"/>
  <c r="AO207" i="7" s="1"/>
  <c r="AP83" i="7"/>
  <c r="AQ83" i="7" s="1"/>
  <c r="AU83" i="7"/>
  <c r="AV83" i="7" s="1"/>
  <c r="AN81" i="7"/>
  <c r="AO81" i="7" s="1"/>
  <c r="AM82" i="7"/>
  <c r="AK359" i="7"/>
  <c r="AL359" i="7" s="1"/>
  <c r="AK83" i="7"/>
  <c r="AL82" i="7"/>
  <c r="AQ358" i="7"/>
  <c r="AN359" i="7"/>
  <c r="H47" i="13"/>
  <c r="L47" i="13" s="1"/>
  <c r="F46" i="13"/>
  <c r="G47" i="13"/>
  <c r="I48" i="13"/>
  <c r="J48" i="13"/>
  <c r="AU359" i="7"/>
  <c r="AV359" i="7" s="1"/>
  <c r="AO357" i="7"/>
  <c r="AP359" i="7"/>
  <c r="F47" i="28"/>
  <c r="G48" i="28"/>
  <c r="H48" i="28" s="1"/>
  <c r="M52" i="7"/>
  <c r="N52" i="7" s="1"/>
  <c r="L51" i="7"/>
  <c r="J51" i="7"/>
  <c r="AH51" i="7" s="1"/>
  <c r="AP209" i="7" s="1"/>
  <c r="AQ209" i="7" s="1"/>
  <c r="AG51" i="7"/>
  <c r="G49" i="7"/>
  <c r="AI51" i="7"/>
  <c r="AU209" i="7" s="1"/>
  <c r="AV209" i="7" s="1"/>
  <c r="K51" i="7"/>
  <c r="H50" i="7"/>
  <c r="I50" i="7"/>
  <c r="G42" i="27"/>
  <c r="H42" i="27" s="1"/>
  <c r="J42" i="27" s="1"/>
  <c r="L42" i="27" s="1"/>
  <c r="F41" i="27"/>
  <c r="AM209" i="7" l="1"/>
  <c r="AN208" i="7"/>
  <c r="AO208" i="7" s="1"/>
  <c r="AL208" i="7"/>
  <c r="AK209" i="7"/>
  <c r="AU84" i="7"/>
  <c r="AV84" i="7" s="1"/>
  <c r="AP84" i="7"/>
  <c r="AQ84" i="7" s="1"/>
  <c r="AM83" i="7"/>
  <c r="AN82" i="7"/>
  <c r="AO82" i="7" s="1"/>
  <c r="AK360" i="7"/>
  <c r="AL360" i="7" s="1"/>
  <c r="AK84" i="7"/>
  <c r="AL83" i="7"/>
  <c r="AQ359" i="7"/>
  <c r="AN360" i="7"/>
  <c r="H46" i="13"/>
  <c r="L46" i="13" s="1"/>
  <c r="G46" i="13"/>
  <c r="F45" i="13"/>
  <c r="I47" i="13"/>
  <c r="J47" i="13"/>
  <c r="AU360" i="7"/>
  <c r="AV360" i="7" s="1"/>
  <c r="AP360" i="7"/>
  <c r="F46" i="28"/>
  <c r="G47" i="28"/>
  <c r="H47" i="28" s="1"/>
  <c r="G48" i="7"/>
  <c r="M51" i="7"/>
  <c r="N51" i="7" s="1"/>
  <c r="I49" i="7"/>
  <c r="H49" i="7"/>
  <c r="L50" i="7"/>
  <c r="J50" i="7"/>
  <c r="AH50" i="7" s="1"/>
  <c r="AP210" i="7" s="1"/>
  <c r="AQ210" i="7" s="1"/>
  <c r="AG50" i="7"/>
  <c r="AK210" i="7" s="1"/>
  <c r="AI50" i="7"/>
  <c r="AU210" i="7" s="1"/>
  <c r="AV210" i="7" s="1"/>
  <c r="K50" i="7"/>
  <c r="G41" i="27"/>
  <c r="H41" i="27" s="1"/>
  <c r="J41" i="27" s="1"/>
  <c r="L41" i="27" s="1"/>
  <c r="F40" i="27"/>
  <c r="AL209" i="7" l="1"/>
  <c r="AL210" i="7" s="1"/>
  <c r="AM210" i="7"/>
  <c r="AN210" i="7" s="1"/>
  <c r="AO210" i="7" s="1"/>
  <c r="AN209" i="7"/>
  <c r="AO209" i="7" s="1"/>
  <c r="AL84" i="7"/>
  <c r="AU85" i="7"/>
  <c r="AV85" i="7" s="1"/>
  <c r="AK85" i="7"/>
  <c r="AP85" i="7"/>
  <c r="AQ85" i="7" s="1"/>
  <c r="AN83" i="7"/>
  <c r="AO83" i="7" s="1"/>
  <c r="AM84" i="7"/>
  <c r="AQ360" i="7"/>
  <c r="AN361" i="7"/>
  <c r="H45" i="13"/>
  <c r="L45" i="13" s="1"/>
  <c r="G45" i="13"/>
  <c r="F44" i="13"/>
  <c r="J46" i="13"/>
  <c r="I46" i="13"/>
  <c r="AK361" i="7"/>
  <c r="AL361" i="7" s="1"/>
  <c r="AP361" i="7"/>
  <c r="AU361" i="7"/>
  <c r="AV361" i="7" s="1"/>
  <c r="AO358" i="7"/>
  <c r="F45" i="28"/>
  <c r="G46" i="28"/>
  <c r="H46" i="28" s="1"/>
  <c r="M50" i="7"/>
  <c r="N50" i="7" s="1"/>
  <c r="AI49" i="7"/>
  <c r="AU211" i="7" s="1"/>
  <c r="AV211" i="7" s="1"/>
  <c r="K49" i="7"/>
  <c r="G47" i="7"/>
  <c r="AG49" i="7"/>
  <c r="AK211" i="7" s="1"/>
  <c r="AL211" i="7" s="1"/>
  <c r="L49" i="7"/>
  <c r="J49" i="7"/>
  <c r="AH49" i="7" s="1"/>
  <c r="AP211" i="7" s="1"/>
  <c r="AQ211" i="7" s="1"/>
  <c r="H48" i="7"/>
  <c r="I48" i="7"/>
  <c r="F39" i="27"/>
  <c r="G40" i="27"/>
  <c r="H40" i="27" s="1"/>
  <c r="J40" i="27" s="1"/>
  <c r="L40" i="27" s="1"/>
  <c r="AM211" i="7" l="1"/>
  <c r="AL85" i="7"/>
  <c r="AU86" i="7"/>
  <c r="AV86" i="7" s="1"/>
  <c r="AP86" i="7"/>
  <c r="AQ86" i="7" s="1"/>
  <c r="AK86" i="7"/>
  <c r="AM85" i="7"/>
  <c r="AN84" i="7"/>
  <c r="AO84" i="7" s="1"/>
  <c r="AQ361" i="7"/>
  <c r="AN362" i="7"/>
  <c r="H44" i="13"/>
  <c r="L44" i="13" s="1"/>
  <c r="G44" i="13"/>
  <c r="F43" i="13"/>
  <c r="I45" i="13"/>
  <c r="J45" i="13"/>
  <c r="AU362" i="7"/>
  <c r="AV362" i="7" s="1"/>
  <c r="AK362" i="7"/>
  <c r="AP362" i="7"/>
  <c r="AO359" i="7"/>
  <c r="G45" i="28"/>
  <c r="H45" i="28" s="1"/>
  <c r="F44" i="28"/>
  <c r="M49" i="7"/>
  <c r="N49" i="7" s="1"/>
  <c r="G46" i="7"/>
  <c r="L48" i="7"/>
  <c r="J48" i="7"/>
  <c r="AH48" i="7" s="1"/>
  <c r="AP212" i="7" s="1"/>
  <c r="AQ212" i="7" s="1"/>
  <c r="AG48" i="7"/>
  <c r="AK212" i="7" s="1"/>
  <c r="AL212" i="7" s="1"/>
  <c r="AI48" i="7"/>
  <c r="AU212" i="7" s="1"/>
  <c r="AV212" i="7" s="1"/>
  <c r="K48" i="7"/>
  <c r="H47" i="7"/>
  <c r="I47" i="7"/>
  <c r="G39" i="27"/>
  <c r="H39" i="27" s="1"/>
  <c r="J39" i="27" s="1"/>
  <c r="L39" i="27" s="1"/>
  <c r="F38" i="27"/>
  <c r="AM212" i="7" l="1"/>
  <c r="AN211" i="7"/>
  <c r="AO211" i="7" s="1"/>
  <c r="AL86" i="7"/>
  <c r="AP87" i="7"/>
  <c r="AQ87" i="7" s="1"/>
  <c r="AU87" i="7"/>
  <c r="AV87" i="7" s="1"/>
  <c r="AK87" i="7"/>
  <c r="AM86" i="7"/>
  <c r="AN85" i="7"/>
  <c r="AO85" i="7" s="1"/>
  <c r="AQ362" i="7"/>
  <c r="AN363" i="7"/>
  <c r="H43" i="13"/>
  <c r="L43" i="13" s="1"/>
  <c r="F42" i="13"/>
  <c r="G43" i="13"/>
  <c r="J44" i="13"/>
  <c r="I44" i="13"/>
  <c r="AL362" i="7"/>
  <c r="AP129" i="7"/>
  <c r="AP363" i="7"/>
  <c r="AU129" i="7"/>
  <c r="AU363" i="7"/>
  <c r="AV363" i="7" s="1"/>
  <c r="AK129" i="7"/>
  <c r="AK363" i="7"/>
  <c r="AO360" i="7"/>
  <c r="G44" i="28"/>
  <c r="H44" i="28" s="1"/>
  <c r="F43" i="28"/>
  <c r="AI47" i="7"/>
  <c r="AU213" i="7" s="1"/>
  <c r="AV213" i="7" s="1"/>
  <c r="K47" i="7"/>
  <c r="G45" i="7"/>
  <c r="M48" i="7"/>
  <c r="N48" i="7" s="1"/>
  <c r="AG47" i="7"/>
  <c r="AK213" i="7" s="1"/>
  <c r="AL213" i="7" s="1"/>
  <c r="J47" i="7"/>
  <c r="AH47" i="7" s="1"/>
  <c r="AP213" i="7" s="1"/>
  <c r="AQ213" i="7" s="1"/>
  <c r="L47" i="7"/>
  <c r="I46" i="7"/>
  <c r="H46" i="7"/>
  <c r="G38" i="27"/>
  <c r="H38" i="27" s="1"/>
  <c r="J38" i="27" s="1"/>
  <c r="L38" i="27" s="1"/>
  <c r="F37" i="27"/>
  <c r="AM213" i="7" l="1"/>
  <c r="AN212" i="7"/>
  <c r="AO212" i="7" s="1"/>
  <c r="AL87" i="7"/>
  <c r="AP88" i="7"/>
  <c r="AQ88" i="7" s="1"/>
  <c r="AK88" i="7"/>
  <c r="AU88" i="7"/>
  <c r="AV88" i="7" s="1"/>
  <c r="AN86" i="7"/>
  <c r="AO86" i="7" s="1"/>
  <c r="AM87" i="7"/>
  <c r="AQ363" i="7"/>
  <c r="AN364" i="7"/>
  <c r="H42" i="13"/>
  <c r="L42" i="13" s="1"/>
  <c r="G42" i="13"/>
  <c r="F41" i="13"/>
  <c r="J43" i="13"/>
  <c r="I43" i="13"/>
  <c r="AO361" i="7"/>
  <c r="AU130" i="7"/>
  <c r="AU364" i="7"/>
  <c r="AV364" i="7" s="1"/>
  <c r="AP130" i="7"/>
  <c r="AP364" i="7"/>
  <c r="AK130" i="7"/>
  <c r="AK364" i="7"/>
  <c r="AL363" i="7"/>
  <c r="F42" i="28"/>
  <c r="G43" i="28"/>
  <c r="H43" i="28" s="1"/>
  <c r="AI46" i="7"/>
  <c r="AU214" i="7" s="1"/>
  <c r="AV214" i="7" s="1"/>
  <c r="K46" i="7"/>
  <c r="L46" i="7"/>
  <c r="J46" i="7"/>
  <c r="AH46" i="7" s="1"/>
  <c r="AP214" i="7" s="1"/>
  <c r="AQ214" i="7" s="1"/>
  <c r="AG46" i="7"/>
  <c r="AK214" i="7" s="1"/>
  <c r="H45" i="7"/>
  <c r="I45" i="7"/>
  <c r="M47" i="7"/>
  <c r="N47" i="7" s="1"/>
  <c r="G44" i="7"/>
  <c r="G37" i="27"/>
  <c r="H37" i="27" s="1"/>
  <c r="J37" i="27" s="1"/>
  <c r="L37" i="27" s="1"/>
  <c r="F36" i="27"/>
  <c r="AM214" i="7" l="1"/>
  <c r="AN213" i="7"/>
  <c r="AO213" i="7" s="1"/>
  <c r="AL214" i="7"/>
  <c r="AL88" i="7"/>
  <c r="AK89" i="7"/>
  <c r="AU89" i="7"/>
  <c r="AV89" i="7" s="1"/>
  <c r="AP89" i="7"/>
  <c r="AQ89" i="7" s="1"/>
  <c r="AM88" i="7"/>
  <c r="AN87" i="7"/>
  <c r="AO87" i="7" s="1"/>
  <c r="AQ364" i="7"/>
  <c r="AN365" i="7"/>
  <c r="H41" i="13"/>
  <c r="L41" i="13" s="1"/>
  <c r="G41" i="13"/>
  <c r="F40" i="13"/>
  <c r="I42" i="13"/>
  <c r="J42" i="13"/>
  <c r="AK131" i="7"/>
  <c r="AK365" i="7"/>
  <c r="AU131" i="7"/>
  <c r="AU365" i="7"/>
  <c r="AV365" i="7" s="1"/>
  <c r="AO363" i="7"/>
  <c r="AP131" i="7"/>
  <c r="AP365" i="7"/>
  <c r="AO362" i="7"/>
  <c r="AL364" i="7"/>
  <c r="G42" i="28"/>
  <c r="H42" i="28" s="1"/>
  <c r="F41" i="28"/>
  <c r="H44" i="7"/>
  <c r="I44" i="7"/>
  <c r="J45" i="7"/>
  <c r="AH45" i="7" s="1"/>
  <c r="AP215" i="7" s="1"/>
  <c r="AQ215" i="7" s="1"/>
  <c r="L45" i="7"/>
  <c r="AG45" i="7"/>
  <c r="AK215" i="7" s="1"/>
  <c r="M46" i="7"/>
  <c r="N46" i="7" s="1"/>
  <c r="G43" i="7"/>
  <c r="K45" i="7"/>
  <c r="AI45" i="7"/>
  <c r="AU215" i="7" s="1"/>
  <c r="AV215" i="7" s="1"/>
  <c r="G36" i="27"/>
  <c r="H36" i="27" s="1"/>
  <c r="J36" i="27" s="1"/>
  <c r="L36" i="27" s="1"/>
  <c r="F35" i="27"/>
  <c r="AL215" i="7" l="1"/>
  <c r="AM215" i="7"/>
  <c r="AN214" i="7"/>
  <c r="AO214" i="7" s="1"/>
  <c r="AL89" i="7"/>
  <c r="AP90" i="7"/>
  <c r="AQ90" i="7" s="1"/>
  <c r="AK90" i="7"/>
  <c r="AU90" i="7"/>
  <c r="AV90" i="7" s="1"/>
  <c r="AN88" i="7"/>
  <c r="AO88" i="7" s="1"/>
  <c r="AM89" i="7"/>
  <c r="AQ365" i="7"/>
  <c r="AN366" i="7"/>
  <c r="H40" i="13"/>
  <c r="L40" i="13" s="1"/>
  <c r="G40" i="13"/>
  <c r="F39" i="13"/>
  <c r="J41" i="13"/>
  <c r="I41" i="13"/>
  <c r="AL365" i="7"/>
  <c r="AO364" i="7"/>
  <c r="AK132" i="7"/>
  <c r="AK366" i="7"/>
  <c r="AU132" i="7"/>
  <c r="AU366" i="7"/>
  <c r="AV366" i="7" s="1"/>
  <c r="AP132" i="7"/>
  <c r="AP366" i="7"/>
  <c r="G41" i="28"/>
  <c r="H41" i="28" s="1"/>
  <c r="F40" i="28"/>
  <c r="H43" i="7"/>
  <c r="I43" i="7"/>
  <c r="G42" i="7"/>
  <c r="L44" i="7"/>
  <c r="J44" i="7"/>
  <c r="AH44" i="7" s="1"/>
  <c r="AP216" i="7" s="1"/>
  <c r="AQ216" i="7" s="1"/>
  <c r="AG44" i="7"/>
  <c r="AK216" i="7" s="1"/>
  <c r="AI44" i="7"/>
  <c r="AU216" i="7" s="1"/>
  <c r="AV216" i="7" s="1"/>
  <c r="K44" i="7"/>
  <c r="M45" i="7"/>
  <c r="N45" i="7" s="1"/>
  <c r="F34" i="27"/>
  <c r="G35" i="27"/>
  <c r="H35" i="27" s="1"/>
  <c r="J35" i="27" s="1"/>
  <c r="L35" i="27" s="1"/>
  <c r="AM216" i="7" l="1"/>
  <c r="AN215" i="7"/>
  <c r="AO215" i="7" s="1"/>
  <c r="AL216" i="7"/>
  <c r="AL90" i="7"/>
  <c r="AK91" i="7"/>
  <c r="AL91" i="7" s="1"/>
  <c r="AM91" i="7" s="1"/>
  <c r="AU91" i="7"/>
  <c r="AV91" i="7" s="1"/>
  <c r="AP91" i="7"/>
  <c r="AQ91" i="7" s="1"/>
  <c r="AN89" i="7"/>
  <c r="AO89" i="7" s="1"/>
  <c r="AM90" i="7"/>
  <c r="AN90" i="7" s="1"/>
  <c r="AO90" i="7" s="1"/>
  <c r="AQ366" i="7"/>
  <c r="H39" i="13"/>
  <c r="L39" i="13" s="1"/>
  <c r="F38" i="13"/>
  <c r="G39" i="13"/>
  <c r="I40" i="13"/>
  <c r="J40" i="13"/>
  <c r="AL366" i="7"/>
  <c r="AO366" i="7"/>
  <c r="AO365" i="7"/>
  <c r="AK133" i="7"/>
  <c r="AK367" i="7"/>
  <c r="AU133" i="7"/>
  <c r="AU367" i="7"/>
  <c r="AV367" i="7" s="1"/>
  <c r="AP133" i="7"/>
  <c r="AP367" i="7"/>
  <c r="F39" i="28"/>
  <c r="G40" i="28"/>
  <c r="H40" i="28" s="1"/>
  <c r="G41" i="7"/>
  <c r="L43" i="7"/>
  <c r="J43" i="7"/>
  <c r="AH43" i="7" s="1"/>
  <c r="AP217" i="7" s="1"/>
  <c r="AQ217" i="7" s="1"/>
  <c r="AG43" i="7"/>
  <c r="AK217" i="7" s="1"/>
  <c r="M44" i="7"/>
  <c r="N44" i="7" s="1"/>
  <c r="AI43" i="7"/>
  <c r="AU217" i="7" s="1"/>
  <c r="AV217" i="7" s="1"/>
  <c r="K43" i="7"/>
  <c r="H42" i="7"/>
  <c r="I42" i="7"/>
  <c r="G34" i="27"/>
  <c r="H34" i="27" s="1"/>
  <c r="J34" i="27" s="1"/>
  <c r="L34" i="27" s="1"/>
  <c r="F33" i="27"/>
  <c r="AL217" i="7" l="1"/>
  <c r="AM217" i="7"/>
  <c r="AN216" i="7"/>
  <c r="AO216" i="7" s="1"/>
  <c r="AU92" i="7"/>
  <c r="AV92" i="7" s="1"/>
  <c r="AP92" i="7"/>
  <c r="AQ92" i="7" s="1"/>
  <c r="AK92" i="7"/>
  <c r="AL92" i="7" s="1"/>
  <c r="AM92" i="7"/>
  <c r="AN91" i="7"/>
  <c r="AO91" i="7" s="1"/>
  <c r="AQ367" i="7"/>
  <c r="H38" i="13"/>
  <c r="L38" i="13" s="1"/>
  <c r="G38" i="13"/>
  <c r="F37" i="13"/>
  <c r="J39" i="13"/>
  <c r="I39" i="13"/>
  <c r="AP134" i="7"/>
  <c r="AP368" i="7"/>
  <c r="AU134" i="7"/>
  <c r="AU368" i="7"/>
  <c r="AV368" i="7" s="1"/>
  <c r="AK134" i="7"/>
  <c r="AK368" i="7"/>
  <c r="AL367" i="7"/>
  <c r="G39" i="28"/>
  <c r="H39" i="28" s="1"/>
  <c r="F38" i="28"/>
  <c r="H41" i="7"/>
  <c r="I41" i="7"/>
  <c r="L42" i="7"/>
  <c r="J42" i="7"/>
  <c r="AH42" i="7" s="1"/>
  <c r="AP218" i="7" s="1"/>
  <c r="AQ218" i="7" s="1"/>
  <c r="AG42" i="7"/>
  <c r="AK218" i="7" s="1"/>
  <c r="G40" i="7"/>
  <c r="AI42" i="7"/>
  <c r="AU218" i="7" s="1"/>
  <c r="AV218" i="7" s="1"/>
  <c r="K42" i="7"/>
  <c r="M43" i="7"/>
  <c r="N43" i="7" s="1"/>
  <c r="F32" i="27"/>
  <c r="G33" i="27"/>
  <c r="H33" i="27" s="1"/>
  <c r="J33" i="27" s="1"/>
  <c r="L33" i="27" s="1"/>
  <c r="AM218" i="7" l="1"/>
  <c r="AN217" i="7"/>
  <c r="AO217" i="7" s="1"/>
  <c r="AL218" i="7"/>
  <c r="AK93" i="7"/>
  <c r="AL93" i="7" s="1"/>
  <c r="AP93" i="7"/>
  <c r="AQ93" i="7" s="1"/>
  <c r="AU93" i="7"/>
  <c r="AV93" i="7" s="1"/>
  <c r="AN92" i="7"/>
  <c r="AO92" i="7" s="1"/>
  <c r="AM93" i="7"/>
  <c r="AM367" i="7"/>
  <c r="AM368" i="7" s="1"/>
  <c r="AM369" i="7" s="1"/>
  <c r="AM370" i="7" s="1"/>
  <c r="AM371" i="7" s="1"/>
  <c r="AM372" i="7" s="1"/>
  <c r="AM373" i="7" s="1"/>
  <c r="AM374" i="7" s="1"/>
  <c r="AM375" i="7" s="1"/>
  <c r="AM376" i="7" s="1"/>
  <c r="AM377" i="7" s="1"/>
  <c r="AM378" i="7" s="1"/>
  <c r="AQ368" i="7"/>
  <c r="H37" i="13"/>
  <c r="L37" i="13" s="1"/>
  <c r="F36" i="13"/>
  <c r="G37" i="13"/>
  <c r="J38" i="13"/>
  <c r="I38" i="13"/>
  <c r="AK135" i="7"/>
  <c r="AK369" i="7"/>
  <c r="AP135" i="7"/>
  <c r="AP369" i="7"/>
  <c r="AU135" i="7"/>
  <c r="AU369" i="7"/>
  <c r="AV369" i="7" s="1"/>
  <c r="AL368" i="7"/>
  <c r="G38" i="28"/>
  <c r="H38" i="28" s="1"/>
  <c r="F37" i="28"/>
  <c r="G39" i="7"/>
  <c r="M42" i="7"/>
  <c r="N42" i="7" s="1"/>
  <c r="L41" i="7"/>
  <c r="J41" i="7"/>
  <c r="AH41" i="7" s="1"/>
  <c r="AP219" i="7" s="1"/>
  <c r="AQ219" i="7" s="1"/>
  <c r="AG41" i="7"/>
  <c r="AK219" i="7" s="1"/>
  <c r="AI41" i="7"/>
  <c r="AU219" i="7" s="1"/>
  <c r="AV219" i="7" s="1"/>
  <c r="K41" i="7"/>
  <c r="H40" i="7"/>
  <c r="I40" i="7"/>
  <c r="G32" i="27"/>
  <c r="H32" i="27" s="1"/>
  <c r="J32" i="27" s="1"/>
  <c r="L32" i="27" s="1"/>
  <c r="F31" i="27"/>
  <c r="AL219" i="7" l="1"/>
  <c r="AM219" i="7"/>
  <c r="AN218" i="7"/>
  <c r="AO218" i="7" s="1"/>
  <c r="AU94" i="7"/>
  <c r="AV94" i="7" s="1"/>
  <c r="AP94" i="7"/>
  <c r="AQ94" i="7" s="1"/>
  <c r="AK94" i="7"/>
  <c r="AL94" i="7" s="1"/>
  <c r="AM94" i="7"/>
  <c r="AN93" i="7"/>
  <c r="AO93" i="7" s="1"/>
  <c r="AN368" i="7"/>
  <c r="AN367" i="7"/>
  <c r="AQ369" i="7"/>
  <c r="AN369" i="7"/>
  <c r="H36" i="13"/>
  <c r="L36" i="13" s="1"/>
  <c r="F35" i="13"/>
  <c r="G36" i="13"/>
  <c r="J37" i="13"/>
  <c r="I37" i="13"/>
  <c r="AL369" i="7"/>
  <c r="AU136" i="7"/>
  <c r="AU370" i="7"/>
  <c r="AV370" i="7" s="1"/>
  <c r="AK136" i="7"/>
  <c r="AK370" i="7"/>
  <c r="AP136" i="7"/>
  <c r="AP370" i="7"/>
  <c r="F36" i="28"/>
  <c r="G37" i="28"/>
  <c r="H37" i="28" s="1"/>
  <c r="M41" i="7"/>
  <c r="N41" i="7" s="1"/>
  <c r="G38" i="7"/>
  <c r="L40" i="7"/>
  <c r="J40" i="7"/>
  <c r="AH40" i="7" s="1"/>
  <c r="AP220" i="7" s="1"/>
  <c r="AQ220" i="7" s="1"/>
  <c r="AG40" i="7"/>
  <c r="AK220" i="7" s="1"/>
  <c r="AI40" i="7"/>
  <c r="AU220" i="7" s="1"/>
  <c r="AV220" i="7" s="1"/>
  <c r="K40" i="7"/>
  <c r="H39" i="7"/>
  <c r="I39" i="7"/>
  <c r="G31" i="27"/>
  <c r="H31" i="27" s="1"/>
  <c r="J31" i="27" s="1"/>
  <c r="L31" i="27" s="1"/>
  <c r="F30" i="27"/>
  <c r="AM220" i="7" l="1"/>
  <c r="AN219" i="7"/>
  <c r="AO219" i="7" s="1"/>
  <c r="AL220" i="7"/>
  <c r="AU95" i="7"/>
  <c r="AV95" i="7" s="1"/>
  <c r="AP95" i="7"/>
  <c r="AQ95" i="7" s="1"/>
  <c r="AK95" i="7"/>
  <c r="AL95" i="7" s="1"/>
  <c r="AM95" i="7"/>
  <c r="AN94" i="7"/>
  <c r="AO94" i="7" s="1"/>
  <c r="AQ370" i="7"/>
  <c r="AN370" i="7"/>
  <c r="AL370" i="7"/>
  <c r="H35" i="13"/>
  <c r="L35" i="13" s="1"/>
  <c r="G35" i="13"/>
  <c r="F34" i="13"/>
  <c r="I36" i="13"/>
  <c r="J36" i="13"/>
  <c r="AU137" i="7"/>
  <c r="AU371" i="7"/>
  <c r="AV371" i="7" s="1"/>
  <c r="AP137" i="7"/>
  <c r="AP371" i="7"/>
  <c r="AO367" i="7"/>
  <c r="AK137" i="7"/>
  <c r="AK371" i="7"/>
  <c r="AO368" i="7"/>
  <c r="F35" i="28"/>
  <c r="G36" i="28"/>
  <c r="H36" i="28" s="1"/>
  <c r="G37" i="7"/>
  <c r="H38" i="7"/>
  <c r="I38" i="7"/>
  <c r="L39" i="7"/>
  <c r="J39" i="7"/>
  <c r="AH39" i="7" s="1"/>
  <c r="AP221" i="7" s="1"/>
  <c r="AQ221" i="7" s="1"/>
  <c r="AG39" i="7"/>
  <c r="AK221" i="7" s="1"/>
  <c r="AI39" i="7"/>
  <c r="AU221" i="7" s="1"/>
  <c r="AV221" i="7" s="1"/>
  <c r="K39" i="7"/>
  <c r="M40" i="7"/>
  <c r="N40" i="7" s="1"/>
  <c r="G30" i="27"/>
  <c r="H30" i="27" s="1"/>
  <c r="J30" i="27" s="1"/>
  <c r="L30" i="27" s="1"/>
  <c r="F29" i="27"/>
  <c r="AL221" i="7" l="1"/>
  <c r="AM221" i="7"/>
  <c r="AN220" i="7"/>
  <c r="AO220" i="7" s="1"/>
  <c r="AK96" i="7"/>
  <c r="AL96" i="7" s="1"/>
  <c r="AP96" i="7"/>
  <c r="AQ96" i="7" s="1"/>
  <c r="AU96" i="7"/>
  <c r="AV96" i="7" s="1"/>
  <c r="AN95" i="7"/>
  <c r="AO95" i="7" s="1"/>
  <c r="AM96" i="7"/>
  <c r="AQ371" i="7"/>
  <c r="AN371" i="7"/>
  <c r="H34" i="13"/>
  <c r="L34" i="13" s="1"/>
  <c r="F33" i="13"/>
  <c r="G34" i="13"/>
  <c r="J35" i="13"/>
  <c r="I35" i="13"/>
  <c r="AK138" i="7"/>
  <c r="AK372" i="7"/>
  <c r="AP138" i="7"/>
  <c r="AP372" i="7"/>
  <c r="AL371" i="7"/>
  <c r="AU138" i="7"/>
  <c r="AU372" i="7"/>
  <c r="AV372" i="7" s="1"/>
  <c r="F34" i="28"/>
  <c r="G35" i="28"/>
  <c r="H35" i="28" s="1"/>
  <c r="M39" i="7"/>
  <c r="N39" i="7" s="1"/>
  <c r="L38" i="7"/>
  <c r="J38" i="7"/>
  <c r="AH38" i="7" s="1"/>
  <c r="AP222" i="7" s="1"/>
  <c r="AQ222" i="7" s="1"/>
  <c r="AG38" i="7"/>
  <c r="AK222" i="7" s="1"/>
  <c r="G36" i="7"/>
  <c r="AI38" i="7"/>
  <c r="AU222" i="7" s="1"/>
  <c r="AV222" i="7" s="1"/>
  <c r="K38" i="7"/>
  <c r="H37" i="7"/>
  <c r="I37" i="7"/>
  <c r="F28" i="27"/>
  <c r="G29" i="27"/>
  <c r="H29" i="27" s="1"/>
  <c r="J29" i="27" s="1"/>
  <c r="L29" i="27" s="1"/>
  <c r="AM222" i="7" l="1"/>
  <c r="AN222" i="7" s="1"/>
  <c r="AO222" i="7" s="1"/>
  <c r="AN221" i="7"/>
  <c r="AO221" i="7" s="1"/>
  <c r="AL222" i="7"/>
  <c r="AP97" i="7"/>
  <c r="AQ97" i="7" s="1"/>
  <c r="AU97" i="7"/>
  <c r="AV97" i="7" s="1"/>
  <c r="AK97" i="7"/>
  <c r="AL97" i="7" s="1"/>
  <c r="AN96" i="7"/>
  <c r="AO96" i="7" s="1"/>
  <c r="AM97" i="7"/>
  <c r="AQ372" i="7"/>
  <c r="AN372" i="7"/>
  <c r="H33" i="13"/>
  <c r="L33" i="13" s="1"/>
  <c r="F32" i="13"/>
  <c r="G33" i="13"/>
  <c r="J34" i="13"/>
  <c r="I34" i="13"/>
  <c r="AL372" i="7"/>
  <c r="AP139" i="7"/>
  <c r="AP373" i="7"/>
  <c r="AK139" i="7"/>
  <c r="AL139" i="7" s="1"/>
  <c r="AK373" i="7"/>
  <c r="AU139" i="7"/>
  <c r="AV139" i="7" s="1"/>
  <c r="AU373" i="7"/>
  <c r="AV373" i="7" s="1"/>
  <c r="AO369" i="7"/>
  <c r="F33" i="28"/>
  <c r="G34" i="28"/>
  <c r="H34" i="28" s="1"/>
  <c r="J37" i="7"/>
  <c r="AH37" i="7" s="1"/>
  <c r="AP223" i="7" s="1"/>
  <c r="AQ223" i="7" s="1"/>
  <c r="L37" i="7"/>
  <c r="AG37" i="7"/>
  <c r="AK223" i="7" s="1"/>
  <c r="AL223" i="7" s="1"/>
  <c r="AI37" i="7"/>
  <c r="AU223" i="7" s="1"/>
  <c r="AV223" i="7" s="1"/>
  <c r="K37" i="7"/>
  <c r="G35" i="7"/>
  <c r="M38" i="7"/>
  <c r="N38" i="7" s="1"/>
  <c r="H36" i="7"/>
  <c r="I36" i="7"/>
  <c r="G28" i="27"/>
  <c r="H28" i="27" s="1"/>
  <c r="J28" i="27" s="1"/>
  <c r="L28" i="27" s="1"/>
  <c r="F27" i="27"/>
  <c r="AM223" i="7" l="1"/>
  <c r="AU98" i="7"/>
  <c r="AV98" i="7" s="1"/>
  <c r="AP98" i="7"/>
  <c r="AQ98" i="7" s="1"/>
  <c r="AK98" i="7"/>
  <c r="AL98" i="7" s="1"/>
  <c r="AM98" i="7"/>
  <c r="AN97" i="7"/>
  <c r="AO97" i="7" s="1"/>
  <c r="AM139" i="7"/>
  <c r="AQ373" i="7"/>
  <c r="AQ139" i="7"/>
  <c r="AN373" i="7"/>
  <c r="H32" i="13"/>
  <c r="L32" i="13" s="1"/>
  <c r="F31" i="13"/>
  <c r="G32" i="13"/>
  <c r="J33" i="13"/>
  <c r="I33" i="13"/>
  <c r="AU140" i="7"/>
  <c r="AV140" i="7" s="1"/>
  <c r="AU374" i="7"/>
  <c r="AV374" i="7" s="1"/>
  <c r="AP140" i="7"/>
  <c r="AP374" i="7"/>
  <c r="AO370" i="7"/>
  <c r="AK140" i="7"/>
  <c r="AL140" i="7" s="1"/>
  <c r="AK374" i="7"/>
  <c r="AL373" i="7"/>
  <c r="G33" i="28"/>
  <c r="H33" i="28" s="1"/>
  <c r="F32" i="28"/>
  <c r="K36" i="7"/>
  <c r="AI36" i="7"/>
  <c r="AU224" i="7" s="1"/>
  <c r="AV224" i="7" s="1"/>
  <c r="G34" i="7"/>
  <c r="M37" i="7"/>
  <c r="N37" i="7" s="1"/>
  <c r="L36" i="7"/>
  <c r="AG36" i="7"/>
  <c r="AK224" i="7" s="1"/>
  <c r="AL224" i="7" s="1"/>
  <c r="J36" i="7"/>
  <c r="AH36" i="7" s="1"/>
  <c r="AP224" i="7" s="1"/>
  <c r="AQ224" i="7" s="1"/>
  <c r="H35" i="7"/>
  <c r="I35" i="7"/>
  <c r="F26" i="27"/>
  <c r="G27" i="27"/>
  <c r="H27" i="27" s="1"/>
  <c r="J27" i="27" s="1"/>
  <c r="L27" i="27" s="1"/>
  <c r="AM224" i="7" l="1"/>
  <c r="AN223" i="7"/>
  <c r="AO223" i="7" s="1"/>
  <c r="AP99" i="7"/>
  <c r="AQ99" i="7" s="1"/>
  <c r="AK99" i="7"/>
  <c r="AL99" i="7" s="1"/>
  <c r="AU99" i="7"/>
  <c r="AV99" i="7" s="1"/>
  <c r="AN98" i="7"/>
  <c r="AO98" i="7" s="1"/>
  <c r="AM99" i="7"/>
  <c r="AM140" i="7"/>
  <c r="AN140" i="7" s="1"/>
  <c r="AO140" i="7" s="1"/>
  <c r="AN139" i="7"/>
  <c r="AO139" i="7" s="1"/>
  <c r="AQ374" i="7"/>
  <c r="AQ140" i="7"/>
  <c r="AN374" i="7"/>
  <c r="H31" i="13"/>
  <c r="L31" i="13" s="1"/>
  <c r="F30" i="13"/>
  <c r="G31" i="13"/>
  <c r="J32" i="13"/>
  <c r="I32" i="13"/>
  <c r="AO371" i="7"/>
  <c r="AP141" i="7"/>
  <c r="AP375" i="7"/>
  <c r="AK141" i="7"/>
  <c r="AL141" i="7" s="1"/>
  <c r="AK375" i="7"/>
  <c r="AU141" i="7"/>
  <c r="AV141" i="7" s="1"/>
  <c r="AU375" i="7"/>
  <c r="AV375" i="7" s="1"/>
  <c r="AL374" i="7"/>
  <c r="F31" i="28"/>
  <c r="G32" i="28"/>
  <c r="H32" i="28" s="1"/>
  <c r="AG35" i="7"/>
  <c r="AK225" i="7" s="1"/>
  <c r="AL225" i="7" s="1"/>
  <c r="J35" i="7"/>
  <c r="AH35" i="7" s="1"/>
  <c r="AP225" i="7" s="1"/>
  <c r="AQ225" i="7" s="1"/>
  <c r="L35" i="7"/>
  <c r="M36" i="7"/>
  <c r="N36" i="7" s="1"/>
  <c r="I34" i="7"/>
  <c r="H34" i="7"/>
  <c r="AI35" i="7"/>
  <c r="AU225" i="7" s="1"/>
  <c r="AV225" i="7" s="1"/>
  <c r="K35" i="7"/>
  <c r="G33" i="7"/>
  <c r="G26" i="27"/>
  <c r="H26" i="27" s="1"/>
  <c r="J26" i="27" s="1"/>
  <c r="L26" i="27" s="1"/>
  <c r="F25" i="27"/>
  <c r="AM225" i="7" l="1"/>
  <c r="AN224" i="7"/>
  <c r="AO224" i="7" s="1"/>
  <c r="AP100" i="7"/>
  <c r="AQ100" i="7" s="1"/>
  <c r="AK100" i="7"/>
  <c r="AL100" i="7" s="1"/>
  <c r="AU100" i="7"/>
  <c r="AV100" i="7" s="1"/>
  <c r="AM100" i="7"/>
  <c r="AN99" i="7"/>
  <c r="AO99" i="7" s="1"/>
  <c r="AM141" i="7"/>
  <c r="AQ375" i="7"/>
  <c r="AQ141" i="7"/>
  <c r="AN375" i="7"/>
  <c r="H30" i="13"/>
  <c r="L30" i="13" s="1"/>
  <c r="F29" i="13"/>
  <c r="G30" i="13"/>
  <c r="I31" i="13"/>
  <c r="J31" i="13"/>
  <c r="AL375" i="7"/>
  <c r="AP142" i="7"/>
  <c r="AP376" i="7"/>
  <c r="AO372" i="7"/>
  <c r="AU142" i="7"/>
  <c r="AV142" i="7" s="1"/>
  <c r="AU376" i="7"/>
  <c r="AV376" i="7" s="1"/>
  <c r="AK142" i="7"/>
  <c r="AL142" i="7" s="1"/>
  <c r="AK376" i="7"/>
  <c r="G31" i="28"/>
  <c r="H31" i="28" s="1"/>
  <c r="F30" i="28"/>
  <c r="H33" i="7"/>
  <c r="I33" i="7"/>
  <c r="G32" i="7"/>
  <c r="AI34" i="7"/>
  <c r="AU226" i="7" s="1"/>
  <c r="AV226" i="7" s="1"/>
  <c r="K34" i="7"/>
  <c r="M35" i="7"/>
  <c r="N35" i="7" s="1"/>
  <c r="L34" i="7"/>
  <c r="AG34" i="7"/>
  <c r="AK226" i="7" s="1"/>
  <c r="AL226" i="7" s="1"/>
  <c r="J34" i="7"/>
  <c r="AH34" i="7" s="1"/>
  <c r="AP226" i="7" s="1"/>
  <c r="AQ226" i="7" s="1"/>
  <c r="G25" i="27"/>
  <c r="H25" i="27" s="1"/>
  <c r="J25" i="27" s="1"/>
  <c r="L25" i="27" s="1"/>
  <c r="F24" i="27"/>
  <c r="AM226" i="7" l="1"/>
  <c r="AN225" i="7"/>
  <c r="AO225" i="7" s="1"/>
  <c r="AK101" i="7"/>
  <c r="AL101" i="7" s="1"/>
  <c r="AP101" i="7"/>
  <c r="AQ101" i="7" s="1"/>
  <c r="AU101" i="7"/>
  <c r="AV101" i="7" s="1"/>
  <c r="AN100" i="7"/>
  <c r="AO100" i="7" s="1"/>
  <c r="AM101" i="7"/>
  <c r="AM142" i="7"/>
  <c r="AN141" i="7"/>
  <c r="AO141" i="7" s="1"/>
  <c r="AQ142" i="7"/>
  <c r="AQ376" i="7"/>
  <c r="AN376" i="7"/>
  <c r="H29" i="13"/>
  <c r="L29" i="13" s="1"/>
  <c r="G29" i="13"/>
  <c r="F28" i="13"/>
  <c r="J30" i="13"/>
  <c r="I30" i="13"/>
  <c r="AK143" i="7"/>
  <c r="AL143" i="7" s="1"/>
  <c r="AK377" i="7"/>
  <c r="AU143" i="7"/>
  <c r="AV143" i="7" s="1"/>
  <c r="AU377" i="7"/>
  <c r="AV377" i="7" s="1"/>
  <c r="AP143" i="7"/>
  <c r="AP377" i="7"/>
  <c r="AL376" i="7"/>
  <c r="AO373" i="7"/>
  <c r="F29" i="28"/>
  <c r="G30" i="28"/>
  <c r="H30" i="28" s="1"/>
  <c r="G31" i="7"/>
  <c r="I32" i="7"/>
  <c r="H32" i="7"/>
  <c r="AG33" i="7"/>
  <c r="J33" i="7"/>
  <c r="AH33" i="7" s="1"/>
  <c r="AP227" i="7" s="1"/>
  <c r="AQ227" i="7" s="1"/>
  <c r="L33" i="7"/>
  <c r="M34" i="7"/>
  <c r="N34" i="7" s="1"/>
  <c r="AI33" i="7"/>
  <c r="AU227" i="7" s="1"/>
  <c r="AV227" i="7" s="1"/>
  <c r="K33" i="7"/>
  <c r="F23" i="27"/>
  <c r="G24" i="27"/>
  <c r="H24" i="27" s="1"/>
  <c r="J24" i="27" s="1"/>
  <c r="L24" i="27" s="1"/>
  <c r="AM227" i="7" l="1"/>
  <c r="AN226" i="7"/>
  <c r="AO226" i="7" s="1"/>
  <c r="AK227" i="7"/>
  <c r="AP102" i="7"/>
  <c r="AQ102" i="7" s="1"/>
  <c r="AU102" i="7"/>
  <c r="AV102" i="7" s="1"/>
  <c r="AK378" i="7"/>
  <c r="AK102" i="7"/>
  <c r="AL102" i="7" s="1"/>
  <c r="AN101" i="7"/>
  <c r="AO101" i="7" s="1"/>
  <c r="AM102" i="7"/>
  <c r="AN102" i="7" s="1"/>
  <c r="AM143" i="7"/>
  <c r="AN142" i="7"/>
  <c r="AO142" i="7" s="1"/>
  <c r="AQ143" i="7"/>
  <c r="AQ377" i="7"/>
  <c r="AN377" i="7"/>
  <c r="H28" i="13"/>
  <c r="L28" i="13" s="1"/>
  <c r="F27" i="13"/>
  <c r="G28" i="13"/>
  <c r="I29" i="13"/>
  <c r="J29" i="13"/>
  <c r="AL377" i="7"/>
  <c r="AP144" i="7"/>
  <c r="AP378" i="7"/>
  <c r="AO374" i="7"/>
  <c r="AU144" i="7"/>
  <c r="AV144" i="7" s="1"/>
  <c r="AU378" i="7"/>
  <c r="AV378" i="7" s="1"/>
  <c r="AK144" i="7"/>
  <c r="AL144" i="7" s="1"/>
  <c r="G29" i="28"/>
  <c r="H29" i="28" s="1"/>
  <c r="F28" i="28"/>
  <c r="AI32" i="7"/>
  <c r="AU228" i="7" s="1"/>
  <c r="AV228" i="7" s="1"/>
  <c r="K32" i="7"/>
  <c r="M33" i="7"/>
  <c r="N33" i="7" s="1"/>
  <c r="AG32" i="7"/>
  <c r="J32" i="7"/>
  <c r="AH32" i="7" s="1"/>
  <c r="AP228" i="7" s="1"/>
  <c r="AQ228" i="7" s="1"/>
  <c r="L32" i="7"/>
  <c r="H31" i="7"/>
  <c r="I31" i="7"/>
  <c r="G30" i="7"/>
  <c r="G23" i="27"/>
  <c r="H23" i="27" s="1"/>
  <c r="J23" i="27" s="1"/>
  <c r="L23" i="27" s="1"/>
  <c r="F22" i="27"/>
  <c r="AL227" i="7" l="1"/>
  <c r="AM228" i="7"/>
  <c r="AN227" i="7"/>
  <c r="AO227" i="7" s="1"/>
  <c r="AK228" i="7"/>
  <c r="AP103" i="7"/>
  <c r="AQ103" i="7" s="1"/>
  <c r="AU103" i="7"/>
  <c r="AV103" i="7" s="1"/>
  <c r="AL378" i="7"/>
  <c r="AO102" i="7"/>
  <c r="AK379" i="7"/>
  <c r="AL379" i="7" s="1"/>
  <c r="AK103" i="7"/>
  <c r="AL103" i="7" s="1"/>
  <c r="AM103" i="7" s="1"/>
  <c r="AM144" i="7"/>
  <c r="AN143" i="7"/>
  <c r="AO143" i="7" s="1"/>
  <c r="AQ378" i="7"/>
  <c r="AQ144" i="7"/>
  <c r="AN378" i="7"/>
  <c r="H27" i="13"/>
  <c r="L27" i="13" s="1"/>
  <c r="F26" i="13"/>
  <c r="G27" i="13"/>
  <c r="J28" i="13"/>
  <c r="I28" i="13"/>
  <c r="AP145" i="7"/>
  <c r="AP379" i="7"/>
  <c r="AU145" i="7"/>
  <c r="AV145" i="7" s="1"/>
  <c r="AU379" i="7"/>
  <c r="AV379" i="7" s="1"/>
  <c r="AO375" i="7"/>
  <c r="AO376" i="7"/>
  <c r="AK145" i="7"/>
  <c r="AL145" i="7" s="1"/>
  <c r="G28" i="28"/>
  <c r="H28" i="28" s="1"/>
  <c r="F27" i="28"/>
  <c r="J31" i="7"/>
  <c r="AH31" i="7" s="1"/>
  <c r="AP229" i="7" s="1"/>
  <c r="AQ229" i="7" s="1"/>
  <c r="L31" i="7"/>
  <c r="AG31" i="7"/>
  <c r="H30" i="7"/>
  <c r="I30" i="7"/>
  <c r="AI31" i="7"/>
  <c r="AU229" i="7" s="1"/>
  <c r="AV229" i="7" s="1"/>
  <c r="K31" i="7"/>
  <c r="G29" i="7"/>
  <c r="M32" i="7"/>
  <c r="N32" i="7" s="1"/>
  <c r="G22" i="27"/>
  <c r="H22" i="27" s="1"/>
  <c r="J22" i="27" s="1"/>
  <c r="L22" i="27" s="1"/>
  <c r="F21" i="27"/>
  <c r="AM229" i="7" l="1"/>
  <c r="AN228" i="7"/>
  <c r="AO228" i="7" s="1"/>
  <c r="AL228" i="7"/>
  <c r="AK229" i="7"/>
  <c r="AP104" i="7"/>
  <c r="AQ104" i="7" s="1"/>
  <c r="AU104" i="7"/>
  <c r="AV104" i="7" s="1"/>
  <c r="AM104" i="7"/>
  <c r="AN103" i="7"/>
  <c r="AO103" i="7" s="1"/>
  <c r="AK380" i="7"/>
  <c r="AL380" i="7" s="1"/>
  <c r="AK104" i="7"/>
  <c r="AL104" i="7" s="1"/>
  <c r="AM145" i="7"/>
  <c r="AM379" i="7"/>
  <c r="AM380" i="7" s="1"/>
  <c r="AM381" i="7" s="1"/>
  <c r="AM382" i="7" s="1"/>
  <c r="AM383" i="7" s="1"/>
  <c r="AM384" i="7" s="1"/>
  <c r="AM385" i="7" s="1"/>
  <c r="AM386" i="7" s="1"/>
  <c r="AM387" i="7" s="1"/>
  <c r="AM388" i="7" s="1"/>
  <c r="AM389" i="7" s="1"/>
  <c r="AM390" i="7" s="1"/>
  <c r="AN144" i="7"/>
  <c r="AO144" i="7" s="1"/>
  <c r="AQ379" i="7"/>
  <c r="AQ145" i="7"/>
  <c r="H26" i="13"/>
  <c r="L26" i="13" s="1"/>
  <c r="G26" i="13"/>
  <c r="F25" i="13"/>
  <c r="I27" i="13"/>
  <c r="J27" i="13"/>
  <c r="AU146" i="7"/>
  <c r="AV146" i="7" s="1"/>
  <c r="AU380" i="7"/>
  <c r="AV380" i="7" s="1"/>
  <c r="AP146" i="7"/>
  <c r="AP380" i="7"/>
  <c r="AO377" i="7"/>
  <c r="AO378" i="7"/>
  <c r="AK146" i="7"/>
  <c r="AL146" i="7" s="1"/>
  <c r="F26" i="28"/>
  <c r="G27" i="28"/>
  <c r="H27" i="28" s="1"/>
  <c r="I29" i="7"/>
  <c r="H29" i="7"/>
  <c r="L30" i="7"/>
  <c r="J30" i="7"/>
  <c r="AH30" i="7" s="1"/>
  <c r="AP230" i="7" s="1"/>
  <c r="AQ230" i="7" s="1"/>
  <c r="AG30" i="7"/>
  <c r="M31" i="7"/>
  <c r="N31" i="7" s="1"/>
  <c r="AI30" i="7"/>
  <c r="AU230" i="7" s="1"/>
  <c r="AV230" i="7" s="1"/>
  <c r="K30" i="7"/>
  <c r="G28" i="7"/>
  <c r="F20" i="27"/>
  <c r="G21" i="27"/>
  <c r="H21" i="27" s="1"/>
  <c r="J21" i="27" s="1"/>
  <c r="L21" i="27" s="1"/>
  <c r="AL229" i="7" l="1"/>
  <c r="AK254" i="7"/>
  <c r="AK230" i="7"/>
  <c r="AM230" i="7"/>
  <c r="AN229" i="7"/>
  <c r="AO229" i="7" s="1"/>
  <c r="AN380" i="7"/>
  <c r="AU105" i="7"/>
  <c r="AV105" i="7" s="1"/>
  <c r="AU254" i="7"/>
  <c r="AP105" i="7"/>
  <c r="AQ105" i="7" s="1"/>
  <c r="AP254" i="7"/>
  <c r="AK381" i="7"/>
  <c r="AL381" i="7" s="1"/>
  <c r="AK105" i="7"/>
  <c r="AM105" i="7"/>
  <c r="AN104" i="7"/>
  <c r="AO104" i="7" s="1"/>
  <c r="AN379" i="7"/>
  <c r="AM146" i="7"/>
  <c r="AN145" i="7"/>
  <c r="AO145" i="7" s="1"/>
  <c r="AQ146" i="7"/>
  <c r="AQ380" i="7"/>
  <c r="AN381" i="7"/>
  <c r="H25" i="13"/>
  <c r="L25" i="13" s="1"/>
  <c r="F24" i="13"/>
  <c r="G25" i="13"/>
  <c r="J26" i="13"/>
  <c r="I26" i="13"/>
  <c r="AP147" i="7"/>
  <c r="AP381" i="7"/>
  <c r="AU147" i="7"/>
  <c r="AV147" i="7" s="1"/>
  <c r="AU381" i="7"/>
  <c r="AV381" i="7" s="1"/>
  <c r="AK147" i="7"/>
  <c r="AL147" i="7" s="1"/>
  <c r="G26" i="28"/>
  <c r="H26" i="28" s="1"/>
  <c r="F25" i="28"/>
  <c r="G27" i="7"/>
  <c r="M30" i="7"/>
  <c r="N30" i="7" s="1"/>
  <c r="H28" i="7"/>
  <c r="I28" i="7"/>
  <c r="AI29" i="7"/>
  <c r="AU231" i="7" s="1"/>
  <c r="AV231" i="7" s="1"/>
  <c r="K29" i="7"/>
  <c r="J29" i="7"/>
  <c r="AH29" i="7" s="1"/>
  <c r="AP231" i="7" s="1"/>
  <c r="AQ231" i="7" s="1"/>
  <c r="AG29" i="7"/>
  <c r="L29" i="7"/>
  <c r="G20" i="27"/>
  <c r="H20" i="27" s="1"/>
  <c r="J20" i="27" s="1"/>
  <c r="L20" i="27" s="1"/>
  <c r="F19" i="27"/>
  <c r="AK255" i="7" l="1"/>
  <c r="AK231" i="7"/>
  <c r="AM231" i="7"/>
  <c r="AN230" i="7"/>
  <c r="AO230" i="7" s="1"/>
  <c r="AL230" i="7"/>
  <c r="AL231" i="7" s="1"/>
  <c r="AP106" i="7"/>
  <c r="AQ106" i="7" s="1"/>
  <c r="AP255" i="7"/>
  <c r="AU106" i="7"/>
  <c r="AV106" i="7" s="1"/>
  <c r="AU255" i="7"/>
  <c r="AN105" i="7"/>
  <c r="AO105" i="7" s="1"/>
  <c r="AM106" i="7"/>
  <c r="AL105" i="7"/>
  <c r="AK382" i="7"/>
  <c r="AL382" i="7" s="1"/>
  <c r="AK106" i="7"/>
  <c r="AM147" i="7"/>
  <c r="AN146" i="7"/>
  <c r="AO146" i="7" s="1"/>
  <c r="AQ381" i="7"/>
  <c r="AQ147" i="7"/>
  <c r="AN382" i="7"/>
  <c r="H24" i="13"/>
  <c r="L24" i="13" s="1"/>
  <c r="F23" i="13"/>
  <c r="G24" i="13"/>
  <c r="J25" i="13"/>
  <c r="I25" i="13"/>
  <c r="AO379" i="7"/>
  <c r="AU148" i="7"/>
  <c r="AV148" i="7" s="1"/>
  <c r="AU382" i="7"/>
  <c r="AV382" i="7" s="1"/>
  <c r="AP148" i="7"/>
  <c r="AP382" i="7"/>
  <c r="AO380" i="7"/>
  <c r="AK148" i="7"/>
  <c r="AL148" i="7" s="1"/>
  <c r="G25" i="28"/>
  <c r="H25" i="28" s="1"/>
  <c r="F24" i="28"/>
  <c r="M29" i="7"/>
  <c r="N29" i="7" s="1"/>
  <c r="H27" i="7"/>
  <c r="I27" i="7"/>
  <c r="G26" i="7"/>
  <c r="L28" i="7"/>
  <c r="J28" i="7"/>
  <c r="AH28" i="7" s="1"/>
  <c r="AP232" i="7" s="1"/>
  <c r="AQ232" i="7" s="1"/>
  <c r="AG28" i="7"/>
  <c r="AI28" i="7"/>
  <c r="AU232" i="7" s="1"/>
  <c r="AV232" i="7" s="1"/>
  <c r="K28" i="7"/>
  <c r="G19" i="27"/>
  <c r="H19" i="27" s="1"/>
  <c r="J19" i="27" s="1"/>
  <c r="L19" i="27" s="1"/>
  <c r="F18" i="27"/>
  <c r="AK256" i="7" l="1"/>
  <c r="AK232" i="7"/>
  <c r="AL232" i="7" s="1"/>
  <c r="AM232" i="7"/>
  <c r="AN231" i="7"/>
  <c r="AO231" i="7" s="1"/>
  <c r="AP107" i="7"/>
  <c r="AQ107" i="7" s="1"/>
  <c r="AP256" i="7"/>
  <c r="AU107" i="7"/>
  <c r="AV107" i="7" s="1"/>
  <c r="AU256" i="7"/>
  <c r="AK383" i="7"/>
  <c r="AL383" i="7" s="1"/>
  <c r="AK107" i="7"/>
  <c r="AL106" i="7"/>
  <c r="AM107" i="7"/>
  <c r="AN106" i="7"/>
  <c r="AO106" i="7" s="1"/>
  <c r="AM148" i="7"/>
  <c r="AN147" i="7"/>
  <c r="AO147" i="7" s="1"/>
  <c r="AQ148" i="7"/>
  <c r="AQ382" i="7"/>
  <c r="AN383" i="7"/>
  <c r="H23" i="13"/>
  <c r="L23" i="13" s="1"/>
  <c r="G23" i="13"/>
  <c r="F22" i="13"/>
  <c r="I24" i="13"/>
  <c r="J24" i="13"/>
  <c r="AU149" i="7"/>
  <c r="AV149" i="7" s="1"/>
  <c r="AU383" i="7"/>
  <c r="AV383" i="7" s="1"/>
  <c r="AP149" i="7"/>
  <c r="AP383" i="7"/>
  <c r="AK149" i="7"/>
  <c r="AL149" i="7" s="1"/>
  <c r="F23" i="28"/>
  <c r="G24" i="28"/>
  <c r="H24" i="28" s="1"/>
  <c r="H26" i="7"/>
  <c r="I26" i="7"/>
  <c r="M28" i="7"/>
  <c r="N28" i="7" s="1"/>
  <c r="J27" i="7"/>
  <c r="AH27" i="7" s="1"/>
  <c r="AP233" i="7" s="1"/>
  <c r="AQ233" i="7" s="1"/>
  <c r="L27" i="7"/>
  <c r="AG27" i="7"/>
  <c r="G25" i="7"/>
  <c r="K27" i="7"/>
  <c r="AI27" i="7"/>
  <c r="AU233" i="7" s="1"/>
  <c r="AV233" i="7" s="1"/>
  <c r="F17" i="27"/>
  <c r="G18" i="27"/>
  <c r="H18" i="27" s="1"/>
  <c r="J18" i="27" s="1"/>
  <c r="L18" i="27" s="1"/>
  <c r="AM233" i="7" l="1"/>
  <c r="AN232" i="7"/>
  <c r="AO232" i="7" s="1"/>
  <c r="AK257" i="7"/>
  <c r="AK233" i="7"/>
  <c r="AU108" i="7"/>
  <c r="AV108" i="7" s="1"/>
  <c r="AU257" i="7"/>
  <c r="AP108" i="7"/>
  <c r="AQ108" i="7" s="1"/>
  <c r="AP257" i="7"/>
  <c r="AL107" i="7"/>
  <c r="AK384" i="7"/>
  <c r="AL384" i="7" s="1"/>
  <c r="AK108" i="7"/>
  <c r="AN107" i="7"/>
  <c r="AO107" i="7" s="1"/>
  <c r="AM108" i="7"/>
  <c r="AM149" i="7"/>
  <c r="AN148" i="7"/>
  <c r="AO148" i="7" s="1"/>
  <c r="AQ383" i="7"/>
  <c r="AQ149" i="7"/>
  <c r="AN384" i="7"/>
  <c r="H22" i="13"/>
  <c r="L22" i="13" s="1"/>
  <c r="G22" i="13"/>
  <c r="F21" i="13"/>
  <c r="I23" i="13"/>
  <c r="J23" i="13"/>
  <c r="AO381" i="7"/>
  <c r="AP150" i="7"/>
  <c r="AP384" i="7"/>
  <c r="AU150" i="7"/>
  <c r="AV150" i="7" s="1"/>
  <c r="AU384" i="7"/>
  <c r="AV384" i="7" s="1"/>
  <c r="AK150" i="7"/>
  <c r="AL150" i="7" s="1"/>
  <c r="F22" i="28"/>
  <c r="G23" i="28"/>
  <c r="H23" i="28" s="1"/>
  <c r="I25" i="7"/>
  <c r="H25" i="7"/>
  <c r="L26" i="7"/>
  <c r="J26" i="7"/>
  <c r="AH26" i="7" s="1"/>
  <c r="AG26" i="7"/>
  <c r="AI26" i="7"/>
  <c r="K26" i="7"/>
  <c r="G24" i="7"/>
  <c r="M27" i="7"/>
  <c r="N27" i="7" s="1"/>
  <c r="G17" i="27"/>
  <c r="H17" i="27" s="1"/>
  <c r="J17" i="27" s="1"/>
  <c r="L17" i="27" s="1"/>
  <c r="F16" i="27"/>
  <c r="AM234" i="7" l="1"/>
  <c r="AN234" i="7" s="1"/>
  <c r="AN233" i="7"/>
  <c r="AO233" i="7" s="1"/>
  <c r="AU258" i="7"/>
  <c r="AU234" i="7"/>
  <c r="AV234" i="7" s="1"/>
  <c r="AK258" i="7"/>
  <c r="AK234" i="7"/>
  <c r="AO234" i="7" s="1"/>
  <c r="AL233" i="7"/>
  <c r="AP258" i="7"/>
  <c r="AP234" i="7"/>
  <c r="AQ234" i="7" s="1"/>
  <c r="AL108" i="7"/>
  <c r="AU171" i="7"/>
  <c r="AU109" i="7"/>
  <c r="AV109" i="7" s="1"/>
  <c r="AN108" i="7"/>
  <c r="AO108" i="7" s="1"/>
  <c r="AM109" i="7"/>
  <c r="AP171" i="7"/>
  <c r="AP109" i="7"/>
  <c r="AQ109" i="7" s="1"/>
  <c r="AK171" i="7"/>
  <c r="AK109" i="7"/>
  <c r="AL109" i="7" s="1"/>
  <c r="AM150" i="7"/>
  <c r="AN150" i="7" s="1"/>
  <c r="AO150" i="7" s="1"/>
  <c r="AN149" i="7"/>
  <c r="AO149" i="7" s="1"/>
  <c r="AQ384" i="7"/>
  <c r="AQ150" i="7"/>
  <c r="AN385" i="7"/>
  <c r="H21" i="13"/>
  <c r="L21" i="13" s="1"/>
  <c r="G21" i="13"/>
  <c r="F20" i="13"/>
  <c r="I22" i="13"/>
  <c r="J22" i="13"/>
  <c r="AO382" i="7"/>
  <c r="AP151" i="7"/>
  <c r="AP385" i="7"/>
  <c r="AU151" i="7"/>
  <c r="AV151" i="7" s="1"/>
  <c r="AU385" i="7"/>
  <c r="AV385" i="7" s="1"/>
  <c r="AK151" i="7"/>
  <c r="AL151" i="7" s="1"/>
  <c r="AK385" i="7"/>
  <c r="AL385" i="7" s="1"/>
  <c r="F21" i="28"/>
  <c r="G22" i="28"/>
  <c r="H22" i="28" s="1"/>
  <c r="M26" i="7"/>
  <c r="N26" i="7" s="1"/>
  <c r="H24" i="7"/>
  <c r="I24" i="7"/>
  <c r="AI25" i="7"/>
  <c r="K25" i="7"/>
  <c r="G23" i="7"/>
  <c r="L25" i="7"/>
  <c r="J25" i="7"/>
  <c r="AH25" i="7" s="1"/>
  <c r="AG25" i="7"/>
  <c r="F15" i="27"/>
  <c r="G16" i="27"/>
  <c r="H16" i="27" s="1"/>
  <c r="J16" i="27" s="1"/>
  <c r="L16" i="27" s="1"/>
  <c r="AL234" i="7" l="1"/>
  <c r="AU259" i="7"/>
  <c r="AV259" i="7" s="1"/>
  <c r="AU235" i="7"/>
  <c r="AV235" i="7" s="1"/>
  <c r="AP259" i="7"/>
  <c r="AQ259" i="7" s="1"/>
  <c r="AP235" i="7"/>
  <c r="AQ235" i="7" s="1"/>
  <c r="AK259" i="7"/>
  <c r="AK235" i="7"/>
  <c r="AL235" i="7" s="1"/>
  <c r="AN109" i="7"/>
  <c r="AO109" i="7" s="1"/>
  <c r="AM110" i="7"/>
  <c r="AK172" i="7"/>
  <c r="AK110" i="7"/>
  <c r="AP172" i="7"/>
  <c r="AP110" i="7"/>
  <c r="AQ110" i="7" s="1"/>
  <c r="AU172" i="7"/>
  <c r="AU110" i="7"/>
  <c r="AV110" i="7" s="1"/>
  <c r="AM151" i="7"/>
  <c r="AQ385" i="7"/>
  <c r="AQ151" i="7"/>
  <c r="AN386" i="7"/>
  <c r="H20" i="13"/>
  <c r="L20" i="13" s="1"/>
  <c r="F19" i="13"/>
  <c r="G20" i="13"/>
  <c r="I21" i="13"/>
  <c r="J21" i="13"/>
  <c r="AK152" i="7"/>
  <c r="AL152" i="7" s="1"/>
  <c r="AK386" i="7"/>
  <c r="AL386" i="7" s="1"/>
  <c r="AP152" i="7"/>
  <c r="AP386" i="7"/>
  <c r="AU152" i="7"/>
  <c r="AV152" i="7" s="1"/>
  <c r="AU386" i="7"/>
  <c r="AV386" i="7" s="1"/>
  <c r="AO383" i="7"/>
  <c r="F20" i="28"/>
  <c r="G21" i="28"/>
  <c r="H21" i="28" s="1"/>
  <c r="H23" i="7"/>
  <c r="I23" i="7"/>
  <c r="G22" i="7"/>
  <c r="L24" i="7"/>
  <c r="J24" i="7"/>
  <c r="AH24" i="7" s="1"/>
  <c r="AG24" i="7"/>
  <c r="M25" i="7"/>
  <c r="N25" i="7" s="1"/>
  <c r="AI24" i="7"/>
  <c r="K24" i="7"/>
  <c r="G15" i="27"/>
  <c r="H15" i="27" s="1"/>
  <c r="J15" i="27" s="1"/>
  <c r="L15" i="27" s="1"/>
  <c r="F14" i="27"/>
  <c r="AP260" i="7" l="1"/>
  <c r="AQ260" i="7" s="1"/>
  <c r="AP236" i="7"/>
  <c r="AQ236" i="7" s="1"/>
  <c r="AM235" i="7"/>
  <c r="AU260" i="7"/>
  <c r="AV260" i="7" s="1"/>
  <c r="AU236" i="7"/>
  <c r="AV236" i="7" s="1"/>
  <c r="AK260" i="7"/>
  <c r="AK236" i="7"/>
  <c r="AL236" i="7" s="1"/>
  <c r="AL110" i="7"/>
  <c r="AU173" i="7"/>
  <c r="AU111" i="7"/>
  <c r="AV111" i="7" s="1"/>
  <c r="AP173" i="7"/>
  <c r="AP111" i="7"/>
  <c r="AQ111" i="7" s="1"/>
  <c r="AM111" i="7"/>
  <c r="AN110" i="7"/>
  <c r="AO110" i="7" s="1"/>
  <c r="AK173" i="7"/>
  <c r="AK111" i="7"/>
  <c r="AM152" i="7"/>
  <c r="AN151" i="7"/>
  <c r="AO151" i="7" s="1"/>
  <c r="AQ386" i="7"/>
  <c r="AQ152" i="7"/>
  <c r="AN387" i="7"/>
  <c r="H19" i="13"/>
  <c r="L19" i="13" s="1"/>
  <c r="F18" i="13"/>
  <c r="G19" i="13"/>
  <c r="I20" i="13"/>
  <c r="J20" i="13"/>
  <c r="AU408" i="7"/>
  <c r="AK153" i="7"/>
  <c r="AL153" i="7" s="1"/>
  <c r="AK387" i="7"/>
  <c r="AL387" i="7" s="1"/>
  <c r="AU153" i="7"/>
  <c r="AV153" i="7" s="1"/>
  <c r="AU387" i="7"/>
  <c r="AV387" i="7" s="1"/>
  <c r="AP153" i="7"/>
  <c r="AP387" i="7"/>
  <c r="AO384" i="7"/>
  <c r="F19" i="28"/>
  <c r="G20" i="28"/>
  <c r="H20" i="28" s="1"/>
  <c r="J23" i="7"/>
  <c r="AH23" i="7" s="1"/>
  <c r="AG23" i="7"/>
  <c r="L23" i="7"/>
  <c r="M24" i="7"/>
  <c r="N24" i="7" s="1"/>
  <c r="AI23" i="7"/>
  <c r="K23" i="7"/>
  <c r="G21" i="7"/>
  <c r="I22" i="7"/>
  <c r="H22" i="7"/>
  <c r="G14" i="27"/>
  <c r="H14" i="27" s="1"/>
  <c r="J14" i="27" s="1"/>
  <c r="L14" i="27" s="1"/>
  <c r="F13" i="27"/>
  <c r="AK261" i="7" l="1"/>
  <c r="AK237" i="7"/>
  <c r="AM236" i="7"/>
  <c r="AN235" i="7"/>
  <c r="AO235" i="7" s="1"/>
  <c r="AP261" i="7"/>
  <c r="AQ261" i="7" s="1"/>
  <c r="AP237" i="7"/>
  <c r="AQ237" i="7" s="1"/>
  <c r="AU261" i="7"/>
  <c r="AV261" i="7" s="1"/>
  <c r="AU237" i="7"/>
  <c r="AV237" i="7" s="1"/>
  <c r="AL111" i="7"/>
  <c r="AP174" i="7"/>
  <c r="AP112" i="7"/>
  <c r="AQ112" i="7" s="1"/>
  <c r="AM112" i="7"/>
  <c r="AN111" i="7"/>
  <c r="AO111" i="7" s="1"/>
  <c r="AU174" i="7"/>
  <c r="AU112" i="7"/>
  <c r="AV112" i="7" s="1"/>
  <c r="AK174" i="7"/>
  <c r="AK112" i="7"/>
  <c r="AM153" i="7"/>
  <c r="AN152" i="7"/>
  <c r="AO152" i="7" s="1"/>
  <c r="AQ153" i="7"/>
  <c r="AQ387" i="7"/>
  <c r="AN388" i="7"/>
  <c r="H18" i="13"/>
  <c r="L18" i="13" s="1"/>
  <c r="G18" i="13"/>
  <c r="F17" i="13"/>
  <c r="J19" i="13"/>
  <c r="I19" i="13"/>
  <c r="AU154" i="7"/>
  <c r="AV154" i="7" s="1"/>
  <c r="AU388" i="7"/>
  <c r="AV388" i="7" s="1"/>
  <c r="AK154" i="7"/>
  <c r="AL154" i="7" s="1"/>
  <c r="AK388" i="7"/>
  <c r="AL388" i="7" s="1"/>
  <c r="AP154" i="7"/>
  <c r="AP388" i="7"/>
  <c r="AO385" i="7"/>
  <c r="F18" i="28"/>
  <c r="G19" i="28"/>
  <c r="H19" i="28" s="1"/>
  <c r="K22" i="7"/>
  <c r="AI22" i="7"/>
  <c r="G20" i="7"/>
  <c r="J22" i="7"/>
  <c r="AH22" i="7" s="1"/>
  <c r="L22" i="7"/>
  <c r="AG22" i="7"/>
  <c r="H21" i="7"/>
  <c r="I21" i="7"/>
  <c r="M23" i="7"/>
  <c r="N23" i="7" s="1"/>
  <c r="G13" i="27"/>
  <c r="H13" i="27" s="1"/>
  <c r="J13" i="27" s="1"/>
  <c r="L13" i="27" s="1"/>
  <c r="F12" i="27"/>
  <c r="AU262" i="7" l="1"/>
  <c r="AV262" i="7" s="1"/>
  <c r="AU238" i="7"/>
  <c r="AV238" i="7" s="1"/>
  <c r="AM237" i="7"/>
  <c r="AN236" i="7"/>
  <c r="AO236" i="7" s="1"/>
  <c r="AP262" i="7"/>
  <c r="AQ262" i="7" s="1"/>
  <c r="AP238" i="7"/>
  <c r="AQ238" i="7" s="1"/>
  <c r="AK262" i="7"/>
  <c r="AK238" i="7"/>
  <c r="AL237" i="7"/>
  <c r="AM113" i="7"/>
  <c r="AN112" i="7"/>
  <c r="AP175" i="7"/>
  <c r="AQ175" i="7" s="1"/>
  <c r="AP113" i="7"/>
  <c r="AQ113" i="7" s="1"/>
  <c r="AK175" i="7"/>
  <c r="AL175" i="7" s="1"/>
  <c r="AM175" i="7" s="1"/>
  <c r="AK113" i="7"/>
  <c r="AU175" i="7"/>
  <c r="AV175" i="7" s="1"/>
  <c r="AU113" i="7"/>
  <c r="AV113" i="7" s="1"/>
  <c r="AL112" i="7"/>
  <c r="AO112" i="7"/>
  <c r="AM154" i="7"/>
  <c r="AN153" i="7"/>
  <c r="AO153" i="7" s="1"/>
  <c r="AQ154" i="7"/>
  <c r="AQ388" i="7"/>
  <c r="AN389" i="7"/>
  <c r="H17" i="13"/>
  <c r="L17" i="13" s="1"/>
  <c r="G17" i="13"/>
  <c r="F16" i="13"/>
  <c r="J18" i="13"/>
  <c r="I18" i="13"/>
  <c r="AK155" i="7"/>
  <c r="AL155" i="7" s="1"/>
  <c r="AK389" i="7"/>
  <c r="AL389" i="7" s="1"/>
  <c r="AU155" i="7"/>
  <c r="AV155" i="7" s="1"/>
  <c r="AU389" i="7"/>
  <c r="AV389" i="7" s="1"/>
  <c r="AP155" i="7"/>
  <c r="AP389" i="7"/>
  <c r="AO387" i="7"/>
  <c r="AO386" i="7"/>
  <c r="F17" i="28"/>
  <c r="G18" i="28"/>
  <c r="H18" i="28" s="1"/>
  <c r="M22" i="7"/>
  <c r="N22" i="7" s="1"/>
  <c r="H20" i="7"/>
  <c r="I20" i="7"/>
  <c r="L21" i="7"/>
  <c r="J21" i="7"/>
  <c r="AH21" i="7" s="1"/>
  <c r="AG21" i="7"/>
  <c r="K21" i="7"/>
  <c r="AI21" i="7"/>
  <c r="G19" i="7"/>
  <c r="G12" i="27"/>
  <c r="H12" i="27" s="1"/>
  <c r="J12" i="27" s="1"/>
  <c r="L12" i="27" s="1"/>
  <c r="F11" i="27"/>
  <c r="AM238" i="7" l="1"/>
  <c r="AN237" i="7"/>
  <c r="AO237" i="7" s="1"/>
  <c r="AU263" i="7"/>
  <c r="AV263" i="7" s="1"/>
  <c r="AU239" i="7"/>
  <c r="AV239" i="7" s="1"/>
  <c r="AK263" i="7"/>
  <c r="AK239" i="7"/>
  <c r="AL238" i="7"/>
  <c r="AP263" i="7"/>
  <c r="AQ263" i="7" s="1"/>
  <c r="AP239" i="7"/>
  <c r="AQ239" i="7" s="1"/>
  <c r="AP176" i="7"/>
  <c r="AQ176" i="7" s="1"/>
  <c r="AP114" i="7"/>
  <c r="AQ114" i="7" s="1"/>
  <c r="AL113" i="7"/>
  <c r="AK176" i="7"/>
  <c r="AL176" i="7" s="1"/>
  <c r="AK114" i="7"/>
  <c r="AU176" i="7"/>
  <c r="AV176" i="7" s="1"/>
  <c r="AU114" i="7"/>
  <c r="AV114" i="7" s="1"/>
  <c r="AM114" i="7"/>
  <c r="AN114" i="7" s="1"/>
  <c r="AN113" i="7"/>
  <c r="AO113" i="7" s="1"/>
  <c r="AM176" i="7"/>
  <c r="AN175" i="7"/>
  <c r="AO175" i="7" s="1"/>
  <c r="AM155" i="7"/>
  <c r="AN154" i="7"/>
  <c r="AO154" i="7" s="1"/>
  <c r="AQ389" i="7"/>
  <c r="AQ155" i="7"/>
  <c r="AN390" i="7"/>
  <c r="H16" i="13"/>
  <c r="L16" i="13" s="1"/>
  <c r="F15" i="13"/>
  <c r="G16" i="13"/>
  <c r="J17" i="13"/>
  <c r="I17" i="13"/>
  <c r="AP156" i="7"/>
  <c r="AP390" i="7"/>
  <c r="AU156" i="7"/>
  <c r="AV156" i="7" s="1"/>
  <c r="AU390" i="7"/>
  <c r="AV390" i="7" s="1"/>
  <c r="AO388" i="7"/>
  <c r="AK156" i="7"/>
  <c r="AL156" i="7" s="1"/>
  <c r="AK390" i="7"/>
  <c r="AL390" i="7" s="1"/>
  <c r="G17" i="28"/>
  <c r="H17" i="28" s="1"/>
  <c r="F16" i="28"/>
  <c r="G18" i="7"/>
  <c r="M21" i="7"/>
  <c r="N21" i="7" s="1"/>
  <c r="J20" i="7"/>
  <c r="AH20" i="7" s="1"/>
  <c r="L20" i="7"/>
  <c r="AG20" i="7"/>
  <c r="H19" i="7"/>
  <c r="I19" i="7"/>
  <c r="AI20" i="7"/>
  <c r="K20" i="7"/>
  <c r="AL259" i="7"/>
  <c r="G11" i="27"/>
  <c r="H11" i="27" s="1"/>
  <c r="J11" i="27" s="1"/>
  <c r="L11" i="27" s="1"/>
  <c r="F10" i="27"/>
  <c r="AM239" i="7" l="1"/>
  <c r="AN238" i="7"/>
  <c r="AO238" i="7" s="1"/>
  <c r="AU264" i="7"/>
  <c r="AV264" i="7" s="1"/>
  <c r="AU240" i="7"/>
  <c r="AV240" i="7" s="1"/>
  <c r="AK264" i="7"/>
  <c r="AK240" i="7"/>
  <c r="AP264" i="7"/>
  <c r="AQ264" i="7" s="1"/>
  <c r="AP240" i="7"/>
  <c r="AQ240" i="7" s="1"/>
  <c r="AL239" i="7"/>
  <c r="AL114" i="7"/>
  <c r="AP177" i="7"/>
  <c r="AQ177" i="7" s="1"/>
  <c r="AP115" i="7"/>
  <c r="AQ115" i="7" s="1"/>
  <c r="AU177" i="7"/>
  <c r="AV177" i="7" s="1"/>
  <c r="AU115" i="7"/>
  <c r="AV115" i="7" s="1"/>
  <c r="AK177" i="7"/>
  <c r="AL177" i="7" s="1"/>
  <c r="AK115" i="7"/>
  <c r="AL115" i="7" s="1"/>
  <c r="AM115" i="7" s="1"/>
  <c r="AO114" i="7"/>
  <c r="AM156" i="7"/>
  <c r="AN156" i="7" s="1"/>
  <c r="AM259" i="7"/>
  <c r="AM260" i="7" s="1"/>
  <c r="AM261" i="7" s="1"/>
  <c r="AM262" i="7" s="1"/>
  <c r="AM263" i="7" s="1"/>
  <c r="AM264" i="7" s="1"/>
  <c r="AM265" i="7" s="1"/>
  <c r="AM266" i="7" s="1"/>
  <c r="AM267" i="7" s="1"/>
  <c r="AM268" i="7" s="1"/>
  <c r="AM269" i="7" s="1"/>
  <c r="AM270" i="7" s="1"/>
  <c r="AM177" i="7"/>
  <c r="AN177" i="7" s="1"/>
  <c r="AN155" i="7"/>
  <c r="AO155" i="7" s="1"/>
  <c r="AN176" i="7"/>
  <c r="AO176" i="7" s="1"/>
  <c r="AQ390" i="7"/>
  <c r="AQ156" i="7"/>
  <c r="H15" i="13"/>
  <c r="L15" i="13" s="1"/>
  <c r="F14" i="13"/>
  <c r="G15" i="13"/>
  <c r="J16" i="13"/>
  <c r="I16" i="13"/>
  <c r="AU157" i="7"/>
  <c r="AV157" i="7" s="1"/>
  <c r="AU391" i="7"/>
  <c r="AV391" i="7" s="1"/>
  <c r="AK157" i="7"/>
  <c r="AL157" i="7" s="1"/>
  <c r="AK391" i="7"/>
  <c r="AP157" i="7"/>
  <c r="AP391" i="7"/>
  <c r="AO389" i="7"/>
  <c r="AO390" i="7"/>
  <c r="G16" i="28"/>
  <c r="H16" i="28" s="1"/>
  <c r="F15" i="28"/>
  <c r="H18" i="7"/>
  <c r="I18" i="7"/>
  <c r="L19" i="7"/>
  <c r="AG19" i="7"/>
  <c r="J19" i="7"/>
  <c r="AH19" i="7" s="1"/>
  <c r="M20" i="7"/>
  <c r="N20" i="7" s="1"/>
  <c r="G17" i="7"/>
  <c r="K19" i="7"/>
  <c r="AI19" i="7"/>
  <c r="AL260" i="7"/>
  <c r="G10" i="27"/>
  <c r="H10" i="27" s="1"/>
  <c r="J10" i="27" s="1"/>
  <c r="L10" i="27" s="1"/>
  <c r="F9" i="27"/>
  <c r="AL240" i="7" l="1"/>
  <c r="AP265" i="7"/>
  <c r="AQ265" i="7" s="1"/>
  <c r="AP241" i="7"/>
  <c r="AQ241" i="7" s="1"/>
  <c r="AM240" i="7"/>
  <c r="AN239" i="7"/>
  <c r="AO239" i="7" s="1"/>
  <c r="AK265" i="7"/>
  <c r="AK241" i="7"/>
  <c r="AL241" i="7" s="1"/>
  <c r="AU265" i="7"/>
  <c r="AV265" i="7" s="1"/>
  <c r="AU241" i="7"/>
  <c r="AV241" i="7" s="1"/>
  <c r="AU178" i="7"/>
  <c r="AV178" i="7" s="1"/>
  <c r="AU116" i="7"/>
  <c r="AV116" i="7" s="1"/>
  <c r="AK178" i="7"/>
  <c r="AL178" i="7" s="1"/>
  <c r="AK116" i="7"/>
  <c r="AL116" i="7" s="1"/>
  <c r="AP178" i="7"/>
  <c r="AQ178" i="7" s="1"/>
  <c r="AP116" i="7"/>
  <c r="AQ116" i="7" s="1"/>
  <c r="AN115" i="7"/>
  <c r="AO115" i="7" s="1"/>
  <c r="AM116" i="7"/>
  <c r="AN260" i="7"/>
  <c r="AN259" i="7"/>
  <c r="AM178" i="7"/>
  <c r="AM157" i="7"/>
  <c r="AN157" i="7" s="1"/>
  <c r="AQ391" i="7"/>
  <c r="AQ157" i="7"/>
  <c r="AN261" i="7"/>
  <c r="AO156" i="7"/>
  <c r="AO177" i="7"/>
  <c r="H14" i="13"/>
  <c r="L14" i="13" s="1"/>
  <c r="G14" i="13"/>
  <c r="F13" i="13"/>
  <c r="I15" i="13"/>
  <c r="J15" i="13"/>
  <c r="AL391" i="7"/>
  <c r="AU158" i="7"/>
  <c r="AV158" i="7" s="1"/>
  <c r="AU392" i="7"/>
  <c r="AV392" i="7" s="1"/>
  <c r="AP158" i="7"/>
  <c r="AP392" i="7"/>
  <c r="AK158" i="7"/>
  <c r="AL158" i="7" s="1"/>
  <c r="AK392" i="7"/>
  <c r="F14" i="28"/>
  <c r="G15" i="28"/>
  <c r="H15" i="28" s="1"/>
  <c r="AI18" i="7"/>
  <c r="AU278" i="7" s="1"/>
  <c r="K18" i="7"/>
  <c r="H17" i="7"/>
  <c r="I17" i="7"/>
  <c r="M19" i="7"/>
  <c r="N19" i="7" s="1"/>
  <c r="G16" i="7"/>
  <c r="AG18" i="7"/>
  <c r="AK278" i="7" s="1"/>
  <c r="J18" i="7"/>
  <c r="AH18" i="7" s="1"/>
  <c r="AP278" i="7" s="1"/>
  <c r="L18" i="7"/>
  <c r="AL261" i="7"/>
  <c r="G9" i="27"/>
  <c r="H9" i="27" s="1"/>
  <c r="J9" i="27" s="1"/>
  <c r="L9" i="27" s="1"/>
  <c r="F8" i="27"/>
  <c r="AU266" i="7" l="1"/>
  <c r="AV266" i="7" s="1"/>
  <c r="AU242" i="7"/>
  <c r="AV242" i="7" s="1"/>
  <c r="AM241" i="7"/>
  <c r="AN240" i="7"/>
  <c r="AO240" i="7" s="1"/>
  <c r="AP266" i="7"/>
  <c r="AQ266" i="7" s="1"/>
  <c r="AP242" i="7"/>
  <c r="AQ242" i="7" s="1"/>
  <c r="AK266" i="7"/>
  <c r="AK242" i="7"/>
  <c r="AL242" i="7" s="1"/>
  <c r="AK179" i="7"/>
  <c r="AL179" i="7" s="1"/>
  <c r="AK117" i="7"/>
  <c r="AL117" i="7" s="1"/>
  <c r="AN116" i="7"/>
  <c r="AO116" i="7" s="1"/>
  <c r="AM117" i="7"/>
  <c r="AP179" i="7"/>
  <c r="AQ179" i="7" s="1"/>
  <c r="AP117" i="7"/>
  <c r="AQ117" i="7" s="1"/>
  <c r="AU179" i="7"/>
  <c r="AV179" i="7" s="1"/>
  <c r="AU117" i="7"/>
  <c r="AV117" i="7" s="1"/>
  <c r="AM391" i="7"/>
  <c r="AM392" i="7" s="1"/>
  <c r="AM393" i="7" s="1"/>
  <c r="AM394" i="7" s="1"/>
  <c r="AM395" i="7" s="1"/>
  <c r="AM396" i="7" s="1"/>
  <c r="AM397" i="7" s="1"/>
  <c r="AM398" i="7" s="1"/>
  <c r="AM399" i="7" s="1"/>
  <c r="AM400" i="7" s="1"/>
  <c r="AM401" i="7" s="1"/>
  <c r="AM402" i="7" s="1"/>
  <c r="AM179" i="7"/>
  <c r="AN179" i="7" s="1"/>
  <c r="AM158" i="7"/>
  <c r="AN178" i="7"/>
  <c r="AO178" i="7" s="1"/>
  <c r="AQ392" i="7"/>
  <c r="AQ158" i="7"/>
  <c r="AN262" i="7"/>
  <c r="AO157" i="7"/>
  <c r="H13" i="13"/>
  <c r="L13" i="13" s="1"/>
  <c r="G13" i="13"/>
  <c r="F12" i="13"/>
  <c r="J14" i="13"/>
  <c r="I14" i="13"/>
  <c r="AK159" i="7"/>
  <c r="AL159" i="7" s="1"/>
  <c r="AK393" i="7"/>
  <c r="AU159" i="7"/>
  <c r="AV159" i="7" s="1"/>
  <c r="AU393" i="7"/>
  <c r="AV393" i="7" s="1"/>
  <c r="AP159" i="7"/>
  <c r="AP393" i="7"/>
  <c r="AL392" i="7"/>
  <c r="G14" i="28"/>
  <c r="H14" i="28" s="1"/>
  <c r="F13" i="28"/>
  <c r="M18" i="7"/>
  <c r="N18" i="7" s="1"/>
  <c r="H16" i="7"/>
  <c r="I16" i="7"/>
  <c r="AG17" i="7"/>
  <c r="AK279" i="7" s="1"/>
  <c r="L17" i="7"/>
  <c r="J17" i="7"/>
  <c r="AH17" i="7" s="1"/>
  <c r="AP279" i="7" s="1"/>
  <c r="AI17" i="7"/>
  <c r="AU279" i="7" s="1"/>
  <c r="K17" i="7"/>
  <c r="G15" i="7"/>
  <c r="AL262" i="7"/>
  <c r="G8" i="27"/>
  <c r="H8" i="27" s="1"/>
  <c r="J8" i="27" s="1"/>
  <c r="L8" i="27" s="1"/>
  <c r="F7" i="27"/>
  <c r="AM242" i="7" l="1"/>
  <c r="AN241" i="7"/>
  <c r="AO241" i="7" s="1"/>
  <c r="AU267" i="7"/>
  <c r="AV267" i="7" s="1"/>
  <c r="AU243" i="7"/>
  <c r="AV243" i="7" s="1"/>
  <c r="AP267" i="7"/>
  <c r="AQ267" i="7" s="1"/>
  <c r="AP243" i="7"/>
  <c r="AQ243" i="7" s="1"/>
  <c r="AK267" i="7"/>
  <c r="AK243" i="7"/>
  <c r="AK180" i="7"/>
  <c r="AL180" i="7" s="1"/>
  <c r="AK118" i="7"/>
  <c r="AN117" i="7"/>
  <c r="AO117" i="7" s="1"/>
  <c r="AM118" i="7"/>
  <c r="AP180" i="7"/>
  <c r="AQ180" i="7" s="1"/>
  <c r="AP118" i="7"/>
  <c r="AQ118" i="7" s="1"/>
  <c r="AU180" i="7"/>
  <c r="AV180" i="7" s="1"/>
  <c r="AU118" i="7"/>
  <c r="AV118" i="7" s="1"/>
  <c r="AN392" i="7"/>
  <c r="AM180" i="7"/>
  <c r="AM159" i="7"/>
  <c r="AN158" i="7"/>
  <c r="AO158" i="7" s="1"/>
  <c r="AN391" i="7"/>
  <c r="AQ393" i="7"/>
  <c r="AQ159" i="7"/>
  <c r="AN263" i="7"/>
  <c r="AN393" i="7"/>
  <c r="AO179" i="7"/>
  <c r="H12" i="13"/>
  <c r="L12" i="13" s="1"/>
  <c r="G12" i="13"/>
  <c r="F11" i="13"/>
  <c r="J13" i="13"/>
  <c r="I13" i="13"/>
  <c r="AP160" i="7"/>
  <c r="AP394" i="7"/>
  <c r="AK160" i="7"/>
  <c r="AL160" i="7" s="1"/>
  <c r="AK394" i="7"/>
  <c r="AL393" i="7"/>
  <c r="AU160" i="7"/>
  <c r="AV160" i="7" s="1"/>
  <c r="AU394" i="7"/>
  <c r="AV394" i="7" s="1"/>
  <c r="G13" i="28"/>
  <c r="H13" i="28" s="1"/>
  <c r="F12" i="28"/>
  <c r="AI16" i="7"/>
  <c r="K16" i="7"/>
  <c r="G14" i="7"/>
  <c r="I15" i="7"/>
  <c r="H15" i="7"/>
  <c r="M17" i="7"/>
  <c r="N17" i="7" s="1"/>
  <c r="L16" i="7"/>
  <c r="J16" i="7"/>
  <c r="AH16" i="7" s="1"/>
  <c r="AP280" i="7" s="1"/>
  <c r="AG16" i="7"/>
  <c r="AK280" i="7" s="1"/>
  <c r="AO260" i="7"/>
  <c r="AO261" i="7"/>
  <c r="AL263" i="7"/>
  <c r="G7" i="27"/>
  <c r="H7" i="27" s="1"/>
  <c r="J7" i="27" s="1"/>
  <c r="L7" i="27" s="1"/>
  <c r="L5" i="27" s="1"/>
  <c r="F82" i="41" s="1"/>
  <c r="T33" i="41" s="1"/>
  <c r="B11" i="27"/>
  <c r="AU244" i="7" l="1"/>
  <c r="AV244" i="7" s="1"/>
  <c r="AU280" i="7"/>
  <c r="AM243" i="7"/>
  <c r="AN242" i="7"/>
  <c r="AO242" i="7" s="1"/>
  <c r="AL243" i="7"/>
  <c r="AK268" i="7"/>
  <c r="AK244" i="7"/>
  <c r="AP268" i="7"/>
  <c r="AQ268" i="7" s="1"/>
  <c r="AP244" i="7"/>
  <c r="AQ244" i="7" s="1"/>
  <c r="AU119" i="7"/>
  <c r="AV119" i="7" s="1"/>
  <c r="AU268" i="7"/>
  <c r="AV268" i="7" s="1"/>
  <c r="AK181" i="7"/>
  <c r="AL181" i="7" s="1"/>
  <c r="AK119" i="7"/>
  <c r="AP181" i="7"/>
  <c r="AQ181" i="7" s="1"/>
  <c r="AP119" i="7"/>
  <c r="AQ119" i="7" s="1"/>
  <c r="AL118" i="7"/>
  <c r="AN118" i="7"/>
  <c r="AO118" i="7" s="1"/>
  <c r="AM119" i="7"/>
  <c r="AM160" i="7"/>
  <c r="AN159" i="7"/>
  <c r="AO159" i="7" s="1"/>
  <c r="AM181" i="7"/>
  <c r="AN180" i="7"/>
  <c r="AO180" i="7" s="1"/>
  <c r="AQ394" i="7"/>
  <c r="AQ160" i="7"/>
  <c r="AN394" i="7"/>
  <c r="AN264" i="7"/>
  <c r="AU430" i="7"/>
  <c r="AV430" i="7" s="1"/>
  <c r="AV431" i="7" s="1"/>
  <c r="AU181" i="7"/>
  <c r="AV181" i="7" s="1"/>
  <c r="H11" i="13"/>
  <c r="L11" i="13" s="1"/>
  <c r="G11" i="13"/>
  <c r="F10" i="13"/>
  <c r="J12" i="13"/>
  <c r="I12" i="13"/>
  <c r="AL394" i="7"/>
  <c r="AO392" i="7"/>
  <c r="AP161" i="7"/>
  <c r="AP395" i="7"/>
  <c r="AK161" i="7"/>
  <c r="AL161" i="7" s="1"/>
  <c r="AK395" i="7"/>
  <c r="AU161" i="7"/>
  <c r="AV161" i="7" s="1"/>
  <c r="AU395" i="7"/>
  <c r="AV395" i="7" s="1"/>
  <c r="AO391" i="7"/>
  <c r="F11" i="28"/>
  <c r="G12" i="28"/>
  <c r="H12" i="28" s="1"/>
  <c r="G13" i="7"/>
  <c r="H14" i="7"/>
  <c r="I14" i="7"/>
  <c r="AI15" i="7"/>
  <c r="K15" i="7"/>
  <c r="M16" i="7"/>
  <c r="N16" i="7" s="1"/>
  <c r="L15" i="7"/>
  <c r="J15" i="7"/>
  <c r="AH15" i="7" s="1"/>
  <c r="AP281" i="7" s="1"/>
  <c r="AG15" i="7"/>
  <c r="AK281" i="7" s="1"/>
  <c r="AL264" i="7"/>
  <c r="V33" i="41"/>
  <c r="J24" i="30" s="1"/>
  <c r="L24" i="30" s="1"/>
  <c r="J12" i="46"/>
  <c r="AU245" i="7" l="1"/>
  <c r="AV245" i="7" s="1"/>
  <c r="AU281" i="7"/>
  <c r="AL244" i="7"/>
  <c r="AM244" i="7"/>
  <c r="AN243" i="7"/>
  <c r="AO243" i="7" s="1"/>
  <c r="AK269" i="7"/>
  <c r="AK245" i="7"/>
  <c r="AP269" i="7"/>
  <c r="AQ269" i="7" s="1"/>
  <c r="AP245" i="7"/>
  <c r="AQ245" i="7" s="1"/>
  <c r="AU120" i="7"/>
  <c r="AV120" i="7" s="1"/>
  <c r="AU269" i="7"/>
  <c r="AV269" i="7" s="1"/>
  <c r="AK182" i="7"/>
  <c r="AL182" i="7" s="1"/>
  <c r="AK120" i="7"/>
  <c r="AL119" i="7"/>
  <c r="AP182" i="7"/>
  <c r="AQ182" i="7" s="1"/>
  <c r="AP120" i="7"/>
  <c r="AQ120" i="7" s="1"/>
  <c r="AN119" i="7"/>
  <c r="AO119" i="7" s="1"/>
  <c r="AM120" i="7"/>
  <c r="AM182" i="7"/>
  <c r="AM161" i="7"/>
  <c r="AN160" i="7"/>
  <c r="AO160" i="7" s="1"/>
  <c r="AN181" i="7"/>
  <c r="AO181" i="7" s="1"/>
  <c r="AQ395" i="7"/>
  <c r="AQ161" i="7"/>
  <c r="AN265" i="7"/>
  <c r="AN395" i="7"/>
  <c r="AU477" i="7"/>
  <c r="AV477" i="7" s="1"/>
  <c r="AV478" i="7" s="1"/>
  <c r="AV479" i="7" s="1"/>
  <c r="AU182" i="7"/>
  <c r="AV182" i="7" s="1"/>
  <c r="H10" i="13"/>
  <c r="L10" i="13" s="1"/>
  <c r="F9" i="13"/>
  <c r="F8" i="13" s="1"/>
  <c r="G10" i="13"/>
  <c r="J11" i="13"/>
  <c r="I11" i="13"/>
  <c r="AL395" i="7"/>
  <c r="AP162" i="7"/>
  <c r="AP396" i="7"/>
  <c r="AU162" i="7"/>
  <c r="AV162" i="7" s="1"/>
  <c r="AU396" i="7"/>
  <c r="AV396" i="7" s="1"/>
  <c r="AK162" i="7"/>
  <c r="AL162" i="7" s="1"/>
  <c r="AK396" i="7"/>
  <c r="F10" i="28"/>
  <c r="G11" i="28"/>
  <c r="H11" i="28" s="1"/>
  <c r="L14" i="7"/>
  <c r="J14" i="7"/>
  <c r="AH14" i="7" s="1"/>
  <c r="AP282" i="7" s="1"/>
  <c r="AG14" i="7"/>
  <c r="AK282" i="7" s="1"/>
  <c r="H13" i="7"/>
  <c r="I13" i="7"/>
  <c r="AI14" i="7"/>
  <c r="K14" i="7"/>
  <c r="G12" i="7"/>
  <c r="M15" i="7"/>
  <c r="N15" i="7" s="1"/>
  <c r="AO262" i="7"/>
  <c r="AL265" i="7"/>
  <c r="AU246" i="7" l="1"/>
  <c r="AV246" i="7" s="1"/>
  <c r="AU282" i="7"/>
  <c r="AP270" i="7"/>
  <c r="AQ270" i="7" s="1"/>
  <c r="AP246" i="7"/>
  <c r="AQ246" i="7" s="1"/>
  <c r="AM245" i="7"/>
  <c r="AN244" i="7"/>
  <c r="AO244" i="7" s="1"/>
  <c r="AL245" i="7"/>
  <c r="AK270" i="7"/>
  <c r="AK246" i="7"/>
  <c r="AU121" i="7"/>
  <c r="AV121" i="7" s="1"/>
  <c r="AU270" i="7"/>
  <c r="AV270" i="7" s="1"/>
  <c r="AL120" i="7"/>
  <c r="AM121" i="7"/>
  <c r="AN120" i="7"/>
  <c r="AO120" i="7" s="1"/>
  <c r="AK183" i="7"/>
  <c r="AL183" i="7" s="1"/>
  <c r="AK121" i="7"/>
  <c r="AP183" i="7"/>
  <c r="AQ183" i="7" s="1"/>
  <c r="AP121" i="7"/>
  <c r="AQ121" i="7" s="1"/>
  <c r="AM162" i="7"/>
  <c r="AN162" i="7" s="1"/>
  <c r="AO162" i="7" s="1"/>
  <c r="AN161" i="7"/>
  <c r="AO161" i="7" s="1"/>
  <c r="AM183" i="7"/>
  <c r="AN182" i="7"/>
  <c r="AO182" i="7" s="1"/>
  <c r="AQ396" i="7"/>
  <c r="AQ162" i="7"/>
  <c r="AN266" i="7"/>
  <c r="AN396" i="7"/>
  <c r="AU432" i="7"/>
  <c r="AV432" i="7" s="1"/>
  <c r="AV433" i="7" s="1"/>
  <c r="AV434" i="7" s="1"/>
  <c r="AV435" i="7" s="1"/>
  <c r="AV436" i="7" s="1"/>
  <c r="AV437" i="7" s="1"/>
  <c r="AV438" i="7" s="1"/>
  <c r="AU183" i="7"/>
  <c r="AV183" i="7" s="1"/>
  <c r="H8" i="13"/>
  <c r="J8" i="13" s="1"/>
  <c r="G8" i="13"/>
  <c r="F7" i="13"/>
  <c r="H9" i="13"/>
  <c r="L9" i="13" s="1"/>
  <c r="G9" i="13"/>
  <c r="I10" i="13"/>
  <c r="J10" i="13"/>
  <c r="AO394" i="7"/>
  <c r="AK163" i="7"/>
  <c r="AL163" i="7" s="1"/>
  <c r="AK397" i="7"/>
  <c r="AL396" i="7"/>
  <c r="AU163" i="7"/>
  <c r="AV163" i="7" s="1"/>
  <c r="AU397" i="7"/>
  <c r="AV397" i="7" s="1"/>
  <c r="AP163" i="7"/>
  <c r="AP397" i="7"/>
  <c r="AO393" i="7"/>
  <c r="G10" i="28"/>
  <c r="H10" i="28" s="1"/>
  <c r="F9" i="28"/>
  <c r="H12" i="7"/>
  <c r="I12" i="7"/>
  <c r="G11" i="7"/>
  <c r="L13" i="7"/>
  <c r="J13" i="7"/>
  <c r="AH13" i="7" s="1"/>
  <c r="AP283" i="7" s="1"/>
  <c r="AQ283" i="7" s="1"/>
  <c r="AG13" i="7"/>
  <c r="M14" i="7"/>
  <c r="N14" i="7" s="1"/>
  <c r="AI13" i="7"/>
  <c r="AU283" i="7" s="1"/>
  <c r="AV283" i="7" s="1"/>
  <c r="K13" i="7"/>
  <c r="AO263" i="7"/>
  <c r="AL266" i="7"/>
  <c r="AK247" i="7" l="1"/>
  <c r="AL247" i="7" s="1"/>
  <c r="AM247" i="7" s="1"/>
  <c r="AK283" i="7"/>
  <c r="AL246" i="7"/>
  <c r="AM246" i="7"/>
  <c r="AN246" i="7" s="1"/>
  <c r="AO246" i="7" s="1"/>
  <c r="AN245" i="7"/>
  <c r="AO245" i="7" s="1"/>
  <c r="AU271" i="7"/>
  <c r="AV271" i="7" s="1"/>
  <c r="AU247" i="7"/>
  <c r="AV247" i="7" s="1"/>
  <c r="AP271" i="7"/>
  <c r="AQ271" i="7" s="1"/>
  <c r="AP247" i="7"/>
  <c r="AQ247" i="7" s="1"/>
  <c r="AK122" i="7"/>
  <c r="AK271" i="7"/>
  <c r="AL271" i="7" s="1"/>
  <c r="AM271" i="7" s="1"/>
  <c r="AP184" i="7"/>
  <c r="AQ184" i="7" s="1"/>
  <c r="AP122" i="7"/>
  <c r="AQ122" i="7" s="1"/>
  <c r="AN121" i="7"/>
  <c r="AO121" i="7" s="1"/>
  <c r="AM122" i="7"/>
  <c r="AU184" i="7"/>
  <c r="AV184" i="7" s="1"/>
  <c r="AU122" i="7"/>
  <c r="AV122" i="7" s="1"/>
  <c r="AL121" i="7"/>
  <c r="AN183" i="7"/>
  <c r="AO183" i="7" s="1"/>
  <c r="AM163" i="7"/>
  <c r="AQ397" i="7"/>
  <c r="AQ163" i="7"/>
  <c r="AN267" i="7"/>
  <c r="AN397" i="7"/>
  <c r="AK398" i="7"/>
  <c r="AK184" i="7"/>
  <c r="AL184" i="7" s="1"/>
  <c r="AM184" i="7" s="1"/>
  <c r="H7" i="13"/>
  <c r="H5" i="13" s="1"/>
  <c r="G7" i="13"/>
  <c r="L8" i="13"/>
  <c r="I8" i="13"/>
  <c r="I9" i="13"/>
  <c r="J9" i="13"/>
  <c r="AU164" i="7"/>
  <c r="AV164" i="7" s="1"/>
  <c r="AU398" i="7"/>
  <c r="AV398" i="7" s="1"/>
  <c r="AP164" i="7"/>
  <c r="AP398" i="7"/>
  <c r="AL397" i="7"/>
  <c r="AK164" i="7"/>
  <c r="AL164" i="7" s="1"/>
  <c r="F8" i="28"/>
  <c r="F7" i="28" s="1"/>
  <c r="G9" i="28"/>
  <c r="H9" i="28" s="1"/>
  <c r="AI12" i="7"/>
  <c r="K12" i="7"/>
  <c r="M13" i="7"/>
  <c r="N13" i="7" s="1"/>
  <c r="G10" i="7"/>
  <c r="H11" i="7"/>
  <c r="I11" i="7"/>
  <c r="L12" i="7"/>
  <c r="J12" i="7"/>
  <c r="AH12" i="7" s="1"/>
  <c r="AP284" i="7" s="1"/>
  <c r="AQ284" i="7" s="1"/>
  <c r="AG12" i="7"/>
  <c r="AO264" i="7"/>
  <c r="AL267" i="7"/>
  <c r="AL268" i="7" s="1"/>
  <c r="AK248" i="7" l="1"/>
  <c r="AL248" i="7" s="1"/>
  <c r="AK284" i="7"/>
  <c r="AU248" i="7"/>
  <c r="AV248" i="7" s="1"/>
  <c r="AU284" i="7"/>
  <c r="AV284" i="7" s="1"/>
  <c r="AL283" i="7"/>
  <c r="AM248" i="7"/>
  <c r="AN247" i="7"/>
  <c r="AO247" i="7" s="1"/>
  <c r="AP272" i="7"/>
  <c r="AQ272" i="7" s="1"/>
  <c r="AP248" i="7"/>
  <c r="AQ248" i="7" s="1"/>
  <c r="AL398" i="7"/>
  <c r="AL122" i="7"/>
  <c r="AK123" i="7"/>
  <c r="AK272" i="7"/>
  <c r="AU123" i="7"/>
  <c r="AV123" i="7" s="1"/>
  <c r="AU272" i="7"/>
  <c r="AV272" i="7" s="1"/>
  <c r="AM272" i="7"/>
  <c r="AN271" i="7"/>
  <c r="AP185" i="7"/>
  <c r="AQ185" i="7" s="1"/>
  <c r="AP123" i="7"/>
  <c r="AQ123" i="7" s="1"/>
  <c r="AN122" i="7"/>
  <c r="AO122" i="7" s="1"/>
  <c r="AM123" i="7"/>
  <c r="AN184" i="7"/>
  <c r="AO184" i="7" s="1"/>
  <c r="AM164" i="7"/>
  <c r="AN163" i="7"/>
  <c r="AO163" i="7" s="1"/>
  <c r="AQ164" i="7"/>
  <c r="AQ398" i="7"/>
  <c r="AN268" i="7"/>
  <c r="AN398" i="7"/>
  <c r="AK399" i="7"/>
  <c r="AK185" i="7"/>
  <c r="AL185" i="7" s="1"/>
  <c r="AM185" i="7" s="1"/>
  <c r="AU480" i="7"/>
  <c r="AV480" i="7" s="1"/>
  <c r="AV481" i="7" s="1"/>
  <c r="AV482" i="7" s="1"/>
  <c r="AV483" i="7" s="1"/>
  <c r="AV484" i="7" s="1"/>
  <c r="AV485" i="7" s="1"/>
  <c r="AV486" i="7" s="1"/>
  <c r="AU185" i="7"/>
  <c r="AV185" i="7" s="1"/>
  <c r="L7" i="13"/>
  <c r="L5" i="13" s="1"/>
  <c r="E97" i="29" s="1"/>
  <c r="G23" i="29" s="1"/>
  <c r="J7" i="13"/>
  <c r="J5" i="13" s="1"/>
  <c r="I7" i="13"/>
  <c r="I5" i="13" s="1"/>
  <c r="AP165" i="7"/>
  <c r="AP399" i="7"/>
  <c r="AO396" i="7"/>
  <c r="AU165" i="7"/>
  <c r="AV165" i="7" s="1"/>
  <c r="AU399" i="7"/>
  <c r="AV399" i="7" s="1"/>
  <c r="AO395" i="7"/>
  <c r="AK165" i="7"/>
  <c r="AL165" i="7" s="1"/>
  <c r="G8" i="28"/>
  <c r="H8" i="28" s="1"/>
  <c r="J8" i="28" s="1"/>
  <c r="AI11" i="7"/>
  <c r="AU285" i="7" s="1"/>
  <c r="AV285" i="7" s="1"/>
  <c r="K11" i="7"/>
  <c r="M12" i="7"/>
  <c r="N12" i="7" s="1"/>
  <c r="H10" i="7"/>
  <c r="I10" i="7"/>
  <c r="L11" i="7"/>
  <c r="J11" i="7"/>
  <c r="AH11" i="7" s="1"/>
  <c r="AP285" i="7" s="1"/>
  <c r="AQ285" i="7" s="1"/>
  <c r="AG11" i="7"/>
  <c r="G9" i="7"/>
  <c r="AO265" i="7"/>
  <c r="AL269" i="7"/>
  <c r="AM283" i="7" l="1"/>
  <c r="AL284" i="7"/>
  <c r="AK249" i="7"/>
  <c r="AL249" i="7" s="1"/>
  <c r="AK285" i="7"/>
  <c r="AL399" i="7"/>
  <c r="AP273" i="7"/>
  <c r="AQ273" i="7" s="1"/>
  <c r="AP249" i="7"/>
  <c r="AQ249" i="7" s="1"/>
  <c r="AU273" i="7"/>
  <c r="AV273" i="7" s="1"/>
  <c r="AU249" i="7"/>
  <c r="AV249" i="7" s="1"/>
  <c r="AM249" i="7"/>
  <c r="AN248" i="7"/>
  <c r="AO248" i="7" s="1"/>
  <c r="AL123" i="7"/>
  <c r="AL272" i="7"/>
  <c r="AK124" i="7"/>
  <c r="AK273" i="7"/>
  <c r="AM273" i="7"/>
  <c r="AN272" i="7"/>
  <c r="AO272" i="7" s="1"/>
  <c r="AN123" i="7"/>
  <c r="AO123" i="7" s="1"/>
  <c r="AM124" i="7"/>
  <c r="AP186" i="7"/>
  <c r="AQ186" i="7" s="1"/>
  <c r="AP124" i="7"/>
  <c r="AQ124" i="7" s="1"/>
  <c r="AU186" i="7"/>
  <c r="AV186" i="7" s="1"/>
  <c r="AU124" i="7"/>
  <c r="AV124" i="7" s="1"/>
  <c r="AN185" i="7"/>
  <c r="AO185" i="7" s="1"/>
  <c r="AM165" i="7"/>
  <c r="AN164" i="7"/>
  <c r="AO164" i="7" s="1"/>
  <c r="AQ399" i="7"/>
  <c r="AQ165" i="7"/>
  <c r="AN269" i="7"/>
  <c r="AN399" i="7"/>
  <c r="AK400" i="7"/>
  <c r="AL400" i="7" s="1"/>
  <c r="AK186" i="7"/>
  <c r="AL186" i="7" s="1"/>
  <c r="AM186" i="7" s="1"/>
  <c r="AN186" i="7" s="1"/>
  <c r="G27" i="29"/>
  <c r="H440" i="45"/>
  <c r="J42" i="46"/>
  <c r="L8" i="28"/>
  <c r="AP166" i="7"/>
  <c r="AP400" i="7"/>
  <c r="AU166" i="7"/>
  <c r="AV166" i="7" s="1"/>
  <c r="AU400" i="7"/>
  <c r="AV400" i="7" s="1"/>
  <c r="AK166" i="7"/>
  <c r="AL166" i="7" s="1"/>
  <c r="G7" i="28"/>
  <c r="B11" i="28"/>
  <c r="G8" i="7"/>
  <c r="F7" i="7"/>
  <c r="G7" i="7" s="1"/>
  <c r="H7" i="7" s="1"/>
  <c r="M11" i="7"/>
  <c r="N11" i="7" s="1"/>
  <c r="I9" i="7"/>
  <c r="H9" i="7"/>
  <c r="L10" i="7"/>
  <c r="J10" i="7"/>
  <c r="AH10" i="7" s="1"/>
  <c r="AP286" i="7" s="1"/>
  <c r="AQ286" i="7" s="1"/>
  <c r="AG10" i="7"/>
  <c r="AI10" i="7"/>
  <c r="AU286" i="7" s="1"/>
  <c r="AV286" i="7" s="1"/>
  <c r="K10" i="7"/>
  <c r="AO266" i="7"/>
  <c r="AL270" i="7"/>
  <c r="AK250" i="7" l="1"/>
  <c r="AL250" i="7" s="1"/>
  <c r="AK286" i="7"/>
  <c r="AL285" i="7"/>
  <c r="AM284" i="7"/>
  <c r="AN283" i="7"/>
  <c r="AO283" i="7" s="1"/>
  <c r="AM250" i="7"/>
  <c r="AN249" i="7"/>
  <c r="AO249" i="7" s="1"/>
  <c r="AU274" i="7"/>
  <c r="AV274" i="7" s="1"/>
  <c r="AU250" i="7"/>
  <c r="AV250" i="7" s="1"/>
  <c r="AP274" i="7"/>
  <c r="AQ274" i="7" s="1"/>
  <c r="AP250" i="7"/>
  <c r="AQ250" i="7" s="1"/>
  <c r="AL124" i="7"/>
  <c r="AM274" i="7"/>
  <c r="AN273" i="7"/>
  <c r="AO273" i="7" s="1"/>
  <c r="AK125" i="7"/>
  <c r="AK274" i="7"/>
  <c r="AL273" i="7"/>
  <c r="AP187" i="7"/>
  <c r="AQ187" i="7" s="1"/>
  <c r="AP125" i="7"/>
  <c r="AQ125" i="7" s="1"/>
  <c r="AU187" i="7"/>
  <c r="AV187" i="7" s="1"/>
  <c r="AU125" i="7"/>
  <c r="AV125" i="7" s="1"/>
  <c r="AM125" i="7"/>
  <c r="AN124" i="7"/>
  <c r="AO124" i="7" s="1"/>
  <c r="AM166" i="7"/>
  <c r="AN166" i="7" s="1"/>
  <c r="AO166" i="7" s="1"/>
  <c r="AN165" i="7"/>
  <c r="AO165" i="7" s="1"/>
  <c r="AQ400" i="7"/>
  <c r="AQ166" i="7"/>
  <c r="AN270" i="7"/>
  <c r="AN400" i="7"/>
  <c r="AO186" i="7"/>
  <c r="AK401" i="7"/>
  <c r="AL401" i="7" s="1"/>
  <c r="AK187" i="7"/>
  <c r="AL187" i="7" s="1"/>
  <c r="H442" i="45"/>
  <c r="H444" i="45" s="1"/>
  <c r="J27" i="29"/>
  <c r="I442" i="45" s="1"/>
  <c r="I444" i="45" s="1"/>
  <c r="J36" i="30"/>
  <c r="H7" i="28"/>
  <c r="I7" i="28" s="1"/>
  <c r="I8" i="28"/>
  <c r="AO398" i="7"/>
  <c r="AU167" i="7"/>
  <c r="AV167" i="7" s="1"/>
  <c r="AU401" i="7"/>
  <c r="AV401" i="7" s="1"/>
  <c r="AP167" i="7"/>
  <c r="AP401" i="7"/>
  <c r="AO397" i="7"/>
  <c r="AK191" i="7"/>
  <c r="AK167" i="7"/>
  <c r="AL167" i="7" s="1"/>
  <c r="I10" i="28"/>
  <c r="J10" i="28"/>
  <c r="L10" i="28" s="1"/>
  <c r="T10" i="28" s="1"/>
  <c r="AU191" i="7"/>
  <c r="AP191" i="7"/>
  <c r="AI9" i="7"/>
  <c r="AU287" i="7" s="1"/>
  <c r="AV287" i="7" s="1"/>
  <c r="K9" i="7"/>
  <c r="I7" i="7"/>
  <c r="O8" i="5"/>
  <c r="B11" i="7"/>
  <c r="AI7" i="7"/>
  <c r="AU289" i="7" s="1"/>
  <c r="O7" i="5"/>
  <c r="M10" i="7"/>
  <c r="N10" i="7" s="1"/>
  <c r="L9" i="7"/>
  <c r="AG9" i="7"/>
  <c r="J9" i="7"/>
  <c r="AH9" i="7" s="1"/>
  <c r="AP287" i="7" s="1"/>
  <c r="AQ287" i="7" s="1"/>
  <c r="H8" i="7"/>
  <c r="I8" i="7"/>
  <c r="AO267" i="7"/>
  <c r="C13" i="36"/>
  <c r="AM285" i="7" l="1"/>
  <c r="AN284" i="7"/>
  <c r="AO284" i="7" s="1"/>
  <c r="AK251" i="7"/>
  <c r="AL251" i="7" s="1"/>
  <c r="AK287" i="7"/>
  <c r="AL286" i="7"/>
  <c r="AP275" i="7"/>
  <c r="AQ275" i="7" s="1"/>
  <c r="AP251" i="7"/>
  <c r="AQ251" i="7" s="1"/>
  <c r="AM251" i="7"/>
  <c r="AN250" i="7"/>
  <c r="AO250" i="7" s="1"/>
  <c r="AU277" i="7"/>
  <c r="AU253" i="7"/>
  <c r="AU275" i="7"/>
  <c r="AV275" i="7" s="1"/>
  <c r="AU251" i="7"/>
  <c r="AV251" i="7" s="1"/>
  <c r="AL125" i="7"/>
  <c r="AL274" i="7"/>
  <c r="AM275" i="7"/>
  <c r="AN274" i="7"/>
  <c r="AO274" i="7" s="1"/>
  <c r="AK126" i="7"/>
  <c r="AK275" i="7"/>
  <c r="AU188" i="7"/>
  <c r="AV188" i="7" s="1"/>
  <c r="AU126" i="7"/>
  <c r="AV126" i="7" s="1"/>
  <c r="AM126" i="7"/>
  <c r="AN126" i="7" s="1"/>
  <c r="AN125" i="7"/>
  <c r="AO125" i="7" s="1"/>
  <c r="AP188" i="7"/>
  <c r="AQ188" i="7" s="1"/>
  <c r="AP126" i="7"/>
  <c r="AQ126" i="7" s="1"/>
  <c r="AU190" i="7"/>
  <c r="AU128" i="7"/>
  <c r="AM187" i="7"/>
  <c r="AM167" i="7"/>
  <c r="AQ401" i="7"/>
  <c r="AQ167" i="7"/>
  <c r="AN401" i="7"/>
  <c r="AK402" i="7"/>
  <c r="AL402" i="7" s="1"/>
  <c r="AK188" i="7"/>
  <c r="AL188" i="7" s="1"/>
  <c r="J38" i="30"/>
  <c r="L38" i="30" s="1"/>
  <c r="L36" i="30"/>
  <c r="J7" i="28"/>
  <c r="L7" i="28" s="1"/>
  <c r="T7" i="28" s="1"/>
  <c r="AP168" i="7"/>
  <c r="AP402" i="7"/>
  <c r="AU170" i="7"/>
  <c r="AU404" i="7"/>
  <c r="AU168" i="7"/>
  <c r="AV168" i="7" s="1"/>
  <c r="AU402" i="7"/>
  <c r="AV402" i="7" s="1"/>
  <c r="AK192" i="7"/>
  <c r="AK168" i="7"/>
  <c r="AL168" i="7" s="1"/>
  <c r="T8" i="28"/>
  <c r="I12" i="28"/>
  <c r="J12" i="28"/>
  <c r="L12" i="28" s="1"/>
  <c r="T12" i="28" s="1"/>
  <c r="AU192" i="7"/>
  <c r="AP192" i="7"/>
  <c r="O9" i="5"/>
  <c r="G50" i="22"/>
  <c r="F158" i="41" s="1"/>
  <c r="E30" i="30"/>
  <c r="AG7" i="7"/>
  <c r="J7" i="7"/>
  <c r="AH7" i="7" s="1"/>
  <c r="L7" i="7"/>
  <c r="M7" i="7" s="1"/>
  <c r="AI8" i="7"/>
  <c r="AU288" i="7" s="1"/>
  <c r="AV288" i="7" s="1"/>
  <c r="AV289" i="7" s="1"/>
  <c r="AV290" i="7" s="1"/>
  <c r="AV291" i="7" s="1"/>
  <c r="AV292" i="7" s="1"/>
  <c r="AV293" i="7" s="1"/>
  <c r="AV294" i="7" s="1"/>
  <c r="K8" i="7"/>
  <c r="L8" i="7"/>
  <c r="AG8" i="7"/>
  <c r="J8" i="7"/>
  <c r="AH8" i="7" s="1"/>
  <c r="AP288" i="7" s="1"/>
  <c r="AQ288" i="7" s="1"/>
  <c r="M9" i="7"/>
  <c r="N9" i="7" s="1"/>
  <c r="AU194" i="7"/>
  <c r="K7" i="7"/>
  <c r="AO268" i="7"/>
  <c r="AK9" i="41"/>
  <c r="AL9" i="41"/>
  <c r="H13" i="36"/>
  <c r="O6" i="36"/>
  <c r="O7" i="36" s="1"/>
  <c r="N7" i="36" s="1"/>
  <c r="O8" i="36" s="1"/>
  <c r="N8" i="36" s="1"/>
  <c r="O9" i="36" s="1"/>
  <c r="N9" i="36" s="1"/>
  <c r="O10" i="36" s="1"/>
  <c r="N10" i="36" s="1"/>
  <c r="O11" i="36" s="1"/>
  <c r="N11" i="36" s="1"/>
  <c r="O12" i="36" s="1"/>
  <c r="N12" i="36" s="1"/>
  <c r="O13" i="36" s="1"/>
  <c r="N13" i="36" s="1"/>
  <c r="O14" i="36" s="1"/>
  <c r="N14" i="36" s="1"/>
  <c r="O15" i="36" s="1"/>
  <c r="N15" i="36" s="1"/>
  <c r="O16" i="36" s="1"/>
  <c r="N16" i="36" s="1"/>
  <c r="O17" i="36" s="1"/>
  <c r="N17" i="36" s="1"/>
  <c r="O18" i="36" s="1"/>
  <c r="N18" i="36" s="1"/>
  <c r="O19" i="36" s="1"/>
  <c r="N19" i="36" s="1"/>
  <c r="O20" i="36" s="1"/>
  <c r="N20" i="36" s="1"/>
  <c r="O21" i="36" s="1"/>
  <c r="N21" i="36" s="1"/>
  <c r="O22" i="36" s="1"/>
  <c r="N22" i="36" s="1"/>
  <c r="O23" i="36" s="1"/>
  <c r="N23" i="36" s="1"/>
  <c r="O24" i="36" s="1"/>
  <c r="N24" i="36" s="1"/>
  <c r="O25" i="36" s="1"/>
  <c r="N25" i="36" s="1"/>
  <c r="O26" i="36" s="1"/>
  <c r="N26" i="36" s="1"/>
  <c r="O27" i="36" s="1"/>
  <c r="N27" i="36" s="1"/>
  <c r="O28" i="36" s="1"/>
  <c r="N28" i="36" s="1"/>
  <c r="O29" i="36" s="1"/>
  <c r="N29" i="36" s="1"/>
  <c r="O30" i="36" s="1"/>
  <c r="N30" i="36" s="1"/>
  <c r="O31" i="36" s="1"/>
  <c r="N31" i="36" s="1"/>
  <c r="O32" i="36" s="1"/>
  <c r="N32" i="36" s="1"/>
  <c r="O33" i="36" s="1"/>
  <c r="N33" i="36" s="1"/>
  <c r="O34" i="36" s="1"/>
  <c r="N34" i="36" s="1"/>
  <c r="O35" i="36" s="1"/>
  <c r="N35" i="36" s="1"/>
  <c r="O36" i="36" s="1"/>
  <c r="N36" i="36" s="1"/>
  <c r="O37" i="36" s="1"/>
  <c r="N37" i="36" s="1"/>
  <c r="O38" i="36" s="1"/>
  <c r="N38" i="36" s="1"/>
  <c r="O39" i="36" s="1"/>
  <c r="N39" i="36" s="1"/>
  <c r="O40" i="36" s="1"/>
  <c r="N40" i="36" s="1"/>
  <c r="O41" i="36" s="1"/>
  <c r="N41" i="36" s="1"/>
  <c r="O42" i="36" s="1"/>
  <c r="N42" i="36" s="1"/>
  <c r="O43" i="36" s="1"/>
  <c r="N43" i="36" s="1"/>
  <c r="O44" i="36" s="1"/>
  <c r="N44" i="36" s="1"/>
  <c r="O45" i="36" s="1"/>
  <c r="N45" i="36" s="1"/>
  <c r="O46" i="36" s="1"/>
  <c r="N46" i="36" s="1"/>
  <c r="O47" i="36" s="1"/>
  <c r="N47" i="36" s="1"/>
  <c r="O48" i="36" s="1"/>
  <c r="N48" i="36" s="1"/>
  <c r="O49" i="36" s="1"/>
  <c r="N49" i="36" s="1"/>
  <c r="O50" i="36" s="1"/>
  <c r="N50" i="36" s="1"/>
  <c r="O51" i="36" s="1"/>
  <c r="N51" i="36" s="1"/>
  <c r="O52" i="36" s="1"/>
  <c r="N52" i="36" s="1"/>
  <c r="O53" i="36" s="1"/>
  <c r="N53" i="36" s="1"/>
  <c r="O54" i="36" s="1"/>
  <c r="N54" i="36" s="1"/>
  <c r="O55" i="36" s="1"/>
  <c r="N55" i="36" s="1"/>
  <c r="O56" i="36" s="1"/>
  <c r="N56" i="36" s="1"/>
  <c r="O57" i="36" s="1"/>
  <c r="N57" i="36" s="1"/>
  <c r="O58" i="36" s="1"/>
  <c r="N58" i="36" s="1"/>
  <c r="O59" i="36" s="1"/>
  <c r="N59" i="36" s="1"/>
  <c r="O60" i="36" s="1"/>
  <c r="N60" i="36" s="1"/>
  <c r="O61" i="36" s="1"/>
  <c r="N61" i="36" s="1"/>
  <c r="O62" i="36" s="1"/>
  <c r="N62" i="36" s="1"/>
  <c r="O63" i="36" s="1"/>
  <c r="N63" i="36" s="1"/>
  <c r="O64" i="36" s="1"/>
  <c r="N64" i="36" s="1"/>
  <c r="O65" i="36" s="1"/>
  <c r="N65" i="36" s="1"/>
  <c r="O66" i="36" s="1"/>
  <c r="N66" i="36" s="1"/>
  <c r="O67" i="36" s="1"/>
  <c r="N67" i="36" s="1"/>
  <c r="O68" i="36" s="1"/>
  <c r="N68" i="36" s="1"/>
  <c r="O69" i="36" s="1"/>
  <c r="N69" i="36" s="1"/>
  <c r="O70" i="36" s="1"/>
  <c r="N70" i="36" s="1"/>
  <c r="O71" i="36" s="1"/>
  <c r="N71" i="36" s="1"/>
  <c r="O72" i="36" s="1"/>
  <c r="N72" i="36" s="1"/>
  <c r="O73" i="36" s="1"/>
  <c r="N73" i="36" s="1"/>
  <c r="O74" i="36" s="1"/>
  <c r="N74" i="36" s="1"/>
  <c r="O75" i="36" s="1"/>
  <c r="N75" i="36" s="1"/>
  <c r="O76" i="36" s="1"/>
  <c r="N76" i="36" s="1"/>
  <c r="O77" i="36" s="1"/>
  <c r="N77" i="36" s="1"/>
  <c r="O78" i="36" s="1"/>
  <c r="N78" i="36" s="1"/>
  <c r="O79" i="36" s="1"/>
  <c r="N79" i="36" s="1"/>
  <c r="O80" i="36" s="1"/>
  <c r="N80" i="36" s="1"/>
  <c r="O81" i="36" s="1"/>
  <c r="N81" i="36" s="1"/>
  <c r="O82" i="36" s="1"/>
  <c r="N82" i="36" s="1"/>
  <c r="O83" i="36" s="1"/>
  <c r="N83" i="36" s="1"/>
  <c r="O84" i="36" s="1"/>
  <c r="N84" i="36" s="1"/>
  <c r="O85" i="36" s="1"/>
  <c r="N85" i="36" s="1"/>
  <c r="O86" i="36" s="1"/>
  <c r="N86" i="36" s="1"/>
  <c r="O87" i="36" s="1"/>
  <c r="N87" i="36" s="1"/>
  <c r="O88" i="36" s="1"/>
  <c r="N88" i="36" s="1"/>
  <c r="O89" i="36" s="1"/>
  <c r="N89" i="36" s="1"/>
  <c r="O90" i="36" s="1"/>
  <c r="N90" i="36" s="1"/>
  <c r="O91" i="36" s="1"/>
  <c r="N91" i="36" s="1"/>
  <c r="O92" i="36" s="1"/>
  <c r="N92" i="36" s="1"/>
  <c r="O93" i="36" s="1"/>
  <c r="N93" i="36" s="1"/>
  <c r="O94" i="36" s="1"/>
  <c r="N94" i="36" s="1"/>
  <c r="O95" i="36" s="1"/>
  <c r="N95" i="36" s="1"/>
  <c r="O96" i="36" s="1"/>
  <c r="N96" i="36" s="1"/>
  <c r="O97" i="36" s="1"/>
  <c r="N97" i="36" s="1"/>
  <c r="O98" i="36" s="1"/>
  <c r="N98" i="36" s="1"/>
  <c r="O99" i="36" s="1"/>
  <c r="N99" i="36" s="1"/>
  <c r="O100" i="36" s="1"/>
  <c r="N100" i="36" s="1"/>
  <c r="O101" i="36" s="1"/>
  <c r="N101" i="36" s="1"/>
  <c r="O102" i="36" s="1"/>
  <c r="N102" i="36" s="1"/>
  <c r="O103" i="36" s="1"/>
  <c r="N103" i="36" s="1"/>
  <c r="O104" i="36" s="1"/>
  <c r="N104" i="36" s="1"/>
  <c r="O105" i="36" s="1"/>
  <c r="N105" i="36" s="1"/>
  <c r="O106" i="36" s="1"/>
  <c r="N106" i="36" s="1"/>
  <c r="O107" i="36" s="1"/>
  <c r="N107" i="36" s="1"/>
  <c r="O108" i="36" s="1"/>
  <c r="N108" i="36" s="1"/>
  <c r="O109" i="36" s="1"/>
  <c r="N109" i="36" s="1"/>
  <c r="O110" i="36" s="1"/>
  <c r="N110" i="36" s="1"/>
  <c r="O111" i="36" s="1"/>
  <c r="N111" i="36" s="1"/>
  <c r="O112" i="36" s="1"/>
  <c r="N112" i="36" s="1"/>
  <c r="O113" i="36" s="1"/>
  <c r="N113" i="36" s="1"/>
  <c r="O114" i="36" s="1"/>
  <c r="N114" i="36" s="1"/>
  <c r="O115" i="36" s="1"/>
  <c r="N115" i="36" s="1"/>
  <c r="O116" i="36" s="1"/>
  <c r="N116" i="36" s="1"/>
  <c r="O117" i="36" s="1"/>
  <c r="N117" i="36" s="1"/>
  <c r="O118" i="36" s="1"/>
  <c r="N118" i="36" s="1"/>
  <c r="O119" i="36" s="1"/>
  <c r="N119" i="36" s="1"/>
  <c r="O120" i="36" s="1"/>
  <c r="N120" i="36" s="1"/>
  <c r="O121" i="36" s="1"/>
  <c r="N121" i="36" s="1"/>
  <c r="O122" i="36" s="1"/>
  <c r="N122" i="36" s="1"/>
  <c r="O123" i="36" s="1"/>
  <c r="N123" i="36" s="1"/>
  <c r="O124" i="36" s="1"/>
  <c r="N124" i="36" s="1"/>
  <c r="O125" i="36" s="1"/>
  <c r="N125" i="36" s="1"/>
  <c r="O126" i="36" s="1"/>
  <c r="N126" i="36" s="1"/>
  <c r="O127" i="36" s="1"/>
  <c r="N127" i="36" s="1"/>
  <c r="O128" i="36" s="1"/>
  <c r="N128" i="36" s="1"/>
  <c r="O129" i="36" s="1"/>
  <c r="N129" i="36" s="1"/>
  <c r="O130" i="36" s="1"/>
  <c r="N130" i="36" s="1"/>
  <c r="O131" i="36" s="1"/>
  <c r="N131" i="36" s="1"/>
  <c r="O132" i="36" s="1"/>
  <c r="N132" i="36" s="1"/>
  <c r="O133" i="36" s="1"/>
  <c r="N133" i="36" s="1"/>
  <c r="O134" i="36" s="1"/>
  <c r="N134" i="36" s="1"/>
  <c r="O135" i="36" s="1"/>
  <c r="N135" i="36" s="1"/>
  <c r="O136" i="36" s="1"/>
  <c r="N136" i="36" s="1"/>
  <c r="O137" i="36" s="1"/>
  <c r="N137" i="36" s="1"/>
  <c r="O138" i="36" s="1"/>
  <c r="N138" i="36" s="1"/>
  <c r="O139" i="36" s="1"/>
  <c r="N139" i="36" s="1"/>
  <c r="O140" i="36" s="1"/>
  <c r="N140" i="36" s="1"/>
  <c r="O141" i="36" s="1"/>
  <c r="N141" i="36" s="1"/>
  <c r="O142" i="36" s="1"/>
  <c r="N142" i="36" s="1"/>
  <c r="O143" i="36" s="1"/>
  <c r="N143" i="36" s="1"/>
  <c r="O144" i="36" s="1"/>
  <c r="N144" i="36" s="1"/>
  <c r="O145" i="36" s="1"/>
  <c r="N145" i="36" s="1"/>
  <c r="O146" i="36" s="1"/>
  <c r="N146" i="36" s="1"/>
  <c r="O147" i="36" s="1"/>
  <c r="N147" i="36" s="1"/>
  <c r="O148" i="36" s="1"/>
  <c r="N148" i="36" s="1"/>
  <c r="O149" i="36" s="1"/>
  <c r="N149" i="36" s="1"/>
  <c r="O150" i="36" s="1"/>
  <c r="N150" i="36" s="1"/>
  <c r="O151" i="36" s="1"/>
  <c r="N151" i="36" s="1"/>
  <c r="O152" i="36" s="1"/>
  <c r="N152" i="36" s="1"/>
  <c r="O153" i="36" s="1"/>
  <c r="N153" i="36" s="1"/>
  <c r="O154" i="36" s="1"/>
  <c r="N154" i="36" s="1"/>
  <c r="O155" i="36" s="1"/>
  <c r="N155" i="36" s="1"/>
  <c r="O156" i="36" s="1"/>
  <c r="N156" i="36" s="1"/>
  <c r="O157" i="36" s="1"/>
  <c r="N157" i="36" s="1"/>
  <c r="O158" i="36" s="1"/>
  <c r="N158" i="36" s="1"/>
  <c r="O159" i="36" s="1"/>
  <c r="N159" i="36" s="1"/>
  <c r="O160" i="36" s="1"/>
  <c r="N160" i="36" s="1"/>
  <c r="O161" i="36" s="1"/>
  <c r="N161" i="36" s="1"/>
  <c r="O162" i="36" s="1"/>
  <c r="N162" i="36" s="1"/>
  <c r="O163" i="36" s="1"/>
  <c r="N163" i="36" s="1"/>
  <c r="O164" i="36" s="1"/>
  <c r="N164" i="36" s="1"/>
  <c r="O165" i="36" s="1"/>
  <c r="N165" i="36" s="1"/>
  <c r="O166" i="36" s="1"/>
  <c r="N166" i="36" s="1"/>
  <c r="O167" i="36" s="1"/>
  <c r="N167" i="36" s="1"/>
  <c r="O168" i="36" s="1"/>
  <c r="N168" i="36" s="1"/>
  <c r="O169" i="36" s="1"/>
  <c r="N169" i="36" s="1"/>
  <c r="O170" i="36" s="1"/>
  <c r="N170" i="36" s="1"/>
  <c r="O171" i="36" s="1"/>
  <c r="N171" i="36" s="1"/>
  <c r="O172" i="36" s="1"/>
  <c r="N172" i="36" s="1"/>
  <c r="O173" i="36" s="1"/>
  <c r="N173" i="36" s="1"/>
  <c r="O174" i="36" s="1"/>
  <c r="N174" i="36" s="1"/>
  <c r="O175" i="36" s="1"/>
  <c r="N175" i="36" s="1"/>
  <c r="O176" i="36" s="1"/>
  <c r="N176" i="36" s="1"/>
  <c r="O177" i="36" s="1"/>
  <c r="N177" i="36" s="1"/>
  <c r="O178" i="36" s="1"/>
  <c r="N178" i="36" s="1"/>
  <c r="O179" i="36" s="1"/>
  <c r="N179" i="36" s="1"/>
  <c r="O180" i="36" s="1"/>
  <c r="N180" i="36" s="1"/>
  <c r="O181" i="36" s="1"/>
  <c r="N181" i="36" s="1"/>
  <c r="O182" i="36" s="1"/>
  <c r="N182" i="36" s="1"/>
  <c r="O183" i="36" s="1"/>
  <c r="N183" i="36" s="1"/>
  <c r="O184" i="36" s="1"/>
  <c r="N184" i="36" s="1"/>
  <c r="O185" i="36" s="1"/>
  <c r="N185" i="36" s="1"/>
  <c r="O186" i="36" s="1"/>
  <c r="N186" i="36" s="1"/>
  <c r="O187" i="36" s="1"/>
  <c r="N187" i="36" s="1"/>
  <c r="O188" i="36" s="1"/>
  <c r="N188" i="36" s="1"/>
  <c r="O189" i="36" s="1"/>
  <c r="N189" i="36" s="1"/>
  <c r="O190" i="36" s="1"/>
  <c r="N190" i="36" s="1"/>
  <c r="O191" i="36" s="1"/>
  <c r="N191" i="36" s="1"/>
  <c r="O192" i="36" s="1"/>
  <c r="N192" i="36" s="1"/>
  <c r="O193" i="36" s="1"/>
  <c r="N193" i="36" s="1"/>
  <c r="O194" i="36" s="1"/>
  <c r="N194" i="36" s="1"/>
  <c r="O195" i="36" s="1"/>
  <c r="N195" i="36" s="1"/>
  <c r="O196" i="36" s="1"/>
  <c r="N196" i="36" s="1"/>
  <c r="O197" i="36" s="1"/>
  <c r="N197" i="36" s="1"/>
  <c r="O198" i="36" s="1"/>
  <c r="N198" i="36" s="1"/>
  <c r="O199" i="36" s="1"/>
  <c r="N199" i="36" s="1"/>
  <c r="O200" i="36" s="1"/>
  <c r="N200" i="36" s="1"/>
  <c r="O201" i="36" s="1"/>
  <c r="N201" i="36" s="1"/>
  <c r="O202" i="36" s="1"/>
  <c r="N202" i="36" s="1"/>
  <c r="O203" i="36" s="1"/>
  <c r="N203" i="36" s="1"/>
  <c r="O204" i="36" s="1"/>
  <c r="N204" i="36" s="1"/>
  <c r="O205" i="36" s="1"/>
  <c r="N205" i="36" s="1"/>
  <c r="O206" i="36" s="1"/>
  <c r="N206" i="36" s="1"/>
  <c r="O207" i="36" s="1"/>
  <c r="N207" i="36" s="1"/>
  <c r="O208" i="36" s="1"/>
  <c r="N208" i="36" s="1"/>
  <c r="O209" i="36" s="1"/>
  <c r="N209" i="36" s="1"/>
  <c r="O210" i="36" s="1"/>
  <c r="N210" i="36" s="1"/>
  <c r="O211" i="36" s="1"/>
  <c r="N211" i="36" s="1"/>
  <c r="O212" i="36" s="1"/>
  <c r="N212" i="36" s="1"/>
  <c r="O213" i="36" s="1"/>
  <c r="N213" i="36" s="1"/>
  <c r="O214" i="36" s="1"/>
  <c r="N214" i="36" s="1"/>
  <c r="O215" i="36" s="1"/>
  <c r="N215" i="36" s="1"/>
  <c r="O216" i="36" s="1"/>
  <c r="N216" i="36" s="1"/>
  <c r="O217" i="36" s="1"/>
  <c r="N217" i="36" s="1"/>
  <c r="O218" i="36" s="1"/>
  <c r="N218" i="36" s="1"/>
  <c r="O219" i="36" s="1"/>
  <c r="N219" i="36" s="1"/>
  <c r="O220" i="36" s="1"/>
  <c r="N220" i="36" s="1"/>
  <c r="O221" i="36" s="1"/>
  <c r="N221" i="36" s="1"/>
  <c r="O222" i="36" s="1"/>
  <c r="N222" i="36" s="1"/>
  <c r="O223" i="36" s="1"/>
  <c r="N223" i="36" s="1"/>
  <c r="O224" i="36" s="1"/>
  <c r="N224" i="36" s="1"/>
  <c r="O225" i="36" s="1"/>
  <c r="N225" i="36" s="1"/>
  <c r="O226" i="36" s="1"/>
  <c r="N226" i="36" s="1"/>
  <c r="O227" i="36" s="1"/>
  <c r="N227" i="36" s="1"/>
  <c r="O228" i="36" s="1"/>
  <c r="N228" i="36" s="1"/>
  <c r="O229" i="36" s="1"/>
  <c r="N229" i="36" s="1"/>
  <c r="O230" i="36" s="1"/>
  <c r="N230" i="36" s="1"/>
  <c r="O231" i="36" s="1"/>
  <c r="N231" i="36" s="1"/>
  <c r="O232" i="36" s="1"/>
  <c r="N232" i="36" s="1"/>
  <c r="O233" i="36" s="1"/>
  <c r="N233" i="36" s="1"/>
  <c r="O234" i="36" s="1"/>
  <c r="N234" i="36" s="1"/>
  <c r="O235" i="36" s="1"/>
  <c r="N235" i="36" s="1"/>
  <c r="O236" i="36" s="1"/>
  <c r="N236" i="36" s="1"/>
  <c r="O237" i="36" s="1"/>
  <c r="N237" i="36" s="1"/>
  <c r="O238" i="36" s="1"/>
  <c r="N238" i="36" s="1"/>
  <c r="O239" i="36" s="1"/>
  <c r="N239" i="36" s="1"/>
  <c r="O240" i="36" s="1"/>
  <c r="N240" i="36" s="1"/>
  <c r="O241" i="36" s="1"/>
  <c r="N241" i="36" s="1"/>
  <c r="O242" i="36" s="1"/>
  <c r="N242" i="36" s="1"/>
  <c r="O243" i="36" s="1"/>
  <c r="N243" i="36" s="1"/>
  <c r="O244" i="36" s="1"/>
  <c r="N244" i="36" s="1"/>
  <c r="O245" i="36" s="1"/>
  <c r="N245" i="36" s="1"/>
  <c r="O246" i="36" s="1"/>
  <c r="N246" i="36" s="1"/>
  <c r="O247" i="36" s="1"/>
  <c r="N247" i="36" s="1"/>
  <c r="O248" i="36" s="1"/>
  <c r="N248" i="36" s="1"/>
  <c r="O249" i="36" s="1"/>
  <c r="N249" i="36" s="1"/>
  <c r="O250" i="36" s="1"/>
  <c r="N250" i="36" s="1"/>
  <c r="O251" i="36" s="1"/>
  <c r="N251" i="36" s="1"/>
  <c r="O252" i="36" s="1"/>
  <c r="N252" i="36" s="1"/>
  <c r="O253" i="36" s="1"/>
  <c r="N253" i="36" s="1"/>
  <c r="O254" i="36" s="1"/>
  <c r="N254" i="36" s="1"/>
  <c r="O255" i="36" s="1"/>
  <c r="N255" i="36" s="1"/>
  <c r="O256" i="36" s="1"/>
  <c r="N256" i="36" s="1"/>
  <c r="O257" i="36" s="1"/>
  <c r="N257" i="36" s="1"/>
  <c r="O258" i="36" s="1"/>
  <c r="N258" i="36" s="1"/>
  <c r="O259" i="36" s="1"/>
  <c r="N259" i="36" s="1"/>
  <c r="O260" i="36" s="1"/>
  <c r="N260" i="36" s="1"/>
  <c r="O261" i="36" s="1"/>
  <c r="N261" i="36" s="1"/>
  <c r="O262" i="36" s="1"/>
  <c r="N262" i="36" s="1"/>
  <c r="O263" i="36" s="1"/>
  <c r="N263" i="36" s="1"/>
  <c r="O264" i="36" s="1"/>
  <c r="N264" i="36" s="1"/>
  <c r="O265" i="36" s="1"/>
  <c r="N265" i="36" s="1"/>
  <c r="O266" i="36" s="1"/>
  <c r="N266" i="36" s="1"/>
  <c r="O267" i="36" s="1"/>
  <c r="N267" i="36" s="1"/>
  <c r="O268" i="36" s="1"/>
  <c r="N268" i="36" s="1"/>
  <c r="O269" i="36" s="1"/>
  <c r="N269" i="36" s="1"/>
  <c r="O270" i="36" s="1"/>
  <c r="N270" i="36" s="1"/>
  <c r="O271" i="36" s="1"/>
  <c r="N271" i="36" s="1"/>
  <c r="O272" i="36" s="1"/>
  <c r="N272" i="36" s="1"/>
  <c r="O273" i="36" s="1"/>
  <c r="N273" i="36" s="1"/>
  <c r="O274" i="36" s="1"/>
  <c r="N274" i="36" s="1"/>
  <c r="O275" i="36" s="1"/>
  <c r="N275" i="36" s="1"/>
  <c r="O276" i="36" s="1"/>
  <c r="N276" i="36" s="1"/>
  <c r="O277" i="36" s="1"/>
  <c r="N277" i="36" s="1"/>
  <c r="O278" i="36" s="1"/>
  <c r="N278" i="36" s="1"/>
  <c r="O279" i="36" s="1"/>
  <c r="N279" i="36" s="1"/>
  <c r="O280" i="36" s="1"/>
  <c r="N280" i="36" s="1"/>
  <c r="O281" i="36" s="1"/>
  <c r="N281" i="36" s="1"/>
  <c r="O282" i="36" s="1"/>
  <c r="N282" i="36" s="1"/>
  <c r="O283" i="36" s="1"/>
  <c r="N283" i="36" s="1"/>
  <c r="O284" i="36" s="1"/>
  <c r="N284" i="36" s="1"/>
  <c r="O285" i="36" s="1"/>
  <c r="N285" i="36" s="1"/>
  <c r="O286" i="36" s="1"/>
  <c r="N286" i="36" s="1"/>
  <c r="O287" i="36" s="1"/>
  <c r="N287" i="36" s="1"/>
  <c r="O288" i="36" s="1"/>
  <c r="N288" i="36" s="1"/>
  <c r="O289" i="36" s="1"/>
  <c r="N289" i="36" s="1"/>
  <c r="O290" i="36" s="1"/>
  <c r="N290" i="36" s="1"/>
  <c r="O291" i="36" s="1"/>
  <c r="N291" i="36" s="1"/>
  <c r="O292" i="36" s="1"/>
  <c r="N292" i="36" s="1"/>
  <c r="O293" i="36" s="1"/>
  <c r="N293" i="36" s="1"/>
  <c r="O294" i="36" s="1"/>
  <c r="N294" i="36" s="1"/>
  <c r="O295" i="36" s="1"/>
  <c r="N295" i="36" s="1"/>
  <c r="O296" i="36" s="1"/>
  <c r="N296" i="36" s="1"/>
  <c r="O297" i="36" s="1"/>
  <c r="N297" i="36" s="1"/>
  <c r="O298" i="36" s="1"/>
  <c r="N298" i="36" s="1"/>
  <c r="O299" i="36" s="1"/>
  <c r="N299" i="36" s="1"/>
  <c r="O300" i="36" s="1"/>
  <c r="N300" i="36" s="1"/>
  <c r="O301" i="36" s="1"/>
  <c r="N301" i="36" s="1"/>
  <c r="O302" i="36" s="1"/>
  <c r="N302" i="36" s="1"/>
  <c r="O303" i="36" s="1"/>
  <c r="N303" i="36" s="1"/>
  <c r="O304" i="36" s="1"/>
  <c r="N304" i="36" s="1"/>
  <c r="O305" i="36" s="1"/>
  <c r="N305" i="36" s="1"/>
  <c r="O306" i="36" s="1"/>
  <c r="N306" i="36" s="1"/>
  <c r="O307" i="36" s="1"/>
  <c r="N307" i="36" s="1"/>
  <c r="O308" i="36" s="1"/>
  <c r="N308" i="36" s="1"/>
  <c r="O309" i="36" s="1"/>
  <c r="N309" i="36" s="1"/>
  <c r="O310" i="36" s="1"/>
  <c r="N310" i="36" s="1"/>
  <c r="O311" i="36" s="1"/>
  <c r="N311" i="36" s="1"/>
  <c r="O312" i="36" s="1"/>
  <c r="N312" i="36" s="1"/>
  <c r="O313" i="36" s="1"/>
  <c r="N313" i="36" s="1"/>
  <c r="O314" i="36" s="1"/>
  <c r="N314" i="36" s="1"/>
  <c r="O315" i="36" s="1"/>
  <c r="N315" i="36" s="1"/>
  <c r="O316" i="36" s="1"/>
  <c r="N316" i="36" s="1"/>
  <c r="O317" i="36" s="1"/>
  <c r="N317" i="36" s="1"/>
  <c r="O318" i="36" s="1"/>
  <c r="N318" i="36" s="1"/>
  <c r="O319" i="36" s="1"/>
  <c r="N319" i="36" s="1"/>
  <c r="O320" i="36" s="1"/>
  <c r="N320" i="36" s="1"/>
  <c r="O321" i="36" s="1"/>
  <c r="N321" i="36" s="1"/>
  <c r="O322" i="36" s="1"/>
  <c r="N322" i="36" s="1"/>
  <c r="O323" i="36" s="1"/>
  <c r="N323" i="36" s="1"/>
  <c r="O324" i="36" s="1"/>
  <c r="N324" i="36" s="1"/>
  <c r="O325" i="36" s="1"/>
  <c r="N325" i="36" s="1"/>
  <c r="O326" i="36" s="1"/>
  <c r="N326" i="36" s="1"/>
  <c r="O327" i="36" s="1"/>
  <c r="N327" i="36" s="1"/>
  <c r="O328" i="36" s="1"/>
  <c r="N328" i="36" s="1"/>
  <c r="O329" i="36" s="1"/>
  <c r="N329" i="36" s="1"/>
  <c r="O330" i="36" s="1"/>
  <c r="N330" i="36" s="1"/>
  <c r="O331" i="36" s="1"/>
  <c r="N331" i="36" s="1"/>
  <c r="O332" i="36" s="1"/>
  <c r="N332" i="36" s="1"/>
  <c r="O333" i="36" s="1"/>
  <c r="N333" i="36" s="1"/>
  <c r="O334" i="36" s="1"/>
  <c r="N334" i="36" s="1"/>
  <c r="O335" i="36" s="1"/>
  <c r="N335" i="36" s="1"/>
  <c r="O336" i="36" s="1"/>
  <c r="N336" i="36" s="1"/>
  <c r="O337" i="36" s="1"/>
  <c r="N337" i="36" s="1"/>
  <c r="O338" i="36" s="1"/>
  <c r="N338" i="36" s="1"/>
  <c r="O339" i="36" s="1"/>
  <c r="N339" i="36" s="1"/>
  <c r="O340" i="36" s="1"/>
  <c r="N340" i="36" s="1"/>
  <c r="O341" i="36" s="1"/>
  <c r="N341" i="36" s="1"/>
  <c r="O342" i="36" s="1"/>
  <c r="N342" i="36" s="1"/>
  <c r="O343" i="36" s="1"/>
  <c r="N343" i="36" s="1"/>
  <c r="O344" i="36" s="1"/>
  <c r="N344" i="36" s="1"/>
  <c r="O345" i="36" s="1"/>
  <c r="N345" i="36" s="1"/>
  <c r="O346" i="36" s="1"/>
  <c r="N346" i="36" s="1"/>
  <c r="O347" i="36" s="1"/>
  <c r="N347" i="36" s="1"/>
  <c r="O348" i="36" s="1"/>
  <c r="N348" i="36" s="1"/>
  <c r="O349" i="36" s="1"/>
  <c r="N349" i="36" s="1"/>
  <c r="O350" i="36" s="1"/>
  <c r="N350" i="36" s="1"/>
  <c r="O351" i="36" s="1"/>
  <c r="N351" i="36" s="1"/>
  <c r="O352" i="36" s="1"/>
  <c r="N352" i="36" s="1"/>
  <c r="O353" i="36" s="1"/>
  <c r="N353" i="36" s="1"/>
  <c r="O354" i="36" s="1"/>
  <c r="N354" i="36" s="1"/>
  <c r="O355" i="36" s="1"/>
  <c r="N355" i="36" s="1"/>
  <c r="O356" i="36" s="1"/>
  <c r="N356" i="36" s="1"/>
  <c r="O357" i="36" s="1"/>
  <c r="N357" i="36" s="1"/>
  <c r="O358" i="36" s="1"/>
  <c r="N358" i="36" s="1"/>
  <c r="O359" i="36" s="1"/>
  <c r="N359" i="36" s="1"/>
  <c r="O360" i="36" s="1"/>
  <c r="N360" i="36" s="1"/>
  <c r="O361" i="36" s="1"/>
  <c r="N361" i="36" s="1"/>
  <c r="O362" i="36" s="1"/>
  <c r="N362" i="36" s="1"/>
  <c r="O363" i="36" s="1"/>
  <c r="N363" i="36" s="1"/>
  <c r="O364" i="36" s="1"/>
  <c r="N364" i="36" s="1"/>
  <c r="O365" i="36" s="1"/>
  <c r="N365" i="36" s="1"/>
  <c r="O366" i="36" s="1"/>
  <c r="N366" i="36" s="1"/>
  <c r="O367" i="36" s="1"/>
  <c r="N367" i="36" s="1"/>
  <c r="O368" i="36" s="1"/>
  <c r="N368" i="36" s="1"/>
  <c r="O369" i="36" s="1"/>
  <c r="N369" i="36" s="1"/>
  <c r="O370" i="36" s="1"/>
  <c r="N370" i="36" s="1"/>
  <c r="O371" i="36" s="1"/>
  <c r="N371" i="36" s="1"/>
  <c r="O372" i="36" s="1"/>
  <c r="N372" i="36" s="1"/>
  <c r="O373" i="36" s="1"/>
  <c r="N373" i="36" s="1"/>
  <c r="O374" i="36" s="1"/>
  <c r="N374" i="36" s="1"/>
  <c r="O375" i="36" s="1"/>
  <c r="N375" i="36" s="1"/>
  <c r="O376" i="36" s="1"/>
  <c r="N376" i="36" s="1"/>
  <c r="O377" i="36" s="1"/>
  <c r="N377" i="36" s="1"/>
  <c r="O378" i="36" s="1"/>
  <c r="N378" i="36" s="1"/>
  <c r="O379" i="36" s="1"/>
  <c r="N379" i="36" s="1"/>
  <c r="O380" i="36" s="1"/>
  <c r="N380" i="36" s="1"/>
  <c r="O381" i="36" s="1"/>
  <c r="N381" i="36" s="1"/>
  <c r="O382" i="36" s="1"/>
  <c r="N382" i="36" s="1"/>
  <c r="O383" i="36" s="1"/>
  <c r="N383" i="36" s="1"/>
  <c r="O384" i="36" s="1"/>
  <c r="N384" i="36" s="1"/>
  <c r="O385" i="36" s="1"/>
  <c r="N385" i="36" s="1"/>
  <c r="O386" i="36" s="1"/>
  <c r="N386" i="36" s="1"/>
  <c r="O387" i="36" s="1"/>
  <c r="N387" i="36" s="1"/>
  <c r="O388" i="36" s="1"/>
  <c r="N388" i="36" s="1"/>
  <c r="O389" i="36" s="1"/>
  <c r="N389" i="36" s="1"/>
  <c r="O390" i="36" s="1"/>
  <c r="N390" i="36" s="1"/>
  <c r="O391" i="36" s="1"/>
  <c r="N391" i="36" s="1"/>
  <c r="O392" i="36" s="1"/>
  <c r="N392" i="36" s="1"/>
  <c r="O393" i="36" s="1"/>
  <c r="N393" i="36" s="1"/>
  <c r="O394" i="36" s="1"/>
  <c r="N394" i="36" s="1"/>
  <c r="O395" i="36" s="1"/>
  <c r="N395" i="36" s="1"/>
  <c r="O396" i="36" s="1"/>
  <c r="N396" i="36" s="1"/>
  <c r="O397" i="36" s="1"/>
  <c r="N397" i="36" s="1"/>
  <c r="O398" i="36" s="1"/>
  <c r="N398" i="36" s="1"/>
  <c r="O399" i="36" s="1"/>
  <c r="N399" i="36" s="1"/>
  <c r="O400" i="36" s="1"/>
  <c r="N400" i="36" s="1"/>
  <c r="O401" i="36" s="1"/>
  <c r="N401" i="36" s="1"/>
  <c r="O402" i="36" s="1"/>
  <c r="N402" i="36" s="1"/>
  <c r="O403" i="36" s="1"/>
  <c r="N403" i="36" s="1"/>
  <c r="O404" i="36" s="1"/>
  <c r="N404" i="36" s="1"/>
  <c r="O405" i="36" s="1"/>
  <c r="N405" i="36" s="1"/>
  <c r="O406" i="36" s="1"/>
  <c r="N406" i="36" s="1"/>
  <c r="O407" i="36" s="1"/>
  <c r="N407" i="36" s="1"/>
  <c r="O408" i="36" s="1"/>
  <c r="N408" i="36" s="1"/>
  <c r="O409" i="36" s="1"/>
  <c r="N409" i="36" s="1"/>
  <c r="O410" i="36" s="1"/>
  <c r="N410" i="36" s="1"/>
  <c r="O411" i="36" s="1"/>
  <c r="N411" i="36" s="1"/>
  <c r="O412" i="36" s="1"/>
  <c r="N412" i="36" s="1"/>
  <c r="O413" i="36" s="1"/>
  <c r="N413" i="36" s="1"/>
  <c r="O414" i="36" s="1"/>
  <c r="N414" i="36" s="1"/>
  <c r="O415" i="36" s="1"/>
  <c r="N415" i="36" s="1"/>
  <c r="O416" i="36" s="1"/>
  <c r="N416" i="36" s="1"/>
  <c r="O417" i="36" s="1"/>
  <c r="N417" i="36" s="1"/>
  <c r="O418" i="36" s="1"/>
  <c r="N418" i="36" s="1"/>
  <c r="O419" i="36" s="1"/>
  <c r="N419" i="36" s="1"/>
  <c r="O420" i="36" s="1"/>
  <c r="N420" i="36" s="1"/>
  <c r="O421" i="36" s="1"/>
  <c r="N421" i="36" s="1"/>
  <c r="O422" i="36" s="1"/>
  <c r="N422" i="36" s="1"/>
  <c r="O423" i="36" s="1"/>
  <c r="N423" i="36" s="1"/>
  <c r="O424" i="36" s="1"/>
  <c r="N424" i="36" s="1"/>
  <c r="O425" i="36" s="1"/>
  <c r="N425" i="36" s="1"/>
  <c r="O426" i="36" s="1"/>
  <c r="N426" i="36" s="1"/>
  <c r="O427" i="36" s="1"/>
  <c r="N427" i="36" s="1"/>
  <c r="O428" i="36" s="1"/>
  <c r="N428" i="36" s="1"/>
  <c r="O429" i="36" s="1"/>
  <c r="N429" i="36" s="1"/>
  <c r="O430" i="36" s="1"/>
  <c r="N430" i="36" s="1"/>
  <c r="O431" i="36" s="1"/>
  <c r="N431" i="36" s="1"/>
  <c r="O432" i="36" s="1"/>
  <c r="N432" i="36" s="1"/>
  <c r="O433" i="36" s="1"/>
  <c r="N433" i="36" s="1"/>
  <c r="O434" i="36" s="1"/>
  <c r="N434" i="36" s="1"/>
  <c r="O435" i="36" s="1"/>
  <c r="N435" i="36" s="1"/>
  <c r="O436" i="36" s="1"/>
  <c r="N436" i="36" s="1"/>
  <c r="O437" i="36" s="1"/>
  <c r="N437" i="36" s="1"/>
  <c r="O438" i="36" s="1"/>
  <c r="N438" i="36" s="1"/>
  <c r="O439" i="36" s="1"/>
  <c r="N439" i="36" s="1"/>
  <c r="O440" i="36" s="1"/>
  <c r="N440" i="36" s="1"/>
  <c r="O441" i="36" s="1"/>
  <c r="N441" i="36" s="1"/>
  <c r="O442" i="36" s="1"/>
  <c r="N442" i="36" s="1"/>
  <c r="O443" i="36" s="1"/>
  <c r="N443" i="36" s="1"/>
  <c r="O444" i="36" s="1"/>
  <c r="N444" i="36" s="1"/>
  <c r="O445" i="36" s="1"/>
  <c r="N445" i="36" s="1"/>
  <c r="O446" i="36" s="1"/>
  <c r="N446" i="36" s="1"/>
  <c r="O447" i="36" s="1"/>
  <c r="N447" i="36" s="1"/>
  <c r="O448" i="36" s="1"/>
  <c r="N448" i="36" s="1"/>
  <c r="O449" i="36" s="1"/>
  <c r="N449" i="36" s="1"/>
  <c r="O450" i="36" s="1"/>
  <c r="N450" i="36" s="1"/>
  <c r="O451" i="36" s="1"/>
  <c r="N451" i="36" s="1"/>
  <c r="O452" i="36" s="1"/>
  <c r="N452" i="36" s="1"/>
  <c r="O453" i="36" s="1"/>
  <c r="N453" i="36" s="1"/>
  <c r="O454" i="36" s="1"/>
  <c r="N454" i="36" s="1"/>
  <c r="O455" i="36" s="1"/>
  <c r="N455" i="36" s="1"/>
  <c r="O456" i="36" s="1"/>
  <c r="N456" i="36" s="1"/>
  <c r="O457" i="36" s="1"/>
  <c r="N457" i="36" s="1"/>
  <c r="O458" i="36" s="1"/>
  <c r="N458" i="36" s="1"/>
  <c r="O459" i="36" s="1"/>
  <c r="N459" i="36" s="1"/>
  <c r="O460" i="36" s="1"/>
  <c r="N460" i="36" s="1"/>
  <c r="O461" i="36" s="1"/>
  <c r="N461" i="36" s="1"/>
  <c r="O462" i="36" s="1"/>
  <c r="N462" i="36" s="1"/>
  <c r="O463" i="36" s="1"/>
  <c r="N463" i="36" s="1"/>
  <c r="O464" i="36" s="1"/>
  <c r="N464" i="36" s="1"/>
  <c r="O465" i="36" s="1"/>
  <c r="N465" i="36" s="1"/>
  <c r="O466" i="36" s="1"/>
  <c r="N466" i="36" s="1"/>
  <c r="O467" i="36" s="1"/>
  <c r="N467" i="36" s="1"/>
  <c r="O468" i="36" s="1"/>
  <c r="N468" i="36" s="1"/>
  <c r="O469" i="36" s="1"/>
  <c r="N469" i="36" s="1"/>
  <c r="O470" i="36" s="1"/>
  <c r="N470" i="36" s="1"/>
  <c r="O471" i="36" s="1"/>
  <c r="N471" i="36" s="1"/>
  <c r="O472" i="36" s="1"/>
  <c r="N472" i="36" s="1"/>
  <c r="O473" i="36" s="1"/>
  <c r="N473" i="36" s="1"/>
  <c r="O474" i="36" s="1"/>
  <c r="N474" i="36" s="1"/>
  <c r="O475" i="36" s="1"/>
  <c r="N475" i="36" s="1"/>
  <c r="O476" i="36" s="1"/>
  <c r="N476" i="36" s="1"/>
  <c r="O477" i="36" s="1"/>
  <c r="N477" i="36" s="1"/>
  <c r="O478" i="36" s="1"/>
  <c r="N478" i="36" s="1"/>
  <c r="O479" i="36" s="1"/>
  <c r="N479" i="36" s="1"/>
  <c r="O480" i="36" s="1"/>
  <c r="N480" i="36" s="1"/>
  <c r="O481" i="36" s="1"/>
  <c r="N481" i="36" s="1"/>
  <c r="O482" i="36" s="1"/>
  <c r="N482" i="36" s="1"/>
  <c r="O483" i="36" s="1"/>
  <c r="N483" i="36" s="1"/>
  <c r="O484" i="36" s="1"/>
  <c r="N484" i="36" s="1"/>
  <c r="O485" i="36" s="1"/>
  <c r="N485" i="36" s="1"/>
  <c r="O486" i="36" s="1"/>
  <c r="N486" i="36" s="1"/>
  <c r="O487" i="36" s="1"/>
  <c r="N487" i="36" s="1"/>
  <c r="O488" i="36" s="1"/>
  <c r="N488" i="36" s="1"/>
  <c r="O489" i="36" s="1"/>
  <c r="N489" i="36" s="1"/>
  <c r="O490" i="36" s="1"/>
  <c r="N490" i="36" s="1"/>
  <c r="O491" i="36" s="1"/>
  <c r="N491" i="36" s="1"/>
  <c r="O492" i="36" s="1"/>
  <c r="N492" i="36" s="1"/>
  <c r="O493" i="36" s="1"/>
  <c r="N493" i="36" s="1"/>
  <c r="O494" i="36" s="1"/>
  <c r="N494" i="36" s="1"/>
  <c r="O495" i="36" s="1"/>
  <c r="N495" i="36" s="1"/>
  <c r="O496" i="36" s="1"/>
  <c r="N496" i="36" s="1"/>
  <c r="O497" i="36" s="1"/>
  <c r="N497" i="36" s="1"/>
  <c r="O498" i="36" s="1"/>
  <c r="N498" i="36" s="1"/>
  <c r="O499" i="36" s="1"/>
  <c r="N499" i="36" s="1"/>
  <c r="O500" i="36" s="1"/>
  <c r="N500" i="36" s="1"/>
  <c r="O501" i="36" s="1"/>
  <c r="N501" i="36" s="1"/>
  <c r="O502" i="36" s="1"/>
  <c r="N502" i="36" s="1"/>
  <c r="O503" i="36" s="1"/>
  <c r="N503" i="36" s="1"/>
  <c r="O504" i="36" s="1"/>
  <c r="N504" i="36" s="1"/>
  <c r="O505" i="36" s="1"/>
  <c r="N505" i="36" s="1"/>
  <c r="O506" i="36" s="1"/>
  <c r="N506" i="36" s="1"/>
  <c r="O507" i="36" s="1"/>
  <c r="N507" i="36" s="1"/>
  <c r="O508" i="36" s="1"/>
  <c r="N508" i="36" s="1"/>
  <c r="O509" i="36" s="1"/>
  <c r="N509" i="36" s="1"/>
  <c r="O510" i="36" s="1"/>
  <c r="N510" i="36" s="1"/>
  <c r="O511" i="36" s="1"/>
  <c r="N511" i="36" s="1"/>
  <c r="O512" i="36" s="1"/>
  <c r="N512" i="36" s="1"/>
  <c r="O513" i="36" s="1"/>
  <c r="N513" i="36" s="1"/>
  <c r="O514" i="36" s="1"/>
  <c r="N514" i="36" s="1"/>
  <c r="O515" i="36" s="1"/>
  <c r="N515" i="36" s="1"/>
  <c r="O516" i="36" s="1"/>
  <c r="N516" i="36" s="1"/>
  <c r="O517" i="36" s="1"/>
  <c r="N517" i="36" s="1"/>
  <c r="O518" i="36" s="1"/>
  <c r="N518" i="36" s="1"/>
  <c r="O519" i="36" s="1"/>
  <c r="N519" i="36" s="1"/>
  <c r="O520" i="36" s="1"/>
  <c r="N520" i="36" s="1"/>
  <c r="O521" i="36" s="1"/>
  <c r="N521" i="36" s="1"/>
  <c r="O522" i="36" s="1"/>
  <c r="N522" i="36" s="1"/>
  <c r="O523" i="36" s="1"/>
  <c r="N523" i="36" s="1"/>
  <c r="O524" i="36" s="1"/>
  <c r="N524" i="36" s="1"/>
  <c r="O525" i="36" s="1"/>
  <c r="N525" i="36" s="1"/>
  <c r="O526" i="36" s="1"/>
  <c r="N526" i="36" s="1"/>
  <c r="O527" i="36" s="1"/>
  <c r="N527" i="36" s="1"/>
  <c r="O528" i="36" s="1"/>
  <c r="N528" i="36" s="1"/>
  <c r="O529" i="36" s="1"/>
  <c r="N529" i="36" s="1"/>
  <c r="O530" i="36" s="1"/>
  <c r="N530" i="36" s="1"/>
  <c r="O531" i="36" s="1"/>
  <c r="N531" i="36" s="1"/>
  <c r="O532" i="36" s="1"/>
  <c r="N532" i="36" s="1"/>
  <c r="O533" i="36" s="1"/>
  <c r="N533" i="36" s="1"/>
  <c r="O534" i="36" s="1"/>
  <c r="N534" i="36" s="1"/>
  <c r="O535" i="36" s="1"/>
  <c r="N535" i="36" s="1"/>
  <c r="O536" i="36" s="1"/>
  <c r="N536" i="36" s="1"/>
  <c r="O537" i="36" s="1"/>
  <c r="N537" i="36" s="1"/>
  <c r="O538" i="36" s="1"/>
  <c r="N538" i="36" s="1"/>
  <c r="O539" i="36" s="1"/>
  <c r="N539" i="36" s="1"/>
  <c r="O540" i="36" s="1"/>
  <c r="N540" i="36" s="1"/>
  <c r="O541" i="36" s="1"/>
  <c r="N541" i="36" s="1"/>
  <c r="O542" i="36" s="1"/>
  <c r="N542" i="36" s="1"/>
  <c r="O543" i="36" s="1"/>
  <c r="N543" i="36" s="1"/>
  <c r="O544" i="36" s="1"/>
  <c r="N544" i="36" s="1"/>
  <c r="O545" i="36" s="1"/>
  <c r="N545" i="36" s="1"/>
  <c r="O546" i="36" s="1"/>
  <c r="N546" i="36" s="1"/>
  <c r="O547" i="36" s="1"/>
  <c r="N547" i="36" s="1"/>
  <c r="O548" i="36" s="1"/>
  <c r="N548" i="36" s="1"/>
  <c r="O549" i="36" s="1"/>
  <c r="N549" i="36" s="1"/>
  <c r="O550" i="36" s="1"/>
  <c r="N550" i="36" s="1"/>
  <c r="O551" i="36" s="1"/>
  <c r="N551" i="36" s="1"/>
  <c r="O552" i="36" s="1"/>
  <c r="N552" i="36" s="1"/>
  <c r="O553" i="36" s="1"/>
  <c r="N553" i="36" s="1"/>
  <c r="O554" i="36" s="1"/>
  <c r="N554" i="36" s="1"/>
  <c r="O555" i="36" s="1"/>
  <c r="N555" i="36" s="1"/>
  <c r="O556" i="36" s="1"/>
  <c r="N556" i="36" s="1"/>
  <c r="O557" i="36" s="1"/>
  <c r="N557" i="36" s="1"/>
  <c r="O558" i="36" s="1"/>
  <c r="N558" i="36" s="1"/>
  <c r="O559" i="36" s="1"/>
  <c r="N559" i="36" s="1"/>
  <c r="O560" i="36" s="1"/>
  <c r="N560" i="36" s="1"/>
  <c r="O561" i="36" s="1"/>
  <c r="N561" i="36" s="1"/>
  <c r="O562" i="36" s="1"/>
  <c r="N562" i="36" s="1"/>
  <c r="O563" i="36" s="1"/>
  <c r="N563" i="36" s="1"/>
  <c r="O564" i="36" s="1"/>
  <c r="N564" i="36" s="1"/>
  <c r="O565" i="36" s="1"/>
  <c r="N565" i="36" s="1"/>
  <c r="O566" i="36" s="1"/>
  <c r="N566" i="36" s="1"/>
  <c r="O567" i="36" s="1"/>
  <c r="N567" i="36" s="1"/>
  <c r="O568" i="36" s="1"/>
  <c r="N568" i="36" s="1"/>
  <c r="O569" i="36" s="1"/>
  <c r="N569" i="36" s="1"/>
  <c r="O570" i="36" s="1"/>
  <c r="N570" i="36" s="1"/>
  <c r="O571" i="36" s="1"/>
  <c r="N571" i="36" s="1"/>
  <c r="O572" i="36" s="1"/>
  <c r="N572" i="36" s="1"/>
  <c r="O573" i="36" s="1"/>
  <c r="N573" i="36" s="1"/>
  <c r="O574" i="36" s="1"/>
  <c r="N574" i="36" s="1"/>
  <c r="O575" i="36" s="1"/>
  <c r="N575" i="36" s="1"/>
  <c r="O576" i="36" s="1"/>
  <c r="N576" i="36" s="1"/>
  <c r="O577" i="36" s="1"/>
  <c r="N577" i="36" s="1"/>
  <c r="O578" i="36" s="1"/>
  <c r="N578" i="36" s="1"/>
  <c r="O579" i="36" s="1"/>
  <c r="N579" i="36" s="1"/>
  <c r="O580" i="36" s="1"/>
  <c r="N580" i="36" s="1"/>
  <c r="O581" i="36" s="1"/>
  <c r="N581" i="36" s="1"/>
  <c r="O582" i="36" s="1"/>
  <c r="N582" i="36" s="1"/>
  <c r="O583" i="36" s="1"/>
  <c r="N583" i="36" s="1"/>
  <c r="O584" i="36" s="1"/>
  <c r="N584" i="36" s="1"/>
  <c r="O585" i="36" s="1"/>
  <c r="N585" i="36" s="1"/>
  <c r="O586" i="36" s="1"/>
  <c r="N586" i="36" s="1"/>
  <c r="O587" i="36" s="1"/>
  <c r="N587" i="36" s="1"/>
  <c r="O588" i="36" s="1"/>
  <c r="N588" i="36" s="1"/>
  <c r="O589" i="36" s="1"/>
  <c r="N589" i="36" s="1"/>
  <c r="O590" i="36" s="1"/>
  <c r="N590" i="36" s="1"/>
  <c r="O591" i="36" s="1"/>
  <c r="N591" i="36" s="1"/>
  <c r="O592" i="36" s="1"/>
  <c r="N592" i="36" s="1"/>
  <c r="O593" i="36" s="1"/>
  <c r="N593" i="36" s="1"/>
  <c r="O594" i="36" s="1"/>
  <c r="N594" i="36" s="1"/>
  <c r="O595" i="36" s="1"/>
  <c r="N595" i="36" s="1"/>
  <c r="O596" i="36" s="1"/>
  <c r="N596" i="36" s="1"/>
  <c r="O597" i="36" s="1"/>
  <c r="N597" i="36" s="1"/>
  <c r="O598" i="36" s="1"/>
  <c r="N598" i="36" s="1"/>
  <c r="O599" i="36" s="1"/>
  <c r="N599" i="36" s="1"/>
  <c r="O600" i="36" s="1"/>
  <c r="N600" i="36" s="1"/>
  <c r="O601" i="36" s="1"/>
  <c r="N601" i="36" s="1"/>
  <c r="O602" i="36" s="1"/>
  <c r="N602" i="36" s="1"/>
  <c r="O603" i="36" s="1"/>
  <c r="N603" i="36" s="1"/>
  <c r="O604" i="36" s="1"/>
  <c r="N604" i="36" s="1"/>
  <c r="O605" i="36" s="1"/>
  <c r="N605" i="36" s="1"/>
  <c r="O606" i="36" s="1"/>
  <c r="N606" i="36" s="1"/>
  <c r="O607" i="36" s="1"/>
  <c r="N607" i="36" s="1"/>
  <c r="O608" i="36" s="1"/>
  <c r="N608" i="36" s="1"/>
  <c r="O609" i="36" s="1"/>
  <c r="N609" i="36" s="1"/>
  <c r="O610" i="36" s="1"/>
  <c r="N610" i="36" s="1"/>
  <c r="O611" i="36" s="1"/>
  <c r="N611" i="36" s="1"/>
  <c r="O612" i="36" s="1"/>
  <c r="N612" i="36" s="1"/>
  <c r="O613" i="36" s="1"/>
  <c r="N613" i="36" s="1"/>
  <c r="O614" i="36" s="1"/>
  <c r="N614" i="36" s="1"/>
  <c r="O615" i="36" s="1"/>
  <c r="N615" i="36" s="1"/>
  <c r="O616" i="36" s="1"/>
  <c r="N616" i="36" s="1"/>
  <c r="O617" i="36" s="1"/>
  <c r="N617" i="36" s="1"/>
  <c r="O618" i="36" s="1"/>
  <c r="N618" i="36" s="1"/>
  <c r="O619" i="36" s="1"/>
  <c r="N619" i="36" s="1"/>
  <c r="O620" i="36" s="1"/>
  <c r="N620" i="36" s="1"/>
  <c r="O621" i="36" s="1"/>
  <c r="N621" i="36" s="1"/>
  <c r="O622" i="36" s="1"/>
  <c r="N622" i="36" s="1"/>
  <c r="O623" i="36" s="1"/>
  <c r="N623" i="36" s="1"/>
  <c r="O624" i="36" s="1"/>
  <c r="N624" i="36" s="1"/>
  <c r="O625" i="36" s="1"/>
  <c r="N625" i="36" s="1"/>
  <c r="O626" i="36" s="1"/>
  <c r="N626" i="36" s="1"/>
  <c r="O627" i="36" s="1"/>
  <c r="N627" i="36" s="1"/>
  <c r="O628" i="36" s="1"/>
  <c r="N628" i="36" s="1"/>
  <c r="O629" i="36" s="1"/>
  <c r="N629" i="36" s="1"/>
  <c r="O630" i="36" s="1"/>
  <c r="N630" i="36" s="1"/>
  <c r="O631" i="36" s="1"/>
  <c r="N631" i="36" s="1"/>
  <c r="O632" i="36" s="1"/>
  <c r="N632" i="36" s="1"/>
  <c r="O633" i="36" s="1"/>
  <c r="N633" i="36" s="1"/>
  <c r="O634" i="36" s="1"/>
  <c r="N634" i="36" s="1"/>
  <c r="O635" i="36" s="1"/>
  <c r="N635" i="36" s="1"/>
  <c r="O636" i="36" s="1"/>
  <c r="N636" i="36" s="1"/>
  <c r="O637" i="36" s="1"/>
  <c r="N637" i="36" s="1"/>
  <c r="O638" i="36" s="1"/>
  <c r="N638" i="36" s="1"/>
  <c r="O639" i="36" s="1"/>
  <c r="N639" i="36" s="1"/>
  <c r="O640" i="36" s="1"/>
  <c r="N640" i="36" s="1"/>
  <c r="O641" i="36" s="1"/>
  <c r="N641" i="36" s="1"/>
  <c r="O642" i="36" s="1"/>
  <c r="N642" i="36" s="1"/>
  <c r="O643" i="36" s="1"/>
  <c r="N643" i="36" s="1"/>
  <c r="O644" i="36" s="1"/>
  <c r="N644" i="36" s="1"/>
  <c r="O645" i="36" s="1"/>
  <c r="N645" i="36" s="1"/>
  <c r="O646" i="36" s="1"/>
  <c r="N646" i="36" s="1"/>
  <c r="O647" i="36" s="1"/>
  <c r="N647" i="36" s="1"/>
  <c r="O648" i="36" s="1"/>
  <c r="N648" i="36" s="1"/>
  <c r="O649" i="36" s="1"/>
  <c r="N649" i="36" s="1"/>
  <c r="O650" i="36" s="1"/>
  <c r="N650" i="36" s="1"/>
  <c r="O651" i="36" s="1"/>
  <c r="N651" i="36" s="1"/>
  <c r="O652" i="36" s="1"/>
  <c r="N652" i="36" s="1"/>
  <c r="O653" i="36" s="1"/>
  <c r="N653" i="36" s="1"/>
  <c r="O654" i="36" s="1"/>
  <c r="N654" i="36" s="1"/>
  <c r="O655" i="36" s="1"/>
  <c r="N655" i="36" s="1"/>
  <c r="O656" i="36" s="1"/>
  <c r="N656" i="36" s="1"/>
  <c r="O657" i="36" s="1"/>
  <c r="N657" i="36" s="1"/>
  <c r="O658" i="36" s="1"/>
  <c r="N658" i="36" s="1"/>
  <c r="O659" i="36" s="1"/>
  <c r="N659" i="36" s="1"/>
  <c r="O660" i="36" s="1"/>
  <c r="N660" i="36" s="1"/>
  <c r="O661" i="36" s="1"/>
  <c r="N661" i="36" s="1"/>
  <c r="O662" i="36" s="1"/>
  <c r="N662" i="36" s="1"/>
  <c r="O663" i="36" s="1"/>
  <c r="N663" i="36" s="1"/>
  <c r="O664" i="36" s="1"/>
  <c r="N664" i="36" s="1"/>
  <c r="O665" i="36" s="1"/>
  <c r="N665" i="36" s="1"/>
  <c r="O666" i="36" s="1"/>
  <c r="N666" i="36" s="1"/>
  <c r="O667" i="36" s="1"/>
  <c r="N667" i="36" s="1"/>
  <c r="O668" i="36" s="1"/>
  <c r="N668" i="36" s="1"/>
  <c r="O669" i="36" s="1"/>
  <c r="N669" i="36" s="1"/>
  <c r="O670" i="36" s="1"/>
  <c r="N670" i="36" s="1"/>
  <c r="O671" i="36" s="1"/>
  <c r="N671" i="36" s="1"/>
  <c r="O672" i="36" s="1"/>
  <c r="N672" i="36" s="1"/>
  <c r="O673" i="36" s="1"/>
  <c r="N673" i="36" s="1"/>
  <c r="O674" i="36" s="1"/>
  <c r="N674" i="36" s="1"/>
  <c r="O675" i="36" s="1"/>
  <c r="N675" i="36" s="1"/>
  <c r="O676" i="36" s="1"/>
  <c r="N676" i="36" s="1"/>
  <c r="O677" i="36" s="1"/>
  <c r="N677" i="36" s="1"/>
  <c r="O678" i="36" s="1"/>
  <c r="N678" i="36" s="1"/>
  <c r="O679" i="36" s="1"/>
  <c r="N679" i="36" s="1"/>
  <c r="O680" i="36" s="1"/>
  <c r="N680" i="36" s="1"/>
  <c r="O681" i="36" s="1"/>
  <c r="N681" i="36" s="1"/>
  <c r="O682" i="36" s="1"/>
  <c r="N682" i="36" s="1"/>
  <c r="O683" i="36" s="1"/>
  <c r="N683" i="36" s="1"/>
  <c r="O684" i="36" s="1"/>
  <c r="N684" i="36" s="1"/>
  <c r="O685" i="36" s="1"/>
  <c r="N685" i="36" s="1"/>
  <c r="O686" i="36" s="1"/>
  <c r="N686" i="36" s="1"/>
  <c r="O687" i="36" s="1"/>
  <c r="N687" i="36" s="1"/>
  <c r="O688" i="36" s="1"/>
  <c r="N688" i="36" s="1"/>
  <c r="O689" i="36" s="1"/>
  <c r="N689" i="36" s="1"/>
  <c r="O690" i="36" s="1"/>
  <c r="N690" i="36" s="1"/>
  <c r="O691" i="36" s="1"/>
  <c r="N691" i="36" s="1"/>
  <c r="O692" i="36" s="1"/>
  <c r="N692" i="36" s="1"/>
  <c r="O693" i="36" s="1"/>
  <c r="N693" i="36" s="1"/>
  <c r="O694" i="36" s="1"/>
  <c r="N694" i="36" s="1"/>
  <c r="O695" i="36" s="1"/>
  <c r="N695" i="36" s="1"/>
  <c r="O696" i="36" s="1"/>
  <c r="N696" i="36" s="1"/>
  <c r="O697" i="36" s="1"/>
  <c r="N697" i="36" s="1"/>
  <c r="O698" i="36" s="1"/>
  <c r="N698" i="36" s="1"/>
  <c r="O699" i="36" s="1"/>
  <c r="N699" i="36" s="1"/>
  <c r="O700" i="36" s="1"/>
  <c r="N700" i="36" s="1"/>
  <c r="O701" i="36" s="1"/>
  <c r="N701" i="36" s="1"/>
  <c r="O702" i="36" s="1"/>
  <c r="N702" i="36" s="1"/>
  <c r="O703" i="36" s="1"/>
  <c r="N703" i="36" s="1"/>
  <c r="O704" i="36" s="1"/>
  <c r="N704" i="36" s="1"/>
  <c r="O705" i="36" s="1"/>
  <c r="N705" i="36" s="1"/>
  <c r="O706" i="36" s="1"/>
  <c r="N706" i="36" s="1"/>
  <c r="O707" i="36" s="1"/>
  <c r="N707" i="36" s="1"/>
  <c r="O708" i="36" s="1"/>
  <c r="N708" i="36" s="1"/>
  <c r="O709" i="36" s="1"/>
  <c r="N709" i="36" s="1"/>
  <c r="O710" i="36" s="1"/>
  <c r="N710" i="36" s="1"/>
  <c r="O711" i="36" s="1"/>
  <c r="N711" i="36" s="1"/>
  <c r="O712" i="36" s="1"/>
  <c r="N712" i="36" s="1"/>
  <c r="O713" i="36" s="1"/>
  <c r="N713" i="36" s="1"/>
  <c r="O714" i="36" s="1"/>
  <c r="N714" i="36" s="1"/>
  <c r="O715" i="36" s="1"/>
  <c r="N715" i="36" s="1"/>
  <c r="O716" i="36" s="1"/>
  <c r="N716" i="36" s="1"/>
  <c r="O717" i="36" s="1"/>
  <c r="N717" i="36" s="1"/>
  <c r="O718" i="36" s="1"/>
  <c r="N718" i="36" s="1"/>
  <c r="O719" i="36" s="1"/>
  <c r="N719" i="36" s="1"/>
  <c r="O720" i="36" s="1"/>
  <c r="N720" i="36" s="1"/>
  <c r="O721" i="36" s="1"/>
  <c r="N721" i="36" s="1"/>
  <c r="O722" i="36" s="1"/>
  <c r="N722" i="36" s="1"/>
  <c r="O723" i="36" s="1"/>
  <c r="N723" i="36" s="1"/>
  <c r="O724" i="36" s="1"/>
  <c r="N724" i="36" s="1"/>
  <c r="O725" i="36" s="1"/>
  <c r="N725" i="36" s="1"/>
  <c r="O726" i="36" s="1"/>
  <c r="N726" i="36" s="1"/>
  <c r="O727" i="36" s="1"/>
  <c r="N727" i="36" s="1"/>
  <c r="O728" i="36" s="1"/>
  <c r="N728" i="36" s="1"/>
  <c r="O729" i="36" s="1"/>
  <c r="N729" i="36" s="1"/>
  <c r="O730" i="36" s="1"/>
  <c r="N730" i="36" s="1"/>
  <c r="O731" i="36" s="1"/>
  <c r="N731" i="36" s="1"/>
  <c r="O732" i="36" s="1"/>
  <c r="N732" i="36" s="1"/>
  <c r="O733" i="36" s="1"/>
  <c r="N733" i="36" s="1"/>
  <c r="O734" i="36" s="1"/>
  <c r="N734" i="36" s="1"/>
  <c r="O735" i="36" s="1"/>
  <c r="N735" i="36" s="1"/>
  <c r="O736" i="36" s="1"/>
  <c r="N736" i="36" s="1"/>
  <c r="O737" i="36" s="1"/>
  <c r="N737" i="36" s="1"/>
  <c r="O738" i="36" s="1"/>
  <c r="N738" i="36" s="1"/>
  <c r="O739" i="36" s="1"/>
  <c r="N739" i="36" s="1"/>
  <c r="O740" i="36" s="1"/>
  <c r="N740" i="36" s="1"/>
  <c r="O741" i="36" s="1"/>
  <c r="N741" i="36" s="1"/>
  <c r="O742" i="36" s="1"/>
  <c r="N742" i="36" s="1"/>
  <c r="O743" i="36" s="1"/>
  <c r="N743" i="36" s="1"/>
  <c r="O744" i="36" s="1"/>
  <c r="N744" i="36" s="1"/>
  <c r="O745" i="36" s="1"/>
  <c r="N745" i="36" s="1"/>
  <c r="O746" i="36" s="1"/>
  <c r="N746" i="36" s="1"/>
  <c r="O747" i="36" s="1"/>
  <c r="N747" i="36" s="1"/>
  <c r="O748" i="36" s="1"/>
  <c r="N748" i="36" s="1"/>
  <c r="O749" i="36" s="1"/>
  <c r="N749" i="36" s="1"/>
  <c r="O750" i="36" s="1"/>
  <c r="N750" i="36" s="1"/>
  <c r="O751" i="36" s="1"/>
  <c r="N751" i="36" s="1"/>
  <c r="O752" i="36" s="1"/>
  <c r="N752" i="36" s="1"/>
  <c r="O753" i="36" s="1"/>
  <c r="N753" i="36" s="1"/>
  <c r="O754" i="36" s="1"/>
  <c r="N754" i="36" s="1"/>
  <c r="O755" i="36" s="1"/>
  <c r="N755" i="36" s="1"/>
  <c r="I13" i="36" s="1"/>
  <c r="J13" i="36" s="1"/>
  <c r="AL287" i="7" l="1"/>
  <c r="AK252" i="7"/>
  <c r="AL252" i="7" s="1"/>
  <c r="AK288" i="7"/>
  <c r="AP253" i="7"/>
  <c r="AP289" i="7"/>
  <c r="AQ289" i="7" s="1"/>
  <c r="AQ290" i="7" s="1"/>
  <c r="AQ291" i="7" s="1"/>
  <c r="AQ292" i="7" s="1"/>
  <c r="AQ293" i="7" s="1"/>
  <c r="AQ294" i="7" s="1"/>
  <c r="AM286" i="7"/>
  <c r="AN285" i="7"/>
  <c r="AO285" i="7" s="1"/>
  <c r="AK253" i="7"/>
  <c r="AK289" i="7"/>
  <c r="AP276" i="7"/>
  <c r="AQ276" i="7" s="1"/>
  <c r="AP252" i="7"/>
  <c r="AQ252" i="7" s="1"/>
  <c r="AM252" i="7"/>
  <c r="AN251" i="7"/>
  <c r="AO251" i="7" s="1"/>
  <c r="AU276" i="7"/>
  <c r="AV276" i="7" s="1"/>
  <c r="AV277" i="7" s="1"/>
  <c r="AV278" i="7" s="1"/>
  <c r="AV279" i="7" s="1"/>
  <c r="AV280" i="7" s="1"/>
  <c r="AV281" i="7" s="1"/>
  <c r="AV282" i="7" s="1"/>
  <c r="AU252" i="7"/>
  <c r="AV252" i="7" s="1"/>
  <c r="AV253" i="7" s="1"/>
  <c r="AV254" i="7" s="1"/>
  <c r="AV255" i="7" s="1"/>
  <c r="AV256" i="7" s="1"/>
  <c r="AV257" i="7" s="1"/>
  <c r="AV258" i="7" s="1"/>
  <c r="AL126" i="7"/>
  <c r="AK128" i="7"/>
  <c r="AK277" i="7"/>
  <c r="AO126" i="7"/>
  <c r="AM276" i="7"/>
  <c r="AN275" i="7"/>
  <c r="AO275" i="7" s="1"/>
  <c r="AP128" i="7"/>
  <c r="AP277" i="7"/>
  <c r="AK127" i="7"/>
  <c r="AL127" i="7" s="1"/>
  <c r="AM127" i="7" s="1"/>
  <c r="AN127" i="7" s="1"/>
  <c r="AO127" i="7" s="1"/>
  <c r="AK276" i="7"/>
  <c r="AL275" i="7"/>
  <c r="AU189" i="7"/>
  <c r="AV189" i="7" s="1"/>
  <c r="AV190" i="7" s="1"/>
  <c r="AV191" i="7" s="1"/>
  <c r="AV192" i="7" s="1"/>
  <c r="AU127" i="7"/>
  <c r="AV127" i="7" s="1"/>
  <c r="AV128" i="7" s="1"/>
  <c r="AV129" i="7" s="1"/>
  <c r="AV130" i="7" s="1"/>
  <c r="AV131" i="7" s="1"/>
  <c r="AV132" i="7" s="1"/>
  <c r="AV133" i="7" s="1"/>
  <c r="AV134" i="7" s="1"/>
  <c r="AV135" i="7" s="1"/>
  <c r="AV136" i="7" s="1"/>
  <c r="AV137" i="7" s="1"/>
  <c r="AV138" i="7" s="1"/>
  <c r="AP189" i="7"/>
  <c r="AQ189" i="7" s="1"/>
  <c r="AP127" i="7"/>
  <c r="AQ127" i="7" s="1"/>
  <c r="AM168" i="7"/>
  <c r="AN168" i="7" s="1"/>
  <c r="AM188" i="7"/>
  <c r="AN187" i="7"/>
  <c r="AO187" i="7" s="1"/>
  <c r="AN167" i="7"/>
  <c r="AO167" i="7" s="1"/>
  <c r="AQ402" i="7"/>
  <c r="AQ168" i="7"/>
  <c r="AN402" i="7"/>
  <c r="AP404" i="7"/>
  <c r="AP190" i="7"/>
  <c r="AK403" i="7"/>
  <c r="AL403" i="7" s="1"/>
  <c r="AK189" i="7"/>
  <c r="AL189" i="7" s="1"/>
  <c r="AK404" i="7"/>
  <c r="AK190" i="7"/>
  <c r="AU169" i="7"/>
  <c r="AV169" i="7" s="1"/>
  <c r="AV170" i="7" s="1"/>
  <c r="AV171" i="7" s="1"/>
  <c r="AV172" i="7" s="1"/>
  <c r="AV173" i="7" s="1"/>
  <c r="AV174" i="7" s="1"/>
  <c r="AU403" i="7"/>
  <c r="AV403" i="7" s="1"/>
  <c r="AV404" i="7" s="1"/>
  <c r="AV405" i="7" s="1"/>
  <c r="AV406" i="7" s="1"/>
  <c r="AV407" i="7" s="1"/>
  <c r="AV408" i="7" s="1"/>
  <c r="AV409" i="7" s="1"/>
  <c r="AV410" i="7" s="1"/>
  <c r="AV411" i="7" s="1"/>
  <c r="AV412" i="7" s="1"/>
  <c r="AV413" i="7" s="1"/>
  <c r="AV414" i="7" s="1"/>
  <c r="AO400" i="7"/>
  <c r="AP169" i="7"/>
  <c r="AP403" i="7"/>
  <c r="AO399" i="7"/>
  <c r="AP194" i="7"/>
  <c r="AP170" i="7"/>
  <c r="AK193" i="7"/>
  <c r="AK169" i="7"/>
  <c r="AL169" i="7" s="1"/>
  <c r="AK194" i="7"/>
  <c r="AK170" i="7"/>
  <c r="J14" i="28"/>
  <c r="L14" i="28" s="1"/>
  <c r="T14" i="28" s="1"/>
  <c r="I14" i="28"/>
  <c r="I9" i="28"/>
  <c r="J9" i="28"/>
  <c r="AU193" i="7"/>
  <c r="AP193" i="7"/>
  <c r="N7" i="7"/>
  <c r="M8" i="7"/>
  <c r="N8" i="7" s="1"/>
  <c r="G51" i="22"/>
  <c r="F32" i="22"/>
  <c r="F78" i="41"/>
  <c r="N10" i="30"/>
  <c r="N12" i="30" s="1"/>
  <c r="J422" i="45" s="1"/>
  <c r="J424" i="45" s="1"/>
  <c r="H49" i="29"/>
  <c r="F124" i="41"/>
  <c r="F95" i="41"/>
  <c r="N36" i="30"/>
  <c r="N38" i="30"/>
  <c r="AO269" i="7"/>
  <c r="AO271" i="7"/>
  <c r="AO259" i="7"/>
  <c r="AL253" i="7" l="1"/>
  <c r="AL254" i="7" s="1"/>
  <c r="AL255" i="7" s="1"/>
  <c r="AL256" i="7" s="1"/>
  <c r="AL257" i="7" s="1"/>
  <c r="AL258" i="7" s="1"/>
  <c r="AM287" i="7"/>
  <c r="AN286" i="7"/>
  <c r="AO286" i="7" s="1"/>
  <c r="AQ253" i="7"/>
  <c r="AQ254" i="7" s="1"/>
  <c r="AQ255" i="7" s="1"/>
  <c r="AQ256" i="7" s="1"/>
  <c r="AQ257" i="7" s="1"/>
  <c r="AQ258" i="7" s="1"/>
  <c r="AL288" i="7"/>
  <c r="AL289" i="7" s="1"/>
  <c r="AL290" i="7" s="1"/>
  <c r="AL291" i="7" s="1"/>
  <c r="AL292" i="7" s="1"/>
  <c r="AL293" i="7" s="1"/>
  <c r="AL294" i="7" s="1"/>
  <c r="AQ277" i="7"/>
  <c r="AQ278" i="7" s="1"/>
  <c r="AQ279" i="7" s="1"/>
  <c r="AQ280" i="7" s="1"/>
  <c r="AQ281" i="7" s="1"/>
  <c r="AQ282" i="7" s="1"/>
  <c r="AM253" i="7"/>
  <c r="AN252" i="7"/>
  <c r="AO252" i="7" s="1"/>
  <c r="AM128" i="7"/>
  <c r="AN128" i="7" s="1"/>
  <c r="AO128" i="7" s="1"/>
  <c r="AL128" i="7"/>
  <c r="AL129" i="7" s="1"/>
  <c r="AL130" i="7" s="1"/>
  <c r="AL131" i="7" s="1"/>
  <c r="AL132" i="7" s="1"/>
  <c r="AL133" i="7" s="1"/>
  <c r="AL134" i="7" s="1"/>
  <c r="AL135" i="7" s="1"/>
  <c r="AL136" i="7" s="1"/>
  <c r="AL137" i="7" s="1"/>
  <c r="AL276" i="7"/>
  <c r="AL277" i="7" s="1"/>
  <c r="AL278" i="7" s="1"/>
  <c r="AL279" i="7" s="1"/>
  <c r="AL280" i="7" s="1"/>
  <c r="AL281" i="7" s="1"/>
  <c r="AL282" i="7" s="1"/>
  <c r="AQ128" i="7"/>
  <c r="AQ129" i="7" s="1"/>
  <c r="AQ130" i="7" s="1"/>
  <c r="AQ131" i="7" s="1"/>
  <c r="AQ132" i="7" s="1"/>
  <c r="AQ133" i="7" s="1"/>
  <c r="AQ134" i="7" s="1"/>
  <c r="AQ135" i="7" s="1"/>
  <c r="AQ136" i="7" s="1"/>
  <c r="AQ137" i="7" s="1"/>
  <c r="AQ138" i="7" s="1"/>
  <c r="AM277" i="7"/>
  <c r="AN276" i="7"/>
  <c r="AO276" i="7" s="1"/>
  <c r="AV193" i="7"/>
  <c r="AV194" i="7" s="1"/>
  <c r="AV195" i="7" s="1"/>
  <c r="AV196" i="7" s="1"/>
  <c r="AV197" i="7" s="1"/>
  <c r="AV198" i="7" s="1"/>
  <c r="AM403" i="7"/>
  <c r="AM404" i="7" s="1"/>
  <c r="AM405" i="7" s="1"/>
  <c r="AM406" i="7" s="1"/>
  <c r="AM407" i="7" s="1"/>
  <c r="AM408" i="7" s="1"/>
  <c r="AM409" i="7" s="1"/>
  <c r="AM410" i="7" s="1"/>
  <c r="AM411" i="7" s="1"/>
  <c r="AM412" i="7" s="1"/>
  <c r="AM413" i="7" s="1"/>
  <c r="AM414" i="7" s="1"/>
  <c r="AM189" i="7"/>
  <c r="AN188" i="7"/>
  <c r="AO188" i="7" s="1"/>
  <c r="AM169" i="7"/>
  <c r="AQ403" i="7"/>
  <c r="AQ404" i="7" s="1"/>
  <c r="AQ405" i="7" s="1"/>
  <c r="AQ406" i="7" s="1"/>
  <c r="AQ407" i="7" s="1"/>
  <c r="AQ408" i="7" s="1"/>
  <c r="AQ409" i="7" s="1"/>
  <c r="AQ410" i="7" s="1"/>
  <c r="AQ411" i="7" s="1"/>
  <c r="AQ412" i="7" s="1"/>
  <c r="AQ413" i="7" s="1"/>
  <c r="AQ414" i="7" s="1"/>
  <c r="AQ169" i="7"/>
  <c r="AQ170" i="7" s="1"/>
  <c r="AQ171" i="7" s="1"/>
  <c r="AQ172" i="7" s="1"/>
  <c r="AQ173" i="7" s="1"/>
  <c r="AQ174" i="7" s="1"/>
  <c r="AQ190" i="7"/>
  <c r="AQ191" i="7" s="1"/>
  <c r="AQ192" i="7" s="1"/>
  <c r="AQ193" i="7" s="1"/>
  <c r="AQ194" i="7" s="1"/>
  <c r="AQ195" i="7" s="1"/>
  <c r="AQ196" i="7" s="1"/>
  <c r="AQ197" i="7" s="1"/>
  <c r="AQ198" i="7" s="1"/>
  <c r="AL190" i="7"/>
  <c r="AL191" i="7" s="1"/>
  <c r="AL192" i="7" s="1"/>
  <c r="AL193" i="7" s="1"/>
  <c r="AL194" i="7" s="1"/>
  <c r="AL195" i="7" s="1"/>
  <c r="AL196" i="7" s="1"/>
  <c r="AL197" i="7" s="1"/>
  <c r="AL198" i="7" s="1"/>
  <c r="AO401" i="7"/>
  <c r="AO402" i="7"/>
  <c r="AL404" i="7"/>
  <c r="AL405" i="7" s="1"/>
  <c r="AL406" i="7" s="1"/>
  <c r="AL407" i="7" s="1"/>
  <c r="AL408" i="7" s="1"/>
  <c r="AL409" i="7" s="1"/>
  <c r="AL410" i="7" s="1"/>
  <c r="AL411" i="7" s="1"/>
  <c r="AL412" i="7" s="1"/>
  <c r="AL413" i="7" s="1"/>
  <c r="AL414" i="7" s="1"/>
  <c r="AL170" i="7"/>
  <c r="AL171" i="7" s="1"/>
  <c r="AL172" i="7" s="1"/>
  <c r="AL173" i="7" s="1"/>
  <c r="AL174" i="7" s="1"/>
  <c r="AO168" i="7"/>
  <c r="N5" i="7"/>
  <c r="L9" i="28"/>
  <c r="J16" i="28"/>
  <c r="L16" i="28" s="1"/>
  <c r="T16" i="28" s="1"/>
  <c r="I16" i="28"/>
  <c r="J61" i="30"/>
  <c r="H50" i="29"/>
  <c r="H51" i="29" s="1"/>
  <c r="G30" i="29"/>
  <c r="J442" i="45" s="1"/>
  <c r="J59" i="30"/>
  <c r="G52" i="22"/>
  <c r="T40" i="41"/>
  <c r="N24" i="30" s="1"/>
  <c r="F107" i="41"/>
  <c r="AR268" i="7"/>
  <c r="AR266" i="7"/>
  <c r="AR260" i="7"/>
  <c r="AS260" i="7" s="1"/>
  <c r="AT260" i="7" s="1"/>
  <c r="AR259" i="7"/>
  <c r="AS259" i="7" s="1"/>
  <c r="AT259" i="7" s="1"/>
  <c r="AR262" i="7"/>
  <c r="AR263" i="7"/>
  <c r="AR264" i="7"/>
  <c r="AR261" i="7"/>
  <c r="AS261" i="7" s="1"/>
  <c r="AR267" i="7"/>
  <c r="AR270" i="7"/>
  <c r="AR265" i="7"/>
  <c r="AR269" i="7"/>
  <c r="AR7" i="7"/>
  <c r="AR12" i="7"/>
  <c r="AR13" i="7"/>
  <c r="AR17" i="7"/>
  <c r="AR9" i="7"/>
  <c r="AR14" i="7"/>
  <c r="AR11" i="7"/>
  <c r="AR15" i="7"/>
  <c r="AR18" i="7"/>
  <c r="AR16" i="7"/>
  <c r="AR8" i="7"/>
  <c r="AR10" i="7"/>
  <c r="AR28" i="7"/>
  <c r="AR23" i="7"/>
  <c r="AR19" i="7"/>
  <c r="AR22" i="7"/>
  <c r="AR29" i="7"/>
  <c r="AR20" i="7"/>
  <c r="AR30" i="7"/>
  <c r="AR24" i="7"/>
  <c r="AR26" i="7"/>
  <c r="AR25" i="7"/>
  <c r="AR27" i="7"/>
  <c r="AR21" i="7"/>
  <c r="AR42" i="7"/>
  <c r="AR36" i="7"/>
  <c r="AR41" i="7"/>
  <c r="AR40" i="7"/>
  <c r="AR32" i="7"/>
  <c r="AR31" i="7"/>
  <c r="AR35" i="7"/>
  <c r="AR39" i="7"/>
  <c r="AR33" i="7"/>
  <c r="AR37" i="7"/>
  <c r="AR34" i="7"/>
  <c r="AR38" i="7"/>
  <c r="AR47" i="7"/>
  <c r="AR44" i="7"/>
  <c r="AR51" i="7"/>
  <c r="AR46" i="7"/>
  <c r="AR45" i="7"/>
  <c r="AR43" i="7"/>
  <c r="AR52" i="7"/>
  <c r="AR49" i="7"/>
  <c r="AR53" i="7"/>
  <c r="AR48" i="7"/>
  <c r="AR50" i="7"/>
  <c r="AR54" i="7"/>
  <c r="AR64" i="7"/>
  <c r="AR65" i="7"/>
  <c r="AR58" i="7"/>
  <c r="AR62" i="7"/>
  <c r="AR60" i="7"/>
  <c r="AR66" i="7"/>
  <c r="AR55" i="7"/>
  <c r="AR57" i="7"/>
  <c r="AR59" i="7"/>
  <c r="AR56" i="7"/>
  <c r="AR61" i="7"/>
  <c r="AR63" i="7"/>
  <c r="AR74" i="7"/>
  <c r="AR71" i="7"/>
  <c r="AR67" i="7"/>
  <c r="AR76" i="7"/>
  <c r="AR72" i="7"/>
  <c r="AR77" i="7"/>
  <c r="AR75" i="7"/>
  <c r="AR68" i="7"/>
  <c r="AR69" i="7"/>
  <c r="AR73" i="7"/>
  <c r="AR70" i="7"/>
  <c r="AR78" i="7"/>
  <c r="AR81" i="7"/>
  <c r="AR80" i="7"/>
  <c r="AR84" i="7"/>
  <c r="AR88" i="7"/>
  <c r="AR86" i="7"/>
  <c r="AR85" i="7"/>
  <c r="AR89" i="7"/>
  <c r="AR82" i="7"/>
  <c r="AR87" i="7"/>
  <c r="AR90" i="7"/>
  <c r="AR79" i="7"/>
  <c r="AR83" i="7"/>
  <c r="AR98" i="7"/>
  <c r="AR91" i="7"/>
  <c r="AR100" i="7"/>
  <c r="AR96" i="7"/>
  <c r="AR101" i="7"/>
  <c r="AR95" i="7"/>
  <c r="AR94" i="7"/>
  <c r="AR102" i="7"/>
  <c r="AR92" i="7"/>
  <c r="AR99" i="7"/>
  <c r="AR93" i="7"/>
  <c r="AR97" i="7"/>
  <c r="AR112" i="7"/>
  <c r="AR111" i="7"/>
  <c r="AR110" i="7"/>
  <c r="AR107" i="7"/>
  <c r="AR109" i="7"/>
  <c r="AR103" i="7"/>
  <c r="AR113" i="7"/>
  <c r="AR108" i="7"/>
  <c r="AR104" i="7"/>
  <c r="AR106" i="7"/>
  <c r="AR114" i="7"/>
  <c r="AR105" i="7"/>
  <c r="AR126" i="7"/>
  <c r="AR123" i="7"/>
  <c r="AR115" i="7"/>
  <c r="AR125" i="7"/>
  <c r="AR117" i="7"/>
  <c r="AR120" i="7"/>
  <c r="AR116" i="7"/>
  <c r="AR124" i="7"/>
  <c r="AR118" i="7"/>
  <c r="AR121" i="7"/>
  <c r="AR119" i="7"/>
  <c r="AR122" i="7"/>
  <c r="AR146" i="7"/>
  <c r="AR139" i="7"/>
  <c r="AR150" i="7"/>
  <c r="AR142" i="7"/>
  <c r="AR144" i="7"/>
  <c r="AR147" i="7"/>
  <c r="AR143" i="7"/>
  <c r="AR145" i="7"/>
  <c r="AR148" i="7"/>
  <c r="AR141" i="7"/>
  <c r="AR149" i="7"/>
  <c r="AR140" i="7"/>
  <c r="AR160" i="7"/>
  <c r="AR157" i="7"/>
  <c r="AR162" i="7"/>
  <c r="AR156" i="7"/>
  <c r="AR152" i="7"/>
  <c r="AR161" i="7"/>
  <c r="AR159" i="7"/>
  <c r="AR155" i="7"/>
  <c r="AR151" i="7"/>
  <c r="AR154" i="7"/>
  <c r="AR158" i="7"/>
  <c r="AR153" i="7"/>
  <c r="AR176" i="7"/>
  <c r="AR182" i="7"/>
  <c r="AR175" i="7"/>
  <c r="AR186" i="7"/>
  <c r="AR180" i="7"/>
  <c r="AR178" i="7"/>
  <c r="AR179" i="7"/>
  <c r="AR184" i="7"/>
  <c r="AR185" i="7"/>
  <c r="AR181" i="7"/>
  <c r="AR183" i="7"/>
  <c r="AR177" i="7"/>
  <c r="AR201" i="7"/>
  <c r="AR200" i="7"/>
  <c r="AR204" i="7"/>
  <c r="AR208" i="7"/>
  <c r="AR206" i="7"/>
  <c r="AR205" i="7"/>
  <c r="AR209" i="7"/>
  <c r="AR202" i="7"/>
  <c r="AR207" i="7"/>
  <c r="AR210" i="7"/>
  <c r="AR199" i="7"/>
  <c r="AR203" i="7"/>
  <c r="AR217" i="7"/>
  <c r="AR218" i="7"/>
  <c r="AR222" i="7"/>
  <c r="AR219" i="7"/>
  <c r="AR220" i="7"/>
  <c r="AR214" i="7"/>
  <c r="AR216" i="7"/>
  <c r="AR212" i="7"/>
  <c r="AR215" i="7"/>
  <c r="AR211" i="7"/>
  <c r="AR221" i="7"/>
  <c r="AR213" i="7"/>
  <c r="AR223" i="7"/>
  <c r="AR229" i="7"/>
  <c r="AR234" i="7"/>
  <c r="AR231" i="7"/>
  <c r="AR224" i="7"/>
  <c r="AR232" i="7"/>
  <c r="AR226" i="7"/>
  <c r="AR230" i="7"/>
  <c r="AR227" i="7"/>
  <c r="AR228" i="7"/>
  <c r="AR233" i="7"/>
  <c r="AR225" i="7"/>
  <c r="AR243" i="7"/>
  <c r="AR239" i="7"/>
  <c r="AR241" i="7"/>
  <c r="AR244" i="7"/>
  <c r="AR242" i="7"/>
  <c r="AR240" i="7"/>
  <c r="AR238" i="7"/>
  <c r="AR236" i="7"/>
  <c r="AR237" i="7"/>
  <c r="AR235" i="7"/>
  <c r="AR245" i="7"/>
  <c r="AR246" i="7"/>
  <c r="AO270" i="7"/>
  <c r="AM288" i="7" l="1"/>
  <c r="AN287" i="7"/>
  <c r="AO287" i="7" s="1"/>
  <c r="AM254" i="7"/>
  <c r="AN253" i="7"/>
  <c r="AO253" i="7" s="1"/>
  <c r="AM129" i="7"/>
  <c r="AN129" i="7" s="1"/>
  <c r="AM278" i="7"/>
  <c r="AN277" i="7"/>
  <c r="AO277" i="7" s="1"/>
  <c r="AL138" i="7"/>
  <c r="AN404" i="7"/>
  <c r="AM190" i="7"/>
  <c r="AM191" i="7" s="1"/>
  <c r="AM192" i="7" s="1"/>
  <c r="AM193" i="7" s="1"/>
  <c r="AM194" i="7" s="1"/>
  <c r="AM195" i="7" s="1"/>
  <c r="AM196" i="7" s="1"/>
  <c r="AM197" i="7" s="1"/>
  <c r="AM198" i="7" s="1"/>
  <c r="AM170" i="7"/>
  <c r="AN403" i="7"/>
  <c r="AN169" i="7"/>
  <c r="AN189" i="7"/>
  <c r="AO189" i="7" s="1"/>
  <c r="AN405" i="7"/>
  <c r="J444" i="45"/>
  <c r="T9" i="28"/>
  <c r="I18" i="28"/>
  <c r="J18" i="28"/>
  <c r="L18" i="28" s="1"/>
  <c r="T18" i="28" s="1"/>
  <c r="J11" i="28"/>
  <c r="I11" i="28"/>
  <c r="F110" i="41"/>
  <c r="F125" i="41" s="1"/>
  <c r="AT261" i="7"/>
  <c r="AS7" i="7"/>
  <c r="AS8" i="7"/>
  <c r="AS11" i="7"/>
  <c r="AS13" i="7"/>
  <c r="AS16" i="7"/>
  <c r="AS14" i="7"/>
  <c r="AS12" i="7"/>
  <c r="AS9" i="7"/>
  <c r="AS10" i="7"/>
  <c r="AS15" i="7"/>
  <c r="AS245" i="7"/>
  <c r="AS238" i="7"/>
  <c r="AS241" i="7"/>
  <c r="AS233" i="7"/>
  <c r="AS226" i="7"/>
  <c r="AS234" i="7"/>
  <c r="AS221" i="7"/>
  <c r="AS216" i="7"/>
  <c r="AS222" i="7"/>
  <c r="AS199" i="7"/>
  <c r="AS209" i="7"/>
  <c r="AS204" i="7"/>
  <c r="AS183" i="7"/>
  <c r="AS179" i="7"/>
  <c r="AS175" i="7"/>
  <c r="AS158" i="7"/>
  <c r="AS159" i="7"/>
  <c r="AS162" i="7"/>
  <c r="AS149" i="7"/>
  <c r="AS143" i="7"/>
  <c r="AS150" i="7"/>
  <c r="AS119" i="7"/>
  <c r="AS116" i="7"/>
  <c r="AS115" i="7"/>
  <c r="AS114" i="7"/>
  <c r="AS113" i="7"/>
  <c r="AS110" i="7"/>
  <c r="AS93" i="7"/>
  <c r="AS94" i="7"/>
  <c r="AS100" i="7"/>
  <c r="AS79" i="7"/>
  <c r="AS89" i="7"/>
  <c r="AS84" i="7"/>
  <c r="AS70" i="7"/>
  <c r="AS75" i="7"/>
  <c r="AS67" i="7"/>
  <c r="AS61" i="7"/>
  <c r="AS55" i="7"/>
  <c r="AS58" i="7"/>
  <c r="AS50" i="7"/>
  <c r="AS52" i="7"/>
  <c r="AS51" i="7"/>
  <c r="AS34" i="7"/>
  <c r="AS35" i="7"/>
  <c r="AS41" i="7"/>
  <c r="AS27" i="7"/>
  <c r="AS30" i="7"/>
  <c r="AS19" i="7"/>
  <c r="AS235" i="7"/>
  <c r="AS239" i="7"/>
  <c r="AS228" i="7"/>
  <c r="AS232" i="7"/>
  <c r="AS229" i="7"/>
  <c r="AS211" i="7"/>
  <c r="AS214" i="7"/>
  <c r="AS218" i="7"/>
  <c r="AS210" i="7"/>
  <c r="AS205" i="7"/>
  <c r="AS200" i="7"/>
  <c r="AS181" i="7"/>
  <c r="AS178" i="7"/>
  <c r="AS182" i="7"/>
  <c r="AS154" i="7"/>
  <c r="AS161" i="7"/>
  <c r="AS157" i="7"/>
  <c r="AS141" i="7"/>
  <c r="AS147" i="7"/>
  <c r="AS139" i="7"/>
  <c r="AS121" i="7"/>
  <c r="AS120" i="7"/>
  <c r="AS123" i="7"/>
  <c r="AS106" i="7"/>
  <c r="AS103" i="7"/>
  <c r="AS111" i="7"/>
  <c r="AS99" i="7"/>
  <c r="AS95" i="7"/>
  <c r="AS91" i="7"/>
  <c r="AS90" i="7"/>
  <c r="AS85" i="7"/>
  <c r="AS80" i="7"/>
  <c r="AS73" i="7"/>
  <c r="AS77" i="7"/>
  <c r="AS71" i="7"/>
  <c r="AS56" i="7"/>
  <c r="AS66" i="7"/>
  <c r="AS65" i="7"/>
  <c r="AS48" i="7"/>
  <c r="AS43" i="7"/>
  <c r="AS44" i="7"/>
  <c r="AS37" i="7"/>
  <c r="AS31" i="7"/>
  <c r="AS36" i="7"/>
  <c r="AS25" i="7"/>
  <c r="AS20" i="7"/>
  <c r="AS23" i="7"/>
  <c r="AS240" i="7"/>
  <c r="AS237" i="7"/>
  <c r="AS242" i="7"/>
  <c r="AS243" i="7"/>
  <c r="AS227" i="7"/>
  <c r="AS224" i="7"/>
  <c r="AS223" i="7"/>
  <c r="AS215" i="7"/>
  <c r="AS220" i="7"/>
  <c r="AS217" i="7"/>
  <c r="AS207" i="7"/>
  <c r="AS206" i="7"/>
  <c r="AS201" i="7"/>
  <c r="AS185" i="7"/>
  <c r="AS180" i="7"/>
  <c r="AS176" i="7"/>
  <c r="AS151" i="7"/>
  <c r="AS152" i="7"/>
  <c r="AS160" i="7"/>
  <c r="AS148" i="7"/>
  <c r="AS144" i="7"/>
  <c r="AS146" i="7"/>
  <c r="AS118" i="7"/>
  <c r="AS117" i="7"/>
  <c r="AS126" i="7"/>
  <c r="AS104" i="7"/>
  <c r="AS109" i="7"/>
  <c r="AS112" i="7"/>
  <c r="AS92" i="7"/>
  <c r="AS101" i="7"/>
  <c r="AS98" i="7"/>
  <c r="AS87" i="7"/>
  <c r="AS86" i="7"/>
  <c r="AS81" i="7"/>
  <c r="AS69" i="7"/>
  <c r="AS72" i="7"/>
  <c r="AS74" i="7"/>
  <c r="AS59" i="7"/>
  <c r="AS60" i="7"/>
  <c r="AS64" i="7"/>
  <c r="AS53" i="7"/>
  <c r="AS45" i="7"/>
  <c r="AS47" i="7"/>
  <c r="AS33" i="7"/>
  <c r="AS32" i="7"/>
  <c r="AS42" i="7"/>
  <c r="AS26" i="7"/>
  <c r="AS29" i="7"/>
  <c r="AS28" i="7"/>
  <c r="AS18" i="7"/>
  <c r="AS246" i="7"/>
  <c r="AS236" i="7"/>
  <c r="AS244" i="7"/>
  <c r="AS225" i="7"/>
  <c r="AS230" i="7"/>
  <c r="AS231" i="7"/>
  <c r="AS213" i="7"/>
  <c r="AS212" i="7"/>
  <c r="AS219" i="7"/>
  <c r="AS203" i="7"/>
  <c r="AS202" i="7"/>
  <c r="AS208" i="7"/>
  <c r="AS177" i="7"/>
  <c r="AS184" i="7"/>
  <c r="AS186" i="7"/>
  <c r="AS153" i="7"/>
  <c r="AS155" i="7"/>
  <c r="AS156" i="7"/>
  <c r="AS140" i="7"/>
  <c r="AS145" i="7"/>
  <c r="AS142" i="7"/>
  <c r="AS122" i="7"/>
  <c r="AS124" i="7"/>
  <c r="AS125" i="7"/>
  <c r="AS105" i="7"/>
  <c r="AS108" i="7"/>
  <c r="AS107" i="7"/>
  <c r="AS97" i="7"/>
  <c r="AS102" i="7"/>
  <c r="AS96" i="7"/>
  <c r="AS83" i="7"/>
  <c r="AS82" i="7"/>
  <c r="AS88" i="7"/>
  <c r="AS78" i="7"/>
  <c r="AS68" i="7"/>
  <c r="AS76" i="7"/>
  <c r="AS63" i="7"/>
  <c r="AS57" i="7"/>
  <c r="AS62" i="7"/>
  <c r="AS54" i="7"/>
  <c r="AS49" i="7"/>
  <c r="AS46" i="7"/>
  <c r="AS38" i="7"/>
  <c r="AS39" i="7"/>
  <c r="AS40" i="7"/>
  <c r="AS21" i="7"/>
  <c r="AS24" i="7"/>
  <c r="AS22" i="7"/>
  <c r="AS262" i="7"/>
  <c r="AS17" i="7"/>
  <c r="AM289" i="7" l="1"/>
  <c r="AN288" i="7"/>
  <c r="AO288" i="7" s="1"/>
  <c r="AM255" i="7"/>
  <c r="AN254" i="7"/>
  <c r="AO254" i="7" s="1"/>
  <c r="AM130" i="7"/>
  <c r="AM131" i="7" s="1"/>
  <c r="AM279" i="7"/>
  <c r="AN278" i="7"/>
  <c r="AO278" i="7" s="1"/>
  <c r="AO129" i="7"/>
  <c r="AN190" i="7"/>
  <c r="AO190" i="7" s="1"/>
  <c r="AM171" i="7"/>
  <c r="AN170" i="7"/>
  <c r="AO170" i="7" s="1"/>
  <c r="AN191" i="7"/>
  <c r="AN406" i="7"/>
  <c r="AO403" i="7"/>
  <c r="AO404" i="7"/>
  <c r="AO169" i="7"/>
  <c r="L11" i="28"/>
  <c r="I20" i="28"/>
  <c r="J20" i="28"/>
  <c r="L20" i="28" s="1"/>
  <c r="T20" i="28" s="1"/>
  <c r="J14" i="41"/>
  <c r="AT38" i="7"/>
  <c r="AT62" i="7"/>
  <c r="AT68" i="7"/>
  <c r="AT83" i="7"/>
  <c r="AT107" i="7"/>
  <c r="AT124" i="7"/>
  <c r="AT156" i="7"/>
  <c r="AT177" i="7"/>
  <c r="AT208" i="7"/>
  <c r="AT212" i="7"/>
  <c r="AT225" i="7"/>
  <c r="AT29" i="7"/>
  <c r="AT33" i="7"/>
  <c r="AT64" i="7"/>
  <c r="AT72" i="7"/>
  <c r="AT87" i="7"/>
  <c r="AT112" i="7"/>
  <c r="AT117" i="7"/>
  <c r="AT160" i="7"/>
  <c r="AT185" i="7"/>
  <c r="AT201" i="7"/>
  <c r="AT220" i="7"/>
  <c r="AT227" i="7"/>
  <c r="AT25" i="7"/>
  <c r="AT44" i="7"/>
  <c r="AT66" i="7"/>
  <c r="AT73" i="7"/>
  <c r="AT121" i="7"/>
  <c r="AT161" i="7"/>
  <c r="AT205" i="7"/>
  <c r="AT239" i="7"/>
  <c r="AT30" i="7"/>
  <c r="AT34" i="7"/>
  <c r="AT58" i="7"/>
  <c r="AT75" i="7"/>
  <c r="AT110" i="7"/>
  <c r="AT116" i="7"/>
  <c r="AT162" i="7"/>
  <c r="AT183" i="7"/>
  <c r="AT204" i="7"/>
  <c r="AT216" i="7"/>
  <c r="AT233" i="7"/>
  <c r="AT15" i="7"/>
  <c r="AT14" i="7"/>
  <c r="AT8" i="7"/>
  <c r="AT24" i="7"/>
  <c r="AT17" i="7"/>
  <c r="AT21" i="7"/>
  <c r="AT46" i="7"/>
  <c r="AT57" i="7"/>
  <c r="AT78" i="7"/>
  <c r="AT96" i="7"/>
  <c r="AT108" i="7"/>
  <c r="AT122" i="7"/>
  <c r="AT142" i="7"/>
  <c r="AT155" i="7"/>
  <c r="AT202" i="7"/>
  <c r="AT213" i="7"/>
  <c r="AT244" i="7"/>
  <c r="AT26" i="7"/>
  <c r="AT47" i="7"/>
  <c r="AT60" i="7"/>
  <c r="AT69" i="7"/>
  <c r="AT98" i="7"/>
  <c r="AT109" i="7"/>
  <c r="AT118" i="7"/>
  <c r="AT146" i="7"/>
  <c r="AT152" i="7"/>
  <c r="AT206" i="7"/>
  <c r="AT215" i="7"/>
  <c r="AT243" i="7"/>
  <c r="AT36" i="7"/>
  <c r="AT56" i="7"/>
  <c r="AT80" i="7"/>
  <c r="AT95" i="7"/>
  <c r="AT106" i="7"/>
  <c r="AT147" i="7"/>
  <c r="AT154" i="7"/>
  <c r="AT182" i="7"/>
  <c r="AT210" i="7"/>
  <c r="AT229" i="7"/>
  <c r="AT27" i="7"/>
  <c r="AT51" i="7"/>
  <c r="AT70" i="7"/>
  <c r="AT100" i="7"/>
  <c r="AT113" i="7"/>
  <c r="AT119" i="7"/>
  <c r="AT150" i="7"/>
  <c r="AT159" i="7"/>
  <c r="AT209" i="7"/>
  <c r="AT221" i="7"/>
  <c r="AT241" i="7"/>
  <c r="AT10" i="7"/>
  <c r="AT16" i="7"/>
  <c r="AT40" i="7"/>
  <c r="AT49" i="7"/>
  <c r="AT63" i="7"/>
  <c r="AT88" i="7"/>
  <c r="AT102" i="7"/>
  <c r="AT105" i="7"/>
  <c r="AT145" i="7"/>
  <c r="AT153" i="7"/>
  <c r="AT186" i="7"/>
  <c r="AT203" i="7"/>
  <c r="AT231" i="7"/>
  <c r="AT236" i="7"/>
  <c r="AT18" i="7"/>
  <c r="AT42" i="7"/>
  <c r="AT45" i="7"/>
  <c r="AT59" i="7"/>
  <c r="AT81" i="7"/>
  <c r="AT101" i="7"/>
  <c r="AT104" i="7"/>
  <c r="AT144" i="7"/>
  <c r="AT176" i="7"/>
  <c r="AT207" i="7"/>
  <c r="AT242" i="7"/>
  <c r="AT23" i="7"/>
  <c r="AT48" i="7"/>
  <c r="AT71" i="7"/>
  <c r="AT85" i="7"/>
  <c r="AT99" i="7"/>
  <c r="AT123" i="7"/>
  <c r="AT141" i="7"/>
  <c r="AT178" i="7"/>
  <c r="AT218" i="7"/>
  <c r="AT232" i="7"/>
  <c r="AT41" i="7"/>
  <c r="AT52" i="7"/>
  <c r="AT61" i="7"/>
  <c r="AT84" i="7"/>
  <c r="AT94" i="7"/>
  <c r="AT114" i="7"/>
  <c r="AT143" i="7"/>
  <c r="AT158" i="7"/>
  <c r="AT234" i="7"/>
  <c r="AT238" i="7"/>
  <c r="AT9" i="7"/>
  <c r="AT13" i="7"/>
  <c r="AT262" i="7"/>
  <c r="AT22" i="7"/>
  <c r="AT39" i="7"/>
  <c r="AT54" i="7"/>
  <c r="AT76" i="7"/>
  <c r="AT82" i="7"/>
  <c r="AT97" i="7"/>
  <c r="AT125" i="7"/>
  <c r="AT140" i="7"/>
  <c r="AT184" i="7"/>
  <c r="AT219" i="7"/>
  <c r="AT230" i="7"/>
  <c r="AT246" i="7"/>
  <c r="AT28" i="7"/>
  <c r="AT32" i="7"/>
  <c r="AT53" i="7"/>
  <c r="AT74" i="7"/>
  <c r="AT86" i="7"/>
  <c r="AT92" i="7"/>
  <c r="AT126" i="7"/>
  <c r="AT148" i="7"/>
  <c r="AT180" i="7"/>
  <c r="AT217" i="7"/>
  <c r="AT224" i="7"/>
  <c r="AT237" i="7"/>
  <c r="AT240" i="7"/>
  <c r="AT20" i="7"/>
  <c r="AT37" i="7"/>
  <c r="AT65" i="7"/>
  <c r="AT77" i="7"/>
  <c r="AT90" i="7"/>
  <c r="AT111" i="7"/>
  <c r="AT120" i="7"/>
  <c r="AT157" i="7"/>
  <c r="AT181" i="7"/>
  <c r="AT200" i="7"/>
  <c r="AT214" i="7"/>
  <c r="AT228" i="7"/>
  <c r="AT35" i="7"/>
  <c r="AT50" i="7"/>
  <c r="AT89" i="7"/>
  <c r="AT93" i="7"/>
  <c r="AT149" i="7"/>
  <c r="AT179" i="7"/>
  <c r="AT222" i="7"/>
  <c r="AT226" i="7"/>
  <c r="AT245" i="7"/>
  <c r="AT12" i="7"/>
  <c r="AT11" i="7"/>
  <c r="AT7" i="7"/>
  <c r="AT43" i="7"/>
  <c r="AW46" i="7"/>
  <c r="AX46" i="7" s="1"/>
  <c r="AY46" i="7" s="1"/>
  <c r="AW47" i="7"/>
  <c r="AX47" i="7" s="1"/>
  <c r="AY47" i="7" s="1"/>
  <c r="AW45" i="7"/>
  <c r="AX45" i="7" s="1"/>
  <c r="AY45" i="7" s="1"/>
  <c r="AW50" i="7"/>
  <c r="AX50" i="7" s="1"/>
  <c r="AY50" i="7" s="1"/>
  <c r="AW44" i="7"/>
  <c r="AX44" i="7" s="1"/>
  <c r="AY44" i="7" s="1"/>
  <c r="AW49" i="7"/>
  <c r="AX49" i="7" s="1"/>
  <c r="AY49" i="7" s="1"/>
  <c r="AW54" i="7"/>
  <c r="AX54" i="7" s="1"/>
  <c r="AY54" i="7" s="1"/>
  <c r="AW48" i="7"/>
  <c r="AX48" i="7" s="1"/>
  <c r="AY48" i="7" s="1"/>
  <c r="AW53" i="7"/>
  <c r="AX53" i="7" s="1"/>
  <c r="AY53" i="7" s="1"/>
  <c r="AW51" i="7"/>
  <c r="AX51" i="7" s="1"/>
  <c r="AY51" i="7" s="1"/>
  <c r="AW43" i="7"/>
  <c r="AX43" i="7" s="1"/>
  <c r="AY43" i="7" s="1"/>
  <c r="AW52" i="7"/>
  <c r="AX52" i="7" s="1"/>
  <c r="AY52" i="7" s="1"/>
  <c r="AT235" i="7"/>
  <c r="AW235" i="7"/>
  <c r="AX235" i="7" s="1"/>
  <c r="AY235" i="7" s="1"/>
  <c r="AW241" i="7"/>
  <c r="AX241" i="7" s="1"/>
  <c r="AY241" i="7" s="1"/>
  <c r="AW242" i="7"/>
  <c r="AX242" i="7" s="1"/>
  <c r="AY242" i="7" s="1"/>
  <c r="AW240" i="7"/>
  <c r="AX240" i="7" s="1"/>
  <c r="AY240" i="7" s="1"/>
  <c r="AW245" i="7"/>
  <c r="AX245" i="7" s="1"/>
  <c r="AY245" i="7" s="1"/>
  <c r="AW239" i="7"/>
  <c r="AX239" i="7" s="1"/>
  <c r="AY239" i="7" s="1"/>
  <c r="AW236" i="7"/>
  <c r="AX236" i="7" s="1"/>
  <c r="AY236" i="7" s="1"/>
  <c r="AW238" i="7"/>
  <c r="AX238" i="7" s="1"/>
  <c r="AY238" i="7" s="1"/>
  <c r="AW243" i="7"/>
  <c r="AX243" i="7" s="1"/>
  <c r="AY243" i="7" s="1"/>
  <c r="AW244" i="7"/>
  <c r="AX244" i="7" s="1"/>
  <c r="AY244" i="7" s="1"/>
  <c r="AW237" i="7"/>
  <c r="AX237" i="7" s="1"/>
  <c r="AY237" i="7" s="1"/>
  <c r="AW246" i="7"/>
  <c r="AX246" i="7" s="1"/>
  <c r="AY246" i="7" s="1"/>
  <c r="AT55" i="7"/>
  <c r="AW58" i="7"/>
  <c r="AX58" i="7" s="1"/>
  <c r="AY58" i="7" s="1"/>
  <c r="AW65" i="7"/>
  <c r="AX65" i="7" s="1"/>
  <c r="AY65" i="7" s="1"/>
  <c r="AW56" i="7"/>
  <c r="AX56" i="7" s="1"/>
  <c r="AY56" i="7" s="1"/>
  <c r="AW64" i="7"/>
  <c r="AX64" i="7" s="1"/>
  <c r="AY64" i="7" s="1"/>
  <c r="AW62" i="7"/>
  <c r="AX62" i="7" s="1"/>
  <c r="AY62" i="7" s="1"/>
  <c r="AW60" i="7"/>
  <c r="AX60" i="7" s="1"/>
  <c r="AY60" i="7" s="1"/>
  <c r="AW57" i="7"/>
  <c r="AX57" i="7" s="1"/>
  <c r="AY57" i="7" s="1"/>
  <c r="AW66" i="7"/>
  <c r="AX66" i="7" s="1"/>
  <c r="AY66" i="7" s="1"/>
  <c r="AW55" i="7"/>
  <c r="AX55" i="7" s="1"/>
  <c r="AY55" i="7" s="1"/>
  <c r="AW63" i="7"/>
  <c r="AX63" i="7" s="1"/>
  <c r="AY63" i="7" s="1"/>
  <c r="AW61" i="7"/>
  <c r="AX61" i="7" s="1"/>
  <c r="AY61" i="7" s="1"/>
  <c r="AW59" i="7"/>
  <c r="AX59" i="7" s="1"/>
  <c r="AY59" i="7" s="1"/>
  <c r="AW7" i="7"/>
  <c r="AW15" i="7"/>
  <c r="AX15" i="7" s="1"/>
  <c r="AY15" i="7" s="1"/>
  <c r="AW17" i="7"/>
  <c r="AX17" i="7" s="1"/>
  <c r="AY17" i="7" s="1"/>
  <c r="AT151" i="7"/>
  <c r="AW151" i="7"/>
  <c r="AX151" i="7" s="1"/>
  <c r="AY151" i="7" s="1"/>
  <c r="AW157" i="7"/>
  <c r="AX157" i="7" s="1"/>
  <c r="AY157" i="7" s="1"/>
  <c r="AW153" i="7"/>
  <c r="AX153" i="7" s="1"/>
  <c r="AY153" i="7" s="1"/>
  <c r="AW159" i="7"/>
  <c r="AX159" i="7" s="1"/>
  <c r="AY159" i="7" s="1"/>
  <c r="AW155" i="7"/>
  <c r="AX155" i="7" s="1"/>
  <c r="AY155" i="7" s="1"/>
  <c r="AW152" i="7"/>
  <c r="AX152" i="7" s="1"/>
  <c r="AY152" i="7" s="1"/>
  <c r="AW156" i="7"/>
  <c r="AX156" i="7" s="1"/>
  <c r="AY156" i="7" s="1"/>
  <c r="AW154" i="7"/>
  <c r="AX154" i="7" s="1"/>
  <c r="AY154" i="7" s="1"/>
  <c r="AW161" i="7"/>
  <c r="AX161" i="7" s="1"/>
  <c r="AY161" i="7" s="1"/>
  <c r="AW160" i="7"/>
  <c r="AX160" i="7" s="1"/>
  <c r="AY160" i="7" s="1"/>
  <c r="AW158" i="7"/>
  <c r="AX158" i="7" s="1"/>
  <c r="AY158" i="7" s="1"/>
  <c r="AW162" i="7"/>
  <c r="AX162" i="7" s="1"/>
  <c r="AY162" i="7" s="1"/>
  <c r="AT223" i="7"/>
  <c r="AW229" i="7"/>
  <c r="AX229" i="7" s="1"/>
  <c r="AY229" i="7" s="1"/>
  <c r="AW231" i="7"/>
  <c r="AX231" i="7" s="1"/>
  <c r="AY231" i="7" s="1"/>
  <c r="AW223" i="7"/>
  <c r="AX223" i="7" s="1"/>
  <c r="AY223" i="7" s="1"/>
  <c r="AW225" i="7"/>
  <c r="AX225" i="7" s="1"/>
  <c r="AY225" i="7" s="1"/>
  <c r="AW227" i="7"/>
  <c r="AX227" i="7" s="1"/>
  <c r="AY227" i="7" s="1"/>
  <c r="AW224" i="7"/>
  <c r="AX224" i="7" s="1"/>
  <c r="AY224" i="7" s="1"/>
  <c r="AW232" i="7"/>
  <c r="AX232" i="7" s="1"/>
  <c r="AY232" i="7" s="1"/>
  <c r="AW233" i="7"/>
  <c r="AX233" i="7" s="1"/>
  <c r="AY233" i="7" s="1"/>
  <c r="AW234" i="7"/>
  <c r="AX234" i="7" s="1"/>
  <c r="AY234" i="7" s="1"/>
  <c r="AW228" i="7"/>
  <c r="AX228" i="7" s="1"/>
  <c r="AY228" i="7" s="1"/>
  <c r="AW230" i="7"/>
  <c r="AX230" i="7" s="1"/>
  <c r="AY230" i="7" s="1"/>
  <c r="AW226" i="7"/>
  <c r="AX226" i="7" s="1"/>
  <c r="AY226" i="7" s="1"/>
  <c r="AT31" i="7"/>
  <c r="AW31" i="7"/>
  <c r="AX31" i="7" s="1"/>
  <c r="AY31" i="7" s="1"/>
  <c r="AW40" i="7"/>
  <c r="AX40" i="7" s="1"/>
  <c r="AY40" i="7" s="1"/>
  <c r="AW42" i="7"/>
  <c r="AX42" i="7" s="1"/>
  <c r="AY42" i="7" s="1"/>
  <c r="AW35" i="7"/>
  <c r="AX35" i="7" s="1"/>
  <c r="AY35" i="7" s="1"/>
  <c r="AW37" i="7"/>
  <c r="AX37" i="7" s="1"/>
  <c r="AY37" i="7" s="1"/>
  <c r="AW33" i="7"/>
  <c r="AX33" i="7" s="1"/>
  <c r="AY33" i="7" s="1"/>
  <c r="AW39" i="7"/>
  <c r="AX39" i="7" s="1"/>
  <c r="AY39" i="7" s="1"/>
  <c r="AW41" i="7"/>
  <c r="AX41" i="7" s="1"/>
  <c r="AY41" i="7" s="1"/>
  <c r="AW34" i="7"/>
  <c r="AX34" i="7" s="1"/>
  <c r="AY34" i="7" s="1"/>
  <c r="AW32" i="7"/>
  <c r="AX32" i="7" s="1"/>
  <c r="AY32" i="7" s="1"/>
  <c r="AW36" i="7"/>
  <c r="AX36" i="7" s="1"/>
  <c r="AY36" i="7" s="1"/>
  <c r="AW38" i="7"/>
  <c r="AX38" i="7" s="1"/>
  <c r="AY38" i="7" s="1"/>
  <c r="AT175" i="7"/>
  <c r="AW184" i="7"/>
  <c r="AX184" i="7" s="1"/>
  <c r="AY184" i="7" s="1"/>
  <c r="AW177" i="7"/>
  <c r="AX177" i="7" s="1"/>
  <c r="AY177" i="7" s="1"/>
  <c r="AW182" i="7"/>
  <c r="AX182" i="7" s="1"/>
  <c r="AY182" i="7" s="1"/>
  <c r="AW175" i="7"/>
  <c r="AX175" i="7" s="1"/>
  <c r="AY175" i="7" s="1"/>
  <c r="AW181" i="7"/>
  <c r="AX181" i="7" s="1"/>
  <c r="AY181" i="7" s="1"/>
  <c r="AW185" i="7"/>
  <c r="AX185" i="7" s="1"/>
  <c r="AY185" i="7" s="1"/>
  <c r="AW176" i="7"/>
  <c r="AX176" i="7" s="1"/>
  <c r="AY176" i="7" s="1"/>
  <c r="AW183" i="7"/>
  <c r="AX183" i="7" s="1"/>
  <c r="AY183" i="7" s="1"/>
  <c r="AW186" i="7"/>
  <c r="AX186" i="7" s="1"/>
  <c r="AY186" i="7" s="1"/>
  <c r="AW179" i="7"/>
  <c r="AX179" i="7" s="1"/>
  <c r="AY179" i="7" s="1"/>
  <c r="AW178" i="7"/>
  <c r="AX178" i="7" s="1"/>
  <c r="AY178" i="7" s="1"/>
  <c r="AW180" i="7"/>
  <c r="AX180" i="7" s="1"/>
  <c r="AY180" i="7" s="1"/>
  <c r="AT199" i="7"/>
  <c r="AW204" i="7"/>
  <c r="AX204" i="7" s="1"/>
  <c r="AY204" i="7" s="1"/>
  <c r="AW209" i="7"/>
  <c r="AX209" i="7" s="1"/>
  <c r="AY209" i="7" s="1"/>
  <c r="AW199" i="7"/>
  <c r="AX199" i="7" s="1"/>
  <c r="AY199" i="7" s="1"/>
  <c r="AW208" i="7"/>
  <c r="AX208" i="7" s="1"/>
  <c r="AY208" i="7" s="1"/>
  <c r="AW202" i="7"/>
  <c r="AX202" i="7" s="1"/>
  <c r="AY202" i="7" s="1"/>
  <c r="AW203" i="7"/>
  <c r="AX203" i="7" s="1"/>
  <c r="AY203" i="7" s="1"/>
  <c r="AW201" i="7"/>
  <c r="AX201" i="7" s="1"/>
  <c r="AY201" i="7" s="1"/>
  <c r="AW206" i="7"/>
  <c r="AX206" i="7" s="1"/>
  <c r="AY206" i="7" s="1"/>
  <c r="AW207" i="7"/>
  <c r="AX207" i="7" s="1"/>
  <c r="AY207" i="7" s="1"/>
  <c r="AW200" i="7"/>
  <c r="AX200" i="7" s="1"/>
  <c r="AY200" i="7" s="1"/>
  <c r="AW205" i="7"/>
  <c r="AX205" i="7" s="1"/>
  <c r="AY205" i="7" s="1"/>
  <c r="AW210" i="7"/>
  <c r="AX210" i="7" s="1"/>
  <c r="AY210" i="7" s="1"/>
  <c r="AW10" i="7"/>
  <c r="AX10" i="7" s="1"/>
  <c r="AY10" i="7" s="1"/>
  <c r="AW14" i="7"/>
  <c r="AX14" i="7" s="1"/>
  <c r="AY14" i="7" s="1"/>
  <c r="AW18" i="7"/>
  <c r="AX18" i="7" s="1"/>
  <c r="AY18" i="7" s="1"/>
  <c r="AT19" i="7"/>
  <c r="AW26" i="7"/>
  <c r="AX26" i="7" s="1"/>
  <c r="AY26" i="7" s="1"/>
  <c r="AW27" i="7"/>
  <c r="AX27" i="7" s="1"/>
  <c r="AY27" i="7" s="1"/>
  <c r="AW29" i="7"/>
  <c r="AX29" i="7" s="1"/>
  <c r="AY29" i="7" s="1"/>
  <c r="AW30" i="7"/>
  <c r="AX30" i="7" s="1"/>
  <c r="AY30" i="7" s="1"/>
  <c r="AW24" i="7"/>
  <c r="AX24" i="7" s="1"/>
  <c r="AY24" i="7" s="1"/>
  <c r="AW22" i="7"/>
  <c r="AX22" i="7" s="1"/>
  <c r="AY22" i="7" s="1"/>
  <c r="AW19" i="7"/>
  <c r="AX19" i="7" s="1"/>
  <c r="AY19" i="7" s="1"/>
  <c r="AW28" i="7"/>
  <c r="AX28" i="7" s="1"/>
  <c r="AY28" i="7" s="1"/>
  <c r="AW21" i="7"/>
  <c r="AX21" i="7" s="1"/>
  <c r="AY21" i="7" s="1"/>
  <c r="AW20" i="7"/>
  <c r="AX20" i="7" s="1"/>
  <c r="AY20" i="7" s="1"/>
  <c r="AW23" i="7"/>
  <c r="AX23" i="7" s="1"/>
  <c r="AY23" i="7" s="1"/>
  <c r="AW25" i="7"/>
  <c r="AX25" i="7" s="1"/>
  <c r="AY25" i="7" s="1"/>
  <c r="AT67" i="7"/>
  <c r="AW73" i="7"/>
  <c r="AX73" i="7" s="1"/>
  <c r="AY73" i="7" s="1"/>
  <c r="AW70" i="7"/>
  <c r="AX70" i="7" s="1"/>
  <c r="AY70" i="7" s="1"/>
  <c r="AW75" i="7"/>
  <c r="AX75" i="7" s="1"/>
  <c r="AY75" i="7" s="1"/>
  <c r="AW77" i="7"/>
  <c r="AX77" i="7" s="1"/>
  <c r="AY77" i="7" s="1"/>
  <c r="AW71" i="7"/>
  <c r="AX71" i="7" s="1"/>
  <c r="AY71" i="7" s="1"/>
  <c r="AW72" i="7"/>
  <c r="AX72" i="7" s="1"/>
  <c r="AY72" i="7" s="1"/>
  <c r="AW68" i="7"/>
  <c r="AX68" i="7" s="1"/>
  <c r="AY68" i="7" s="1"/>
  <c r="AW78" i="7"/>
  <c r="AX78" i="7" s="1"/>
  <c r="AY78" i="7" s="1"/>
  <c r="AW74" i="7"/>
  <c r="AX74" i="7" s="1"/>
  <c r="AY74" i="7" s="1"/>
  <c r="AW76" i="7"/>
  <c r="AX76" i="7" s="1"/>
  <c r="AY76" i="7" s="1"/>
  <c r="AW67" i="7"/>
  <c r="AX67" i="7" s="1"/>
  <c r="AY67" i="7" s="1"/>
  <c r="AW69" i="7"/>
  <c r="AX69" i="7" s="1"/>
  <c r="AY69" i="7" s="1"/>
  <c r="AT115" i="7"/>
  <c r="AW122" i="7"/>
  <c r="AX122" i="7" s="1"/>
  <c r="AY122" i="7" s="1"/>
  <c r="AW121" i="7"/>
  <c r="AX121" i="7" s="1"/>
  <c r="AY121" i="7" s="1"/>
  <c r="AW118" i="7"/>
  <c r="AX118" i="7" s="1"/>
  <c r="AY118" i="7" s="1"/>
  <c r="AW125" i="7"/>
  <c r="AX125" i="7" s="1"/>
  <c r="AY125" i="7" s="1"/>
  <c r="AW119" i="7"/>
  <c r="AX119" i="7" s="1"/>
  <c r="AY119" i="7" s="1"/>
  <c r="AW124" i="7"/>
  <c r="AX124" i="7" s="1"/>
  <c r="AY124" i="7" s="1"/>
  <c r="AW115" i="7"/>
  <c r="AX115" i="7" s="1"/>
  <c r="AY115" i="7" s="1"/>
  <c r="AW123" i="7"/>
  <c r="AX123" i="7" s="1"/>
  <c r="AY123" i="7" s="1"/>
  <c r="AW126" i="7"/>
  <c r="AX126" i="7" s="1"/>
  <c r="AY126" i="7" s="1"/>
  <c r="AW120" i="7"/>
  <c r="AX120" i="7" s="1"/>
  <c r="AY120" i="7" s="1"/>
  <c r="AW117" i="7"/>
  <c r="AX117" i="7" s="1"/>
  <c r="AY117" i="7" s="1"/>
  <c r="AW116" i="7"/>
  <c r="AX116" i="7" s="1"/>
  <c r="AY116" i="7" s="1"/>
  <c r="AW16" i="7"/>
  <c r="AX16" i="7" s="1"/>
  <c r="AY16" i="7" s="1"/>
  <c r="AW11" i="7"/>
  <c r="AX11" i="7" s="1"/>
  <c r="AY11" i="7" s="1"/>
  <c r="AW13" i="7"/>
  <c r="AX13" i="7" s="1"/>
  <c r="AY13" i="7" s="1"/>
  <c r="AT91" i="7"/>
  <c r="AW101" i="7"/>
  <c r="AX101" i="7" s="1"/>
  <c r="AY101" i="7" s="1"/>
  <c r="AW95" i="7"/>
  <c r="AX95" i="7" s="1"/>
  <c r="AY95" i="7" s="1"/>
  <c r="AW94" i="7"/>
  <c r="AX94" i="7" s="1"/>
  <c r="AY94" i="7" s="1"/>
  <c r="AW93" i="7"/>
  <c r="AX93" i="7" s="1"/>
  <c r="AY93" i="7" s="1"/>
  <c r="AW99" i="7"/>
  <c r="AX99" i="7" s="1"/>
  <c r="AY99" i="7" s="1"/>
  <c r="AW91" i="7"/>
  <c r="AX91" i="7" s="1"/>
  <c r="AY91" i="7" s="1"/>
  <c r="AW96" i="7"/>
  <c r="AX96" i="7" s="1"/>
  <c r="AY96" i="7" s="1"/>
  <c r="AW97" i="7"/>
  <c r="AX97" i="7" s="1"/>
  <c r="AY97" i="7" s="1"/>
  <c r="AW92" i="7"/>
  <c r="AX92" i="7" s="1"/>
  <c r="AY92" i="7" s="1"/>
  <c r="AW102" i="7"/>
  <c r="AX102" i="7" s="1"/>
  <c r="AY102" i="7" s="1"/>
  <c r="AW98" i="7"/>
  <c r="AX98" i="7" s="1"/>
  <c r="AY98" i="7" s="1"/>
  <c r="AW100" i="7"/>
  <c r="AX100" i="7" s="1"/>
  <c r="AY100" i="7" s="1"/>
  <c r="AT103" i="7"/>
  <c r="AW106" i="7"/>
  <c r="AX106" i="7" s="1"/>
  <c r="AY106" i="7" s="1"/>
  <c r="AW113" i="7"/>
  <c r="AX113" i="7" s="1"/>
  <c r="AY113" i="7" s="1"/>
  <c r="AW103" i="7"/>
  <c r="AX103" i="7" s="1"/>
  <c r="AY103" i="7" s="1"/>
  <c r="AW114" i="7"/>
  <c r="AX114" i="7" s="1"/>
  <c r="AY114" i="7" s="1"/>
  <c r="AW111" i="7"/>
  <c r="AX111" i="7" s="1"/>
  <c r="AY111" i="7" s="1"/>
  <c r="AW105" i="7"/>
  <c r="AX105" i="7" s="1"/>
  <c r="AY105" i="7" s="1"/>
  <c r="AW108" i="7"/>
  <c r="AX108" i="7" s="1"/>
  <c r="AY108" i="7" s="1"/>
  <c r="AW104" i="7"/>
  <c r="AX104" i="7" s="1"/>
  <c r="AY104" i="7" s="1"/>
  <c r="AW107" i="7"/>
  <c r="AX107" i="7" s="1"/>
  <c r="AY107" i="7" s="1"/>
  <c r="AW112" i="7"/>
  <c r="AX112" i="7" s="1"/>
  <c r="AY112" i="7" s="1"/>
  <c r="AW110" i="7"/>
  <c r="AX110" i="7" s="1"/>
  <c r="AY110" i="7" s="1"/>
  <c r="AW109" i="7"/>
  <c r="AX109" i="7" s="1"/>
  <c r="AY109" i="7" s="1"/>
  <c r="AT139" i="7"/>
  <c r="AW147" i="7"/>
  <c r="AX147" i="7" s="1"/>
  <c r="AY147" i="7" s="1"/>
  <c r="AW143" i="7"/>
  <c r="AX143" i="7" s="1"/>
  <c r="AY143" i="7" s="1"/>
  <c r="AW149" i="7"/>
  <c r="AX149" i="7" s="1"/>
  <c r="AY149" i="7" s="1"/>
  <c r="AW146" i="7"/>
  <c r="AX146" i="7" s="1"/>
  <c r="AY146" i="7" s="1"/>
  <c r="AW144" i="7"/>
  <c r="AX144" i="7" s="1"/>
  <c r="AY144" i="7" s="1"/>
  <c r="AW142" i="7"/>
  <c r="AX142" i="7" s="1"/>
  <c r="AY142" i="7" s="1"/>
  <c r="AW150" i="7"/>
  <c r="AX150" i="7" s="1"/>
  <c r="AY150" i="7" s="1"/>
  <c r="AW148" i="7"/>
  <c r="AX148" i="7" s="1"/>
  <c r="AY148" i="7" s="1"/>
  <c r="AW141" i="7"/>
  <c r="AX141" i="7" s="1"/>
  <c r="AY141" i="7" s="1"/>
  <c r="AW140" i="7"/>
  <c r="AX140" i="7" s="1"/>
  <c r="AY140" i="7" s="1"/>
  <c r="AW139" i="7"/>
  <c r="AX139" i="7" s="1"/>
  <c r="AY139" i="7" s="1"/>
  <c r="AW145" i="7"/>
  <c r="AX145" i="7" s="1"/>
  <c r="AY145" i="7" s="1"/>
  <c r="AT211" i="7"/>
  <c r="AW219" i="7"/>
  <c r="AX219" i="7" s="1"/>
  <c r="AY219" i="7" s="1"/>
  <c r="AW216" i="7"/>
  <c r="AX216" i="7" s="1"/>
  <c r="AY216" i="7" s="1"/>
  <c r="AW222" i="7"/>
  <c r="AX222" i="7" s="1"/>
  <c r="AY222" i="7" s="1"/>
  <c r="AW218" i="7"/>
  <c r="AX218" i="7" s="1"/>
  <c r="AY218" i="7" s="1"/>
  <c r="AW220" i="7"/>
  <c r="AX220" i="7" s="1"/>
  <c r="AY220" i="7" s="1"/>
  <c r="AW221" i="7"/>
  <c r="AX221" i="7" s="1"/>
  <c r="AY221" i="7" s="1"/>
  <c r="AW211" i="7"/>
  <c r="AX211" i="7" s="1"/>
  <c r="AY211" i="7" s="1"/>
  <c r="AW217" i="7"/>
  <c r="AX217" i="7" s="1"/>
  <c r="AY217" i="7" s="1"/>
  <c r="AW213" i="7"/>
  <c r="AX213" i="7" s="1"/>
  <c r="AY213" i="7" s="1"/>
  <c r="AW212" i="7"/>
  <c r="AX212" i="7" s="1"/>
  <c r="AY212" i="7" s="1"/>
  <c r="AW215" i="7"/>
  <c r="AX215" i="7" s="1"/>
  <c r="AY215" i="7" s="1"/>
  <c r="AW214" i="7"/>
  <c r="AX214" i="7" s="1"/>
  <c r="AY214" i="7" s="1"/>
  <c r="AT79" i="7"/>
  <c r="AW88" i="7"/>
  <c r="AX88" i="7" s="1"/>
  <c r="AY88" i="7" s="1"/>
  <c r="AW87" i="7"/>
  <c r="AX87" i="7" s="1"/>
  <c r="AY87" i="7" s="1"/>
  <c r="AW79" i="7"/>
  <c r="AX79" i="7" s="1"/>
  <c r="AY79" i="7" s="1"/>
  <c r="AW89" i="7"/>
  <c r="AX89" i="7" s="1"/>
  <c r="AY89" i="7" s="1"/>
  <c r="AW86" i="7"/>
  <c r="AX86" i="7" s="1"/>
  <c r="AY86" i="7" s="1"/>
  <c r="AW80" i="7"/>
  <c r="AX80" i="7" s="1"/>
  <c r="AY80" i="7" s="1"/>
  <c r="AW83" i="7"/>
  <c r="AX83" i="7" s="1"/>
  <c r="AY83" i="7" s="1"/>
  <c r="AW81" i="7"/>
  <c r="AX81" i="7" s="1"/>
  <c r="AY81" i="7" s="1"/>
  <c r="AW82" i="7"/>
  <c r="AX82" i="7" s="1"/>
  <c r="AY82" i="7" s="1"/>
  <c r="AW90" i="7"/>
  <c r="AX90" i="7" s="1"/>
  <c r="AY90" i="7" s="1"/>
  <c r="AW85" i="7"/>
  <c r="AX85" i="7" s="1"/>
  <c r="AY85" i="7" s="1"/>
  <c r="AW84" i="7"/>
  <c r="AX84" i="7" s="1"/>
  <c r="AY84" i="7" s="1"/>
  <c r="AW9" i="7"/>
  <c r="AX9" i="7" s="1"/>
  <c r="AY9" i="7" s="1"/>
  <c r="AW8" i="7"/>
  <c r="AX8" i="7" s="1"/>
  <c r="AY8" i="7" s="1"/>
  <c r="AW12" i="7"/>
  <c r="AX12" i="7" s="1"/>
  <c r="AY12" i="7" s="1"/>
  <c r="AS263" i="7"/>
  <c r="AM290" i="7" l="1"/>
  <c r="AN289" i="7"/>
  <c r="AO289" i="7" s="1"/>
  <c r="AM256" i="7"/>
  <c r="AN255" i="7"/>
  <c r="AO255" i="7" s="1"/>
  <c r="AN130" i="7"/>
  <c r="AO130" i="7" s="1"/>
  <c r="AM280" i="7"/>
  <c r="AN279" i="7"/>
  <c r="AO279" i="7" s="1"/>
  <c r="AN131" i="7"/>
  <c r="AM132" i="7"/>
  <c r="AM172" i="7"/>
  <c r="AN171" i="7"/>
  <c r="AN407" i="7"/>
  <c r="AN192" i="7"/>
  <c r="AO191" i="7"/>
  <c r="AO405" i="7"/>
  <c r="T11" i="28"/>
  <c r="J13" i="28"/>
  <c r="I13" i="28"/>
  <c r="I22" i="28"/>
  <c r="J22" i="28"/>
  <c r="L22" i="28" s="1"/>
  <c r="T22" i="28" s="1"/>
  <c r="Y12" i="7"/>
  <c r="AA12" i="7" s="1"/>
  <c r="Y8" i="7"/>
  <c r="AA8" i="7" s="1"/>
  <c r="J22" i="41"/>
  <c r="Z31" i="7"/>
  <c r="AB31" i="7" s="1"/>
  <c r="Z79" i="7"/>
  <c r="AB79" i="7" s="1"/>
  <c r="Z103" i="7"/>
  <c r="AB103" i="7" s="1"/>
  <c r="Z139" i="7"/>
  <c r="AB139" i="7" s="1"/>
  <c r="Z19" i="7"/>
  <c r="AB19" i="7" s="1"/>
  <c r="Z235" i="7"/>
  <c r="AB235" i="7" s="1"/>
  <c r="Z12" i="7"/>
  <c r="AB12" i="7" s="1"/>
  <c r="Z222" i="7"/>
  <c r="AB222" i="7" s="1"/>
  <c r="Z149" i="7"/>
  <c r="AB149" i="7" s="1"/>
  <c r="Z50" i="7"/>
  <c r="AB50" i="7" s="1"/>
  <c r="Z200" i="7"/>
  <c r="AB200" i="7" s="1"/>
  <c r="Z77" i="7"/>
  <c r="AB77" i="7" s="1"/>
  <c r="Z240" i="7"/>
  <c r="AB240" i="7" s="1"/>
  <c r="Z74" i="7"/>
  <c r="AB74" i="7" s="1"/>
  <c r="Z246" i="7"/>
  <c r="AB246" i="7" s="1"/>
  <c r="Z184" i="7"/>
  <c r="AB184" i="7" s="1"/>
  <c r="Z125" i="7"/>
  <c r="AB125" i="7" s="1"/>
  <c r="Z54" i="7"/>
  <c r="AB54" i="7" s="1"/>
  <c r="Z13" i="7"/>
  <c r="AB13" i="7" s="1"/>
  <c r="Z114" i="7"/>
  <c r="AB114" i="7" s="1"/>
  <c r="Z52" i="7"/>
  <c r="AB52" i="7" s="1"/>
  <c r="Z218" i="7"/>
  <c r="AB218" i="7" s="1"/>
  <c r="Z141" i="7"/>
  <c r="AB141" i="7" s="1"/>
  <c r="Z71" i="7"/>
  <c r="AB71" i="7" s="1"/>
  <c r="Z242" i="7"/>
  <c r="AB242" i="7" s="1"/>
  <c r="Z144" i="7"/>
  <c r="AB144" i="7" s="1"/>
  <c r="Z81" i="7"/>
  <c r="AB81" i="7" s="1"/>
  <c r="Z18" i="7"/>
  <c r="AB18" i="7" s="1"/>
  <c r="Z63" i="7"/>
  <c r="AB63" i="7" s="1"/>
  <c r="Z10" i="7"/>
  <c r="AB10" i="7" s="1"/>
  <c r="Z209" i="7"/>
  <c r="AB209" i="7" s="1"/>
  <c r="Z150" i="7"/>
  <c r="AB150" i="7" s="1"/>
  <c r="Z70" i="7"/>
  <c r="AB70" i="7" s="1"/>
  <c r="Z210" i="7"/>
  <c r="AB210" i="7" s="1"/>
  <c r="Z147" i="7"/>
  <c r="AB147" i="7" s="1"/>
  <c r="Z80" i="7"/>
  <c r="AB80" i="7" s="1"/>
  <c r="Z118" i="7"/>
  <c r="AB118" i="7" s="1"/>
  <c r="Z60" i="7"/>
  <c r="AB60" i="7" s="1"/>
  <c r="Z244" i="7"/>
  <c r="AB244" i="7" s="1"/>
  <c r="Z108" i="7"/>
  <c r="AB108" i="7" s="1"/>
  <c r="Z46" i="7"/>
  <c r="AB46" i="7" s="1"/>
  <c r="Z8" i="7"/>
  <c r="AB8" i="7" s="1"/>
  <c r="Z233" i="7"/>
  <c r="AB233" i="7" s="1"/>
  <c r="Z110" i="7"/>
  <c r="AB110" i="7" s="1"/>
  <c r="Z30" i="7"/>
  <c r="AB30" i="7" s="1"/>
  <c r="Z161" i="7"/>
  <c r="AB161" i="7" s="1"/>
  <c r="Z44" i="7"/>
  <c r="AB44" i="7" s="1"/>
  <c r="Z227" i="7"/>
  <c r="AB227" i="7" s="1"/>
  <c r="Z112" i="7"/>
  <c r="AB112" i="7" s="1"/>
  <c r="Z33" i="7"/>
  <c r="AB33" i="7" s="1"/>
  <c r="Z212" i="7"/>
  <c r="AB212" i="7" s="1"/>
  <c r="Z68" i="7"/>
  <c r="AB68" i="7" s="1"/>
  <c r="Z199" i="7"/>
  <c r="AB199" i="7" s="1"/>
  <c r="Z223" i="7"/>
  <c r="AB223" i="7" s="1"/>
  <c r="Z43" i="7"/>
  <c r="AB43" i="7" s="1"/>
  <c r="Z35" i="7"/>
  <c r="AB35" i="7" s="1"/>
  <c r="Z181" i="7"/>
  <c r="AB181" i="7" s="1"/>
  <c r="Z120" i="7"/>
  <c r="AB120" i="7" s="1"/>
  <c r="Z65" i="7"/>
  <c r="AB65" i="7" s="1"/>
  <c r="Z237" i="7"/>
  <c r="AB237" i="7" s="1"/>
  <c r="Z180" i="7"/>
  <c r="AB180" i="7" s="1"/>
  <c r="Z126" i="7"/>
  <c r="AB126" i="7" s="1"/>
  <c r="Z53" i="7"/>
  <c r="AB53" i="7" s="1"/>
  <c r="Z230" i="7"/>
  <c r="AB230" i="7" s="1"/>
  <c r="Z97" i="7"/>
  <c r="AB97" i="7" s="1"/>
  <c r="Z39" i="7"/>
  <c r="AB39" i="7" s="1"/>
  <c r="Z9" i="7"/>
  <c r="AB9" i="7" s="1"/>
  <c r="Z158" i="7"/>
  <c r="AB158" i="7" s="1"/>
  <c r="Z94" i="7"/>
  <c r="AB94" i="7" s="1"/>
  <c r="Z41" i="7"/>
  <c r="AB41" i="7" s="1"/>
  <c r="Z123" i="7"/>
  <c r="AB123" i="7" s="1"/>
  <c r="Z48" i="7"/>
  <c r="AB48" i="7" s="1"/>
  <c r="Z207" i="7"/>
  <c r="AB207" i="7" s="1"/>
  <c r="Z59" i="7"/>
  <c r="AB59" i="7" s="1"/>
  <c r="Z236" i="7"/>
  <c r="AB236" i="7" s="1"/>
  <c r="Z186" i="7"/>
  <c r="AB186" i="7" s="1"/>
  <c r="Z105" i="7"/>
  <c r="AB105" i="7" s="1"/>
  <c r="Z49" i="7"/>
  <c r="AB49" i="7" s="1"/>
  <c r="Z119" i="7"/>
  <c r="AB119" i="7" s="1"/>
  <c r="Z51" i="7"/>
  <c r="AB51" i="7" s="1"/>
  <c r="Z56" i="7"/>
  <c r="AB56" i="7" s="1"/>
  <c r="Z243" i="7"/>
  <c r="AB243" i="7" s="1"/>
  <c r="Z109" i="7"/>
  <c r="AB109" i="7" s="1"/>
  <c r="Z47" i="7"/>
  <c r="AB47" i="7" s="1"/>
  <c r="Z213" i="7"/>
  <c r="AB213" i="7" s="1"/>
  <c r="Z155" i="7"/>
  <c r="AB155" i="7" s="1"/>
  <c r="Z96" i="7"/>
  <c r="AB96" i="7" s="1"/>
  <c r="Z21" i="7"/>
  <c r="AB21" i="7" s="1"/>
  <c r="Z14" i="7"/>
  <c r="AB14" i="7" s="1"/>
  <c r="Z216" i="7"/>
  <c r="AB216" i="7" s="1"/>
  <c r="Z162" i="7"/>
  <c r="AB162" i="7" s="1"/>
  <c r="Z75" i="7"/>
  <c r="AB75" i="7" s="1"/>
  <c r="Z239" i="7"/>
  <c r="AB239" i="7" s="1"/>
  <c r="Z121" i="7"/>
  <c r="AB121" i="7" s="1"/>
  <c r="Z25" i="7"/>
  <c r="AB25" i="7" s="1"/>
  <c r="Z220" i="7"/>
  <c r="AB220" i="7" s="1"/>
  <c r="Z160" i="7"/>
  <c r="AB160" i="7" s="1"/>
  <c r="Z87" i="7"/>
  <c r="AB87" i="7" s="1"/>
  <c r="Z29" i="7"/>
  <c r="AB29" i="7" s="1"/>
  <c r="Z208" i="7"/>
  <c r="AB208" i="7" s="1"/>
  <c r="Z124" i="7"/>
  <c r="AB124" i="7" s="1"/>
  <c r="Z62" i="7"/>
  <c r="AB62" i="7" s="1"/>
  <c r="Z211" i="7"/>
  <c r="AB211" i="7" s="1"/>
  <c r="Z91" i="7"/>
  <c r="AB91" i="7" s="1"/>
  <c r="Z115" i="7"/>
  <c r="AB115" i="7" s="1"/>
  <c r="Z175" i="7"/>
  <c r="AB175" i="7" s="1"/>
  <c r="Z151" i="7"/>
  <c r="AB151" i="7" s="1"/>
  <c r="Z245" i="7"/>
  <c r="AB245" i="7" s="1"/>
  <c r="Z179" i="7"/>
  <c r="AB179" i="7" s="1"/>
  <c r="Z93" i="7"/>
  <c r="AB93" i="7" s="1"/>
  <c r="Z228" i="7"/>
  <c r="AB228" i="7" s="1"/>
  <c r="Z111" i="7"/>
  <c r="AB111" i="7" s="1"/>
  <c r="Z37" i="7"/>
  <c r="AB37" i="7" s="1"/>
  <c r="Z224" i="7"/>
  <c r="AB224" i="7" s="1"/>
  <c r="Z92" i="7"/>
  <c r="AB92" i="7" s="1"/>
  <c r="Z32" i="7"/>
  <c r="AB32" i="7" s="1"/>
  <c r="Z219" i="7"/>
  <c r="AB219" i="7" s="1"/>
  <c r="Z140" i="7"/>
  <c r="AB140" i="7" s="1"/>
  <c r="Z82" i="7"/>
  <c r="AB82" i="7" s="1"/>
  <c r="Z22" i="7"/>
  <c r="AB22" i="7" s="1"/>
  <c r="Z238" i="7"/>
  <c r="AB238" i="7" s="1"/>
  <c r="Z143" i="7"/>
  <c r="AB143" i="7" s="1"/>
  <c r="Z84" i="7"/>
  <c r="AB84" i="7" s="1"/>
  <c r="Z178" i="7"/>
  <c r="AB178" i="7" s="1"/>
  <c r="Z99" i="7"/>
  <c r="AB99" i="7" s="1"/>
  <c r="Z23" i="7"/>
  <c r="AB23" i="7" s="1"/>
  <c r="Z104" i="7"/>
  <c r="AB104" i="7" s="1"/>
  <c r="Z45" i="7"/>
  <c r="AB45" i="7" s="1"/>
  <c r="Z231" i="7"/>
  <c r="AB231" i="7" s="1"/>
  <c r="Z153" i="7"/>
  <c r="AB153" i="7" s="1"/>
  <c r="Z102" i="7"/>
  <c r="AB102" i="7" s="1"/>
  <c r="Z40" i="7"/>
  <c r="AB40" i="7" s="1"/>
  <c r="Z241" i="7"/>
  <c r="AB241" i="7" s="1"/>
  <c r="Z113" i="7"/>
  <c r="AB113" i="7" s="1"/>
  <c r="Z27" i="7"/>
  <c r="AB27" i="7" s="1"/>
  <c r="Z182" i="7"/>
  <c r="AB182" i="7" s="1"/>
  <c r="Z106" i="7"/>
  <c r="AB106" i="7" s="1"/>
  <c r="Z36" i="7"/>
  <c r="AB36" i="7" s="1"/>
  <c r="Z215" i="7"/>
  <c r="AB215" i="7" s="1"/>
  <c r="Z152" i="7"/>
  <c r="AB152" i="7" s="1"/>
  <c r="Z98" i="7"/>
  <c r="AB98" i="7" s="1"/>
  <c r="Z26" i="7"/>
  <c r="AB26" i="7" s="1"/>
  <c r="Z202" i="7"/>
  <c r="AB202" i="7" s="1"/>
  <c r="Z142" i="7"/>
  <c r="AB142" i="7" s="1"/>
  <c r="Z78" i="7"/>
  <c r="AB78" i="7" s="1"/>
  <c r="Z17" i="7"/>
  <c r="AB17" i="7" s="1"/>
  <c r="Z15" i="7"/>
  <c r="AB15" i="7" s="1"/>
  <c r="Z204" i="7"/>
  <c r="AB204" i="7" s="1"/>
  <c r="Z58" i="7"/>
  <c r="AB58" i="7" s="1"/>
  <c r="Z205" i="7"/>
  <c r="AB205" i="7" s="1"/>
  <c r="Z73" i="7"/>
  <c r="AB73" i="7" s="1"/>
  <c r="Z201" i="7"/>
  <c r="AB201" i="7" s="1"/>
  <c r="Z72" i="7"/>
  <c r="AB72" i="7" s="1"/>
  <c r="Z177" i="7"/>
  <c r="AB177" i="7" s="1"/>
  <c r="Z107" i="7"/>
  <c r="AB107" i="7" s="1"/>
  <c r="Z38" i="7"/>
  <c r="AB38" i="7" s="1"/>
  <c r="Z67" i="7"/>
  <c r="AB67" i="7" s="1"/>
  <c r="Z55" i="7"/>
  <c r="AB55" i="7" s="1"/>
  <c r="Z11" i="7"/>
  <c r="AB11" i="7" s="1"/>
  <c r="Z226" i="7"/>
  <c r="AB226" i="7" s="1"/>
  <c r="Z89" i="7"/>
  <c r="AB89" i="7" s="1"/>
  <c r="Z214" i="7"/>
  <c r="AB214" i="7" s="1"/>
  <c r="Z157" i="7"/>
  <c r="AB157" i="7" s="1"/>
  <c r="Z90" i="7"/>
  <c r="AB90" i="7" s="1"/>
  <c r="Z20" i="7"/>
  <c r="AB20" i="7" s="1"/>
  <c r="Z217" i="7"/>
  <c r="AB217" i="7" s="1"/>
  <c r="Z148" i="7"/>
  <c r="AB148" i="7" s="1"/>
  <c r="Z86" i="7"/>
  <c r="AB86" i="7" s="1"/>
  <c r="Z28" i="7"/>
  <c r="AB28" i="7" s="1"/>
  <c r="Z76" i="7"/>
  <c r="AB76" i="7" s="1"/>
  <c r="Z234" i="7"/>
  <c r="AB234" i="7" s="1"/>
  <c r="Z61" i="7"/>
  <c r="AB61" i="7" s="1"/>
  <c r="Z232" i="7"/>
  <c r="AB232" i="7" s="1"/>
  <c r="Z85" i="7"/>
  <c r="AB85" i="7" s="1"/>
  <c r="Z176" i="7"/>
  <c r="AB176" i="7" s="1"/>
  <c r="Z101" i="7"/>
  <c r="AB101" i="7" s="1"/>
  <c r="Z42" i="7"/>
  <c r="AB42" i="7" s="1"/>
  <c r="Z203" i="7"/>
  <c r="AB203" i="7" s="1"/>
  <c r="Z145" i="7"/>
  <c r="AB145" i="7" s="1"/>
  <c r="Z88" i="7"/>
  <c r="AB88" i="7" s="1"/>
  <c r="Z16" i="7"/>
  <c r="AB16" i="7" s="1"/>
  <c r="Z221" i="7"/>
  <c r="AB221" i="7" s="1"/>
  <c r="Z159" i="7"/>
  <c r="AB159" i="7" s="1"/>
  <c r="Z100" i="7"/>
  <c r="AB100" i="7" s="1"/>
  <c r="Z229" i="7"/>
  <c r="AB229" i="7" s="1"/>
  <c r="Z154" i="7"/>
  <c r="AB154" i="7" s="1"/>
  <c r="Z95" i="7"/>
  <c r="AB95" i="7" s="1"/>
  <c r="Z206" i="7"/>
  <c r="AB206" i="7" s="1"/>
  <c r="Z146" i="7"/>
  <c r="AB146" i="7" s="1"/>
  <c r="Z69" i="7"/>
  <c r="AB69" i="7" s="1"/>
  <c r="Z122" i="7"/>
  <c r="AB122" i="7" s="1"/>
  <c r="Z57" i="7"/>
  <c r="AB57" i="7" s="1"/>
  <c r="Z24" i="7"/>
  <c r="AB24" i="7" s="1"/>
  <c r="Z183" i="7"/>
  <c r="AB183" i="7" s="1"/>
  <c r="Z116" i="7"/>
  <c r="AB116" i="7" s="1"/>
  <c r="Z34" i="7"/>
  <c r="AB34" i="7" s="1"/>
  <c r="Z66" i="7"/>
  <c r="AB66" i="7" s="1"/>
  <c r="Z185" i="7"/>
  <c r="AB185" i="7" s="1"/>
  <c r="Z117" i="7"/>
  <c r="AB117" i="7" s="1"/>
  <c r="Z64" i="7"/>
  <c r="AB64" i="7" s="1"/>
  <c r="Z225" i="7"/>
  <c r="AB225" i="7" s="1"/>
  <c r="Z156" i="7"/>
  <c r="AB156" i="7" s="1"/>
  <c r="Z83" i="7"/>
  <c r="AB83" i="7" s="1"/>
  <c r="Y238" i="7"/>
  <c r="AA238" i="7" s="1"/>
  <c r="Y175" i="7"/>
  <c r="AA175" i="7" s="1"/>
  <c r="Y114" i="7"/>
  <c r="AA114" i="7" s="1"/>
  <c r="Y52" i="7"/>
  <c r="AA52" i="7" s="1"/>
  <c r="Y218" i="7"/>
  <c r="AA218" i="7" s="1"/>
  <c r="Y141" i="7"/>
  <c r="AA141" i="7" s="1"/>
  <c r="Y85" i="7"/>
  <c r="AA85" i="7" s="1"/>
  <c r="Y23" i="7"/>
  <c r="AA23" i="7" s="1"/>
  <c r="Y207" i="7"/>
  <c r="AA207" i="7" s="1"/>
  <c r="Y144" i="7"/>
  <c r="AA144" i="7" s="1"/>
  <c r="Y81" i="7"/>
  <c r="AA81" i="7" s="1"/>
  <c r="Y18" i="7"/>
  <c r="AA18" i="7" s="1"/>
  <c r="Y63" i="7"/>
  <c r="AA63" i="7" s="1"/>
  <c r="Y241" i="7"/>
  <c r="AA241" i="7" s="1"/>
  <c r="Y113" i="7"/>
  <c r="AA113" i="7" s="1"/>
  <c r="Y51" i="7"/>
  <c r="AA51" i="7" s="1"/>
  <c r="Y210" i="7"/>
  <c r="AA210" i="7" s="1"/>
  <c r="Y147" i="7"/>
  <c r="AA147" i="7" s="1"/>
  <c r="Y80" i="7"/>
  <c r="AA80" i="7" s="1"/>
  <c r="Y206" i="7"/>
  <c r="AA206" i="7" s="1"/>
  <c r="Y146" i="7"/>
  <c r="AA146" i="7" s="1"/>
  <c r="Y69" i="7"/>
  <c r="AA69" i="7" s="1"/>
  <c r="Y122" i="7"/>
  <c r="AA122" i="7" s="1"/>
  <c r="Y57" i="7"/>
  <c r="AA57" i="7" s="1"/>
  <c r="Y156" i="7"/>
  <c r="AA156" i="7" s="1"/>
  <c r="Y24" i="7"/>
  <c r="AA24" i="7" s="1"/>
  <c r="Y183" i="7"/>
  <c r="AA183" i="7" s="1"/>
  <c r="Y116" i="7"/>
  <c r="AA116" i="7" s="1"/>
  <c r="Y58" i="7"/>
  <c r="AA58" i="7" s="1"/>
  <c r="Y211" i="7"/>
  <c r="AA211" i="7" s="1"/>
  <c r="Y161" i="7"/>
  <c r="AA161" i="7" s="1"/>
  <c r="Y91" i="7"/>
  <c r="AA91" i="7" s="1"/>
  <c r="Y25" i="7"/>
  <c r="AA25" i="7" s="1"/>
  <c r="Y220" i="7"/>
  <c r="AA220" i="7" s="1"/>
  <c r="Y160" i="7"/>
  <c r="AA160" i="7" s="1"/>
  <c r="Y87" i="7"/>
  <c r="AA87" i="7" s="1"/>
  <c r="Y29" i="7"/>
  <c r="AA29" i="7" s="1"/>
  <c r="Y208" i="7"/>
  <c r="AA208" i="7" s="1"/>
  <c r="Y107" i="7"/>
  <c r="AA107" i="7" s="1"/>
  <c r="Y222" i="7"/>
  <c r="AA222" i="7" s="1"/>
  <c r="Y149" i="7"/>
  <c r="AA149" i="7" s="1"/>
  <c r="Y89" i="7"/>
  <c r="AA89" i="7" s="1"/>
  <c r="Y19" i="7"/>
  <c r="AA19" i="7" s="1"/>
  <c r="Y181" i="7"/>
  <c r="AA181" i="7" s="1"/>
  <c r="Y120" i="7"/>
  <c r="AA120" i="7" s="1"/>
  <c r="Y65" i="7"/>
  <c r="AA65" i="7" s="1"/>
  <c r="Y237" i="7"/>
  <c r="AA237" i="7" s="1"/>
  <c r="Y180" i="7"/>
  <c r="AA180" i="7" s="1"/>
  <c r="Y126" i="7"/>
  <c r="AA126" i="7" s="1"/>
  <c r="Y53" i="7"/>
  <c r="AA53" i="7" s="1"/>
  <c r="Y230" i="7"/>
  <c r="AA230" i="7" s="1"/>
  <c r="Y97" i="7"/>
  <c r="AA97" i="7" s="1"/>
  <c r="Y39" i="7"/>
  <c r="AA39" i="7" s="1"/>
  <c r="Y105" i="7"/>
  <c r="AA105" i="7" s="1"/>
  <c r="Y13" i="7"/>
  <c r="AA13" i="7" s="1"/>
  <c r="Y234" i="7"/>
  <c r="AA234" i="7" s="1"/>
  <c r="Y158" i="7"/>
  <c r="AA158" i="7" s="1"/>
  <c r="Y94" i="7"/>
  <c r="AA94" i="7" s="1"/>
  <c r="Y41" i="7"/>
  <c r="AA41" i="7" s="1"/>
  <c r="Y71" i="7"/>
  <c r="AA71" i="7" s="1"/>
  <c r="Y59" i="7"/>
  <c r="AA59" i="7" s="1"/>
  <c r="Y236" i="7"/>
  <c r="AA236" i="7" s="1"/>
  <c r="Y186" i="7"/>
  <c r="AA186" i="7" s="1"/>
  <c r="Y16" i="7"/>
  <c r="AA16" i="7" s="1"/>
  <c r="Y221" i="7"/>
  <c r="AA221" i="7" s="1"/>
  <c r="Y159" i="7"/>
  <c r="AA159" i="7" s="1"/>
  <c r="Y100" i="7"/>
  <c r="AA100" i="7" s="1"/>
  <c r="Y27" i="7"/>
  <c r="AA27" i="7" s="1"/>
  <c r="Y56" i="7"/>
  <c r="AA56" i="7" s="1"/>
  <c r="Y118" i="7"/>
  <c r="AA118" i="7" s="1"/>
  <c r="Y60" i="7"/>
  <c r="AA60" i="7" s="1"/>
  <c r="Y244" i="7"/>
  <c r="AA244" i="7" s="1"/>
  <c r="Y108" i="7"/>
  <c r="AA108" i="7" s="1"/>
  <c r="Y46" i="7"/>
  <c r="AA46" i="7" s="1"/>
  <c r="Y124" i="7"/>
  <c r="AA124" i="7" s="1"/>
  <c r="Y233" i="7"/>
  <c r="AA233" i="7" s="1"/>
  <c r="Y110" i="7"/>
  <c r="AA110" i="7" s="1"/>
  <c r="Y34" i="7"/>
  <c r="AA34" i="7" s="1"/>
  <c r="Y205" i="7"/>
  <c r="AA205" i="7" s="1"/>
  <c r="Y139" i="7"/>
  <c r="AA139" i="7" s="1"/>
  <c r="Y73" i="7"/>
  <c r="AA73" i="7" s="1"/>
  <c r="Y201" i="7"/>
  <c r="AA201" i="7" s="1"/>
  <c r="Y72" i="7"/>
  <c r="AA72" i="7" s="1"/>
  <c r="Y177" i="7"/>
  <c r="AA177" i="7" s="1"/>
  <c r="Y68" i="7"/>
  <c r="AA68" i="7" s="1"/>
  <c r="Y67" i="7"/>
  <c r="AA67" i="7" s="1"/>
  <c r="Y228" i="7"/>
  <c r="AA228" i="7" s="1"/>
  <c r="Y111" i="7"/>
  <c r="AA111" i="7" s="1"/>
  <c r="Y37" i="7"/>
  <c r="AA37" i="7" s="1"/>
  <c r="Y224" i="7"/>
  <c r="AA224" i="7" s="1"/>
  <c r="Y92" i="7"/>
  <c r="AA92" i="7" s="1"/>
  <c r="Y32" i="7"/>
  <c r="AA32" i="7" s="1"/>
  <c r="Y219" i="7"/>
  <c r="AA219" i="7" s="1"/>
  <c r="Y140" i="7"/>
  <c r="AA140" i="7" s="1"/>
  <c r="Y82" i="7"/>
  <c r="AA82" i="7" s="1"/>
  <c r="Y22" i="7"/>
  <c r="AA22" i="7" s="1"/>
  <c r="Y88" i="7"/>
  <c r="AA88" i="7" s="1"/>
  <c r="Y9" i="7"/>
  <c r="AA9" i="7" s="1"/>
  <c r="Y199" i="7"/>
  <c r="AA199" i="7" s="1"/>
  <c r="Y143" i="7"/>
  <c r="AA143" i="7" s="1"/>
  <c r="Y84" i="7"/>
  <c r="AA84" i="7" s="1"/>
  <c r="Y178" i="7"/>
  <c r="AA178" i="7" s="1"/>
  <c r="Y123" i="7"/>
  <c r="AA123" i="7" s="1"/>
  <c r="Y48" i="7"/>
  <c r="AA48" i="7" s="1"/>
  <c r="Y242" i="7"/>
  <c r="AA242" i="7" s="1"/>
  <c r="Y176" i="7"/>
  <c r="AA176" i="7" s="1"/>
  <c r="Y104" i="7"/>
  <c r="AA104" i="7" s="1"/>
  <c r="Y45" i="7"/>
  <c r="AA45" i="7" s="1"/>
  <c r="Y231" i="7"/>
  <c r="AA231" i="7" s="1"/>
  <c r="Y145" i="7"/>
  <c r="AA145" i="7" s="1"/>
  <c r="Y10" i="7"/>
  <c r="AA10" i="7" s="1"/>
  <c r="Y209" i="7"/>
  <c r="AA209" i="7" s="1"/>
  <c r="Y150" i="7"/>
  <c r="AA150" i="7" s="1"/>
  <c r="Y70" i="7"/>
  <c r="AA70" i="7" s="1"/>
  <c r="Y235" i="7"/>
  <c r="AA235" i="7" s="1"/>
  <c r="Y182" i="7"/>
  <c r="AA182" i="7" s="1"/>
  <c r="Y106" i="7"/>
  <c r="AA106" i="7" s="1"/>
  <c r="Y43" i="7"/>
  <c r="AA43" i="7" s="1"/>
  <c r="Y243" i="7"/>
  <c r="AA243" i="7" s="1"/>
  <c r="Y109" i="7"/>
  <c r="AA109" i="7" s="1"/>
  <c r="Y47" i="7"/>
  <c r="AA47" i="7" s="1"/>
  <c r="Y213" i="7"/>
  <c r="AA213" i="7" s="1"/>
  <c r="Y155" i="7"/>
  <c r="AA155" i="7" s="1"/>
  <c r="Y96" i="7"/>
  <c r="AA96" i="7" s="1"/>
  <c r="Y21" i="7"/>
  <c r="AA21" i="7" s="1"/>
  <c r="Y83" i="7"/>
  <c r="AA83" i="7" s="1"/>
  <c r="Y14" i="7"/>
  <c r="AA14" i="7" s="1"/>
  <c r="Y216" i="7"/>
  <c r="AA216" i="7" s="1"/>
  <c r="Y162" i="7"/>
  <c r="AA162" i="7" s="1"/>
  <c r="Y79" i="7"/>
  <c r="AA79" i="7" s="1"/>
  <c r="Y30" i="7"/>
  <c r="AA30" i="7" s="1"/>
  <c r="Y121" i="7"/>
  <c r="AA121" i="7" s="1"/>
  <c r="Y66" i="7"/>
  <c r="AA66" i="7" s="1"/>
  <c r="Y185" i="7"/>
  <c r="AA185" i="7" s="1"/>
  <c r="Y117" i="7"/>
  <c r="AA117" i="7" s="1"/>
  <c r="Y64" i="7"/>
  <c r="AA64" i="7" s="1"/>
  <c r="Y225" i="7"/>
  <c r="AA225" i="7" s="1"/>
  <c r="Y38" i="7"/>
  <c r="AA38" i="7" s="1"/>
  <c r="Y245" i="7"/>
  <c r="AA245" i="7" s="1"/>
  <c r="Y179" i="7"/>
  <c r="AA179" i="7" s="1"/>
  <c r="Y115" i="7"/>
  <c r="AA115" i="7" s="1"/>
  <c r="Y50" i="7"/>
  <c r="AA50" i="7" s="1"/>
  <c r="Y214" i="7"/>
  <c r="AA214" i="7" s="1"/>
  <c r="Y157" i="7"/>
  <c r="AA157" i="7" s="1"/>
  <c r="Y90" i="7"/>
  <c r="AA90" i="7" s="1"/>
  <c r="Y20" i="7"/>
  <c r="AA20" i="7" s="1"/>
  <c r="Y217" i="7"/>
  <c r="AA217" i="7" s="1"/>
  <c r="Y148" i="7"/>
  <c r="AA148" i="7" s="1"/>
  <c r="Y86" i="7"/>
  <c r="AA86" i="7" s="1"/>
  <c r="Y28" i="7"/>
  <c r="AA28" i="7" s="1"/>
  <c r="Y76" i="7"/>
  <c r="AA76" i="7" s="1"/>
  <c r="Y153" i="7"/>
  <c r="AA153" i="7" s="1"/>
  <c r="Y49" i="7"/>
  <c r="AA49" i="7" s="1"/>
  <c r="Y61" i="7"/>
  <c r="AA61" i="7" s="1"/>
  <c r="Y232" i="7"/>
  <c r="AA232" i="7" s="1"/>
  <c r="Y99" i="7"/>
  <c r="AA99" i="7" s="1"/>
  <c r="Y31" i="7"/>
  <c r="AA31" i="7" s="1"/>
  <c r="Y223" i="7"/>
  <c r="AA223" i="7" s="1"/>
  <c r="Y151" i="7"/>
  <c r="AA151" i="7" s="1"/>
  <c r="Y101" i="7"/>
  <c r="AA101" i="7" s="1"/>
  <c r="Y42" i="7"/>
  <c r="AA42" i="7" s="1"/>
  <c r="Y203" i="7"/>
  <c r="AA203" i="7" s="1"/>
  <c r="Y102" i="7"/>
  <c r="AA102" i="7" s="1"/>
  <c r="Y119" i="7"/>
  <c r="AA119" i="7" s="1"/>
  <c r="Y55" i="7"/>
  <c r="AA55" i="7" s="1"/>
  <c r="Y229" i="7"/>
  <c r="AA229" i="7" s="1"/>
  <c r="Y154" i="7"/>
  <c r="AA154" i="7" s="1"/>
  <c r="Y95" i="7"/>
  <c r="AA95" i="7" s="1"/>
  <c r="Y36" i="7"/>
  <c r="AA36" i="7" s="1"/>
  <c r="Y215" i="7"/>
  <c r="AA215" i="7" s="1"/>
  <c r="Y152" i="7"/>
  <c r="AA152" i="7" s="1"/>
  <c r="Y98" i="7"/>
  <c r="AA98" i="7" s="1"/>
  <c r="Y26" i="7"/>
  <c r="AA26" i="7" s="1"/>
  <c r="Y202" i="7"/>
  <c r="AA202" i="7" s="1"/>
  <c r="Y142" i="7"/>
  <c r="AA142" i="7" s="1"/>
  <c r="Y78" i="7"/>
  <c r="AA78" i="7" s="1"/>
  <c r="Y17" i="7"/>
  <c r="AA17" i="7" s="1"/>
  <c r="Y62" i="7"/>
  <c r="AA62" i="7" s="1"/>
  <c r="Y15" i="7"/>
  <c r="AA15" i="7" s="1"/>
  <c r="Y204" i="7"/>
  <c r="AA204" i="7" s="1"/>
  <c r="Y75" i="7"/>
  <c r="AA75" i="7" s="1"/>
  <c r="Y239" i="7"/>
  <c r="AA239" i="7" s="1"/>
  <c r="Y103" i="7"/>
  <c r="AA103" i="7" s="1"/>
  <c r="Y44" i="7"/>
  <c r="AA44" i="7" s="1"/>
  <c r="Y227" i="7"/>
  <c r="AA227" i="7" s="1"/>
  <c r="Y112" i="7"/>
  <c r="AA112" i="7" s="1"/>
  <c r="Y33" i="7"/>
  <c r="AA33" i="7" s="1"/>
  <c r="Y212" i="7"/>
  <c r="AA212" i="7" s="1"/>
  <c r="Y11" i="7"/>
  <c r="AA11" i="7" s="1"/>
  <c r="Y226" i="7"/>
  <c r="AA226" i="7" s="1"/>
  <c r="Y93" i="7"/>
  <c r="AA93" i="7" s="1"/>
  <c r="Y35" i="7"/>
  <c r="AA35" i="7" s="1"/>
  <c r="Y200" i="7"/>
  <c r="AA200" i="7" s="1"/>
  <c r="Y77" i="7"/>
  <c r="AA77" i="7" s="1"/>
  <c r="Y240" i="7"/>
  <c r="AA240" i="7" s="1"/>
  <c r="Y74" i="7"/>
  <c r="AA74" i="7" s="1"/>
  <c r="Y246" i="7"/>
  <c r="AA246" i="7" s="1"/>
  <c r="Y184" i="7"/>
  <c r="AA184" i="7" s="1"/>
  <c r="Y125" i="7"/>
  <c r="AA125" i="7" s="1"/>
  <c r="Y54" i="7"/>
  <c r="AA54" i="7" s="1"/>
  <c r="Y40" i="7"/>
  <c r="AA40" i="7" s="1"/>
  <c r="AT263" i="7"/>
  <c r="AX7" i="7"/>
  <c r="J10" i="41" s="1"/>
  <c r="AS264" i="7"/>
  <c r="AM291" i="7" l="1"/>
  <c r="AN290" i="7"/>
  <c r="AO290" i="7" s="1"/>
  <c r="AM257" i="7"/>
  <c r="AN256" i="7"/>
  <c r="AO256" i="7" s="1"/>
  <c r="AM281" i="7"/>
  <c r="AN280" i="7"/>
  <c r="AO280" i="7" s="1"/>
  <c r="AN132" i="7"/>
  <c r="AM133" i="7"/>
  <c r="AO131" i="7"/>
  <c r="AM173" i="7"/>
  <c r="AN172" i="7"/>
  <c r="AN408" i="7"/>
  <c r="AN193" i="7"/>
  <c r="AO192" i="7"/>
  <c r="AO406" i="7"/>
  <c r="AO171" i="7"/>
  <c r="L13" i="28"/>
  <c r="T13" i="28" s="1"/>
  <c r="J24" i="28"/>
  <c r="L24" i="28" s="1"/>
  <c r="T24" i="28" s="1"/>
  <c r="I24" i="28"/>
  <c r="Y7" i="7"/>
  <c r="AA7" i="7" s="1"/>
  <c r="AT264" i="7"/>
  <c r="AY7" i="7"/>
  <c r="AS265" i="7"/>
  <c r="AM292" i="7" l="1"/>
  <c r="AN291" i="7"/>
  <c r="AO291" i="7" s="1"/>
  <c r="AM258" i="7"/>
  <c r="AN258" i="7" s="1"/>
  <c r="AO258" i="7" s="1"/>
  <c r="AN257" i="7"/>
  <c r="AM282" i="7"/>
  <c r="AN282" i="7" s="1"/>
  <c r="AO282" i="7" s="1"/>
  <c r="AN281" i="7"/>
  <c r="AO281" i="7" s="1"/>
  <c r="AM134" i="7"/>
  <c r="AN133" i="7"/>
  <c r="AO132" i="7"/>
  <c r="AM174" i="7"/>
  <c r="AN174" i="7" s="1"/>
  <c r="AN173" i="7"/>
  <c r="AN194" i="7"/>
  <c r="AO193" i="7"/>
  <c r="AN409" i="7"/>
  <c r="AO407" i="7"/>
  <c r="AO172" i="7"/>
  <c r="J15" i="28"/>
  <c r="I15" i="28"/>
  <c r="J26" i="28"/>
  <c r="L26" i="28" s="1"/>
  <c r="T26" i="28" s="1"/>
  <c r="I26" i="28"/>
  <c r="Z7" i="7"/>
  <c r="AB7" i="7" s="1"/>
  <c r="J18" i="41"/>
  <c r="AT265" i="7"/>
  <c r="AS266" i="7"/>
  <c r="AM293" i="7" l="1"/>
  <c r="AN292" i="7"/>
  <c r="AO292" i="7" s="1"/>
  <c r="AR253" i="7"/>
  <c r="AS253" i="7" s="1"/>
  <c r="AT253" i="7" s="1"/>
  <c r="AR254" i="7"/>
  <c r="AS254" i="7" s="1"/>
  <c r="AT254" i="7" s="1"/>
  <c r="AO257" i="7"/>
  <c r="AR257" i="7"/>
  <c r="AS257" i="7" s="1"/>
  <c r="AT257" i="7" s="1"/>
  <c r="AR258" i="7"/>
  <c r="AS258" i="7" s="1"/>
  <c r="AT258" i="7" s="1"/>
  <c r="AR250" i="7"/>
  <c r="AS250" i="7" s="1"/>
  <c r="AT250" i="7" s="1"/>
  <c r="AR256" i="7"/>
  <c r="AS256" i="7" s="1"/>
  <c r="AT256" i="7" s="1"/>
  <c r="AR255" i="7"/>
  <c r="AS255" i="7" s="1"/>
  <c r="AT255" i="7" s="1"/>
  <c r="AR248" i="7"/>
  <c r="AS248" i="7" s="1"/>
  <c r="AT248" i="7" s="1"/>
  <c r="AR251" i="7"/>
  <c r="AS251" i="7" s="1"/>
  <c r="AT251" i="7" s="1"/>
  <c r="AR247" i="7"/>
  <c r="AS247" i="7" s="1"/>
  <c r="AR252" i="7"/>
  <c r="AS252" i="7" s="1"/>
  <c r="AT252" i="7" s="1"/>
  <c r="AR249" i="7"/>
  <c r="AS249" i="7" s="1"/>
  <c r="AT249" i="7" s="1"/>
  <c r="AO133" i="7"/>
  <c r="AN134" i="7"/>
  <c r="AM135" i="7"/>
  <c r="AN410" i="7"/>
  <c r="AN195" i="7"/>
  <c r="AO194" i="7"/>
  <c r="AR166" i="7"/>
  <c r="AS166" i="7" s="1"/>
  <c r="AT166" i="7" s="1"/>
  <c r="AO408" i="7"/>
  <c r="AR170" i="7"/>
  <c r="AS170" i="7" s="1"/>
  <c r="AT170" i="7" s="1"/>
  <c r="AR164" i="7"/>
  <c r="AS164" i="7" s="1"/>
  <c r="AT164" i="7" s="1"/>
  <c r="AR171" i="7"/>
  <c r="AS171" i="7" s="1"/>
  <c r="AT171" i="7" s="1"/>
  <c r="AR168" i="7"/>
  <c r="AS168" i="7" s="1"/>
  <c r="AT168" i="7" s="1"/>
  <c r="AR172" i="7"/>
  <c r="AS172" i="7" s="1"/>
  <c r="AT172" i="7" s="1"/>
  <c r="AR174" i="7"/>
  <c r="AS174" i="7" s="1"/>
  <c r="AT174" i="7" s="1"/>
  <c r="AO174" i="7"/>
  <c r="AR165" i="7"/>
  <c r="AS165" i="7" s="1"/>
  <c r="AO173" i="7"/>
  <c r="AR169" i="7"/>
  <c r="AS169" i="7" s="1"/>
  <c r="AR163" i="7"/>
  <c r="AS163" i="7" s="1"/>
  <c r="AR167" i="7"/>
  <c r="AS167" i="7" s="1"/>
  <c r="AR173" i="7"/>
  <c r="AS173" i="7" s="1"/>
  <c r="AT173" i="7" s="1"/>
  <c r="L15" i="28"/>
  <c r="T15" i="28" s="1"/>
  <c r="J28" i="28"/>
  <c r="L28" i="28" s="1"/>
  <c r="T28" i="28" s="1"/>
  <c r="I28" i="28"/>
  <c r="AT266" i="7"/>
  <c r="AS267" i="7"/>
  <c r="AM294" i="7" l="1"/>
  <c r="AN294" i="7" s="1"/>
  <c r="AO294" i="7" s="1"/>
  <c r="AN293" i="7"/>
  <c r="AO293" i="7" s="1"/>
  <c r="AW247" i="7"/>
  <c r="AX247" i="7" s="1"/>
  <c r="AT247" i="7"/>
  <c r="AW250" i="7"/>
  <c r="AX250" i="7" s="1"/>
  <c r="AW253" i="7"/>
  <c r="AX253" i="7" s="1"/>
  <c r="AW255" i="7"/>
  <c r="AX255" i="7" s="1"/>
  <c r="AW251" i="7"/>
  <c r="AX251" i="7" s="1"/>
  <c r="AW256" i="7"/>
  <c r="AX256" i="7" s="1"/>
  <c r="AW252" i="7"/>
  <c r="AX252" i="7" s="1"/>
  <c r="AW249" i="7"/>
  <c r="AX249" i="7" s="1"/>
  <c r="AW254" i="7"/>
  <c r="AX254" i="7" s="1"/>
  <c r="AW257" i="7"/>
  <c r="AX257" i="7" s="1"/>
  <c r="AW258" i="7"/>
  <c r="AX258" i="7" s="1"/>
  <c r="AW248" i="7"/>
  <c r="AX248" i="7" s="1"/>
  <c r="AO134" i="7"/>
  <c r="AN135" i="7"/>
  <c r="AM136" i="7"/>
  <c r="AN196" i="7"/>
  <c r="AO195" i="7"/>
  <c r="AN411" i="7"/>
  <c r="AW168" i="7"/>
  <c r="AX168" i="7" s="1"/>
  <c r="AY168" i="7" s="1"/>
  <c r="Z168" i="7" s="1"/>
  <c r="AB168" i="7" s="1"/>
  <c r="AT167" i="7"/>
  <c r="AW169" i="7"/>
  <c r="AX169" i="7" s="1"/>
  <c r="AY169" i="7" s="1"/>
  <c r="AW164" i="7"/>
  <c r="AX164" i="7" s="1"/>
  <c r="AW173" i="7"/>
  <c r="AX173" i="7" s="1"/>
  <c r="AY173" i="7" s="1"/>
  <c r="Z173" i="7" s="1"/>
  <c r="AB173" i="7" s="1"/>
  <c r="AT165" i="7"/>
  <c r="AW170" i="7"/>
  <c r="AX170" i="7" s="1"/>
  <c r="AW166" i="7"/>
  <c r="AX166" i="7" s="1"/>
  <c r="AW174" i="7"/>
  <c r="AX174" i="7" s="1"/>
  <c r="AW163" i="7"/>
  <c r="AX163" i="7" s="1"/>
  <c r="AY163" i="7" s="1"/>
  <c r="AW171" i="7"/>
  <c r="AX171" i="7" s="1"/>
  <c r="AW167" i="7"/>
  <c r="AX167" i="7" s="1"/>
  <c r="AY167" i="7" s="1"/>
  <c r="AW172" i="7"/>
  <c r="AX172" i="7" s="1"/>
  <c r="AW165" i="7"/>
  <c r="AX165" i="7" s="1"/>
  <c r="AY165" i="7" s="1"/>
  <c r="AT163" i="7"/>
  <c r="AT169" i="7"/>
  <c r="I17" i="28"/>
  <c r="J17" i="28"/>
  <c r="L17" i="28" s="1"/>
  <c r="I30" i="28"/>
  <c r="J30" i="28"/>
  <c r="L30" i="28" s="1"/>
  <c r="T30" i="28" s="1"/>
  <c r="AT267" i="7"/>
  <c r="AS268" i="7"/>
  <c r="AY251" i="7" l="1"/>
  <c r="Z251" i="7" s="1"/>
  <c r="AB251" i="7" s="1"/>
  <c r="Y251" i="7"/>
  <c r="AA251" i="7" s="1"/>
  <c r="AY248" i="7"/>
  <c r="Z248" i="7" s="1"/>
  <c r="AB248" i="7" s="1"/>
  <c r="Y248" i="7"/>
  <c r="AA248" i="7" s="1"/>
  <c r="AY255" i="7"/>
  <c r="Z255" i="7" s="1"/>
  <c r="AB255" i="7" s="1"/>
  <c r="Y255" i="7"/>
  <c r="AA255" i="7" s="1"/>
  <c r="AY258" i="7"/>
  <c r="Z258" i="7" s="1"/>
  <c r="AB258" i="7" s="1"/>
  <c r="Y258" i="7"/>
  <c r="AA258" i="7" s="1"/>
  <c r="AY253" i="7"/>
  <c r="Z253" i="7" s="1"/>
  <c r="AB253" i="7" s="1"/>
  <c r="Y253" i="7"/>
  <c r="AA253" i="7" s="1"/>
  <c r="AY257" i="7"/>
  <c r="Z257" i="7" s="1"/>
  <c r="AB257" i="7" s="1"/>
  <c r="Y257" i="7"/>
  <c r="AA257" i="7" s="1"/>
  <c r="AY250" i="7"/>
  <c r="Z250" i="7" s="1"/>
  <c r="AB250" i="7" s="1"/>
  <c r="Y250" i="7"/>
  <c r="AA250" i="7" s="1"/>
  <c r="AY254" i="7"/>
  <c r="Z254" i="7" s="1"/>
  <c r="AB254" i="7" s="1"/>
  <c r="Y254" i="7"/>
  <c r="AA254" i="7" s="1"/>
  <c r="AY249" i="7"/>
  <c r="Z249" i="7" s="1"/>
  <c r="AB249" i="7" s="1"/>
  <c r="Y249" i="7"/>
  <c r="AA249" i="7" s="1"/>
  <c r="AY247" i="7"/>
  <c r="Z247" i="7" s="1"/>
  <c r="AB247" i="7" s="1"/>
  <c r="Y247" i="7"/>
  <c r="AA247" i="7" s="1"/>
  <c r="AY252" i="7"/>
  <c r="Z252" i="7" s="1"/>
  <c r="AB252" i="7" s="1"/>
  <c r="Y252" i="7"/>
  <c r="AA252" i="7" s="1"/>
  <c r="AY256" i="7"/>
  <c r="Z256" i="7" s="1"/>
  <c r="AB256" i="7" s="1"/>
  <c r="Y256" i="7"/>
  <c r="AA256" i="7" s="1"/>
  <c r="AO135" i="7"/>
  <c r="AN136" i="7"/>
  <c r="AM137" i="7"/>
  <c r="AN412" i="7"/>
  <c r="AN197" i="7"/>
  <c r="AO196" i="7"/>
  <c r="Z163" i="7"/>
  <c r="AB163" i="7" s="1"/>
  <c r="AO409" i="7"/>
  <c r="AO410" i="7"/>
  <c r="Y168" i="7"/>
  <c r="AA168" i="7" s="1"/>
  <c r="Y173" i="7"/>
  <c r="AA173" i="7" s="1"/>
  <c r="Y169" i="7"/>
  <c r="AA169" i="7" s="1"/>
  <c r="Z169" i="7"/>
  <c r="AB169" i="7" s="1"/>
  <c r="Y163" i="7"/>
  <c r="AA163" i="7" s="1"/>
  <c r="AY170" i="7"/>
  <c r="Z170" i="7" s="1"/>
  <c r="AB170" i="7" s="1"/>
  <c r="Y170" i="7"/>
  <c r="AA170" i="7" s="1"/>
  <c r="Y167" i="7"/>
  <c r="AA167" i="7" s="1"/>
  <c r="AY172" i="7"/>
  <c r="Z172" i="7" s="1"/>
  <c r="AB172" i="7" s="1"/>
  <c r="Y172" i="7"/>
  <c r="AA172" i="7" s="1"/>
  <c r="Z167" i="7"/>
  <c r="AB167" i="7" s="1"/>
  <c r="AY174" i="7"/>
  <c r="Z174" i="7" s="1"/>
  <c r="AB174" i="7" s="1"/>
  <c r="Y174" i="7"/>
  <c r="AA174" i="7" s="1"/>
  <c r="Y165" i="7"/>
  <c r="AA165" i="7" s="1"/>
  <c r="AY164" i="7"/>
  <c r="Z164" i="7" s="1"/>
  <c r="AB164" i="7" s="1"/>
  <c r="Y164" i="7"/>
  <c r="AA164" i="7" s="1"/>
  <c r="AY171" i="7"/>
  <c r="Z171" i="7" s="1"/>
  <c r="AB171" i="7" s="1"/>
  <c r="Y171" i="7"/>
  <c r="AA171" i="7" s="1"/>
  <c r="AY166" i="7"/>
  <c r="Z166" i="7" s="1"/>
  <c r="AB166" i="7" s="1"/>
  <c r="Y166" i="7"/>
  <c r="AA166" i="7" s="1"/>
  <c r="Z165" i="7"/>
  <c r="AB165" i="7" s="1"/>
  <c r="J32" i="28"/>
  <c r="L32" i="28" s="1"/>
  <c r="T32" i="28" s="1"/>
  <c r="I32" i="28"/>
  <c r="T17" i="28"/>
  <c r="AT268" i="7"/>
  <c r="AS269" i="7"/>
  <c r="AO136" i="7" l="1"/>
  <c r="AN137" i="7"/>
  <c r="AM138" i="7"/>
  <c r="AN138" i="7" s="1"/>
  <c r="AR128" i="7"/>
  <c r="AS128" i="7" s="1"/>
  <c r="AO197" i="7"/>
  <c r="AN413" i="7"/>
  <c r="I34" i="28"/>
  <c r="J34" i="28"/>
  <c r="L34" i="28" s="1"/>
  <c r="T34" i="28" s="1"/>
  <c r="I19" i="28"/>
  <c r="J19" i="28"/>
  <c r="L19" i="28" s="1"/>
  <c r="T19" i="28" s="1"/>
  <c r="AT269" i="7"/>
  <c r="AS270" i="7"/>
  <c r="AO138" i="7" l="1"/>
  <c r="AT128" i="7"/>
  <c r="AO137" i="7"/>
  <c r="AN198" i="7"/>
  <c r="AO198" i="7" s="1"/>
  <c r="AN414" i="7"/>
  <c r="AO411" i="7"/>
  <c r="AO412" i="7"/>
  <c r="J21" i="28"/>
  <c r="L21" i="28" s="1"/>
  <c r="T21" i="28" s="1"/>
  <c r="I21" i="28"/>
  <c r="J36" i="28"/>
  <c r="L36" i="28" s="1"/>
  <c r="T36" i="28" s="1"/>
  <c r="I36" i="28"/>
  <c r="AT270" i="7"/>
  <c r="AR190" i="7" l="1"/>
  <c r="AS190" i="7" s="1"/>
  <c r="AT190" i="7" s="1"/>
  <c r="AR198" i="7"/>
  <c r="AS198" i="7" s="1"/>
  <c r="AT198" i="7" s="1"/>
  <c r="AR188" i="7"/>
  <c r="AS188" i="7" s="1"/>
  <c r="AT188" i="7" s="1"/>
  <c r="AR135" i="7"/>
  <c r="AS135" i="7" s="1"/>
  <c r="AR136" i="7"/>
  <c r="AS136" i="7" s="1"/>
  <c r="AR132" i="7"/>
  <c r="AS132" i="7" s="1"/>
  <c r="AR134" i="7"/>
  <c r="AS134" i="7" s="1"/>
  <c r="AR127" i="7"/>
  <c r="AS127" i="7" s="1"/>
  <c r="AR137" i="7"/>
  <c r="AS137" i="7" s="1"/>
  <c r="AR130" i="7"/>
  <c r="AS130" i="7" s="1"/>
  <c r="AR133" i="7"/>
  <c r="AS133" i="7" s="1"/>
  <c r="AR129" i="7"/>
  <c r="AS129" i="7" s="1"/>
  <c r="AR131" i="7"/>
  <c r="AS131" i="7" s="1"/>
  <c r="AR138" i="7"/>
  <c r="AS138" i="7" s="1"/>
  <c r="AR194" i="7"/>
  <c r="AS194" i="7" s="1"/>
  <c r="AT194" i="7" s="1"/>
  <c r="AR192" i="7"/>
  <c r="AS192" i="7" s="1"/>
  <c r="AT192" i="7" s="1"/>
  <c r="AR197" i="7"/>
  <c r="AS197" i="7" s="1"/>
  <c r="AT197" i="7" s="1"/>
  <c r="AR195" i="7"/>
  <c r="AS195" i="7" s="1"/>
  <c r="AT195" i="7" s="1"/>
  <c r="AR193" i="7"/>
  <c r="AS193" i="7" s="1"/>
  <c r="AT193" i="7" s="1"/>
  <c r="AR187" i="7"/>
  <c r="AS187" i="7" s="1"/>
  <c r="AT187" i="7" s="1"/>
  <c r="AR191" i="7"/>
  <c r="AS191" i="7" s="1"/>
  <c r="AT191" i="7" s="1"/>
  <c r="AR189" i="7"/>
  <c r="AS189" i="7" s="1"/>
  <c r="AT189" i="7" s="1"/>
  <c r="AR196" i="7"/>
  <c r="AS196" i="7" s="1"/>
  <c r="AT196" i="7" s="1"/>
  <c r="I38" i="28"/>
  <c r="J38" i="28"/>
  <c r="L38" i="28" s="1"/>
  <c r="T38" i="28" s="1"/>
  <c r="J23" i="28"/>
  <c r="L23" i="28" s="1"/>
  <c r="T23" i="28" s="1"/>
  <c r="I23" i="28"/>
  <c r="AW128" i="7" l="1"/>
  <c r="AX128" i="7" s="1"/>
  <c r="AY128" i="7" s="1"/>
  <c r="Z128" i="7" s="1"/>
  <c r="AB128" i="7" s="1"/>
  <c r="AW137" i="7"/>
  <c r="AX137" i="7" s="1"/>
  <c r="AY137" i="7" s="1"/>
  <c r="AW136" i="7"/>
  <c r="AX136" i="7" s="1"/>
  <c r="AY136" i="7" s="1"/>
  <c r="AW130" i="7"/>
  <c r="AX130" i="7" s="1"/>
  <c r="AY130" i="7" s="1"/>
  <c r="AT138" i="7"/>
  <c r="AT133" i="7"/>
  <c r="AT134" i="7"/>
  <c r="AT131" i="7"/>
  <c r="AT130" i="7"/>
  <c r="AT132" i="7"/>
  <c r="AT129" i="7"/>
  <c r="AT137" i="7"/>
  <c r="AT136" i="7"/>
  <c r="AT127" i="7"/>
  <c r="AT135" i="7"/>
  <c r="AW187" i="7"/>
  <c r="AX187" i="7" s="1"/>
  <c r="Y187" i="7" s="1"/>
  <c r="AA187" i="7" s="1"/>
  <c r="AW198" i="7"/>
  <c r="AX198" i="7" s="1"/>
  <c r="AY198" i="7" s="1"/>
  <c r="Z198" i="7" s="1"/>
  <c r="AB198" i="7" s="1"/>
  <c r="AW196" i="7"/>
  <c r="AX196" i="7" s="1"/>
  <c r="AY196" i="7" s="1"/>
  <c r="Z196" i="7" s="1"/>
  <c r="AB196" i="7" s="1"/>
  <c r="AW189" i="7"/>
  <c r="AX189" i="7" s="1"/>
  <c r="AY189" i="7" s="1"/>
  <c r="Z189" i="7" s="1"/>
  <c r="AB189" i="7" s="1"/>
  <c r="AW193" i="7"/>
  <c r="AX193" i="7" s="1"/>
  <c r="Y193" i="7" s="1"/>
  <c r="AA193" i="7" s="1"/>
  <c r="AW194" i="7"/>
  <c r="AX194" i="7" s="1"/>
  <c r="Y194" i="7" s="1"/>
  <c r="AA194" i="7" s="1"/>
  <c r="AW197" i="7"/>
  <c r="AX197" i="7" s="1"/>
  <c r="AY197" i="7" s="1"/>
  <c r="Z197" i="7" s="1"/>
  <c r="AB197" i="7" s="1"/>
  <c r="AW188" i="7"/>
  <c r="AX188" i="7" s="1"/>
  <c r="AY188" i="7" s="1"/>
  <c r="Z188" i="7" s="1"/>
  <c r="AB188" i="7" s="1"/>
  <c r="AW191" i="7"/>
  <c r="AX191" i="7" s="1"/>
  <c r="AY191" i="7" s="1"/>
  <c r="Z191" i="7" s="1"/>
  <c r="AB191" i="7" s="1"/>
  <c r="AW195" i="7"/>
  <c r="AX195" i="7" s="1"/>
  <c r="AY195" i="7" s="1"/>
  <c r="Z195" i="7" s="1"/>
  <c r="AB195" i="7" s="1"/>
  <c r="AW192" i="7"/>
  <c r="AX192" i="7" s="1"/>
  <c r="AY192" i="7" s="1"/>
  <c r="Z192" i="7" s="1"/>
  <c r="AB192" i="7" s="1"/>
  <c r="AW190" i="7"/>
  <c r="AX190" i="7" s="1"/>
  <c r="AY190" i="7" s="1"/>
  <c r="Z190" i="7" s="1"/>
  <c r="AB190" i="7" s="1"/>
  <c r="AR414" i="7"/>
  <c r="AR411" i="7"/>
  <c r="AR403" i="7"/>
  <c r="AR413" i="7"/>
  <c r="AR412" i="7"/>
  <c r="AR407" i="7"/>
  <c r="AR409" i="7"/>
  <c r="AR406" i="7"/>
  <c r="AR410" i="7"/>
  <c r="AR408" i="7"/>
  <c r="AR404" i="7"/>
  <c r="AR405" i="7"/>
  <c r="AO413" i="7"/>
  <c r="AN4" i="7"/>
  <c r="AO414" i="7"/>
  <c r="AR278" i="7"/>
  <c r="AR275" i="7"/>
  <c r="AR282" i="7"/>
  <c r="AR271" i="7"/>
  <c r="AS271" i="7" s="1"/>
  <c r="AT271" i="7" s="1"/>
  <c r="AR280" i="7"/>
  <c r="AR274" i="7"/>
  <c r="AR272" i="7"/>
  <c r="AS272" i="7" s="1"/>
  <c r="AT272" i="7" s="1"/>
  <c r="AR281" i="7"/>
  <c r="AR276" i="7"/>
  <c r="AR277" i="7"/>
  <c r="AR273" i="7"/>
  <c r="AS273" i="7" s="1"/>
  <c r="AR279" i="7"/>
  <c r="AR294" i="7"/>
  <c r="AR292" i="7"/>
  <c r="AR293" i="7"/>
  <c r="AR290" i="7"/>
  <c r="AR287" i="7"/>
  <c r="AR288" i="7"/>
  <c r="AR289" i="7"/>
  <c r="AR283" i="7"/>
  <c r="AR285" i="7"/>
  <c r="AR284" i="7"/>
  <c r="AR291" i="7"/>
  <c r="AR286" i="7"/>
  <c r="AR300" i="7"/>
  <c r="AR306" i="7"/>
  <c r="AR305" i="7"/>
  <c r="AR303" i="7"/>
  <c r="AR301" i="7"/>
  <c r="AR302" i="7"/>
  <c r="AR295" i="7"/>
  <c r="AR304" i="7"/>
  <c r="AR297" i="7"/>
  <c r="AR299" i="7"/>
  <c r="AR296" i="7"/>
  <c r="AR298" i="7"/>
  <c r="AR318" i="7"/>
  <c r="AR313" i="7"/>
  <c r="AR314" i="7"/>
  <c r="AR312" i="7"/>
  <c r="AR309" i="7"/>
  <c r="AR317" i="7"/>
  <c r="AR307" i="7"/>
  <c r="AR316" i="7"/>
  <c r="AR311" i="7"/>
  <c r="AR308" i="7"/>
  <c r="AR315" i="7"/>
  <c r="AR310" i="7"/>
  <c r="AR319" i="7"/>
  <c r="AR321" i="7"/>
  <c r="AR328" i="7"/>
  <c r="AR330" i="7"/>
  <c r="AR329" i="7"/>
  <c r="AR327" i="7"/>
  <c r="AR325" i="7"/>
  <c r="AR326" i="7"/>
  <c r="AR322" i="7"/>
  <c r="AR324" i="7"/>
  <c r="AR323" i="7"/>
  <c r="AR320" i="7"/>
  <c r="AR340" i="7"/>
  <c r="AR339" i="7"/>
  <c r="AR332" i="7"/>
  <c r="AR331" i="7"/>
  <c r="AR338" i="7"/>
  <c r="AR341" i="7"/>
  <c r="AR334" i="7"/>
  <c r="AR335" i="7"/>
  <c r="AR333" i="7"/>
  <c r="AR337" i="7"/>
  <c r="AR342" i="7"/>
  <c r="AR336" i="7"/>
  <c r="AR347" i="7"/>
  <c r="AR351" i="7"/>
  <c r="AR343" i="7"/>
  <c r="AR344" i="7"/>
  <c r="AR350" i="7"/>
  <c r="AR352" i="7"/>
  <c r="AR346" i="7"/>
  <c r="AR345" i="7"/>
  <c r="AR349" i="7"/>
  <c r="AR348" i="7"/>
  <c r="AR353" i="7"/>
  <c r="AR354" i="7"/>
  <c r="AR359" i="7"/>
  <c r="AR360" i="7"/>
  <c r="AR358" i="7"/>
  <c r="AR365" i="7"/>
  <c r="AR363" i="7"/>
  <c r="AR355" i="7"/>
  <c r="AR357" i="7"/>
  <c r="AR364" i="7"/>
  <c r="AR361" i="7"/>
  <c r="AR362" i="7"/>
  <c r="AR356" i="7"/>
  <c r="AR366" i="7"/>
  <c r="AR377" i="7"/>
  <c r="AR370" i="7"/>
  <c r="AR375" i="7"/>
  <c r="AR367" i="7"/>
  <c r="AR376" i="7"/>
  <c r="AR372" i="7"/>
  <c r="AR378" i="7"/>
  <c r="AR374" i="7"/>
  <c r="AR371" i="7"/>
  <c r="AR369" i="7"/>
  <c r="AR368" i="7"/>
  <c r="AR373" i="7"/>
  <c r="AR379" i="7"/>
  <c r="AR388" i="7"/>
  <c r="AR387" i="7"/>
  <c r="AR380" i="7"/>
  <c r="AR381" i="7"/>
  <c r="AR385" i="7"/>
  <c r="AR389" i="7"/>
  <c r="AR386" i="7"/>
  <c r="AR382" i="7"/>
  <c r="AR384" i="7"/>
  <c r="AR390" i="7"/>
  <c r="AR383" i="7"/>
  <c r="AR398" i="7"/>
  <c r="AR400" i="7"/>
  <c r="AR401" i="7"/>
  <c r="AR394" i="7"/>
  <c r="AR391" i="7"/>
  <c r="AR393" i="7"/>
  <c r="AR397" i="7"/>
  <c r="AR395" i="7"/>
  <c r="AR392" i="7"/>
  <c r="AR402" i="7"/>
  <c r="AR396" i="7"/>
  <c r="AR399" i="7"/>
  <c r="I25" i="28"/>
  <c r="J25" i="28"/>
  <c r="L25" i="28" s="1"/>
  <c r="T25" i="28" s="1"/>
  <c r="J40" i="28"/>
  <c r="L40" i="28" s="1"/>
  <c r="T40" i="28" s="1"/>
  <c r="I40" i="28"/>
  <c r="AY194" i="7" l="1"/>
  <c r="Z194" i="7" s="1"/>
  <c r="AB194" i="7" s="1"/>
  <c r="AY193" i="7"/>
  <c r="Z193" i="7" s="1"/>
  <c r="AB193" i="7" s="1"/>
  <c r="Y198" i="7"/>
  <c r="AA198" i="7" s="1"/>
  <c r="AY187" i="7"/>
  <c r="Z187" i="7" s="1"/>
  <c r="AB187" i="7" s="1"/>
  <c r="Y128" i="7"/>
  <c r="AA128" i="7" s="1"/>
  <c r="Y196" i="7"/>
  <c r="AA196" i="7" s="1"/>
  <c r="Z137" i="7"/>
  <c r="AB137" i="7" s="1"/>
  <c r="Y136" i="7"/>
  <c r="AA136" i="7" s="1"/>
  <c r="Y137" i="7"/>
  <c r="AA137" i="7" s="1"/>
  <c r="Z136" i="7"/>
  <c r="AB136" i="7" s="1"/>
  <c r="Y130" i="7"/>
  <c r="AA130" i="7" s="1"/>
  <c r="Z130" i="7"/>
  <c r="AB130" i="7" s="1"/>
  <c r="Y191" i="7"/>
  <c r="AA191" i="7" s="1"/>
  <c r="Y197" i="7"/>
  <c r="AA197" i="7" s="1"/>
  <c r="Y189" i="7"/>
  <c r="AA189" i="7" s="1"/>
  <c r="Y195" i="7"/>
  <c r="AA195" i="7" s="1"/>
  <c r="Y188" i="7"/>
  <c r="AA188" i="7" s="1"/>
  <c r="Y190" i="7"/>
  <c r="AA190" i="7" s="1"/>
  <c r="Y192" i="7"/>
  <c r="AA192" i="7" s="1"/>
  <c r="AO4" i="7"/>
  <c r="J42" i="28"/>
  <c r="L42" i="28" s="1"/>
  <c r="T42" i="28" s="1"/>
  <c r="I42" i="28"/>
  <c r="J27" i="28"/>
  <c r="L27" i="28" s="1"/>
  <c r="T27" i="28" s="1"/>
  <c r="I27" i="28"/>
  <c r="AT273" i="7"/>
  <c r="AS274" i="7"/>
  <c r="J29" i="28" l="1"/>
  <c r="L29" i="28" s="1"/>
  <c r="T29" i="28" s="1"/>
  <c r="I29" i="28"/>
  <c r="I44" i="28"/>
  <c r="J44" i="28"/>
  <c r="L44" i="28" s="1"/>
  <c r="T44" i="28" s="1"/>
  <c r="AT274" i="7"/>
  <c r="AS275" i="7"/>
  <c r="I46" i="28" l="1"/>
  <c r="J46" i="28"/>
  <c r="L46" i="28" s="1"/>
  <c r="T46" i="28" s="1"/>
  <c r="I31" i="28"/>
  <c r="J31" i="28"/>
  <c r="L31" i="28" s="1"/>
  <c r="T31" i="28" s="1"/>
  <c r="AT275" i="7"/>
  <c r="AS276" i="7"/>
  <c r="J33" i="28" l="1"/>
  <c r="L33" i="28" s="1"/>
  <c r="T33" i="28" s="1"/>
  <c r="I33" i="28"/>
  <c r="J48" i="28"/>
  <c r="L48" i="28" s="1"/>
  <c r="T48" i="28" s="1"/>
  <c r="I48" i="28"/>
  <c r="AT276" i="7"/>
  <c r="AS277" i="7"/>
  <c r="I50" i="28" l="1"/>
  <c r="J50" i="28"/>
  <c r="L50" i="28" s="1"/>
  <c r="T50" i="28" s="1"/>
  <c r="J35" i="28"/>
  <c r="L35" i="28" s="1"/>
  <c r="T35" i="28" s="1"/>
  <c r="I35" i="28"/>
  <c r="AT277" i="7"/>
  <c r="AS278" i="7"/>
  <c r="J37" i="28" l="1"/>
  <c r="L37" i="28" s="1"/>
  <c r="T37" i="28" s="1"/>
  <c r="I37" i="28"/>
  <c r="J52" i="28"/>
  <c r="L52" i="28" s="1"/>
  <c r="T52" i="28" s="1"/>
  <c r="I52" i="28"/>
  <c r="AT278" i="7"/>
  <c r="AS279" i="7"/>
  <c r="J54" i="28" l="1"/>
  <c r="L54" i="28" s="1"/>
  <c r="T54" i="28" s="1"/>
  <c r="I54" i="28"/>
  <c r="I39" i="28"/>
  <c r="J39" i="28"/>
  <c r="L39" i="28" s="1"/>
  <c r="T39" i="28" s="1"/>
  <c r="AT279" i="7"/>
  <c r="AS280" i="7"/>
  <c r="I41" i="28" l="1"/>
  <c r="J41" i="28"/>
  <c r="L41" i="28" s="1"/>
  <c r="T41" i="28" s="1"/>
  <c r="J56" i="28"/>
  <c r="L56" i="28" s="1"/>
  <c r="T56" i="28" s="1"/>
  <c r="I56" i="28"/>
  <c r="AT280" i="7"/>
  <c r="AS281" i="7"/>
  <c r="J58" i="28" l="1"/>
  <c r="L58" i="28" s="1"/>
  <c r="T58" i="28" s="1"/>
  <c r="I58" i="28"/>
  <c r="I43" i="28"/>
  <c r="J43" i="28"/>
  <c r="L43" i="28" s="1"/>
  <c r="T43" i="28" s="1"/>
  <c r="AT281" i="7"/>
  <c r="AS282" i="7"/>
  <c r="I45" i="28" l="1"/>
  <c r="J45" i="28"/>
  <c r="L45" i="28" s="1"/>
  <c r="T45" i="28" s="1"/>
  <c r="I60" i="28"/>
  <c r="J60" i="28"/>
  <c r="L60" i="28" s="1"/>
  <c r="T60" i="28" s="1"/>
  <c r="AT282" i="7"/>
  <c r="AS283" i="7"/>
  <c r="I62" i="28" l="1"/>
  <c r="J62" i="28"/>
  <c r="L62" i="28" s="1"/>
  <c r="T62" i="28" s="1"/>
  <c r="I47" i="28"/>
  <c r="J47" i="28"/>
  <c r="L47" i="28" s="1"/>
  <c r="T47" i="28" s="1"/>
  <c r="AT283" i="7"/>
  <c r="AS284" i="7"/>
  <c r="J49" i="28" l="1"/>
  <c r="L49" i="28" s="1"/>
  <c r="T49" i="28" s="1"/>
  <c r="I49" i="28"/>
  <c r="J64" i="28"/>
  <c r="L64" i="28" s="1"/>
  <c r="T64" i="28" s="1"/>
  <c r="I64" i="28"/>
  <c r="AT284" i="7"/>
  <c r="AS285" i="7"/>
  <c r="J66" i="28" l="1"/>
  <c r="L66" i="28" s="1"/>
  <c r="T66" i="28" s="1"/>
  <c r="I66" i="28"/>
  <c r="J51" i="28"/>
  <c r="L51" i="28" s="1"/>
  <c r="T51" i="28" s="1"/>
  <c r="I51" i="28"/>
  <c r="AT285" i="7"/>
  <c r="AS286" i="7"/>
  <c r="I53" i="28" l="1"/>
  <c r="J53" i="28"/>
  <c r="L53" i="28" s="1"/>
  <c r="T53" i="28" s="1"/>
  <c r="I68" i="28"/>
  <c r="J68" i="28"/>
  <c r="L68" i="28" s="1"/>
  <c r="T68" i="28" s="1"/>
  <c r="AT286" i="7"/>
  <c r="AS287" i="7"/>
  <c r="J70" i="28" l="1"/>
  <c r="L70" i="28" s="1"/>
  <c r="T70" i="28" s="1"/>
  <c r="I70" i="28"/>
  <c r="I55" i="28"/>
  <c r="J55" i="28"/>
  <c r="L55" i="28" s="1"/>
  <c r="T55" i="28" s="1"/>
  <c r="AT287" i="7"/>
  <c r="AS288" i="7"/>
  <c r="I57" i="28" l="1"/>
  <c r="J57" i="28"/>
  <c r="L57" i="28" s="1"/>
  <c r="T57" i="28" s="1"/>
  <c r="J72" i="28"/>
  <c r="L72" i="28" s="1"/>
  <c r="T72" i="28" s="1"/>
  <c r="I72" i="28"/>
  <c r="AT288" i="7"/>
  <c r="AS289" i="7"/>
  <c r="J74" i="28" l="1"/>
  <c r="L74" i="28" s="1"/>
  <c r="T74" i="28" s="1"/>
  <c r="I74" i="28"/>
  <c r="J59" i="28"/>
  <c r="L59" i="28" s="1"/>
  <c r="T59" i="28" s="1"/>
  <c r="I59" i="28"/>
  <c r="AT289" i="7"/>
  <c r="AS290" i="7"/>
  <c r="I61" i="28" l="1"/>
  <c r="J61" i="28"/>
  <c r="L61" i="28" s="1"/>
  <c r="T61" i="28" s="1"/>
  <c r="J76" i="28"/>
  <c r="L76" i="28" s="1"/>
  <c r="T76" i="28" s="1"/>
  <c r="I76" i="28"/>
  <c r="AT290" i="7"/>
  <c r="AS291" i="7"/>
  <c r="J78" i="28" l="1"/>
  <c r="L78" i="28" s="1"/>
  <c r="T78" i="28" s="1"/>
  <c r="I78" i="28"/>
  <c r="J63" i="28"/>
  <c r="L63" i="28" s="1"/>
  <c r="T63" i="28" s="1"/>
  <c r="I63" i="28"/>
  <c r="AT291" i="7"/>
  <c r="AS292" i="7"/>
  <c r="I65" i="28" l="1"/>
  <c r="J65" i="28"/>
  <c r="L65" i="28" s="1"/>
  <c r="T65" i="28" s="1"/>
  <c r="J80" i="28"/>
  <c r="L80" i="28" s="1"/>
  <c r="T80" i="28" s="1"/>
  <c r="I80" i="28"/>
  <c r="AT292" i="7"/>
  <c r="AS293" i="7"/>
  <c r="J82" i="28" l="1"/>
  <c r="L82" i="28" s="1"/>
  <c r="T82" i="28" s="1"/>
  <c r="I82" i="28"/>
  <c r="J67" i="28"/>
  <c r="L67" i="28" s="1"/>
  <c r="T67" i="28" s="1"/>
  <c r="I67" i="28"/>
  <c r="AT293" i="7"/>
  <c r="AS294" i="7"/>
  <c r="J69" i="28" l="1"/>
  <c r="L69" i="28" s="1"/>
  <c r="T69" i="28" s="1"/>
  <c r="I69" i="28"/>
  <c r="J84" i="28"/>
  <c r="L84" i="28" s="1"/>
  <c r="T84" i="28" s="1"/>
  <c r="I84" i="28"/>
  <c r="AT294" i="7"/>
  <c r="AS295" i="7"/>
  <c r="I86" i="28" l="1"/>
  <c r="J86" i="28"/>
  <c r="L86" i="28" s="1"/>
  <c r="T86" i="28" s="1"/>
  <c r="J71" i="28"/>
  <c r="L71" i="28" s="1"/>
  <c r="T71" i="28" s="1"/>
  <c r="I71" i="28"/>
  <c r="AT295" i="7"/>
  <c r="AS296" i="7"/>
  <c r="I73" i="28" l="1"/>
  <c r="J73" i="28"/>
  <c r="L73" i="28" s="1"/>
  <c r="T73" i="28" s="1"/>
  <c r="J88" i="28"/>
  <c r="L88" i="28" s="1"/>
  <c r="T88" i="28" s="1"/>
  <c r="I88" i="28"/>
  <c r="AT296" i="7"/>
  <c r="AS297" i="7"/>
  <c r="I90" i="28" l="1"/>
  <c r="J90" i="28"/>
  <c r="L90" i="28" s="1"/>
  <c r="T90" i="28" s="1"/>
  <c r="I75" i="28"/>
  <c r="J75" i="28"/>
  <c r="L75" i="28" s="1"/>
  <c r="T75" i="28" s="1"/>
  <c r="AT297" i="7"/>
  <c r="AS298" i="7"/>
  <c r="I77" i="28" l="1"/>
  <c r="J77" i="28"/>
  <c r="L77" i="28" s="1"/>
  <c r="T77" i="28" s="1"/>
  <c r="I92" i="28"/>
  <c r="J92" i="28"/>
  <c r="L92" i="28" s="1"/>
  <c r="T92" i="28" s="1"/>
  <c r="AT298" i="7"/>
  <c r="AS299" i="7"/>
  <c r="I94" i="28" l="1"/>
  <c r="J94" i="28"/>
  <c r="L94" i="28" s="1"/>
  <c r="T94" i="28" s="1"/>
  <c r="J79" i="28"/>
  <c r="L79" i="28" s="1"/>
  <c r="T79" i="28" s="1"/>
  <c r="I79" i="28"/>
  <c r="AT299" i="7"/>
  <c r="AS300" i="7"/>
  <c r="I81" i="28" l="1"/>
  <c r="J81" i="28"/>
  <c r="L81" i="28" s="1"/>
  <c r="T81" i="28" s="1"/>
  <c r="I96" i="28"/>
  <c r="J96" i="28"/>
  <c r="L96" i="28" s="1"/>
  <c r="T96" i="28" s="1"/>
  <c r="AT300" i="7"/>
  <c r="AS301" i="7"/>
  <c r="J98" i="28" l="1"/>
  <c r="L98" i="28" s="1"/>
  <c r="T98" i="28" s="1"/>
  <c r="I98" i="28"/>
  <c r="I83" i="28"/>
  <c r="J83" i="28"/>
  <c r="L83" i="28" s="1"/>
  <c r="T83" i="28" s="1"/>
  <c r="AT301" i="7"/>
  <c r="AS302" i="7"/>
  <c r="I85" i="28" l="1"/>
  <c r="J85" i="28"/>
  <c r="L85" i="28" s="1"/>
  <c r="T85" i="28" s="1"/>
  <c r="J100" i="28"/>
  <c r="L100" i="28" s="1"/>
  <c r="T100" i="28" s="1"/>
  <c r="I100" i="28"/>
  <c r="AT302" i="7"/>
  <c r="AS303" i="7"/>
  <c r="I102" i="28" l="1"/>
  <c r="J102" i="28"/>
  <c r="L102" i="28" s="1"/>
  <c r="T102" i="28" s="1"/>
  <c r="J87" i="28"/>
  <c r="L87" i="28" s="1"/>
  <c r="T87" i="28" s="1"/>
  <c r="I87" i="28"/>
  <c r="AT303" i="7"/>
  <c r="AS304" i="7"/>
  <c r="I89" i="28" l="1"/>
  <c r="J89" i="28"/>
  <c r="L89" i="28" s="1"/>
  <c r="T89" i="28" s="1"/>
  <c r="J104" i="28"/>
  <c r="L104" i="28" s="1"/>
  <c r="T104" i="28" s="1"/>
  <c r="I104" i="28"/>
  <c r="AT304" i="7"/>
  <c r="AS305" i="7"/>
  <c r="I106" i="28" l="1"/>
  <c r="J106" i="28"/>
  <c r="L106" i="28" s="1"/>
  <c r="T106" i="28" s="1"/>
  <c r="I91" i="28"/>
  <c r="J91" i="28"/>
  <c r="L91" i="28" s="1"/>
  <c r="T91" i="28" s="1"/>
  <c r="AT305" i="7"/>
  <c r="AS306" i="7"/>
  <c r="I93" i="28" l="1"/>
  <c r="J93" i="28"/>
  <c r="L93" i="28" s="1"/>
  <c r="T93" i="28" s="1"/>
  <c r="I108" i="28"/>
  <c r="J108" i="28"/>
  <c r="L108" i="28" s="1"/>
  <c r="T108" i="28" s="1"/>
  <c r="AT306" i="7"/>
  <c r="AS307" i="7"/>
  <c r="I110" i="28" l="1"/>
  <c r="J110" i="28"/>
  <c r="L110" i="28" s="1"/>
  <c r="T110" i="28" s="1"/>
  <c r="J95" i="28"/>
  <c r="L95" i="28" s="1"/>
  <c r="T95" i="28" s="1"/>
  <c r="I95" i="28"/>
  <c r="AT307" i="7"/>
  <c r="AS308" i="7"/>
  <c r="J97" i="28" l="1"/>
  <c r="L97" i="28" s="1"/>
  <c r="T97" i="28" s="1"/>
  <c r="I97" i="28"/>
  <c r="I112" i="28"/>
  <c r="J112" i="28"/>
  <c r="L112" i="28" s="1"/>
  <c r="T112" i="28" s="1"/>
  <c r="AT308" i="7"/>
  <c r="AS309" i="7"/>
  <c r="I114" i="28" l="1"/>
  <c r="J114" i="28"/>
  <c r="L114" i="28" s="1"/>
  <c r="T114" i="28" s="1"/>
  <c r="I99" i="28"/>
  <c r="J99" i="28"/>
  <c r="L99" i="28" s="1"/>
  <c r="T99" i="28" s="1"/>
  <c r="AT309" i="7"/>
  <c r="AS310" i="7"/>
  <c r="J101" i="28" l="1"/>
  <c r="L101" i="28" s="1"/>
  <c r="T101" i="28" s="1"/>
  <c r="I101" i="28"/>
  <c r="J116" i="28"/>
  <c r="L116" i="28" s="1"/>
  <c r="T116" i="28" s="1"/>
  <c r="I116" i="28"/>
  <c r="AT310" i="7"/>
  <c r="AS311" i="7"/>
  <c r="I118" i="28" l="1"/>
  <c r="J118" i="28"/>
  <c r="L118" i="28" s="1"/>
  <c r="T118" i="28" s="1"/>
  <c r="J103" i="28"/>
  <c r="L103" i="28" s="1"/>
  <c r="T103" i="28" s="1"/>
  <c r="I103" i="28"/>
  <c r="AT311" i="7"/>
  <c r="AS312" i="7"/>
  <c r="I105" i="28" l="1"/>
  <c r="J105" i="28"/>
  <c r="L105" i="28" s="1"/>
  <c r="T105" i="28" s="1"/>
  <c r="J120" i="28"/>
  <c r="L120" i="28" s="1"/>
  <c r="T120" i="28" s="1"/>
  <c r="I120" i="28"/>
  <c r="AT312" i="7"/>
  <c r="AS313" i="7"/>
  <c r="J122" i="28" l="1"/>
  <c r="L122" i="28" s="1"/>
  <c r="T122" i="28" s="1"/>
  <c r="I122" i="28"/>
  <c r="J107" i="28"/>
  <c r="L107" i="28" s="1"/>
  <c r="T107" i="28" s="1"/>
  <c r="I107" i="28"/>
  <c r="AT313" i="7"/>
  <c r="AS314" i="7"/>
  <c r="I109" i="28" l="1"/>
  <c r="J109" i="28"/>
  <c r="L109" i="28" s="1"/>
  <c r="T109" i="28" s="1"/>
  <c r="J124" i="28"/>
  <c r="L124" i="28" s="1"/>
  <c r="T124" i="28" s="1"/>
  <c r="I124" i="28"/>
  <c r="AT314" i="7"/>
  <c r="AS315" i="7"/>
  <c r="J126" i="28" l="1"/>
  <c r="L126" i="28" s="1"/>
  <c r="T126" i="28" s="1"/>
  <c r="I126" i="28"/>
  <c r="I111" i="28"/>
  <c r="J111" i="28"/>
  <c r="L111" i="28" s="1"/>
  <c r="T111" i="28" s="1"/>
  <c r="AT315" i="7"/>
  <c r="AS316" i="7"/>
  <c r="I113" i="28" l="1"/>
  <c r="J113" i="28"/>
  <c r="L113" i="28" s="1"/>
  <c r="T113" i="28" s="1"/>
  <c r="J128" i="28"/>
  <c r="L128" i="28" s="1"/>
  <c r="T128" i="28" s="1"/>
  <c r="I128" i="28"/>
  <c r="AT316" i="7"/>
  <c r="AS317" i="7"/>
  <c r="J130" i="28" l="1"/>
  <c r="L130" i="28" s="1"/>
  <c r="T130" i="28" s="1"/>
  <c r="I130" i="28"/>
  <c r="I115" i="28"/>
  <c r="J115" i="28"/>
  <c r="L115" i="28" s="1"/>
  <c r="T115" i="28" s="1"/>
  <c r="AT317" i="7"/>
  <c r="AS318" i="7"/>
  <c r="I117" i="28" l="1"/>
  <c r="J117" i="28"/>
  <c r="L117" i="28" s="1"/>
  <c r="T117" i="28" s="1"/>
  <c r="J132" i="28"/>
  <c r="L132" i="28" s="1"/>
  <c r="T132" i="28" s="1"/>
  <c r="I132" i="28"/>
  <c r="AT318" i="7"/>
  <c r="AS319" i="7"/>
  <c r="I134" i="28" l="1"/>
  <c r="J134" i="28"/>
  <c r="L134" i="28" s="1"/>
  <c r="T134" i="28" s="1"/>
  <c r="I119" i="28"/>
  <c r="J119" i="28"/>
  <c r="L119" i="28" s="1"/>
  <c r="T119" i="28" s="1"/>
  <c r="AT319" i="7"/>
  <c r="AS320" i="7"/>
  <c r="J121" i="28" l="1"/>
  <c r="L121" i="28" s="1"/>
  <c r="T121" i="28" s="1"/>
  <c r="I121" i="28"/>
  <c r="I136" i="28"/>
  <c r="J136" i="28"/>
  <c r="L136" i="28" s="1"/>
  <c r="T136" i="28" s="1"/>
  <c r="AT320" i="7"/>
  <c r="AS321" i="7"/>
  <c r="I138" i="28" l="1"/>
  <c r="J138" i="28"/>
  <c r="L138" i="28" s="1"/>
  <c r="T138" i="28" s="1"/>
  <c r="J123" i="28"/>
  <c r="L123" i="28" s="1"/>
  <c r="T123" i="28" s="1"/>
  <c r="I123" i="28"/>
  <c r="AT321" i="7"/>
  <c r="AS322" i="7"/>
  <c r="J125" i="28" l="1"/>
  <c r="L125" i="28" s="1"/>
  <c r="T125" i="28" s="1"/>
  <c r="I125" i="28"/>
  <c r="J140" i="28"/>
  <c r="L140" i="28" s="1"/>
  <c r="T140" i="28" s="1"/>
  <c r="I140" i="28"/>
  <c r="AT322" i="7"/>
  <c r="AS323" i="7"/>
  <c r="J142" i="28" l="1"/>
  <c r="L142" i="28" s="1"/>
  <c r="T142" i="28" s="1"/>
  <c r="I142" i="28"/>
  <c r="J127" i="28"/>
  <c r="L127" i="28" s="1"/>
  <c r="T127" i="28" s="1"/>
  <c r="I127" i="28"/>
  <c r="AT323" i="7"/>
  <c r="AS324" i="7"/>
  <c r="J129" i="28" l="1"/>
  <c r="L129" i="28" s="1"/>
  <c r="T129" i="28" s="1"/>
  <c r="I129" i="28"/>
  <c r="I144" i="28"/>
  <c r="J144" i="28"/>
  <c r="L144" i="28" s="1"/>
  <c r="T144" i="28" s="1"/>
  <c r="AT324" i="7"/>
  <c r="AS325" i="7"/>
  <c r="J146" i="28" l="1"/>
  <c r="L146" i="28" s="1"/>
  <c r="T146" i="28" s="1"/>
  <c r="I146" i="28"/>
  <c r="I131" i="28"/>
  <c r="J131" i="28"/>
  <c r="L131" i="28" s="1"/>
  <c r="T131" i="28" s="1"/>
  <c r="AT325" i="7"/>
  <c r="AS326" i="7"/>
  <c r="I133" i="28" l="1"/>
  <c r="J133" i="28"/>
  <c r="L133" i="28" s="1"/>
  <c r="T133" i="28" s="1"/>
  <c r="I148" i="28"/>
  <c r="J148" i="28"/>
  <c r="L148" i="28" s="1"/>
  <c r="T148" i="28" s="1"/>
  <c r="AT326" i="7"/>
  <c r="AS327" i="7"/>
  <c r="J150" i="28" l="1"/>
  <c r="L150" i="28" s="1"/>
  <c r="T150" i="28" s="1"/>
  <c r="I150" i="28"/>
  <c r="I135" i="28"/>
  <c r="J135" i="28"/>
  <c r="L135" i="28" s="1"/>
  <c r="T135" i="28" s="1"/>
  <c r="AT327" i="7"/>
  <c r="AS328" i="7"/>
  <c r="I137" i="28" l="1"/>
  <c r="J137" i="28"/>
  <c r="L137" i="28" s="1"/>
  <c r="T137" i="28" s="1"/>
  <c r="J152" i="28"/>
  <c r="L152" i="28" s="1"/>
  <c r="T152" i="28" s="1"/>
  <c r="I152" i="28"/>
  <c r="AT328" i="7"/>
  <c r="AS329" i="7"/>
  <c r="J154" i="28" l="1"/>
  <c r="L154" i="28" s="1"/>
  <c r="T154" i="28" s="1"/>
  <c r="I154" i="28"/>
  <c r="J139" i="28"/>
  <c r="L139" i="28" s="1"/>
  <c r="T139" i="28" s="1"/>
  <c r="I139" i="28"/>
  <c r="AT329" i="7"/>
  <c r="AS330" i="7"/>
  <c r="I141" i="28" l="1"/>
  <c r="J141" i="28"/>
  <c r="L141" i="28" s="1"/>
  <c r="T141" i="28" s="1"/>
  <c r="J156" i="28"/>
  <c r="L156" i="28" s="1"/>
  <c r="T156" i="28" s="1"/>
  <c r="I156" i="28"/>
  <c r="AT330" i="7"/>
  <c r="AS331" i="7"/>
  <c r="J158" i="28" l="1"/>
  <c r="L158" i="28" s="1"/>
  <c r="T158" i="28" s="1"/>
  <c r="I158" i="28"/>
  <c r="I143" i="28"/>
  <c r="J143" i="28"/>
  <c r="L143" i="28" s="1"/>
  <c r="T143" i="28" s="1"/>
  <c r="AT331" i="7"/>
  <c r="AS332" i="7"/>
  <c r="I145" i="28" l="1"/>
  <c r="J145" i="28"/>
  <c r="L145" i="28" s="1"/>
  <c r="T145" i="28" s="1"/>
  <c r="I160" i="28"/>
  <c r="J160" i="28"/>
  <c r="L160" i="28" s="1"/>
  <c r="T160" i="28" s="1"/>
  <c r="AT332" i="7"/>
  <c r="AS333" i="7"/>
  <c r="I162" i="28" l="1"/>
  <c r="J162" i="28"/>
  <c r="L162" i="28" s="1"/>
  <c r="T162" i="28" s="1"/>
  <c r="I147" i="28"/>
  <c r="J147" i="28"/>
  <c r="L147" i="28" s="1"/>
  <c r="T147" i="28" s="1"/>
  <c r="AT333" i="7"/>
  <c r="AS334" i="7"/>
  <c r="I149" i="28" l="1"/>
  <c r="J149" i="28"/>
  <c r="L149" i="28" s="1"/>
  <c r="T149" i="28" s="1"/>
  <c r="I164" i="28"/>
  <c r="J164" i="28"/>
  <c r="L164" i="28" s="1"/>
  <c r="T164" i="28" s="1"/>
  <c r="AT334" i="7"/>
  <c r="AS335" i="7"/>
  <c r="J166" i="28" l="1"/>
  <c r="L166" i="28" s="1"/>
  <c r="T166" i="28" s="1"/>
  <c r="I166" i="28"/>
  <c r="J151" i="28"/>
  <c r="L151" i="28" s="1"/>
  <c r="T151" i="28" s="1"/>
  <c r="I151" i="28"/>
  <c r="AT335" i="7"/>
  <c r="AS336" i="7"/>
  <c r="I153" i="28" l="1"/>
  <c r="J153" i="28"/>
  <c r="L153" i="28" s="1"/>
  <c r="T153" i="28" s="1"/>
  <c r="I168" i="28"/>
  <c r="J168" i="28"/>
  <c r="L168" i="28" s="1"/>
  <c r="T168" i="28" s="1"/>
  <c r="AT336" i="7"/>
  <c r="AS337" i="7"/>
  <c r="J170" i="28" l="1"/>
  <c r="L170" i="28" s="1"/>
  <c r="T170" i="28" s="1"/>
  <c r="I170" i="28"/>
  <c r="I155" i="28"/>
  <c r="J155" i="28"/>
  <c r="L155" i="28" s="1"/>
  <c r="T155" i="28" s="1"/>
  <c r="AT337" i="7"/>
  <c r="AS338" i="7"/>
  <c r="J157" i="28" l="1"/>
  <c r="L157" i="28" s="1"/>
  <c r="T157" i="28" s="1"/>
  <c r="I157" i="28"/>
  <c r="J172" i="28"/>
  <c r="L172" i="28" s="1"/>
  <c r="T172" i="28" s="1"/>
  <c r="I172" i="28"/>
  <c r="AT338" i="7"/>
  <c r="AS339" i="7"/>
  <c r="I174" i="28" l="1"/>
  <c r="J174" i="28"/>
  <c r="L174" i="28" s="1"/>
  <c r="T174" i="28" s="1"/>
  <c r="I159" i="28"/>
  <c r="J159" i="28"/>
  <c r="L159" i="28" s="1"/>
  <c r="T159" i="28" s="1"/>
  <c r="AT339" i="7"/>
  <c r="AS340" i="7"/>
  <c r="J161" i="28" l="1"/>
  <c r="L161" i="28" s="1"/>
  <c r="T161" i="28" s="1"/>
  <c r="I161" i="28"/>
  <c r="I176" i="28"/>
  <c r="J176" i="28"/>
  <c r="L176" i="28" s="1"/>
  <c r="T176" i="28" s="1"/>
  <c r="AT340" i="7"/>
  <c r="AS341" i="7"/>
  <c r="J178" i="28" l="1"/>
  <c r="L178" i="28" s="1"/>
  <c r="T178" i="28" s="1"/>
  <c r="I178" i="28"/>
  <c r="I163" i="28"/>
  <c r="J163" i="28"/>
  <c r="L163" i="28" s="1"/>
  <c r="T163" i="28" s="1"/>
  <c r="AT341" i="7"/>
  <c r="AS342" i="7"/>
  <c r="I165" i="28" l="1"/>
  <c r="J165" i="28"/>
  <c r="L165" i="28" s="1"/>
  <c r="T165" i="28" s="1"/>
  <c r="J180" i="28"/>
  <c r="L180" i="28" s="1"/>
  <c r="T180" i="28" s="1"/>
  <c r="I180" i="28"/>
  <c r="AT342" i="7"/>
  <c r="AS343" i="7"/>
  <c r="J182" i="28" l="1"/>
  <c r="L182" i="28" s="1"/>
  <c r="T182" i="28" s="1"/>
  <c r="I182" i="28"/>
  <c r="J167" i="28"/>
  <c r="L167" i="28" s="1"/>
  <c r="T167" i="28" s="1"/>
  <c r="I167" i="28"/>
  <c r="AT343" i="7"/>
  <c r="AS344" i="7"/>
  <c r="I169" i="28" l="1"/>
  <c r="J169" i="28"/>
  <c r="L169" i="28" s="1"/>
  <c r="T169" i="28" s="1"/>
  <c r="I184" i="28"/>
  <c r="J184" i="28"/>
  <c r="L184" i="28" s="1"/>
  <c r="T184" i="28" s="1"/>
  <c r="AT344" i="7"/>
  <c r="AS345" i="7"/>
  <c r="I186" i="28" l="1"/>
  <c r="J186" i="28"/>
  <c r="L186" i="28" s="1"/>
  <c r="T186" i="28" s="1"/>
  <c r="J171" i="28"/>
  <c r="L171" i="28" s="1"/>
  <c r="T171" i="28" s="1"/>
  <c r="I171" i="28"/>
  <c r="AT345" i="7"/>
  <c r="AS346" i="7"/>
  <c r="I173" i="28" l="1"/>
  <c r="J173" i="28"/>
  <c r="L173" i="28" s="1"/>
  <c r="T173" i="28" s="1"/>
  <c r="J188" i="28"/>
  <c r="L188" i="28" s="1"/>
  <c r="T188" i="28" s="1"/>
  <c r="I188" i="28"/>
  <c r="AT346" i="7"/>
  <c r="AS347" i="7"/>
  <c r="J190" i="28" l="1"/>
  <c r="L190" i="28" s="1"/>
  <c r="T190" i="28" s="1"/>
  <c r="I190" i="28"/>
  <c r="J175" i="28"/>
  <c r="L175" i="28" s="1"/>
  <c r="T175" i="28" s="1"/>
  <c r="I175" i="28"/>
  <c r="AT347" i="7"/>
  <c r="AS348" i="7"/>
  <c r="I177" i="28" l="1"/>
  <c r="J177" i="28"/>
  <c r="L177" i="28" s="1"/>
  <c r="T177" i="28" s="1"/>
  <c r="I192" i="28"/>
  <c r="J192" i="28"/>
  <c r="L192" i="28" s="1"/>
  <c r="T192" i="28" s="1"/>
  <c r="AT348" i="7"/>
  <c r="AS349" i="7"/>
  <c r="I194" i="28" l="1"/>
  <c r="J194" i="28"/>
  <c r="L194" i="28" s="1"/>
  <c r="T194" i="28" s="1"/>
  <c r="I179" i="28"/>
  <c r="J179" i="28"/>
  <c r="L179" i="28" s="1"/>
  <c r="T179" i="28" s="1"/>
  <c r="AT349" i="7"/>
  <c r="AS350" i="7"/>
  <c r="I181" i="28" l="1"/>
  <c r="J181" i="28"/>
  <c r="L181" i="28" s="1"/>
  <c r="T181" i="28" s="1"/>
  <c r="J196" i="28"/>
  <c r="L196" i="28" s="1"/>
  <c r="T196" i="28" s="1"/>
  <c r="I196" i="28"/>
  <c r="AT350" i="7"/>
  <c r="AS351" i="7"/>
  <c r="I198" i="28" l="1"/>
  <c r="J198" i="28"/>
  <c r="L198" i="28" s="1"/>
  <c r="T198" i="28" s="1"/>
  <c r="J183" i="28"/>
  <c r="L183" i="28" s="1"/>
  <c r="T183" i="28" s="1"/>
  <c r="I183" i="28"/>
  <c r="AT351" i="7"/>
  <c r="AS352" i="7"/>
  <c r="J185" i="28" l="1"/>
  <c r="L185" i="28" s="1"/>
  <c r="T185" i="28" s="1"/>
  <c r="I185" i="28"/>
  <c r="J200" i="28"/>
  <c r="L200" i="28" s="1"/>
  <c r="T200" i="28" s="1"/>
  <c r="I200" i="28"/>
  <c r="AT352" i="7"/>
  <c r="AS353" i="7"/>
  <c r="J202" i="28" l="1"/>
  <c r="L202" i="28" s="1"/>
  <c r="T202" i="28" s="1"/>
  <c r="I202" i="28"/>
  <c r="J187" i="28"/>
  <c r="L187" i="28" s="1"/>
  <c r="T187" i="28" s="1"/>
  <c r="I187" i="28"/>
  <c r="AT353" i="7"/>
  <c r="AS354" i="7"/>
  <c r="J189" i="28" l="1"/>
  <c r="L189" i="28" s="1"/>
  <c r="T189" i="28" s="1"/>
  <c r="I189" i="28"/>
  <c r="J204" i="28"/>
  <c r="L204" i="28" s="1"/>
  <c r="T204" i="28" s="1"/>
  <c r="I204" i="28"/>
  <c r="AT354" i="7"/>
  <c r="AS355" i="7"/>
  <c r="I206" i="28" l="1"/>
  <c r="J206" i="28"/>
  <c r="L206" i="28" s="1"/>
  <c r="T206" i="28" s="1"/>
  <c r="I191" i="28"/>
  <c r="J191" i="28"/>
  <c r="L191" i="28" s="1"/>
  <c r="T191" i="28" s="1"/>
  <c r="AT355" i="7"/>
  <c r="AS356" i="7"/>
  <c r="I193" i="28" l="1"/>
  <c r="J193" i="28"/>
  <c r="L193" i="28" s="1"/>
  <c r="T193" i="28" s="1"/>
  <c r="J208" i="28"/>
  <c r="L208" i="28" s="1"/>
  <c r="T208" i="28" s="1"/>
  <c r="I208" i="28"/>
  <c r="AT356" i="7"/>
  <c r="AS357" i="7"/>
  <c r="I210" i="28" l="1"/>
  <c r="J210" i="28"/>
  <c r="L210" i="28" s="1"/>
  <c r="T210" i="28" s="1"/>
  <c r="J195" i="28"/>
  <c r="L195" i="28" s="1"/>
  <c r="T195" i="28" s="1"/>
  <c r="I195" i="28"/>
  <c r="AT357" i="7"/>
  <c r="AS358" i="7"/>
  <c r="I197" i="28" l="1"/>
  <c r="J197" i="28"/>
  <c r="L197" i="28" s="1"/>
  <c r="J212" i="28"/>
  <c r="L212" i="28" s="1"/>
  <c r="T212" i="28" s="1"/>
  <c r="I212" i="28"/>
  <c r="AT358" i="7"/>
  <c r="AS359" i="7"/>
  <c r="T197" i="28" l="1"/>
  <c r="J214" i="28"/>
  <c r="L214" i="28" s="1"/>
  <c r="T214" i="28" s="1"/>
  <c r="I214" i="28"/>
  <c r="I199" i="28"/>
  <c r="J199" i="28"/>
  <c r="L199" i="28" s="1"/>
  <c r="T199" i="28" s="1"/>
  <c r="AT359" i="7"/>
  <c r="AS360" i="7"/>
  <c r="J201" i="28" l="1"/>
  <c r="L201" i="28" s="1"/>
  <c r="T201" i="28" s="1"/>
  <c r="I201" i="28"/>
  <c r="I216" i="28"/>
  <c r="J216" i="28"/>
  <c r="L216" i="28" s="1"/>
  <c r="T216" i="28" s="1"/>
  <c r="AT360" i="7"/>
  <c r="AS361" i="7"/>
  <c r="J218" i="28" l="1"/>
  <c r="L218" i="28" s="1"/>
  <c r="T218" i="28" s="1"/>
  <c r="I218" i="28"/>
  <c r="I203" i="28"/>
  <c r="J203" i="28"/>
  <c r="L203" i="28" s="1"/>
  <c r="T203" i="28" s="1"/>
  <c r="AT361" i="7"/>
  <c r="AS362" i="7"/>
  <c r="I205" i="28" l="1"/>
  <c r="J205" i="28"/>
  <c r="L205" i="28" s="1"/>
  <c r="T205" i="28" s="1"/>
  <c r="I220" i="28"/>
  <c r="J220" i="28"/>
  <c r="L220" i="28" s="1"/>
  <c r="T220" i="28" s="1"/>
  <c r="AT362" i="7"/>
  <c r="AS363" i="7"/>
  <c r="J222" i="28" l="1"/>
  <c r="L222" i="28" s="1"/>
  <c r="T222" i="28" s="1"/>
  <c r="I222" i="28"/>
  <c r="I207" i="28"/>
  <c r="J207" i="28"/>
  <c r="L207" i="28" s="1"/>
  <c r="T207" i="28" s="1"/>
  <c r="AT363" i="7"/>
  <c r="AS364" i="7"/>
  <c r="J209" i="28" l="1"/>
  <c r="L209" i="28" s="1"/>
  <c r="T209" i="28" s="1"/>
  <c r="I209" i="28"/>
  <c r="J224" i="28"/>
  <c r="L224" i="28" s="1"/>
  <c r="T224" i="28" s="1"/>
  <c r="I224" i="28"/>
  <c r="AT364" i="7"/>
  <c r="AS365" i="7"/>
  <c r="J226" i="28" l="1"/>
  <c r="L226" i="28" s="1"/>
  <c r="T226" i="28" s="1"/>
  <c r="I226" i="28"/>
  <c r="J211" i="28"/>
  <c r="L211" i="28" s="1"/>
  <c r="T211" i="28" s="1"/>
  <c r="I211" i="28"/>
  <c r="AT365" i="7"/>
  <c r="AS366" i="7"/>
  <c r="J213" i="28" l="1"/>
  <c r="L213" i="28" s="1"/>
  <c r="T213" i="28" s="1"/>
  <c r="I213" i="28"/>
  <c r="I228" i="28"/>
  <c r="J228" i="28"/>
  <c r="L228" i="28" s="1"/>
  <c r="T228" i="28" s="1"/>
  <c r="AT366" i="7"/>
  <c r="AS367" i="7"/>
  <c r="I230" i="28" l="1"/>
  <c r="J230" i="28"/>
  <c r="L230" i="28" s="1"/>
  <c r="T230" i="28" s="1"/>
  <c r="I215" i="28"/>
  <c r="J215" i="28"/>
  <c r="L215" i="28" s="1"/>
  <c r="T215" i="28" s="1"/>
  <c r="AT367" i="7"/>
  <c r="AS368" i="7"/>
  <c r="I217" i="28" l="1"/>
  <c r="J217" i="28"/>
  <c r="L217" i="28" s="1"/>
  <c r="T217" i="28" s="1"/>
  <c r="J232" i="28"/>
  <c r="L232" i="28" s="1"/>
  <c r="T232" i="28" s="1"/>
  <c r="I232" i="28"/>
  <c r="AT368" i="7"/>
  <c r="AS369" i="7"/>
  <c r="J234" i="28" l="1"/>
  <c r="L234" i="28" s="1"/>
  <c r="T234" i="28" s="1"/>
  <c r="I234" i="28"/>
  <c r="I219" i="28"/>
  <c r="J219" i="28"/>
  <c r="L219" i="28" s="1"/>
  <c r="T219" i="28" s="1"/>
  <c r="AT369" i="7"/>
  <c r="AS370" i="7"/>
  <c r="J221" i="28" l="1"/>
  <c r="L221" i="28" s="1"/>
  <c r="T221" i="28" s="1"/>
  <c r="I221" i="28"/>
  <c r="I236" i="28"/>
  <c r="J236" i="28"/>
  <c r="L236" i="28" s="1"/>
  <c r="T236" i="28" s="1"/>
  <c r="AT370" i="7"/>
  <c r="AS371" i="7"/>
  <c r="I238" i="28" l="1"/>
  <c r="J238" i="28"/>
  <c r="L238" i="28" s="1"/>
  <c r="T238" i="28" s="1"/>
  <c r="I223" i="28"/>
  <c r="J223" i="28"/>
  <c r="L223" i="28" s="1"/>
  <c r="T223" i="28" s="1"/>
  <c r="AT371" i="7"/>
  <c r="AS372" i="7"/>
  <c r="I225" i="28" l="1"/>
  <c r="J225" i="28"/>
  <c r="L225" i="28" s="1"/>
  <c r="T225" i="28" s="1"/>
  <c r="I240" i="28"/>
  <c r="J240" i="28"/>
  <c r="L240" i="28" s="1"/>
  <c r="T240" i="28" s="1"/>
  <c r="AT372" i="7"/>
  <c r="AS373" i="7"/>
  <c r="I242" i="28" l="1"/>
  <c r="J242" i="28"/>
  <c r="L242" i="28" s="1"/>
  <c r="T242" i="28" s="1"/>
  <c r="I227" i="28"/>
  <c r="J227" i="28"/>
  <c r="L227" i="28" s="1"/>
  <c r="T227" i="28" s="1"/>
  <c r="AT373" i="7"/>
  <c r="AS374" i="7"/>
  <c r="I229" i="28" l="1"/>
  <c r="J229" i="28"/>
  <c r="L229" i="28" s="1"/>
  <c r="T229" i="28" s="1"/>
  <c r="I244" i="28"/>
  <c r="J244" i="28"/>
  <c r="L244" i="28" s="1"/>
  <c r="T244" i="28" s="1"/>
  <c r="AT374" i="7"/>
  <c r="AS375" i="7"/>
  <c r="I246" i="28" l="1"/>
  <c r="J246" i="28"/>
  <c r="L246" i="28" s="1"/>
  <c r="T246" i="28" s="1"/>
  <c r="I231" i="28"/>
  <c r="J231" i="28"/>
  <c r="L231" i="28" s="1"/>
  <c r="T231" i="28" s="1"/>
  <c r="AT375" i="7"/>
  <c r="AS376" i="7"/>
  <c r="I233" i="28" l="1"/>
  <c r="J233" i="28"/>
  <c r="L233" i="28" s="1"/>
  <c r="T233" i="28" s="1"/>
  <c r="I248" i="28"/>
  <c r="J248" i="28"/>
  <c r="L248" i="28" s="1"/>
  <c r="T248" i="28" s="1"/>
  <c r="AT376" i="7"/>
  <c r="AS377" i="7"/>
  <c r="I250" i="28" l="1"/>
  <c r="J250" i="28"/>
  <c r="L250" i="28" s="1"/>
  <c r="T250" i="28" s="1"/>
  <c r="J235" i="28"/>
  <c r="L235" i="28" s="1"/>
  <c r="T235" i="28" s="1"/>
  <c r="I235" i="28"/>
  <c r="AT377" i="7"/>
  <c r="AS378" i="7"/>
  <c r="J237" i="28" l="1"/>
  <c r="L237" i="28" s="1"/>
  <c r="T237" i="28" s="1"/>
  <c r="I237" i="28"/>
  <c r="J252" i="28"/>
  <c r="L252" i="28" s="1"/>
  <c r="T252" i="28" s="1"/>
  <c r="I252" i="28"/>
  <c r="AT378" i="7"/>
  <c r="AS379" i="7"/>
  <c r="I254" i="28" l="1"/>
  <c r="J254" i="28"/>
  <c r="L254" i="28" s="1"/>
  <c r="T254" i="28" s="1"/>
  <c r="I239" i="28"/>
  <c r="J239" i="28"/>
  <c r="L239" i="28" s="1"/>
  <c r="T239" i="28" s="1"/>
  <c r="AT379" i="7"/>
  <c r="AS380" i="7"/>
  <c r="J241" i="28" l="1"/>
  <c r="L241" i="28" s="1"/>
  <c r="T241" i="28" s="1"/>
  <c r="I241" i="28"/>
  <c r="I256" i="28"/>
  <c r="J256" i="28"/>
  <c r="L256" i="28" s="1"/>
  <c r="T256" i="28" s="1"/>
  <c r="AT380" i="7"/>
  <c r="AS381" i="7"/>
  <c r="I258" i="28" l="1"/>
  <c r="J258" i="28"/>
  <c r="L258" i="28" s="1"/>
  <c r="T258" i="28" s="1"/>
  <c r="I243" i="28"/>
  <c r="J243" i="28"/>
  <c r="L243" i="28" s="1"/>
  <c r="T243" i="28" s="1"/>
  <c r="AT381" i="7"/>
  <c r="AS382" i="7"/>
  <c r="J245" i="28" l="1"/>
  <c r="L245" i="28" s="1"/>
  <c r="T245" i="28" s="1"/>
  <c r="I245" i="28"/>
  <c r="J260" i="28"/>
  <c r="L260" i="28" s="1"/>
  <c r="T260" i="28" s="1"/>
  <c r="I260" i="28"/>
  <c r="AT382" i="7"/>
  <c r="AS383" i="7"/>
  <c r="J262" i="28" l="1"/>
  <c r="L262" i="28" s="1"/>
  <c r="T262" i="28" s="1"/>
  <c r="I262" i="28"/>
  <c r="I247" i="28"/>
  <c r="J247" i="28"/>
  <c r="L247" i="28" s="1"/>
  <c r="T247" i="28" s="1"/>
  <c r="AT383" i="7"/>
  <c r="AS384" i="7"/>
  <c r="I249" i="28" l="1"/>
  <c r="J249" i="28"/>
  <c r="L249" i="28" s="1"/>
  <c r="T249" i="28" s="1"/>
  <c r="J264" i="28"/>
  <c r="L264" i="28" s="1"/>
  <c r="T264" i="28" s="1"/>
  <c r="I264" i="28"/>
  <c r="AT384" i="7"/>
  <c r="AS385" i="7"/>
  <c r="I266" i="28" l="1"/>
  <c r="J266" i="28"/>
  <c r="L266" i="28" s="1"/>
  <c r="T266" i="28" s="1"/>
  <c r="J251" i="28"/>
  <c r="L251" i="28" s="1"/>
  <c r="T251" i="28" s="1"/>
  <c r="I251" i="28"/>
  <c r="AT385" i="7"/>
  <c r="AS386" i="7"/>
  <c r="I253" i="28" l="1"/>
  <c r="J253" i="28"/>
  <c r="L253" i="28" s="1"/>
  <c r="T253" i="28" s="1"/>
  <c r="I268" i="28"/>
  <c r="J268" i="28"/>
  <c r="L268" i="28" s="1"/>
  <c r="T268" i="28" s="1"/>
  <c r="AT386" i="7"/>
  <c r="AS387" i="7"/>
  <c r="J270" i="28" l="1"/>
  <c r="L270" i="28" s="1"/>
  <c r="T270" i="28" s="1"/>
  <c r="I270" i="28"/>
  <c r="I255" i="28"/>
  <c r="J255" i="28"/>
  <c r="L255" i="28" s="1"/>
  <c r="T255" i="28" s="1"/>
  <c r="AT387" i="7"/>
  <c r="AS388" i="7"/>
  <c r="I257" i="28" l="1"/>
  <c r="J257" i="28"/>
  <c r="L257" i="28" s="1"/>
  <c r="T257" i="28" s="1"/>
  <c r="J272" i="28"/>
  <c r="L272" i="28" s="1"/>
  <c r="T272" i="28" s="1"/>
  <c r="I272" i="28"/>
  <c r="AT388" i="7"/>
  <c r="AS389" i="7"/>
  <c r="J274" i="28" l="1"/>
  <c r="L274" i="28" s="1"/>
  <c r="T274" i="28" s="1"/>
  <c r="I274" i="28"/>
  <c r="I259" i="28"/>
  <c r="J259" i="28"/>
  <c r="L259" i="28" s="1"/>
  <c r="T259" i="28" s="1"/>
  <c r="AT389" i="7"/>
  <c r="AS390" i="7"/>
  <c r="I261" i="28" l="1"/>
  <c r="J261" i="28"/>
  <c r="L261" i="28" s="1"/>
  <c r="T261" i="28" s="1"/>
  <c r="I276" i="28"/>
  <c r="J276" i="28"/>
  <c r="L276" i="28" s="1"/>
  <c r="T276" i="28" s="1"/>
  <c r="AT390" i="7"/>
  <c r="AS391" i="7"/>
  <c r="J278" i="28" l="1"/>
  <c r="L278" i="28" s="1"/>
  <c r="T278" i="28" s="1"/>
  <c r="I278" i="28"/>
  <c r="J263" i="28"/>
  <c r="L263" i="28" s="1"/>
  <c r="T263" i="28" s="1"/>
  <c r="I263" i="28"/>
  <c r="AT391" i="7"/>
  <c r="AS392" i="7"/>
  <c r="J265" i="28" l="1"/>
  <c r="L265" i="28" s="1"/>
  <c r="T265" i="28" s="1"/>
  <c r="I265" i="28"/>
  <c r="I280" i="28"/>
  <c r="J280" i="28"/>
  <c r="L280" i="28" s="1"/>
  <c r="T280" i="28" s="1"/>
  <c r="AT392" i="7"/>
  <c r="AS393" i="7"/>
  <c r="I282" i="28" l="1"/>
  <c r="J282" i="28"/>
  <c r="L282" i="28" s="1"/>
  <c r="T282" i="28" s="1"/>
  <c r="J267" i="28"/>
  <c r="L267" i="28" s="1"/>
  <c r="T267" i="28" s="1"/>
  <c r="I267" i="28"/>
  <c r="AT393" i="7"/>
  <c r="AS394" i="7"/>
  <c r="J269" i="28" l="1"/>
  <c r="L269" i="28" s="1"/>
  <c r="T269" i="28" s="1"/>
  <c r="I269" i="28"/>
  <c r="J284" i="28"/>
  <c r="L284" i="28" s="1"/>
  <c r="T284" i="28" s="1"/>
  <c r="I284" i="28"/>
  <c r="AT394" i="7"/>
  <c r="AS395" i="7"/>
  <c r="J286" i="28" l="1"/>
  <c r="L286" i="28" s="1"/>
  <c r="T286" i="28" s="1"/>
  <c r="I286" i="28"/>
  <c r="J271" i="28"/>
  <c r="L271" i="28" s="1"/>
  <c r="T271" i="28" s="1"/>
  <c r="I271" i="28"/>
  <c r="AT395" i="7"/>
  <c r="AS396" i="7"/>
  <c r="J273" i="28" l="1"/>
  <c r="L273" i="28" s="1"/>
  <c r="T273" i="28" s="1"/>
  <c r="I273" i="28"/>
  <c r="J288" i="28"/>
  <c r="L288" i="28" s="1"/>
  <c r="T288" i="28" s="1"/>
  <c r="I288" i="28"/>
  <c r="AT396" i="7"/>
  <c r="AS397" i="7"/>
  <c r="J275" i="28" l="1"/>
  <c r="L275" i="28" s="1"/>
  <c r="T275" i="28" s="1"/>
  <c r="I275" i="28"/>
  <c r="J290" i="28"/>
  <c r="L290" i="28" s="1"/>
  <c r="T290" i="28" s="1"/>
  <c r="I290" i="28"/>
  <c r="AT397" i="7"/>
  <c r="AS398" i="7"/>
  <c r="J292" i="28" l="1"/>
  <c r="L292" i="28" s="1"/>
  <c r="T292" i="28" s="1"/>
  <c r="I292" i="28"/>
  <c r="I277" i="28"/>
  <c r="J277" i="28"/>
  <c r="L277" i="28" s="1"/>
  <c r="T277" i="28" s="1"/>
  <c r="AT398" i="7"/>
  <c r="AS399" i="7"/>
  <c r="I279" i="28" l="1"/>
  <c r="J279" i="28"/>
  <c r="L279" i="28" s="1"/>
  <c r="T279" i="28" s="1"/>
  <c r="I294" i="28"/>
  <c r="J294" i="28"/>
  <c r="L294" i="28" s="1"/>
  <c r="T294" i="28" s="1"/>
  <c r="AT399" i="7"/>
  <c r="AS400" i="7"/>
  <c r="I296" i="28" l="1"/>
  <c r="J296" i="28"/>
  <c r="L296" i="28" s="1"/>
  <c r="T296" i="28" s="1"/>
  <c r="I281" i="28"/>
  <c r="J281" i="28"/>
  <c r="L281" i="28" s="1"/>
  <c r="T281" i="28" s="1"/>
  <c r="AT400" i="7"/>
  <c r="AS401" i="7"/>
  <c r="J283" i="28" l="1"/>
  <c r="L283" i="28" s="1"/>
  <c r="T283" i="28" s="1"/>
  <c r="I283" i="28"/>
  <c r="I298" i="28"/>
  <c r="J298" i="28"/>
  <c r="L298" i="28" s="1"/>
  <c r="T298" i="28" s="1"/>
  <c r="AT401" i="7"/>
  <c r="AS402" i="7"/>
  <c r="J300" i="28" l="1"/>
  <c r="L300" i="28" s="1"/>
  <c r="T300" i="28" s="1"/>
  <c r="I300" i="28"/>
  <c r="I285" i="28"/>
  <c r="J285" i="28"/>
  <c r="L285" i="28" s="1"/>
  <c r="T285" i="28" s="1"/>
  <c r="AT402" i="7"/>
  <c r="AS403" i="7"/>
  <c r="J287" i="28" l="1"/>
  <c r="L287" i="28" s="1"/>
  <c r="T287" i="28" s="1"/>
  <c r="I287" i="28"/>
  <c r="J302" i="28"/>
  <c r="L302" i="28" s="1"/>
  <c r="T302" i="28" s="1"/>
  <c r="I302" i="28"/>
  <c r="AT403" i="7"/>
  <c r="AS404" i="7"/>
  <c r="J304" i="28" l="1"/>
  <c r="L304" i="28" s="1"/>
  <c r="T304" i="28" s="1"/>
  <c r="I304" i="28"/>
  <c r="J289" i="28"/>
  <c r="L289" i="28" s="1"/>
  <c r="T289" i="28" s="1"/>
  <c r="I289" i="28"/>
  <c r="AT404" i="7"/>
  <c r="AS405" i="7"/>
  <c r="J291" i="28" l="1"/>
  <c r="L291" i="28" s="1"/>
  <c r="T291" i="28" s="1"/>
  <c r="I291" i="28"/>
  <c r="J306" i="28"/>
  <c r="L306" i="28" s="1"/>
  <c r="T306" i="28" s="1"/>
  <c r="I306" i="28"/>
  <c r="AT405" i="7"/>
  <c r="AS406" i="7"/>
  <c r="I308" i="28" l="1"/>
  <c r="J308" i="28"/>
  <c r="L308" i="28" s="1"/>
  <c r="T308" i="28" s="1"/>
  <c r="J293" i="28"/>
  <c r="L293" i="28" s="1"/>
  <c r="T293" i="28" s="1"/>
  <c r="I293" i="28"/>
  <c r="AT406" i="7"/>
  <c r="AS407" i="7"/>
  <c r="I295" i="28" l="1"/>
  <c r="J295" i="28"/>
  <c r="L295" i="28" s="1"/>
  <c r="T295" i="28" s="1"/>
  <c r="J310" i="28"/>
  <c r="L310" i="28" s="1"/>
  <c r="T310" i="28" s="1"/>
  <c r="I310" i="28"/>
  <c r="AT407" i="7"/>
  <c r="AS408" i="7"/>
  <c r="J312" i="28" l="1"/>
  <c r="L312" i="28" s="1"/>
  <c r="T312" i="28" s="1"/>
  <c r="I312" i="28"/>
  <c r="I297" i="28"/>
  <c r="J297" i="28"/>
  <c r="L297" i="28" s="1"/>
  <c r="T297" i="28" s="1"/>
  <c r="AT408" i="7"/>
  <c r="AS409" i="7"/>
  <c r="J299" i="28" l="1"/>
  <c r="L299" i="28" s="1"/>
  <c r="T299" i="28" s="1"/>
  <c r="I299" i="28"/>
  <c r="J314" i="28"/>
  <c r="L314" i="28" s="1"/>
  <c r="T314" i="28" s="1"/>
  <c r="I314" i="28"/>
  <c r="AT409" i="7"/>
  <c r="AS410" i="7"/>
  <c r="I316" i="28" l="1"/>
  <c r="J316" i="28"/>
  <c r="L316" i="28" s="1"/>
  <c r="T316" i="28" s="1"/>
  <c r="J301" i="28"/>
  <c r="L301" i="28" s="1"/>
  <c r="T301" i="28" s="1"/>
  <c r="I301" i="28"/>
  <c r="AT410" i="7"/>
  <c r="AS411" i="7"/>
  <c r="J303" i="28" l="1"/>
  <c r="L303" i="28" s="1"/>
  <c r="T303" i="28" s="1"/>
  <c r="I303" i="28"/>
  <c r="J318" i="28"/>
  <c r="L318" i="28" s="1"/>
  <c r="T318" i="28" s="1"/>
  <c r="I318" i="28"/>
  <c r="AT411" i="7"/>
  <c r="AS412" i="7"/>
  <c r="J320" i="28" l="1"/>
  <c r="L320" i="28" s="1"/>
  <c r="T320" i="28" s="1"/>
  <c r="I320" i="28"/>
  <c r="I305" i="28"/>
  <c r="J305" i="28"/>
  <c r="L305" i="28" s="1"/>
  <c r="T305" i="28" s="1"/>
  <c r="AT412" i="7"/>
  <c r="AS413" i="7"/>
  <c r="J307" i="28" l="1"/>
  <c r="L307" i="28" s="1"/>
  <c r="T307" i="28" s="1"/>
  <c r="I307" i="28"/>
  <c r="J322" i="28"/>
  <c r="L322" i="28" s="1"/>
  <c r="T322" i="28" s="1"/>
  <c r="I322" i="28"/>
  <c r="AT413" i="7"/>
  <c r="AS414" i="7"/>
  <c r="I324" i="28" l="1"/>
  <c r="J324" i="28"/>
  <c r="L324" i="28" s="1"/>
  <c r="T324" i="28" s="1"/>
  <c r="I309" i="28"/>
  <c r="J309" i="28"/>
  <c r="L309" i="28" s="1"/>
  <c r="T309" i="28" s="1"/>
  <c r="AT414" i="7"/>
  <c r="AS415" i="7"/>
  <c r="I311" i="28" l="1"/>
  <c r="J311" i="28"/>
  <c r="L311" i="28" s="1"/>
  <c r="T311" i="28" s="1"/>
  <c r="I326" i="28"/>
  <c r="J326" i="28"/>
  <c r="L326" i="28" s="1"/>
  <c r="T326" i="28" s="1"/>
  <c r="AT415" i="7"/>
  <c r="AS416" i="7"/>
  <c r="J328" i="28" l="1"/>
  <c r="L328" i="28" s="1"/>
  <c r="T328" i="28" s="1"/>
  <c r="I328" i="28"/>
  <c r="J313" i="28"/>
  <c r="L313" i="28" s="1"/>
  <c r="T313" i="28" s="1"/>
  <c r="I313" i="28"/>
  <c r="AT416" i="7"/>
  <c r="AS417" i="7"/>
  <c r="J315" i="28" l="1"/>
  <c r="L315" i="28" s="1"/>
  <c r="T315" i="28" s="1"/>
  <c r="I315" i="28"/>
  <c r="I330" i="28"/>
  <c r="J330" i="28"/>
  <c r="L330" i="28" s="1"/>
  <c r="T330" i="28" s="1"/>
  <c r="AT417" i="7"/>
  <c r="AS418" i="7"/>
  <c r="I332" i="28" l="1"/>
  <c r="J332" i="28"/>
  <c r="L332" i="28" s="1"/>
  <c r="T332" i="28" s="1"/>
  <c r="J317" i="28"/>
  <c r="L317" i="28" s="1"/>
  <c r="T317" i="28" s="1"/>
  <c r="I317" i="28"/>
  <c r="AT418" i="7"/>
  <c r="AS419" i="7"/>
  <c r="I319" i="28" l="1"/>
  <c r="J319" i="28"/>
  <c r="L319" i="28" s="1"/>
  <c r="T319" i="28" s="1"/>
  <c r="I334" i="28"/>
  <c r="J334" i="28"/>
  <c r="L334" i="28" s="1"/>
  <c r="T334" i="28" s="1"/>
  <c r="AT419" i="7"/>
  <c r="AS420" i="7"/>
  <c r="J336" i="28" l="1"/>
  <c r="L336" i="28" s="1"/>
  <c r="T336" i="28" s="1"/>
  <c r="I336" i="28"/>
  <c r="I321" i="28"/>
  <c r="J321" i="28"/>
  <c r="L321" i="28" s="1"/>
  <c r="T321" i="28" s="1"/>
  <c r="AT420" i="7"/>
  <c r="AS421" i="7"/>
  <c r="I323" i="28" l="1"/>
  <c r="J323" i="28"/>
  <c r="L323" i="28" s="1"/>
  <c r="T323" i="28" s="1"/>
  <c r="J338" i="28"/>
  <c r="L338" i="28" s="1"/>
  <c r="T338" i="28" s="1"/>
  <c r="I338" i="28"/>
  <c r="AT421" i="7"/>
  <c r="AS422" i="7"/>
  <c r="I340" i="28" l="1"/>
  <c r="J340" i="28"/>
  <c r="L340" i="28" s="1"/>
  <c r="T340" i="28" s="1"/>
  <c r="I325" i="28"/>
  <c r="J325" i="28"/>
  <c r="L325" i="28" s="1"/>
  <c r="T325" i="28" s="1"/>
  <c r="AT422" i="7"/>
  <c r="AS423" i="7"/>
  <c r="I327" i="28" l="1"/>
  <c r="J327" i="28"/>
  <c r="L327" i="28" s="1"/>
  <c r="T327" i="28" s="1"/>
  <c r="I342" i="28"/>
  <c r="J342" i="28"/>
  <c r="L342" i="28" s="1"/>
  <c r="T342" i="28" s="1"/>
  <c r="AT423" i="7"/>
  <c r="AS424" i="7"/>
  <c r="J344" i="28" l="1"/>
  <c r="L344" i="28" s="1"/>
  <c r="T344" i="28" s="1"/>
  <c r="I344" i="28"/>
  <c r="J329" i="28"/>
  <c r="L329" i="28" s="1"/>
  <c r="T329" i="28" s="1"/>
  <c r="I329" i="28"/>
  <c r="AT424" i="7"/>
  <c r="AS425" i="7"/>
  <c r="I331" i="28" l="1"/>
  <c r="J331" i="28"/>
  <c r="L331" i="28" s="1"/>
  <c r="T331" i="28" s="1"/>
  <c r="I346" i="28"/>
  <c r="J346" i="28"/>
  <c r="L346" i="28" s="1"/>
  <c r="T346" i="28" s="1"/>
  <c r="AT425" i="7"/>
  <c r="AS426" i="7"/>
  <c r="J348" i="28" l="1"/>
  <c r="L348" i="28" s="1"/>
  <c r="T348" i="28" s="1"/>
  <c r="I348" i="28"/>
  <c r="I333" i="28"/>
  <c r="J333" i="28"/>
  <c r="L333" i="28" s="1"/>
  <c r="T333" i="28" s="1"/>
  <c r="AT426" i="7"/>
  <c r="AS427" i="7"/>
  <c r="I335" i="28" l="1"/>
  <c r="J335" i="28"/>
  <c r="L335" i="28" s="1"/>
  <c r="T335" i="28" s="1"/>
  <c r="J350" i="28"/>
  <c r="L350" i="28" s="1"/>
  <c r="T350" i="28" s="1"/>
  <c r="I350" i="28"/>
  <c r="AT427" i="7"/>
  <c r="AS428" i="7"/>
  <c r="I352" i="28" l="1"/>
  <c r="J352" i="28"/>
  <c r="L352" i="28" s="1"/>
  <c r="T352" i="28" s="1"/>
  <c r="I337" i="28"/>
  <c r="J337" i="28"/>
  <c r="L337" i="28" s="1"/>
  <c r="T337" i="28" s="1"/>
  <c r="AT428" i="7"/>
  <c r="AS429" i="7"/>
  <c r="I339" i="28" l="1"/>
  <c r="J339" i="28"/>
  <c r="L339" i="28" s="1"/>
  <c r="T339" i="28" s="1"/>
  <c r="J354" i="28"/>
  <c r="L354" i="28" s="1"/>
  <c r="T354" i="28" s="1"/>
  <c r="I354" i="28"/>
  <c r="AT429" i="7"/>
  <c r="AS430" i="7"/>
  <c r="J356" i="28" l="1"/>
  <c r="L356" i="28" s="1"/>
  <c r="T356" i="28" s="1"/>
  <c r="I356" i="28"/>
  <c r="I341" i="28"/>
  <c r="J341" i="28"/>
  <c r="L341" i="28" s="1"/>
  <c r="T341" i="28" s="1"/>
  <c r="AT430" i="7"/>
  <c r="AS431" i="7"/>
  <c r="J343" i="28" l="1"/>
  <c r="L343" i="28" s="1"/>
  <c r="T343" i="28" s="1"/>
  <c r="I343" i="28"/>
  <c r="J358" i="28"/>
  <c r="L358" i="28" s="1"/>
  <c r="T358" i="28" s="1"/>
  <c r="I358" i="28"/>
  <c r="AT431" i="7"/>
  <c r="AS432" i="7"/>
  <c r="I360" i="28" l="1"/>
  <c r="J360" i="28"/>
  <c r="L360" i="28" s="1"/>
  <c r="T360" i="28" s="1"/>
  <c r="I345" i="28"/>
  <c r="J345" i="28"/>
  <c r="L345" i="28" s="1"/>
  <c r="T345" i="28" s="1"/>
  <c r="AT432" i="7"/>
  <c r="AS433" i="7"/>
  <c r="J347" i="28" l="1"/>
  <c r="L347" i="28" s="1"/>
  <c r="T347" i="28" s="1"/>
  <c r="I347" i="28"/>
  <c r="J362" i="28"/>
  <c r="L362" i="28" s="1"/>
  <c r="T362" i="28" s="1"/>
  <c r="I362" i="28"/>
  <c r="AT433" i="7"/>
  <c r="AS434" i="7"/>
  <c r="I364" i="28" l="1"/>
  <c r="J364" i="28"/>
  <c r="L364" i="28" s="1"/>
  <c r="T364" i="28" s="1"/>
  <c r="J349" i="28"/>
  <c r="L349" i="28" s="1"/>
  <c r="T349" i="28" s="1"/>
  <c r="I349" i="28"/>
  <c r="AT434" i="7"/>
  <c r="AS435" i="7"/>
  <c r="I351" i="28" l="1"/>
  <c r="J351" i="28"/>
  <c r="L351" i="28" s="1"/>
  <c r="T351" i="28" s="1"/>
  <c r="J366" i="28"/>
  <c r="L366" i="28" s="1"/>
  <c r="T366" i="28" s="1"/>
  <c r="I366" i="28"/>
  <c r="AT435" i="7"/>
  <c r="AS436" i="7"/>
  <c r="I368" i="28" l="1"/>
  <c r="J368" i="28"/>
  <c r="L368" i="28" s="1"/>
  <c r="T368" i="28" s="1"/>
  <c r="J353" i="28"/>
  <c r="L353" i="28" s="1"/>
  <c r="T353" i="28" s="1"/>
  <c r="I353" i="28"/>
  <c r="AT436" i="7"/>
  <c r="AS437" i="7"/>
  <c r="I355" i="28" l="1"/>
  <c r="J355" i="28"/>
  <c r="L355" i="28" s="1"/>
  <c r="T355" i="28" s="1"/>
  <c r="I370" i="28"/>
  <c r="J370" i="28"/>
  <c r="L370" i="28" s="1"/>
  <c r="T370" i="28" s="1"/>
  <c r="AT437" i="7"/>
  <c r="AS438" i="7"/>
  <c r="I372" i="28" l="1"/>
  <c r="J372" i="28"/>
  <c r="L372" i="28" s="1"/>
  <c r="T372" i="28" s="1"/>
  <c r="J357" i="28"/>
  <c r="L357" i="28" s="1"/>
  <c r="T357" i="28" s="1"/>
  <c r="I357" i="28"/>
  <c r="AT438" i="7"/>
  <c r="AS439" i="7"/>
  <c r="I359" i="28" l="1"/>
  <c r="J359" i="28"/>
  <c r="L359" i="28" s="1"/>
  <c r="T359" i="28" s="1"/>
  <c r="I374" i="28"/>
  <c r="J374" i="28"/>
  <c r="L374" i="28" s="1"/>
  <c r="T374" i="28" s="1"/>
  <c r="AT439" i="7"/>
  <c r="AS440" i="7"/>
  <c r="J376" i="28" l="1"/>
  <c r="L376" i="28" s="1"/>
  <c r="T376" i="28" s="1"/>
  <c r="I376" i="28"/>
  <c r="I361" i="28"/>
  <c r="J361" i="28"/>
  <c r="L361" i="28" s="1"/>
  <c r="T361" i="28" s="1"/>
  <c r="AT440" i="7"/>
  <c r="AS441" i="7"/>
  <c r="I363" i="28" l="1"/>
  <c r="J363" i="28"/>
  <c r="L363" i="28" s="1"/>
  <c r="T363" i="28" s="1"/>
  <c r="I378" i="28"/>
  <c r="J378" i="28"/>
  <c r="L378" i="28" s="1"/>
  <c r="T378" i="28" s="1"/>
  <c r="AT441" i="7"/>
  <c r="AS442" i="7"/>
  <c r="I380" i="28" l="1"/>
  <c r="J380" i="28"/>
  <c r="L380" i="28" s="1"/>
  <c r="T380" i="28" s="1"/>
  <c r="J365" i="28"/>
  <c r="L365" i="28" s="1"/>
  <c r="T365" i="28" s="1"/>
  <c r="I365" i="28"/>
  <c r="AT442" i="7"/>
  <c r="AS443" i="7"/>
  <c r="I367" i="28" l="1"/>
  <c r="J367" i="28"/>
  <c r="L367" i="28" s="1"/>
  <c r="T367" i="28" s="1"/>
  <c r="J382" i="28"/>
  <c r="L382" i="28" s="1"/>
  <c r="T382" i="28" s="1"/>
  <c r="I382" i="28"/>
  <c r="AT443" i="7"/>
  <c r="AS444" i="7"/>
  <c r="J384" i="28" l="1"/>
  <c r="L384" i="28" s="1"/>
  <c r="T384" i="28" s="1"/>
  <c r="I384" i="28"/>
  <c r="I369" i="28"/>
  <c r="J369" i="28"/>
  <c r="L369" i="28" s="1"/>
  <c r="T369" i="28" s="1"/>
  <c r="AT444" i="7"/>
  <c r="AS445" i="7"/>
  <c r="I371" i="28" l="1"/>
  <c r="J371" i="28"/>
  <c r="L371" i="28" s="1"/>
  <c r="T371" i="28" s="1"/>
  <c r="I386" i="28"/>
  <c r="J386" i="28"/>
  <c r="L386" i="28" s="1"/>
  <c r="T386" i="28" s="1"/>
  <c r="AT445" i="7"/>
  <c r="AS446" i="7"/>
  <c r="I388" i="28" l="1"/>
  <c r="J388" i="28"/>
  <c r="L388" i="28" s="1"/>
  <c r="T388" i="28" s="1"/>
  <c r="I373" i="28"/>
  <c r="J373" i="28"/>
  <c r="L373" i="28" s="1"/>
  <c r="T373" i="28" s="1"/>
  <c r="AT446" i="7"/>
  <c r="AS447" i="7"/>
  <c r="I375" i="28" l="1"/>
  <c r="J375" i="28"/>
  <c r="L375" i="28" s="1"/>
  <c r="T375" i="28" s="1"/>
  <c r="J390" i="28"/>
  <c r="L390" i="28" s="1"/>
  <c r="T390" i="28" s="1"/>
  <c r="I390" i="28"/>
  <c r="AT447" i="7"/>
  <c r="AS448" i="7"/>
  <c r="J392" i="28" l="1"/>
  <c r="L392" i="28" s="1"/>
  <c r="T392" i="28" s="1"/>
  <c r="I392" i="28"/>
  <c r="J377" i="28"/>
  <c r="L377" i="28" s="1"/>
  <c r="T377" i="28" s="1"/>
  <c r="I377" i="28"/>
  <c r="AT448" i="7"/>
  <c r="AS449" i="7"/>
  <c r="I379" i="28" l="1"/>
  <c r="J379" i="28"/>
  <c r="L379" i="28" s="1"/>
  <c r="T379" i="28" s="1"/>
  <c r="I394" i="28"/>
  <c r="J394" i="28"/>
  <c r="L394" i="28" s="1"/>
  <c r="T394" i="28" s="1"/>
  <c r="AT449" i="7"/>
  <c r="AS450" i="7"/>
  <c r="J396" i="28" l="1"/>
  <c r="L396" i="28" s="1"/>
  <c r="T396" i="28" s="1"/>
  <c r="I396" i="28"/>
  <c r="I381" i="28"/>
  <c r="J381" i="28"/>
  <c r="L381" i="28" s="1"/>
  <c r="T381" i="28" s="1"/>
  <c r="AT450" i="7"/>
  <c r="AS451" i="7"/>
  <c r="J383" i="28" l="1"/>
  <c r="L383" i="28" s="1"/>
  <c r="T383" i="28" s="1"/>
  <c r="I383" i="28"/>
  <c r="J398" i="28"/>
  <c r="L398" i="28" s="1"/>
  <c r="T398" i="28" s="1"/>
  <c r="I398" i="28"/>
  <c r="AT451" i="7"/>
  <c r="AS452" i="7"/>
  <c r="I400" i="28" l="1"/>
  <c r="J400" i="28"/>
  <c r="L400" i="28" s="1"/>
  <c r="T400" i="28" s="1"/>
  <c r="J385" i="28"/>
  <c r="L385" i="28" s="1"/>
  <c r="T385" i="28" s="1"/>
  <c r="I385" i="28"/>
  <c r="AT452" i="7"/>
  <c r="AS453" i="7"/>
  <c r="I387" i="28" l="1"/>
  <c r="J387" i="28"/>
  <c r="L387" i="28" s="1"/>
  <c r="T387" i="28" s="1"/>
  <c r="J402" i="28"/>
  <c r="L402" i="28" s="1"/>
  <c r="T402" i="28" s="1"/>
  <c r="I402" i="28"/>
  <c r="AT453" i="7"/>
  <c r="AS454" i="7"/>
  <c r="J404" i="28" l="1"/>
  <c r="L404" i="28" s="1"/>
  <c r="T404" i="28" s="1"/>
  <c r="I404" i="28"/>
  <c r="J389" i="28"/>
  <c r="L389" i="28" s="1"/>
  <c r="T389" i="28" s="1"/>
  <c r="I389" i="28"/>
  <c r="AT454" i="7"/>
  <c r="AS455" i="7"/>
  <c r="J391" i="28" l="1"/>
  <c r="L391" i="28" s="1"/>
  <c r="T391" i="28" s="1"/>
  <c r="I391" i="28"/>
  <c r="I406" i="28"/>
  <c r="J406" i="28"/>
  <c r="L406" i="28" s="1"/>
  <c r="T406" i="28" s="1"/>
  <c r="AT455" i="7"/>
  <c r="AS456" i="7"/>
  <c r="I408" i="28" l="1"/>
  <c r="J408" i="28"/>
  <c r="L408" i="28" s="1"/>
  <c r="T408" i="28" s="1"/>
  <c r="J393" i="28"/>
  <c r="L393" i="28" s="1"/>
  <c r="T393" i="28" s="1"/>
  <c r="I393" i="28"/>
  <c r="AT456" i="7"/>
  <c r="AS457" i="7"/>
  <c r="J395" i="28" l="1"/>
  <c r="L395" i="28" s="1"/>
  <c r="T395" i="28" s="1"/>
  <c r="I395" i="28"/>
  <c r="J410" i="28"/>
  <c r="L410" i="28" s="1"/>
  <c r="T410" i="28" s="1"/>
  <c r="I410" i="28"/>
  <c r="AT457" i="7"/>
  <c r="AS458" i="7"/>
  <c r="J397" i="28" l="1"/>
  <c r="L397" i="28" s="1"/>
  <c r="T397" i="28" s="1"/>
  <c r="I397" i="28"/>
  <c r="I412" i="28"/>
  <c r="J412" i="28"/>
  <c r="L412" i="28" s="1"/>
  <c r="T412" i="28" s="1"/>
  <c r="AT458" i="7"/>
  <c r="AS459" i="7"/>
  <c r="J399" i="28" l="1"/>
  <c r="L399" i="28" s="1"/>
  <c r="T399" i="28" s="1"/>
  <c r="I399" i="28"/>
  <c r="I414" i="28"/>
  <c r="J414" i="28"/>
  <c r="L414" i="28" s="1"/>
  <c r="T414" i="28" s="1"/>
  <c r="AT459" i="7"/>
  <c r="AS460" i="7"/>
  <c r="I401" i="28" l="1"/>
  <c r="J401" i="28"/>
  <c r="L401" i="28" s="1"/>
  <c r="T401" i="28" s="1"/>
  <c r="J416" i="28"/>
  <c r="L416" i="28" s="1"/>
  <c r="T416" i="28" s="1"/>
  <c r="I416" i="28"/>
  <c r="AT460" i="7"/>
  <c r="AS461" i="7"/>
  <c r="I403" i="28" l="1"/>
  <c r="J403" i="28"/>
  <c r="L403" i="28" s="1"/>
  <c r="T403" i="28" s="1"/>
  <c r="I418" i="28"/>
  <c r="J418" i="28"/>
  <c r="L418" i="28" s="1"/>
  <c r="T418" i="28" s="1"/>
  <c r="AT461" i="7"/>
  <c r="AS462" i="7"/>
  <c r="J420" i="28" l="1"/>
  <c r="L420" i="28" s="1"/>
  <c r="T420" i="28" s="1"/>
  <c r="I420" i="28"/>
  <c r="I405" i="28"/>
  <c r="J405" i="28"/>
  <c r="L405" i="28" s="1"/>
  <c r="T405" i="28" s="1"/>
  <c r="AT462" i="7"/>
  <c r="AS463" i="7"/>
  <c r="I407" i="28" l="1"/>
  <c r="J407" i="28"/>
  <c r="L407" i="28" s="1"/>
  <c r="T407" i="28" s="1"/>
  <c r="I422" i="28"/>
  <c r="J422" i="28"/>
  <c r="L422" i="28" s="1"/>
  <c r="T422" i="28" s="1"/>
  <c r="AT463" i="7"/>
  <c r="AS464" i="7"/>
  <c r="J424" i="28" l="1"/>
  <c r="L424" i="28" s="1"/>
  <c r="T424" i="28" s="1"/>
  <c r="I424" i="28"/>
  <c r="J409" i="28"/>
  <c r="L409" i="28" s="1"/>
  <c r="T409" i="28" s="1"/>
  <c r="I409" i="28"/>
  <c r="AT464" i="7"/>
  <c r="AS465" i="7"/>
  <c r="I411" i="28" l="1"/>
  <c r="J411" i="28"/>
  <c r="L411" i="28" s="1"/>
  <c r="T411" i="28" s="1"/>
  <c r="J426" i="28"/>
  <c r="L426" i="28" s="1"/>
  <c r="T426" i="28" s="1"/>
  <c r="I426" i="28"/>
  <c r="AT465" i="7"/>
  <c r="AS466" i="7"/>
  <c r="I428" i="28" l="1"/>
  <c r="J428" i="28"/>
  <c r="L428" i="28" s="1"/>
  <c r="T428" i="28" s="1"/>
  <c r="I413" i="28"/>
  <c r="J413" i="28"/>
  <c r="L413" i="28" s="1"/>
  <c r="T413" i="28" s="1"/>
  <c r="AT466" i="7"/>
  <c r="AS467" i="7"/>
  <c r="J415" i="28" l="1"/>
  <c r="L415" i="28" s="1"/>
  <c r="T415" i="28" s="1"/>
  <c r="I415" i="28"/>
  <c r="I430" i="28"/>
  <c r="J430" i="28"/>
  <c r="L430" i="28" s="1"/>
  <c r="T430" i="28" s="1"/>
  <c r="AT467" i="7"/>
  <c r="AS468" i="7"/>
  <c r="J432" i="28" l="1"/>
  <c r="L432" i="28" s="1"/>
  <c r="T432" i="28" s="1"/>
  <c r="I432" i="28"/>
  <c r="J417" i="28"/>
  <c r="L417" i="28" s="1"/>
  <c r="T417" i="28" s="1"/>
  <c r="I417" i="28"/>
  <c r="AT468" i="7"/>
  <c r="AS469" i="7"/>
  <c r="I419" i="28" l="1"/>
  <c r="J419" i="28"/>
  <c r="L419" i="28" s="1"/>
  <c r="T419" i="28" s="1"/>
  <c r="I434" i="28"/>
  <c r="J434" i="28"/>
  <c r="L434" i="28" s="1"/>
  <c r="T434" i="28" s="1"/>
  <c r="AT469" i="7"/>
  <c r="AS470" i="7"/>
  <c r="J436" i="28" l="1"/>
  <c r="L436" i="28" s="1"/>
  <c r="T436" i="28" s="1"/>
  <c r="I436" i="28"/>
  <c r="I421" i="28"/>
  <c r="J421" i="28"/>
  <c r="L421" i="28" s="1"/>
  <c r="T421" i="28" s="1"/>
  <c r="AT470" i="7"/>
  <c r="AS471" i="7"/>
  <c r="J423" i="28" l="1"/>
  <c r="L423" i="28" s="1"/>
  <c r="T423" i="28" s="1"/>
  <c r="I423" i="28"/>
  <c r="I438" i="28"/>
  <c r="J438" i="28"/>
  <c r="L438" i="28" s="1"/>
  <c r="T438" i="28" s="1"/>
  <c r="AT471" i="7"/>
  <c r="AS472" i="7"/>
  <c r="I440" i="28" l="1"/>
  <c r="J440" i="28"/>
  <c r="L440" i="28" s="1"/>
  <c r="T440" i="28" s="1"/>
  <c r="I425" i="28"/>
  <c r="J425" i="28"/>
  <c r="L425" i="28" s="1"/>
  <c r="T425" i="28" s="1"/>
  <c r="AT472" i="7"/>
  <c r="AS473" i="7"/>
  <c r="I427" i="28" l="1"/>
  <c r="J427" i="28"/>
  <c r="L427" i="28" s="1"/>
  <c r="T427" i="28" s="1"/>
  <c r="J442" i="28"/>
  <c r="L442" i="28" s="1"/>
  <c r="T442" i="28" s="1"/>
  <c r="I442" i="28"/>
  <c r="AT473" i="7"/>
  <c r="AS474" i="7"/>
  <c r="J444" i="28" l="1"/>
  <c r="L444" i="28" s="1"/>
  <c r="T444" i="28" s="1"/>
  <c r="I444" i="28"/>
  <c r="I429" i="28"/>
  <c r="J429" i="28"/>
  <c r="L429" i="28" s="1"/>
  <c r="T429" i="28" s="1"/>
  <c r="AT474" i="7"/>
  <c r="AS475" i="7"/>
  <c r="I431" i="28" l="1"/>
  <c r="J431" i="28"/>
  <c r="L431" i="28" s="1"/>
  <c r="T431" i="28" s="1"/>
  <c r="I446" i="28"/>
  <c r="J446" i="28"/>
  <c r="L446" i="28" s="1"/>
  <c r="T446" i="28" s="1"/>
  <c r="AT475" i="7"/>
  <c r="AS476" i="7"/>
  <c r="J448" i="28" l="1"/>
  <c r="L448" i="28" s="1"/>
  <c r="T448" i="28" s="1"/>
  <c r="I448" i="28"/>
  <c r="J433" i="28"/>
  <c r="L433" i="28" s="1"/>
  <c r="T433" i="28" s="1"/>
  <c r="I433" i="28"/>
  <c r="AT476" i="7"/>
  <c r="AS477" i="7"/>
  <c r="J435" i="28" l="1"/>
  <c r="L435" i="28" s="1"/>
  <c r="T435" i="28" s="1"/>
  <c r="I435" i="28"/>
  <c r="I450" i="28"/>
  <c r="J450" i="28"/>
  <c r="L450" i="28" s="1"/>
  <c r="T450" i="28" s="1"/>
  <c r="AT477" i="7"/>
  <c r="AS478" i="7"/>
  <c r="J452" i="28" l="1"/>
  <c r="L452" i="28" s="1"/>
  <c r="T452" i="28" s="1"/>
  <c r="I452" i="28"/>
  <c r="I437" i="28"/>
  <c r="J437" i="28"/>
  <c r="L437" i="28" s="1"/>
  <c r="T437" i="28" s="1"/>
  <c r="AT478" i="7"/>
  <c r="AS479" i="7"/>
  <c r="I439" i="28" l="1"/>
  <c r="J439" i="28"/>
  <c r="L439" i="28" s="1"/>
  <c r="T439" i="28" s="1"/>
  <c r="J454" i="28"/>
  <c r="L454" i="28" s="1"/>
  <c r="T454" i="28" s="1"/>
  <c r="I454" i="28"/>
  <c r="AT479" i="7"/>
  <c r="AS480" i="7"/>
  <c r="J456" i="28" l="1"/>
  <c r="L456" i="28" s="1"/>
  <c r="T456" i="28" s="1"/>
  <c r="I456" i="28"/>
  <c r="I441" i="28"/>
  <c r="J441" i="28"/>
  <c r="L441" i="28" s="1"/>
  <c r="T441" i="28" s="1"/>
  <c r="AT480" i="7"/>
  <c r="AS481" i="7"/>
  <c r="J443" i="28" l="1"/>
  <c r="L443" i="28" s="1"/>
  <c r="T443" i="28" s="1"/>
  <c r="I443" i="28"/>
  <c r="J458" i="28"/>
  <c r="L458" i="28" s="1"/>
  <c r="T458" i="28" s="1"/>
  <c r="I458" i="28"/>
  <c r="AT481" i="7"/>
  <c r="AS482" i="7"/>
  <c r="I460" i="28" l="1"/>
  <c r="J460" i="28"/>
  <c r="L460" i="28" s="1"/>
  <c r="T460" i="28" s="1"/>
  <c r="I445" i="28"/>
  <c r="J445" i="28"/>
  <c r="L445" i="28" s="1"/>
  <c r="T445" i="28" s="1"/>
  <c r="AT482" i="7"/>
  <c r="AS483" i="7"/>
  <c r="I447" i="28" l="1"/>
  <c r="J447" i="28"/>
  <c r="L447" i="28" s="1"/>
  <c r="T447" i="28" s="1"/>
  <c r="I462" i="28"/>
  <c r="J462" i="28"/>
  <c r="L462" i="28" s="1"/>
  <c r="AT483" i="7"/>
  <c r="AS484" i="7"/>
  <c r="J464" i="28" l="1"/>
  <c r="L464" i="28" s="1"/>
  <c r="I464" i="28"/>
  <c r="J449" i="28"/>
  <c r="L449" i="28" s="1"/>
  <c r="T449" i="28" s="1"/>
  <c r="I449" i="28"/>
  <c r="AT484" i="7"/>
  <c r="AS485" i="7"/>
  <c r="J451" i="28" l="1"/>
  <c r="L451" i="28" s="1"/>
  <c r="T451" i="28" s="1"/>
  <c r="I451" i="28"/>
  <c r="I466" i="28"/>
  <c r="J466" i="28"/>
  <c r="L466" i="28" s="1"/>
  <c r="AT485" i="7"/>
  <c r="AS486" i="7"/>
  <c r="J468" i="28" l="1"/>
  <c r="L468" i="28" s="1"/>
  <c r="I468" i="28"/>
  <c r="I453" i="28"/>
  <c r="J453" i="28"/>
  <c r="L453" i="28" s="1"/>
  <c r="T453" i="28" s="1"/>
  <c r="AT486" i="7"/>
  <c r="AS487" i="7"/>
  <c r="J455" i="28" l="1"/>
  <c r="L455" i="28" s="1"/>
  <c r="T455" i="28" s="1"/>
  <c r="I455" i="28"/>
  <c r="J470" i="28"/>
  <c r="L470" i="28" s="1"/>
  <c r="I470" i="28"/>
  <c r="AT487" i="7"/>
  <c r="AS488" i="7"/>
  <c r="J457" i="28" l="1"/>
  <c r="L457" i="28" s="1"/>
  <c r="T457" i="28" s="1"/>
  <c r="I457" i="28"/>
  <c r="J472" i="28"/>
  <c r="L472" i="28" s="1"/>
  <c r="I472" i="28"/>
  <c r="AT488" i="7"/>
  <c r="AS489" i="7"/>
  <c r="I474" i="28" l="1"/>
  <c r="J474" i="28"/>
  <c r="L474" i="28" s="1"/>
  <c r="J459" i="28"/>
  <c r="L459" i="28" s="1"/>
  <c r="T459" i="28" s="1"/>
  <c r="T5" i="28" s="1"/>
  <c r="I459" i="28"/>
  <c r="AT489" i="7"/>
  <c r="AS490" i="7"/>
  <c r="J461" i="28" l="1"/>
  <c r="L461" i="28" s="1"/>
  <c r="I461" i="28"/>
  <c r="J476" i="28"/>
  <c r="L476" i="28" s="1"/>
  <c r="I476" i="28"/>
  <c r="AT490" i="7"/>
  <c r="AS491" i="7"/>
  <c r="I478" i="28" l="1"/>
  <c r="J478" i="28"/>
  <c r="L478" i="28" s="1"/>
  <c r="I463" i="28"/>
  <c r="J463" i="28"/>
  <c r="L463" i="28" s="1"/>
  <c r="AT491" i="7"/>
  <c r="AS492" i="7"/>
  <c r="I465" i="28" l="1"/>
  <c r="J465" i="28"/>
  <c r="L465" i="28" s="1"/>
  <c r="J480" i="28"/>
  <c r="L480" i="28" s="1"/>
  <c r="I480" i="28"/>
  <c r="AT492" i="7"/>
  <c r="AS493" i="7"/>
  <c r="I482" i="28" l="1"/>
  <c r="J482" i="28"/>
  <c r="L482" i="28" s="1"/>
  <c r="J467" i="28"/>
  <c r="L467" i="28" s="1"/>
  <c r="I467" i="28"/>
  <c r="AT493" i="7"/>
  <c r="AS494" i="7"/>
  <c r="I469" i="28" l="1"/>
  <c r="J469" i="28"/>
  <c r="L469" i="28" s="1"/>
  <c r="J484" i="28"/>
  <c r="L484" i="28" s="1"/>
  <c r="I484" i="28"/>
  <c r="AT494" i="7"/>
  <c r="AS495" i="7"/>
  <c r="I486" i="28" l="1"/>
  <c r="J486" i="28"/>
  <c r="L486" i="28" s="1"/>
  <c r="I471" i="28"/>
  <c r="J471" i="28"/>
  <c r="L471" i="28" s="1"/>
  <c r="AT495" i="7"/>
  <c r="AS496" i="7"/>
  <c r="I473" i="28" l="1"/>
  <c r="J473" i="28"/>
  <c r="L473" i="28" s="1"/>
  <c r="J488" i="28"/>
  <c r="L488" i="28" s="1"/>
  <c r="I488" i="28"/>
  <c r="AT496" i="7"/>
  <c r="AS497" i="7"/>
  <c r="J490" i="28" l="1"/>
  <c r="L490" i="28" s="1"/>
  <c r="I490" i="28"/>
  <c r="I475" i="28"/>
  <c r="J475" i="28"/>
  <c r="L475" i="28" s="1"/>
  <c r="AT497" i="7"/>
  <c r="AS498" i="7"/>
  <c r="I477" i="28" l="1"/>
  <c r="J477" i="28"/>
  <c r="L477" i="28" s="1"/>
  <c r="J492" i="28"/>
  <c r="L492" i="28" s="1"/>
  <c r="I492" i="28"/>
  <c r="AT498" i="7"/>
  <c r="AS499" i="7"/>
  <c r="J494" i="28" l="1"/>
  <c r="L494" i="28" s="1"/>
  <c r="I494" i="28"/>
  <c r="J479" i="28"/>
  <c r="L479" i="28" s="1"/>
  <c r="I479" i="28"/>
  <c r="AT499" i="7"/>
  <c r="AS500" i="7"/>
  <c r="J481" i="28" l="1"/>
  <c r="L481" i="28" s="1"/>
  <c r="I481" i="28"/>
  <c r="I496" i="28"/>
  <c r="J496" i="28"/>
  <c r="L496" i="28" s="1"/>
  <c r="AT500" i="7"/>
  <c r="AS501" i="7"/>
  <c r="J498" i="28" l="1"/>
  <c r="L498" i="28" s="1"/>
  <c r="I498" i="28"/>
  <c r="J483" i="28"/>
  <c r="L483" i="28" s="1"/>
  <c r="I483" i="28"/>
  <c r="AT501" i="7"/>
  <c r="AS502" i="7"/>
  <c r="J485" i="28" l="1"/>
  <c r="L485" i="28" s="1"/>
  <c r="I485" i="28"/>
  <c r="J500" i="28"/>
  <c r="L500" i="28" s="1"/>
  <c r="I500" i="28"/>
  <c r="AT502" i="7"/>
  <c r="AS503" i="7"/>
  <c r="J502" i="28" l="1"/>
  <c r="L502" i="28" s="1"/>
  <c r="I502" i="28"/>
  <c r="I487" i="28"/>
  <c r="J487" i="28"/>
  <c r="L487" i="28" s="1"/>
  <c r="AT503" i="7"/>
  <c r="AS504" i="7"/>
  <c r="J489" i="28" l="1"/>
  <c r="L489" i="28" s="1"/>
  <c r="I489" i="28"/>
  <c r="J504" i="28"/>
  <c r="L504" i="28" s="1"/>
  <c r="I504" i="28"/>
  <c r="AT504" i="7"/>
  <c r="AS505" i="7"/>
  <c r="I506" i="28" l="1"/>
  <c r="J506" i="28"/>
  <c r="L506" i="28" s="1"/>
  <c r="J491" i="28"/>
  <c r="L491" i="28" s="1"/>
  <c r="I491" i="28"/>
  <c r="AT505" i="7"/>
  <c r="AS506" i="7"/>
  <c r="I493" i="28" l="1"/>
  <c r="J493" i="28"/>
  <c r="L493" i="28" s="1"/>
  <c r="I508" i="28"/>
  <c r="J508" i="28"/>
  <c r="L508" i="28" s="1"/>
  <c r="AT506" i="7"/>
  <c r="AS507" i="7"/>
  <c r="I510" i="28" l="1"/>
  <c r="J510" i="28"/>
  <c r="L510" i="28" s="1"/>
  <c r="J495" i="28"/>
  <c r="L495" i="28" s="1"/>
  <c r="I495" i="28"/>
  <c r="AT507" i="7"/>
  <c r="AS508" i="7"/>
  <c r="I497" i="28" l="1"/>
  <c r="J497" i="28"/>
  <c r="L497" i="28" s="1"/>
  <c r="J512" i="28"/>
  <c r="L512" i="28" s="1"/>
  <c r="I512" i="28"/>
  <c r="AT508" i="7"/>
  <c r="AS509" i="7"/>
  <c r="J514" i="28" l="1"/>
  <c r="L514" i="28" s="1"/>
  <c r="I514" i="28"/>
  <c r="I499" i="28"/>
  <c r="J499" i="28"/>
  <c r="L499" i="28" s="1"/>
  <c r="AT509" i="7"/>
  <c r="AS510" i="7"/>
  <c r="I501" i="28" l="1"/>
  <c r="J501" i="28"/>
  <c r="L501" i="28" s="1"/>
  <c r="I516" i="28"/>
  <c r="J516" i="28"/>
  <c r="L516" i="28" s="1"/>
  <c r="AT510" i="7"/>
  <c r="AS511" i="7"/>
  <c r="I518" i="28" l="1"/>
  <c r="J518" i="28"/>
  <c r="L518" i="28" s="1"/>
  <c r="I503" i="28"/>
  <c r="J503" i="28"/>
  <c r="L503" i="28" s="1"/>
  <c r="AT511" i="7"/>
  <c r="AS512" i="7"/>
  <c r="I505" i="28" l="1"/>
  <c r="J505" i="28"/>
  <c r="L505" i="28" s="1"/>
  <c r="I520" i="28"/>
  <c r="J520" i="28"/>
  <c r="L520" i="28" s="1"/>
  <c r="AT512" i="7"/>
  <c r="AS513" i="7"/>
  <c r="J522" i="28" l="1"/>
  <c r="L522" i="28" s="1"/>
  <c r="I522" i="28"/>
  <c r="I507" i="28"/>
  <c r="J507" i="28"/>
  <c r="L507" i="28" s="1"/>
  <c r="AT513" i="7"/>
  <c r="AS514" i="7"/>
  <c r="I509" i="28" l="1"/>
  <c r="J509" i="28"/>
  <c r="L509" i="28" s="1"/>
  <c r="I524" i="28"/>
  <c r="J524" i="28"/>
  <c r="L524" i="28" s="1"/>
  <c r="AT514" i="7"/>
  <c r="AS515" i="7"/>
  <c r="J526" i="28" l="1"/>
  <c r="L526" i="28" s="1"/>
  <c r="I526" i="28"/>
  <c r="I511" i="28"/>
  <c r="J511" i="28"/>
  <c r="L511" i="28" s="1"/>
  <c r="AT515" i="7"/>
  <c r="AS516" i="7"/>
  <c r="I513" i="28" l="1"/>
  <c r="J513" i="28"/>
  <c r="L513" i="28" s="1"/>
  <c r="I528" i="28"/>
  <c r="J528" i="28"/>
  <c r="L528" i="28" s="1"/>
  <c r="AT516" i="7"/>
  <c r="AS517" i="7"/>
  <c r="I530" i="28" l="1"/>
  <c r="J530" i="28"/>
  <c r="L530" i="28" s="1"/>
  <c r="I515" i="28"/>
  <c r="J515" i="28"/>
  <c r="L515" i="28" s="1"/>
  <c r="AT517" i="7"/>
  <c r="AS518" i="7"/>
  <c r="J517" i="28" l="1"/>
  <c r="L517" i="28" s="1"/>
  <c r="I517" i="28"/>
  <c r="I532" i="28"/>
  <c r="J532" i="28"/>
  <c r="L532" i="28" s="1"/>
  <c r="AT518" i="7"/>
  <c r="AS519" i="7"/>
  <c r="I534" i="28" l="1"/>
  <c r="J534" i="28"/>
  <c r="L534" i="28" s="1"/>
  <c r="J519" i="28"/>
  <c r="L519" i="28" s="1"/>
  <c r="I519" i="28"/>
  <c r="AT519" i="7"/>
  <c r="AS520" i="7"/>
  <c r="J521" i="28" l="1"/>
  <c r="L521" i="28" s="1"/>
  <c r="I521" i="28"/>
  <c r="I536" i="28"/>
  <c r="J536" i="28"/>
  <c r="L536" i="28" s="1"/>
  <c r="AT520" i="7"/>
  <c r="AS521" i="7"/>
  <c r="J538" i="28" l="1"/>
  <c r="L538" i="28" s="1"/>
  <c r="I538" i="28"/>
  <c r="I523" i="28"/>
  <c r="J523" i="28"/>
  <c r="L523" i="28" s="1"/>
  <c r="AT521" i="7"/>
  <c r="AS522" i="7"/>
  <c r="I525" i="28" l="1"/>
  <c r="J525" i="28"/>
  <c r="L525" i="28" s="1"/>
  <c r="J540" i="28"/>
  <c r="L540" i="28" s="1"/>
  <c r="I540" i="28"/>
  <c r="AT522" i="7"/>
  <c r="AS523" i="7"/>
  <c r="I542" i="28" l="1"/>
  <c r="J542" i="28"/>
  <c r="L542" i="28" s="1"/>
  <c r="J527" i="28"/>
  <c r="L527" i="28" s="1"/>
  <c r="I527" i="28"/>
  <c r="AT523" i="7"/>
  <c r="AS524" i="7"/>
  <c r="J529" i="28" l="1"/>
  <c r="L529" i="28" s="1"/>
  <c r="I529" i="28"/>
  <c r="J544" i="28"/>
  <c r="L544" i="28" s="1"/>
  <c r="I544" i="28"/>
  <c r="AT524" i="7"/>
  <c r="AS525" i="7"/>
  <c r="I531" i="28" l="1"/>
  <c r="J531" i="28"/>
  <c r="L531" i="28" s="1"/>
  <c r="J546" i="28"/>
  <c r="L546" i="28" s="1"/>
  <c r="I546" i="28"/>
  <c r="AT525" i="7"/>
  <c r="AS526" i="7"/>
  <c r="J548" i="28" l="1"/>
  <c r="L548" i="28" s="1"/>
  <c r="I548" i="28"/>
  <c r="J533" i="28"/>
  <c r="L533" i="28" s="1"/>
  <c r="I533" i="28"/>
  <c r="AT526" i="7"/>
  <c r="AS527" i="7"/>
  <c r="I535" i="28" l="1"/>
  <c r="J535" i="28"/>
  <c r="L535" i="28" s="1"/>
  <c r="I550" i="28"/>
  <c r="J550" i="28"/>
  <c r="L550" i="28" s="1"/>
  <c r="AT527" i="7"/>
  <c r="AS528" i="7"/>
  <c r="J552" i="28" l="1"/>
  <c r="L552" i="28" s="1"/>
  <c r="I552" i="28"/>
  <c r="I537" i="28"/>
  <c r="J537" i="28"/>
  <c r="L537" i="28" s="1"/>
  <c r="AT528" i="7"/>
  <c r="AS529" i="7"/>
  <c r="J539" i="28" l="1"/>
  <c r="L539" i="28" s="1"/>
  <c r="I539" i="28"/>
  <c r="I554" i="28"/>
  <c r="J554" i="28"/>
  <c r="L554" i="28" s="1"/>
  <c r="AT529" i="7"/>
  <c r="AS530" i="7"/>
  <c r="J556" i="28" l="1"/>
  <c r="L556" i="28" s="1"/>
  <c r="I556" i="28"/>
  <c r="J541" i="28"/>
  <c r="L541" i="28" s="1"/>
  <c r="I541" i="28"/>
  <c r="AT530" i="7"/>
  <c r="AS531" i="7"/>
  <c r="J543" i="28" l="1"/>
  <c r="L543" i="28" s="1"/>
  <c r="I543" i="28"/>
  <c r="I558" i="28"/>
  <c r="J558" i="28"/>
  <c r="L558" i="28" s="1"/>
  <c r="AT531" i="7"/>
  <c r="AS532" i="7"/>
  <c r="J560" i="28" l="1"/>
  <c r="L560" i="28" s="1"/>
  <c r="I560" i="28"/>
  <c r="I545" i="28"/>
  <c r="J545" i="28"/>
  <c r="L545" i="28" s="1"/>
  <c r="AT532" i="7"/>
  <c r="AS533" i="7"/>
  <c r="J547" i="28" l="1"/>
  <c r="L547" i="28" s="1"/>
  <c r="I547" i="28"/>
  <c r="I562" i="28"/>
  <c r="J562" i="28"/>
  <c r="L562" i="28" s="1"/>
  <c r="AT533" i="7"/>
  <c r="AS534" i="7"/>
  <c r="J564" i="28" l="1"/>
  <c r="L564" i="28" s="1"/>
  <c r="I564" i="28"/>
  <c r="J549" i="28"/>
  <c r="L549" i="28" s="1"/>
  <c r="I549" i="28"/>
  <c r="AT534" i="7"/>
  <c r="AS535" i="7"/>
  <c r="I551" i="28" l="1"/>
  <c r="J551" i="28"/>
  <c r="L551" i="28" s="1"/>
  <c r="J566" i="28"/>
  <c r="L566" i="28" s="1"/>
  <c r="I566" i="28"/>
  <c r="AT535" i="7"/>
  <c r="AS536" i="7"/>
  <c r="J568" i="28" l="1"/>
  <c r="L568" i="28" s="1"/>
  <c r="I568" i="28"/>
  <c r="J553" i="28"/>
  <c r="L553" i="28" s="1"/>
  <c r="I553" i="28"/>
  <c r="AT536" i="7"/>
  <c r="AS537" i="7"/>
  <c r="I555" i="28" l="1"/>
  <c r="J555" i="28"/>
  <c r="L555" i="28" s="1"/>
  <c r="J570" i="28"/>
  <c r="L570" i="28" s="1"/>
  <c r="I570" i="28"/>
  <c r="AT537" i="7"/>
  <c r="AS538" i="7"/>
  <c r="J572" i="28" l="1"/>
  <c r="L572" i="28" s="1"/>
  <c r="I572" i="28"/>
  <c r="J557" i="28"/>
  <c r="L557" i="28" s="1"/>
  <c r="I557" i="28"/>
  <c r="AT538" i="7"/>
  <c r="AS539" i="7"/>
  <c r="I559" i="28" l="1"/>
  <c r="J559" i="28"/>
  <c r="L559" i="28" s="1"/>
  <c r="J574" i="28"/>
  <c r="L574" i="28" s="1"/>
  <c r="I574" i="28"/>
  <c r="AT539" i="7"/>
  <c r="AS540" i="7"/>
  <c r="J576" i="28" l="1"/>
  <c r="L576" i="28" s="1"/>
  <c r="I576" i="28"/>
  <c r="J561" i="28"/>
  <c r="L561" i="28" s="1"/>
  <c r="I561" i="28"/>
  <c r="AT540" i="7"/>
  <c r="AS541" i="7"/>
  <c r="I563" i="28" l="1"/>
  <c r="J563" i="28"/>
  <c r="L563" i="28" s="1"/>
  <c r="I578" i="28"/>
  <c r="J578" i="28"/>
  <c r="L578" i="28" s="1"/>
  <c r="AT541" i="7"/>
  <c r="AS542" i="7"/>
  <c r="I580" i="28" l="1"/>
  <c r="J580" i="28"/>
  <c r="L580" i="28" s="1"/>
  <c r="I565" i="28"/>
  <c r="J565" i="28"/>
  <c r="L565" i="28" s="1"/>
  <c r="AT542" i="7"/>
  <c r="AS543" i="7"/>
  <c r="J567" i="28" l="1"/>
  <c r="L567" i="28" s="1"/>
  <c r="I567" i="28"/>
  <c r="I582" i="28"/>
  <c r="J582" i="28"/>
  <c r="L582" i="28" s="1"/>
  <c r="AT543" i="7"/>
  <c r="AS544" i="7"/>
  <c r="I584" i="28" l="1"/>
  <c r="J584" i="28"/>
  <c r="L584" i="28" s="1"/>
  <c r="I569" i="28"/>
  <c r="J569" i="28"/>
  <c r="L569" i="28" s="1"/>
  <c r="AT544" i="7"/>
  <c r="AS545" i="7"/>
  <c r="J571" i="28" l="1"/>
  <c r="L571" i="28" s="1"/>
  <c r="I571" i="28"/>
  <c r="I586" i="28"/>
  <c r="J586" i="28"/>
  <c r="L586" i="28" s="1"/>
  <c r="AT545" i="7"/>
  <c r="AS546" i="7"/>
  <c r="J588" i="28" l="1"/>
  <c r="L588" i="28" s="1"/>
  <c r="I588" i="28"/>
  <c r="J573" i="28"/>
  <c r="L573" i="28" s="1"/>
  <c r="I573" i="28"/>
  <c r="AT546" i="7"/>
  <c r="AS547" i="7"/>
  <c r="J575" i="28" l="1"/>
  <c r="L575" i="28" s="1"/>
  <c r="I575" i="28"/>
  <c r="J590" i="28"/>
  <c r="L590" i="28" s="1"/>
  <c r="I590" i="28"/>
  <c r="AT547" i="7"/>
  <c r="AS548" i="7"/>
  <c r="J592" i="28" l="1"/>
  <c r="L592" i="28" s="1"/>
  <c r="I592" i="28"/>
  <c r="J577" i="28"/>
  <c r="L577" i="28" s="1"/>
  <c r="I577" i="28"/>
  <c r="AT548" i="7"/>
  <c r="AS549" i="7"/>
  <c r="J579" i="28" l="1"/>
  <c r="L579" i="28" s="1"/>
  <c r="I579" i="28"/>
  <c r="J594" i="28"/>
  <c r="L594" i="28" s="1"/>
  <c r="I594" i="28"/>
  <c r="AT549" i="7"/>
  <c r="AS550" i="7"/>
  <c r="J596" i="28" l="1"/>
  <c r="L596" i="28" s="1"/>
  <c r="I596" i="28"/>
  <c r="J581" i="28"/>
  <c r="L581" i="28" s="1"/>
  <c r="I581" i="28"/>
  <c r="AT550" i="7"/>
  <c r="AS551" i="7"/>
  <c r="I583" i="28" l="1"/>
  <c r="J583" i="28"/>
  <c r="L583" i="28" s="1"/>
  <c r="I598" i="28"/>
  <c r="J598" i="28"/>
  <c r="L598" i="28" s="1"/>
  <c r="AT551" i="7"/>
  <c r="AS552" i="7"/>
  <c r="J600" i="28" l="1"/>
  <c r="L600" i="28" s="1"/>
  <c r="I600" i="28"/>
  <c r="I585" i="28"/>
  <c r="J585" i="28"/>
  <c r="L585" i="28" s="1"/>
  <c r="AT552" i="7"/>
  <c r="AS553" i="7"/>
  <c r="I587" i="28" l="1"/>
  <c r="J587" i="28"/>
  <c r="L587" i="28" s="1"/>
  <c r="J602" i="28"/>
  <c r="L602" i="28" s="1"/>
  <c r="I602" i="28"/>
  <c r="AT553" i="7"/>
  <c r="AS554" i="7"/>
  <c r="J604" i="28" l="1"/>
  <c r="L604" i="28" s="1"/>
  <c r="I604" i="28"/>
  <c r="I589" i="28"/>
  <c r="J589" i="28"/>
  <c r="L589" i="28" s="1"/>
  <c r="AT554" i="7"/>
  <c r="AS555" i="7"/>
  <c r="I591" i="28" l="1"/>
  <c r="J591" i="28"/>
  <c r="L591" i="28" s="1"/>
  <c r="I606" i="28"/>
  <c r="J606" i="28"/>
  <c r="L606" i="28" s="1"/>
  <c r="AT555" i="7"/>
  <c r="AS556" i="7"/>
  <c r="J608" i="28" l="1"/>
  <c r="L608" i="28" s="1"/>
  <c r="I608" i="28"/>
  <c r="I593" i="28"/>
  <c r="J593" i="28"/>
  <c r="L593" i="28" s="1"/>
  <c r="AT556" i="7"/>
  <c r="AS557" i="7"/>
  <c r="I595" i="28" l="1"/>
  <c r="J595" i="28"/>
  <c r="L595" i="28" s="1"/>
  <c r="J610" i="28"/>
  <c r="L610" i="28" s="1"/>
  <c r="I610" i="28"/>
  <c r="AT557" i="7"/>
  <c r="AS558" i="7"/>
  <c r="J612" i="28" l="1"/>
  <c r="L612" i="28" s="1"/>
  <c r="I612" i="28"/>
  <c r="J597" i="28"/>
  <c r="L597" i="28" s="1"/>
  <c r="I597" i="28"/>
  <c r="AT558" i="7"/>
  <c r="AS559" i="7"/>
  <c r="I599" i="28" l="1"/>
  <c r="J599" i="28"/>
  <c r="L599" i="28" s="1"/>
  <c r="J614" i="28"/>
  <c r="L614" i="28" s="1"/>
  <c r="I614" i="28"/>
  <c r="AT559" i="7"/>
  <c r="AS560" i="7"/>
  <c r="J616" i="28" l="1"/>
  <c r="L616" i="28" s="1"/>
  <c r="I616" i="28"/>
  <c r="I601" i="28"/>
  <c r="J601" i="28"/>
  <c r="L601" i="28" s="1"/>
  <c r="AT560" i="7"/>
  <c r="AS561" i="7"/>
  <c r="I603" i="28" l="1"/>
  <c r="J603" i="28"/>
  <c r="L603" i="28" s="1"/>
  <c r="J618" i="28"/>
  <c r="L618" i="28" s="1"/>
  <c r="I618" i="28"/>
  <c r="AT561" i="7"/>
  <c r="AS562" i="7"/>
  <c r="I620" i="28" l="1"/>
  <c r="J620" i="28"/>
  <c r="L620" i="28" s="1"/>
  <c r="I605" i="28"/>
  <c r="J605" i="28"/>
  <c r="L605" i="28" s="1"/>
  <c r="AT562" i="7"/>
  <c r="AS563" i="7"/>
  <c r="J607" i="28" l="1"/>
  <c r="L607" i="28" s="1"/>
  <c r="I607" i="28"/>
  <c r="I622" i="28"/>
  <c r="J622" i="28"/>
  <c r="L622" i="28" s="1"/>
  <c r="AT563" i="7"/>
  <c r="AS564" i="7"/>
  <c r="I624" i="28" l="1"/>
  <c r="J624" i="28"/>
  <c r="L624" i="28" s="1"/>
  <c r="I609" i="28"/>
  <c r="J609" i="28"/>
  <c r="L609" i="28" s="1"/>
  <c r="AT564" i="7"/>
  <c r="AS565" i="7"/>
  <c r="J611" i="28" l="1"/>
  <c r="L611" i="28" s="1"/>
  <c r="I611" i="28"/>
  <c r="J626" i="28"/>
  <c r="L626" i="28" s="1"/>
  <c r="I626" i="28"/>
  <c r="AT565" i="7"/>
  <c r="AS566" i="7"/>
  <c r="I628" i="28" l="1"/>
  <c r="J628" i="28"/>
  <c r="L628" i="28" s="1"/>
  <c r="J613" i="28"/>
  <c r="L613" i="28" s="1"/>
  <c r="I613" i="28"/>
  <c r="AT566" i="7"/>
  <c r="AS567" i="7"/>
  <c r="J615" i="28" l="1"/>
  <c r="L615" i="28" s="1"/>
  <c r="I615" i="28"/>
  <c r="J630" i="28"/>
  <c r="L630" i="28" s="1"/>
  <c r="I630" i="28"/>
  <c r="AT567" i="7"/>
  <c r="AS568" i="7"/>
  <c r="J632" i="28" l="1"/>
  <c r="L632" i="28" s="1"/>
  <c r="I632" i="28"/>
  <c r="J617" i="28"/>
  <c r="L617" i="28" s="1"/>
  <c r="I617" i="28"/>
  <c r="AT568" i="7"/>
  <c r="AS569" i="7"/>
  <c r="J619" i="28" l="1"/>
  <c r="L619" i="28" s="1"/>
  <c r="I619" i="28"/>
  <c r="I634" i="28"/>
  <c r="J634" i="28"/>
  <c r="L634" i="28" s="1"/>
  <c r="AT569" i="7"/>
  <c r="AS570" i="7"/>
  <c r="J636" i="28" l="1"/>
  <c r="L636" i="28" s="1"/>
  <c r="I636" i="28"/>
  <c r="J621" i="28"/>
  <c r="L621" i="28" s="1"/>
  <c r="I621" i="28"/>
  <c r="AT570" i="7"/>
  <c r="AS571" i="7"/>
  <c r="J623" i="28" l="1"/>
  <c r="L623" i="28" s="1"/>
  <c r="I623" i="28"/>
  <c r="J638" i="28"/>
  <c r="L638" i="28" s="1"/>
  <c r="I638" i="28"/>
  <c r="AT571" i="7"/>
  <c r="AS572" i="7"/>
  <c r="J640" i="28" l="1"/>
  <c r="L640" i="28" s="1"/>
  <c r="I640" i="28"/>
  <c r="J625" i="28"/>
  <c r="L625" i="28" s="1"/>
  <c r="I625" i="28"/>
  <c r="AT572" i="7"/>
  <c r="AS573" i="7"/>
  <c r="I627" i="28" l="1"/>
  <c r="J627" i="28"/>
  <c r="L627" i="28" s="1"/>
  <c r="I642" i="28"/>
  <c r="J642" i="28"/>
  <c r="L642" i="28" s="1"/>
  <c r="AT573" i="7"/>
  <c r="AS574" i="7"/>
  <c r="J644" i="28" l="1"/>
  <c r="L644" i="28" s="1"/>
  <c r="I644" i="28"/>
  <c r="I629" i="28"/>
  <c r="J629" i="28"/>
  <c r="L629" i="28" s="1"/>
  <c r="AT574" i="7"/>
  <c r="AS575" i="7"/>
  <c r="I631" i="28" l="1"/>
  <c r="J631" i="28"/>
  <c r="L631" i="28" s="1"/>
  <c r="I646" i="28"/>
  <c r="J646" i="28"/>
  <c r="L646" i="28" s="1"/>
  <c r="AT575" i="7"/>
  <c r="AS576" i="7"/>
  <c r="I648" i="28" l="1"/>
  <c r="J648" i="28"/>
  <c r="L648" i="28" s="1"/>
  <c r="J633" i="28"/>
  <c r="L633" i="28" s="1"/>
  <c r="I633" i="28"/>
  <c r="AT576" i="7"/>
  <c r="AS577" i="7"/>
  <c r="I635" i="28" l="1"/>
  <c r="J635" i="28"/>
  <c r="L635" i="28" s="1"/>
  <c r="I650" i="28"/>
  <c r="J650" i="28"/>
  <c r="L650" i="28" s="1"/>
  <c r="AT577" i="7"/>
  <c r="AS578" i="7"/>
  <c r="I652" i="28" l="1"/>
  <c r="J652" i="28"/>
  <c r="L652" i="28" s="1"/>
  <c r="I637" i="28"/>
  <c r="J637" i="28"/>
  <c r="L637" i="28" s="1"/>
  <c r="AT578" i="7"/>
  <c r="AS579" i="7"/>
  <c r="I639" i="28" l="1"/>
  <c r="J639" i="28"/>
  <c r="L639" i="28" s="1"/>
  <c r="I654" i="28"/>
  <c r="J654" i="28"/>
  <c r="L654" i="28" s="1"/>
  <c r="AT579" i="7"/>
  <c r="AS580" i="7"/>
  <c r="I656" i="28" l="1"/>
  <c r="J656" i="28"/>
  <c r="L656" i="28" s="1"/>
  <c r="I641" i="28"/>
  <c r="J641" i="28"/>
  <c r="L641" i="28" s="1"/>
  <c r="AT580" i="7"/>
  <c r="AS581" i="7"/>
  <c r="I643" i="28" l="1"/>
  <c r="J643" i="28"/>
  <c r="L643" i="28" s="1"/>
  <c r="I658" i="28"/>
  <c r="J658" i="28"/>
  <c r="L658" i="28" s="1"/>
  <c r="AT581" i="7"/>
  <c r="AS582" i="7"/>
  <c r="I660" i="28" l="1"/>
  <c r="J660" i="28"/>
  <c r="L660" i="28" s="1"/>
  <c r="I645" i="28"/>
  <c r="J645" i="28"/>
  <c r="L645" i="28" s="1"/>
  <c r="AT582" i="7"/>
  <c r="AS583" i="7"/>
  <c r="J647" i="28" l="1"/>
  <c r="L647" i="28" s="1"/>
  <c r="I647" i="28"/>
  <c r="J662" i="28"/>
  <c r="L662" i="28" s="1"/>
  <c r="I662" i="28"/>
  <c r="AT583" i="7"/>
  <c r="AS584" i="7"/>
  <c r="J664" i="28" l="1"/>
  <c r="L664" i="28" s="1"/>
  <c r="I664" i="28"/>
  <c r="J649" i="28"/>
  <c r="L649" i="28" s="1"/>
  <c r="I649" i="28"/>
  <c r="AT584" i="7"/>
  <c r="AS585" i="7"/>
  <c r="I651" i="28" l="1"/>
  <c r="J651" i="28"/>
  <c r="L651" i="28" s="1"/>
  <c r="I666" i="28"/>
  <c r="J666" i="28"/>
  <c r="L666" i="28" s="1"/>
  <c r="AT585" i="7"/>
  <c r="AS586" i="7"/>
  <c r="I668" i="28" l="1"/>
  <c r="J668" i="28"/>
  <c r="L668" i="28" s="1"/>
  <c r="I653" i="28"/>
  <c r="J653" i="28"/>
  <c r="L653" i="28" s="1"/>
  <c r="AT586" i="7"/>
  <c r="AS587" i="7"/>
  <c r="J655" i="28" l="1"/>
  <c r="L655" i="28" s="1"/>
  <c r="I655" i="28"/>
  <c r="J670" i="28"/>
  <c r="L670" i="28" s="1"/>
  <c r="I670" i="28"/>
  <c r="AT587" i="7"/>
  <c r="AS588" i="7"/>
  <c r="I672" i="28" l="1"/>
  <c r="J672" i="28"/>
  <c r="L672" i="28" s="1"/>
  <c r="I657" i="28"/>
  <c r="J657" i="28"/>
  <c r="L657" i="28" s="1"/>
  <c r="AT588" i="7"/>
  <c r="AS589" i="7"/>
  <c r="I659" i="28" l="1"/>
  <c r="J659" i="28"/>
  <c r="L659" i="28" s="1"/>
  <c r="I674" i="28"/>
  <c r="J674" i="28"/>
  <c r="L674" i="28" s="1"/>
  <c r="AT589" i="7"/>
  <c r="AS590" i="7"/>
  <c r="I676" i="28" l="1"/>
  <c r="J676" i="28"/>
  <c r="L676" i="28" s="1"/>
  <c r="I661" i="28"/>
  <c r="J661" i="28"/>
  <c r="L661" i="28" s="1"/>
  <c r="AT590" i="7"/>
  <c r="AS591" i="7"/>
  <c r="J663" i="28" l="1"/>
  <c r="L663" i="28" s="1"/>
  <c r="I663" i="28"/>
  <c r="J678" i="28"/>
  <c r="L678" i="28" s="1"/>
  <c r="I678" i="28"/>
  <c r="AT591" i="7"/>
  <c r="AS592" i="7"/>
  <c r="I680" i="28" l="1"/>
  <c r="J680" i="28"/>
  <c r="L680" i="28" s="1"/>
  <c r="I665" i="28"/>
  <c r="J665" i="28"/>
  <c r="L665" i="28" s="1"/>
  <c r="AT592" i="7"/>
  <c r="AS593" i="7"/>
  <c r="J667" i="28" l="1"/>
  <c r="L667" i="28" s="1"/>
  <c r="I667" i="28"/>
  <c r="J682" i="28"/>
  <c r="L682" i="28" s="1"/>
  <c r="I682" i="28"/>
  <c r="AT593" i="7"/>
  <c r="AS594" i="7"/>
  <c r="I684" i="28" l="1"/>
  <c r="J684" i="28"/>
  <c r="L684" i="28" s="1"/>
  <c r="J669" i="28"/>
  <c r="L669" i="28" s="1"/>
  <c r="I669" i="28"/>
  <c r="AT594" i="7"/>
  <c r="AS595" i="7"/>
  <c r="I671" i="28" l="1"/>
  <c r="J671" i="28"/>
  <c r="L671" i="28" s="1"/>
  <c r="J686" i="28"/>
  <c r="L686" i="28" s="1"/>
  <c r="I686" i="28"/>
  <c r="AT595" i="7"/>
  <c r="AS596" i="7"/>
  <c r="J688" i="28" l="1"/>
  <c r="L688" i="28" s="1"/>
  <c r="I688" i="28"/>
  <c r="J673" i="28"/>
  <c r="L673" i="28" s="1"/>
  <c r="I673" i="28"/>
  <c r="AT596" i="7"/>
  <c r="AS597" i="7"/>
  <c r="I675" i="28" l="1"/>
  <c r="J675" i="28"/>
  <c r="L675" i="28" s="1"/>
  <c r="I690" i="28"/>
  <c r="J690" i="28"/>
  <c r="L690" i="28" s="1"/>
  <c r="AT597" i="7"/>
  <c r="AS598" i="7"/>
  <c r="J692" i="28" l="1"/>
  <c r="L692" i="28" s="1"/>
  <c r="I692" i="28"/>
  <c r="J677" i="28"/>
  <c r="L677" i="28" s="1"/>
  <c r="I677" i="28"/>
  <c r="AT598" i="7"/>
  <c r="AS599" i="7"/>
  <c r="J679" i="28" l="1"/>
  <c r="L679" i="28" s="1"/>
  <c r="I679" i="28"/>
  <c r="I694" i="28"/>
  <c r="J694" i="28"/>
  <c r="L694" i="28" s="1"/>
  <c r="AT599" i="7"/>
  <c r="AS600" i="7"/>
  <c r="I696" i="28" l="1"/>
  <c r="J696" i="28"/>
  <c r="L696" i="28" s="1"/>
  <c r="I681" i="28"/>
  <c r="J681" i="28"/>
  <c r="L681" i="28" s="1"/>
  <c r="AT600" i="7"/>
  <c r="AS601" i="7"/>
  <c r="I683" i="28" l="1"/>
  <c r="J683" i="28"/>
  <c r="L683" i="28" s="1"/>
  <c r="J698" i="28"/>
  <c r="L698" i="28" s="1"/>
  <c r="I698" i="28"/>
  <c r="AT601" i="7"/>
  <c r="AS602" i="7"/>
  <c r="I700" i="28" l="1"/>
  <c r="J700" i="28"/>
  <c r="L700" i="28" s="1"/>
  <c r="J685" i="28"/>
  <c r="L685" i="28" s="1"/>
  <c r="I685" i="28"/>
  <c r="AT602" i="7"/>
  <c r="AS603" i="7"/>
  <c r="I687" i="28" l="1"/>
  <c r="J687" i="28"/>
  <c r="L687" i="28" s="1"/>
  <c r="I702" i="28"/>
  <c r="J702" i="28"/>
  <c r="L702" i="28" s="1"/>
  <c r="AT603" i="7"/>
  <c r="AS604" i="7"/>
  <c r="I704" i="28" l="1"/>
  <c r="J704" i="28"/>
  <c r="L704" i="28" s="1"/>
  <c r="I689" i="28"/>
  <c r="J689" i="28"/>
  <c r="L689" i="28" s="1"/>
  <c r="AT604" i="7"/>
  <c r="AS605" i="7"/>
  <c r="I691" i="28" l="1"/>
  <c r="J691" i="28"/>
  <c r="L691" i="28" s="1"/>
  <c r="I706" i="28"/>
  <c r="J706" i="28"/>
  <c r="L706" i="28" s="1"/>
  <c r="AT605" i="7"/>
  <c r="AS606" i="7"/>
  <c r="I708" i="28" l="1"/>
  <c r="J708" i="28"/>
  <c r="L708" i="28" s="1"/>
  <c r="J693" i="28"/>
  <c r="L693" i="28" s="1"/>
  <c r="I693" i="28"/>
  <c r="AT606" i="7"/>
  <c r="AS607" i="7"/>
  <c r="J695" i="28" l="1"/>
  <c r="L695" i="28" s="1"/>
  <c r="I695" i="28"/>
  <c r="I710" i="28"/>
  <c r="J710" i="28"/>
  <c r="L710" i="28" s="1"/>
  <c r="AT607" i="7"/>
  <c r="AS608" i="7"/>
  <c r="I712" i="28" l="1"/>
  <c r="J712" i="28"/>
  <c r="L712" i="28" s="1"/>
  <c r="J697" i="28"/>
  <c r="L697" i="28" s="1"/>
  <c r="I697" i="28"/>
  <c r="AT608" i="7"/>
  <c r="AS609" i="7"/>
  <c r="I699" i="28" l="1"/>
  <c r="J699" i="28"/>
  <c r="L699" i="28" s="1"/>
  <c r="I714" i="28"/>
  <c r="J714" i="28"/>
  <c r="L714" i="28" s="1"/>
  <c r="AT609" i="7"/>
  <c r="AS610" i="7"/>
  <c r="I716" i="28" l="1"/>
  <c r="J716" i="28"/>
  <c r="L716" i="28" s="1"/>
  <c r="I701" i="28"/>
  <c r="J701" i="28"/>
  <c r="L701" i="28" s="1"/>
  <c r="AT610" i="7"/>
  <c r="AS611" i="7"/>
  <c r="I703" i="28" l="1"/>
  <c r="J703" i="28"/>
  <c r="L703" i="28" s="1"/>
  <c r="I718" i="28"/>
  <c r="J718" i="28"/>
  <c r="L718" i="28" s="1"/>
  <c r="AT611" i="7"/>
  <c r="AS612" i="7"/>
  <c r="J720" i="28" l="1"/>
  <c r="L720" i="28" s="1"/>
  <c r="I720" i="28"/>
  <c r="I705" i="28"/>
  <c r="J705" i="28"/>
  <c r="L705" i="28" s="1"/>
  <c r="AT612" i="7"/>
  <c r="AS613" i="7"/>
  <c r="I707" i="28" l="1"/>
  <c r="J707" i="28"/>
  <c r="L707" i="28" s="1"/>
  <c r="I722" i="28"/>
  <c r="J722" i="28"/>
  <c r="L722" i="28" s="1"/>
  <c r="AT613" i="7"/>
  <c r="AS614" i="7"/>
  <c r="I724" i="28" l="1"/>
  <c r="J724" i="28"/>
  <c r="L724" i="28" s="1"/>
  <c r="I709" i="28"/>
  <c r="J709" i="28"/>
  <c r="L709" i="28" s="1"/>
  <c r="AT614" i="7"/>
  <c r="AS615" i="7"/>
  <c r="J711" i="28" l="1"/>
  <c r="L711" i="28" s="1"/>
  <c r="I711" i="28"/>
  <c r="J726" i="28"/>
  <c r="L726" i="28" s="1"/>
  <c r="I726" i="28"/>
  <c r="AT615" i="7"/>
  <c r="AS616" i="7"/>
  <c r="I728" i="28" l="1"/>
  <c r="J728" i="28"/>
  <c r="L728" i="28" s="1"/>
  <c r="J713" i="28"/>
  <c r="L713" i="28" s="1"/>
  <c r="I713" i="28"/>
  <c r="AT616" i="7"/>
  <c r="AS617" i="7"/>
  <c r="J715" i="28" l="1"/>
  <c r="L715" i="28" s="1"/>
  <c r="I715" i="28"/>
  <c r="J730" i="28"/>
  <c r="L730" i="28" s="1"/>
  <c r="I730" i="28"/>
  <c r="AT617" i="7"/>
  <c r="AS618" i="7"/>
  <c r="J732" i="28" l="1"/>
  <c r="L732" i="28" s="1"/>
  <c r="I732" i="28"/>
  <c r="I717" i="28"/>
  <c r="J717" i="28"/>
  <c r="L717" i="28" s="1"/>
  <c r="AT618" i="7"/>
  <c r="AS619" i="7"/>
  <c r="I719" i="28" l="1"/>
  <c r="J719" i="28"/>
  <c r="L719" i="28" s="1"/>
  <c r="J734" i="28"/>
  <c r="L734" i="28" s="1"/>
  <c r="I734" i="28"/>
  <c r="AT619" i="7"/>
  <c r="AS620" i="7"/>
  <c r="J736" i="28" l="1"/>
  <c r="L736" i="28" s="1"/>
  <c r="I736" i="28"/>
  <c r="I721" i="28"/>
  <c r="J721" i="28"/>
  <c r="L721" i="28" s="1"/>
  <c r="AT620" i="7"/>
  <c r="AS621" i="7"/>
  <c r="J723" i="28" l="1"/>
  <c r="L723" i="28" s="1"/>
  <c r="I723" i="28"/>
  <c r="J738" i="28"/>
  <c r="L738" i="28" s="1"/>
  <c r="I738" i="28"/>
  <c r="AT621" i="7"/>
  <c r="AS622" i="7"/>
  <c r="I740" i="28" l="1"/>
  <c r="J740" i="28"/>
  <c r="L740" i="28" s="1"/>
  <c r="J725" i="28"/>
  <c r="L725" i="28" s="1"/>
  <c r="I725" i="28"/>
  <c r="AT622" i="7"/>
  <c r="AS623" i="7"/>
  <c r="I727" i="28" l="1"/>
  <c r="J727" i="28"/>
  <c r="L727" i="28" s="1"/>
  <c r="J742" i="28"/>
  <c r="L742" i="28" s="1"/>
  <c r="I742" i="28"/>
  <c r="AT623" i="7"/>
  <c r="AS624" i="7"/>
  <c r="J744" i="28" l="1"/>
  <c r="L744" i="28" s="1"/>
  <c r="I744" i="28"/>
  <c r="J729" i="28"/>
  <c r="L729" i="28" s="1"/>
  <c r="I729" i="28"/>
  <c r="AT624" i="7"/>
  <c r="AS625" i="7"/>
  <c r="I746" i="28" l="1"/>
  <c r="J746" i="28"/>
  <c r="L746" i="28" s="1"/>
  <c r="J731" i="28"/>
  <c r="L731" i="28" s="1"/>
  <c r="I731" i="28"/>
  <c r="AT625" i="7"/>
  <c r="AS626" i="7"/>
  <c r="J733" i="28" l="1"/>
  <c r="L733" i="28" s="1"/>
  <c r="I733" i="28"/>
  <c r="J748" i="28"/>
  <c r="L748" i="28" s="1"/>
  <c r="I748" i="28"/>
  <c r="AT626" i="7"/>
  <c r="AS627" i="7"/>
  <c r="I750" i="28" l="1"/>
  <c r="J750" i="28"/>
  <c r="L750" i="28" s="1"/>
  <c r="I735" i="28"/>
  <c r="J735" i="28"/>
  <c r="L735" i="28" s="1"/>
  <c r="AT627" i="7"/>
  <c r="AS628" i="7"/>
  <c r="J737" i="28" l="1"/>
  <c r="L737" i="28" s="1"/>
  <c r="I737" i="28"/>
  <c r="J752" i="28"/>
  <c r="L752" i="28" s="1"/>
  <c r="I752" i="28"/>
  <c r="AT628" i="7"/>
  <c r="AS629" i="7"/>
  <c r="I739" i="28" l="1"/>
  <c r="J739" i="28"/>
  <c r="L739" i="28" s="1"/>
  <c r="I754" i="28"/>
  <c r="J754" i="28"/>
  <c r="L754" i="28" s="1"/>
  <c r="AT629" i="7"/>
  <c r="AS630" i="7"/>
  <c r="I756" i="28" l="1"/>
  <c r="J756" i="28"/>
  <c r="L756" i="28" s="1"/>
  <c r="I741" i="28"/>
  <c r="J741" i="28"/>
  <c r="L741" i="28" s="1"/>
  <c r="AT630" i="7"/>
  <c r="AS631" i="7"/>
  <c r="I743" i="28" l="1"/>
  <c r="J743" i="28"/>
  <c r="L743" i="28" s="1"/>
  <c r="J758" i="28"/>
  <c r="L758" i="28" s="1"/>
  <c r="I758" i="28"/>
  <c r="AT631" i="7"/>
  <c r="AS632" i="7"/>
  <c r="J760" i="28" l="1"/>
  <c r="L760" i="28" s="1"/>
  <c r="I760" i="28"/>
  <c r="I745" i="28"/>
  <c r="J745" i="28"/>
  <c r="L745" i="28" s="1"/>
  <c r="AT632" i="7"/>
  <c r="AS633" i="7"/>
  <c r="I747" i="28" l="1"/>
  <c r="J747" i="28"/>
  <c r="L747" i="28" s="1"/>
  <c r="J762" i="28"/>
  <c r="L762" i="28" s="1"/>
  <c r="I762" i="28"/>
  <c r="AT633" i="7"/>
  <c r="AS634" i="7"/>
  <c r="J764" i="28" l="1"/>
  <c r="L764" i="28" s="1"/>
  <c r="I764" i="28"/>
  <c r="J749" i="28"/>
  <c r="L749" i="28" s="1"/>
  <c r="I749" i="28"/>
  <c r="AT634" i="7"/>
  <c r="AS635" i="7"/>
  <c r="J751" i="28" l="1"/>
  <c r="L751" i="28" s="1"/>
  <c r="I751" i="28"/>
  <c r="I766" i="28"/>
  <c r="J766" i="28"/>
  <c r="L766" i="28" s="1"/>
  <c r="AT635" i="7"/>
  <c r="AS636" i="7"/>
  <c r="J768" i="28" l="1"/>
  <c r="L768" i="28" s="1"/>
  <c r="I768" i="28"/>
  <c r="I753" i="28"/>
  <c r="J753" i="28"/>
  <c r="L753" i="28" s="1"/>
  <c r="AT636" i="7"/>
  <c r="AS637" i="7"/>
  <c r="J755" i="28" l="1"/>
  <c r="L755" i="28" s="1"/>
  <c r="I755" i="28"/>
  <c r="J770" i="28"/>
  <c r="L770" i="28" s="1"/>
  <c r="I770" i="28"/>
  <c r="AT637" i="7"/>
  <c r="AS638" i="7"/>
  <c r="J772" i="28" l="1"/>
  <c r="L772" i="28" s="1"/>
  <c r="I772" i="28"/>
  <c r="I757" i="28"/>
  <c r="J757" i="28"/>
  <c r="L757" i="28" s="1"/>
  <c r="AT638" i="7"/>
  <c r="AS639" i="7"/>
  <c r="I759" i="28" l="1"/>
  <c r="J759" i="28"/>
  <c r="L759" i="28" s="1"/>
  <c r="I774" i="28"/>
  <c r="J774" i="28"/>
  <c r="L774" i="28" s="1"/>
  <c r="AT639" i="7"/>
  <c r="AS640" i="7"/>
  <c r="J776" i="28" l="1"/>
  <c r="L776" i="28" s="1"/>
  <c r="I776" i="28"/>
  <c r="I761" i="28"/>
  <c r="J761" i="28"/>
  <c r="L761" i="28" s="1"/>
  <c r="AT640" i="7"/>
  <c r="AS641" i="7"/>
  <c r="J763" i="28" l="1"/>
  <c r="L763" i="28" s="1"/>
  <c r="I763" i="28"/>
  <c r="I778" i="28"/>
  <c r="J778" i="28"/>
  <c r="L778" i="28" s="1"/>
  <c r="AT641" i="7"/>
  <c r="AS642" i="7"/>
  <c r="I780" i="28" l="1"/>
  <c r="J780" i="28"/>
  <c r="L780" i="28" s="1"/>
  <c r="J765" i="28"/>
  <c r="L765" i="28" s="1"/>
  <c r="I765" i="28"/>
  <c r="AT642" i="7"/>
  <c r="AS643" i="7"/>
  <c r="J767" i="28" l="1"/>
  <c r="L767" i="28" s="1"/>
  <c r="I767" i="28"/>
  <c r="J782" i="28"/>
  <c r="L782" i="28" s="1"/>
  <c r="I782" i="28"/>
  <c r="AT643" i="7"/>
  <c r="AS644" i="7"/>
  <c r="I784" i="28" l="1"/>
  <c r="J784" i="28"/>
  <c r="L784" i="28" s="1"/>
  <c r="I769" i="28"/>
  <c r="J769" i="28"/>
  <c r="L769" i="28" s="1"/>
  <c r="AT644" i="7"/>
  <c r="AS645" i="7"/>
  <c r="J771" i="28" l="1"/>
  <c r="L771" i="28" s="1"/>
  <c r="I771" i="28"/>
  <c r="I786" i="28"/>
  <c r="J786" i="28"/>
  <c r="L786" i="28" s="1"/>
  <c r="AT645" i="7"/>
  <c r="AS646" i="7"/>
  <c r="J788" i="28" l="1"/>
  <c r="L788" i="28" s="1"/>
  <c r="I788" i="28"/>
  <c r="J773" i="28"/>
  <c r="L773" i="28" s="1"/>
  <c r="I773" i="28"/>
  <c r="AT646" i="7"/>
  <c r="AS647" i="7"/>
  <c r="J775" i="28" l="1"/>
  <c r="L775" i="28" s="1"/>
  <c r="I775" i="28"/>
  <c r="J790" i="28"/>
  <c r="L790" i="28" s="1"/>
  <c r="I790" i="28"/>
  <c r="AT647" i="7"/>
  <c r="AS648" i="7"/>
  <c r="I792" i="28" l="1"/>
  <c r="J792" i="28"/>
  <c r="L792" i="28" s="1"/>
  <c r="I777" i="28"/>
  <c r="J777" i="28"/>
  <c r="L777" i="28" s="1"/>
  <c r="AT648" i="7"/>
  <c r="AS649" i="7"/>
  <c r="J779" i="28" l="1"/>
  <c r="L779" i="28" s="1"/>
  <c r="I779" i="28"/>
  <c r="J794" i="28"/>
  <c r="L794" i="28" s="1"/>
  <c r="I794" i="28"/>
  <c r="AT649" i="7"/>
  <c r="AS650" i="7"/>
  <c r="I796" i="28" l="1"/>
  <c r="J796" i="28"/>
  <c r="L796" i="28" s="1"/>
  <c r="J781" i="28"/>
  <c r="L781" i="28" s="1"/>
  <c r="I781" i="28"/>
  <c r="AT650" i="7"/>
  <c r="AS651" i="7"/>
  <c r="J783" i="28" l="1"/>
  <c r="L783" i="28" s="1"/>
  <c r="I783" i="28"/>
  <c r="J798" i="28"/>
  <c r="L798" i="28" s="1"/>
  <c r="I798" i="28"/>
  <c r="AT651" i="7"/>
  <c r="AS652" i="7"/>
  <c r="J800" i="28" l="1"/>
  <c r="L800" i="28" s="1"/>
  <c r="I800" i="28"/>
  <c r="I785" i="28"/>
  <c r="J785" i="28"/>
  <c r="L785" i="28" s="1"/>
  <c r="AT652" i="7"/>
  <c r="AS653" i="7"/>
  <c r="J787" i="28" l="1"/>
  <c r="L787" i="28" s="1"/>
  <c r="I787" i="28"/>
  <c r="I802" i="28"/>
  <c r="J802" i="28"/>
  <c r="L802" i="28" s="1"/>
  <c r="AT653" i="7"/>
  <c r="AS654" i="7"/>
  <c r="I804" i="28" l="1"/>
  <c r="J804" i="28"/>
  <c r="L804" i="28" s="1"/>
  <c r="I789" i="28"/>
  <c r="J789" i="28"/>
  <c r="L789" i="28" s="1"/>
  <c r="AT654" i="7"/>
  <c r="AS655" i="7"/>
  <c r="J791" i="28" l="1"/>
  <c r="L791" i="28" s="1"/>
  <c r="I791" i="28"/>
  <c r="J806" i="28"/>
  <c r="L806" i="28" s="1"/>
  <c r="I806" i="28"/>
  <c r="AT655" i="7"/>
  <c r="AS656" i="7"/>
  <c r="J808" i="28" l="1"/>
  <c r="L808" i="28" s="1"/>
  <c r="I808" i="28"/>
  <c r="J793" i="28"/>
  <c r="L793" i="28" s="1"/>
  <c r="I793" i="28"/>
  <c r="AT656" i="7"/>
  <c r="AS657" i="7"/>
  <c r="J795" i="28" l="1"/>
  <c r="L795" i="28" s="1"/>
  <c r="I795" i="28"/>
  <c r="J810" i="28"/>
  <c r="L810" i="28" s="1"/>
  <c r="I810" i="28"/>
  <c r="AT657" i="7"/>
  <c r="AS658" i="7"/>
  <c r="I812" i="28" l="1"/>
  <c r="J812" i="28"/>
  <c r="L812" i="28" s="1"/>
  <c r="I797" i="28"/>
  <c r="J797" i="28"/>
  <c r="L797" i="28" s="1"/>
  <c r="AT658" i="7"/>
  <c r="AS659" i="7"/>
  <c r="I799" i="28" l="1"/>
  <c r="J799" i="28"/>
  <c r="L799" i="28" s="1"/>
  <c r="J814" i="28"/>
  <c r="L814" i="28" s="1"/>
  <c r="I814" i="28"/>
  <c r="AT659" i="7"/>
  <c r="AS660" i="7"/>
  <c r="I816" i="28" l="1"/>
  <c r="J816" i="28"/>
  <c r="L816" i="28" s="1"/>
  <c r="I801" i="28"/>
  <c r="J801" i="28"/>
  <c r="L801" i="28" s="1"/>
  <c r="AT660" i="7"/>
  <c r="AS661" i="7"/>
  <c r="J803" i="28" l="1"/>
  <c r="L803" i="28" s="1"/>
  <c r="I803" i="28"/>
  <c r="I818" i="28"/>
  <c r="J818" i="28"/>
  <c r="L818" i="28" s="1"/>
  <c r="AT661" i="7"/>
  <c r="AS662" i="7"/>
  <c r="I820" i="28" l="1"/>
  <c r="J820" i="28"/>
  <c r="L820" i="28" s="1"/>
  <c r="J805" i="28"/>
  <c r="L805" i="28" s="1"/>
  <c r="I805" i="28"/>
  <c r="AT662" i="7"/>
  <c r="AS663" i="7"/>
  <c r="I807" i="28" l="1"/>
  <c r="J807" i="28"/>
  <c r="L807" i="28" s="1"/>
  <c r="I822" i="28"/>
  <c r="J822" i="28"/>
  <c r="L822" i="28" s="1"/>
  <c r="AT663" i="7"/>
  <c r="AS664" i="7"/>
  <c r="J824" i="28" l="1"/>
  <c r="L824" i="28" s="1"/>
  <c r="I824" i="28"/>
  <c r="I809" i="28"/>
  <c r="J809" i="28"/>
  <c r="L809" i="28" s="1"/>
  <c r="AT664" i="7"/>
  <c r="AS665" i="7"/>
  <c r="I811" i="28" l="1"/>
  <c r="J811" i="28"/>
  <c r="L811" i="28" s="1"/>
  <c r="J826" i="28"/>
  <c r="L826" i="28" s="1"/>
  <c r="I826" i="28"/>
  <c r="AT665" i="7"/>
  <c r="AS666" i="7"/>
  <c r="I828" i="28" l="1"/>
  <c r="J828" i="28"/>
  <c r="L828" i="28" s="1"/>
  <c r="I813" i="28"/>
  <c r="J813" i="28"/>
  <c r="L813" i="28" s="1"/>
  <c r="AT666" i="7"/>
  <c r="AS667" i="7"/>
  <c r="I815" i="28" l="1"/>
  <c r="J815" i="28"/>
  <c r="L815" i="28" s="1"/>
  <c r="J830" i="28"/>
  <c r="L830" i="28" s="1"/>
  <c r="I830" i="28"/>
  <c r="AT667" i="7"/>
  <c r="AS668" i="7"/>
  <c r="I832" i="28" l="1"/>
  <c r="J832" i="28"/>
  <c r="L832" i="28" s="1"/>
  <c r="I817" i="28"/>
  <c r="J817" i="28"/>
  <c r="L817" i="28" s="1"/>
  <c r="AT668" i="7"/>
  <c r="AS669" i="7"/>
  <c r="J819" i="28" l="1"/>
  <c r="L819" i="28" s="1"/>
  <c r="I819" i="28"/>
  <c r="J834" i="28"/>
  <c r="L834" i="28" s="1"/>
  <c r="I834" i="28"/>
  <c r="AT669" i="7"/>
  <c r="AS670" i="7"/>
  <c r="I836" i="28" l="1"/>
  <c r="J836" i="28"/>
  <c r="L836" i="28" s="1"/>
  <c r="J821" i="28"/>
  <c r="L821" i="28" s="1"/>
  <c r="I821" i="28"/>
  <c r="AT670" i="7"/>
  <c r="AS671" i="7"/>
  <c r="J823" i="28" l="1"/>
  <c r="L823" i="28" s="1"/>
  <c r="I823" i="28"/>
  <c r="I838" i="28"/>
  <c r="J838" i="28"/>
  <c r="L838" i="28" s="1"/>
  <c r="AT671" i="7"/>
  <c r="AS672" i="7"/>
  <c r="I840" i="28" l="1"/>
  <c r="J840" i="28"/>
  <c r="L840" i="28" s="1"/>
  <c r="I825" i="28"/>
  <c r="J825" i="28"/>
  <c r="L825" i="28" s="1"/>
  <c r="AT672" i="7"/>
  <c r="AS673" i="7"/>
  <c r="J827" i="28" l="1"/>
  <c r="L827" i="28" s="1"/>
  <c r="I827" i="28"/>
  <c r="J842" i="28"/>
  <c r="L842" i="28" s="1"/>
  <c r="I842" i="28"/>
  <c r="AT673" i="7"/>
  <c r="AS674" i="7"/>
  <c r="J844" i="28" l="1"/>
  <c r="L844" i="28" s="1"/>
  <c r="I844" i="28"/>
  <c r="J829" i="28"/>
  <c r="L829" i="28" s="1"/>
  <c r="I829" i="28"/>
  <c r="AT674" i="7"/>
  <c r="AS675" i="7"/>
  <c r="I831" i="28" l="1"/>
  <c r="J831" i="28"/>
  <c r="L831" i="28" s="1"/>
  <c r="J846" i="28"/>
  <c r="L846" i="28" s="1"/>
  <c r="I846" i="28"/>
  <c r="AT675" i="7"/>
  <c r="AS676" i="7"/>
  <c r="J848" i="28" l="1"/>
  <c r="L848" i="28" s="1"/>
  <c r="I848" i="28"/>
  <c r="J833" i="28"/>
  <c r="L833" i="28" s="1"/>
  <c r="I833" i="28"/>
  <c r="AT676" i="7"/>
  <c r="AS677" i="7"/>
  <c r="J835" i="28" l="1"/>
  <c r="L835" i="28" s="1"/>
  <c r="I835" i="28"/>
  <c r="I850" i="28"/>
  <c r="J850" i="28"/>
  <c r="L850" i="28" s="1"/>
  <c r="AT677" i="7"/>
  <c r="AS678" i="7"/>
  <c r="I852" i="28" l="1"/>
  <c r="J852" i="28"/>
  <c r="L852" i="28" s="1"/>
  <c r="J837" i="28"/>
  <c r="L837" i="28" s="1"/>
  <c r="I837" i="28"/>
  <c r="AT678" i="7"/>
  <c r="AS679" i="7"/>
  <c r="J839" i="28" l="1"/>
  <c r="L839" i="28" s="1"/>
  <c r="I839" i="28"/>
  <c r="I854" i="28"/>
  <c r="J854" i="28"/>
  <c r="L854" i="28" s="1"/>
  <c r="AT679" i="7"/>
  <c r="AS680" i="7"/>
  <c r="J856" i="28" l="1"/>
  <c r="L856" i="28" s="1"/>
  <c r="I856" i="28"/>
  <c r="I841" i="28"/>
  <c r="J841" i="28"/>
  <c r="L841" i="28" s="1"/>
  <c r="AT680" i="7"/>
  <c r="AS681" i="7"/>
  <c r="J843" i="28" l="1"/>
  <c r="L843" i="28" s="1"/>
  <c r="I843" i="28"/>
  <c r="J858" i="28"/>
  <c r="L858" i="28" s="1"/>
  <c r="I858" i="28"/>
  <c r="AT681" i="7"/>
  <c r="AS682" i="7"/>
  <c r="J860" i="28" l="1"/>
  <c r="L860" i="28" s="1"/>
  <c r="I860" i="28"/>
  <c r="I845" i="28"/>
  <c r="J845" i="28"/>
  <c r="L845" i="28" s="1"/>
  <c r="AT682" i="7"/>
  <c r="AS683" i="7"/>
  <c r="I847" i="28" l="1"/>
  <c r="J847" i="28"/>
  <c r="L847" i="28" s="1"/>
  <c r="I862" i="28"/>
  <c r="J862" i="28"/>
  <c r="L862" i="28" s="1"/>
  <c r="AT683" i="7"/>
  <c r="AS684" i="7"/>
  <c r="J864" i="28" l="1"/>
  <c r="L864" i="28" s="1"/>
  <c r="I864" i="28"/>
  <c r="J849" i="28"/>
  <c r="L849" i="28" s="1"/>
  <c r="I849" i="28"/>
  <c r="AT684" i="7"/>
  <c r="AS685" i="7"/>
  <c r="J851" i="28" l="1"/>
  <c r="L851" i="28" s="1"/>
  <c r="I851" i="28"/>
  <c r="J866" i="28"/>
  <c r="L866" i="28" s="1"/>
  <c r="I866" i="28"/>
  <c r="AT685" i="7"/>
  <c r="AS686" i="7"/>
  <c r="I853" i="28" l="1"/>
  <c r="J853" i="28"/>
  <c r="L853" i="28" s="1"/>
  <c r="I868" i="28"/>
  <c r="J868" i="28"/>
  <c r="L868" i="28" s="1"/>
  <c r="AT686" i="7"/>
  <c r="AS687" i="7"/>
  <c r="I870" i="28" l="1"/>
  <c r="J870" i="28"/>
  <c r="L870" i="28" s="1"/>
  <c r="I855" i="28"/>
  <c r="J855" i="28"/>
  <c r="L855" i="28" s="1"/>
  <c r="AT687" i="7"/>
  <c r="AS688" i="7"/>
  <c r="J857" i="28" l="1"/>
  <c r="L857" i="28" s="1"/>
  <c r="I857" i="28"/>
  <c r="J872" i="28"/>
  <c r="L872" i="28" s="1"/>
  <c r="I872" i="28"/>
  <c r="AT688" i="7"/>
  <c r="AS689" i="7"/>
  <c r="J859" i="28" l="1"/>
  <c r="L859" i="28" s="1"/>
  <c r="I859" i="28"/>
  <c r="J874" i="28"/>
  <c r="L874" i="28" s="1"/>
  <c r="I874" i="28"/>
  <c r="AT689" i="7"/>
  <c r="AS690" i="7"/>
  <c r="I876" i="28" l="1"/>
  <c r="J876" i="28"/>
  <c r="L876" i="28" s="1"/>
  <c r="I861" i="28"/>
  <c r="J861" i="28"/>
  <c r="L861" i="28" s="1"/>
  <c r="AT690" i="7"/>
  <c r="AS691" i="7"/>
  <c r="J863" i="28" l="1"/>
  <c r="L863" i="28" s="1"/>
  <c r="I863" i="28"/>
  <c r="J878" i="28"/>
  <c r="L878" i="28" s="1"/>
  <c r="I878" i="28"/>
  <c r="AT691" i="7"/>
  <c r="AS692" i="7"/>
  <c r="I880" i="28" l="1"/>
  <c r="J880" i="28"/>
  <c r="L880" i="28" s="1"/>
  <c r="J865" i="28"/>
  <c r="L865" i="28" s="1"/>
  <c r="I865" i="28"/>
  <c r="AT692" i="7"/>
  <c r="AS693" i="7"/>
  <c r="I867" i="28" l="1"/>
  <c r="J867" i="28"/>
  <c r="L867" i="28" s="1"/>
  <c r="I882" i="28"/>
  <c r="J882" i="28"/>
  <c r="L882" i="28" s="1"/>
  <c r="AT693" i="7"/>
  <c r="AS694" i="7"/>
  <c r="J884" i="28" l="1"/>
  <c r="L884" i="28" s="1"/>
  <c r="I884" i="28"/>
  <c r="J869" i="28"/>
  <c r="L869" i="28" s="1"/>
  <c r="I869" i="28"/>
  <c r="AT694" i="7"/>
  <c r="AS695" i="7"/>
  <c r="I871" i="28" l="1"/>
  <c r="J871" i="28"/>
  <c r="L871" i="28" s="1"/>
  <c r="J886" i="28"/>
  <c r="L886" i="28" s="1"/>
  <c r="I886" i="28"/>
  <c r="AT695" i="7"/>
  <c r="AS696" i="7"/>
  <c r="J888" i="28" l="1"/>
  <c r="L888" i="28" s="1"/>
  <c r="I888" i="28"/>
  <c r="I873" i="28"/>
  <c r="J873" i="28"/>
  <c r="L873" i="28" s="1"/>
  <c r="AT696" i="7"/>
  <c r="AS697" i="7"/>
  <c r="J875" i="28" l="1"/>
  <c r="L875" i="28" s="1"/>
  <c r="I875" i="28"/>
  <c r="J890" i="28"/>
  <c r="L890" i="28" s="1"/>
  <c r="I890" i="28"/>
  <c r="AT697" i="7"/>
  <c r="AS698" i="7"/>
  <c r="J892" i="28" l="1"/>
  <c r="L892" i="28" s="1"/>
  <c r="I892" i="28"/>
  <c r="J877" i="28"/>
  <c r="L877" i="28" s="1"/>
  <c r="I877" i="28"/>
  <c r="AT698" i="7"/>
  <c r="AS699" i="7"/>
  <c r="I879" i="28" l="1"/>
  <c r="J879" i="28"/>
  <c r="L879" i="28" s="1"/>
  <c r="J894" i="28"/>
  <c r="L894" i="28" s="1"/>
  <c r="I894" i="28"/>
  <c r="AT699" i="7"/>
  <c r="AS700" i="7"/>
  <c r="I896" i="28" l="1"/>
  <c r="J896" i="28"/>
  <c r="L896" i="28" s="1"/>
  <c r="I881" i="28"/>
  <c r="J881" i="28"/>
  <c r="L881" i="28" s="1"/>
  <c r="AT700" i="7"/>
  <c r="AS701" i="7"/>
  <c r="J883" i="28" l="1"/>
  <c r="L883" i="28" s="1"/>
  <c r="I883" i="28"/>
  <c r="J898" i="28"/>
  <c r="L898" i="28" s="1"/>
  <c r="I898" i="28"/>
  <c r="AT701" i="7"/>
  <c r="AS702" i="7"/>
  <c r="I900" i="28" l="1"/>
  <c r="J900" i="28"/>
  <c r="L900" i="28" s="1"/>
  <c r="J885" i="28"/>
  <c r="L885" i="28" s="1"/>
  <c r="I885" i="28"/>
  <c r="AT702" i="7"/>
  <c r="AS703" i="7"/>
  <c r="J887" i="28" l="1"/>
  <c r="L887" i="28" s="1"/>
  <c r="I887" i="28"/>
  <c r="J902" i="28"/>
  <c r="L902" i="28" s="1"/>
  <c r="I902" i="28"/>
  <c r="AT703" i="7"/>
  <c r="AS704" i="7"/>
  <c r="I904" i="28" l="1"/>
  <c r="J904" i="28"/>
  <c r="L904" i="28" s="1"/>
  <c r="J889" i="28"/>
  <c r="L889" i="28" s="1"/>
  <c r="I889" i="28"/>
  <c r="AT704" i="7"/>
  <c r="AS705" i="7"/>
  <c r="I891" i="28" l="1"/>
  <c r="J891" i="28"/>
  <c r="L891" i="28" s="1"/>
  <c r="J906" i="28"/>
  <c r="L906" i="28" s="1"/>
  <c r="I906" i="28"/>
  <c r="AT705" i="7"/>
  <c r="AS706" i="7"/>
  <c r="I908" i="28" l="1"/>
  <c r="J908" i="28"/>
  <c r="L908" i="28" s="1"/>
  <c r="J893" i="28"/>
  <c r="L893" i="28" s="1"/>
  <c r="I893" i="28"/>
  <c r="AT706" i="7"/>
  <c r="AS707" i="7"/>
  <c r="I895" i="28" l="1"/>
  <c r="J895" i="28"/>
  <c r="L895" i="28" s="1"/>
  <c r="J910" i="28"/>
  <c r="L910" i="28" s="1"/>
  <c r="I910" i="28"/>
  <c r="AT707" i="7"/>
  <c r="AS708" i="7"/>
  <c r="J912" i="28" l="1"/>
  <c r="L912" i="28" s="1"/>
  <c r="I912" i="28"/>
  <c r="I897" i="28"/>
  <c r="J897" i="28"/>
  <c r="L897" i="28" s="1"/>
  <c r="AT708" i="7"/>
  <c r="AS709" i="7"/>
  <c r="J899" i="28" l="1"/>
  <c r="L899" i="28" s="1"/>
  <c r="I899" i="28"/>
  <c r="J914" i="28"/>
  <c r="L914" i="28" s="1"/>
  <c r="I914" i="28"/>
  <c r="AT709" i="7"/>
  <c r="AS710" i="7"/>
  <c r="J916" i="28" l="1"/>
  <c r="L916" i="28" s="1"/>
  <c r="I916" i="28"/>
  <c r="J901" i="28"/>
  <c r="L901" i="28" s="1"/>
  <c r="I901" i="28"/>
  <c r="AT710" i="7"/>
  <c r="AS711" i="7"/>
  <c r="J903" i="28" l="1"/>
  <c r="L903" i="28" s="1"/>
  <c r="I903" i="28"/>
  <c r="I918" i="28"/>
  <c r="J918" i="28"/>
  <c r="L918" i="28" s="1"/>
  <c r="AT711" i="7"/>
  <c r="AS712" i="7"/>
  <c r="J920" i="28" l="1"/>
  <c r="L920" i="28" s="1"/>
  <c r="I920" i="28"/>
  <c r="I905" i="28"/>
  <c r="J905" i="28"/>
  <c r="L905" i="28" s="1"/>
  <c r="AT712" i="7"/>
  <c r="AS713" i="7"/>
  <c r="I907" i="28" l="1"/>
  <c r="J907" i="28"/>
  <c r="L907" i="28" s="1"/>
  <c r="J922" i="28"/>
  <c r="L922" i="28" s="1"/>
  <c r="I922" i="28"/>
  <c r="AT713" i="7"/>
  <c r="AS714" i="7"/>
  <c r="J924" i="28" l="1"/>
  <c r="L924" i="28" s="1"/>
  <c r="I924" i="28"/>
  <c r="I909" i="28"/>
  <c r="J909" i="28"/>
  <c r="L909" i="28" s="1"/>
  <c r="AT714" i="7"/>
  <c r="AS715" i="7"/>
  <c r="I911" i="28" l="1"/>
  <c r="J911" i="28"/>
  <c r="L911" i="28" s="1"/>
  <c r="J926" i="28"/>
  <c r="L926" i="28" s="1"/>
  <c r="I926" i="28"/>
  <c r="AT715" i="7"/>
  <c r="AS716" i="7"/>
  <c r="I928" i="28" l="1"/>
  <c r="J928" i="28"/>
  <c r="L928" i="28" s="1"/>
  <c r="I913" i="28"/>
  <c r="J913" i="28"/>
  <c r="L913" i="28" s="1"/>
  <c r="AT716" i="7"/>
  <c r="AS717" i="7"/>
  <c r="J915" i="28" l="1"/>
  <c r="L915" i="28" s="1"/>
  <c r="I915" i="28"/>
  <c r="I930" i="28"/>
  <c r="J930" i="28"/>
  <c r="L930" i="28" s="1"/>
  <c r="AT717" i="7"/>
  <c r="AS718" i="7"/>
  <c r="J932" i="28" l="1"/>
  <c r="L932" i="28" s="1"/>
  <c r="I932" i="28"/>
  <c r="J917" i="28"/>
  <c r="L917" i="28" s="1"/>
  <c r="I917" i="28"/>
  <c r="AT718" i="7"/>
  <c r="AS719" i="7"/>
  <c r="I919" i="28" l="1"/>
  <c r="J919" i="28"/>
  <c r="L919" i="28" s="1"/>
  <c r="J934" i="28"/>
  <c r="L934" i="28" s="1"/>
  <c r="I934" i="28"/>
  <c r="AT719" i="7"/>
  <c r="AS720" i="7"/>
  <c r="I936" i="28" l="1"/>
  <c r="J936" i="28"/>
  <c r="L936" i="28" s="1"/>
  <c r="J921" i="28"/>
  <c r="L921" i="28" s="1"/>
  <c r="I921" i="28"/>
  <c r="AT720" i="7"/>
  <c r="AS721" i="7"/>
  <c r="I923" i="28" l="1"/>
  <c r="J923" i="28"/>
  <c r="L923" i="28" s="1"/>
  <c r="I938" i="28"/>
  <c r="J938" i="28"/>
  <c r="L938" i="28" s="1"/>
  <c r="AT721" i="7"/>
  <c r="AS722" i="7"/>
  <c r="I940" i="28" l="1"/>
  <c r="J940" i="28"/>
  <c r="L940" i="28" s="1"/>
  <c r="J925" i="28"/>
  <c r="L925" i="28" s="1"/>
  <c r="I925" i="28"/>
  <c r="AT722" i="7"/>
  <c r="AS723" i="7"/>
  <c r="J927" i="28" l="1"/>
  <c r="L927" i="28" s="1"/>
  <c r="I927" i="28"/>
  <c r="J942" i="28"/>
  <c r="L942" i="28" s="1"/>
  <c r="I942" i="28"/>
  <c r="AT723" i="7"/>
  <c r="AS724" i="7"/>
  <c r="I944" i="28" l="1"/>
  <c r="J944" i="28"/>
  <c r="L944" i="28" s="1"/>
  <c r="I929" i="28"/>
  <c r="J929" i="28"/>
  <c r="L929" i="28" s="1"/>
  <c r="AT724" i="7"/>
  <c r="AS725" i="7"/>
  <c r="I931" i="28" l="1"/>
  <c r="J931" i="28"/>
  <c r="L931" i="28" s="1"/>
  <c r="J946" i="28"/>
  <c r="L946" i="28" s="1"/>
  <c r="I946" i="28"/>
  <c r="AT725" i="7"/>
  <c r="AS726" i="7"/>
  <c r="J948" i="28" l="1"/>
  <c r="L948" i="28" s="1"/>
  <c r="I948" i="28"/>
  <c r="I933" i="28"/>
  <c r="J933" i="28"/>
  <c r="L933" i="28" s="1"/>
  <c r="AT726" i="7"/>
  <c r="AS727" i="7"/>
  <c r="I935" i="28" l="1"/>
  <c r="J935" i="28"/>
  <c r="L935" i="28" s="1"/>
  <c r="I950" i="28"/>
  <c r="J950" i="28"/>
  <c r="L950" i="28" s="1"/>
  <c r="AT727" i="7"/>
  <c r="AS728" i="7"/>
  <c r="I952" i="28" l="1"/>
  <c r="J952" i="28"/>
  <c r="L952" i="28" s="1"/>
  <c r="I937" i="28"/>
  <c r="J937" i="28"/>
  <c r="L937" i="28" s="1"/>
  <c r="AT728" i="7"/>
  <c r="AS729" i="7"/>
  <c r="I939" i="28" l="1"/>
  <c r="J939" i="28"/>
  <c r="L939" i="28" s="1"/>
  <c r="I954" i="28"/>
  <c r="J954" i="28"/>
  <c r="L954" i="28" s="1"/>
  <c r="AT729" i="7"/>
  <c r="AS730" i="7"/>
  <c r="J956" i="28" l="1"/>
  <c r="L956" i="28" s="1"/>
  <c r="I956" i="28"/>
  <c r="I941" i="28"/>
  <c r="J941" i="28"/>
  <c r="L941" i="28" s="1"/>
  <c r="AT730" i="7"/>
  <c r="AS731" i="7"/>
  <c r="I943" i="28" l="1"/>
  <c r="J943" i="28"/>
  <c r="L943" i="28" s="1"/>
  <c r="I958" i="28"/>
  <c r="J958" i="28"/>
  <c r="L958" i="28" s="1"/>
  <c r="AT731" i="7"/>
  <c r="AS732" i="7"/>
  <c r="I960" i="28" l="1"/>
  <c r="J960" i="28"/>
  <c r="L960" i="28" s="1"/>
  <c r="J945" i="28"/>
  <c r="L945" i="28" s="1"/>
  <c r="I945" i="28"/>
  <c r="AT732" i="7"/>
  <c r="AS733" i="7"/>
  <c r="I947" i="28" l="1"/>
  <c r="J947" i="28"/>
  <c r="L947" i="28" s="1"/>
  <c r="I962" i="28"/>
  <c r="J962" i="28"/>
  <c r="L962" i="28" s="1"/>
  <c r="AT733" i="7"/>
  <c r="AS734" i="7"/>
  <c r="J964" i="28" l="1"/>
  <c r="L964" i="28" s="1"/>
  <c r="I964" i="28"/>
  <c r="J949" i="28"/>
  <c r="L949" i="28" s="1"/>
  <c r="I949" i="28"/>
  <c r="AT734" i="7"/>
  <c r="AS735" i="7"/>
  <c r="J951" i="28" l="1"/>
  <c r="L951" i="28" s="1"/>
  <c r="I951" i="28"/>
  <c r="I966" i="28"/>
  <c r="J966" i="28"/>
  <c r="L966" i="28" s="1"/>
  <c r="AT735" i="7"/>
  <c r="AS736" i="7"/>
  <c r="J968" i="28" l="1"/>
  <c r="L968" i="28" s="1"/>
  <c r="I968" i="28"/>
  <c r="I953" i="28"/>
  <c r="J953" i="28"/>
  <c r="L953" i="28" s="1"/>
  <c r="AT736" i="7"/>
  <c r="AS737" i="7"/>
  <c r="I955" i="28" l="1"/>
  <c r="J955" i="28"/>
  <c r="L955" i="28" s="1"/>
  <c r="J970" i="28"/>
  <c r="L970" i="28" s="1"/>
  <c r="I970" i="28"/>
  <c r="AT737" i="7"/>
  <c r="AS738" i="7"/>
  <c r="I972" i="28" l="1"/>
  <c r="J972" i="28"/>
  <c r="L972" i="28" s="1"/>
  <c r="I957" i="28"/>
  <c r="J957" i="28"/>
  <c r="L957" i="28" s="1"/>
  <c r="AT738" i="7"/>
  <c r="AS739" i="7"/>
  <c r="I959" i="28" l="1"/>
  <c r="J959" i="28"/>
  <c r="L959" i="28" s="1"/>
  <c r="I974" i="28"/>
  <c r="J974" i="28"/>
  <c r="L974" i="28" s="1"/>
  <c r="AT739" i="7"/>
  <c r="AS740" i="7"/>
  <c r="J976" i="28" l="1"/>
  <c r="L976" i="28" s="1"/>
  <c r="I976" i="28"/>
  <c r="J961" i="28"/>
  <c r="L961" i="28" s="1"/>
  <c r="I961" i="28"/>
  <c r="AT740" i="7"/>
  <c r="AS741" i="7"/>
  <c r="J963" i="28" l="1"/>
  <c r="L963" i="28" s="1"/>
  <c r="I963" i="28"/>
  <c r="J978" i="28"/>
  <c r="L978" i="28" s="1"/>
  <c r="I978" i="28"/>
  <c r="AT741" i="7"/>
  <c r="AS742" i="7"/>
  <c r="I980" i="28" l="1"/>
  <c r="J980" i="28"/>
  <c r="L980" i="28" s="1"/>
  <c r="I965" i="28"/>
  <c r="J965" i="28"/>
  <c r="L965" i="28" s="1"/>
  <c r="AT742" i="7"/>
  <c r="AS743" i="7"/>
  <c r="J967" i="28" l="1"/>
  <c r="L967" i="28" s="1"/>
  <c r="I967" i="28"/>
  <c r="J982" i="28"/>
  <c r="L982" i="28" s="1"/>
  <c r="I982" i="28"/>
  <c r="AT743" i="7"/>
  <c r="AS744" i="7"/>
  <c r="J984" i="28" l="1"/>
  <c r="L984" i="28" s="1"/>
  <c r="I984" i="28"/>
  <c r="I969" i="28"/>
  <c r="J969" i="28"/>
  <c r="L969" i="28" s="1"/>
  <c r="AT744" i="7"/>
  <c r="AS745" i="7"/>
  <c r="I971" i="28" l="1"/>
  <c r="J971" i="28"/>
  <c r="L971" i="28" s="1"/>
  <c r="J986" i="28"/>
  <c r="L986" i="28" s="1"/>
  <c r="I986" i="28"/>
  <c r="AT745" i="7"/>
  <c r="AS746" i="7"/>
  <c r="I988" i="28" l="1"/>
  <c r="J988" i="28"/>
  <c r="L988" i="28" s="1"/>
  <c r="J973" i="28"/>
  <c r="L973" i="28" s="1"/>
  <c r="I973" i="28"/>
  <c r="AT746" i="7"/>
  <c r="AS747" i="7"/>
  <c r="J975" i="28" l="1"/>
  <c r="L975" i="28" s="1"/>
  <c r="I975" i="28"/>
  <c r="J990" i="28"/>
  <c r="L990" i="28" s="1"/>
  <c r="I990" i="28"/>
  <c r="AT747" i="7"/>
  <c r="AS748" i="7"/>
  <c r="J992" i="28" l="1"/>
  <c r="L992" i="28" s="1"/>
  <c r="I992" i="28"/>
  <c r="J977" i="28"/>
  <c r="L977" i="28" s="1"/>
  <c r="I977" i="28"/>
  <c r="AT748" i="7"/>
  <c r="AS749" i="7"/>
  <c r="I979" i="28" l="1"/>
  <c r="J979" i="28"/>
  <c r="L979" i="28" s="1"/>
  <c r="I994" i="28"/>
  <c r="J994" i="28"/>
  <c r="L994" i="28" s="1"/>
  <c r="AT749" i="7"/>
  <c r="AS750" i="7"/>
  <c r="I996" i="28" l="1"/>
  <c r="J996" i="28"/>
  <c r="L996" i="28" s="1"/>
  <c r="I981" i="28"/>
  <c r="J981" i="28"/>
  <c r="L981" i="28" s="1"/>
  <c r="AT750" i="7"/>
  <c r="AS751" i="7"/>
  <c r="J983" i="28" l="1"/>
  <c r="L983" i="28" s="1"/>
  <c r="I983" i="28"/>
  <c r="J998" i="28"/>
  <c r="L998" i="28" s="1"/>
  <c r="I998" i="28"/>
  <c r="AT751" i="7"/>
  <c r="AS752" i="7"/>
  <c r="J1000" i="28" l="1"/>
  <c r="L1000" i="28" s="1"/>
  <c r="I1000" i="28"/>
  <c r="J985" i="28"/>
  <c r="L985" i="28" s="1"/>
  <c r="I985" i="28"/>
  <c r="AT752" i="7"/>
  <c r="AS753" i="7"/>
  <c r="J987" i="28" l="1"/>
  <c r="L987" i="28" s="1"/>
  <c r="I987" i="28"/>
  <c r="J1002" i="28"/>
  <c r="L1002" i="28" s="1"/>
  <c r="I1002" i="28"/>
  <c r="AT753" i="7"/>
  <c r="AS754" i="7"/>
  <c r="I1004" i="28" l="1"/>
  <c r="J1004" i="28"/>
  <c r="L1004" i="28" s="1"/>
  <c r="I989" i="28"/>
  <c r="J989" i="28"/>
  <c r="L989" i="28" s="1"/>
  <c r="AT754" i="7"/>
  <c r="AS755" i="7"/>
  <c r="J991" i="28" l="1"/>
  <c r="L991" i="28" s="1"/>
  <c r="I991" i="28"/>
  <c r="I1006" i="28"/>
  <c r="J1006" i="28"/>
  <c r="L1006" i="28" s="1"/>
  <c r="AT755" i="7"/>
  <c r="AS756" i="7"/>
  <c r="J1008" i="28" l="1"/>
  <c r="L1008" i="28" s="1"/>
  <c r="I1008" i="28"/>
  <c r="J993" i="28"/>
  <c r="L993" i="28" s="1"/>
  <c r="I993" i="28"/>
  <c r="AT756" i="7"/>
  <c r="AS757" i="7"/>
  <c r="J995" i="28" l="1"/>
  <c r="L995" i="28" s="1"/>
  <c r="I995" i="28"/>
  <c r="J1010" i="28"/>
  <c r="L1010" i="28" s="1"/>
  <c r="I1010" i="28"/>
  <c r="AT757" i="7"/>
  <c r="AS758" i="7"/>
  <c r="I1012" i="28" l="1"/>
  <c r="J1012" i="28"/>
  <c r="L1012" i="28" s="1"/>
  <c r="J997" i="28"/>
  <c r="L997" i="28" s="1"/>
  <c r="I997" i="28"/>
  <c r="AT758" i="7"/>
  <c r="AS759" i="7"/>
  <c r="I999" i="28" l="1"/>
  <c r="J999" i="28"/>
  <c r="L999" i="28" s="1"/>
  <c r="I1014" i="28"/>
  <c r="J1014" i="28"/>
  <c r="L1014" i="28" s="1"/>
  <c r="AT759" i="7"/>
  <c r="AS760" i="7"/>
  <c r="J1016" i="28" l="1"/>
  <c r="L1016" i="28" s="1"/>
  <c r="I1016" i="28"/>
  <c r="J1001" i="28"/>
  <c r="L1001" i="28" s="1"/>
  <c r="I1001" i="28"/>
  <c r="AT760" i="7"/>
  <c r="AS761" i="7"/>
  <c r="I1003" i="28" l="1"/>
  <c r="J1003" i="28"/>
  <c r="L1003" i="28" s="1"/>
  <c r="J1018" i="28"/>
  <c r="L1018" i="28" s="1"/>
  <c r="I1018" i="28"/>
  <c r="AT761" i="7"/>
  <c r="AS762" i="7"/>
  <c r="J1020" i="28" l="1"/>
  <c r="L1020" i="28" s="1"/>
  <c r="I1020" i="28"/>
  <c r="I1005" i="28"/>
  <c r="J1005" i="28"/>
  <c r="L1005" i="28" s="1"/>
  <c r="AT762" i="7"/>
  <c r="AS763" i="7"/>
  <c r="J1007" i="28" l="1"/>
  <c r="L1007" i="28" s="1"/>
  <c r="I1007" i="28"/>
  <c r="J1022" i="28"/>
  <c r="L1022" i="28" s="1"/>
  <c r="I1022" i="28"/>
  <c r="AT763" i="7"/>
  <c r="AS764" i="7"/>
  <c r="J1009" i="28" l="1"/>
  <c r="L1009" i="28" s="1"/>
  <c r="I1009" i="28"/>
  <c r="J1024" i="28"/>
  <c r="L1024" i="28" s="1"/>
  <c r="I1024" i="28"/>
  <c r="AT764" i="7"/>
  <c r="AS765" i="7"/>
  <c r="I1026" i="28" l="1"/>
  <c r="J1026" i="28"/>
  <c r="L1026" i="28" s="1"/>
  <c r="J1011" i="28"/>
  <c r="L1011" i="28" s="1"/>
  <c r="I1011" i="28"/>
  <c r="AT765" i="7"/>
  <c r="AS766" i="7"/>
  <c r="J1013" i="28" l="1"/>
  <c r="L1013" i="28" s="1"/>
  <c r="I1013" i="28"/>
  <c r="J1028" i="28"/>
  <c r="L1028" i="28" s="1"/>
  <c r="I1028" i="28"/>
  <c r="AT766" i="7"/>
  <c r="AS767" i="7"/>
  <c r="I1030" i="28" l="1"/>
  <c r="J1030" i="28"/>
  <c r="L1030" i="28" s="1"/>
  <c r="I1015" i="28"/>
  <c r="J1015" i="28"/>
  <c r="L1015" i="28" s="1"/>
  <c r="AT767" i="7"/>
  <c r="AS768" i="7"/>
  <c r="I1017" i="28" l="1"/>
  <c r="J1017" i="28"/>
  <c r="L1017" i="28" s="1"/>
  <c r="J1032" i="28"/>
  <c r="L1032" i="28" s="1"/>
  <c r="I1032" i="28"/>
  <c r="AT768" i="7"/>
  <c r="AS769" i="7"/>
  <c r="I1034" i="28" l="1"/>
  <c r="J1034" i="28"/>
  <c r="L1034" i="28" s="1"/>
  <c r="J1019" i="28"/>
  <c r="L1019" i="28" s="1"/>
  <c r="I1019" i="28"/>
  <c r="AT769" i="7"/>
  <c r="AS770" i="7"/>
  <c r="I1021" i="28" l="1"/>
  <c r="J1021" i="28"/>
  <c r="L1021" i="28" s="1"/>
  <c r="I1036" i="28"/>
  <c r="J1036" i="28"/>
  <c r="L1036" i="28" s="1"/>
  <c r="AT770" i="7"/>
  <c r="AS771" i="7"/>
  <c r="I1038" i="28" l="1"/>
  <c r="J1038" i="28"/>
  <c r="L1038" i="28" s="1"/>
  <c r="I1023" i="28"/>
  <c r="J1023" i="28"/>
  <c r="L1023" i="28" s="1"/>
  <c r="AT771" i="7"/>
  <c r="AS772" i="7"/>
  <c r="I1025" i="28" l="1"/>
  <c r="J1025" i="28"/>
  <c r="L1025" i="28" s="1"/>
  <c r="I1040" i="28"/>
  <c r="J1040" i="28"/>
  <c r="L1040" i="28" s="1"/>
  <c r="AT772" i="7"/>
  <c r="AS773" i="7"/>
  <c r="J1042" i="28" l="1"/>
  <c r="L1042" i="28" s="1"/>
  <c r="I1042" i="28"/>
  <c r="I1027" i="28"/>
  <c r="J1027" i="28"/>
  <c r="L1027" i="28" s="1"/>
  <c r="AT773" i="7"/>
  <c r="AS774" i="7"/>
  <c r="I1029" i="28" l="1"/>
  <c r="J1029" i="28"/>
  <c r="L1029" i="28" s="1"/>
  <c r="J1044" i="28"/>
  <c r="L1044" i="28" s="1"/>
  <c r="I1044" i="28"/>
  <c r="AT774" i="7"/>
  <c r="AS775" i="7"/>
  <c r="J1046" i="28" l="1"/>
  <c r="L1046" i="28" s="1"/>
  <c r="I1046" i="28"/>
  <c r="J1031" i="28"/>
  <c r="L1031" i="28" s="1"/>
  <c r="I1031" i="28"/>
  <c r="AT775" i="7"/>
  <c r="AS776" i="7"/>
  <c r="J1033" i="28" l="1"/>
  <c r="L1033" i="28" s="1"/>
  <c r="I1033" i="28"/>
  <c r="I1048" i="28"/>
  <c r="J1048" i="28"/>
  <c r="L1048" i="28" s="1"/>
  <c r="AT776" i="7"/>
  <c r="AS777" i="7"/>
  <c r="I1050" i="28" l="1"/>
  <c r="J1050" i="28"/>
  <c r="L1050" i="28" s="1"/>
  <c r="J1035" i="28"/>
  <c r="L1035" i="28" s="1"/>
  <c r="I1035" i="28"/>
  <c r="AT777" i="7"/>
  <c r="AS778" i="7"/>
  <c r="J1037" i="28" l="1"/>
  <c r="L1037" i="28" s="1"/>
  <c r="I1037" i="28"/>
  <c r="J1052" i="28"/>
  <c r="L1052" i="28" s="1"/>
  <c r="I1052" i="28"/>
  <c r="AT778" i="7"/>
  <c r="AS779" i="7"/>
  <c r="I1054" i="28" l="1"/>
  <c r="J1054" i="28"/>
  <c r="L1054" i="28" s="1"/>
  <c r="J1039" i="28"/>
  <c r="L1039" i="28" s="1"/>
  <c r="I1039" i="28"/>
  <c r="AT779" i="7"/>
  <c r="AS780" i="7"/>
  <c r="I1041" i="28" l="1"/>
  <c r="J1041" i="28"/>
  <c r="L1041" i="28" s="1"/>
  <c r="I1056" i="28"/>
  <c r="J1056" i="28"/>
  <c r="L1056" i="28" s="1"/>
  <c r="AT780" i="7"/>
  <c r="AS781" i="7"/>
  <c r="J1058" i="28" l="1"/>
  <c r="L1058" i="28" s="1"/>
  <c r="I1058" i="28"/>
  <c r="I1043" i="28"/>
  <c r="J1043" i="28"/>
  <c r="L1043" i="28" s="1"/>
  <c r="AT781" i="7"/>
  <c r="AS782" i="7"/>
  <c r="J1045" i="28" l="1"/>
  <c r="L1045" i="28" s="1"/>
  <c r="I1045" i="28"/>
  <c r="J1060" i="28"/>
  <c r="L1060" i="28" s="1"/>
  <c r="I1060" i="28"/>
  <c r="AT782" i="7"/>
  <c r="AS783" i="7"/>
  <c r="I1062" i="28" l="1"/>
  <c r="J1062" i="28"/>
  <c r="L1062" i="28" s="1"/>
  <c r="J1047" i="28"/>
  <c r="L1047" i="28" s="1"/>
  <c r="I1047" i="28"/>
  <c r="AT783" i="7"/>
  <c r="AS784" i="7"/>
  <c r="J1049" i="28" l="1"/>
  <c r="L1049" i="28" s="1"/>
  <c r="I1049" i="28"/>
  <c r="I1064" i="28"/>
  <c r="J1064" i="28"/>
  <c r="L1064" i="28" s="1"/>
  <c r="AT784" i="7"/>
  <c r="AS785" i="7"/>
  <c r="I1066" i="28" l="1"/>
  <c r="J1066" i="28"/>
  <c r="I1051" i="28"/>
  <c r="J1051" i="28"/>
  <c r="L1051" i="28" s="1"/>
  <c r="AT785" i="7"/>
  <c r="AS786" i="7"/>
  <c r="L1066" i="28" l="1"/>
  <c r="I1053" i="28"/>
  <c r="J1053" i="28"/>
  <c r="L1053" i="28" s="1"/>
  <c r="C14" i="28"/>
  <c r="AT786" i="7"/>
  <c r="AS787" i="7"/>
  <c r="I1055" i="28" l="1"/>
  <c r="J1055" i="28"/>
  <c r="AT787" i="7"/>
  <c r="AS788" i="7"/>
  <c r="L1055" i="28" l="1"/>
  <c r="AT788" i="7"/>
  <c r="AS789" i="7"/>
  <c r="I1057" i="28" l="1"/>
  <c r="J1057" i="28"/>
  <c r="AT789" i="7"/>
  <c r="AS790" i="7"/>
  <c r="L1057" i="28" l="1"/>
  <c r="AT790" i="7"/>
  <c r="AS791" i="7"/>
  <c r="J1059" i="28" l="1"/>
  <c r="I1059" i="28"/>
  <c r="AT791" i="7"/>
  <c r="AS792" i="7"/>
  <c r="L1059" i="28" l="1"/>
  <c r="AT792" i="7"/>
  <c r="AS793" i="7"/>
  <c r="I1061" i="28" l="1"/>
  <c r="J1061" i="28"/>
  <c r="AT793" i="7"/>
  <c r="AS794" i="7"/>
  <c r="L1061" i="28" l="1"/>
  <c r="I1063" i="28"/>
  <c r="J1063" i="28"/>
  <c r="L1063" i="28" s="1"/>
  <c r="AT794" i="7"/>
  <c r="AS795" i="7"/>
  <c r="I1065" i="28" l="1"/>
  <c r="K5" i="28" s="1"/>
  <c r="J1065" i="28"/>
  <c r="J5" i="28" s="1"/>
  <c r="AT795" i="7"/>
  <c r="AS796" i="7"/>
  <c r="H430" i="45" l="1"/>
  <c r="H432" i="45" s="1"/>
  <c r="I432" i="45" s="1"/>
  <c r="T49" i="41"/>
  <c r="V49" i="41" s="1"/>
  <c r="L1065" i="28"/>
  <c r="L5" i="28" s="1"/>
  <c r="AT796" i="7"/>
  <c r="AS797" i="7"/>
  <c r="H434" i="45" l="1"/>
  <c r="H451" i="45"/>
  <c r="I434" i="45"/>
  <c r="T53" i="41"/>
  <c r="N26" i="30" s="1"/>
  <c r="J26" i="30"/>
  <c r="L26" i="30" s="1"/>
  <c r="F81" i="41"/>
  <c r="AT797" i="7"/>
  <c r="AS798" i="7"/>
  <c r="I451" i="45" l="1"/>
  <c r="J14" i="46"/>
  <c r="AT798" i="7"/>
  <c r="AS799" i="7"/>
  <c r="AT799" i="7" l="1"/>
  <c r="AS800" i="7"/>
  <c r="F111" i="41" l="1"/>
  <c r="AT800" i="7"/>
  <c r="AS801" i="7"/>
  <c r="F126" i="41" l="1"/>
  <c r="F128" i="41" s="1"/>
  <c r="F129" i="41" s="1"/>
  <c r="F160" i="41"/>
  <c r="F161" i="41" s="1"/>
  <c r="F141" i="41"/>
  <c r="AT801" i="7"/>
  <c r="AS802" i="7"/>
  <c r="F127" i="41" l="1"/>
  <c r="AT802" i="7"/>
  <c r="AS803" i="7"/>
  <c r="AT803" i="7" l="1"/>
  <c r="AS804" i="7"/>
  <c r="AT804" i="7" l="1"/>
  <c r="AS805" i="7"/>
  <c r="AT805" i="7" l="1"/>
  <c r="AS806" i="7"/>
  <c r="AT806" i="7" l="1"/>
  <c r="AS807" i="7"/>
  <c r="AT807" i="7" l="1"/>
  <c r="AS808" i="7"/>
  <c r="AT808" i="7" l="1"/>
  <c r="AS809" i="7"/>
  <c r="AT809" i="7" l="1"/>
  <c r="AS810" i="7"/>
  <c r="AT810" i="7" l="1"/>
  <c r="AS811" i="7"/>
  <c r="AT811" i="7" l="1"/>
  <c r="AS812" i="7"/>
  <c r="AT812" i="7" l="1"/>
  <c r="AS813" i="7"/>
  <c r="AT813" i="7" l="1"/>
  <c r="AS814" i="7"/>
  <c r="AT814" i="7" l="1"/>
  <c r="AS815" i="7"/>
  <c r="AT815" i="7" l="1"/>
  <c r="AS816" i="7"/>
  <c r="AT816" i="7" l="1"/>
  <c r="AS817" i="7"/>
  <c r="AT817" i="7" l="1"/>
  <c r="AS818" i="7"/>
  <c r="AT818" i="7" l="1"/>
  <c r="AS819" i="7"/>
  <c r="AT819" i="7" l="1"/>
  <c r="AS820" i="7"/>
  <c r="AT820" i="7" l="1"/>
  <c r="AS821" i="7"/>
  <c r="AT821" i="7" l="1"/>
  <c r="AS822" i="7"/>
  <c r="AT822" i="7" l="1"/>
  <c r="AS823" i="7"/>
  <c r="AT823" i="7" l="1"/>
  <c r="AS824" i="7"/>
  <c r="AT824" i="7" l="1"/>
  <c r="AS825" i="7"/>
  <c r="AT825" i="7" l="1"/>
  <c r="AS826" i="7"/>
  <c r="AT826" i="7" l="1"/>
  <c r="AS827" i="7"/>
  <c r="AT827" i="7" l="1"/>
  <c r="AS828" i="7"/>
  <c r="AT828" i="7" l="1"/>
  <c r="AS829" i="7"/>
  <c r="AT829" i="7" l="1"/>
  <c r="AS830" i="7"/>
  <c r="AT830" i="7" l="1"/>
  <c r="AS831" i="7"/>
  <c r="AT831" i="7" l="1"/>
  <c r="AS832" i="7"/>
  <c r="AT832" i="7" l="1"/>
  <c r="AS833" i="7"/>
  <c r="AT833" i="7" l="1"/>
  <c r="AS834" i="7"/>
  <c r="AT834" i="7" l="1"/>
  <c r="AS835" i="7"/>
  <c r="AT835" i="7" l="1"/>
  <c r="AS836" i="7"/>
  <c r="AT836" i="7" l="1"/>
  <c r="AS837" i="7"/>
  <c r="AT837" i="7" l="1"/>
  <c r="AS838" i="7"/>
  <c r="AT838" i="7" l="1"/>
  <c r="AS839" i="7"/>
  <c r="AT839" i="7" l="1"/>
  <c r="AS840" i="7"/>
  <c r="AT840" i="7" l="1"/>
  <c r="AS841" i="7"/>
  <c r="AT841" i="7" l="1"/>
  <c r="AS842" i="7"/>
  <c r="AT842" i="7" l="1"/>
  <c r="AS843" i="7"/>
  <c r="AT843" i="7" l="1"/>
  <c r="AS844" i="7"/>
  <c r="AT844" i="7" l="1"/>
  <c r="AS845" i="7"/>
  <c r="AT845" i="7" l="1"/>
  <c r="AS846" i="7"/>
  <c r="AT846" i="7" l="1"/>
  <c r="AS847" i="7"/>
  <c r="AT847" i="7" l="1"/>
  <c r="AS848" i="7"/>
  <c r="AT848" i="7" l="1"/>
  <c r="AS849" i="7"/>
  <c r="AT849" i="7" l="1"/>
  <c r="AS850" i="7"/>
  <c r="AT850" i="7" l="1"/>
  <c r="AS851" i="7"/>
  <c r="AT851" i="7" l="1"/>
  <c r="AS852" i="7"/>
  <c r="AT852" i="7" l="1"/>
  <c r="AS853" i="7"/>
  <c r="AT853" i="7" l="1"/>
  <c r="AS854" i="7"/>
  <c r="AT854" i="7" l="1"/>
  <c r="AS855" i="7"/>
  <c r="AT855" i="7" l="1"/>
  <c r="AS856" i="7"/>
  <c r="AT856" i="7" l="1"/>
  <c r="AS857" i="7"/>
  <c r="AT857" i="7" l="1"/>
  <c r="AS858" i="7"/>
  <c r="AT858" i="7" l="1"/>
  <c r="AS859" i="7"/>
  <c r="AT859" i="7" l="1"/>
  <c r="AS860" i="7"/>
  <c r="AT860" i="7" l="1"/>
  <c r="AS861" i="7"/>
  <c r="AT861" i="7" l="1"/>
  <c r="AS862" i="7"/>
  <c r="AT862" i="7" l="1"/>
  <c r="AS863" i="7"/>
  <c r="AT863" i="7" l="1"/>
  <c r="AS864" i="7"/>
  <c r="AT864" i="7" l="1"/>
  <c r="AS865" i="7"/>
  <c r="AT865" i="7" l="1"/>
  <c r="AS866" i="7"/>
  <c r="AT866" i="7" l="1"/>
  <c r="AS867" i="7"/>
  <c r="AT867" i="7" l="1"/>
  <c r="AS868" i="7"/>
  <c r="AT868" i="7" l="1"/>
  <c r="AS869" i="7"/>
  <c r="AT869" i="7" l="1"/>
  <c r="AS870" i="7"/>
  <c r="AT870" i="7" l="1"/>
  <c r="AS871" i="7"/>
  <c r="AT871" i="7" l="1"/>
  <c r="AS872" i="7"/>
  <c r="AT872" i="7" l="1"/>
  <c r="AS873" i="7"/>
  <c r="AT873" i="7" l="1"/>
  <c r="AS874" i="7"/>
  <c r="AT874" i="7" l="1"/>
  <c r="AS875" i="7"/>
  <c r="AT875" i="7" l="1"/>
  <c r="AS876" i="7"/>
  <c r="AT876" i="7" l="1"/>
  <c r="AS877" i="7"/>
  <c r="AT877" i="7" l="1"/>
  <c r="AS878" i="7"/>
  <c r="AT878" i="7" l="1"/>
  <c r="AS879" i="7"/>
  <c r="AT879" i="7" l="1"/>
  <c r="AS880" i="7"/>
  <c r="AT880" i="7" l="1"/>
  <c r="AS881" i="7"/>
  <c r="AT881" i="7" l="1"/>
  <c r="AS882" i="7"/>
  <c r="AT882" i="7" l="1"/>
  <c r="AS883" i="7"/>
  <c r="AT883" i="7" l="1"/>
  <c r="AS884" i="7"/>
  <c r="AT884" i="7" l="1"/>
  <c r="AS885" i="7"/>
  <c r="AT885" i="7" l="1"/>
  <c r="AS886" i="7"/>
  <c r="AT886" i="7" l="1"/>
  <c r="AS887" i="7"/>
  <c r="AT887" i="7" l="1"/>
  <c r="AS888" i="7"/>
  <c r="AT888" i="7" l="1"/>
  <c r="AS889" i="7"/>
  <c r="AT889" i="7" l="1"/>
  <c r="AS890" i="7"/>
  <c r="AT890" i="7" l="1"/>
  <c r="AS891" i="7"/>
  <c r="AT891" i="7" l="1"/>
  <c r="AS892" i="7"/>
  <c r="AT892" i="7" l="1"/>
  <c r="AS893" i="7"/>
  <c r="AT893" i="7" l="1"/>
  <c r="AS894" i="7"/>
  <c r="AT894" i="7" l="1"/>
  <c r="AS895" i="7"/>
  <c r="AT895" i="7" l="1"/>
  <c r="AS896" i="7"/>
  <c r="AT896" i="7" l="1"/>
  <c r="AS897" i="7"/>
  <c r="AT897" i="7" l="1"/>
  <c r="AS898" i="7"/>
  <c r="AT898" i="7" l="1"/>
  <c r="AS899" i="7"/>
  <c r="AT899" i="7" l="1"/>
  <c r="AS900" i="7"/>
  <c r="AT900" i="7" l="1"/>
  <c r="AS901" i="7"/>
  <c r="AT901" i="7" l="1"/>
  <c r="AS902" i="7"/>
  <c r="AT902" i="7" l="1"/>
  <c r="AS903" i="7"/>
  <c r="AT903" i="7" l="1"/>
  <c r="AS904" i="7"/>
  <c r="AT904" i="7" l="1"/>
  <c r="AS905" i="7"/>
  <c r="AT905" i="7" l="1"/>
  <c r="AS906" i="7"/>
  <c r="AT906" i="7" l="1"/>
  <c r="AS907" i="7"/>
  <c r="AT907" i="7" l="1"/>
  <c r="AS908" i="7"/>
  <c r="AT908" i="7" l="1"/>
  <c r="AS909" i="7"/>
  <c r="AT909" i="7" l="1"/>
  <c r="AS910" i="7"/>
  <c r="AT910" i="7" l="1"/>
  <c r="AS911" i="7"/>
  <c r="AT911" i="7" l="1"/>
  <c r="AS912" i="7"/>
  <c r="AT912" i="7" l="1"/>
  <c r="AS913" i="7"/>
  <c r="AT913" i="7" l="1"/>
  <c r="AS914" i="7"/>
  <c r="AT914" i="7" l="1"/>
  <c r="AS915" i="7"/>
  <c r="AT915" i="7" l="1"/>
  <c r="AS916" i="7"/>
  <c r="AT916" i="7" l="1"/>
  <c r="AS917" i="7"/>
  <c r="AT917" i="7" l="1"/>
  <c r="AS918" i="7"/>
  <c r="AT918" i="7" l="1"/>
  <c r="AS919" i="7"/>
  <c r="AT919" i="7" l="1"/>
  <c r="AS920" i="7"/>
  <c r="AT920" i="7" l="1"/>
  <c r="AS921" i="7"/>
  <c r="AT921" i="7" l="1"/>
  <c r="AS922" i="7"/>
  <c r="AT922" i="7" l="1"/>
  <c r="AS923" i="7"/>
  <c r="AT923" i="7" l="1"/>
  <c r="AS924" i="7"/>
  <c r="AT924" i="7" l="1"/>
  <c r="AS925" i="7"/>
  <c r="AT925" i="7" l="1"/>
  <c r="AS926" i="7"/>
  <c r="AT926" i="7" l="1"/>
  <c r="AS927" i="7"/>
  <c r="AT927" i="7" l="1"/>
  <c r="AS928" i="7"/>
  <c r="AT928" i="7" l="1"/>
  <c r="AS929" i="7"/>
  <c r="AT929" i="7" l="1"/>
  <c r="AS930" i="7"/>
  <c r="AT930" i="7" l="1"/>
  <c r="AS931" i="7"/>
  <c r="AT931" i="7" l="1"/>
  <c r="AS932" i="7"/>
  <c r="AT932" i="7" l="1"/>
  <c r="AS933" i="7"/>
  <c r="AT933" i="7" l="1"/>
  <c r="AS934" i="7"/>
  <c r="AT934" i="7" l="1"/>
  <c r="AS935" i="7"/>
  <c r="AT935" i="7" l="1"/>
  <c r="AS936" i="7"/>
  <c r="AT936" i="7" l="1"/>
  <c r="AS937" i="7"/>
  <c r="AT937" i="7" l="1"/>
  <c r="AS938" i="7"/>
  <c r="AT938" i="7" l="1"/>
  <c r="AS939" i="7"/>
  <c r="AT939" i="7" l="1"/>
  <c r="AS940" i="7"/>
  <c r="AT940" i="7" l="1"/>
  <c r="AS941" i="7"/>
  <c r="AT941" i="7" l="1"/>
  <c r="AS942" i="7"/>
  <c r="AT942" i="7" l="1"/>
  <c r="AS943" i="7"/>
  <c r="AT943" i="7" l="1"/>
  <c r="AS944" i="7"/>
  <c r="AT944" i="7" l="1"/>
  <c r="AS945" i="7"/>
  <c r="AT945" i="7" l="1"/>
  <c r="AS946" i="7"/>
  <c r="AT946" i="7" l="1"/>
  <c r="AS947" i="7"/>
  <c r="AT947" i="7" l="1"/>
  <c r="AS948" i="7"/>
  <c r="AT948" i="7" l="1"/>
  <c r="AS949" i="7"/>
  <c r="AT949" i="7" l="1"/>
  <c r="AS950" i="7"/>
  <c r="AT950" i="7" l="1"/>
  <c r="AS951" i="7"/>
  <c r="AT951" i="7" l="1"/>
  <c r="AS952" i="7"/>
  <c r="AT952" i="7" l="1"/>
  <c r="AS953" i="7"/>
  <c r="AT953" i="7" l="1"/>
  <c r="AS954" i="7"/>
  <c r="AT954" i="7" l="1"/>
  <c r="AS955" i="7"/>
  <c r="AT955" i="7" l="1"/>
  <c r="AS956" i="7"/>
  <c r="AT956" i="7" l="1"/>
  <c r="AS957" i="7"/>
  <c r="AT957" i="7" l="1"/>
  <c r="AS958" i="7"/>
  <c r="AT958" i="7" l="1"/>
  <c r="AS959" i="7"/>
  <c r="AT959" i="7" l="1"/>
  <c r="AS960" i="7"/>
  <c r="AT960" i="7" l="1"/>
  <c r="AS961" i="7"/>
  <c r="AT961" i="7" l="1"/>
  <c r="AS962" i="7"/>
  <c r="AT962" i="7" l="1"/>
  <c r="AS963" i="7"/>
  <c r="AT963" i="7" l="1"/>
  <c r="AS964" i="7"/>
  <c r="AT964" i="7" l="1"/>
  <c r="AS965" i="7"/>
  <c r="AT965" i="7" l="1"/>
  <c r="AS966" i="7"/>
  <c r="AT966" i="7" l="1"/>
  <c r="AS967" i="7"/>
  <c r="AT967" i="7" l="1"/>
  <c r="AS968" i="7"/>
  <c r="AT968" i="7" l="1"/>
  <c r="AS969" i="7"/>
  <c r="AT969" i="7" l="1"/>
  <c r="AS970" i="7"/>
  <c r="AT970" i="7" l="1"/>
  <c r="AS971" i="7"/>
  <c r="AT971" i="7" l="1"/>
  <c r="AS972" i="7"/>
  <c r="AT972" i="7" l="1"/>
  <c r="AS973" i="7"/>
  <c r="AT973" i="7" l="1"/>
  <c r="AS974" i="7"/>
  <c r="AT974" i="7" l="1"/>
  <c r="AS975" i="7"/>
  <c r="AT975" i="7" l="1"/>
  <c r="AS976" i="7"/>
  <c r="AT976" i="7" l="1"/>
  <c r="AS977" i="7"/>
  <c r="AT977" i="7" l="1"/>
  <c r="AS978" i="7"/>
  <c r="AT978" i="7" l="1"/>
  <c r="AS979" i="7"/>
  <c r="AT979" i="7" l="1"/>
  <c r="AS980" i="7"/>
  <c r="AT980" i="7" l="1"/>
  <c r="AS981" i="7"/>
  <c r="AT981" i="7" l="1"/>
  <c r="AS982" i="7"/>
  <c r="AT982" i="7" l="1"/>
  <c r="AS983" i="7"/>
  <c r="AT983" i="7" l="1"/>
  <c r="AS984" i="7"/>
  <c r="AT984" i="7" l="1"/>
  <c r="AS985" i="7"/>
  <c r="AT985" i="7" l="1"/>
  <c r="AS986" i="7"/>
  <c r="AT986" i="7" l="1"/>
  <c r="AS987" i="7"/>
  <c r="AT987" i="7" l="1"/>
  <c r="AS988" i="7"/>
  <c r="AT988" i="7" l="1"/>
  <c r="AS989" i="7"/>
  <c r="AT989" i="7" l="1"/>
  <c r="AS990" i="7"/>
  <c r="AT990" i="7" l="1"/>
  <c r="AS991" i="7"/>
  <c r="AT991" i="7" l="1"/>
  <c r="AS992" i="7"/>
  <c r="AT992" i="7" l="1"/>
  <c r="AS993" i="7"/>
  <c r="AT993" i="7" l="1"/>
  <c r="AS994" i="7"/>
  <c r="AT994" i="7" l="1"/>
  <c r="AS995" i="7"/>
  <c r="AT995" i="7" l="1"/>
  <c r="AS996" i="7"/>
  <c r="AT996" i="7" l="1"/>
  <c r="AS997" i="7"/>
  <c r="AT997" i="7" l="1"/>
  <c r="AS998" i="7"/>
  <c r="AT998" i="7" l="1"/>
  <c r="AS999" i="7"/>
  <c r="AT999" i="7" l="1"/>
  <c r="AS1000" i="7"/>
  <c r="AT1000" i="7" l="1"/>
  <c r="AS1001" i="7"/>
  <c r="AT1001" i="7" l="1"/>
  <c r="AS1002" i="7"/>
  <c r="AT1002" i="7" l="1"/>
  <c r="AS1003" i="7"/>
  <c r="AT1003" i="7" l="1"/>
  <c r="AS1004" i="7"/>
  <c r="AT1004" i="7" l="1"/>
  <c r="AS1005" i="7"/>
  <c r="AT1005" i="7" l="1"/>
  <c r="AS1006" i="7"/>
  <c r="AT1006" i="7" l="1"/>
  <c r="AS1007" i="7"/>
  <c r="AT1007" i="7" l="1"/>
  <c r="AS1008" i="7"/>
  <c r="AT1008" i="7" l="1"/>
  <c r="AS1009" i="7"/>
  <c r="AT1009" i="7" l="1"/>
  <c r="AS1010" i="7"/>
  <c r="AT1010" i="7" l="1"/>
  <c r="AS1011" i="7"/>
  <c r="AT1011" i="7" l="1"/>
  <c r="AS1012" i="7"/>
  <c r="AT1012" i="7" l="1"/>
  <c r="AS1013" i="7"/>
  <c r="AT1013" i="7" l="1"/>
  <c r="AS1014" i="7"/>
  <c r="AT1014" i="7" l="1"/>
  <c r="AS1015" i="7"/>
  <c r="AT1015" i="7" l="1"/>
  <c r="AS1016" i="7"/>
  <c r="AT1016" i="7" l="1"/>
  <c r="AS1017" i="7"/>
  <c r="AT1017" i="7" l="1"/>
  <c r="AS1018" i="7"/>
  <c r="AT1018" i="7" l="1"/>
  <c r="AS1019" i="7"/>
  <c r="AT1019" i="7" l="1"/>
  <c r="AS1020" i="7"/>
  <c r="AT1020" i="7" l="1"/>
  <c r="AS1021" i="7"/>
  <c r="AT1021" i="7" l="1"/>
  <c r="AS1022" i="7"/>
  <c r="AT1022" i="7" l="1"/>
  <c r="AS1023" i="7"/>
  <c r="AT1023" i="7" l="1"/>
  <c r="AS1024" i="7"/>
  <c r="AT1024" i="7" l="1"/>
  <c r="AS1025" i="7"/>
  <c r="AT1025" i="7" l="1"/>
  <c r="AS1026" i="7"/>
  <c r="AT1026" i="7" l="1"/>
  <c r="AS1027" i="7"/>
  <c r="AT1027" i="7" l="1"/>
  <c r="AS1028" i="7"/>
  <c r="AT1028" i="7" l="1"/>
  <c r="AS1029" i="7"/>
  <c r="AT1029" i="7" l="1"/>
  <c r="AS1030" i="7"/>
  <c r="AT1030" i="7" l="1"/>
  <c r="AS1031" i="7"/>
  <c r="AT1031" i="7" l="1"/>
  <c r="AS1032" i="7"/>
  <c r="AT1032" i="7" l="1"/>
  <c r="AS1033" i="7"/>
  <c r="AT1033" i="7" l="1"/>
  <c r="AS1034" i="7"/>
  <c r="AT1034" i="7" l="1"/>
  <c r="AS1035" i="7"/>
  <c r="AT1035" i="7" l="1"/>
  <c r="AS1036" i="7"/>
  <c r="AT1036" i="7" l="1"/>
  <c r="AS1037" i="7"/>
  <c r="AT1037" i="7" l="1"/>
  <c r="AS1038" i="7"/>
  <c r="AT1038" i="7" l="1"/>
  <c r="AS1039" i="7"/>
  <c r="AT1039" i="7" l="1"/>
  <c r="AS1040" i="7"/>
  <c r="AT1040" i="7" l="1"/>
  <c r="AS1041" i="7"/>
  <c r="AT1041" i="7" l="1"/>
  <c r="AS1042" i="7"/>
  <c r="AT1042" i="7" l="1"/>
  <c r="AS1043" i="7"/>
  <c r="AT1043" i="7" l="1"/>
  <c r="AS1044" i="7"/>
  <c r="AT1044" i="7" l="1"/>
  <c r="AS1045" i="7"/>
  <c r="AT1045" i="7" l="1"/>
  <c r="AS1046" i="7"/>
  <c r="AT1046" i="7" l="1"/>
  <c r="AS1047" i="7"/>
  <c r="AT1047" i="7" l="1"/>
  <c r="AS1048" i="7"/>
  <c r="AT1048" i="7" l="1"/>
  <c r="AS1049" i="7"/>
  <c r="AT1049" i="7" l="1"/>
  <c r="AS1050" i="7"/>
  <c r="AT1050" i="7" l="1"/>
  <c r="AS1051" i="7"/>
  <c r="AT1051" i="7" l="1"/>
  <c r="AS1052" i="7"/>
  <c r="AT1052" i="7" l="1"/>
  <c r="AS1053" i="7"/>
  <c r="AT1053" i="7" l="1"/>
  <c r="AS1054" i="7"/>
  <c r="AT1054" i="7" l="1"/>
  <c r="AS1055" i="7"/>
  <c r="AT1055" i="7" l="1"/>
  <c r="AS1056" i="7"/>
  <c r="AT1056" i="7" l="1"/>
  <c r="AS1057" i="7"/>
  <c r="AT1057" i="7" l="1"/>
  <c r="AS1058" i="7"/>
  <c r="AT1058" i="7" l="1"/>
  <c r="AS1059" i="7"/>
  <c r="AT1059" i="7" l="1"/>
  <c r="AS1060" i="7"/>
  <c r="AT1060" i="7" l="1"/>
  <c r="AS1061" i="7"/>
  <c r="AT1061" i="7" l="1"/>
  <c r="AS1062" i="7"/>
  <c r="AT1062" i="7" l="1"/>
  <c r="AS1063" i="7"/>
  <c r="AT1063" i="7" l="1"/>
  <c r="AS1064" i="7"/>
  <c r="AT1064" i="7" l="1"/>
  <c r="AS1066" i="7"/>
  <c r="AS1065" i="7"/>
  <c r="AW1066" i="7" s="1"/>
  <c r="AX1066" i="7" s="1"/>
  <c r="AY1066" i="7" s="1"/>
  <c r="AW135" i="7" l="1"/>
  <c r="AX135" i="7" s="1"/>
  <c r="AW138" i="7"/>
  <c r="AX138" i="7" s="1"/>
  <c r="AW129" i="7"/>
  <c r="AX129" i="7" s="1"/>
  <c r="AW133" i="7"/>
  <c r="AX133" i="7" s="1"/>
  <c r="AW131" i="7"/>
  <c r="AX131" i="7" s="1"/>
  <c r="AW134" i="7"/>
  <c r="AX134" i="7" s="1"/>
  <c r="AW132" i="7"/>
  <c r="AX132" i="7" s="1"/>
  <c r="AW127" i="7"/>
  <c r="AX127" i="7" s="1"/>
  <c r="AW1063" i="7"/>
  <c r="AX1063" i="7" s="1"/>
  <c r="Y1066" i="7"/>
  <c r="AA1066" i="7" s="1"/>
  <c r="AW270" i="7"/>
  <c r="AX270" i="7" s="1"/>
  <c r="AW265" i="7"/>
  <c r="AX265" i="7" s="1"/>
  <c r="AW263" i="7"/>
  <c r="AX263" i="7" s="1"/>
  <c r="AW260" i="7"/>
  <c r="AX260" i="7" s="1"/>
  <c r="AW266" i="7"/>
  <c r="AX266" i="7" s="1"/>
  <c r="AW267" i="7"/>
  <c r="AX267" i="7" s="1"/>
  <c r="AW269" i="7"/>
  <c r="AX269" i="7" s="1"/>
  <c r="AW259" i="7"/>
  <c r="AX259" i="7" s="1"/>
  <c r="AW264" i="7"/>
  <c r="AX264" i="7" s="1"/>
  <c r="AW268" i="7"/>
  <c r="AX268" i="7" s="1"/>
  <c r="AW261" i="7"/>
  <c r="AX261" i="7" s="1"/>
  <c r="AW262" i="7"/>
  <c r="AX262" i="7" s="1"/>
  <c r="AW271" i="7"/>
  <c r="AX271" i="7" s="1"/>
  <c r="AW272" i="7"/>
  <c r="AX272" i="7" s="1"/>
  <c r="AW274" i="7"/>
  <c r="AX274" i="7" s="1"/>
  <c r="AW282" i="7"/>
  <c r="AX282" i="7" s="1"/>
  <c r="AW281" i="7"/>
  <c r="AX281" i="7" s="1"/>
  <c r="AW276" i="7"/>
  <c r="AX276" i="7" s="1"/>
  <c r="AW278" i="7"/>
  <c r="AX278" i="7" s="1"/>
  <c r="AW280" i="7"/>
  <c r="AX280" i="7" s="1"/>
  <c r="AW279" i="7"/>
  <c r="AX279" i="7" s="1"/>
  <c r="AW277" i="7"/>
  <c r="AX277" i="7" s="1"/>
  <c r="AW275" i="7"/>
  <c r="AX275" i="7" s="1"/>
  <c r="AW273" i="7"/>
  <c r="AX273" i="7" s="1"/>
  <c r="AW287" i="7"/>
  <c r="AX287" i="7" s="1"/>
  <c r="AW283" i="7"/>
  <c r="AX283" i="7" s="1"/>
  <c r="AW288" i="7"/>
  <c r="AX288" i="7" s="1"/>
  <c r="AW290" i="7"/>
  <c r="AX290" i="7" s="1"/>
  <c r="AW289" i="7"/>
  <c r="AX289" i="7" s="1"/>
  <c r="AW292" i="7"/>
  <c r="AX292" i="7" s="1"/>
  <c r="AW294" i="7"/>
  <c r="AX294" i="7" s="1"/>
  <c r="AW293" i="7"/>
  <c r="AX293" i="7" s="1"/>
  <c r="AW284" i="7"/>
  <c r="AX284" i="7" s="1"/>
  <c r="AW285" i="7"/>
  <c r="AX285" i="7" s="1"/>
  <c r="AW286" i="7"/>
  <c r="AX286" i="7" s="1"/>
  <c r="AW291" i="7"/>
  <c r="AX291" i="7" s="1"/>
  <c r="AW306" i="7"/>
  <c r="AX306" i="7" s="1"/>
  <c r="AW295" i="7"/>
  <c r="AX295" i="7" s="1"/>
  <c r="AW301" i="7"/>
  <c r="AX301" i="7" s="1"/>
  <c r="AW298" i="7"/>
  <c r="AX298" i="7" s="1"/>
  <c r="AW296" i="7"/>
  <c r="AX296" i="7" s="1"/>
  <c r="AW305" i="7"/>
  <c r="AX305" i="7" s="1"/>
  <c r="AW299" i="7"/>
  <c r="AX299" i="7" s="1"/>
  <c r="AW300" i="7"/>
  <c r="AX300" i="7" s="1"/>
  <c r="AW303" i="7"/>
  <c r="AX303" i="7" s="1"/>
  <c r="AW304" i="7"/>
  <c r="AX304" i="7" s="1"/>
  <c r="AW302" i="7"/>
  <c r="AX302" i="7" s="1"/>
  <c r="AW297" i="7"/>
  <c r="AX297" i="7" s="1"/>
  <c r="AW310" i="7"/>
  <c r="AX310" i="7" s="1"/>
  <c r="AW312" i="7"/>
  <c r="AX312" i="7" s="1"/>
  <c r="AW318" i="7"/>
  <c r="AX318" i="7" s="1"/>
  <c r="AW309" i="7"/>
  <c r="AX309" i="7" s="1"/>
  <c r="AW313" i="7"/>
  <c r="AX313" i="7" s="1"/>
  <c r="AW317" i="7"/>
  <c r="AX317" i="7" s="1"/>
  <c r="AW307" i="7"/>
  <c r="AX307" i="7" s="1"/>
  <c r="AW308" i="7"/>
  <c r="AX308" i="7" s="1"/>
  <c r="AW311" i="7"/>
  <c r="AX311" i="7" s="1"/>
  <c r="AW315" i="7"/>
  <c r="AX315" i="7" s="1"/>
  <c r="AW316" i="7"/>
  <c r="AX316" i="7" s="1"/>
  <c r="AW314" i="7"/>
  <c r="AX314" i="7" s="1"/>
  <c r="AW329" i="7"/>
  <c r="AX329" i="7" s="1"/>
  <c r="AW319" i="7"/>
  <c r="AX319" i="7" s="1"/>
  <c r="AW326" i="7"/>
  <c r="AX326" i="7" s="1"/>
  <c r="AW323" i="7"/>
  <c r="AX323" i="7" s="1"/>
  <c r="AW330" i="7"/>
  <c r="AX330" i="7" s="1"/>
  <c r="AW320" i="7"/>
  <c r="AX320" i="7" s="1"/>
  <c r="AW324" i="7"/>
  <c r="AX324" i="7" s="1"/>
  <c r="AW327" i="7"/>
  <c r="AX327" i="7" s="1"/>
  <c r="AW322" i="7"/>
  <c r="AX322" i="7" s="1"/>
  <c r="AW325" i="7"/>
  <c r="AX325" i="7" s="1"/>
  <c r="AW328" i="7"/>
  <c r="AX328" i="7" s="1"/>
  <c r="AW321" i="7"/>
  <c r="AX321" i="7" s="1"/>
  <c r="AW339" i="7"/>
  <c r="AX339" i="7" s="1"/>
  <c r="AW338" i="7"/>
  <c r="AX338" i="7" s="1"/>
  <c r="AW331" i="7"/>
  <c r="AX331" i="7" s="1"/>
  <c r="AW340" i="7"/>
  <c r="AX340" i="7" s="1"/>
  <c r="AW341" i="7"/>
  <c r="AX341" i="7" s="1"/>
  <c r="AW335" i="7"/>
  <c r="AX335" i="7" s="1"/>
  <c r="AW337" i="7"/>
  <c r="AX337" i="7" s="1"/>
  <c r="AW334" i="7"/>
  <c r="AX334" i="7" s="1"/>
  <c r="AW332" i="7"/>
  <c r="AX332" i="7" s="1"/>
  <c r="AW336" i="7"/>
  <c r="AX336" i="7" s="1"/>
  <c r="AW333" i="7"/>
  <c r="AX333" i="7" s="1"/>
  <c r="AW342" i="7"/>
  <c r="AX342" i="7" s="1"/>
  <c r="AW350" i="7"/>
  <c r="AX350" i="7" s="1"/>
  <c r="AW354" i="7"/>
  <c r="AX354" i="7" s="1"/>
  <c r="AW346" i="7"/>
  <c r="AX346" i="7" s="1"/>
  <c r="AW349" i="7"/>
  <c r="AX349" i="7" s="1"/>
  <c r="AW344" i="7"/>
  <c r="AX344" i="7" s="1"/>
  <c r="AW345" i="7"/>
  <c r="AX345" i="7" s="1"/>
  <c r="AW347" i="7"/>
  <c r="AX347" i="7" s="1"/>
  <c r="AW352" i="7"/>
  <c r="AX352" i="7" s="1"/>
  <c r="AW351" i="7"/>
  <c r="AX351" i="7" s="1"/>
  <c r="AW343" i="7"/>
  <c r="AX343" i="7" s="1"/>
  <c r="AW353" i="7"/>
  <c r="AX353" i="7" s="1"/>
  <c r="AW348" i="7"/>
  <c r="AX348" i="7" s="1"/>
  <c r="AW362" i="7"/>
  <c r="AX362" i="7" s="1"/>
  <c r="AW366" i="7"/>
  <c r="AX366" i="7" s="1"/>
  <c r="AW355" i="7"/>
  <c r="AX355" i="7" s="1"/>
  <c r="AW360" i="7"/>
  <c r="AX360" i="7" s="1"/>
  <c r="AW359" i="7"/>
  <c r="AX359" i="7" s="1"/>
  <c r="AW365" i="7"/>
  <c r="AX365" i="7" s="1"/>
  <c r="AW358" i="7"/>
  <c r="AX358" i="7" s="1"/>
  <c r="AW361" i="7"/>
  <c r="AX361" i="7" s="1"/>
  <c r="AW364" i="7"/>
  <c r="AX364" i="7" s="1"/>
  <c r="AW356" i="7"/>
  <c r="AX356" i="7" s="1"/>
  <c r="AW357" i="7"/>
  <c r="AX357" i="7" s="1"/>
  <c r="AW363" i="7"/>
  <c r="AX363" i="7" s="1"/>
  <c r="AW374" i="7"/>
  <c r="AX374" i="7" s="1"/>
  <c r="AW368" i="7"/>
  <c r="AX368" i="7" s="1"/>
  <c r="AW372" i="7"/>
  <c r="AX372" i="7" s="1"/>
  <c r="AW373" i="7"/>
  <c r="AX373" i="7" s="1"/>
  <c r="AW369" i="7"/>
  <c r="AX369" i="7" s="1"/>
  <c r="AW376" i="7"/>
  <c r="AX376" i="7" s="1"/>
  <c r="AW375" i="7"/>
  <c r="AX375" i="7" s="1"/>
  <c r="AW367" i="7"/>
  <c r="AX367" i="7" s="1"/>
  <c r="AW378" i="7"/>
  <c r="AX378" i="7" s="1"/>
  <c r="AW370" i="7"/>
  <c r="AX370" i="7" s="1"/>
  <c r="AW377" i="7"/>
  <c r="AX377" i="7" s="1"/>
  <c r="AW371" i="7"/>
  <c r="AX371" i="7" s="1"/>
  <c r="AW390" i="7"/>
  <c r="AX390" i="7" s="1"/>
  <c r="AW379" i="7"/>
  <c r="AX379" i="7" s="1"/>
  <c r="AW388" i="7"/>
  <c r="AX388" i="7" s="1"/>
  <c r="AW389" i="7"/>
  <c r="AX389" i="7" s="1"/>
  <c r="AW380" i="7"/>
  <c r="AX380" i="7" s="1"/>
  <c r="AW384" i="7"/>
  <c r="AX384" i="7" s="1"/>
  <c r="AW381" i="7"/>
  <c r="AX381" i="7" s="1"/>
  <c r="AW385" i="7"/>
  <c r="AX385" i="7" s="1"/>
  <c r="AW383" i="7"/>
  <c r="AX383" i="7" s="1"/>
  <c r="AW386" i="7"/>
  <c r="AX386" i="7" s="1"/>
  <c r="AW382" i="7"/>
  <c r="AX382" i="7" s="1"/>
  <c r="AW387" i="7"/>
  <c r="AX387" i="7" s="1"/>
  <c r="AW391" i="7"/>
  <c r="AX391" i="7" s="1"/>
  <c r="AW398" i="7"/>
  <c r="AX398" i="7" s="1"/>
  <c r="AW401" i="7"/>
  <c r="AX401" i="7" s="1"/>
  <c r="AW392" i="7"/>
  <c r="AX392" i="7" s="1"/>
  <c r="AW400" i="7"/>
  <c r="AX400" i="7" s="1"/>
  <c r="AW393" i="7"/>
  <c r="AX393" i="7" s="1"/>
  <c r="AW402" i="7"/>
  <c r="AX402" i="7" s="1"/>
  <c r="AW397" i="7"/>
  <c r="AX397" i="7" s="1"/>
  <c r="AW395" i="7"/>
  <c r="AX395" i="7" s="1"/>
  <c r="AW394" i="7"/>
  <c r="AX394" i="7" s="1"/>
  <c r="AW396" i="7"/>
  <c r="AX396" i="7" s="1"/>
  <c r="AW399" i="7"/>
  <c r="AX399" i="7" s="1"/>
  <c r="AW414" i="7"/>
  <c r="AX414" i="7" s="1"/>
  <c r="AW403" i="7"/>
  <c r="AX403" i="7" s="1"/>
  <c r="AW412" i="7"/>
  <c r="AX412" i="7" s="1"/>
  <c r="AW413" i="7"/>
  <c r="AX413" i="7" s="1"/>
  <c r="AW404" i="7"/>
  <c r="AX404" i="7" s="1"/>
  <c r="AW408" i="7"/>
  <c r="AX408" i="7" s="1"/>
  <c r="AW405" i="7"/>
  <c r="AX405" i="7" s="1"/>
  <c r="AW410" i="7"/>
  <c r="AX410" i="7" s="1"/>
  <c r="AW409" i="7"/>
  <c r="AX409" i="7" s="1"/>
  <c r="AW411" i="7"/>
  <c r="AX411" i="7" s="1"/>
  <c r="AW407" i="7"/>
  <c r="AX407" i="7" s="1"/>
  <c r="AW406" i="7"/>
  <c r="AX406" i="7" s="1"/>
  <c r="AW420" i="7"/>
  <c r="AX420" i="7" s="1"/>
  <c r="AW419" i="7"/>
  <c r="AX419" i="7" s="1"/>
  <c r="AW422" i="7"/>
  <c r="AX422" i="7" s="1"/>
  <c r="AW416" i="7"/>
  <c r="AX416" i="7" s="1"/>
  <c r="AW424" i="7"/>
  <c r="AX424" i="7" s="1"/>
  <c r="AW417" i="7"/>
  <c r="AX417" i="7" s="1"/>
  <c r="AW425" i="7"/>
  <c r="AX425" i="7" s="1"/>
  <c r="AW418" i="7"/>
  <c r="AX418" i="7" s="1"/>
  <c r="AW421" i="7"/>
  <c r="AX421" i="7" s="1"/>
  <c r="AW415" i="7"/>
  <c r="AX415" i="7" s="1"/>
  <c r="AW426" i="7"/>
  <c r="AX426" i="7" s="1"/>
  <c r="AW423" i="7"/>
  <c r="AX423" i="7" s="1"/>
  <c r="AW433" i="7"/>
  <c r="AX433" i="7" s="1"/>
  <c r="AW438" i="7"/>
  <c r="AX438" i="7" s="1"/>
  <c r="AW437" i="7"/>
  <c r="AX437" i="7" s="1"/>
  <c r="AW430" i="7"/>
  <c r="AX430" i="7" s="1"/>
  <c r="AW427" i="7"/>
  <c r="AX427" i="7" s="1"/>
  <c r="AW432" i="7"/>
  <c r="AX432" i="7" s="1"/>
  <c r="AW436" i="7"/>
  <c r="AX436" i="7" s="1"/>
  <c r="AW428" i="7"/>
  <c r="AX428" i="7" s="1"/>
  <c r="AW435" i="7"/>
  <c r="AX435" i="7" s="1"/>
  <c r="AW431" i="7"/>
  <c r="AX431" i="7" s="1"/>
  <c r="AW434" i="7"/>
  <c r="AX434" i="7" s="1"/>
  <c r="AW429" i="7"/>
  <c r="AX429" i="7" s="1"/>
  <c r="AW450" i="7"/>
  <c r="AX450" i="7" s="1"/>
  <c r="AW439" i="7"/>
  <c r="AX439" i="7" s="1"/>
  <c r="AW441" i="7"/>
  <c r="AX441" i="7" s="1"/>
  <c r="AW442" i="7"/>
  <c r="AX442" i="7" s="1"/>
  <c r="AW449" i="7"/>
  <c r="AX449" i="7" s="1"/>
  <c r="AW445" i="7"/>
  <c r="AX445" i="7" s="1"/>
  <c r="AW440" i="7"/>
  <c r="AX440" i="7" s="1"/>
  <c r="AW448" i="7"/>
  <c r="AX448" i="7" s="1"/>
  <c r="AW444" i="7"/>
  <c r="AX444" i="7" s="1"/>
  <c r="AW446" i="7"/>
  <c r="AX446" i="7" s="1"/>
  <c r="AW443" i="7"/>
  <c r="AX443" i="7" s="1"/>
  <c r="AW447" i="7"/>
  <c r="AX447" i="7" s="1"/>
  <c r="AW453" i="7"/>
  <c r="AX453" i="7" s="1"/>
  <c r="AW460" i="7"/>
  <c r="AX460" i="7" s="1"/>
  <c r="AW461" i="7"/>
  <c r="AX461" i="7" s="1"/>
  <c r="AW452" i="7"/>
  <c r="AX452" i="7" s="1"/>
  <c r="AW451" i="7"/>
  <c r="AX451" i="7" s="1"/>
  <c r="AW456" i="7"/>
  <c r="AX456" i="7" s="1"/>
  <c r="AW459" i="7"/>
  <c r="AX459" i="7" s="1"/>
  <c r="AW457" i="7"/>
  <c r="AX457" i="7" s="1"/>
  <c r="AW455" i="7"/>
  <c r="AX455" i="7" s="1"/>
  <c r="AW454" i="7"/>
  <c r="AX454" i="7" s="1"/>
  <c r="AW462" i="7"/>
  <c r="AX462" i="7" s="1"/>
  <c r="AW458" i="7"/>
  <c r="AX458" i="7" s="1"/>
  <c r="AW470" i="7"/>
  <c r="AX470" i="7" s="1"/>
  <c r="AW473" i="7"/>
  <c r="AX473" i="7" s="1"/>
  <c r="AW464" i="7"/>
  <c r="AX464" i="7" s="1"/>
  <c r="AW466" i="7"/>
  <c r="AX466" i="7" s="1"/>
  <c r="AW469" i="7"/>
  <c r="AX469" i="7" s="1"/>
  <c r="AW474" i="7"/>
  <c r="AX474" i="7" s="1"/>
  <c r="AW467" i="7"/>
  <c r="AX467" i="7" s="1"/>
  <c r="AW472" i="7"/>
  <c r="AX472" i="7" s="1"/>
  <c r="AW468" i="7"/>
  <c r="AX468" i="7" s="1"/>
  <c r="AW463" i="7"/>
  <c r="AX463" i="7" s="1"/>
  <c r="AW471" i="7"/>
  <c r="AX471" i="7" s="1"/>
  <c r="AW465" i="7"/>
  <c r="AX465" i="7" s="1"/>
  <c r="AW486" i="7"/>
  <c r="AX486" i="7" s="1"/>
  <c r="AW478" i="7"/>
  <c r="AX478" i="7" s="1"/>
  <c r="AW480" i="7"/>
  <c r="AX480" i="7" s="1"/>
  <c r="AW479" i="7"/>
  <c r="AX479" i="7" s="1"/>
  <c r="AW475" i="7"/>
  <c r="AX475" i="7" s="1"/>
  <c r="AW484" i="7"/>
  <c r="AX484" i="7" s="1"/>
  <c r="AW483" i="7"/>
  <c r="AX483" i="7" s="1"/>
  <c r="AW476" i="7"/>
  <c r="AX476" i="7" s="1"/>
  <c r="AW482" i="7"/>
  <c r="AX482" i="7" s="1"/>
  <c r="AW485" i="7"/>
  <c r="AX485" i="7" s="1"/>
  <c r="AW481" i="7"/>
  <c r="AX481" i="7" s="1"/>
  <c r="AW477" i="7"/>
  <c r="AX477" i="7" s="1"/>
  <c r="AW491" i="7"/>
  <c r="AX491" i="7" s="1"/>
  <c r="AW492" i="7"/>
  <c r="AX492" i="7" s="1"/>
  <c r="AW498" i="7"/>
  <c r="AX498" i="7" s="1"/>
  <c r="AW496" i="7"/>
  <c r="AX496" i="7" s="1"/>
  <c r="AW487" i="7"/>
  <c r="AX487" i="7" s="1"/>
  <c r="AW488" i="7"/>
  <c r="AX488" i="7" s="1"/>
  <c r="AW495" i="7"/>
  <c r="AX495" i="7" s="1"/>
  <c r="AW494" i="7"/>
  <c r="AX494" i="7" s="1"/>
  <c r="AW490" i="7"/>
  <c r="AX490" i="7" s="1"/>
  <c r="AW497" i="7"/>
  <c r="AX497" i="7" s="1"/>
  <c r="AW493" i="7"/>
  <c r="AX493" i="7" s="1"/>
  <c r="AW489" i="7"/>
  <c r="AX489" i="7" s="1"/>
  <c r="AW510" i="7"/>
  <c r="AX510" i="7" s="1"/>
  <c r="AW499" i="7"/>
  <c r="AX499" i="7" s="1"/>
  <c r="AW508" i="7"/>
  <c r="AX508" i="7" s="1"/>
  <c r="AW509" i="7"/>
  <c r="AX509" i="7" s="1"/>
  <c r="AW500" i="7"/>
  <c r="AX500" i="7" s="1"/>
  <c r="AW501" i="7"/>
  <c r="AX501" i="7" s="1"/>
  <c r="AW506" i="7"/>
  <c r="AX506" i="7" s="1"/>
  <c r="AW502" i="7"/>
  <c r="AX502" i="7" s="1"/>
  <c r="AW504" i="7"/>
  <c r="AX504" i="7" s="1"/>
  <c r="AW505" i="7"/>
  <c r="AX505" i="7" s="1"/>
  <c r="AW503" i="7"/>
  <c r="AX503" i="7" s="1"/>
  <c r="AW507" i="7"/>
  <c r="AX507" i="7" s="1"/>
  <c r="AW514" i="7"/>
  <c r="AX514" i="7" s="1"/>
  <c r="AW519" i="7"/>
  <c r="AX519" i="7" s="1"/>
  <c r="AW521" i="7"/>
  <c r="AX521" i="7" s="1"/>
  <c r="AW522" i="7"/>
  <c r="AX522" i="7" s="1"/>
  <c r="AW520" i="7"/>
  <c r="AX520" i="7" s="1"/>
  <c r="AW517" i="7"/>
  <c r="AX517" i="7" s="1"/>
  <c r="AW512" i="7"/>
  <c r="AX512" i="7" s="1"/>
  <c r="AW516" i="7"/>
  <c r="AX516" i="7" s="1"/>
  <c r="AW513" i="7"/>
  <c r="AX513" i="7" s="1"/>
  <c r="AW518" i="7"/>
  <c r="AX518" i="7" s="1"/>
  <c r="AW511" i="7"/>
  <c r="AX511" i="7" s="1"/>
  <c r="AW515" i="7"/>
  <c r="AX515" i="7" s="1"/>
  <c r="AW532" i="7"/>
  <c r="AX532" i="7" s="1"/>
  <c r="AW528" i="7"/>
  <c r="AX528" i="7" s="1"/>
  <c r="AW526" i="7"/>
  <c r="AX526" i="7" s="1"/>
  <c r="AW533" i="7"/>
  <c r="AX533" i="7" s="1"/>
  <c r="AW527" i="7"/>
  <c r="AX527" i="7" s="1"/>
  <c r="AW524" i="7"/>
  <c r="AX524" i="7" s="1"/>
  <c r="AW529" i="7"/>
  <c r="AX529" i="7" s="1"/>
  <c r="AW530" i="7"/>
  <c r="AX530" i="7" s="1"/>
  <c r="AW534" i="7"/>
  <c r="AX534" i="7" s="1"/>
  <c r="AW525" i="7"/>
  <c r="AX525" i="7" s="1"/>
  <c r="AW523" i="7"/>
  <c r="AX523" i="7" s="1"/>
  <c r="AW531" i="7"/>
  <c r="AX531" i="7" s="1"/>
  <c r="AW535" i="7"/>
  <c r="AX535" i="7" s="1"/>
  <c r="AW540" i="7"/>
  <c r="AX540" i="7" s="1"/>
  <c r="AW536" i="7"/>
  <c r="AX536" i="7" s="1"/>
  <c r="AW541" i="7"/>
  <c r="AX541" i="7" s="1"/>
  <c r="AW538" i="7"/>
  <c r="AX538" i="7" s="1"/>
  <c r="AW545" i="7"/>
  <c r="AX545" i="7" s="1"/>
  <c r="AW542" i="7"/>
  <c r="AX542" i="7" s="1"/>
  <c r="AW546" i="7"/>
  <c r="AX546" i="7" s="1"/>
  <c r="AW543" i="7"/>
  <c r="AX543" i="7" s="1"/>
  <c r="AW544" i="7"/>
  <c r="AX544" i="7" s="1"/>
  <c r="AW539" i="7"/>
  <c r="AX539" i="7" s="1"/>
  <c r="AW537" i="7"/>
  <c r="AX537" i="7" s="1"/>
  <c r="AW552" i="7"/>
  <c r="AX552" i="7" s="1"/>
  <c r="AW548" i="7"/>
  <c r="AX548" i="7" s="1"/>
  <c r="AW556" i="7"/>
  <c r="AX556" i="7" s="1"/>
  <c r="AW555" i="7"/>
  <c r="AX555" i="7" s="1"/>
  <c r="AW554" i="7"/>
  <c r="AX554" i="7" s="1"/>
  <c r="AW547" i="7"/>
  <c r="AX547" i="7" s="1"/>
  <c r="AW549" i="7"/>
  <c r="AX549" i="7" s="1"/>
  <c r="AW550" i="7"/>
  <c r="AX550" i="7" s="1"/>
  <c r="AW551" i="7"/>
  <c r="AX551" i="7" s="1"/>
  <c r="AW557" i="7"/>
  <c r="AX557" i="7" s="1"/>
  <c r="AW553" i="7"/>
  <c r="AX553" i="7" s="1"/>
  <c r="AW558" i="7"/>
  <c r="AX558" i="7" s="1"/>
  <c r="AW564" i="7"/>
  <c r="AX564" i="7" s="1"/>
  <c r="AW561" i="7"/>
  <c r="AX561" i="7" s="1"/>
  <c r="AW568" i="7"/>
  <c r="AX568" i="7" s="1"/>
  <c r="AW569" i="7"/>
  <c r="AX569" i="7" s="1"/>
  <c r="AW560" i="7"/>
  <c r="AX560" i="7" s="1"/>
  <c r="AW563" i="7"/>
  <c r="AX563" i="7" s="1"/>
  <c r="AW559" i="7"/>
  <c r="AX559" i="7" s="1"/>
  <c r="AW567" i="7"/>
  <c r="AX567" i="7" s="1"/>
  <c r="AW570" i="7"/>
  <c r="AX570" i="7" s="1"/>
  <c r="AW566" i="7"/>
  <c r="AX566" i="7" s="1"/>
  <c r="AW565" i="7"/>
  <c r="AX565" i="7" s="1"/>
  <c r="AW562" i="7"/>
  <c r="AX562" i="7" s="1"/>
  <c r="AW573" i="7"/>
  <c r="AX573" i="7" s="1"/>
  <c r="AW581" i="7"/>
  <c r="AX581" i="7" s="1"/>
  <c r="AW575" i="7"/>
  <c r="AX575" i="7" s="1"/>
  <c r="AW576" i="7"/>
  <c r="AX576" i="7" s="1"/>
  <c r="AW572" i="7"/>
  <c r="AX572" i="7" s="1"/>
  <c r="AW578" i="7"/>
  <c r="AX578" i="7" s="1"/>
  <c r="AW582" i="7"/>
  <c r="AX582" i="7" s="1"/>
  <c r="AW577" i="7"/>
  <c r="AX577" i="7" s="1"/>
  <c r="AW574" i="7"/>
  <c r="AX574" i="7" s="1"/>
  <c r="AW579" i="7"/>
  <c r="AX579" i="7" s="1"/>
  <c r="AW580" i="7"/>
  <c r="AX580" i="7" s="1"/>
  <c r="AW571" i="7"/>
  <c r="AX571" i="7" s="1"/>
  <c r="AW588" i="7"/>
  <c r="AX588" i="7" s="1"/>
  <c r="AW592" i="7"/>
  <c r="AX592" i="7" s="1"/>
  <c r="AW590" i="7"/>
  <c r="AX590" i="7" s="1"/>
  <c r="AW593" i="7"/>
  <c r="AX593" i="7" s="1"/>
  <c r="AW583" i="7"/>
  <c r="AX583" i="7" s="1"/>
  <c r="AW587" i="7"/>
  <c r="AX587" i="7" s="1"/>
  <c r="AW586" i="7"/>
  <c r="AX586" i="7" s="1"/>
  <c r="AW584" i="7"/>
  <c r="AX584" i="7" s="1"/>
  <c r="AW594" i="7"/>
  <c r="AX594" i="7" s="1"/>
  <c r="AW589" i="7"/>
  <c r="AX589" i="7" s="1"/>
  <c r="AW585" i="7"/>
  <c r="AX585" i="7" s="1"/>
  <c r="AW591" i="7"/>
  <c r="AX591" i="7" s="1"/>
  <c r="AW603" i="7"/>
  <c r="AX603" i="7" s="1"/>
  <c r="AW596" i="7"/>
  <c r="AX596" i="7" s="1"/>
  <c r="AW600" i="7"/>
  <c r="AX600" i="7" s="1"/>
  <c r="AW595" i="7"/>
  <c r="AX595" i="7" s="1"/>
  <c r="AW605" i="7"/>
  <c r="AX605" i="7" s="1"/>
  <c r="AW598" i="7"/>
  <c r="AX598" i="7" s="1"/>
  <c r="AW602" i="7"/>
  <c r="AX602" i="7" s="1"/>
  <c r="AW599" i="7"/>
  <c r="AX599" i="7" s="1"/>
  <c r="AW604" i="7"/>
  <c r="AX604" i="7" s="1"/>
  <c r="AW597" i="7"/>
  <c r="AX597" i="7" s="1"/>
  <c r="AW601" i="7"/>
  <c r="AX601" i="7" s="1"/>
  <c r="AW606" i="7"/>
  <c r="AX606" i="7" s="1"/>
  <c r="AW614" i="7"/>
  <c r="AX614" i="7" s="1"/>
  <c r="AW611" i="7"/>
  <c r="AX611" i="7" s="1"/>
  <c r="AW618" i="7"/>
  <c r="AX618" i="7" s="1"/>
  <c r="AW613" i="7"/>
  <c r="AX613" i="7" s="1"/>
  <c r="AW610" i="7"/>
  <c r="AX610" i="7" s="1"/>
  <c r="AW615" i="7"/>
  <c r="AX615" i="7" s="1"/>
  <c r="AW608" i="7"/>
  <c r="AX608" i="7" s="1"/>
  <c r="AW617" i="7"/>
  <c r="AX617" i="7" s="1"/>
  <c r="AW607" i="7"/>
  <c r="AX607" i="7" s="1"/>
  <c r="AW612" i="7"/>
  <c r="AX612" i="7" s="1"/>
  <c r="AW616" i="7"/>
  <c r="AX616" i="7" s="1"/>
  <c r="AW609" i="7"/>
  <c r="AX609" i="7" s="1"/>
  <c r="AW627" i="7"/>
  <c r="AX627" i="7" s="1"/>
  <c r="AW623" i="7"/>
  <c r="AX623" i="7" s="1"/>
  <c r="AW628" i="7"/>
  <c r="AX628" i="7" s="1"/>
  <c r="AW624" i="7"/>
  <c r="AX624" i="7" s="1"/>
  <c r="AW621" i="7"/>
  <c r="AX621" i="7" s="1"/>
  <c r="AW620" i="7"/>
  <c r="AX620" i="7" s="1"/>
  <c r="AW629" i="7"/>
  <c r="AX629" i="7" s="1"/>
  <c r="AW622" i="7"/>
  <c r="AX622" i="7" s="1"/>
  <c r="AW626" i="7"/>
  <c r="AX626" i="7" s="1"/>
  <c r="AW619" i="7"/>
  <c r="AX619" i="7" s="1"/>
  <c r="AW630" i="7"/>
  <c r="AX630" i="7" s="1"/>
  <c r="AW625" i="7"/>
  <c r="AX625" i="7" s="1"/>
  <c r="AW632" i="7"/>
  <c r="AX632" i="7" s="1"/>
  <c r="AW631" i="7"/>
  <c r="AX631" i="7" s="1"/>
  <c r="AW642" i="7"/>
  <c r="AX642" i="7" s="1"/>
  <c r="AW634" i="7"/>
  <c r="AX634" i="7" s="1"/>
  <c r="AW635" i="7"/>
  <c r="AX635" i="7" s="1"/>
  <c r="AW638" i="7"/>
  <c r="AX638" i="7" s="1"/>
  <c r="AW636" i="7"/>
  <c r="AX636" i="7" s="1"/>
  <c r="AW633" i="7"/>
  <c r="AX633" i="7" s="1"/>
  <c r="AW639" i="7"/>
  <c r="AX639" i="7" s="1"/>
  <c r="AW641" i="7"/>
  <c r="AX641" i="7" s="1"/>
  <c r="AW640" i="7"/>
  <c r="AX640" i="7" s="1"/>
  <c r="AW637" i="7"/>
  <c r="AX637" i="7" s="1"/>
  <c r="AW654" i="7"/>
  <c r="AX654" i="7" s="1"/>
  <c r="AW649" i="7"/>
  <c r="AX649" i="7" s="1"/>
  <c r="AW653" i="7"/>
  <c r="AX653" i="7" s="1"/>
  <c r="AW646" i="7"/>
  <c r="AX646" i="7" s="1"/>
  <c r="AW647" i="7"/>
  <c r="AX647" i="7" s="1"/>
  <c r="AW648" i="7"/>
  <c r="AX648" i="7" s="1"/>
  <c r="AW650" i="7"/>
  <c r="AX650" i="7" s="1"/>
  <c r="AW645" i="7"/>
  <c r="AX645" i="7" s="1"/>
  <c r="AW651" i="7"/>
  <c r="AX651" i="7" s="1"/>
  <c r="AW644" i="7"/>
  <c r="AX644" i="7" s="1"/>
  <c r="AW643" i="7"/>
  <c r="AX643" i="7" s="1"/>
  <c r="AW652" i="7"/>
  <c r="AX652" i="7" s="1"/>
  <c r="AW656" i="7"/>
  <c r="AX656" i="7" s="1"/>
  <c r="AW663" i="7"/>
  <c r="AX663" i="7" s="1"/>
  <c r="AW662" i="7"/>
  <c r="AX662" i="7" s="1"/>
  <c r="AW666" i="7"/>
  <c r="AX666" i="7" s="1"/>
  <c r="AW660" i="7"/>
  <c r="AX660" i="7" s="1"/>
  <c r="AW655" i="7"/>
  <c r="AX655" i="7" s="1"/>
  <c r="AW658" i="7"/>
  <c r="AX658" i="7" s="1"/>
  <c r="AW665" i="7"/>
  <c r="AX665" i="7" s="1"/>
  <c r="AW657" i="7"/>
  <c r="AX657" i="7" s="1"/>
  <c r="AW659" i="7"/>
  <c r="AX659" i="7" s="1"/>
  <c r="AW661" i="7"/>
  <c r="AX661" i="7" s="1"/>
  <c r="AW664" i="7"/>
  <c r="AX664" i="7" s="1"/>
  <c r="AW670" i="7"/>
  <c r="AX670" i="7" s="1"/>
  <c r="AW674" i="7"/>
  <c r="AX674" i="7" s="1"/>
  <c r="AW675" i="7"/>
  <c r="AX675" i="7" s="1"/>
  <c r="AW677" i="7"/>
  <c r="AX677" i="7" s="1"/>
  <c r="AW672" i="7"/>
  <c r="AX672" i="7" s="1"/>
  <c r="AW673" i="7"/>
  <c r="AX673" i="7" s="1"/>
  <c r="AW669" i="7"/>
  <c r="AX669" i="7" s="1"/>
  <c r="AW671" i="7"/>
  <c r="AX671" i="7" s="1"/>
  <c r="AW668" i="7"/>
  <c r="AX668" i="7" s="1"/>
  <c r="AW678" i="7"/>
  <c r="AX678" i="7" s="1"/>
  <c r="AW676" i="7"/>
  <c r="AX676" i="7" s="1"/>
  <c r="AW667" i="7"/>
  <c r="AX667" i="7" s="1"/>
  <c r="AW688" i="7"/>
  <c r="AX688" i="7" s="1"/>
  <c r="AW681" i="7"/>
  <c r="AX681" i="7" s="1"/>
  <c r="AW690" i="7"/>
  <c r="AX690" i="7" s="1"/>
  <c r="AW684" i="7"/>
  <c r="AX684" i="7" s="1"/>
  <c r="AW682" i="7"/>
  <c r="AX682" i="7" s="1"/>
  <c r="AW689" i="7"/>
  <c r="AX689" i="7" s="1"/>
  <c r="AW683" i="7"/>
  <c r="AX683" i="7" s="1"/>
  <c r="AW679" i="7"/>
  <c r="AX679" i="7" s="1"/>
  <c r="AW687" i="7"/>
  <c r="AX687" i="7" s="1"/>
  <c r="AW680" i="7"/>
  <c r="AX680" i="7" s="1"/>
  <c r="AW685" i="7"/>
  <c r="AX685" i="7" s="1"/>
  <c r="AW686" i="7"/>
  <c r="AX686" i="7" s="1"/>
  <c r="AW700" i="7"/>
  <c r="AX700" i="7" s="1"/>
  <c r="AW699" i="7"/>
  <c r="AX699" i="7" s="1"/>
  <c r="AW693" i="7"/>
  <c r="AX693" i="7" s="1"/>
  <c r="AW697" i="7"/>
  <c r="AX697" i="7" s="1"/>
  <c r="AW702" i="7"/>
  <c r="AX702" i="7" s="1"/>
  <c r="AW696" i="7"/>
  <c r="AX696" i="7" s="1"/>
  <c r="AW692" i="7"/>
  <c r="AX692" i="7" s="1"/>
  <c r="AW691" i="7"/>
  <c r="AX691" i="7" s="1"/>
  <c r="AW701" i="7"/>
  <c r="AX701" i="7" s="1"/>
  <c r="AW698" i="7"/>
  <c r="AX698" i="7" s="1"/>
  <c r="AW695" i="7"/>
  <c r="AX695" i="7" s="1"/>
  <c r="AW694" i="7"/>
  <c r="AX694" i="7" s="1"/>
  <c r="AW705" i="7"/>
  <c r="AX705" i="7" s="1"/>
  <c r="AW708" i="7"/>
  <c r="AX708" i="7" s="1"/>
  <c r="AW709" i="7"/>
  <c r="AX709" i="7" s="1"/>
  <c r="AW704" i="7"/>
  <c r="AX704" i="7" s="1"/>
  <c r="AW714" i="7"/>
  <c r="AX714" i="7" s="1"/>
  <c r="AW703" i="7"/>
  <c r="AX703" i="7" s="1"/>
  <c r="AW712" i="7"/>
  <c r="AX712" i="7" s="1"/>
  <c r="AW706" i="7"/>
  <c r="AX706" i="7" s="1"/>
  <c r="AW707" i="7"/>
  <c r="AX707" i="7" s="1"/>
  <c r="AW713" i="7"/>
  <c r="AX713" i="7" s="1"/>
  <c r="AW711" i="7"/>
  <c r="AX711" i="7" s="1"/>
  <c r="AW710" i="7"/>
  <c r="AX710" i="7" s="1"/>
  <c r="AW715" i="7"/>
  <c r="AX715" i="7" s="1"/>
  <c r="AW720" i="7"/>
  <c r="AX720" i="7" s="1"/>
  <c r="AW723" i="7"/>
  <c r="AX723" i="7" s="1"/>
  <c r="AW722" i="7"/>
  <c r="AX722" i="7" s="1"/>
  <c r="AW721" i="7"/>
  <c r="AX721" i="7" s="1"/>
  <c r="AW725" i="7"/>
  <c r="AX725" i="7" s="1"/>
  <c r="AW718" i="7"/>
  <c r="AX718" i="7" s="1"/>
  <c r="AW717" i="7"/>
  <c r="AX717" i="7" s="1"/>
  <c r="AW726" i="7"/>
  <c r="AX726" i="7" s="1"/>
  <c r="AW719" i="7"/>
  <c r="AX719" i="7" s="1"/>
  <c r="AW716" i="7"/>
  <c r="AX716" i="7" s="1"/>
  <c r="AW724" i="7"/>
  <c r="AX724" i="7" s="1"/>
  <c r="AW730" i="7"/>
  <c r="AX730" i="7" s="1"/>
  <c r="AW732" i="7"/>
  <c r="AX732" i="7" s="1"/>
  <c r="AW731" i="7"/>
  <c r="AX731" i="7" s="1"/>
  <c r="AW727" i="7"/>
  <c r="AX727" i="7" s="1"/>
  <c r="AW734" i="7"/>
  <c r="AX734" i="7" s="1"/>
  <c r="AW738" i="7"/>
  <c r="AX738" i="7" s="1"/>
  <c r="AW733" i="7"/>
  <c r="AX733" i="7" s="1"/>
  <c r="AW736" i="7"/>
  <c r="AX736" i="7" s="1"/>
  <c r="AW737" i="7"/>
  <c r="AX737" i="7" s="1"/>
  <c r="AW729" i="7"/>
  <c r="AX729" i="7" s="1"/>
  <c r="AW728" i="7"/>
  <c r="AX728" i="7" s="1"/>
  <c r="AW735" i="7"/>
  <c r="AX735" i="7" s="1"/>
  <c r="AW740" i="7"/>
  <c r="AX740" i="7" s="1"/>
  <c r="AW741" i="7"/>
  <c r="AX741" i="7" s="1"/>
  <c r="AW743" i="7"/>
  <c r="AX743" i="7" s="1"/>
  <c r="AW742" i="7"/>
  <c r="AX742" i="7" s="1"/>
  <c r="AW744" i="7"/>
  <c r="AX744" i="7" s="1"/>
  <c r="AW748" i="7"/>
  <c r="AX748" i="7" s="1"/>
  <c r="AW750" i="7"/>
  <c r="AX750" i="7" s="1"/>
  <c r="AW746" i="7"/>
  <c r="AX746" i="7" s="1"/>
  <c r="AW739" i="7"/>
  <c r="AX739" i="7" s="1"/>
  <c r="AW747" i="7"/>
  <c r="AX747" i="7" s="1"/>
  <c r="AW745" i="7"/>
  <c r="AX745" i="7" s="1"/>
  <c r="AW749" i="7"/>
  <c r="AX749" i="7" s="1"/>
  <c r="AW756" i="7"/>
  <c r="AX756" i="7" s="1"/>
  <c r="AW757" i="7"/>
  <c r="AX757" i="7" s="1"/>
  <c r="AW754" i="7"/>
  <c r="AX754" i="7" s="1"/>
  <c r="AW758" i="7"/>
  <c r="AX758" i="7" s="1"/>
  <c r="AW761" i="7"/>
  <c r="AX761" i="7" s="1"/>
  <c r="AW762" i="7"/>
  <c r="AX762" i="7" s="1"/>
  <c r="AW751" i="7"/>
  <c r="AX751" i="7" s="1"/>
  <c r="AW755" i="7"/>
  <c r="AX755" i="7" s="1"/>
  <c r="AW753" i="7"/>
  <c r="AX753" i="7" s="1"/>
  <c r="AW759" i="7"/>
  <c r="AX759" i="7" s="1"/>
  <c r="AW752" i="7"/>
  <c r="AX752" i="7" s="1"/>
  <c r="AW760" i="7"/>
  <c r="AX760" i="7" s="1"/>
  <c r="AW773" i="7"/>
  <c r="AX773" i="7" s="1"/>
  <c r="AW769" i="7"/>
  <c r="AX769" i="7" s="1"/>
  <c r="AW763" i="7"/>
  <c r="AX763" i="7" s="1"/>
  <c r="AW767" i="7"/>
  <c r="AX767" i="7" s="1"/>
  <c r="AW765" i="7"/>
  <c r="AX765" i="7" s="1"/>
  <c r="AW774" i="7"/>
  <c r="AX774" i="7" s="1"/>
  <c r="AW770" i="7"/>
  <c r="AX770" i="7" s="1"/>
  <c r="AW768" i="7"/>
  <c r="AX768" i="7" s="1"/>
  <c r="AW772" i="7"/>
  <c r="AX772" i="7" s="1"/>
  <c r="AW771" i="7"/>
  <c r="AX771" i="7" s="1"/>
  <c r="AW766" i="7"/>
  <c r="AX766" i="7" s="1"/>
  <c r="AW764" i="7"/>
  <c r="AX764" i="7" s="1"/>
  <c r="AW784" i="7"/>
  <c r="AX784" i="7" s="1"/>
  <c r="AW786" i="7"/>
  <c r="AX786" i="7" s="1"/>
  <c r="AW780" i="7"/>
  <c r="AX780" i="7" s="1"/>
  <c r="AW779" i="7"/>
  <c r="AX779" i="7" s="1"/>
  <c r="AW776" i="7"/>
  <c r="AX776" i="7" s="1"/>
  <c r="AW783" i="7"/>
  <c r="AX783" i="7" s="1"/>
  <c r="AW775" i="7"/>
  <c r="AX775" i="7" s="1"/>
  <c r="AW778" i="7"/>
  <c r="AX778" i="7" s="1"/>
  <c r="AW782" i="7"/>
  <c r="AX782" i="7" s="1"/>
  <c r="AW777" i="7"/>
  <c r="AX777" i="7" s="1"/>
  <c r="AW785" i="7"/>
  <c r="AX785" i="7" s="1"/>
  <c r="AW781" i="7"/>
  <c r="AX781" i="7" s="1"/>
  <c r="AW796" i="7"/>
  <c r="AX796" i="7" s="1"/>
  <c r="AW792" i="7"/>
  <c r="AX792" i="7" s="1"/>
  <c r="AW794" i="7"/>
  <c r="AX794" i="7" s="1"/>
  <c r="AW790" i="7"/>
  <c r="AX790" i="7" s="1"/>
  <c r="AW788" i="7"/>
  <c r="AX788" i="7" s="1"/>
  <c r="AW795" i="7"/>
  <c r="AX795" i="7" s="1"/>
  <c r="AW787" i="7"/>
  <c r="AX787" i="7" s="1"/>
  <c r="AW789" i="7"/>
  <c r="AX789" i="7" s="1"/>
  <c r="AW793" i="7"/>
  <c r="AX793" i="7" s="1"/>
  <c r="AW797" i="7"/>
  <c r="AX797" i="7" s="1"/>
  <c r="AW791" i="7"/>
  <c r="AX791" i="7" s="1"/>
  <c r="AW798" i="7"/>
  <c r="AX798" i="7" s="1"/>
  <c r="AW804" i="7"/>
  <c r="AX804" i="7" s="1"/>
  <c r="AW800" i="7"/>
  <c r="AX800" i="7" s="1"/>
  <c r="AW801" i="7"/>
  <c r="AX801" i="7" s="1"/>
  <c r="AW803" i="7"/>
  <c r="AX803" i="7" s="1"/>
  <c r="AW809" i="7"/>
  <c r="AX809" i="7" s="1"/>
  <c r="AW808" i="7"/>
  <c r="AX808" i="7" s="1"/>
  <c r="AW802" i="7"/>
  <c r="AX802" i="7" s="1"/>
  <c r="AW806" i="7"/>
  <c r="AX806" i="7" s="1"/>
  <c r="AW799" i="7"/>
  <c r="AX799" i="7" s="1"/>
  <c r="AW805" i="7"/>
  <c r="AX805" i="7" s="1"/>
  <c r="AW807" i="7"/>
  <c r="AX807" i="7" s="1"/>
  <c r="AW810" i="7"/>
  <c r="AX810" i="7" s="1"/>
  <c r="AW817" i="7"/>
  <c r="AX817" i="7" s="1"/>
  <c r="AW815" i="7"/>
  <c r="AX815" i="7" s="1"/>
  <c r="AW811" i="7"/>
  <c r="AX811" i="7" s="1"/>
  <c r="AW813" i="7"/>
  <c r="AX813" i="7" s="1"/>
  <c r="AW819" i="7"/>
  <c r="AX819" i="7" s="1"/>
  <c r="AW820" i="7"/>
  <c r="AX820" i="7" s="1"/>
  <c r="AW812" i="7"/>
  <c r="AX812" i="7" s="1"/>
  <c r="AW816" i="7"/>
  <c r="AX816" i="7" s="1"/>
  <c r="AW814" i="7"/>
  <c r="AX814" i="7" s="1"/>
  <c r="AW822" i="7"/>
  <c r="AX822" i="7" s="1"/>
  <c r="AW818" i="7"/>
  <c r="AX818" i="7" s="1"/>
  <c r="AW821" i="7"/>
  <c r="AX821" i="7" s="1"/>
  <c r="AW831" i="7"/>
  <c r="AX831" i="7" s="1"/>
  <c r="AW825" i="7"/>
  <c r="AX825" i="7" s="1"/>
  <c r="AW823" i="7"/>
  <c r="AX823" i="7" s="1"/>
  <c r="AW832" i="7"/>
  <c r="AX832" i="7" s="1"/>
  <c r="AW828" i="7"/>
  <c r="AX828" i="7" s="1"/>
  <c r="AW833" i="7"/>
  <c r="AX833" i="7" s="1"/>
  <c r="AW826" i="7"/>
  <c r="AX826" i="7" s="1"/>
  <c r="AW834" i="7"/>
  <c r="AX834" i="7" s="1"/>
  <c r="AW827" i="7"/>
  <c r="AX827" i="7" s="1"/>
  <c r="AW830" i="7"/>
  <c r="AX830" i="7" s="1"/>
  <c r="AW824" i="7"/>
  <c r="AX824" i="7" s="1"/>
  <c r="AW829" i="7"/>
  <c r="AX829" i="7" s="1"/>
  <c r="AW845" i="7"/>
  <c r="AX845" i="7" s="1"/>
  <c r="AW838" i="7"/>
  <c r="AX838" i="7" s="1"/>
  <c r="AW846" i="7"/>
  <c r="AX846" i="7" s="1"/>
  <c r="AW844" i="7"/>
  <c r="AX844" i="7" s="1"/>
  <c r="AW835" i="7"/>
  <c r="AX835" i="7" s="1"/>
  <c r="AW836" i="7"/>
  <c r="AX836" i="7" s="1"/>
  <c r="AW841" i="7"/>
  <c r="AX841" i="7" s="1"/>
  <c r="AW837" i="7"/>
  <c r="AX837" i="7" s="1"/>
  <c r="AW840" i="7"/>
  <c r="AX840" i="7" s="1"/>
  <c r="AW843" i="7"/>
  <c r="AX843" i="7" s="1"/>
  <c r="AW839" i="7"/>
  <c r="AX839" i="7" s="1"/>
  <c r="AW842" i="7"/>
  <c r="AX842" i="7" s="1"/>
  <c r="AW852" i="7"/>
  <c r="AX852" i="7" s="1"/>
  <c r="AW847" i="7"/>
  <c r="AX847" i="7" s="1"/>
  <c r="AW854" i="7"/>
  <c r="AX854" i="7" s="1"/>
  <c r="AW856" i="7"/>
  <c r="AX856" i="7" s="1"/>
  <c r="AW857" i="7"/>
  <c r="AX857" i="7" s="1"/>
  <c r="AW849" i="7"/>
  <c r="AX849" i="7" s="1"/>
  <c r="AW851" i="7"/>
  <c r="AX851" i="7" s="1"/>
  <c r="AW853" i="7"/>
  <c r="AX853" i="7" s="1"/>
  <c r="AW858" i="7"/>
  <c r="AX858" i="7" s="1"/>
  <c r="AW848" i="7"/>
  <c r="AX848" i="7" s="1"/>
  <c r="AW855" i="7"/>
  <c r="AX855" i="7" s="1"/>
  <c r="AW850" i="7"/>
  <c r="AX850" i="7" s="1"/>
  <c r="AW868" i="7"/>
  <c r="AX868" i="7" s="1"/>
  <c r="AW869" i="7"/>
  <c r="AX869" i="7" s="1"/>
  <c r="AW862" i="7"/>
  <c r="AX862" i="7" s="1"/>
  <c r="AW865" i="7"/>
  <c r="AX865" i="7" s="1"/>
  <c r="AW864" i="7"/>
  <c r="AX864" i="7" s="1"/>
  <c r="AW861" i="7"/>
  <c r="AX861" i="7" s="1"/>
  <c r="AW867" i="7"/>
  <c r="AX867" i="7" s="1"/>
  <c r="AW859" i="7"/>
  <c r="AX859" i="7" s="1"/>
  <c r="AW866" i="7"/>
  <c r="AX866" i="7" s="1"/>
  <c r="AW863" i="7"/>
  <c r="AX863" i="7" s="1"/>
  <c r="AW870" i="7"/>
  <c r="AX870" i="7" s="1"/>
  <c r="AW860" i="7"/>
  <c r="AX860" i="7" s="1"/>
  <c r="AW874" i="7"/>
  <c r="AX874" i="7" s="1"/>
  <c r="AW875" i="7"/>
  <c r="AX875" i="7" s="1"/>
  <c r="AW873" i="7"/>
  <c r="AX873" i="7" s="1"/>
  <c r="AW876" i="7"/>
  <c r="AX876" i="7" s="1"/>
  <c r="AW879" i="7"/>
  <c r="AX879" i="7" s="1"/>
  <c r="AW877" i="7"/>
  <c r="AX877" i="7" s="1"/>
  <c r="AW881" i="7"/>
  <c r="AX881" i="7" s="1"/>
  <c r="AW882" i="7"/>
  <c r="AX882" i="7" s="1"/>
  <c r="AW871" i="7"/>
  <c r="AX871" i="7" s="1"/>
  <c r="AW878" i="7"/>
  <c r="AX878" i="7" s="1"/>
  <c r="AW880" i="7"/>
  <c r="AX880" i="7" s="1"/>
  <c r="AW872" i="7"/>
  <c r="AX872" i="7" s="1"/>
  <c r="AW888" i="7"/>
  <c r="AX888" i="7" s="1"/>
  <c r="AW883" i="7"/>
  <c r="AX883" i="7" s="1"/>
  <c r="AW892" i="7"/>
  <c r="AX892" i="7" s="1"/>
  <c r="AW893" i="7"/>
  <c r="AX893" i="7" s="1"/>
  <c r="AW890" i="7"/>
  <c r="AX890" i="7" s="1"/>
  <c r="AW885" i="7"/>
  <c r="AX885" i="7" s="1"/>
  <c r="AW889" i="7"/>
  <c r="AX889" i="7" s="1"/>
  <c r="AW894" i="7"/>
  <c r="AX894" i="7" s="1"/>
  <c r="AW884" i="7"/>
  <c r="AX884" i="7" s="1"/>
  <c r="AW886" i="7"/>
  <c r="AX886" i="7" s="1"/>
  <c r="AW887" i="7"/>
  <c r="AX887" i="7" s="1"/>
  <c r="AW891" i="7"/>
  <c r="AX891" i="7" s="1"/>
  <c r="AW897" i="7"/>
  <c r="AX897" i="7" s="1"/>
  <c r="AW906" i="7"/>
  <c r="AX906" i="7" s="1"/>
  <c r="AW905" i="7"/>
  <c r="AX905" i="7" s="1"/>
  <c r="AW895" i="7"/>
  <c r="AX895" i="7" s="1"/>
  <c r="AW904" i="7"/>
  <c r="AX904" i="7" s="1"/>
  <c r="AW900" i="7"/>
  <c r="AX900" i="7" s="1"/>
  <c r="AW902" i="7"/>
  <c r="AX902" i="7" s="1"/>
  <c r="AW901" i="7"/>
  <c r="AX901" i="7" s="1"/>
  <c r="AW898" i="7"/>
  <c r="AX898" i="7" s="1"/>
  <c r="AW896" i="7"/>
  <c r="AX896" i="7" s="1"/>
  <c r="AW899" i="7"/>
  <c r="AX899" i="7" s="1"/>
  <c r="AW903" i="7"/>
  <c r="AX903" i="7" s="1"/>
  <c r="AW916" i="7"/>
  <c r="AX916" i="7" s="1"/>
  <c r="AW909" i="7"/>
  <c r="AX909" i="7" s="1"/>
  <c r="AW913" i="7"/>
  <c r="AX913" i="7" s="1"/>
  <c r="AW912" i="7"/>
  <c r="AX912" i="7" s="1"/>
  <c r="AW910" i="7"/>
  <c r="AX910" i="7" s="1"/>
  <c r="AW908" i="7"/>
  <c r="AX908" i="7" s="1"/>
  <c r="AW917" i="7"/>
  <c r="AX917" i="7" s="1"/>
  <c r="AW907" i="7"/>
  <c r="AX907" i="7" s="1"/>
  <c r="AW911" i="7"/>
  <c r="AX911" i="7" s="1"/>
  <c r="AW918" i="7"/>
  <c r="AX918" i="7" s="1"/>
  <c r="AW915" i="7"/>
  <c r="AX915" i="7" s="1"/>
  <c r="AW914" i="7"/>
  <c r="AX914" i="7" s="1"/>
  <c r="AW925" i="7"/>
  <c r="AX925" i="7" s="1"/>
  <c r="AW919" i="7"/>
  <c r="AX919" i="7" s="1"/>
  <c r="AW929" i="7"/>
  <c r="AX929" i="7" s="1"/>
  <c r="AW923" i="7"/>
  <c r="AX923" i="7" s="1"/>
  <c r="AW922" i="7"/>
  <c r="AX922" i="7" s="1"/>
  <c r="AW921" i="7"/>
  <c r="AX921" i="7" s="1"/>
  <c r="AW924" i="7"/>
  <c r="AX924" i="7" s="1"/>
  <c r="AW927" i="7"/>
  <c r="AX927" i="7" s="1"/>
  <c r="AW920" i="7"/>
  <c r="AX920" i="7" s="1"/>
  <c r="AW930" i="7"/>
  <c r="AX930" i="7" s="1"/>
  <c r="AW928" i="7"/>
  <c r="AX928" i="7" s="1"/>
  <c r="AW926" i="7"/>
  <c r="AX926" i="7" s="1"/>
  <c r="AW933" i="7"/>
  <c r="AX933" i="7" s="1"/>
  <c r="AW942" i="7"/>
  <c r="AX942" i="7" s="1"/>
  <c r="AW940" i="7"/>
  <c r="AX940" i="7" s="1"/>
  <c r="AW931" i="7"/>
  <c r="AX931" i="7" s="1"/>
  <c r="AW935" i="7"/>
  <c r="AX935" i="7" s="1"/>
  <c r="AW937" i="7"/>
  <c r="AX937" i="7" s="1"/>
  <c r="AW936" i="7"/>
  <c r="AX936" i="7" s="1"/>
  <c r="AW938" i="7"/>
  <c r="AX938" i="7" s="1"/>
  <c r="AW941" i="7"/>
  <c r="AX941" i="7" s="1"/>
  <c r="AW932" i="7"/>
  <c r="AX932" i="7" s="1"/>
  <c r="AW934" i="7"/>
  <c r="AX934" i="7" s="1"/>
  <c r="AW939" i="7"/>
  <c r="AX939" i="7" s="1"/>
  <c r="AW947" i="7"/>
  <c r="AX947" i="7" s="1"/>
  <c r="AW943" i="7"/>
  <c r="AX943" i="7" s="1"/>
  <c r="AW948" i="7"/>
  <c r="AX948" i="7" s="1"/>
  <c r="AW952" i="7"/>
  <c r="AX952" i="7" s="1"/>
  <c r="AW953" i="7"/>
  <c r="AX953" i="7" s="1"/>
  <c r="AW949" i="7"/>
  <c r="AX949" i="7" s="1"/>
  <c r="AW946" i="7"/>
  <c r="AX946" i="7" s="1"/>
  <c r="AW945" i="7"/>
  <c r="AX945" i="7" s="1"/>
  <c r="AW944" i="7"/>
  <c r="AX944" i="7" s="1"/>
  <c r="AW954" i="7"/>
  <c r="AX954" i="7" s="1"/>
  <c r="AW951" i="7"/>
  <c r="AX951" i="7" s="1"/>
  <c r="AW950" i="7"/>
  <c r="AX950" i="7" s="1"/>
  <c r="AW958" i="7"/>
  <c r="AX958" i="7" s="1"/>
  <c r="AW960" i="7"/>
  <c r="AX960" i="7" s="1"/>
  <c r="AW964" i="7"/>
  <c r="AX964" i="7" s="1"/>
  <c r="AW965" i="7"/>
  <c r="AX965" i="7" s="1"/>
  <c r="AW956" i="7"/>
  <c r="AX956" i="7" s="1"/>
  <c r="AW955" i="7"/>
  <c r="AX955" i="7" s="1"/>
  <c r="AW957" i="7"/>
  <c r="AX957" i="7" s="1"/>
  <c r="AW961" i="7"/>
  <c r="AX961" i="7" s="1"/>
  <c r="AW966" i="7"/>
  <c r="AX966" i="7" s="1"/>
  <c r="AW959" i="7"/>
  <c r="AX959" i="7" s="1"/>
  <c r="AW963" i="7"/>
  <c r="AX963" i="7" s="1"/>
  <c r="AW962" i="7"/>
  <c r="AX962" i="7" s="1"/>
  <c r="AW973" i="7"/>
  <c r="AX973" i="7" s="1"/>
  <c r="AW967" i="7"/>
  <c r="AX967" i="7" s="1"/>
  <c r="AW969" i="7"/>
  <c r="AX969" i="7" s="1"/>
  <c r="AW975" i="7"/>
  <c r="AX975" i="7" s="1"/>
  <c r="AW977" i="7"/>
  <c r="AX977" i="7" s="1"/>
  <c r="AW976" i="7"/>
  <c r="AX976" i="7" s="1"/>
  <c r="AW974" i="7"/>
  <c r="AX974" i="7" s="1"/>
  <c r="AW978" i="7"/>
  <c r="AX978" i="7" s="1"/>
  <c r="AW972" i="7"/>
  <c r="AX972" i="7" s="1"/>
  <c r="AW970" i="7"/>
  <c r="AX970" i="7" s="1"/>
  <c r="AW971" i="7"/>
  <c r="AX971" i="7" s="1"/>
  <c r="AW968" i="7"/>
  <c r="AX968" i="7" s="1"/>
  <c r="AW979" i="7"/>
  <c r="AX979" i="7" s="1"/>
  <c r="AW988" i="7"/>
  <c r="AX988" i="7" s="1"/>
  <c r="AW984" i="7"/>
  <c r="AX984" i="7" s="1"/>
  <c r="AW981" i="7"/>
  <c r="AX981" i="7" s="1"/>
  <c r="AW990" i="7"/>
  <c r="AX990" i="7" s="1"/>
  <c r="AW986" i="7"/>
  <c r="AX986" i="7" s="1"/>
  <c r="AW987" i="7"/>
  <c r="AX987" i="7" s="1"/>
  <c r="AW983" i="7"/>
  <c r="AX983" i="7" s="1"/>
  <c r="AW985" i="7"/>
  <c r="AX985" i="7" s="1"/>
  <c r="AW989" i="7"/>
  <c r="AX989" i="7" s="1"/>
  <c r="AW982" i="7"/>
  <c r="AX982" i="7" s="1"/>
  <c r="AW980" i="7"/>
  <c r="AX980" i="7" s="1"/>
  <c r="AW1001" i="7"/>
  <c r="AX1001" i="7" s="1"/>
  <c r="AW997" i="7"/>
  <c r="AX997" i="7" s="1"/>
  <c r="AW1000" i="7"/>
  <c r="AX1000" i="7" s="1"/>
  <c r="AW998" i="7"/>
  <c r="AX998" i="7" s="1"/>
  <c r="AW995" i="7"/>
  <c r="AX995" i="7" s="1"/>
  <c r="AW994" i="7"/>
  <c r="AX994" i="7" s="1"/>
  <c r="AW993" i="7"/>
  <c r="AX993" i="7" s="1"/>
  <c r="AW991" i="7"/>
  <c r="AX991" i="7" s="1"/>
  <c r="AW1002" i="7"/>
  <c r="AX1002" i="7" s="1"/>
  <c r="AW996" i="7"/>
  <c r="AX996" i="7" s="1"/>
  <c r="AW999" i="7"/>
  <c r="AX999" i="7" s="1"/>
  <c r="AW992" i="7"/>
  <c r="AX992" i="7" s="1"/>
  <c r="AW1013" i="7"/>
  <c r="AX1013" i="7" s="1"/>
  <c r="AW1005" i="7"/>
  <c r="AX1005" i="7" s="1"/>
  <c r="AW1012" i="7"/>
  <c r="AX1012" i="7" s="1"/>
  <c r="AW1010" i="7"/>
  <c r="AX1010" i="7" s="1"/>
  <c r="AW1014" i="7"/>
  <c r="AX1014" i="7" s="1"/>
  <c r="AW1004" i="7"/>
  <c r="AX1004" i="7" s="1"/>
  <c r="AW1011" i="7"/>
  <c r="AX1011" i="7" s="1"/>
  <c r="AW1003" i="7"/>
  <c r="AX1003" i="7" s="1"/>
  <c r="AW1008" i="7"/>
  <c r="AX1008" i="7" s="1"/>
  <c r="AW1007" i="7"/>
  <c r="AX1007" i="7" s="1"/>
  <c r="AW1006" i="7"/>
  <c r="AX1006" i="7" s="1"/>
  <c r="AW1009" i="7"/>
  <c r="AX1009" i="7" s="1"/>
  <c r="AW1021" i="7"/>
  <c r="AX1021" i="7" s="1"/>
  <c r="AW1025" i="7"/>
  <c r="AX1025" i="7" s="1"/>
  <c r="AW1023" i="7"/>
  <c r="AX1023" i="7" s="1"/>
  <c r="AW1022" i="7"/>
  <c r="AX1022" i="7" s="1"/>
  <c r="AW1019" i="7"/>
  <c r="AX1019" i="7" s="1"/>
  <c r="AW1020" i="7"/>
  <c r="AX1020" i="7" s="1"/>
  <c r="AW1017" i="7"/>
  <c r="AX1017" i="7" s="1"/>
  <c r="AW1015" i="7"/>
  <c r="AX1015" i="7" s="1"/>
  <c r="AW1016" i="7"/>
  <c r="AX1016" i="7" s="1"/>
  <c r="AW1026" i="7"/>
  <c r="AX1026" i="7" s="1"/>
  <c r="AW1024" i="7"/>
  <c r="AX1024" i="7" s="1"/>
  <c r="AW1018" i="7"/>
  <c r="AX1018" i="7" s="1"/>
  <c r="AW1030" i="7"/>
  <c r="AX1030" i="7" s="1"/>
  <c r="AW1034" i="7"/>
  <c r="AX1034" i="7" s="1"/>
  <c r="AW1038" i="7"/>
  <c r="AX1038" i="7" s="1"/>
  <c r="AW1032" i="7"/>
  <c r="AX1032" i="7" s="1"/>
  <c r="AW1033" i="7"/>
  <c r="AX1033" i="7" s="1"/>
  <c r="AW1028" i="7"/>
  <c r="AX1028" i="7" s="1"/>
  <c r="AW1031" i="7"/>
  <c r="AX1031" i="7" s="1"/>
  <c r="AW1029" i="7"/>
  <c r="AX1029" i="7" s="1"/>
  <c r="AW1035" i="7"/>
  <c r="AX1035" i="7" s="1"/>
  <c r="AW1036" i="7"/>
  <c r="AX1036" i="7" s="1"/>
  <c r="AW1037" i="7"/>
  <c r="AX1037" i="7" s="1"/>
  <c r="AW1027" i="7"/>
  <c r="AX1027" i="7" s="1"/>
  <c r="AW1040" i="7"/>
  <c r="AX1040" i="7" s="1"/>
  <c r="AW1046" i="7"/>
  <c r="AX1046" i="7" s="1"/>
  <c r="AW1049" i="7"/>
  <c r="AX1049" i="7" s="1"/>
  <c r="AW1044" i="7"/>
  <c r="AX1044" i="7" s="1"/>
  <c r="AW1050" i="7"/>
  <c r="AX1050" i="7" s="1"/>
  <c r="AW1045" i="7"/>
  <c r="AX1045" i="7" s="1"/>
  <c r="AW1048" i="7"/>
  <c r="AX1048" i="7" s="1"/>
  <c r="AW1043" i="7"/>
  <c r="AX1043" i="7" s="1"/>
  <c r="AW1041" i="7"/>
  <c r="AX1041" i="7" s="1"/>
  <c r="AW1042" i="7"/>
  <c r="AX1042" i="7" s="1"/>
  <c r="AW1047" i="7"/>
  <c r="AX1047" i="7" s="1"/>
  <c r="AW1039" i="7"/>
  <c r="AX1039" i="7" s="1"/>
  <c r="AW1060" i="7"/>
  <c r="AX1060" i="7" s="1"/>
  <c r="AW1052" i="7"/>
  <c r="AX1052" i="7" s="1"/>
  <c r="AW1058" i="7"/>
  <c r="AX1058" i="7" s="1"/>
  <c r="AW1055" i="7"/>
  <c r="AX1055" i="7" s="1"/>
  <c r="AW1054" i="7"/>
  <c r="AX1054" i="7" s="1"/>
  <c r="AW1059" i="7"/>
  <c r="AX1059" i="7" s="1"/>
  <c r="AW1051" i="7"/>
  <c r="AX1051" i="7" s="1"/>
  <c r="AW1053" i="7"/>
  <c r="AX1053" i="7" s="1"/>
  <c r="AW1057" i="7"/>
  <c r="AX1057" i="7" s="1"/>
  <c r="AW1061" i="7"/>
  <c r="AX1061" i="7" s="1"/>
  <c r="AW1062" i="7"/>
  <c r="AX1062" i="7" s="1"/>
  <c r="AW1056" i="7"/>
  <c r="AX1056" i="7" s="1"/>
  <c r="AW1064" i="7"/>
  <c r="AX1064" i="7" s="1"/>
  <c r="AW1065" i="7"/>
  <c r="AX1065" i="7" s="1"/>
  <c r="AY1065" i="7" s="1"/>
  <c r="AT1065" i="7"/>
  <c r="AT1066" i="7"/>
  <c r="Z1066" i="7" s="1"/>
  <c r="AB1066" i="7" s="1"/>
  <c r="AS4" i="7"/>
  <c r="AY127" i="7" l="1"/>
  <c r="Z127" i="7" s="1"/>
  <c r="AB127" i="7" s="1"/>
  <c r="Y127" i="7"/>
  <c r="AA127" i="7" s="1"/>
  <c r="AY133" i="7"/>
  <c r="Z133" i="7" s="1"/>
  <c r="AB133" i="7" s="1"/>
  <c r="Y133" i="7"/>
  <c r="AA133" i="7" s="1"/>
  <c r="AY132" i="7"/>
  <c r="Z132" i="7" s="1"/>
  <c r="AB132" i="7" s="1"/>
  <c r="Y132" i="7"/>
  <c r="AA132" i="7" s="1"/>
  <c r="AY129" i="7"/>
  <c r="Z129" i="7" s="1"/>
  <c r="AB129" i="7" s="1"/>
  <c r="Y129" i="7"/>
  <c r="AA129" i="7" s="1"/>
  <c r="AY134" i="7"/>
  <c r="Z134" i="7" s="1"/>
  <c r="AB134" i="7" s="1"/>
  <c r="Y134" i="7"/>
  <c r="AA134" i="7" s="1"/>
  <c r="AY138" i="7"/>
  <c r="Z138" i="7" s="1"/>
  <c r="AB138" i="7" s="1"/>
  <c r="Y138" i="7"/>
  <c r="AA138" i="7" s="1"/>
  <c r="AY131" i="7"/>
  <c r="Z131" i="7" s="1"/>
  <c r="AB131" i="7" s="1"/>
  <c r="Y131" i="7"/>
  <c r="AA131" i="7" s="1"/>
  <c r="AY135" i="7"/>
  <c r="Z135" i="7" s="1"/>
  <c r="AB135" i="7" s="1"/>
  <c r="Y135" i="7"/>
  <c r="AA135" i="7" s="1"/>
  <c r="Z1065" i="7"/>
  <c r="AB1065" i="7" s="1"/>
  <c r="AT4" i="7"/>
  <c r="AY1059" i="7"/>
  <c r="Z1059" i="7" s="1"/>
  <c r="AB1059" i="7" s="1"/>
  <c r="Y1059" i="7"/>
  <c r="AA1059" i="7" s="1"/>
  <c r="AY1046" i="7"/>
  <c r="Z1046" i="7" s="1"/>
  <c r="AB1046" i="7" s="1"/>
  <c r="Y1046" i="7"/>
  <c r="AA1046" i="7" s="1"/>
  <c r="AY1026" i="7"/>
  <c r="Z1026" i="7" s="1"/>
  <c r="AB1026" i="7" s="1"/>
  <c r="Y1026" i="7"/>
  <c r="AA1026" i="7" s="1"/>
  <c r="AY1004" i="7"/>
  <c r="Z1004" i="7" s="1"/>
  <c r="AB1004" i="7" s="1"/>
  <c r="Y1004" i="7"/>
  <c r="AA1004" i="7" s="1"/>
  <c r="AY997" i="7"/>
  <c r="Z997" i="7" s="1"/>
  <c r="AB997" i="7" s="1"/>
  <c r="Y997" i="7"/>
  <c r="AA997" i="7" s="1"/>
  <c r="AY970" i="7"/>
  <c r="Z970" i="7" s="1"/>
  <c r="AB970" i="7" s="1"/>
  <c r="Y970" i="7"/>
  <c r="AA970" i="7" s="1"/>
  <c r="AY955" i="7"/>
  <c r="Z955" i="7" s="1"/>
  <c r="AB955" i="7" s="1"/>
  <c r="Y955" i="7"/>
  <c r="AA955" i="7" s="1"/>
  <c r="AY1054" i="7"/>
  <c r="Z1054" i="7" s="1"/>
  <c r="AB1054" i="7" s="1"/>
  <c r="Y1054" i="7"/>
  <c r="AA1054" i="7" s="1"/>
  <c r="AY1050" i="7"/>
  <c r="Z1050" i="7" s="1"/>
  <c r="AB1050" i="7" s="1"/>
  <c r="Y1050" i="7"/>
  <c r="AA1050" i="7" s="1"/>
  <c r="AY1035" i="7"/>
  <c r="Z1035" i="7" s="1"/>
  <c r="AB1035" i="7" s="1"/>
  <c r="Y1035" i="7"/>
  <c r="AA1035" i="7" s="1"/>
  <c r="AY1030" i="7"/>
  <c r="Z1030" i="7" s="1"/>
  <c r="AB1030" i="7" s="1"/>
  <c r="Y1030" i="7"/>
  <c r="AA1030" i="7" s="1"/>
  <c r="AY1056" i="7"/>
  <c r="Z1056" i="7" s="1"/>
  <c r="AB1056" i="7" s="1"/>
  <c r="Y1056" i="7"/>
  <c r="AA1056" i="7" s="1"/>
  <c r="AY1053" i="7"/>
  <c r="Z1053" i="7" s="1"/>
  <c r="AB1053" i="7" s="1"/>
  <c r="Y1053" i="7"/>
  <c r="AA1053" i="7" s="1"/>
  <c r="AY1055" i="7"/>
  <c r="Z1055" i="7" s="1"/>
  <c r="AB1055" i="7" s="1"/>
  <c r="Y1055" i="7"/>
  <c r="AA1055" i="7" s="1"/>
  <c r="AY1039" i="7"/>
  <c r="Z1039" i="7" s="1"/>
  <c r="AB1039" i="7" s="1"/>
  <c r="Y1039" i="7"/>
  <c r="AA1039" i="7" s="1"/>
  <c r="AY1043" i="7"/>
  <c r="Z1043" i="7" s="1"/>
  <c r="AB1043" i="7" s="1"/>
  <c r="Y1043" i="7"/>
  <c r="AA1043" i="7" s="1"/>
  <c r="AY1044" i="7"/>
  <c r="Z1044" i="7" s="1"/>
  <c r="AB1044" i="7" s="1"/>
  <c r="Y1044" i="7"/>
  <c r="AA1044" i="7" s="1"/>
  <c r="AY1027" i="7"/>
  <c r="Z1027" i="7" s="1"/>
  <c r="AB1027" i="7" s="1"/>
  <c r="Y1027" i="7"/>
  <c r="AA1027" i="7" s="1"/>
  <c r="AY1029" i="7"/>
  <c r="Z1029" i="7" s="1"/>
  <c r="AB1029" i="7" s="1"/>
  <c r="Y1029" i="7"/>
  <c r="AA1029" i="7" s="1"/>
  <c r="AY1032" i="7"/>
  <c r="Z1032" i="7" s="1"/>
  <c r="AB1032" i="7" s="1"/>
  <c r="Y1032" i="7"/>
  <c r="AA1032" i="7" s="1"/>
  <c r="AY1018" i="7"/>
  <c r="Z1018" i="7" s="1"/>
  <c r="AB1018" i="7" s="1"/>
  <c r="Y1018" i="7"/>
  <c r="AA1018" i="7" s="1"/>
  <c r="AY1015" i="7"/>
  <c r="Z1015" i="7" s="1"/>
  <c r="AB1015" i="7" s="1"/>
  <c r="Y1015" i="7"/>
  <c r="AA1015" i="7" s="1"/>
  <c r="AY1022" i="7"/>
  <c r="Z1022" i="7" s="1"/>
  <c r="AB1022" i="7" s="1"/>
  <c r="Y1022" i="7"/>
  <c r="AA1022" i="7" s="1"/>
  <c r="AY1009" i="7"/>
  <c r="Z1009" i="7" s="1"/>
  <c r="AB1009" i="7" s="1"/>
  <c r="Y1009" i="7"/>
  <c r="AA1009" i="7" s="1"/>
  <c r="AY1003" i="7"/>
  <c r="Z1003" i="7" s="1"/>
  <c r="AB1003" i="7" s="1"/>
  <c r="Y1003" i="7"/>
  <c r="AA1003" i="7" s="1"/>
  <c r="AY1010" i="7"/>
  <c r="Z1010" i="7" s="1"/>
  <c r="AB1010" i="7" s="1"/>
  <c r="Y1010" i="7"/>
  <c r="AA1010" i="7" s="1"/>
  <c r="AY992" i="7"/>
  <c r="Z992" i="7" s="1"/>
  <c r="AB992" i="7" s="1"/>
  <c r="Y992" i="7"/>
  <c r="AA992" i="7" s="1"/>
  <c r="AY991" i="7"/>
  <c r="Z991" i="7" s="1"/>
  <c r="AB991" i="7" s="1"/>
  <c r="Y991" i="7"/>
  <c r="AA991" i="7" s="1"/>
  <c r="AY998" i="7"/>
  <c r="Z998" i="7" s="1"/>
  <c r="AB998" i="7" s="1"/>
  <c r="Y998" i="7"/>
  <c r="AA998" i="7" s="1"/>
  <c r="AY980" i="7"/>
  <c r="Z980" i="7" s="1"/>
  <c r="AB980" i="7" s="1"/>
  <c r="Y980" i="7"/>
  <c r="AA980" i="7" s="1"/>
  <c r="AY983" i="7"/>
  <c r="Z983" i="7" s="1"/>
  <c r="AB983" i="7" s="1"/>
  <c r="Y983" i="7"/>
  <c r="AA983" i="7" s="1"/>
  <c r="AY981" i="7"/>
  <c r="Z981" i="7" s="1"/>
  <c r="AB981" i="7" s="1"/>
  <c r="Y981" i="7"/>
  <c r="AA981" i="7" s="1"/>
  <c r="AY968" i="7"/>
  <c r="Z968" i="7" s="1"/>
  <c r="AB968" i="7" s="1"/>
  <c r="Y968" i="7"/>
  <c r="AA968" i="7" s="1"/>
  <c r="AY978" i="7"/>
  <c r="Z978" i="7" s="1"/>
  <c r="AB978" i="7" s="1"/>
  <c r="Y978" i="7"/>
  <c r="AA978" i="7" s="1"/>
  <c r="AY975" i="7"/>
  <c r="Z975" i="7" s="1"/>
  <c r="AB975" i="7" s="1"/>
  <c r="Y975" i="7"/>
  <c r="AA975" i="7" s="1"/>
  <c r="AY962" i="7"/>
  <c r="Z962" i="7" s="1"/>
  <c r="AB962" i="7" s="1"/>
  <c r="Y962" i="7"/>
  <c r="AA962" i="7" s="1"/>
  <c r="AY961" i="7"/>
  <c r="Z961" i="7" s="1"/>
  <c r="AB961" i="7" s="1"/>
  <c r="Y961" i="7"/>
  <c r="AA961" i="7" s="1"/>
  <c r="AY965" i="7"/>
  <c r="Z965" i="7" s="1"/>
  <c r="AB965" i="7" s="1"/>
  <c r="Y965" i="7"/>
  <c r="AA965" i="7" s="1"/>
  <c r="AY950" i="7"/>
  <c r="Z950" i="7" s="1"/>
  <c r="AB950" i="7" s="1"/>
  <c r="Y950" i="7"/>
  <c r="AA950" i="7" s="1"/>
  <c r="AY945" i="7"/>
  <c r="Z945" i="7" s="1"/>
  <c r="AB945" i="7" s="1"/>
  <c r="Y945" i="7"/>
  <c r="AA945" i="7" s="1"/>
  <c r="AY952" i="7"/>
  <c r="Z952" i="7" s="1"/>
  <c r="AB952" i="7" s="1"/>
  <c r="Y952" i="7"/>
  <c r="AA952" i="7" s="1"/>
  <c r="AY939" i="7"/>
  <c r="Z939" i="7" s="1"/>
  <c r="AB939" i="7" s="1"/>
  <c r="Y939" i="7"/>
  <c r="AA939" i="7" s="1"/>
  <c r="AY938" i="7"/>
  <c r="Z938" i="7" s="1"/>
  <c r="AB938" i="7" s="1"/>
  <c r="Y938" i="7"/>
  <c r="AA938" i="7" s="1"/>
  <c r="AY931" i="7"/>
  <c r="Z931" i="7" s="1"/>
  <c r="AB931" i="7" s="1"/>
  <c r="Y931" i="7"/>
  <c r="AA931" i="7" s="1"/>
  <c r="AY926" i="7"/>
  <c r="Z926" i="7" s="1"/>
  <c r="AB926" i="7" s="1"/>
  <c r="Y926" i="7"/>
  <c r="AA926" i="7" s="1"/>
  <c r="AY927" i="7"/>
  <c r="Z927" i="7" s="1"/>
  <c r="AB927" i="7" s="1"/>
  <c r="Y927" i="7"/>
  <c r="AA927" i="7" s="1"/>
  <c r="AY923" i="7"/>
  <c r="Z923" i="7" s="1"/>
  <c r="AB923" i="7" s="1"/>
  <c r="Y923" i="7"/>
  <c r="AA923" i="7" s="1"/>
  <c r="AY914" i="7"/>
  <c r="Z914" i="7" s="1"/>
  <c r="AB914" i="7" s="1"/>
  <c r="Y914" i="7"/>
  <c r="AA914" i="7" s="1"/>
  <c r="AY907" i="7"/>
  <c r="Z907" i="7" s="1"/>
  <c r="AB907" i="7" s="1"/>
  <c r="Y907" i="7"/>
  <c r="AA907" i="7" s="1"/>
  <c r="AY912" i="7"/>
  <c r="Z912" i="7" s="1"/>
  <c r="AB912" i="7" s="1"/>
  <c r="Y912" i="7"/>
  <c r="AA912" i="7" s="1"/>
  <c r="AY903" i="7"/>
  <c r="Z903" i="7" s="1"/>
  <c r="AB903" i="7" s="1"/>
  <c r="Y903" i="7"/>
  <c r="AA903" i="7" s="1"/>
  <c r="AY901" i="7"/>
  <c r="Z901" i="7" s="1"/>
  <c r="AB901" i="7" s="1"/>
  <c r="Y901" i="7"/>
  <c r="AA901" i="7" s="1"/>
  <c r="AY895" i="7"/>
  <c r="Z895" i="7" s="1"/>
  <c r="AB895" i="7" s="1"/>
  <c r="Y895" i="7"/>
  <c r="AA895" i="7" s="1"/>
  <c r="AY891" i="7"/>
  <c r="Z891" i="7" s="1"/>
  <c r="AB891" i="7" s="1"/>
  <c r="Y891" i="7"/>
  <c r="AA891" i="7" s="1"/>
  <c r="AY894" i="7"/>
  <c r="Z894" i="7" s="1"/>
  <c r="AB894" i="7" s="1"/>
  <c r="Y894" i="7"/>
  <c r="AA894" i="7" s="1"/>
  <c r="AY893" i="7"/>
  <c r="Z893" i="7" s="1"/>
  <c r="AB893" i="7" s="1"/>
  <c r="Y893" i="7"/>
  <c r="AA893" i="7" s="1"/>
  <c r="AY872" i="7"/>
  <c r="Z872" i="7" s="1"/>
  <c r="AB872" i="7" s="1"/>
  <c r="Y872" i="7"/>
  <c r="AA872" i="7" s="1"/>
  <c r="AY882" i="7"/>
  <c r="Z882" i="7" s="1"/>
  <c r="AB882" i="7" s="1"/>
  <c r="Y882" i="7"/>
  <c r="AA882" i="7" s="1"/>
  <c r="AY876" i="7"/>
  <c r="Z876" i="7" s="1"/>
  <c r="AB876" i="7" s="1"/>
  <c r="Y876" i="7"/>
  <c r="AA876" i="7" s="1"/>
  <c r="AY860" i="7"/>
  <c r="Z860" i="7" s="1"/>
  <c r="AB860" i="7" s="1"/>
  <c r="Y860" i="7"/>
  <c r="AA860" i="7" s="1"/>
  <c r="AY859" i="7"/>
  <c r="Z859" i="7" s="1"/>
  <c r="AB859" i="7" s="1"/>
  <c r="Y859" i="7"/>
  <c r="AA859" i="7" s="1"/>
  <c r="AY865" i="7"/>
  <c r="Z865" i="7" s="1"/>
  <c r="AB865" i="7" s="1"/>
  <c r="Y865" i="7"/>
  <c r="AA865" i="7" s="1"/>
  <c r="AY850" i="7"/>
  <c r="Z850" i="7" s="1"/>
  <c r="AB850" i="7" s="1"/>
  <c r="Y850" i="7"/>
  <c r="AA850" i="7" s="1"/>
  <c r="AY853" i="7"/>
  <c r="Z853" i="7" s="1"/>
  <c r="AB853" i="7" s="1"/>
  <c r="Y853" i="7"/>
  <c r="AA853" i="7" s="1"/>
  <c r="AY856" i="7"/>
  <c r="Z856" i="7" s="1"/>
  <c r="AB856" i="7" s="1"/>
  <c r="Y856" i="7"/>
  <c r="AA856" i="7" s="1"/>
  <c r="AY842" i="7"/>
  <c r="Z842" i="7" s="1"/>
  <c r="AB842" i="7" s="1"/>
  <c r="Y842" i="7"/>
  <c r="AA842" i="7" s="1"/>
  <c r="AY837" i="7"/>
  <c r="Z837" i="7" s="1"/>
  <c r="AB837" i="7" s="1"/>
  <c r="Y837" i="7"/>
  <c r="AA837" i="7" s="1"/>
  <c r="AY844" i="7"/>
  <c r="Z844" i="7" s="1"/>
  <c r="AB844" i="7" s="1"/>
  <c r="Y844" i="7"/>
  <c r="AA844" i="7" s="1"/>
  <c r="AY829" i="7"/>
  <c r="Z829" i="7" s="1"/>
  <c r="AB829" i="7" s="1"/>
  <c r="Y829" i="7"/>
  <c r="AA829" i="7" s="1"/>
  <c r="AY834" i="7"/>
  <c r="Z834" i="7" s="1"/>
  <c r="AB834" i="7" s="1"/>
  <c r="Y834" i="7"/>
  <c r="AA834" i="7" s="1"/>
  <c r="AY832" i="7"/>
  <c r="Z832" i="7" s="1"/>
  <c r="AB832" i="7" s="1"/>
  <c r="Y832" i="7"/>
  <c r="AA832" i="7" s="1"/>
  <c r="AY821" i="7"/>
  <c r="Z821" i="7" s="1"/>
  <c r="AB821" i="7" s="1"/>
  <c r="Y821" i="7"/>
  <c r="AA821" i="7" s="1"/>
  <c r="AY816" i="7"/>
  <c r="Z816" i="7" s="1"/>
  <c r="AB816" i="7" s="1"/>
  <c r="Y816" i="7"/>
  <c r="AA816" i="7" s="1"/>
  <c r="AY813" i="7"/>
  <c r="Z813" i="7" s="1"/>
  <c r="AB813" i="7" s="1"/>
  <c r="Y813" i="7"/>
  <c r="AA813" i="7" s="1"/>
  <c r="AY810" i="7"/>
  <c r="Z810" i="7" s="1"/>
  <c r="AB810" i="7" s="1"/>
  <c r="Y810" i="7"/>
  <c r="AA810" i="7" s="1"/>
  <c r="AY806" i="7"/>
  <c r="Z806" i="7" s="1"/>
  <c r="AB806" i="7" s="1"/>
  <c r="Y806" i="7"/>
  <c r="AA806" i="7" s="1"/>
  <c r="AY803" i="7"/>
  <c r="Z803" i="7" s="1"/>
  <c r="AB803" i="7" s="1"/>
  <c r="Y803" i="7"/>
  <c r="AA803" i="7" s="1"/>
  <c r="AY798" i="7"/>
  <c r="Z798" i="7" s="1"/>
  <c r="AB798" i="7" s="1"/>
  <c r="Y798" i="7"/>
  <c r="AA798" i="7" s="1"/>
  <c r="AY789" i="7"/>
  <c r="Z789" i="7" s="1"/>
  <c r="AB789" i="7" s="1"/>
  <c r="Y789" i="7"/>
  <c r="AA789" i="7" s="1"/>
  <c r="AY790" i="7"/>
  <c r="Z790" i="7" s="1"/>
  <c r="AB790" i="7" s="1"/>
  <c r="Y790" i="7"/>
  <c r="AA790" i="7" s="1"/>
  <c r="AY781" i="7"/>
  <c r="Z781" i="7" s="1"/>
  <c r="AB781" i="7" s="1"/>
  <c r="Y781" i="7"/>
  <c r="AA781" i="7" s="1"/>
  <c r="AY778" i="7"/>
  <c r="Z778" i="7" s="1"/>
  <c r="AB778" i="7" s="1"/>
  <c r="Y778" i="7"/>
  <c r="AA778" i="7" s="1"/>
  <c r="AY779" i="7"/>
  <c r="Z779" i="7" s="1"/>
  <c r="AB779" i="7" s="1"/>
  <c r="Y779" i="7"/>
  <c r="AA779" i="7" s="1"/>
  <c r="AY764" i="7"/>
  <c r="Z764" i="7" s="1"/>
  <c r="AB764" i="7" s="1"/>
  <c r="Y764" i="7"/>
  <c r="AA764" i="7" s="1"/>
  <c r="AY768" i="7"/>
  <c r="Z768" i="7" s="1"/>
  <c r="AB768" i="7" s="1"/>
  <c r="Y768" i="7"/>
  <c r="AA768" i="7" s="1"/>
  <c r="AY767" i="7"/>
  <c r="Z767" i="7" s="1"/>
  <c r="AB767" i="7" s="1"/>
  <c r="Y767" i="7"/>
  <c r="AA767" i="7" s="1"/>
  <c r="AY760" i="7"/>
  <c r="Z760" i="7" s="1"/>
  <c r="AB760" i="7" s="1"/>
  <c r="Y760" i="7"/>
  <c r="AA760" i="7" s="1"/>
  <c r="AY755" i="7"/>
  <c r="Z755" i="7" s="1"/>
  <c r="AB755" i="7" s="1"/>
  <c r="Y755" i="7"/>
  <c r="AA755" i="7" s="1"/>
  <c r="AY758" i="7"/>
  <c r="Z758" i="7" s="1"/>
  <c r="AB758" i="7" s="1"/>
  <c r="Y758" i="7"/>
  <c r="AA758" i="7" s="1"/>
  <c r="AY749" i="7"/>
  <c r="Z749" i="7" s="1"/>
  <c r="AB749" i="7" s="1"/>
  <c r="Y749" i="7"/>
  <c r="AA749" i="7" s="1"/>
  <c r="AY746" i="7"/>
  <c r="Z746" i="7" s="1"/>
  <c r="AB746" i="7" s="1"/>
  <c r="Y746" i="7"/>
  <c r="AA746" i="7" s="1"/>
  <c r="AY742" i="7"/>
  <c r="Z742" i="7" s="1"/>
  <c r="AB742" i="7" s="1"/>
  <c r="Y742" i="7"/>
  <c r="AA742" i="7" s="1"/>
  <c r="AY735" i="7"/>
  <c r="Z735" i="7" s="1"/>
  <c r="AB735" i="7" s="1"/>
  <c r="Y735" i="7"/>
  <c r="AA735" i="7" s="1"/>
  <c r="AY736" i="7"/>
  <c r="Z736" i="7" s="1"/>
  <c r="AB736" i="7" s="1"/>
  <c r="Y736" i="7"/>
  <c r="AA736" i="7" s="1"/>
  <c r="AY727" i="7"/>
  <c r="Z727" i="7" s="1"/>
  <c r="AB727" i="7" s="1"/>
  <c r="Y727" i="7"/>
  <c r="AA727" i="7" s="1"/>
  <c r="AY724" i="7"/>
  <c r="Z724" i="7" s="1"/>
  <c r="AB724" i="7" s="1"/>
  <c r="Y724" i="7"/>
  <c r="AA724" i="7" s="1"/>
  <c r="AY717" i="7"/>
  <c r="Z717" i="7" s="1"/>
  <c r="AB717" i="7" s="1"/>
  <c r="Y717" i="7"/>
  <c r="AA717" i="7" s="1"/>
  <c r="AY722" i="7"/>
  <c r="Z722" i="7" s="1"/>
  <c r="AB722" i="7" s="1"/>
  <c r="Y722" i="7"/>
  <c r="AA722" i="7" s="1"/>
  <c r="AY710" i="7"/>
  <c r="Z710" i="7" s="1"/>
  <c r="AB710" i="7" s="1"/>
  <c r="Y710" i="7"/>
  <c r="AA710" i="7" s="1"/>
  <c r="AY706" i="7"/>
  <c r="Z706" i="7" s="1"/>
  <c r="AB706" i="7" s="1"/>
  <c r="Y706" i="7"/>
  <c r="AA706" i="7" s="1"/>
  <c r="AY704" i="7"/>
  <c r="Z704" i="7" s="1"/>
  <c r="AB704" i="7" s="1"/>
  <c r="Y704" i="7"/>
  <c r="AA704" i="7" s="1"/>
  <c r="AY694" i="7"/>
  <c r="Z694" i="7" s="1"/>
  <c r="AB694" i="7" s="1"/>
  <c r="Y694" i="7"/>
  <c r="AA694" i="7" s="1"/>
  <c r="AY691" i="7"/>
  <c r="Z691" i="7" s="1"/>
  <c r="AB691" i="7" s="1"/>
  <c r="Y691" i="7"/>
  <c r="AA691" i="7" s="1"/>
  <c r="AY697" i="7"/>
  <c r="Z697" i="7" s="1"/>
  <c r="AB697" i="7" s="1"/>
  <c r="Y697" i="7"/>
  <c r="AA697" i="7" s="1"/>
  <c r="AY686" i="7"/>
  <c r="Z686" i="7" s="1"/>
  <c r="AB686" i="7" s="1"/>
  <c r="Y686" i="7"/>
  <c r="AA686" i="7" s="1"/>
  <c r="AY679" i="7"/>
  <c r="Z679" i="7" s="1"/>
  <c r="AB679" i="7" s="1"/>
  <c r="Y679" i="7"/>
  <c r="AA679" i="7" s="1"/>
  <c r="AY684" i="7"/>
  <c r="Z684" i="7" s="1"/>
  <c r="AB684" i="7" s="1"/>
  <c r="Y684" i="7"/>
  <c r="AA684" i="7" s="1"/>
  <c r="AY667" i="7"/>
  <c r="Z667" i="7" s="1"/>
  <c r="AB667" i="7" s="1"/>
  <c r="Y667" i="7"/>
  <c r="AA667" i="7" s="1"/>
  <c r="AY671" i="7"/>
  <c r="Z671" i="7" s="1"/>
  <c r="AB671" i="7" s="1"/>
  <c r="Y671" i="7"/>
  <c r="AA671" i="7" s="1"/>
  <c r="AY677" i="7"/>
  <c r="Z677" i="7" s="1"/>
  <c r="AB677" i="7" s="1"/>
  <c r="Y677" i="7"/>
  <c r="AA677" i="7" s="1"/>
  <c r="AY664" i="7"/>
  <c r="Z664" i="7" s="1"/>
  <c r="AB664" i="7" s="1"/>
  <c r="Y664" i="7"/>
  <c r="AA664" i="7" s="1"/>
  <c r="AY665" i="7"/>
  <c r="Z665" i="7" s="1"/>
  <c r="AB665" i="7" s="1"/>
  <c r="Y665" i="7"/>
  <c r="AA665" i="7" s="1"/>
  <c r="AY666" i="7"/>
  <c r="Z666" i="7" s="1"/>
  <c r="AB666" i="7" s="1"/>
  <c r="Y666" i="7"/>
  <c r="AA666" i="7" s="1"/>
  <c r="AY652" i="7"/>
  <c r="Z652" i="7" s="1"/>
  <c r="AB652" i="7" s="1"/>
  <c r="Y652" i="7"/>
  <c r="AA652" i="7" s="1"/>
  <c r="AY645" i="7"/>
  <c r="Z645" i="7" s="1"/>
  <c r="AB645" i="7" s="1"/>
  <c r="Y645" i="7"/>
  <c r="AA645" i="7" s="1"/>
  <c r="AY646" i="7"/>
  <c r="Z646" i="7" s="1"/>
  <c r="AB646" i="7" s="1"/>
  <c r="Y646" i="7"/>
  <c r="AA646" i="7" s="1"/>
  <c r="AY637" i="7"/>
  <c r="Z637" i="7" s="1"/>
  <c r="AB637" i="7" s="1"/>
  <c r="Y637" i="7"/>
  <c r="AA637" i="7" s="1"/>
  <c r="AY633" i="7"/>
  <c r="Z633" i="7" s="1"/>
  <c r="AB633" i="7" s="1"/>
  <c r="Y633" i="7"/>
  <c r="AA633" i="7" s="1"/>
  <c r="AY634" i="7"/>
  <c r="Z634" i="7" s="1"/>
  <c r="AB634" i="7" s="1"/>
  <c r="Y634" i="7"/>
  <c r="AA634" i="7" s="1"/>
  <c r="AY625" i="7"/>
  <c r="Z625" i="7" s="1"/>
  <c r="AB625" i="7" s="1"/>
  <c r="Y625" i="7"/>
  <c r="AA625" i="7" s="1"/>
  <c r="AY622" i="7"/>
  <c r="Z622" i="7" s="1"/>
  <c r="AB622" i="7" s="1"/>
  <c r="Y622" i="7"/>
  <c r="AA622" i="7" s="1"/>
  <c r="AY624" i="7"/>
  <c r="Z624" i="7" s="1"/>
  <c r="AB624" i="7" s="1"/>
  <c r="Y624" i="7"/>
  <c r="AA624" i="7" s="1"/>
  <c r="AY609" i="7"/>
  <c r="Z609" i="7" s="1"/>
  <c r="AB609" i="7" s="1"/>
  <c r="Y609" i="7"/>
  <c r="AA609" i="7" s="1"/>
  <c r="AY617" i="7"/>
  <c r="Z617" i="7" s="1"/>
  <c r="AB617" i="7" s="1"/>
  <c r="Y617" i="7"/>
  <c r="AA617" i="7" s="1"/>
  <c r="AY613" i="7"/>
  <c r="Z613" i="7" s="1"/>
  <c r="AB613" i="7" s="1"/>
  <c r="Y613" i="7"/>
  <c r="AA613" i="7" s="1"/>
  <c r="AY606" i="7"/>
  <c r="Z606" i="7" s="1"/>
  <c r="AB606" i="7" s="1"/>
  <c r="Y606" i="7"/>
  <c r="AA606" i="7" s="1"/>
  <c r="AY599" i="7"/>
  <c r="Z599" i="7" s="1"/>
  <c r="AB599" i="7" s="1"/>
  <c r="Y599" i="7"/>
  <c r="AA599" i="7" s="1"/>
  <c r="AY595" i="7"/>
  <c r="Z595" i="7" s="1"/>
  <c r="AB595" i="7" s="1"/>
  <c r="Y595" i="7"/>
  <c r="AA595" i="7" s="1"/>
  <c r="AY591" i="7"/>
  <c r="Z591" i="7" s="1"/>
  <c r="AB591" i="7" s="1"/>
  <c r="Y591" i="7"/>
  <c r="AA591" i="7" s="1"/>
  <c r="AY584" i="7"/>
  <c r="Z584" i="7" s="1"/>
  <c r="AB584" i="7" s="1"/>
  <c r="Y584" i="7"/>
  <c r="AA584" i="7" s="1"/>
  <c r="AY593" i="7"/>
  <c r="Z593" i="7" s="1"/>
  <c r="AB593" i="7" s="1"/>
  <c r="Y593" i="7"/>
  <c r="AA593" i="7" s="1"/>
  <c r="AY571" i="7"/>
  <c r="Z571" i="7" s="1"/>
  <c r="AB571" i="7" s="1"/>
  <c r="Y571" i="7"/>
  <c r="AA571" i="7" s="1"/>
  <c r="AY577" i="7"/>
  <c r="Z577" i="7" s="1"/>
  <c r="AB577" i="7" s="1"/>
  <c r="Y577" i="7"/>
  <c r="AA577" i="7" s="1"/>
  <c r="AY576" i="7"/>
  <c r="Z576" i="7" s="1"/>
  <c r="AB576" i="7" s="1"/>
  <c r="Y576" i="7"/>
  <c r="AA576" i="7" s="1"/>
  <c r="AY562" i="7"/>
  <c r="Z562" i="7" s="1"/>
  <c r="AB562" i="7" s="1"/>
  <c r="Y562" i="7"/>
  <c r="AA562" i="7" s="1"/>
  <c r="AY567" i="7"/>
  <c r="Z567" i="7" s="1"/>
  <c r="AB567" i="7" s="1"/>
  <c r="Y567" i="7"/>
  <c r="AA567" i="7" s="1"/>
  <c r="AY569" i="7"/>
  <c r="Z569" i="7" s="1"/>
  <c r="AB569" i="7" s="1"/>
  <c r="Y569" i="7"/>
  <c r="AA569" i="7" s="1"/>
  <c r="AY558" i="7"/>
  <c r="Z558" i="7" s="1"/>
  <c r="AB558" i="7" s="1"/>
  <c r="Y558" i="7"/>
  <c r="AA558" i="7" s="1"/>
  <c r="AY550" i="7"/>
  <c r="Z550" i="7" s="1"/>
  <c r="AB550" i="7" s="1"/>
  <c r="Y550" i="7"/>
  <c r="AA550" i="7" s="1"/>
  <c r="AY555" i="7"/>
  <c r="Z555" i="7" s="1"/>
  <c r="AB555" i="7" s="1"/>
  <c r="Y555" i="7"/>
  <c r="AA555" i="7" s="1"/>
  <c r="AY537" i="7"/>
  <c r="Z537" i="7" s="1"/>
  <c r="AB537" i="7" s="1"/>
  <c r="Y537" i="7"/>
  <c r="AA537" i="7" s="1"/>
  <c r="AY546" i="7"/>
  <c r="Z546" i="7" s="1"/>
  <c r="AB546" i="7" s="1"/>
  <c r="Y546" i="7"/>
  <c r="AA546" i="7" s="1"/>
  <c r="AY541" i="7"/>
  <c r="Z541" i="7" s="1"/>
  <c r="AB541" i="7" s="1"/>
  <c r="Y541" i="7"/>
  <c r="AA541" i="7" s="1"/>
  <c r="AY531" i="7"/>
  <c r="Z531" i="7" s="1"/>
  <c r="AB531" i="7" s="1"/>
  <c r="Y531" i="7"/>
  <c r="AA531" i="7" s="1"/>
  <c r="AY530" i="7"/>
  <c r="Z530" i="7" s="1"/>
  <c r="AB530" i="7" s="1"/>
  <c r="Y530" i="7"/>
  <c r="AA530" i="7" s="1"/>
  <c r="AY533" i="7"/>
  <c r="Z533" i="7" s="1"/>
  <c r="AB533" i="7" s="1"/>
  <c r="Y533" i="7"/>
  <c r="AA533" i="7" s="1"/>
  <c r="AY515" i="7"/>
  <c r="Z515" i="7" s="1"/>
  <c r="AB515" i="7" s="1"/>
  <c r="Y515" i="7"/>
  <c r="AA515" i="7" s="1"/>
  <c r="AY516" i="7"/>
  <c r="Z516" i="7" s="1"/>
  <c r="AB516" i="7" s="1"/>
  <c r="Y516" i="7"/>
  <c r="AA516" i="7" s="1"/>
  <c r="AY522" i="7"/>
  <c r="Z522" i="7" s="1"/>
  <c r="AB522" i="7" s="1"/>
  <c r="Y522" i="7"/>
  <c r="AA522" i="7" s="1"/>
  <c r="AY507" i="7"/>
  <c r="Z507" i="7" s="1"/>
  <c r="AB507" i="7" s="1"/>
  <c r="Y507" i="7"/>
  <c r="AA507" i="7" s="1"/>
  <c r="AY502" i="7"/>
  <c r="Z502" i="7" s="1"/>
  <c r="AB502" i="7" s="1"/>
  <c r="Y502" i="7"/>
  <c r="AA502" i="7" s="1"/>
  <c r="AY509" i="7"/>
  <c r="Z509" i="7" s="1"/>
  <c r="AB509" i="7" s="1"/>
  <c r="Y509" i="7"/>
  <c r="AA509" i="7" s="1"/>
  <c r="AY489" i="7"/>
  <c r="Z489" i="7" s="1"/>
  <c r="AB489" i="7" s="1"/>
  <c r="Y489" i="7"/>
  <c r="AA489" i="7" s="1"/>
  <c r="AY494" i="7"/>
  <c r="Z494" i="7" s="1"/>
  <c r="AB494" i="7" s="1"/>
  <c r="Y494" i="7"/>
  <c r="AA494" i="7" s="1"/>
  <c r="AY496" i="7"/>
  <c r="Z496" i="7" s="1"/>
  <c r="AB496" i="7" s="1"/>
  <c r="Y496" i="7"/>
  <c r="AA496" i="7" s="1"/>
  <c r="AY477" i="7"/>
  <c r="Z477" i="7" s="1"/>
  <c r="AB477" i="7" s="1"/>
  <c r="Y477" i="7"/>
  <c r="AA477" i="7" s="1"/>
  <c r="AY476" i="7"/>
  <c r="Z476" i="7" s="1"/>
  <c r="AB476" i="7" s="1"/>
  <c r="Y476" i="7"/>
  <c r="AA476" i="7" s="1"/>
  <c r="AY479" i="7"/>
  <c r="Z479" i="7" s="1"/>
  <c r="AB479" i="7" s="1"/>
  <c r="Y479" i="7"/>
  <c r="AA479" i="7" s="1"/>
  <c r="AY465" i="7"/>
  <c r="Z465" i="7" s="1"/>
  <c r="AB465" i="7" s="1"/>
  <c r="Y465" i="7"/>
  <c r="AA465" i="7" s="1"/>
  <c r="AY472" i="7"/>
  <c r="Z472" i="7" s="1"/>
  <c r="AB472" i="7" s="1"/>
  <c r="Y472" i="7"/>
  <c r="AA472" i="7" s="1"/>
  <c r="AY466" i="7"/>
  <c r="Z466" i="7" s="1"/>
  <c r="AB466" i="7" s="1"/>
  <c r="Y466" i="7"/>
  <c r="AA466" i="7" s="1"/>
  <c r="AY458" i="7"/>
  <c r="Z458" i="7" s="1"/>
  <c r="AB458" i="7" s="1"/>
  <c r="Y458" i="7"/>
  <c r="AA458" i="7" s="1"/>
  <c r="AY457" i="7"/>
  <c r="Z457" i="7" s="1"/>
  <c r="AB457" i="7" s="1"/>
  <c r="Y457" i="7"/>
  <c r="AA457" i="7" s="1"/>
  <c r="AY452" i="7"/>
  <c r="Z452" i="7" s="1"/>
  <c r="AB452" i="7" s="1"/>
  <c r="Y452" i="7"/>
  <c r="AA452" i="7" s="1"/>
  <c r="AY447" i="7"/>
  <c r="Z447" i="7" s="1"/>
  <c r="AB447" i="7" s="1"/>
  <c r="Y447" i="7"/>
  <c r="AA447" i="7" s="1"/>
  <c r="AY448" i="7"/>
  <c r="Z448" i="7" s="1"/>
  <c r="AB448" i="7" s="1"/>
  <c r="Y448" i="7"/>
  <c r="AA448" i="7" s="1"/>
  <c r="AY442" i="7"/>
  <c r="Z442" i="7" s="1"/>
  <c r="AB442" i="7" s="1"/>
  <c r="Y442" i="7"/>
  <c r="AA442" i="7" s="1"/>
  <c r="AY429" i="7"/>
  <c r="Z429" i="7" s="1"/>
  <c r="AB429" i="7" s="1"/>
  <c r="Y429" i="7"/>
  <c r="AA429" i="7" s="1"/>
  <c r="AY428" i="7"/>
  <c r="Z428" i="7" s="1"/>
  <c r="AB428" i="7" s="1"/>
  <c r="Y428" i="7"/>
  <c r="AA428" i="7" s="1"/>
  <c r="AY430" i="7"/>
  <c r="Z430" i="7" s="1"/>
  <c r="AB430" i="7" s="1"/>
  <c r="Y430" i="7"/>
  <c r="AA430" i="7" s="1"/>
  <c r="AY423" i="7"/>
  <c r="Z423" i="7" s="1"/>
  <c r="AB423" i="7" s="1"/>
  <c r="Y423" i="7"/>
  <c r="AA423" i="7" s="1"/>
  <c r="AY418" i="7"/>
  <c r="Z418" i="7" s="1"/>
  <c r="AB418" i="7" s="1"/>
  <c r="Y418" i="7"/>
  <c r="AA418" i="7" s="1"/>
  <c r="AY416" i="7"/>
  <c r="Z416" i="7" s="1"/>
  <c r="AB416" i="7" s="1"/>
  <c r="Y416" i="7"/>
  <c r="AA416" i="7" s="1"/>
  <c r="AY406" i="7"/>
  <c r="Z406" i="7" s="1"/>
  <c r="AB406" i="7" s="1"/>
  <c r="Y406" i="7"/>
  <c r="AA406" i="7" s="1"/>
  <c r="AY410" i="7"/>
  <c r="Z410" i="7" s="1"/>
  <c r="AB410" i="7" s="1"/>
  <c r="Y410" i="7"/>
  <c r="AA410" i="7" s="1"/>
  <c r="AY413" i="7"/>
  <c r="Z413" i="7" s="1"/>
  <c r="AB413" i="7" s="1"/>
  <c r="Y413" i="7"/>
  <c r="AA413" i="7" s="1"/>
  <c r="AY399" i="7"/>
  <c r="Z399" i="7" s="1"/>
  <c r="AB399" i="7" s="1"/>
  <c r="Y399" i="7"/>
  <c r="AA399" i="7" s="1"/>
  <c r="AY397" i="7"/>
  <c r="Z397" i="7" s="1"/>
  <c r="AB397" i="7" s="1"/>
  <c r="Y397" i="7"/>
  <c r="AA397" i="7" s="1"/>
  <c r="AY392" i="7"/>
  <c r="Z392" i="7" s="1"/>
  <c r="AB392" i="7" s="1"/>
  <c r="Y392" i="7"/>
  <c r="AA392" i="7" s="1"/>
  <c r="AY387" i="7"/>
  <c r="Z387" i="7" s="1"/>
  <c r="AB387" i="7" s="1"/>
  <c r="Y387" i="7"/>
  <c r="AA387" i="7" s="1"/>
  <c r="AY385" i="7"/>
  <c r="Z385" i="7" s="1"/>
  <c r="AB385" i="7" s="1"/>
  <c r="Y385" i="7"/>
  <c r="AA385" i="7" s="1"/>
  <c r="AY389" i="7"/>
  <c r="Z389" i="7" s="1"/>
  <c r="AB389" i="7" s="1"/>
  <c r="Y389" i="7"/>
  <c r="AA389" i="7" s="1"/>
  <c r="AY371" i="7"/>
  <c r="Z371" i="7" s="1"/>
  <c r="AB371" i="7" s="1"/>
  <c r="Y371" i="7"/>
  <c r="AA371" i="7" s="1"/>
  <c r="AY367" i="7"/>
  <c r="Z367" i="7" s="1"/>
  <c r="AB367" i="7" s="1"/>
  <c r="Y367" i="7"/>
  <c r="AA367" i="7" s="1"/>
  <c r="AY373" i="7"/>
  <c r="Z373" i="7" s="1"/>
  <c r="AB373" i="7" s="1"/>
  <c r="Y373" i="7"/>
  <c r="AA373" i="7" s="1"/>
  <c r="AY363" i="7"/>
  <c r="Z363" i="7" s="1"/>
  <c r="AB363" i="7" s="1"/>
  <c r="Y363" i="7"/>
  <c r="AA363" i="7" s="1"/>
  <c r="AY361" i="7"/>
  <c r="Z361" i="7" s="1"/>
  <c r="AB361" i="7" s="1"/>
  <c r="Y361" i="7"/>
  <c r="AA361" i="7" s="1"/>
  <c r="AY360" i="7"/>
  <c r="Z360" i="7" s="1"/>
  <c r="AB360" i="7" s="1"/>
  <c r="Y360" i="7"/>
  <c r="AA360" i="7" s="1"/>
  <c r="AY348" i="7"/>
  <c r="Z348" i="7" s="1"/>
  <c r="AB348" i="7" s="1"/>
  <c r="Y348" i="7"/>
  <c r="AA348" i="7" s="1"/>
  <c r="AY352" i="7"/>
  <c r="Z352" i="7" s="1"/>
  <c r="AB352" i="7" s="1"/>
  <c r="Y352" i="7"/>
  <c r="AA352" i="7" s="1"/>
  <c r="AY349" i="7"/>
  <c r="Z349" i="7" s="1"/>
  <c r="AB349" i="7" s="1"/>
  <c r="Y349" i="7"/>
  <c r="AA349" i="7" s="1"/>
  <c r="AY342" i="7"/>
  <c r="Z342" i="7" s="1"/>
  <c r="AB342" i="7" s="1"/>
  <c r="Y342" i="7"/>
  <c r="AA342" i="7" s="1"/>
  <c r="AY334" i="7"/>
  <c r="Z334" i="7" s="1"/>
  <c r="AB334" i="7" s="1"/>
  <c r="Y334" i="7"/>
  <c r="AA334" i="7" s="1"/>
  <c r="AY340" i="7"/>
  <c r="Z340" i="7" s="1"/>
  <c r="AB340" i="7" s="1"/>
  <c r="Y340" i="7"/>
  <c r="AA340" i="7" s="1"/>
  <c r="AY321" i="7"/>
  <c r="Z321" i="7" s="1"/>
  <c r="AB321" i="7" s="1"/>
  <c r="Y321" i="7"/>
  <c r="AA321" i="7" s="1"/>
  <c r="AY327" i="7"/>
  <c r="Z327" i="7" s="1"/>
  <c r="AB327" i="7" s="1"/>
  <c r="Y327" i="7"/>
  <c r="AA327" i="7" s="1"/>
  <c r="AY323" i="7"/>
  <c r="Z323" i="7" s="1"/>
  <c r="AB323" i="7" s="1"/>
  <c r="Y323" i="7"/>
  <c r="AA323" i="7" s="1"/>
  <c r="AY314" i="7"/>
  <c r="Z314" i="7" s="1"/>
  <c r="AB314" i="7" s="1"/>
  <c r="Y314" i="7"/>
  <c r="AA314" i="7" s="1"/>
  <c r="AY308" i="7"/>
  <c r="Z308" i="7" s="1"/>
  <c r="AB308" i="7" s="1"/>
  <c r="Y308" i="7"/>
  <c r="AA308" i="7" s="1"/>
  <c r="AY309" i="7"/>
  <c r="Z309" i="7" s="1"/>
  <c r="AB309" i="7" s="1"/>
  <c r="Y309" i="7"/>
  <c r="AA309" i="7" s="1"/>
  <c r="AY297" i="7"/>
  <c r="Z297" i="7" s="1"/>
  <c r="AB297" i="7" s="1"/>
  <c r="Y297" i="7"/>
  <c r="AA297" i="7" s="1"/>
  <c r="AY300" i="7"/>
  <c r="Z300" i="7" s="1"/>
  <c r="AB300" i="7" s="1"/>
  <c r="Y300" i="7"/>
  <c r="AA300" i="7" s="1"/>
  <c r="AY298" i="7"/>
  <c r="Z298" i="7" s="1"/>
  <c r="AB298" i="7" s="1"/>
  <c r="Y298" i="7"/>
  <c r="AA298" i="7" s="1"/>
  <c r="AY291" i="7"/>
  <c r="Z291" i="7" s="1"/>
  <c r="AB291" i="7" s="1"/>
  <c r="Y291" i="7"/>
  <c r="AA291" i="7" s="1"/>
  <c r="AY293" i="7"/>
  <c r="Z293" i="7" s="1"/>
  <c r="AB293" i="7" s="1"/>
  <c r="Y293" i="7"/>
  <c r="AA293" i="7" s="1"/>
  <c r="AY290" i="7"/>
  <c r="Z290" i="7" s="1"/>
  <c r="AB290" i="7" s="1"/>
  <c r="Y290" i="7"/>
  <c r="AA290" i="7" s="1"/>
  <c r="AY273" i="7"/>
  <c r="Z273" i="7" s="1"/>
  <c r="AB273" i="7" s="1"/>
  <c r="Y273" i="7"/>
  <c r="AA273" i="7" s="1"/>
  <c r="AY280" i="7"/>
  <c r="Z280" i="7" s="1"/>
  <c r="AB280" i="7" s="1"/>
  <c r="Y280" i="7"/>
  <c r="AA280" i="7" s="1"/>
  <c r="AY282" i="7"/>
  <c r="Z282" i="7" s="1"/>
  <c r="AB282" i="7" s="1"/>
  <c r="Y282" i="7"/>
  <c r="AA282" i="7" s="1"/>
  <c r="AY262" i="7"/>
  <c r="Z262" i="7" s="1"/>
  <c r="AB262" i="7" s="1"/>
  <c r="Y262" i="7"/>
  <c r="AA262" i="7" s="1"/>
  <c r="AY259" i="7"/>
  <c r="Z259" i="7" s="1"/>
  <c r="AB259" i="7" s="1"/>
  <c r="Y259" i="7"/>
  <c r="AA259" i="7" s="1"/>
  <c r="AX4" i="7"/>
  <c r="AY260" i="7"/>
  <c r="Z260" i="7" s="1"/>
  <c r="AB260" i="7" s="1"/>
  <c r="Y260" i="7"/>
  <c r="AA260" i="7" s="1"/>
  <c r="AY1042" i="7"/>
  <c r="Z1042" i="7" s="1"/>
  <c r="AB1042" i="7" s="1"/>
  <c r="Y1042" i="7"/>
  <c r="AA1042" i="7" s="1"/>
  <c r="AY1028" i="7"/>
  <c r="Z1028" i="7" s="1"/>
  <c r="AB1028" i="7" s="1"/>
  <c r="Y1028" i="7"/>
  <c r="AA1028" i="7" s="1"/>
  <c r="AY1025" i="7"/>
  <c r="Z1025" i="7" s="1"/>
  <c r="AB1025" i="7" s="1"/>
  <c r="Y1025" i="7"/>
  <c r="AA1025" i="7" s="1"/>
  <c r="AY996" i="7"/>
  <c r="Z996" i="7" s="1"/>
  <c r="AB996" i="7" s="1"/>
  <c r="Y996" i="7"/>
  <c r="AA996" i="7" s="1"/>
  <c r="AY986" i="7"/>
  <c r="Z986" i="7" s="1"/>
  <c r="AB986" i="7" s="1"/>
  <c r="Y986" i="7"/>
  <c r="AA986" i="7" s="1"/>
  <c r="AY967" i="7"/>
  <c r="Z967" i="7" s="1"/>
  <c r="AB967" i="7" s="1"/>
  <c r="Y967" i="7"/>
  <c r="AA967" i="7" s="1"/>
  <c r="AY1064" i="7"/>
  <c r="Z1064" i="7" s="1"/>
  <c r="AB1064" i="7" s="1"/>
  <c r="Y1064" i="7"/>
  <c r="AA1064" i="7" s="1"/>
  <c r="AY1060" i="7"/>
  <c r="Z1060" i="7" s="1"/>
  <c r="AB1060" i="7" s="1"/>
  <c r="Y1060" i="7"/>
  <c r="AA1060" i="7" s="1"/>
  <c r="AY1062" i="7"/>
  <c r="Z1062" i="7" s="1"/>
  <c r="AB1062" i="7" s="1"/>
  <c r="Y1062" i="7"/>
  <c r="AA1062" i="7" s="1"/>
  <c r="AY1051" i="7"/>
  <c r="Z1051" i="7" s="1"/>
  <c r="AB1051" i="7" s="1"/>
  <c r="Y1051" i="7"/>
  <c r="AA1051" i="7" s="1"/>
  <c r="AY1058" i="7"/>
  <c r="Z1058" i="7" s="1"/>
  <c r="AB1058" i="7" s="1"/>
  <c r="Y1058" i="7"/>
  <c r="AA1058" i="7" s="1"/>
  <c r="AY1047" i="7"/>
  <c r="Z1047" i="7" s="1"/>
  <c r="AB1047" i="7" s="1"/>
  <c r="Y1047" i="7"/>
  <c r="AA1047" i="7" s="1"/>
  <c r="AY1048" i="7"/>
  <c r="Z1048" i="7" s="1"/>
  <c r="AB1048" i="7" s="1"/>
  <c r="Y1048" i="7"/>
  <c r="AA1048" i="7" s="1"/>
  <c r="AY1049" i="7"/>
  <c r="Z1049" i="7" s="1"/>
  <c r="AB1049" i="7" s="1"/>
  <c r="Y1049" i="7"/>
  <c r="AA1049" i="7" s="1"/>
  <c r="AY1037" i="7"/>
  <c r="Z1037" i="7" s="1"/>
  <c r="AB1037" i="7" s="1"/>
  <c r="Y1037" i="7"/>
  <c r="AA1037" i="7" s="1"/>
  <c r="AY1031" i="7"/>
  <c r="Z1031" i="7" s="1"/>
  <c r="AB1031" i="7" s="1"/>
  <c r="Y1031" i="7"/>
  <c r="AA1031" i="7" s="1"/>
  <c r="AY1038" i="7"/>
  <c r="Z1038" i="7" s="1"/>
  <c r="AB1038" i="7" s="1"/>
  <c r="Y1038" i="7"/>
  <c r="AA1038" i="7" s="1"/>
  <c r="AY1024" i="7"/>
  <c r="Z1024" i="7" s="1"/>
  <c r="AB1024" i="7" s="1"/>
  <c r="Y1024" i="7"/>
  <c r="AA1024" i="7" s="1"/>
  <c r="AY1017" i="7"/>
  <c r="Z1017" i="7" s="1"/>
  <c r="AB1017" i="7" s="1"/>
  <c r="Y1017" i="7"/>
  <c r="AA1017" i="7" s="1"/>
  <c r="AY1023" i="7"/>
  <c r="Z1023" i="7" s="1"/>
  <c r="AB1023" i="7" s="1"/>
  <c r="Y1023" i="7"/>
  <c r="AA1023" i="7" s="1"/>
  <c r="AY1006" i="7"/>
  <c r="Z1006" i="7" s="1"/>
  <c r="AB1006" i="7" s="1"/>
  <c r="Y1006" i="7"/>
  <c r="AA1006" i="7" s="1"/>
  <c r="AY1011" i="7"/>
  <c r="Z1011" i="7" s="1"/>
  <c r="AB1011" i="7" s="1"/>
  <c r="Y1011" i="7"/>
  <c r="AA1011" i="7" s="1"/>
  <c r="AY1012" i="7"/>
  <c r="Z1012" i="7" s="1"/>
  <c r="AB1012" i="7" s="1"/>
  <c r="Y1012" i="7"/>
  <c r="AA1012" i="7" s="1"/>
  <c r="AY999" i="7"/>
  <c r="Z999" i="7" s="1"/>
  <c r="AB999" i="7" s="1"/>
  <c r="Y999" i="7"/>
  <c r="AA999" i="7" s="1"/>
  <c r="AY993" i="7"/>
  <c r="Z993" i="7" s="1"/>
  <c r="AB993" i="7" s="1"/>
  <c r="Y993" i="7"/>
  <c r="AA993" i="7" s="1"/>
  <c r="AY1000" i="7"/>
  <c r="Z1000" i="7" s="1"/>
  <c r="AB1000" i="7" s="1"/>
  <c r="Y1000" i="7"/>
  <c r="AA1000" i="7" s="1"/>
  <c r="AY982" i="7"/>
  <c r="Z982" i="7" s="1"/>
  <c r="AB982" i="7" s="1"/>
  <c r="Y982" i="7"/>
  <c r="AA982" i="7" s="1"/>
  <c r="AY987" i="7"/>
  <c r="Z987" i="7" s="1"/>
  <c r="AB987" i="7" s="1"/>
  <c r="Y987" i="7"/>
  <c r="AA987" i="7" s="1"/>
  <c r="AY984" i="7"/>
  <c r="Z984" i="7" s="1"/>
  <c r="AB984" i="7" s="1"/>
  <c r="Y984" i="7"/>
  <c r="AA984" i="7" s="1"/>
  <c r="AY971" i="7"/>
  <c r="Z971" i="7" s="1"/>
  <c r="AB971" i="7" s="1"/>
  <c r="Y971" i="7"/>
  <c r="AA971" i="7" s="1"/>
  <c r="AY974" i="7"/>
  <c r="Z974" i="7" s="1"/>
  <c r="AB974" i="7" s="1"/>
  <c r="Y974" i="7"/>
  <c r="AA974" i="7" s="1"/>
  <c r="AY969" i="7"/>
  <c r="Z969" i="7" s="1"/>
  <c r="AB969" i="7" s="1"/>
  <c r="Y969" i="7"/>
  <c r="AA969" i="7" s="1"/>
  <c r="AY963" i="7"/>
  <c r="Z963" i="7" s="1"/>
  <c r="AB963" i="7" s="1"/>
  <c r="Y963" i="7"/>
  <c r="AA963" i="7" s="1"/>
  <c r="AY957" i="7"/>
  <c r="Z957" i="7" s="1"/>
  <c r="AB957" i="7" s="1"/>
  <c r="Y957" i="7"/>
  <c r="AA957" i="7" s="1"/>
  <c r="AY964" i="7"/>
  <c r="Z964" i="7" s="1"/>
  <c r="AB964" i="7" s="1"/>
  <c r="Y964" i="7"/>
  <c r="AA964" i="7" s="1"/>
  <c r="AY951" i="7"/>
  <c r="Z951" i="7" s="1"/>
  <c r="AB951" i="7" s="1"/>
  <c r="Y951" i="7"/>
  <c r="AA951" i="7" s="1"/>
  <c r="AY946" i="7"/>
  <c r="Z946" i="7" s="1"/>
  <c r="AB946" i="7" s="1"/>
  <c r="Y946" i="7"/>
  <c r="AA946" i="7" s="1"/>
  <c r="AY948" i="7"/>
  <c r="Z948" i="7" s="1"/>
  <c r="AB948" i="7" s="1"/>
  <c r="Y948" i="7"/>
  <c r="AA948" i="7" s="1"/>
  <c r="AY934" i="7"/>
  <c r="Z934" i="7" s="1"/>
  <c r="AB934" i="7" s="1"/>
  <c r="Y934" i="7"/>
  <c r="AA934" i="7" s="1"/>
  <c r="AY936" i="7"/>
  <c r="Z936" i="7" s="1"/>
  <c r="AB936" i="7" s="1"/>
  <c r="Y936" i="7"/>
  <c r="AA936" i="7" s="1"/>
  <c r="AY940" i="7"/>
  <c r="Z940" i="7" s="1"/>
  <c r="AB940" i="7" s="1"/>
  <c r="Y940" i="7"/>
  <c r="AA940" i="7" s="1"/>
  <c r="AY928" i="7"/>
  <c r="Z928" i="7" s="1"/>
  <c r="AB928" i="7" s="1"/>
  <c r="Y928" i="7"/>
  <c r="AA928" i="7" s="1"/>
  <c r="AY924" i="7"/>
  <c r="Z924" i="7" s="1"/>
  <c r="AB924" i="7" s="1"/>
  <c r="Y924" i="7"/>
  <c r="AA924" i="7" s="1"/>
  <c r="AY929" i="7"/>
  <c r="Z929" i="7" s="1"/>
  <c r="AB929" i="7" s="1"/>
  <c r="Y929" i="7"/>
  <c r="AA929" i="7" s="1"/>
  <c r="AY915" i="7"/>
  <c r="Z915" i="7" s="1"/>
  <c r="AB915" i="7" s="1"/>
  <c r="Y915" i="7"/>
  <c r="AA915" i="7" s="1"/>
  <c r="AY917" i="7"/>
  <c r="Z917" i="7" s="1"/>
  <c r="AB917" i="7" s="1"/>
  <c r="Y917" i="7"/>
  <c r="AA917" i="7" s="1"/>
  <c r="AY913" i="7"/>
  <c r="Z913" i="7" s="1"/>
  <c r="AB913" i="7" s="1"/>
  <c r="Y913" i="7"/>
  <c r="AA913" i="7" s="1"/>
  <c r="AY899" i="7"/>
  <c r="Z899" i="7" s="1"/>
  <c r="AB899" i="7" s="1"/>
  <c r="Y899" i="7"/>
  <c r="AA899" i="7" s="1"/>
  <c r="AY902" i="7"/>
  <c r="Z902" i="7" s="1"/>
  <c r="AB902" i="7" s="1"/>
  <c r="Y902" i="7"/>
  <c r="AA902" i="7" s="1"/>
  <c r="AY905" i="7"/>
  <c r="Z905" i="7" s="1"/>
  <c r="AB905" i="7" s="1"/>
  <c r="Y905" i="7"/>
  <c r="AA905" i="7" s="1"/>
  <c r="AY887" i="7"/>
  <c r="Z887" i="7" s="1"/>
  <c r="AB887" i="7" s="1"/>
  <c r="Y887" i="7"/>
  <c r="AA887" i="7" s="1"/>
  <c r="AY889" i="7"/>
  <c r="Z889" i="7" s="1"/>
  <c r="AB889" i="7" s="1"/>
  <c r="Y889" i="7"/>
  <c r="AA889" i="7" s="1"/>
  <c r="AY892" i="7"/>
  <c r="Z892" i="7" s="1"/>
  <c r="AB892" i="7" s="1"/>
  <c r="Y892" i="7"/>
  <c r="AA892" i="7" s="1"/>
  <c r="AY880" i="7"/>
  <c r="Z880" i="7" s="1"/>
  <c r="AB880" i="7" s="1"/>
  <c r="Y880" i="7"/>
  <c r="AA880" i="7" s="1"/>
  <c r="AY881" i="7"/>
  <c r="Z881" i="7" s="1"/>
  <c r="AB881" i="7" s="1"/>
  <c r="Y881" i="7"/>
  <c r="AA881" i="7" s="1"/>
  <c r="AY873" i="7"/>
  <c r="Z873" i="7" s="1"/>
  <c r="AB873" i="7" s="1"/>
  <c r="Y873" i="7"/>
  <c r="AA873" i="7" s="1"/>
  <c r="AY870" i="7"/>
  <c r="Z870" i="7" s="1"/>
  <c r="AB870" i="7" s="1"/>
  <c r="Y870" i="7"/>
  <c r="AA870" i="7" s="1"/>
  <c r="AY867" i="7"/>
  <c r="Z867" i="7" s="1"/>
  <c r="AB867" i="7" s="1"/>
  <c r="Y867" i="7"/>
  <c r="AA867" i="7" s="1"/>
  <c r="AY862" i="7"/>
  <c r="Z862" i="7" s="1"/>
  <c r="AB862" i="7" s="1"/>
  <c r="Y862" i="7"/>
  <c r="AA862" i="7" s="1"/>
  <c r="AY855" i="7"/>
  <c r="Z855" i="7" s="1"/>
  <c r="AB855" i="7" s="1"/>
  <c r="Y855" i="7"/>
  <c r="AA855" i="7" s="1"/>
  <c r="AY851" i="7"/>
  <c r="Z851" i="7" s="1"/>
  <c r="AB851" i="7" s="1"/>
  <c r="Y851" i="7"/>
  <c r="AA851" i="7" s="1"/>
  <c r="AY854" i="7"/>
  <c r="Z854" i="7" s="1"/>
  <c r="AB854" i="7" s="1"/>
  <c r="Y854" i="7"/>
  <c r="AA854" i="7" s="1"/>
  <c r="AY839" i="7"/>
  <c r="Z839" i="7" s="1"/>
  <c r="AB839" i="7" s="1"/>
  <c r="Y839" i="7"/>
  <c r="AA839" i="7" s="1"/>
  <c r="AY841" i="7"/>
  <c r="Z841" i="7" s="1"/>
  <c r="AB841" i="7" s="1"/>
  <c r="Y841" i="7"/>
  <c r="AA841" i="7" s="1"/>
  <c r="AY846" i="7"/>
  <c r="Z846" i="7" s="1"/>
  <c r="AB846" i="7" s="1"/>
  <c r="Y846" i="7"/>
  <c r="AA846" i="7" s="1"/>
  <c r="AY824" i="7"/>
  <c r="Z824" i="7" s="1"/>
  <c r="AB824" i="7" s="1"/>
  <c r="Y824" i="7"/>
  <c r="AA824" i="7" s="1"/>
  <c r="AY826" i="7"/>
  <c r="Z826" i="7" s="1"/>
  <c r="AB826" i="7" s="1"/>
  <c r="Y826" i="7"/>
  <c r="AA826" i="7" s="1"/>
  <c r="AY823" i="7"/>
  <c r="Z823" i="7" s="1"/>
  <c r="AB823" i="7" s="1"/>
  <c r="Y823" i="7"/>
  <c r="AA823" i="7" s="1"/>
  <c r="AY818" i="7"/>
  <c r="Z818" i="7" s="1"/>
  <c r="AB818" i="7" s="1"/>
  <c r="Y818" i="7"/>
  <c r="AA818" i="7" s="1"/>
  <c r="AY812" i="7"/>
  <c r="Z812" i="7" s="1"/>
  <c r="AB812" i="7" s="1"/>
  <c r="Y812" i="7"/>
  <c r="AA812" i="7" s="1"/>
  <c r="AY811" i="7"/>
  <c r="Z811" i="7" s="1"/>
  <c r="AB811" i="7" s="1"/>
  <c r="Y811" i="7"/>
  <c r="AA811" i="7" s="1"/>
  <c r="AY807" i="7"/>
  <c r="Z807" i="7" s="1"/>
  <c r="AB807" i="7" s="1"/>
  <c r="Y807" i="7"/>
  <c r="AA807" i="7" s="1"/>
  <c r="AY802" i="7"/>
  <c r="Z802" i="7" s="1"/>
  <c r="AB802" i="7" s="1"/>
  <c r="Y802" i="7"/>
  <c r="AA802" i="7" s="1"/>
  <c r="AY801" i="7"/>
  <c r="Z801" i="7" s="1"/>
  <c r="AB801" i="7" s="1"/>
  <c r="Y801" i="7"/>
  <c r="AA801" i="7" s="1"/>
  <c r="AY791" i="7"/>
  <c r="Z791" i="7" s="1"/>
  <c r="AB791" i="7" s="1"/>
  <c r="Y791" i="7"/>
  <c r="AA791" i="7" s="1"/>
  <c r="AY787" i="7"/>
  <c r="Z787" i="7" s="1"/>
  <c r="AB787" i="7" s="1"/>
  <c r="Y787" i="7"/>
  <c r="AA787" i="7" s="1"/>
  <c r="AY794" i="7"/>
  <c r="Z794" i="7" s="1"/>
  <c r="AB794" i="7" s="1"/>
  <c r="Y794" i="7"/>
  <c r="AA794" i="7" s="1"/>
  <c r="AY785" i="7"/>
  <c r="Z785" i="7" s="1"/>
  <c r="AB785" i="7" s="1"/>
  <c r="Y785" i="7"/>
  <c r="AA785" i="7" s="1"/>
  <c r="AY775" i="7"/>
  <c r="Z775" i="7" s="1"/>
  <c r="AB775" i="7" s="1"/>
  <c r="Y775" i="7"/>
  <c r="AA775" i="7" s="1"/>
  <c r="AY780" i="7"/>
  <c r="Z780" i="7" s="1"/>
  <c r="AB780" i="7" s="1"/>
  <c r="Y780" i="7"/>
  <c r="AA780" i="7" s="1"/>
  <c r="AY766" i="7"/>
  <c r="Z766" i="7" s="1"/>
  <c r="AB766" i="7" s="1"/>
  <c r="Y766" i="7"/>
  <c r="AA766" i="7" s="1"/>
  <c r="AY770" i="7"/>
  <c r="Z770" i="7" s="1"/>
  <c r="AB770" i="7" s="1"/>
  <c r="Y770" i="7"/>
  <c r="AA770" i="7" s="1"/>
  <c r="AY763" i="7"/>
  <c r="Z763" i="7" s="1"/>
  <c r="AB763" i="7" s="1"/>
  <c r="Y763" i="7"/>
  <c r="AA763" i="7" s="1"/>
  <c r="AY752" i="7"/>
  <c r="Z752" i="7" s="1"/>
  <c r="AB752" i="7" s="1"/>
  <c r="Y752" i="7"/>
  <c r="AA752" i="7" s="1"/>
  <c r="AY751" i="7"/>
  <c r="Z751" i="7" s="1"/>
  <c r="AB751" i="7" s="1"/>
  <c r="Y751" i="7"/>
  <c r="AA751" i="7" s="1"/>
  <c r="AY754" i="7"/>
  <c r="Z754" i="7" s="1"/>
  <c r="AB754" i="7" s="1"/>
  <c r="Y754" i="7"/>
  <c r="AA754" i="7" s="1"/>
  <c r="AY745" i="7"/>
  <c r="Z745" i="7" s="1"/>
  <c r="AB745" i="7" s="1"/>
  <c r="Y745" i="7"/>
  <c r="AA745" i="7" s="1"/>
  <c r="AY750" i="7"/>
  <c r="Z750" i="7" s="1"/>
  <c r="AB750" i="7" s="1"/>
  <c r="Y750" i="7"/>
  <c r="AA750" i="7" s="1"/>
  <c r="AY743" i="7"/>
  <c r="Z743" i="7" s="1"/>
  <c r="AB743" i="7" s="1"/>
  <c r="Y743" i="7"/>
  <c r="AA743" i="7" s="1"/>
  <c r="AY728" i="7"/>
  <c r="Z728" i="7" s="1"/>
  <c r="AB728" i="7" s="1"/>
  <c r="Y728" i="7"/>
  <c r="AA728" i="7" s="1"/>
  <c r="AY733" i="7"/>
  <c r="Z733" i="7" s="1"/>
  <c r="AB733" i="7" s="1"/>
  <c r="Y733" i="7"/>
  <c r="AA733" i="7" s="1"/>
  <c r="AY731" i="7"/>
  <c r="Z731" i="7" s="1"/>
  <c r="AB731" i="7" s="1"/>
  <c r="Y731" i="7"/>
  <c r="AA731" i="7" s="1"/>
  <c r="AY716" i="7"/>
  <c r="Z716" i="7" s="1"/>
  <c r="AB716" i="7" s="1"/>
  <c r="Y716" i="7"/>
  <c r="AA716" i="7" s="1"/>
  <c r="AY718" i="7"/>
  <c r="Z718" i="7" s="1"/>
  <c r="AB718" i="7" s="1"/>
  <c r="Y718" i="7"/>
  <c r="AA718" i="7" s="1"/>
  <c r="AY723" i="7"/>
  <c r="Z723" i="7" s="1"/>
  <c r="AB723" i="7" s="1"/>
  <c r="Y723" i="7"/>
  <c r="AA723" i="7" s="1"/>
  <c r="AY711" i="7"/>
  <c r="Z711" i="7" s="1"/>
  <c r="AB711" i="7" s="1"/>
  <c r="Y711" i="7"/>
  <c r="AA711" i="7" s="1"/>
  <c r="AY712" i="7"/>
  <c r="Z712" i="7" s="1"/>
  <c r="AB712" i="7" s="1"/>
  <c r="Y712" i="7"/>
  <c r="AA712" i="7" s="1"/>
  <c r="AY709" i="7"/>
  <c r="Z709" i="7" s="1"/>
  <c r="AB709" i="7" s="1"/>
  <c r="Y709" i="7"/>
  <c r="AA709" i="7" s="1"/>
  <c r="AY695" i="7"/>
  <c r="Z695" i="7" s="1"/>
  <c r="AB695" i="7" s="1"/>
  <c r="Y695" i="7"/>
  <c r="AA695" i="7" s="1"/>
  <c r="AY692" i="7"/>
  <c r="Z692" i="7" s="1"/>
  <c r="AB692" i="7" s="1"/>
  <c r="Y692" i="7"/>
  <c r="AA692" i="7" s="1"/>
  <c r="AY693" i="7"/>
  <c r="Z693" i="7" s="1"/>
  <c r="AB693" i="7" s="1"/>
  <c r="Y693" i="7"/>
  <c r="AA693" i="7" s="1"/>
  <c r="AY685" i="7"/>
  <c r="Z685" i="7" s="1"/>
  <c r="AB685" i="7" s="1"/>
  <c r="Y685" i="7"/>
  <c r="AA685" i="7" s="1"/>
  <c r="AY683" i="7"/>
  <c r="Z683" i="7" s="1"/>
  <c r="AB683" i="7" s="1"/>
  <c r="Y683" i="7"/>
  <c r="AA683" i="7" s="1"/>
  <c r="AY690" i="7"/>
  <c r="Z690" i="7" s="1"/>
  <c r="AB690" i="7" s="1"/>
  <c r="Y690" i="7"/>
  <c r="AA690" i="7" s="1"/>
  <c r="AY676" i="7"/>
  <c r="Z676" i="7" s="1"/>
  <c r="AB676" i="7" s="1"/>
  <c r="Y676" i="7"/>
  <c r="AA676" i="7" s="1"/>
  <c r="AY669" i="7"/>
  <c r="Z669" i="7" s="1"/>
  <c r="AB669" i="7" s="1"/>
  <c r="Y669" i="7"/>
  <c r="AA669" i="7" s="1"/>
  <c r="AY675" i="7"/>
  <c r="Z675" i="7" s="1"/>
  <c r="AB675" i="7" s="1"/>
  <c r="Y675" i="7"/>
  <c r="AA675" i="7" s="1"/>
  <c r="AY661" i="7"/>
  <c r="Z661" i="7" s="1"/>
  <c r="AB661" i="7" s="1"/>
  <c r="Y661" i="7"/>
  <c r="AA661" i="7" s="1"/>
  <c r="AY658" i="7"/>
  <c r="Z658" i="7" s="1"/>
  <c r="AB658" i="7" s="1"/>
  <c r="Y658" i="7"/>
  <c r="AA658" i="7" s="1"/>
  <c r="AY662" i="7"/>
  <c r="Z662" i="7" s="1"/>
  <c r="AB662" i="7" s="1"/>
  <c r="Y662" i="7"/>
  <c r="AA662" i="7" s="1"/>
  <c r="AY643" i="7"/>
  <c r="Z643" i="7" s="1"/>
  <c r="AB643" i="7" s="1"/>
  <c r="Y643" i="7"/>
  <c r="AA643" i="7" s="1"/>
  <c r="AY650" i="7"/>
  <c r="Z650" i="7" s="1"/>
  <c r="AB650" i="7" s="1"/>
  <c r="Y650" i="7"/>
  <c r="AA650" i="7" s="1"/>
  <c r="AY653" i="7"/>
  <c r="Z653" i="7" s="1"/>
  <c r="AB653" i="7" s="1"/>
  <c r="Y653" i="7"/>
  <c r="AA653" i="7" s="1"/>
  <c r="AY640" i="7"/>
  <c r="Z640" i="7" s="1"/>
  <c r="AB640" i="7" s="1"/>
  <c r="Y640" i="7"/>
  <c r="AA640" i="7" s="1"/>
  <c r="AY636" i="7"/>
  <c r="Z636" i="7" s="1"/>
  <c r="AB636" i="7" s="1"/>
  <c r="Y636" i="7"/>
  <c r="AA636" i="7" s="1"/>
  <c r="AY642" i="7"/>
  <c r="Z642" i="7" s="1"/>
  <c r="AB642" i="7" s="1"/>
  <c r="Y642" i="7"/>
  <c r="AA642" i="7" s="1"/>
  <c r="AY630" i="7"/>
  <c r="Z630" i="7" s="1"/>
  <c r="AB630" i="7" s="1"/>
  <c r="Y630" i="7"/>
  <c r="AA630" i="7" s="1"/>
  <c r="AY629" i="7"/>
  <c r="Z629" i="7" s="1"/>
  <c r="AB629" i="7" s="1"/>
  <c r="Y629" i="7"/>
  <c r="AA629" i="7" s="1"/>
  <c r="AY628" i="7"/>
  <c r="Z628" i="7" s="1"/>
  <c r="AB628" i="7" s="1"/>
  <c r="Y628" i="7"/>
  <c r="AA628" i="7" s="1"/>
  <c r="AY616" i="7"/>
  <c r="Z616" i="7" s="1"/>
  <c r="AB616" i="7" s="1"/>
  <c r="Y616" i="7"/>
  <c r="AA616" i="7" s="1"/>
  <c r="AY608" i="7"/>
  <c r="Z608" i="7" s="1"/>
  <c r="AB608" i="7" s="1"/>
  <c r="Y608" i="7"/>
  <c r="AA608" i="7" s="1"/>
  <c r="AY618" i="7"/>
  <c r="Z618" i="7" s="1"/>
  <c r="AB618" i="7" s="1"/>
  <c r="Y618" i="7"/>
  <c r="AA618" i="7" s="1"/>
  <c r="AY601" i="7"/>
  <c r="Z601" i="7" s="1"/>
  <c r="AB601" i="7" s="1"/>
  <c r="Y601" i="7"/>
  <c r="AA601" i="7" s="1"/>
  <c r="AY602" i="7"/>
  <c r="Z602" i="7" s="1"/>
  <c r="AB602" i="7" s="1"/>
  <c r="Y602" i="7"/>
  <c r="AA602" i="7" s="1"/>
  <c r="AY600" i="7"/>
  <c r="Z600" i="7" s="1"/>
  <c r="AB600" i="7" s="1"/>
  <c r="Y600" i="7"/>
  <c r="AA600" i="7" s="1"/>
  <c r="AY585" i="7"/>
  <c r="Z585" i="7" s="1"/>
  <c r="AB585" i="7" s="1"/>
  <c r="Y585" i="7"/>
  <c r="AA585" i="7" s="1"/>
  <c r="AY586" i="7"/>
  <c r="Z586" i="7" s="1"/>
  <c r="AB586" i="7" s="1"/>
  <c r="Y586" i="7"/>
  <c r="AA586" i="7" s="1"/>
  <c r="AY590" i="7"/>
  <c r="Z590" i="7" s="1"/>
  <c r="AB590" i="7" s="1"/>
  <c r="Y590" i="7"/>
  <c r="AA590" i="7" s="1"/>
  <c r="AY580" i="7"/>
  <c r="Z580" i="7" s="1"/>
  <c r="AB580" i="7" s="1"/>
  <c r="Y580" i="7"/>
  <c r="AA580" i="7" s="1"/>
  <c r="AY582" i="7"/>
  <c r="Z582" i="7" s="1"/>
  <c r="AB582" i="7" s="1"/>
  <c r="Y582" i="7"/>
  <c r="AA582" i="7" s="1"/>
  <c r="AY575" i="7"/>
  <c r="Z575" i="7" s="1"/>
  <c r="AB575" i="7" s="1"/>
  <c r="Y575" i="7"/>
  <c r="AA575" i="7" s="1"/>
  <c r="AY565" i="7"/>
  <c r="Z565" i="7" s="1"/>
  <c r="AB565" i="7" s="1"/>
  <c r="Y565" i="7"/>
  <c r="AA565" i="7" s="1"/>
  <c r="AY559" i="7"/>
  <c r="Z559" i="7" s="1"/>
  <c r="AB559" i="7" s="1"/>
  <c r="Y559" i="7"/>
  <c r="AA559" i="7" s="1"/>
  <c r="AY568" i="7"/>
  <c r="Z568" i="7" s="1"/>
  <c r="AB568" i="7" s="1"/>
  <c r="Y568" i="7"/>
  <c r="AA568" i="7" s="1"/>
  <c r="AY553" i="7"/>
  <c r="Z553" i="7" s="1"/>
  <c r="AB553" i="7" s="1"/>
  <c r="Y553" i="7"/>
  <c r="AA553" i="7" s="1"/>
  <c r="AY549" i="7"/>
  <c r="Z549" i="7" s="1"/>
  <c r="AB549" i="7" s="1"/>
  <c r="Y549" i="7"/>
  <c r="AA549" i="7" s="1"/>
  <c r="AY556" i="7"/>
  <c r="Z556" i="7" s="1"/>
  <c r="AB556" i="7" s="1"/>
  <c r="Y556" i="7"/>
  <c r="AA556" i="7" s="1"/>
  <c r="AY539" i="7"/>
  <c r="Z539" i="7" s="1"/>
  <c r="AB539" i="7" s="1"/>
  <c r="Y539" i="7"/>
  <c r="AA539" i="7" s="1"/>
  <c r="AY542" i="7"/>
  <c r="Z542" i="7" s="1"/>
  <c r="AB542" i="7" s="1"/>
  <c r="Y542" i="7"/>
  <c r="AA542" i="7" s="1"/>
  <c r="AY536" i="7"/>
  <c r="Z536" i="7" s="1"/>
  <c r="AB536" i="7" s="1"/>
  <c r="Y536" i="7"/>
  <c r="AA536" i="7" s="1"/>
  <c r="AY523" i="7"/>
  <c r="Z523" i="7" s="1"/>
  <c r="AB523" i="7" s="1"/>
  <c r="Y523" i="7"/>
  <c r="AA523" i="7" s="1"/>
  <c r="AY529" i="7"/>
  <c r="Z529" i="7" s="1"/>
  <c r="AB529" i="7" s="1"/>
  <c r="Y529" i="7"/>
  <c r="AA529" i="7" s="1"/>
  <c r="AY526" i="7"/>
  <c r="Z526" i="7" s="1"/>
  <c r="AB526" i="7" s="1"/>
  <c r="Y526" i="7"/>
  <c r="AA526" i="7" s="1"/>
  <c r="AY511" i="7"/>
  <c r="Z511" i="7" s="1"/>
  <c r="AB511" i="7" s="1"/>
  <c r="Y511" i="7"/>
  <c r="AA511" i="7" s="1"/>
  <c r="AY512" i="7"/>
  <c r="Z512" i="7" s="1"/>
  <c r="AB512" i="7" s="1"/>
  <c r="Y512" i="7"/>
  <c r="AA512" i="7" s="1"/>
  <c r="AY521" i="7"/>
  <c r="Z521" i="7" s="1"/>
  <c r="AB521" i="7" s="1"/>
  <c r="Y521" i="7"/>
  <c r="AA521" i="7" s="1"/>
  <c r="AY503" i="7"/>
  <c r="Z503" i="7" s="1"/>
  <c r="AB503" i="7" s="1"/>
  <c r="Y503" i="7"/>
  <c r="AA503" i="7" s="1"/>
  <c r="AY506" i="7"/>
  <c r="Z506" i="7" s="1"/>
  <c r="AB506" i="7" s="1"/>
  <c r="Y506" i="7"/>
  <c r="AA506" i="7" s="1"/>
  <c r="AY508" i="7"/>
  <c r="Z508" i="7" s="1"/>
  <c r="AB508" i="7" s="1"/>
  <c r="Y508" i="7"/>
  <c r="AA508" i="7" s="1"/>
  <c r="AY493" i="7"/>
  <c r="Z493" i="7" s="1"/>
  <c r="AB493" i="7" s="1"/>
  <c r="Y493" i="7"/>
  <c r="AA493" i="7" s="1"/>
  <c r="AY495" i="7"/>
  <c r="Z495" i="7" s="1"/>
  <c r="AB495" i="7" s="1"/>
  <c r="Y495" i="7"/>
  <c r="AA495" i="7" s="1"/>
  <c r="AY498" i="7"/>
  <c r="Z498" i="7" s="1"/>
  <c r="AB498" i="7" s="1"/>
  <c r="Y498" i="7"/>
  <c r="AA498" i="7" s="1"/>
  <c r="AY481" i="7"/>
  <c r="Z481" i="7" s="1"/>
  <c r="AB481" i="7" s="1"/>
  <c r="Y481" i="7"/>
  <c r="AA481" i="7" s="1"/>
  <c r="AY483" i="7"/>
  <c r="Z483" i="7" s="1"/>
  <c r="AB483" i="7" s="1"/>
  <c r="Y483" i="7"/>
  <c r="AA483" i="7" s="1"/>
  <c r="AY480" i="7"/>
  <c r="Z480" i="7" s="1"/>
  <c r="AB480" i="7" s="1"/>
  <c r="Y480" i="7"/>
  <c r="AA480" i="7" s="1"/>
  <c r="AY471" i="7"/>
  <c r="Z471" i="7" s="1"/>
  <c r="AB471" i="7" s="1"/>
  <c r="Y471" i="7"/>
  <c r="AA471" i="7" s="1"/>
  <c r="AY467" i="7"/>
  <c r="Z467" i="7" s="1"/>
  <c r="AB467" i="7" s="1"/>
  <c r="Y467" i="7"/>
  <c r="AA467" i="7" s="1"/>
  <c r="AY464" i="7"/>
  <c r="Z464" i="7" s="1"/>
  <c r="AB464" i="7" s="1"/>
  <c r="Y464" i="7"/>
  <c r="AA464" i="7" s="1"/>
  <c r="AY462" i="7"/>
  <c r="Z462" i="7" s="1"/>
  <c r="AB462" i="7" s="1"/>
  <c r="Y462" i="7"/>
  <c r="AA462" i="7" s="1"/>
  <c r="AY459" i="7"/>
  <c r="Z459" i="7" s="1"/>
  <c r="AB459" i="7" s="1"/>
  <c r="Y459" i="7"/>
  <c r="AA459" i="7" s="1"/>
  <c r="AY461" i="7"/>
  <c r="Z461" i="7" s="1"/>
  <c r="AB461" i="7" s="1"/>
  <c r="Y461" i="7"/>
  <c r="AA461" i="7" s="1"/>
  <c r="AY443" i="7"/>
  <c r="Z443" i="7" s="1"/>
  <c r="AB443" i="7" s="1"/>
  <c r="Y443" i="7"/>
  <c r="AA443" i="7" s="1"/>
  <c r="AY440" i="7"/>
  <c r="Z440" i="7" s="1"/>
  <c r="AB440" i="7" s="1"/>
  <c r="Y440" i="7"/>
  <c r="AA440" i="7" s="1"/>
  <c r="AY441" i="7"/>
  <c r="Z441" i="7" s="1"/>
  <c r="AB441" i="7" s="1"/>
  <c r="Y441" i="7"/>
  <c r="AA441" i="7" s="1"/>
  <c r="AY434" i="7"/>
  <c r="Z434" i="7" s="1"/>
  <c r="AB434" i="7" s="1"/>
  <c r="Y434" i="7"/>
  <c r="AA434" i="7" s="1"/>
  <c r="AY436" i="7"/>
  <c r="Z436" i="7" s="1"/>
  <c r="AB436" i="7" s="1"/>
  <c r="Y436" i="7"/>
  <c r="AA436" i="7" s="1"/>
  <c r="AY437" i="7"/>
  <c r="Z437" i="7" s="1"/>
  <c r="AB437" i="7" s="1"/>
  <c r="Y437" i="7"/>
  <c r="AA437" i="7" s="1"/>
  <c r="AY426" i="7"/>
  <c r="Z426" i="7" s="1"/>
  <c r="AB426" i="7" s="1"/>
  <c r="Y426" i="7"/>
  <c r="AA426" i="7" s="1"/>
  <c r="AY425" i="7"/>
  <c r="Z425" i="7" s="1"/>
  <c r="AB425" i="7" s="1"/>
  <c r="Y425" i="7"/>
  <c r="AA425" i="7" s="1"/>
  <c r="AY422" i="7"/>
  <c r="Z422" i="7" s="1"/>
  <c r="AB422" i="7" s="1"/>
  <c r="Y422" i="7"/>
  <c r="AA422" i="7" s="1"/>
  <c r="AY407" i="7"/>
  <c r="Z407" i="7" s="1"/>
  <c r="AB407" i="7" s="1"/>
  <c r="Y407" i="7"/>
  <c r="AA407" i="7" s="1"/>
  <c r="AY405" i="7"/>
  <c r="Z405" i="7" s="1"/>
  <c r="AB405" i="7" s="1"/>
  <c r="Y405" i="7"/>
  <c r="AA405" i="7" s="1"/>
  <c r="AY412" i="7"/>
  <c r="Z412" i="7" s="1"/>
  <c r="AB412" i="7" s="1"/>
  <c r="Y412" i="7"/>
  <c r="AA412" i="7" s="1"/>
  <c r="AY396" i="7"/>
  <c r="Z396" i="7" s="1"/>
  <c r="AB396" i="7" s="1"/>
  <c r="Y396" i="7"/>
  <c r="AA396" i="7" s="1"/>
  <c r="AY402" i="7"/>
  <c r="Z402" i="7" s="1"/>
  <c r="AB402" i="7" s="1"/>
  <c r="Y402" i="7"/>
  <c r="AA402" i="7" s="1"/>
  <c r="AY401" i="7"/>
  <c r="Z401" i="7" s="1"/>
  <c r="AB401" i="7" s="1"/>
  <c r="Y401" i="7"/>
  <c r="AA401" i="7" s="1"/>
  <c r="AY382" i="7"/>
  <c r="Z382" i="7" s="1"/>
  <c r="AB382" i="7" s="1"/>
  <c r="Y382" i="7"/>
  <c r="AA382" i="7" s="1"/>
  <c r="AY381" i="7"/>
  <c r="Z381" i="7" s="1"/>
  <c r="AB381" i="7" s="1"/>
  <c r="Y381" i="7"/>
  <c r="AA381" i="7" s="1"/>
  <c r="AY388" i="7"/>
  <c r="Z388" i="7" s="1"/>
  <c r="AB388" i="7" s="1"/>
  <c r="Y388" i="7"/>
  <c r="AA388" i="7" s="1"/>
  <c r="AY377" i="7"/>
  <c r="Z377" i="7" s="1"/>
  <c r="AB377" i="7" s="1"/>
  <c r="Y377" i="7"/>
  <c r="AA377" i="7" s="1"/>
  <c r="AY375" i="7"/>
  <c r="Z375" i="7" s="1"/>
  <c r="AB375" i="7" s="1"/>
  <c r="Y375" i="7"/>
  <c r="AA375" i="7" s="1"/>
  <c r="AY372" i="7"/>
  <c r="Z372" i="7" s="1"/>
  <c r="AB372" i="7" s="1"/>
  <c r="Y372" i="7"/>
  <c r="AA372" i="7" s="1"/>
  <c r="AY357" i="7"/>
  <c r="Z357" i="7" s="1"/>
  <c r="AB357" i="7" s="1"/>
  <c r="Y357" i="7"/>
  <c r="AA357" i="7" s="1"/>
  <c r="AY358" i="7"/>
  <c r="Z358" i="7" s="1"/>
  <c r="AB358" i="7" s="1"/>
  <c r="Y358" i="7"/>
  <c r="AA358" i="7" s="1"/>
  <c r="AY355" i="7"/>
  <c r="Z355" i="7" s="1"/>
  <c r="AB355" i="7" s="1"/>
  <c r="Y355" i="7"/>
  <c r="AA355" i="7" s="1"/>
  <c r="AY353" i="7"/>
  <c r="Z353" i="7" s="1"/>
  <c r="AB353" i="7" s="1"/>
  <c r="Y353" i="7"/>
  <c r="AA353" i="7" s="1"/>
  <c r="AY347" i="7"/>
  <c r="Z347" i="7" s="1"/>
  <c r="AB347" i="7" s="1"/>
  <c r="Y347" i="7"/>
  <c r="AA347" i="7" s="1"/>
  <c r="AY346" i="7"/>
  <c r="Z346" i="7" s="1"/>
  <c r="AB346" i="7" s="1"/>
  <c r="Y346" i="7"/>
  <c r="AA346" i="7" s="1"/>
  <c r="AY333" i="7"/>
  <c r="Z333" i="7" s="1"/>
  <c r="AB333" i="7" s="1"/>
  <c r="Y333" i="7"/>
  <c r="AA333" i="7" s="1"/>
  <c r="AY337" i="7"/>
  <c r="Z337" i="7" s="1"/>
  <c r="AB337" i="7" s="1"/>
  <c r="Y337" i="7"/>
  <c r="AA337" i="7" s="1"/>
  <c r="AY331" i="7"/>
  <c r="Z331" i="7" s="1"/>
  <c r="AB331" i="7" s="1"/>
  <c r="Y331" i="7"/>
  <c r="AA331" i="7" s="1"/>
  <c r="AY328" i="7"/>
  <c r="Z328" i="7" s="1"/>
  <c r="AB328" i="7" s="1"/>
  <c r="Y328" i="7"/>
  <c r="AA328" i="7" s="1"/>
  <c r="AY324" i="7"/>
  <c r="Z324" i="7" s="1"/>
  <c r="AB324" i="7" s="1"/>
  <c r="Y324" i="7"/>
  <c r="AA324" i="7" s="1"/>
  <c r="AY326" i="7"/>
  <c r="Z326" i="7" s="1"/>
  <c r="AB326" i="7" s="1"/>
  <c r="Y326" i="7"/>
  <c r="AA326" i="7" s="1"/>
  <c r="AY316" i="7"/>
  <c r="Z316" i="7" s="1"/>
  <c r="AB316" i="7" s="1"/>
  <c r="Y316" i="7"/>
  <c r="AA316" i="7" s="1"/>
  <c r="Y307" i="7"/>
  <c r="AA307" i="7" s="1"/>
  <c r="AY307" i="7"/>
  <c r="Z307" i="7" s="1"/>
  <c r="AB307" i="7" s="1"/>
  <c r="AY318" i="7"/>
  <c r="Z318" i="7" s="1"/>
  <c r="AB318" i="7" s="1"/>
  <c r="Y318" i="7"/>
  <c r="AA318" i="7" s="1"/>
  <c r="AY302" i="7"/>
  <c r="Z302" i="7" s="1"/>
  <c r="AB302" i="7" s="1"/>
  <c r="Y302" i="7"/>
  <c r="AA302" i="7" s="1"/>
  <c r="AY299" i="7"/>
  <c r="Z299" i="7" s="1"/>
  <c r="AB299" i="7" s="1"/>
  <c r="Y299" i="7"/>
  <c r="AA299" i="7" s="1"/>
  <c r="AY301" i="7"/>
  <c r="Z301" i="7" s="1"/>
  <c r="AB301" i="7" s="1"/>
  <c r="Y301" i="7"/>
  <c r="AA301" i="7" s="1"/>
  <c r="AY286" i="7"/>
  <c r="Z286" i="7" s="1"/>
  <c r="AB286" i="7" s="1"/>
  <c r="Y286" i="7"/>
  <c r="AA286" i="7" s="1"/>
  <c r="AY294" i="7"/>
  <c r="Z294" i="7" s="1"/>
  <c r="AB294" i="7" s="1"/>
  <c r="Y294" i="7"/>
  <c r="AA294" i="7" s="1"/>
  <c r="AY288" i="7"/>
  <c r="Z288" i="7" s="1"/>
  <c r="AB288" i="7" s="1"/>
  <c r="Y288" i="7"/>
  <c r="AA288" i="7" s="1"/>
  <c r="AY275" i="7"/>
  <c r="Z275" i="7" s="1"/>
  <c r="AB275" i="7" s="1"/>
  <c r="Y275" i="7"/>
  <c r="AA275" i="7" s="1"/>
  <c r="AY278" i="7"/>
  <c r="Z278" i="7" s="1"/>
  <c r="AB278" i="7" s="1"/>
  <c r="Y278" i="7"/>
  <c r="AA278" i="7" s="1"/>
  <c r="AY274" i="7"/>
  <c r="Z274" i="7" s="1"/>
  <c r="AB274" i="7" s="1"/>
  <c r="Y274" i="7"/>
  <c r="AA274" i="7" s="1"/>
  <c r="AY261" i="7"/>
  <c r="Z261" i="7" s="1"/>
  <c r="AB261" i="7" s="1"/>
  <c r="Y261" i="7"/>
  <c r="AA261" i="7" s="1"/>
  <c r="AY269" i="7"/>
  <c r="Z269" i="7" s="1"/>
  <c r="AB269" i="7" s="1"/>
  <c r="Y269" i="7"/>
  <c r="AA269" i="7" s="1"/>
  <c r="AY263" i="7"/>
  <c r="Z263" i="7" s="1"/>
  <c r="AB263" i="7" s="1"/>
  <c r="Y263" i="7"/>
  <c r="AA263" i="7" s="1"/>
  <c r="AY1063" i="7"/>
  <c r="Z1063" i="7" s="1"/>
  <c r="AB1063" i="7" s="1"/>
  <c r="Y1063" i="7"/>
  <c r="AA1063" i="7" s="1"/>
  <c r="AY1052" i="7"/>
  <c r="Z1052" i="7" s="1"/>
  <c r="AB1052" i="7" s="1"/>
  <c r="Y1052" i="7"/>
  <c r="AA1052" i="7" s="1"/>
  <c r="AY1036" i="7"/>
  <c r="Z1036" i="7" s="1"/>
  <c r="AB1036" i="7" s="1"/>
  <c r="Y1036" i="7"/>
  <c r="AA1036" i="7" s="1"/>
  <c r="AY1020" i="7"/>
  <c r="Z1020" i="7" s="1"/>
  <c r="AB1020" i="7" s="1"/>
  <c r="Y1020" i="7"/>
  <c r="AA1020" i="7" s="1"/>
  <c r="AY1005" i="7"/>
  <c r="Z1005" i="7" s="1"/>
  <c r="AB1005" i="7" s="1"/>
  <c r="Y1005" i="7"/>
  <c r="AA1005" i="7" s="1"/>
  <c r="AY989" i="7"/>
  <c r="Z989" i="7" s="1"/>
  <c r="AB989" i="7" s="1"/>
  <c r="Y989" i="7"/>
  <c r="AA989" i="7" s="1"/>
  <c r="AY976" i="7"/>
  <c r="Z976" i="7" s="1"/>
  <c r="AB976" i="7" s="1"/>
  <c r="Y976" i="7"/>
  <c r="AA976" i="7" s="1"/>
  <c r="AY960" i="7"/>
  <c r="Z960" i="7" s="1"/>
  <c r="AB960" i="7" s="1"/>
  <c r="Y960" i="7"/>
  <c r="AA960" i="7" s="1"/>
  <c r="AY954" i="7"/>
  <c r="Z954" i="7" s="1"/>
  <c r="AB954" i="7" s="1"/>
  <c r="Y954" i="7"/>
  <c r="AA954" i="7" s="1"/>
  <c r="AY949" i="7"/>
  <c r="Z949" i="7" s="1"/>
  <c r="AB949" i="7" s="1"/>
  <c r="Y949" i="7"/>
  <c r="AA949" i="7" s="1"/>
  <c r="AY943" i="7"/>
  <c r="Z943" i="7" s="1"/>
  <c r="AB943" i="7" s="1"/>
  <c r="Y943" i="7"/>
  <c r="AA943" i="7" s="1"/>
  <c r="AY932" i="7"/>
  <c r="Z932" i="7" s="1"/>
  <c r="AB932" i="7" s="1"/>
  <c r="Y932" i="7"/>
  <c r="AA932" i="7" s="1"/>
  <c r="AY937" i="7"/>
  <c r="Z937" i="7" s="1"/>
  <c r="AB937" i="7" s="1"/>
  <c r="Y937" i="7"/>
  <c r="AA937" i="7" s="1"/>
  <c r="AY942" i="7"/>
  <c r="Z942" i="7" s="1"/>
  <c r="AB942" i="7" s="1"/>
  <c r="Y942" i="7"/>
  <c r="AA942" i="7" s="1"/>
  <c r="AY930" i="7"/>
  <c r="Z930" i="7" s="1"/>
  <c r="AB930" i="7" s="1"/>
  <c r="Y930" i="7"/>
  <c r="AA930" i="7" s="1"/>
  <c r="AY921" i="7"/>
  <c r="Z921" i="7" s="1"/>
  <c r="AB921" i="7" s="1"/>
  <c r="Y921" i="7"/>
  <c r="AA921" i="7" s="1"/>
  <c r="AY919" i="7"/>
  <c r="Z919" i="7" s="1"/>
  <c r="AB919" i="7" s="1"/>
  <c r="Y919" i="7"/>
  <c r="AA919" i="7" s="1"/>
  <c r="AY918" i="7"/>
  <c r="Z918" i="7" s="1"/>
  <c r="AB918" i="7" s="1"/>
  <c r="Y918" i="7"/>
  <c r="AA918" i="7" s="1"/>
  <c r="AY908" i="7"/>
  <c r="Z908" i="7" s="1"/>
  <c r="AB908" i="7" s="1"/>
  <c r="Y908" i="7"/>
  <c r="AA908" i="7" s="1"/>
  <c r="AY909" i="7"/>
  <c r="Z909" i="7" s="1"/>
  <c r="AB909" i="7" s="1"/>
  <c r="Y909" i="7"/>
  <c r="AA909" i="7" s="1"/>
  <c r="AY896" i="7"/>
  <c r="Z896" i="7" s="1"/>
  <c r="AB896" i="7" s="1"/>
  <c r="Y896" i="7"/>
  <c r="AA896" i="7" s="1"/>
  <c r="AY900" i="7"/>
  <c r="Z900" i="7" s="1"/>
  <c r="AB900" i="7" s="1"/>
  <c r="Y900" i="7"/>
  <c r="AA900" i="7" s="1"/>
  <c r="AY906" i="7"/>
  <c r="Z906" i="7" s="1"/>
  <c r="AB906" i="7" s="1"/>
  <c r="Y906" i="7"/>
  <c r="AA906" i="7" s="1"/>
  <c r="AY886" i="7"/>
  <c r="Z886" i="7" s="1"/>
  <c r="AB886" i="7" s="1"/>
  <c r="Y886" i="7"/>
  <c r="AA886" i="7" s="1"/>
  <c r="AY885" i="7"/>
  <c r="Z885" i="7" s="1"/>
  <c r="AB885" i="7" s="1"/>
  <c r="Y885" i="7"/>
  <c r="AA885" i="7" s="1"/>
  <c r="AY883" i="7"/>
  <c r="Z883" i="7" s="1"/>
  <c r="AB883" i="7" s="1"/>
  <c r="Y883" i="7"/>
  <c r="AA883" i="7" s="1"/>
  <c r="AY878" i="7"/>
  <c r="Z878" i="7" s="1"/>
  <c r="AB878" i="7" s="1"/>
  <c r="Y878" i="7"/>
  <c r="AA878" i="7" s="1"/>
  <c r="AY877" i="7"/>
  <c r="Z877" i="7" s="1"/>
  <c r="AB877" i="7" s="1"/>
  <c r="Y877" i="7"/>
  <c r="AA877" i="7" s="1"/>
  <c r="AY875" i="7"/>
  <c r="Z875" i="7" s="1"/>
  <c r="AB875" i="7" s="1"/>
  <c r="Y875" i="7"/>
  <c r="AA875" i="7" s="1"/>
  <c r="AY863" i="7"/>
  <c r="Z863" i="7" s="1"/>
  <c r="AB863" i="7" s="1"/>
  <c r="Y863" i="7"/>
  <c r="AA863" i="7" s="1"/>
  <c r="AY861" i="7"/>
  <c r="Z861" i="7" s="1"/>
  <c r="AB861" i="7" s="1"/>
  <c r="Y861" i="7"/>
  <c r="AA861" i="7" s="1"/>
  <c r="AY869" i="7"/>
  <c r="Z869" i="7" s="1"/>
  <c r="AB869" i="7" s="1"/>
  <c r="Y869" i="7"/>
  <c r="AA869" i="7" s="1"/>
  <c r="AY848" i="7"/>
  <c r="Z848" i="7" s="1"/>
  <c r="AB848" i="7" s="1"/>
  <c r="Y848" i="7"/>
  <c r="AA848" i="7" s="1"/>
  <c r="AY849" i="7"/>
  <c r="Z849" i="7" s="1"/>
  <c r="AB849" i="7" s="1"/>
  <c r="Y849" i="7"/>
  <c r="AA849" i="7" s="1"/>
  <c r="AY847" i="7"/>
  <c r="Z847" i="7" s="1"/>
  <c r="AB847" i="7" s="1"/>
  <c r="Y847" i="7"/>
  <c r="AA847" i="7" s="1"/>
  <c r="AY843" i="7"/>
  <c r="Z843" i="7" s="1"/>
  <c r="AB843" i="7" s="1"/>
  <c r="Y843" i="7"/>
  <c r="AA843" i="7" s="1"/>
  <c r="AY836" i="7"/>
  <c r="Z836" i="7" s="1"/>
  <c r="AB836" i="7" s="1"/>
  <c r="Y836" i="7"/>
  <c r="AA836" i="7" s="1"/>
  <c r="AY838" i="7"/>
  <c r="Z838" i="7" s="1"/>
  <c r="AB838" i="7" s="1"/>
  <c r="Y838" i="7"/>
  <c r="AA838" i="7" s="1"/>
  <c r="AY830" i="7"/>
  <c r="Z830" i="7" s="1"/>
  <c r="AB830" i="7" s="1"/>
  <c r="Y830" i="7"/>
  <c r="AA830" i="7" s="1"/>
  <c r="AY833" i="7"/>
  <c r="Z833" i="7" s="1"/>
  <c r="AB833" i="7" s="1"/>
  <c r="Y833" i="7"/>
  <c r="AA833" i="7" s="1"/>
  <c r="AY825" i="7"/>
  <c r="Z825" i="7" s="1"/>
  <c r="AB825" i="7" s="1"/>
  <c r="Y825" i="7"/>
  <c r="AA825" i="7" s="1"/>
  <c r="AY822" i="7"/>
  <c r="Z822" i="7" s="1"/>
  <c r="AB822" i="7" s="1"/>
  <c r="Y822" i="7"/>
  <c r="AA822" i="7" s="1"/>
  <c r="AY820" i="7"/>
  <c r="Z820" i="7" s="1"/>
  <c r="AB820" i="7" s="1"/>
  <c r="Y820" i="7"/>
  <c r="AA820" i="7" s="1"/>
  <c r="AY815" i="7"/>
  <c r="Z815" i="7" s="1"/>
  <c r="AB815" i="7" s="1"/>
  <c r="Y815" i="7"/>
  <c r="AA815" i="7" s="1"/>
  <c r="AY805" i="7"/>
  <c r="Z805" i="7" s="1"/>
  <c r="AB805" i="7" s="1"/>
  <c r="Y805" i="7"/>
  <c r="AA805" i="7" s="1"/>
  <c r="AY808" i="7"/>
  <c r="Z808" i="7" s="1"/>
  <c r="AB808" i="7" s="1"/>
  <c r="Y808" i="7"/>
  <c r="AA808" i="7" s="1"/>
  <c r="AY800" i="7"/>
  <c r="Z800" i="7" s="1"/>
  <c r="AB800" i="7" s="1"/>
  <c r="Y800" i="7"/>
  <c r="AA800" i="7" s="1"/>
  <c r="AY797" i="7"/>
  <c r="Z797" i="7" s="1"/>
  <c r="AB797" i="7" s="1"/>
  <c r="Y797" i="7"/>
  <c r="AA797" i="7" s="1"/>
  <c r="AY795" i="7"/>
  <c r="Z795" i="7" s="1"/>
  <c r="AB795" i="7" s="1"/>
  <c r="Y795" i="7"/>
  <c r="AA795" i="7" s="1"/>
  <c r="AY792" i="7"/>
  <c r="Z792" i="7" s="1"/>
  <c r="AB792" i="7" s="1"/>
  <c r="Y792" i="7"/>
  <c r="AA792" i="7" s="1"/>
  <c r="AY777" i="7"/>
  <c r="Z777" i="7" s="1"/>
  <c r="AB777" i="7" s="1"/>
  <c r="Y777" i="7"/>
  <c r="AA777" i="7" s="1"/>
  <c r="AY783" i="7"/>
  <c r="Z783" i="7" s="1"/>
  <c r="AB783" i="7" s="1"/>
  <c r="Y783" i="7"/>
  <c r="AA783" i="7" s="1"/>
  <c r="AY786" i="7"/>
  <c r="Z786" i="7" s="1"/>
  <c r="AB786" i="7" s="1"/>
  <c r="Y786" i="7"/>
  <c r="AA786" i="7" s="1"/>
  <c r="AY771" i="7"/>
  <c r="Z771" i="7" s="1"/>
  <c r="AB771" i="7" s="1"/>
  <c r="Y771" i="7"/>
  <c r="AA771" i="7" s="1"/>
  <c r="AY774" i="7"/>
  <c r="Z774" i="7" s="1"/>
  <c r="AB774" i="7" s="1"/>
  <c r="Y774" i="7"/>
  <c r="AA774" i="7" s="1"/>
  <c r="AY769" i="7"/>
  <c r="Z769" i="7" s="1"/>
  <c r="AB769" i="7" s="1"/>
  <c r="Y769" i="7"/>
  <c r="AA769" i="7" s="1"/>
  <c r="AY759" i="7"/>
  <c r="Z759" i="7" s="1"/>
  <c r="AB759" i="7" s="1"/>
  <c r="Y759" i="7"/>
  <c r="AA759" i="7" s="1"/>
  <c r="AY762" i="7"/>
  <c r="Z762" i="7" s="1"/>
  <c r="AB762" i="7" s="1"/>
  <c r="Y762" i="7"/>
  <c r="AA762" i="7" s="1"/>
  <c r="AY757" i="7"/>
  <c r="Z757" i="7" s="1"/>
  <c r="AB757" i="7" s="1"/>
  <c r="Y757" i="7"/>
  <c r="AA757" i="7" s="1"/>
  <c r="AY747" i="7"/>
  <c r="Z747" i="7" s="1"/>
  <c r="AB747" i="7" s="1"/>
  <c r="Y747" i="7"/>
  <c r="AA747" i="7" s="1"/>
  <c r="AY748" i="7"/>
  <c r="Z748" i="7" s="1"/>
  <c r="AB748" i="7" s="1"/>
  <c r="Y748" i="7"/>
  <c r="AA748" i="7" s="1"/>
  <c r="AY741" i="7"/>
  <c r="Z741" i="7" s="1"/>
  <c r="AB741" i="7" s="1"/>
  <c r="Y741" i="7"/>
  <c r="AA741" i="7" s="1"/>
  <c r="AY729" i="7"/>
  <c r="Z729" i="7" s="1"/>
  <c r="AB729" i="7" s="1"/>
  <c r="Y729" i="7"/>
  <c r="AA729" i="7" s="1"/>
  <c r="AY738" i="7"/>
  <c r="Z738" i="7" s="1"/>
  <c r="AB738" i="7" s="1"/>
  <c r="Y738" i="7"/>
  <c r="AA738" i="7" s="1"/>
  <c r="AY732" i="7"/>
  <c r="Z732" i="7" s="1"/>
  <c r="AB732" i="7" s="1"/>
  <c r="Y732" i="7"/>
  <c r="AA732" i="7" s="1"/>
  <c r="AY719" i="7"/>
  <c r="Z719" i="7" s="1"/>
  <c r="AB719" i="7" s="1"/>
  <c r="Y719" i="7"/>
  <c r="AA719" i="7" s="1"/>
  <c r="AY725" i="7"/>
  <c r="Z725" i="7" s="1"/>
  <c r="AB725" i="7" s="1"/>
  <c r="Y725" i="7"/>
  <c r="AA725" i="7" s="1"/>
  <c r="AY720" i="7"/>
  <c r="Z720" i="7" s="1"/>
  <c r="AB720" i="7" s="1"/>
  <c r="Y720" i="7"/>
  <c r="AA720" i="7" s="1"/>
  <c r="AY713" i="7"/>
  <c r="Z713" i="7" s="1"/>
  <c r="AB713" i="7" s="1"/>
  <c r="Y713" i="7"/>
  <c r="AA713" i="7" s="1"/>
  <c r="AY703" i="7"/>
  <c r="Z703" i="7" s="1"/>
  <c r="AB703" i="7" s="1"/>
  <c r="Y703" i="7"/>
  <c r="AA703" i="7" s="1"/>
  <c r="AY708" i="7"/>
  <c r="Z708" i="7" s="1"/>
  <c r="AB708" i="7" s="1"/>
  <c r="Y708" i="7"/>
  <c r="AA708" i="7" s="1"/>
  <c r="AY698" i="7"/>
  <c r="Z698" i="7" s="1"/>
  <c r="AB698" i="7" s="1"/>
  <c r="Y698" i="7"/>
  <c r="AA698" i="7" s="1"/>
  <c r="AY696" i="7"/>
  <c r="Z696" i="7" s="1"/>
  <c r="AB696" i="7" s="1"/>
  <c r="Y696" i="7"/>
  <c r="AA696" i="7" s="1"/>
  <c r="AY699" i="7"/>
  <c r="Z699" i="7" s="1"/>
  <c r="AB699" i="7" s="1"/>
  <c r="Y699" i="7"/>
  <c r="AA699" i="7" s="1"/>
  <c r="AY680" i="7"/>
  <c r="Z680" i="7" s="1"/>
  <c r="AB680" i="7" s="1"/>
  <c r="Y680" i="7"/>
  <c r="AA680" i="7" s="1"/>
  <c r="AY689" i="7"/>
  <c r="Z689" i="7" s="1"/>
  <c r="AB689" i="7" s="1"/>
  <c r="Y689" i="7"/>
  <c r="AA689" i="7" s="1"/>
  <c r="AY681" i="7"/>
  <c r="Z681" i="7" s="1"/>
  <c r="AB681" i="7" s="1"/>
  <c r="Y681" i="7"/>
  <c r="AA681" i="7" s="1"/>
  <c r="AY678" i="7"/>
  <c r="Z678" i="7" s="1"/>
  <c r="AB678" i="7" s="1"/>
  <c r="Y678" i="7"/>
  <c r="AA678" i="7" s="1"/>
  <c r="AY673" i="7"/>
  <c r="Z673" i="7" s="1"/>
  <c r="AB673" i="7" s="1"/>
  <c r="Y673" i="7"/>
  <c r="AA673" i="7" s="1"/>
  <c r="AY674" i="7"/>
  <c r="Z674" i="7" s="1"/>
  <c r="AB674" i="7" s="1"/>
  <c r="Y674" i="7"/>
  <c r="AA674" i="7" s="1"/>
  <c r="AY659" i="7"/>
  <c r="Z659" i="7" s="1"/>
  <c r="AB659" i="7" s="1"/>
  <c r="Y659" i="7"/>
  <c r="AA659" i="7" s="1"/>
  <c r="AY655" i="7"/>
  <c r="Z655" i="7" s="1"/>
  <c r="AB655" i="7" s="1"/>
  <c r="Y655" i="7"/>
  <c r="AA655" i="7" s="1"/>
  <c r="AY663" i="7"/>
  <c r="Z663" i="7" s="1"/>
  <c r="AB663" i="7" s="1"/>
  <c r="Y663" i="7"/>
  <c r="AA663" i="7" s="1"/>
  <c r="AY644" i="7"/>
  <c r="Z644" i="7" s="1"/>
  <c r="AB644" i="7" s="1"/>
  <c r="Y644" i="7"/>
  <c r="AA644" i="7" s="1"/>
  <c r="AY648" i="7"/>
  <c r="Z648" i="7" s="1"/>
  <c r="AB648" i="7" s="1"/>
  <c r="Y648" i="7"/>
  <c r="AA648" i="7" s="1"/>
  <c r="AY649" i="7"/>
  <c r="Z649" i="7" s="1"/>
  <c r="AB649" i="7" s="1"/>
  <c r="Y649" i="7"/>
  <c r="AA649" i="7" s="1"/>
  <c r="AY641" i="7"/>
  <c r="Z641" i="7" s="1"/>
  <c r="AB641" i="7" s="1"/>
  <c r="Y641" i="7"/>
  <c r="AA641" i="7" s="1"/>
  <c r="AY638" i="7"/>
  <c r="Z638" i="7" s="1"/>
  <c r="AB638" i="7" s="1"/>
  <c r="Y638" i="7"/>
  <c r="AA638" i="7" s="1"/>
  <c r="AY631" i="7"/>
  <c r="Z631" i="7" s="1"/>
  <c r="AB631" i="7" s="1"/>
  <c r="Y631" i="7"/>
  <c r="AA631" i="7" s="1"/>
  <c r="AY619" i="7"/>
  <c r="Z619" i="7" s="1"/>
  <c r="AB619" i="7" s="1"/>
  <c r="Y619" i="7"/>
  <c r="AA619" i="7" s="1"/>
  <c r="AY620" i="7"/>
  <c r="Z620" i="7" s="1"/>
  <c r="AB620" i="7" s="1"/>
  <c r="Y620" i="7"/>
  <c r="AA620" i="7" s="1"/>
  <c r="AY623" i="7"/>
  <c r="Z623" i="7" s="1"/>
  <c r="AB623" i="7" s="1"/>
  <c r="Y623" i="7"/>
  <c r="AA623" i="7" s="1"/>
  <c r="AY612" i="7"/>
  <c r="Z612" i="7" s="1"/>
  <c r="AB612" i="7" s="1"/>
  <c r="Y612" i="7"/>
  <c r="AA612" i="7" s="1"/>
  <c r="AY615" i="7"/>
  <c r="Z615" i="7" s="1"/>
  <c r="AB615" i="7" s="1"/>
  <c r="Y615" i="7"/>
  <c r="AA615" i="7" s="1"/>
  <c r="AY611" i="7"/>
  <c r="Z611" i="7" s="1"/>
  <c r="AB611" i="7" s="1"/>
  <c r="Y611" i="7"/>
  <c r="AA611" i="7" s="1"/>
  <c r="AY597" i="7"/>
  <c r="Z597" i="7" s="1"/>
  <c r="AB597" i="7" s="1"/>
  <c r="Y597" i="7"/>
  <c r="AA597" i="7" s="1"/>
  <c r="AY598" i="7"/>
  <c r="Z598" i="7" s="1"/>
  <c r="AB598" i="7" s="1"/>
  <c r="Y598" i="7"/>
  <c r="AA598" i="7" s="1"/>
  <c r="AY596" i="7"/>
  <c r="Z596" i="7" s="1"/>
  <c r="AB596" i="7" s="1"/>
  <c r="Y596" i="7"/>
  <c r="AA596" i="7" s="1"/>
  <c r="AY589" i="7"/>
  <c r="Z589" i="7" s="1"/>
  <c r="AB589" i="7" s="1"/>
  <c r="Y589" i="7"/>
  <c r="AA589" i="7" s="1"/>
  <c r="AY587" i="7"/>
  <c r="Z587" i="7" s="1"/>
  <c r="AB587" i="7" s="1"/>
  <c r="Y587" i="7"/>
  <c r="AA587" i="7" s="1"/>
  <c r="AY592" i="7"/>
  <c r="Z592" i="7" s="1"/>
  <c r="AB592" i="7" s="1"/>
  <c r="Y592" i="7"/>
  <c r="AA592" i="7" s="1"/>
  <c r="AY579" i="7"/>
  <c r="Z579" i="7" s="1"/>
  <c r="AB579" i="7" s="1"/>
  <c r="Y579" i="7"/>
  <c r="AA579" i="7" s="1"/>
  <c r="AY578" i="7"/>
  <c r="Z578" i="7" s="1"/>
  <c r="AB578" i="7" s="1"/>
  <c r="Y578" i="7"/>
  <c r="AA578" i="7" s="1"/>
  <c r="AY581" i="7"/>
  <c r="Z581" i="7" s="1"/>
  <c r="AB581" i="7" s="1"/>
  <c r="Y581" i="7"/>
  <c r="AA581" i="7" s="1"/>
  <c r="AY566" i="7"/>
  <c r="Z566" i="7" s="1"/>
  <c r="AB566" i="7" s="1"/>
  <c r="Y566" i="7"/>
  <c r="AA566" i="7" s="1"/>
  <c r="AY563" i="7"/>
  <c r="Z563" i="7" s="1"/>
  <c r="AB563" i="7" s="1"/>
  <c r="Y563" i="7"/>
  <c r="AA563" i="7" s="1"/>
  <c r="AY561" i="7"/>
  <c r="Z561" i="7" s="1"/>
  <c r="AB561" i="7" s="1"/>
  <c r="Y561" i="7"/>
  <c r="AA561" i="7" s="1"/>
  <c r="AY557" i="7"/>
  <c r="Z557" i="7" s="1"/>
  <c r="AB557" i="7" s="1"/>
  <c r="Y557" i="7"/>
  <c r="AA557" i="7" s="1"/>
  <c r="AY547" i="7"/>
  <c r="Z547" i="7" s="1"/>
  <c r="AB547" i="7" s="1"/>
  <c r="Y547" i="7"/>
  <c r="AA547" i="7" s="1"/>
  <c r="AY548" i="7"/>
  <c r="Z548" i="7" s="1"/>
  <c r="AB548" i="7" s="1"/>
  <c r="Y548" i="7"/>
  <c r="AA548" i="7" s="1"/>
  <c r="AY544" i="7"/>
  <c r="Z544" i="7" s="1"/>
  <c r="AB544" i="7" s="1"/>
  <c r="Y544" i="7"/>
  <c r="AA544" i="7" s="1"/>
  <c r="AY545" i="7"/>
  <c r="Z545" i="7" s="1"/>
  <c r="AB545" i="7" s="1"/>
  <c r="Y545" i="7"/>
  <c r="AA545" i="7" s="1"/>
  <c r="AY540" i="7"/>
  <c r="Z540" i="7" s="1"/>
  <c r="AB540" i="7" s="1"/>
  <c r="Y540" i="7"/>
  <c r="AA540" i="7" s="1"/>
  <c r="AY525" i="7"/>
  <c r="Z525" i="7" s="1"/>
  <c r="AB525" i="7" s="1"/>
  <c r="Y525" i="7"/>
  <c r="AA525" i="7" s="1"/>
  <c r="AY524" i="7"/>
  <c r="Z524" i="7" s="1"/>
  <c r="AB524" i="7" s="1"/>
  <c r="Y524" i="7"/>
  <c r="AA524" i="7" s="1"/>
  <c r="AY528" i="7"/>
  <c r="Z528" i="7" s="1"/>
  <c r="AB528" i="7" s="1"/>
  <c r="Y528" i="7"/>
  <c r="AA528" i="7" s="1"/>
  <c r="AY518" i="7"/>
  <c r="Z518" i="7" s="1"/>
  <c r="AB518" i="7" s="1"/>
  <c r="Y518" i="7"/>
  <c r="AA518" i="7" s="1"/>
  <c r="AY517" i="7"/>
  <c r="Z517" i="7" s="1"/>
  <c r="AB517" i="7" s="1"/>
  <c r="Y517" i="7"/>
  <c r="AA517" i="7" s="1"/>
  <c r="AY519" i="7"/>
  <c r="Z519" i="7" s="1"/>
  <c r="AB519" i="7" s="1"/>
  <c r="Y519" i="7"/>
  <c r="AA519" i="7" s="1"/>
  <c r="AY505" i="7"/>
  <c r="Z505" i="7" s="1"/>
  <c r="AB505" i="7" s="1"/>
  <c r="Y505" i="7"/>
  <c r="AA505" i="7" s="1"/>
  <c r="AY501" i="7"/>
  <c r="Z501" i="7" s="1"/>
  <c r="AB501" i="7" s="1"/>
  <c r="Y501" i="7"/>
  <c r="AA501" i="7" s="1"/>
  <c r="AY499" i="7"/>
  <c r="Z499" i="7" s="1"/>
  <c r="AB499" i="7" s="1"/>
  <c r="Y499" i="7"/>
  <c r="AA499" i="7" s="1"/>
  <c r="AY497" i="7"/>
  <c r="Z497" i="7" s="1"/>
  <c r="AB497" i="7" s="1"/>
  <c r="Y497" i="7"/>
  <c r="AA497" i="7" s="1"/>
  <c r="AY488" i="7"/>
  <c r="Z488" i="7" s="1"/>
  <c r="AB488" i="7" s="1"/>
  <c r="Y488" i="7"/>
  <c r="AA488" i="7" s="1"/>
  <c r="AY492" i="7"/>
  <c r="Z492" i="7" s="1"/>
  <c r="AB492" i="7" s="1"/>
  <c r="Y492" i="7"/>
  <c r="AA492" i="7" s="1"/>
  <c r="AY485" i="7"/>
  <c r="Z485" i="7" s="1"/>
  <c r="AB485" i="7" s="1"/>
  <c r="Y485" i="7"/>
  <c r="AA485" i="7" s="1"/>
  <c r="AY484" i="7"/>
  <c r="Z484" i="7" s="1"/>
  <c r="AB484" i="7" s="1"/>
  <c r="Y484" i="7"/>
  <c r="AA484" i="7" s="1"/>
  <c r="AY478" i="7"/>
  <c r="Z478" i="7" s="1"/>
  <c r="AB478" i="7" s="1"/>
  <c r="Y478" i="7"/>
  <c r="AA478" i="7" s="1"/>
  <c r="AY463" i="7"/>
  <c r="Z463" i="7" s="1"/>
  <c r="AB463" i="7" s="1"/>
  <c r="Y463" i="7"/>
  <c r="AA463" i="7" s="1"/>
  <c r="AY474" i="7"/>
  <c r="Z474" i="7" s="1"/>
  <c r="AB474" i="7" s="1"/>
  <c r="Y474" i="7"/>
  <c r="AA474" i="7" s="1"/>
  <c r="AY473" i="7"/>
  <c r="Z473" i="7" s="1"/>
  <c r="AB473" i="7" s="1"/>
  <c r="Y473" i="7"/>
  <c r="AA473" i="7" s="1"/>
  <c r="AY454" i="7"/>
  <c r="Z454" i="7" s="1"/>
  <c r="AB454" i="7" s="1"/>
  <c r="Y454" i="7"/>
  <c r="AA454" i="7" s="1"/>
  <c r="AY456" i="7"/>
  <c r="Z456" i="7" s="1"/>
  <c r="AB456" i="7" s="1"/>
  <c r="Y456" i="7"/>
  <c r="AA456" i="7" s="1"/>
  <c r="AY460" i="7"/>
  <c r="Z460" i="7" s="1"/>
  <c r="AB460" i="7" s="1"/>
  <c r="Y460" i="7"/>
  <c r="AA460" i="7" s="1"/>
  <c r="AY446" i="7"/>
  <c r="Z446" i="7" s="1"/>
  <c r="AB446" i="7" s="1"/>
  <c r="Y446" i="7"/>
  <c r="AA446" i="7" s="1"/>
  <c r="AY445" i="7"/>
  <c r="Z445" i="7" s="1"/>
  <c r="AB445" i="7" s="1"/>
  <c r="Y445" i="7"/>
  <c r="AA445" i="7" s="1"/>
  <c r="AY439" i="7"/>
  <c r="Z439" i="7" s="1"/>
  <c r="AB439" i="7" s="1"/>
  <c r="Y439" i="7"/>
  <c r="AA439" i="7" s="1"/>
  <c r="AY431" i="7"/>
  <c r="Z431" i="7" s="1"/>
  <c r="AB431" i="7" s="1"/>
  <c r="Y431" i="7"/>
  <c r="AA431" i="7" s="1"/>
  <c r="AY432" i="7"/>
  <c r="Z432" i="7" s="1"/>
  <c r="AB432" i="7" s="1"/>
  <c r="Y432" i="7"/>
  <c r="AA432" i="7" s="1"/>
  <c r="AY438" i="7"/>
  <c r="Z438" i="7" s="1"/>
  <c r="AB438" i="7" s="1"/>
  <c r="Y438" i="7"/>
  <c r="AA438" i="7" s="1"/>
  <c r="AY415" i="7"/>
  <c r="Z415" i="7" s="1"/>
  <c r="AB415" i="7" s="1"/>
  <c r="Y415" i="7"/>
  <c r="AA415" i="7" s="1"/>
  <c r="AY417" i="7"/>
  <c r="Z417" i="7" s="1"/>
  <c r="AB417" i="7" s="1"/>
  <c r="Y417" i="7"/>
  <c r="AA417" i="7" s="1"/>
  <c r="AY419" i="7"/>
  <c r="Z419" i="7" s="1"/>
  <c r="AB419" i="7" s="1"/>
  <c r="Y419" i="7"/>
  <c r="AA419" i="7" s="1"/>
  <c r="AY411" i="7"/>
  <c r="Z411" i="7" s="1"/>
  <c r="AB411" i="7" s="1"/>
  <c r="Y411" i="7"/>
  <c r="AA411" i="7" s="1"/>
  <c r="AY408" i="7"/>
  <c r="Z408" i="7" s="1"/>
  <c r="AB408" i="7" s="1"/>
  <c r="Y408" i="7"/>
  <c r="AA408" i="7" s="1"/>
  <c r="AY403" i="7"/>
  <c r="Z403" i="7" s="1"/>
  <c r="AB403" i="7" s="1"/>
  <c r="Y403" i="7"/>
  <c r="AA403" i="7" s="1"/>
  <c r="AY394" i="7"/>
  <c r="Z394" i="7" s="1"/>
  <c r="AB394" i="7" s="1"/>
  <c r="Y394" i="7"/>
  <c r="AA394" i="7" s="1"/>
  <c r="AY393" i="7"/>
  <c r="Z393" i="7" s="1"/>
  <c r="AB393" i="7" s="1"/>
  <c r="Y393" i="7"/>
  <c r="AA393" i="7" s="1"/>
  <c r="AY398" i="7"/>
  <c r="Z398" i="7" s="1"/>
  <c r="AB398" i="7" s="1"/>
  <c r="Y398" i="7"/>
  <c r="AA398" i="7" s="1"/>
  <c r="AY386" i="7"/>
  <c r="Z386" i="7" s="1"/>
  <c r="AB386" i="7" s="1"/>
  <c r="Y386" i="7"/>
  <c r="AA386" i="7" s="1"/>
  <c r="AY384" i="7"/>
  <c r="Z384" i="7" s="1"/>
  <c r="AB384" i="7" s="1"/>
  <c r="Y384" i="7"/>
  <c r="AA384" i="7" s="1"/>
  <c r="AY379" i="7"/>
  <c r="Z379" i="7" s="1"/>
  <c r="AB379" i="7" s="1"/>
  <c r="Y379" i="7"/>
  <c r="AA379" i="7" s="1"/>
  <c r="AY370" i="7"/>
  <c r="Z370" i="7" s="1"/>
  <c r="AB370" i="7" s="1"/>
  <c r="Y370" i="7"/>
  <c r="AA370" i="7" s="1"/>
  <c r="AY376" i="7"/>
  <c r="Z376" i="7" s="1"/>
  <c r="AB376" i="7" s="1"/>
  <c r="Y376" i="7"/>
  <c r="AA376" i="7" s="1"/>
  <c r="AY368" i="7"/>
  <c r="Z368" i="7" s="1"/>
  <c r="AB368" i="7" s="1"/>
  <c r="Y368" i="7"/>
  <c r="AA368" i="7" s="1"/>
  <c r="AY356" i="7"/>
  <c r="Z356" i="7" s="1"/>
  <c r="AB356" i="7" s="1"/>
  <c r="Y356" i="7"/>
  <c r="AA356" i="7" s="1"/>
  <c r="AY365" i="7"/>
  <c r="Z365" i="7" s="1"/>
  <c r="AB365" i="7" s="1"/>
  <c r="Y365" i="7"/>
  <c r="AA365" i="7" s="1"/>
  <c r="AY366" i="7"/>
  <c r="Z366" i="7" s="1"/>
  <c r="AB366" i="7" s="1"/>
  <c r="Y366" i="7"/>
  <c r="AA366" i="7" s="1"/>
  <c r="AY343" i="7"/>
  <c r="Z343" i="7" s="1"/>
  <c r="AB343" i="7" s="1"/>
  <c r="Y343" i="7"/>
  <c r="AA343" i="7" s="1"/>
  <c r="AY345" i="7"/>
  <c r="Z345" i="7" s="1"/>
  <c r="AB345" i="7" s="1"/>
  <c r="Y345" i="7"/>
  <c r="AA345" i="7" s="1"/>
  <c r="AY354" i="7"/>
  <c r="Z354" i="7" s="1"/>
  <c r="AB354" i="7" s="1"/>
  <c r="Y354" i="7"/>
  <c r="AA354" i="7" s="1"/>
  <c r="AY336" i="7"/>
  <c r="Z336" i="7" s="1"/>
  <c r="AB336" i="7" s="1"/>
  <c r="Y336" i="7"/>
  <c r="AA336" i="7" s="1"/>
  <c r="AY335" i="7"/>
  <c r="Z335" i="7" s="1"/>
  <c r="AB335" i="7" s="1"/>
  <c r="Y335" i="7"/>
  <c r="AA335" i="7" s="1"/>
  <c r="AY338" i="7"/>
  <c r="Z338" i="7" s="1"/>
  <c r="AB338" i="7" s="1"/>
  <c r="Y338" i="7"/>
  <c r="AA338" i="7" s="1"/>
  <c r="AY325" i="7"/>
  <c r="Z325" i="7" s="1"/>
  <c r="AB325" i="7" s="1"/>
  <c r="Y325" i="7"/>
  <c r="AA325" i="7" s="1"/>
  <c r="AY320" i="7"/>
  <c r="Z320" i="7" s="1"/>
  <c r="AB320" i="7" s="1"/>
  <c r="Y320" i="7"/>
  <c r="AA320" i="7" s="1"/>
  <c r="AY319" i="7"/>
  <c r="Z319" i="7" s="1"/>
  <c r="AB319" i="7" s="1"/>
  <c r="Y319" i="7"/>
  <c r="AA319" i="7" s="1"/>
  <c r="AY315" i="7"/>
  <c r="Z315" i="7" s="1"/>
  <c r="AB315" i="7" s="1"/>
  <c r="Y315" i="7"/>
  <c r="AA315" i="7" s="1"/>
  <c r="AY317" i="7"/>
  <c r="Z317" i="7" s="1"/>
  <c r="AB317" i="7" s="1"/>
  <c r="Y317" i="7"/>
  <c r="AA317" i="7" s="1"/>
  <c r="AY312" i="7"/>
  <c r="Z312" i="7" s="1"/>
  <c r="AB312" i="7" s="1"/>
  <c r="Y312" i="7"/>
  <c r="AA312" i="7" s="1"/>
  <c r="AY304" i="7"/>
  <c r="Z304" i="7" s="1"/>
  <c r="AB304" i="7" s="1"/>
  <c r="Y304" i="7"/>
  <c r="AA304" i="7" s="1"/>
  <c r="AY305" i="7"/>
  <c r="Z305" i="7" s="1"/>
  <c r="AB305" i="7" s="1"/>
  <c r="Y305" i="7"/>
  <c r="AA305" i="7" s="1"/>
  <c r="Y295" i="7"/>
  <c r="AA295" i="7" s="1"/>
  <c r="AY295" i="7"/>
  <c r="Z295" i="7" s="1"/>
  <c r="AB295" i="7" s="1"/>
  <c r="AY285" i="7"/>
  <c r="Z285" i="7" s="1"/>
  <c r="AB285" i="7" s="1"/>
  <c r="Y285" i="7"/>
  <c r="AA285" i="7" s="1"/>
  <c r="AY292" i="7"/>
  <c r="Z292" i="7" s="1"/>
  <c r="AB292" i="7" s="1"/>
  <c r="Y292" i="7"/>
  <c r="AA292" i="7" s="1"/>
  <c r="Y283" i="7"/>
  <c r="AA283" i="7" s="1"/>
  <c r="AY283" i="7"/>
  <c r="Z283" i="7" s="1"/>
  <c r="AB283" i="7" s="1"/>
  <c r="AY277" i="7"/>
  <c r="Z277" i="7" s="1"/>
  <c r="AB277" i="7" s="1"/>
  <c r="Y277" i="7"/>
  <c r="AA277" i="7" s="1"/>
  <c r="AY276" i="7"/>
  <c r="Z276" i="7" s="1"/>
  <c r="AB276" i="7" s="1"/>
  <c r="Y276" i="7"/>
  <c r="AA276" i="7" s="1"/>
  <c r="AY272" i="7"/>
  <c r="Z272" i="7" s="1"/>
  <c r="AB272" i="7" s="1"/>
  <c r="Y272" i="7"/>
  <c r="AA272" i="7" s="1"/>
  <c r="AY268" i="7"/>
  <c r="Z268" i="7" s="1"/>
  <c r="AB268" i="7" s="1"/>
  <c r="Y268" i="7"/>
  <c r="AA268" i="7" s="1"/>
  <c r="AY267" i="7"/>
  <c r="Z267" i="7" s="1"/>
  <c r="AB267" i="7" s="1"/>
  <c r="Y267" i="7"/>
  <c r="AA267" i="7" s="1"/>
  <c r="AY265" i="7"/>
  <c r="Z265" i="7" s="1"/>
  <c r="AB265" i="7" s="1"/>
  <c r="Y265" i="7"/>
  <c r="AA265" i="7" s="1"/>
  <c r="Y1065" i="7"/>
  <c r="AY1061" i="7"/>
  <c r="Z1061" i="7" s="1"/>
  <c r="AB1061" i="7" s="1"/>
  <c r="Y1061" i="7"/>
  <c r="AA1061" i="7" s="1"/>
  <c r="AY1045" i="7"/>
  <c r="Z1045" i="7" s="1"/>
  <c r="AB1045" i="7" s="1"/>
  <c r="Y1045" i="7"/>
  <c r="AA1045" i="7" s="1"/>
  <c r="AY1034" i="7"/>
  <c r="Z1034" i="7" s="1"/>
  <c r="AB1034" i="7" s="1"/>
  <c r="Y1034" i="7"/>
  <c r="AA1034" i="7" s="1"/>
  <c r="AY1007" i="7"/>
  <c r="Z1007" i="7" s="1"/>
  <c r="AB1007" i="7" s="1"/>
  <c r="Y1007" i="7"/>
  <c r="AA1007" i="7" s="1"/>
  <c r="AY994" i="7"/>
  <c r="Z994" i="7" s="1"/>
  <c r="AB994" i="7" s="1"/>
  <c r="Y994" i="7"/>
  <c r="AA994" i="7" s="1"/>
  <c r="AY988" i="7"/>
  <c r="Z988" i="7" s="1"/>
  <c r="AB988" i="7" s="1"/>
  <c r="Y988" i="7"/>
  <c r="AA988" i="7" s="1"/>
  <c r="AY959" i="7"/>
  <c r="Z959" i="7" s="1"/>
  <c r="AB959" i="7" s="1"/>
  <c r="Y959" i="7"/>
  <c r="AA959" i="7" s="1"/>
  <c r="AY1057" i="7"/>
  <c r="Z1057" i="7" s="1"/>
  <c r="AB1057" i="7" s="1"/>
  <c r="Y1057" i="7"/>
  <c r="AA1057" i="7" s="1"/>
  <c r="AY1041" i="7"/>
  <c r="Z1041" i="7" s="1"/>
  <c r="AB1041" i="7" s="1"/>
  <c r="Y1041" i="7"/>
  <c r="AA1041" i="7" s="1"/>
  <c r="AY1040" i="7"/>
  <c r="Z1040" i="7" s="1"/>
  <c r="AB1040" i="7" s="1"/>
  <c r="Y1040" i="7"/>
  <c r="AA1040" i="7" s="1"/>
  <c r="AY1033" i="7"/>
  <c r="Z1033" i="7" s="1"/>
  <c r="AB1033" i="7" s="1"/>
  <c r="Y1033" i="7"/>
  <c r="AA1033" i="7" s="1"/>
  <c r="AY1016" i="7"/>
  <c r="Z1016" i="7" s="1"/>
  <c r="AB1016" i="7" s="1"/>
  <c r="Y1016" i="7"/>
  <c r="AA1016" i="7" s="1"/>
  <c r="AY1019" i="7"/>
  <c r="Z1019" i="7" s="1"/>
  <c r="AB1019" i="7" s="1"/>
  <c r="Y1019" i="7"/>
  <c r="AA1019" i="7" s="1"/>
  <c r="AY1021" i="7"/>
  <c r="Z1021" i="7" s="1"/>
  <c r="AB1021" i="7" s="1"/>
  <c r="Y1021" i="7"/>
  <c r="AA1021" i="7" s="1"/>
  <c r="AY1008" i="7"/>
  <c r="Z1008" i="7" s="1"/>
  <c r="AB1008" i="7" s="1"/>
  <c r="Y1008" i="7"/>
  <c r="AA1008" i="7" s="1"/>
  <c r="AY1014" i="7"/>
  <c r="Z1014" i="7" s="1"/>
  <c r="AB1014" i="7" s="1"/>
  <c r="Y1014" i="7"/>
  <c r="AA1014" i="7" s="1"/>
  <c r="AY1013" i="7"/>
  <c r="Z1013" i="7" s="1"/>
  <c r="AB1013" i="7" s="1"/>
  <c r="Y1013" i="7"/>
  <c r="AA1013" i="7" s="1"/>
  <c r="AY1002" i="7"/>
  <c r="Z1002" i="7" s="1"/>
  <c r="AB1002" i="7" s="1"/>
  <c r="Y1002" i="7"/>
  <c r="AA1002" i="7" s="1"/>
  <c r="AY995" i="7"/>
  <c r="Z995" i="7" s="1"/>
  <c r="AB995" i="7" s="1"/>
  <c r="Y995" i="7"/>
  <c r="AA995" i="7" s="1"/>
  <c r="AY1001" i="7"/>
  <c r="Z1001" i="7" s="1"/>
  <c r="AB1001" i="7" s="1"/>
  <c r="Y1001" i="7"/>
  <c r="AA1001" i="7" s="1"/>
  <c r="AY985" i="7"/>
  <c r="Z985" i="7" s="1"/>
  <c r="AB985" i="7" s="1"/>
  <c r="Y985" i="7"/>
  <c r="AA985" i="7" s="1"/>
  <c r="AY990" i="7"/>
  <c r="Z990" i="7" s="1"/>
  <c r="AB990" i="7" s="1"/>
  <c r="Y990" i="7"/>
  <c r="AA990" i="7" s="1"/>
  <c r="AY979" i="7"/>
  <c r="Z979" i="7" s="1"/>
  <c r="AB979" i="7" s="1"/>
  <c r="Y979" i="7"/>
  <c r="AA979" i="7" s="1"/>
  <c r="AY972" i="7"/>
  <c r="Z972" i="7" s="1"/>
  <c r="AB972" i="7" s="1"/>
  <c r="Y972" i="7"/>
  <c r="AA972" i="7" s="1"/>
  <c r="AY977" i="7"/>
  <c r="Z977" i="7" s="1"/>
  <c r="AB977" i="7" s="1"/>
  <c r="Y977" i="7"/>
  <c r="AA977" i="7" s="1"/>
  <c r="AY973" i="7"/>
  <c r="Z973" i="7" s="1"/>
  <c r="AB973" i="7" s="1"/>
  <c r="Y973" i="7"/>
  <c r="AA973" i="7" s="1"/>
  <c r="AY966" i="7"/>
  <c r="Z966" i="7" s="1"/>
  <c r="AB966" i="7" s="1"/>
  <c r="Y966" i="7"/>
  <c r="AA966" i="7" s="1"/>
  <c r="AY956" i="7"/>
  <c r="Z956" i="7" s="1"/>
  <c r="AB956" i="7" s="1"/>
  <c r="Y956" i="7"/>
  <c r="AA956" i="7" s="1"/>
  <c r="AY958" i="7"/>
  <c r="Z958" i="7" s="1"/>
  <c r="AB958" i="7" s="1"/>
  <c r="Y958" i="7"/>
  <c r="AA958" i="7" s="1"/>
  <c r="AY944" i="7"/>
  <c r="Z944" i="7" s="1"/>
  <c r="AB944" i="7" s="1"/>
  <c r="Y944" i="7"/>
  <c r="AA944" i="7" s="1"/>
  <c r="AY953" i="7"/>
  <c r="Z953" i="7" s="1"/>
  <c r="AB953" i="7" s="1"/>
  <c r="Y953" i="7"/>
  <c r="AA953" i="7" s="1"/>
  <c r="AY947" i="7"/>
  <c r="Z947" i="7" s="1"/>
  <c r="AB947" i="7" s="1"/>
  <c r="Y947" i="7"/>
  <c r="AA947" i="7" s="1"/>
  <c r="AY941" i="7"/>
  <c r="Z941" i="7" s="1"/>
  <c r="AB941" i="7" s="1"/>
  <c r="Y941" i="7"/>
  <c r="AA941" i="7" s="1"/>
  <c r="AY935" i="7"/>
  <c r="Z935" i="7" s="1"/>
  <c r="AB935" i="7" s="1"/>
  <c r="Y935" i="7"/>
  <c r="AA935" i="7" s="1"/>
  <c r="AY933" i="7"/>
  <c r="Z933" i="7" s="1"/>
  <c r="AB933" i="7" s="1"/>
  <c r="Y933" i="7"/>
  <c r="AA933" i="7" s="1"/>
  <c r="AY920" i="7"/>
  <c r="Z920" i="7" s="1"/>
  <c r="AB920" i="7" s="1"/>
  <c r="Y920" i="7"/>
  <c r="AA920" i="7" s="1"/>
  <c r="AY922" i="7"/>
  <c r="Z922" i="7" s="1"/>
  <c r="AB922" i="7" s="1"/>
  <c r="Y922" i="7"/>
  <c r="AA922" i="7" s="1"/>
  <c r="AY925" i="7"/>
  <c r="Z925" i="7" s="1"/>
  <c r="AB925" i="7" s="1"/>
  <c r="Y925" i="7"/>
  <c r="AA925" i="7" s="1"/>
  <c r="AY911" i="7"/>
  <c r="Z911" i="7" s="1"/>
  <c r="AB911" i="7" s="1"/>
  <c r="Y911" i="7"/>
  <c r="AA911" i="7" s="1"/>
  <c r="AY910" i="7"/>
  <c r="Z910" i="7" s="1"/>
  <c r="AB910" i="7" s="1"/>
  <c r="Y910" i="7"/>
  <c r="AA910" i="7" s="1"/>
  <c r="AY916" i="7"/>
  <c r="Z916" i="7" s="1"/>
  <c r="AB916" i="7" s="1"/>
  <c r="Y916" i="7"/>
  <c r="AA916" i="7" s="1"/>
  <c r="AY898" i="7"/>
  <c r="Z898" i="7" s="1"/>
  <c r="AB898" i="7" s="1"/>
  <c r="Y898" i="7"/>
  <c r="AA898" i="7" s="1"/>
  <c r="AY904" i="7"/>
  <c r="Z904" i="7" s="1"/>
  <c r="AB904" i="7" s="1"/>
  <c r="Y904" i="7"/>
  <c r="AA904" i="7" s="1"/>
  <c r="AY897" i="7"/>
  <c r="Z897" i="7" s="1"/>
  <c r="AB897" i="7" s="1"/>
  <c r="Y897" i="7"/>
  <c r="AA897" i="7" s="1"/>
  <c r="AY884" i="7"/>
  <c r="Z884" i="7" s="1"/>
  <c r="AB884" i="7" s="1"/>
  <c r="Y884" i="7"/>
  <c r="AA884" i="7" s="1"/>
  <c r="AY890" i="7"/>
  <c r="Z890" i="7" s="1"/>
  <c r="AB890" i="7" s="1"/>
  <c r="Y890" i="7"/>
  <c r="AA890" i="7" s="1"/>
  <c r="AY888" i="7"/>
  <c r="Z888" i="7" s="1"/>
  <c r="AB888" i="7" s="1"/>
  <c r="Y888" i="7"/>
  <c r="AA888" i="7" s="1"/>
  <c r="AY871" i="7"/>
  <c r="Z871" i="7" s="1"/>
  <c r="AB871" i="7" s="1"/>
  <c r="Y871" i="7"/>
  <c r="AA871" i="7" s="1"/>
  <c r="AY879" i="7"/>
  <c r="Z879" i="7" s="1"/>
  <c r="AB879" i="7" s="1"/>
  <c r="Y879" i="7"/>
  <c r="AA879" i="7" s="1"/>
  <c r="AY874" i="7"/>
  <c r="Z874" i="7" s="1"/>
  <c r="AB874" i="7" s="1"/>
  <c r="Y874" i="7"/>
  <c r="AA874" i="7" s="1"/>
  <c r="AY866" i="7"/>
  <c r="Z866" i="7" s="1"/>
  <c r="AB866" i="7" s="1"/>
  <c r="Y866" i="7"/>
  <c r="AA866" i="7" s="1"/>
  <c r="AY864" i="7"/>
  <c r="Z864" i="7" s="1"/>
  <c r="AB864" i="7" s="1"/>
  <c r="Y864" i="7"/>
  <c r="AA864" i="7" s="1"/>
  <c r="AY868" i="7"/>
  <c r="Z868" i="7" s="1"/>
  <c r="AB868" i="7" s="1"/>
  <c r="Y868" i="7"/>
  <c r="AA868" i="7" s="1"/>
  <c r="AY858" i="7"/>
  <c r="Z858" i="7" s="1"/>
  <c r="AB858" i="7" s="1"/>
  <c r="Y858" i="7"/>
  <c r="AA858" i="7" s="1"/>
  <c r="AY857" i="7"/>
  <c r="Z857" i="7" s="1"/>
  <c r="AB857" i="7" s="1"/>
  <c r="Y857" i="7"/>
  <c r="AA857" i="7" s="1"/>
  <c r="AY852" i="7"/>
  <c r="Z852" i="7" s="1"/>
  <c r="AB852" i="7" s="1"/>
  <c r="Y852" i="7"/>
  <c r="AA852" i="7" s="1"/>
  <c r="AY840" i="7"/>
  <c r="Z840" i="7" s="1"/>
  <c r="AB840" i="7" s="1"/>
  <c r="Y840" i="7"/>
  <c r="AA840" i="7" s="1"/>
  <c r="AY835" i="7"/>
  <c r="Z835" i="7" s="1"/>
  <c r="AB835" i="7" s="1"/>
  <c r="Y835" i="7"/>
  <c r="AA835" i="7" s="1"/>
  <c r="AY845" i="7"/>
  <c r="Z845" i="7" s="1"/>
  <c r="AB845" i="7" s="1"/>
  <c r="Y845" i="7"/>
  <c r="AA845" i="7" s="1"/>
  <c r="AY827" i="7"/>
  <c r="Z827" i="7" s="1"/>
  <c r="AB827" i="7" s="1"/>
  <c r="Y827" i="7"/>
  <c r="AA827" i="7" s="1"/>
  <c r="AY828" i="7"/>
  <c r="Z828" i="7" s="1"/>
  <c r="AB828" i="7" s="1"/>
  <c r="Y828" i="7"/>
  <c r="AA828" i="7" s="1"/>
  <c r="AY831" i="7"/>
  <c r="Z831" i="7" s="1"/>
  <c r="AB831" i="7" s="1"/>
  <c r="Y831" i="7"/>
  <c r="AA831" i="7" s="1"/>
  <c r="AY814" i="7"/>
  <c r="Z814" i="7" s="1"/>
  <c r="AB814" i="7" s="1"/>
  <c r="Y814" i="7"/>
  <c r="AA814" i="7" s="1"/>
  <c r="AY819" i="7"/>
  <c r="Z819" i="7" s="1"/>
  <c r="AB819" i="7" s="1"/>
  <c r="Y819" i="7"/>
  <c r="AA819" i="7" s="1"/>
  <c r="AY817" i="7"/>
  <c r="Z817" i="7" s="1"/>
  <c r="AB817" i="7" s="1"/>
  <c r="Y817" i="7"/>
  <c r="AA817" i="7" s="1"/>
  <c r="AY799" i="7"/>
  <c r="Z799" i="7" s="1"/>
  <c r="AB799" i="7" s="1"/>
  <c r="Y799" i="7"/>
  <c r="AA799" i="7" s="1"/>
  <c r="AY809" i="7"/>
  <c r="Z809" i="7" s="1"/>
  <c r="AB809" i="7" s="1"/>
  <c r="Y809" i="7"/>
  <c r="AA809" i="7" s="1"/>
  <c r="AY804" i="7"/>
  <c r="Z804" i="7" s="1"/>
  <c r="AB804" i="7" s="1"/>
  <c r="Y804" i="7"/>
  <c r="AA804" i="7" s="1"/>
  <c r="AY793" i="7"/>
  <c r="Z793" i="7" s="1"/>
  <c r="AB793" i="7" s="1"/>
  <c r="Y793" i="7"/>
  <c r="AA793" i="7" s="1"/>
  <c r="AY788" i="7"/>
  <c r="Z788" i="7" s="1"/>
  <c r="AB788" i="7" s="1"/>
  <c r="Y788" i="7"/>
  <c r="AA788" i="7" s="1"/>
  <c r="AY796" i="7"/>
  <c r="Z796" i="7" s="1"/>
  <c r="AB796" i="7" s="1"/>
  <c r="Y796" i="7"/>
  <c r="AA796" i="7" s="1"/>
  <c r="AY782" i="7"/>
  <c r="Z782" i="7" s="1"/>
  <c r="AB782" i="7" s="1"/>
  <c r="Y782" i="7"/>
  <c r="AA782" i="7" s="1"/>
  <c r="AY776" i="7"/>
  <c r="Z776" i="7" s="1"/>
  <c r="AB776" i="7" s="1"/>
  <c r="Y776" i="7"/>
  <c r="AA776" i="7" s="1"/>
  <c r="AY784" i="7"/>
  <c r="Z784" i="7" s="1"/>
  <c r="AB784" i="7" s="1"/>
  <c r="Y784" i="7"/>
  <c r="AA784" i="7" s="1"/>
  <c r="AY772" i="7"/>
  <c r="Z772" i="7" s="1"/>
  <c r="AB772" i="7" s="1"/>
  <c r="Y772" i="7"/>
  <c r="AA772" i="7" s="1"/>
  <c r="AY765" i="7"/>
  <c r="Z765" i="7" s="1"/>
  <c r="AB765" i="7" s="1"/>
  <c r="Y765" i="7"/>
  <c r="AA765" i="7" s="1"/>
  <c r="AY773" i="7"/>
  <c r="Z773" i="7" s="1"/>
  <c r="AB773" i="7" s="1"/>
  <c r="Y773" i="7"/>
  <c r="AA773" i="7" s="1"/>
  <c r="AY753" i="7"/>
  <c r="Z753" i="7" s="1"/>
  <c r="AB753" i="7" s="1"/>
  <c r="Y753" i="7"/>
  <c r="AA753" i="7" s="1"/>
  <c r="AY761" i="7"/>
  <c r="Z761" i="7" s="1"/>
  <c r="AB761" i="7" s="1"/>
  <c r="Y761" i="7"/>
  <c r="AA761" i="7" s="1"/>
  <c r="AY756" i="7"/>
  <c r="Z756" i="7" s="1"/>
  <c r="AB756" i="7" s="1"/>
  <c r="Y756" i="7"/>
  <c r="AA756" i="7" s="1"/>
  <c r="AY739" i="7"/>
  <c r="Z739" i="7" s="1"/>
  <c r="AB739" i="7" s="1"/>
  <c r="Y739" i="7"/>
  <c r="AA739" i="7" s="1"/>
  <c r="AY744" i="7"/>
  <c r="Z744" i="7" s="1"/>
  <c r="AB744" i="7" s="1"/>
  <c r="Y744" i="7"/>
  <c r="AA744" i="7" s="1"/>
  <c r="AY740" i="7"/>
  <c r="Z740" i="7" s="1"/>
  <c r="AB740" i="7" s="1"/>
  <c r="Y740" i="7"/>
  <c r="AA740" i="7" s="1"/>
  <c r="AY737" i="7"/>
  <c r="Z737" i="7" s="1"/>
  <c r="AB737" i="7" s="1"/>
  <c r="Y737" i="7"/>
  <c r="AA737" i="7" s="1"/>
  <c r="AY734" i="7"/>
  <c r="Z734" i="7" s="1"/>
  <c r="AB734" i="7" s="1"/>
  <c r="Y734" i="7"/>
  <c r="AA734" i="7" s="1"/>
  <c r="AY730" i="7"/>
  <c r="Z730" i="7" s="1"/>
  <c r="AB730" i="7" s="1"/>
  <c r="Y730" i="7"/>
  <c r="AA730" i="7" s="1"/>
  <c r="AY726" i="7"/>
  <c r="Z726" i="7" s="1"/>
  <c r="AB726" i="7" s="1"/>
  <c r="Y726" i="7"/>
  <c r="AA726" i="7" s="1"/>
  <c r="AY721" i="7"/>
  <c r="Z721" i="7" s="1"/>
  <c r="AB721" i="7" s="1"/>
  <c r="Y721" i="7"/>
  <c r="AA721" i="7" s="1"/>
  <c r="AY715" i="7"/>
  <c r="Z715" i="7" s="1"/>
  <c r="AB715" i="7" s="1"/>
  <c r="Y715" i="7"/>
  <c r="AA715" i="7" s="1"/>
  <c r="AY707" i="7"/>
  <c r="Z707" i="7" s="1"/>
  <c r="AB707" i="7" s="1"/>
  <c r="Y707" i="7"/>
  <c r="AA707" i="7" s="1"/>
  <c r="AY714" i="7"/>
  <c r="Z714" i="7" s="1"/>
  <c r="AB714" i="7" s="1"/>
  <c r="Y714" i="7"/>
  <c r="AA714" i="7" s="1"/>
  <c r="AY705" i="7"/>
  <c r="Z705" i="7" s="1"/>
  <c r="AB705" i="7" s="1"/>
  <c r="Y705" i="7"/>
  <c r="AA705" i="7" s="1"/>
  <c r="AY701" i="7"/>
  <c r="Z701" i="7" s="1"/>
  <c r="AB701" i="7" s="1"/>
  <c r="Y701" i="7"/>
  <c r="AA701" i="7" s="1"/>
  <c r="AY702" i="7"/>
  <c r="Z702" i="7" s="1"/>
  <c r="AB702" i="7" s="1"/>
  <c r="Y702" i="7"/>
  <c r="AA702" i="7" s="1"/>
  <c r="AY700" i="7"/>
  <c r="Z700" i="7" s="1"/>
  <c r="AB700" i="7" s="1"/>
  <c r="Y700" i="7"/>
  <c r="AA700" i="7" s="1"/>
  <c r="AY687" i="7"/>
  <c r="Z687" i="7" s="1"/>
  <c r="AB687" i="7" s="1"/>
  <c r="Y687" i="7"/>
  <c r="AA687" i="7" s="1"/>
  <c r="AY682" i="7"/>
  <c r="Z682" i="7" s="1"/>
  <c r="AB682" i="7" s="1"/>
  <c r="Y682" i="7"/>
  <c r="AA682" i="7" s="1"/>
  <c r="AY688" i="7"/>
  <c r="Z688" i="7" s="1"/>
  <c r="AB688" i="7" s="1"/>
  <c r="Y688" i="7"/>
  <c r="AA688" i="7" s="1"/>
  <c r="AY668" i="7"/>
  <c r="Z668" i="7" s="1"/>
  <c r="AB668" i="7" s="1"/>
  <c r="Y668" i="7"/>
  <c r="AA668" i="7" s="1"/>
  <c r="AY672" i="7"/>
  <c r="Z672" i="7" s="1"/>
  <c r="AB672" i="7" s="1"/>
  <c r="Y672" i="7"/>
  <c r="AA672" i="7" s="1"/>
  <c r="AY670" i="7"/>
  <c r="Z670" i="7" s="1"/>
  <c r="AB670" i="7" s="1"/>
  <c r="Y670" i="7"/>
  <c r="AA670" i="7" s="1"/>
  <c r="AY657" i="7"/>
  <c r="Z657" i="7" s="1"/>
  <c r="AB657" i="7" s="1"/>
  <c r="Y657" i="7"/>
  <c r="AA657" i="7" s="1"/>
  <c r="AY660" i="7"/>
  <c r="Z660" i="7" s="1"/>
  <c r="AB660" i="7" s="1"/>
  <c r="Y660" i="7"/>
  <c r="AA660" i="7" s="1"/>
  <c r="AY656" i="7"/>
  <c r="Z656" i="7" s="1"/>
  <c r="AB656" i="7" s="1"/>
  <c r="Y656" i="7"/>
  <c r="AA656" i="7" s="1"/>
  <c r="AY651" i="7"/>
  <c r="Z651" i="7" s="1"/>
  <c r="AB651" i="7" s="1"/>
  <c r="Y651" i="7"/>
  <c r="AA651" i="7" s="1"/>
  <c r="AY647" i="7"/>
  <c r="Z647" i="7" s="1"/>
  <c r="AB647" i="7" s="1"/>
  <c r="Y647" i="7"/>
  <c r="AA647" i="7" s="1"/>
  <c r="AY654" i="7"/>
  <c r="Z654" i="7" s="1"/>
  <c r="AB654" i="7" s="1"/>
  <c r="Y654" i="7"/>
  <c r="AA654" i="7" s="1"/>
  <c r="AY639" i="7"/>
  <c r="Z639" i="7" s="1"/>
  <c r="AB639" i="7" s="1"/>
  <c r="Y639" i="7"/>
  <c r="AA639" i="7" s="1"/>
  <c r="AY635" i="7"/>
  <c r="Z635" i="7" s="1"/>
  <c r="AB635" i="7" s="1"/>
  <c r="Y635" i="7"/>
  <c r="AA635" i="7" s="1"/>
  <c r="AY632" i="7"/>
  <c r="Z632" i="7" s="1"/>
  <c r="AB632" i="7" s="1"/>
  <c r="Y632" i="7"/>
  <c r="AA632" i="7" s="1"/>
  <c r="AY626" i="7"/>
  <c r="Z626" i="7" s="1"/>
  <c r="AB626" i="7" s="1"/>
  <c r="Y626" i="7"/>
  <c r="AA626" i="7" s="1"/>
  <c r="AY621" i="7"/>
  <c r="Z621" i="7" s="1"/>
  <c r="AB621" i="7" s="1"/>
  <c r="Y621" i="7"/>
  <c r="AA621" i="7" s="1"/>
  <c r="AY627" i="7"/>
  <c r="Z627" i="7" s="1"/>
  <c r="AB627" i="7" s="1"/>
  <c r="Y627" i="7"/>
  <c r="AA627" i="7" s="1"/>
  <c r="AY607" i="7"/>
  <c r="Z607" i="7" s="1"/>
  <c r="AB607" i="7" s="1"/>
  <c r="Y607" i="7"/>
  <c r="AA607" i="7" s="1"/>
  <c r="AY610" i="7"/>
  <c r="Z610" i="7" s="1"/>
  <c r="AB610" i="7" s="1"/>
  <c r="Y610" i="7"/>
  <c r="AA610" i="7" s="1"/>
  <c r="AY614" i="7"/>
  <c r="Z614" i="7" s="1"/>
  <c r="AB614" i="7" s="1"/>
  <c r="Y614" i="7"/>
  <c r="AA614" i="7" s="1"/>
  <c r="AY604" i="7"/>
  <c r="Z604" i="7" s="1"/>
  <c r="AB604" i="7" s="1"/>
  <c r="Y604" i="7"/>
  <c r="AA604" i="7" s="1"/>
  <c r="AY605" i="7"/>
  <c r="Z605" i="7" s="1"/>
  <c r="AB605" i="7" s="1"/>
  <c r="Y605" i="7"/>
  <c r="AA605" i="7" s="1"/>
  <c r="AY603" i="7"/>
  <c r="Z603" i="7" s="1"/>
  <c r="AB603" i="7" s="1"/>
  <c r="Y603" i="7"/>
  <c r="AA603" i="7" s="1"/>
  <c r="AY594" i="7"/>
  <c r="Z594" i="7" s="1"/>
  <c r="AB594" i="7" s="1"/>
  <c r="Y594" i="7"/>
  <c r="AA594" i="7" s="1"/>
  <c r="AY583" i="7"/>
  <c r="Z583" i="7" s="1"/>
  <c r="AB583" i="7" s="1"/>
  <c r="Y583" i="7"/>
  <c r="AA583" i="7" s="1"/>
  <c r="AY588" i="7"/>
  <c r="Z588" i="7" s="1"/>
  <c r="AB588" i="7" s="1"/>
  <c r="Y588" i="7"/>
  <c r="AA588" i="7" s="1"/>
  <c r="AY574" i="7"/>
  <c r="Z574" i="7" s="1"/>
  <c r="AB574" i="7" s="1"/>
  <c r="Y574" i="7"/>
  <c r="AA574" i="7" s="1"/>
  <c r="AY572" i="7"/>
  <c r="Z572" i="7" s="1"/>
  <c r="AB572" i="7" s="1"/>
  <c r="Y572" i="7"/>
  <c r="AA572" i="7" s="1"/>
  <c r="AY573" i="7"/>
  <c r="Z573" i="7" s="1"/>
  <c r="AB573" i="7" s="1"/>
  <c r="Y573" i="7"/>
  <c r="AA573" i="7" s="1"/>
  <c r="AY570" i="7"/>
  <c r="Z570" i="7" s="1"/>
  <c r="AB570" i="7" s="1"/>
  <c r="Y570" i="7"/>
  <c r="AA570" i="7" s="1"/>
  <c r="AY560" i="7"/>
  <c r="Z560" i="7" s="1"/>
  <c r="AB560" i="7" s="1"/>
  <c r="Y560" i="7"/>
  <c r="AA560" i="7" s="1"/>
  <c r="AY564" i="7"/>
  <c r="Z564" i="7" s="1"/>
  <c r="AB564" i="7" s="1"/>
  <c r="Y564" i="7"/>
  <c r="AA564" i="7" s="1"/>
  <c r="AY551" i="7"/>
  <c r="Z551" i="7" s="1"/>
  <c r="AB551" i="7" s="1"/>
  <c r="Y551" i="7"/>
  <c r="AA551" i="7" s="1"/>
  <c r="AY554" i="7"/>
  <c r="Z554" i="7" s="1"/>
  <c r="AB554" i="7" s="1"/>
  <c r="Y554" i="7"/>
  <c r="AA554" i="7" s="1"/>
  <c r="AY552" i="7"/>
  <c r="Z552" i="7" s="1"/>
  <c r="AB552" i="7" s="1"/>
  <c r="Y552" i="7"/>
  <c r="AA552" i="7" s="1"/>
  <c r="AY543" i="7"/>
  <c r="Z543" i="7" s="1"/>
  <c r="AB543" i="7" s="1"/>
  <c r="Y543" i="7"/>
  <c r="AA543" i="7" s="1"/>
  <c r="AY538" i="7"/>
  <c r="Z538" i="7" s="1"/>
  <c r="AB538" i="7" s="1"/>
  <c r="Y538" i="7"/>
  <c r="AA538" i="7" s="1"/>
  <c r="AY535" i="7"/>
  <c r="Z535" i="7" s="1"/>
  <c r="AB535" i="7" s="1"/>
  <c r="Y535" i="7"/>
  <c r="AA535" i="7" s="1"/>
  <c r="AY534" i="7"/>
  <c r="Z534" i="7" s="1"/>
  <c r="AB534" i="7" s="1"/>
  <c r="Y534" i="7"/>
  <c r="AA534" i="7" s="1"/>
  <c r="AY527" i="7"/>
  <c r="Z527" i="7" s="1"/>
  <c r="AB527" i="7" s="1"/>
  <c r="Y527" i="7"/>
  <c r="AA527" i="7" s="1"/>
  <c r="AY532" i="7"/>
  <c r="Z532" i="7" s="1"/>
  <c r="AB532" i="7" s="1"/>
  <c r="Y532" i="7"/>
  <c r="AA532" i="7" s="1"/>
  <c r="AY513" i="7"/>
  <c r="Z513" i="7" s="1"/>
  <c r="AB513" i="7" s="1"/>
  <c r="Y513" i="7"/>
  <c r="AA513" i="7" s="1"/>
  <c r="AY520" i="7"/>
  <c r="Z520" i="7" s="1"/>
  <c r="AB520" i="7" s="1"/>
  <c r="Y520" i="7"/>
  <c r="AA520" i="7" s="1"/>
  <c r="AY514" i="7"/>
  <c r="Z514" i="7" s="1"/>
  <c r="AB514" i="7" s="1"/>
  <c r="Y514" i="7"/>
  <c r="AA514" i="7" s="1"/>
  <c r="AY504" i="7"/>
  <c r="Z504" i="7" s="1"/>
  <c r="AB504" i="7" s="1"/>
  <c r="Y504" i="7"/>
  <c r="AA504" i="7" s="1"/>
  <c r="AY500" i="7"/>
  <c r="Z500" i="7" s="1"/>
  <c r="AB500" i="7" s="1"/>
  <c r="Y500" i="7"/>
  <c r="AA500" i="7" s="1"/>
  <c r="AY510" i="7"/>
  <c r="Z510" i="7" s="1"/>
  <c r="AB510" i="7" s="1"/>
  <c r="Y510" i="7"/>
  <c r="AA510" i="7" s="1"/>
  <c r="AY490" i="7"/>
  <c r="Z490" i="7" s="1"/>
  <c r="AB490" i="7" s="1"/>
  <c r="Y490" i="7"/>
  <c r="AA490" i="7" s="1"/>
  <c r="AY487" i="7"/>
  <c r="Z487" i="7" s="1"/>
  <c r="AB487" i="7" s="1"/>
  <c r="Y487" i="7"/>
  <c r="AA487" i="7" s="1"/>
  <c r="AY491" i="7"/>
  <c r="Z491" i="7" s="1"/>
  <c r="AB491" i="7" s="1"/>
  <c r="Y491" i="7"/>
  <c r="AA491" i="7" s="1"/>
  <c r="AY482" i="7"/>
  <c r="Z482" i="7" s="1"/>
  <c r="AB482" i="7" s="1"/>
  <c r="Y482" i="7"/>
  <c r="AA482" i="7" s="1"/>
  <c r="AY475" i="7"/>
  <c r="Z475" i="7" s="1"/>
  <c r="AB475" i="7" s="1"/>
  <c r="Y475" i="7"/>
  <c r="AA475" i="7" s="1"/>
  <c r="AY486" i="7"/>
  <c r="Z486" i="7" s="1"/>
  <c r="AB486" i="7" s="1"/>
  <c r="Y486" i="7"/>
  <c r="AA486" i="7" s="1"/>
  <c r="AY468" i="7"/>
  <c r="Z468" i="7" s="1"/>
  <c r="AB468" i="7" s="1"/>
  <c r="Y468" i="7"/>
  <c r="AA468" i="7" s="1"/>
  <c r="AY469" i="7"/>
  <c r="Z469" i="7" s="1"/>
  <c r="AB469" i="7" s="1"/>
  <c r="Y469" i="7"/>
  <c r="AA469" i="7" s="1"/>
  <c r="AY470" i="7"/>
  <c r="Z470" i="7" s="1"/>
  <c r="AB470" i="7" s="1"/>
  <c r="Y470" i="7"/>
  <c r="AA470" i="7" s="1"/>
  <c r="AY455" i="7"/>
  <c r="Z455" i="7" s="1"/>
  <c r="AB455" i="7" s="1"/>
  <c r="Y455" i="7"/>
  <c r="AA455" i="7" s="1"/>
  <c r="AY451" i="7"/>
  <c r="Z451" i="7" s="1"/>
  <c r="AB451" i="7" s="1"/>
  <c r="Y451" i="7"/>
  <c r="AA451" i="7" s="1"/>
  <c r="AY453" i="7"/>
  <c r="Z453" i="7" s="1"/>
  <c r="AB453" i="7" s="1"/>
  <c r="Y453" i="7"/>
  <c r="AA453" i="7" s="1"/>
  <c r="AY444" i="7"/>
  <c r="Z444" i="7" s="1"/>
  <c r="AB444" i="7" s="1"/>
  <c r="Y444" i="7"/>
  <c r="AA444" i="7" s="1"/>
  <c r="AY449" i="7"/>
  <c r="Z449" i="7" s="1"/>
  <c r="AB449" i="7" s="1"/>
  <c r="Y449" i="7"/>
  <c r="AA449" i="7" s="1"/>
  <c r="AY450" i="7"/>
  <c r="Z450" i="7" s="1"/>
  <c r="AB450" i="7" s="1"/>
  <c r="Y450" i="7"/>
  <c r="AA450" i="7" s="1"/>
  <c r="AY435" i="7"/>
  <c r="Z435" i="7" s="1"/>
  <c r="AB435" i="7" s="1"/>
  <c r="Y435" i="7"/>
  <c r="AA435" i="7" s="1"/>
  <c r="AY427" i="7"/>
  <c r="Z427" i="7" s="1"/>
  <c r="AB427" i="7" s="1"/>
  <c r="Y427" i="7"/>
  <c r="AA427" i="7" s="1"/>
  <c r="AY433" i="7"/>
  <c r="Z433" i="7" s="1"/>
  <c r="AB433" i="7" s="1"/>
  <c r="Y433" i="7"/>
  <c r="AA433" i="7" s="1"/>
  <c r="AY421" i="7"/>
  <c r="Z421" i="7" s="1"/>
  <c r="AB421" i="7" s="1"/>
  <c r="Y421" i="7"/>
  <c r="AA421" i="7" s="1"/>
  <c r="AY424" i="7"/>
  <c r="Z424" i="7" s="1"/>
  <c r="AB424" i="7" s="1"/>
  <c r="Y424" i="7"/>
  <c r="AA424" i="7" s="1"/>
  <c r="AY420" i="7"/>
  <c r="Z420" i="7" s="1"/>
  <c r="AB420" i="7" s="1"/>
  <c r="Y420" i="7"/>
  <c r="AA420" i="7" s="1"/>
  <c r="AY409" i="7"/>
  <c r="Z409" i="7" s="1"/>
  <c r="AB409" i="7" s="1"/>
  <c r="Y409" i="7"/>
  <c r="AA409" i="7" s="1"/>
  <c r="AY404" i="7"/>
  <c r="Z404" i="7" s="1"/>
  <c r="AB404" i="7" s="1"/>
  <c r="Y404" i="7"/>
  <c r="AA404" i="7" s="1"/>
  <c r="AY414" i="7"/>
  <c r="Z414" i="7" s="1"/>
  <c r="AB414" i="7" s="1"/>
  <c r="Y414" i="7"/>
  <c r="AA414" i="7" s="1"/>
  <c r="AY395" i="7"/>
  <c r="Z395" i="7" s="1"/>
  <c r="AB395" i="7" s="1"/>
  <c r="Y395" i="7"/>
  <c r="AA395" i="7" s="1"/>
  <c r="AY400" i="7"/>
  <c r="Z400" i="7" s="1"/>
  <c r="AB400" i="7" s="1"/>
  <c r="Y400" i="7"/>
  <c r="AA400" i="7" s="1"/>
  <c r="AY391" i="7"/>
  <c r="Z391" i="7" s="1"/>
  <c r="AB391" i="7" s="1"/>
  <c r="Y391" i="7"/>
  <c r="AA391" i="7" s="1"/>
  <c r="AY383" i="7"/>
  <c r="Z383" i="7" s="1"/>
  <c r="AB383" i="7" s="1"/>
  <c r="Y383" i="7"/>
  <c r="AA383" i="7" s="1"/>
  <c r="AY380" i="7"/>
  <c r="Z380" i="7" s="1"/>
  <c r="AB380" i="7" s="1"/>
  <c r="Y380" i="7"/>
  <c r="AA380" i="7" s="1"/>
  <c r="AY390" i="7"/>
  <c r="Z390" i="7" s="1"/>
  <c r="AB390" i="7" s="1"/>
  <c r="Y390" i="7"/>
  <c r="AA390" i="7" s="1"/>
  <c r="AY378" i="7"/>
  <c r="Z378" i="7" s="1"/>
  <c r="AB378" i="7" s="1"/>
  <c r="Y378" i="7"/>
  <c r="AA378" i="7" s="1"/>
  <c r="AY369" i="7"/>
  <c r="Z369" i="7" s="1"/>
  <c r="AB369" i="7" s="1"/>
  <c r="Y369" i="7"/>
  <c r="AA369" i="7" s="1"/>
  <c r="AY374" i="7"/>
  <c r="Z374" i="7" s="1"/>
  <c r="AB374" i="7" s="1"/>
  <c r="Y374" i="7"/>
  <c r="AA374" i="7" s="1"/>
  <c r="AY364" i="7"/>
  <c r="Z364" i="7" s="1"/>
  <c r="AB364" i="7" s="1"/>
  <c r="Y364" i="7"/>
  <c r="AA364" i="7" s="1"/>
  <c r="AY359" i="7"/>
  <c r="Z359" i="7" s="1"/>
  <c r="AB359" i="7" s="1"/>
  <c r="Y359" i="7"/>
  <c r="AA359" i="7" s="1"/>
  <c r="AY362" i="7"/>
  <c r="Z362" i="7" s="1"/>
  <c r="AB362" i="7" s="1"/>
  <c r="Y362" i="7"/>
  <c r="AA362" i="7" s="1"/>
  <c r="AY351" i="7"/>
  <c r="Z351" i="7" s="1"/>
  <c r="AB351" i="7" s="1"/>
  <c r="Y351" i="7"/>
  <c r="AA351" i="7" s="1"/>
  <c r="AY344" i="7"/>
  <c r="Z344" i="7" s="1"/>
  <c r="AB344" i="7" s="1"/>
  <c r="Y344" i="7"/>
  <c r="AA344" i="7" s="1"/>
  <c r="AY350" i="7"/>
  <c r="Z350" i="7" s="1"/>
  <c r="AB350" i="7" s="1"/>
  <c r="Y350" i="7"/>
  <c r="AA350" i="7" s="1"/>
  <c r="AY332" i="7"/>
  <c r="Z332" i="7" s="1"/>
  <c r="AB332" i="7" s="1"/>
  <c r="Y332" i="7"/>
  <c r="AA332" i="7" s="1"/>
  <c r="AY341" i="7"/>
  <c r="Z341" i="7" s="1"/>
  <c r="AB341" i="7" s="1"/>
  <c r="Y341" i="7"/>
  <c r="AA341" i="7" s="1"/>
  <c r="AY339" i="7"/>
  <c r="Z339" i="7" s="1"/>
  <c r="AB339" i="7" s="1"/>
  <c r="Y339" i="7"/>
  <c r="AA339" i="7" s="1"/>
  <c r="AY322" i="7"/>
  <c r="Z322" i="7" s="1"/>
  <c r="AB322" i="7" s="1"/>
  <c r="Y322" i="7"/>
  <c r="AA322" i="7" s="1"/>
  <c r="AY330" i="7"/>
  <c r="Z330" i="7" s="1"/>
  <c r="AB330" i="7" s="1"/>
  <c r="Y330" i="7"/>
  <c r="AA330" i="7" s="1"/>
  <c r="AY329" i="7"/>
  <c r="Z329" i="7" s="1"/>
  <c r="AB329" i="7" s="1"/>
  <c r="Y329" i="7"/>
  <c r="AA329" i="7" s="1"/>
  <c r="AY311" i="7"/>
  <c r="Z311" i="7" s="1"/>
  <c r="AB311" i="7" s="1"/>
  <c r="Y311" i="7"/>
  <c r="AA311" i="7" s="1"/>
  <c r="AY313" i="7"/>
  <c r="Z313" i="7" s="1"/>
  <c r="AB313" i="7" s="1"/>
  <c r="Y313" i="7"/>
  <c r="AA313" i="7" s="1"/>
  <c r="AY310" i="7"/>
  <c r="Z310" i="7" s="1"/>
  <c r="AB310" i="7" s="1"/>
  <c r="Y310" i="7"/>
  <c r="AA310" i="7" s="1"/>
  <c r="AY303" i="7"/>
  <c r="Z303" i="7" s="1"/>
  <c r="AB303" i="7" s="1"/>
  <c r="Y303" i="7"/>
  <c r="AA303" i="7" s="1"/>
  <c r="AY296" i="7"/>
  <c r="Z296" i="7" s="1"/>
  <c r="AB296" i="7" s="1"/>
  <c r="Y296" i="7"/>
  <c r="AA296" i="7" s="1"/>
  <c r="AY306" i="7"/>
  <c r="Z306" i="7" s="1"/>
  <c r="AB306" i="7" s="1"/>
  <c r="Y306" i="7"/>
  <c r="AA306" i="7" s="1"/>
  <c r="AY284" i="7"/>
  <c r="Z284" i="7" s="1"/>
  <c r="AB284" i="7" s="1"/>
  <c r="Y284" i="7"/>
  <c r="AA284" i="7" s="1"/>
  <c r="AY289" i="7"/>
  <c r="Z289" i="7" s="1"/>
  <c r="AB289" i="7" s="1"/>
  <c r="Y289" i="7"/>
  <c r="AA289" i="7" s="1"/>
  <c r="AY287" i="7"/>
  <c r="Z287" i="7" s="1"/>
  <c r="AB287" i="7" s="1"/>
  <c r="Y287" i="7"/>
  <c r="AA287" i="7" s="1"/>
  <c r="AY279" i="7"/>
  <c r="Z279" i="7" s="1"/>
  <c r="AB279" i="7" s="1"/>
  <c r="Y279" i="7"/>
  <c r="AA279" i="7" s="1"/>
  <c r="AY281" i="7"/>
  <c r="Z281" i="7" s="1"/>
  <c r="AB281" i="7" s="1"/>
  <c r="Y281" i="7"/>
  <c r="AA281" i="7" s="1"/>
  <c r="Y271" i="7"/>
  <c r="AA271" i="7" s="1"/>
  <c r="AY271" i="7"/>
  <c r="Z271" i="7" s="1"/>
  <c r="AB271" i="7" s="1"/>
  <c r="AY264" i="7"/>
  <c r="Z264" i="7" s="1"/>
  <c r="AB264" i="7" s="1"/>
  <c r="Y264" i="7"/>
  <c r="AA264" i="7" s="1"/>
  <c r="AY266" i="7"/>
  <c r="Z266" i="7" s="1"/>
  <c r="AB266" i="7" s="1"/>
  <c r="Y266" i="7"/>
  <c r="AA266" i="7" s="1"/>
  <c r="AY270" i="7"/>
  <c r="Z270" i="7" s="1"/>
  <c r="AB270" i="7" s="1"/>
  <c r="Y270" i="7"/>
  <c r="AA270" i="7" s="1"/>
  <c r="AA1065" i="7" l="1"/>
  <c r="AA5" i="7" s="1"/>
  <c r="F79" i="41" s="1"/>
  <c r="T12" i="41" s="1" a="1"/>
  <c r="T12" i="41" s="1"/>
  <c r="V12" i="41" s="1" a="1"/>
  <c r="V12" i="41" s="1"/>
  <c r="J20" i="30" s="1" a="1"/>
  <c r="J20" i="30" s="1"/>
  <c r="Y5" i="7"/>
  <c r="AY4" i="7"/>
  <c r="L20" i="30" l="1" a="1"/>
  <c r="L20" i="30" s="1"/>
  <c r="T16" i="41"/>
  <c r="N20" i="30" s="1" a="1"/>
  <c r="N20" i="30" s="1"/>
  <c r="AB5" i="7"/>
  <c r="Z5" i="7"/>
  <c r="N1" i="7" l="1"/>
  <c r="F80" i="41" s="1"/>
  <c r="T20" i="41" s="1"/>
  <c r="V20" i="41" l="1"/>
  <c r="J22" i="30" s="1" a="1"/>
  <c r="J22" i="30" s="1"/>
  <c r="J10" i="46"/>
  <c r="J8" i="46"/>
  <c r="L22" i="30" l="1" a="1"/>
  <c r="L22" i="30" s="1"/>
  <c r="J28" i="30"/>
  <c r="J20" i="46"/>
  <c r="J38" i="46" s="1"/>
  <c r="T24" i="41"/>
  <c r="F108" i="41"/>
  <c r="F139" i="41"/>
  <c r="L28" i="30" l="1"/>
  <c r="N28" i="30"/>
  <c r="J432" i="45" s="1"/>
  <c r="F71" i="41"/>
  <c r="F72" i="41" s="1"/>
  <c r="N22" i="30" a="1"/>
  <c r="N22" i="30" s="1"/>
  <c r="F140" i="41"/>
  <c r="F142" i="41" s="1"/>
  <c r="F109" i="41"/>
  <c r="F138" i="41" s="1"/>
  <c r="L32" i="46"/>
  <c r="C14" i="36" s="1"/>
  <c r="J23" i="46"/>
  <c r="L23" i="46" s="1"/>
  <c r="J25" i="46" s="1"/>
  <c r="J44" i="30"/>
  <c r="F96" i="41"/>
  <c r="J434" i="45" l="1"/>
  <c r="F143" i="41"/>
  <c r="F144" i="41" s="1"/>
  <c r="F97" i="41"/>
  <c r="F98" i="41" s="1"/>
  <c r="F162" i="41"/>
  <c r="F163" i="41" s="1"/>
  <c r="L44" i="30"/>
  <c r="N44" i="30"/>
  <c r="J452" i="45" s="1"/>
  <c r="F112" i="41"/>
  <c r="F113" i="41"/>
  <c r="H48" i="46"/>
  <c r="L38" i="46"/>
  <c r="H14" i="36"/>
  <c r="T6" i="36"/>
  <c r="T7" i="36" s="1"/>
  <c r="S7" i="36" s="1"/>
  <c r="T8" i="36" s="1"/>
  <c r="S8" i="36" s="1"/>
  <c r="T9" i="36" s="1"/>
  <c r="S9" i="36" s="1"/>
  <c r="T10" i="36" s="1"/>
  <c r="S10" i="36" s="1"/>
  <c r="T11" i="36" s="1"/>
  <c r="S11" i="36" s="1"/>
  <c r="T12" i="36" s="1"/>
  <c r="S12" i="36" s="1"/>
  <c r="T13" i="36" s="1"/>
  <c r="S13" i="36" s="1"/>
  <c r="T14" i="36" s="1"/>
  <c r="S14" i="36" s="1"/>
  <c r="T15" i="36" s="1"/>
  <c r="S15" i="36" s="1"/>
  <c r="T16" i="36" s="1"/>
  <c r="S16" i="36" s="1"/>
  <c r="T17" i="36" s="1"/>
  <c r="S17" i="36" s="1"/>
  <c r="T18" i="36" s="1"/>
  <c r="S18" i="36" s="1"/>
  <c r="T19" i="36" s="1"/>
  <c r="S19" i="36" s="1"/>
  <c r="T20" i="36" s="1"/>
  <c r="S20" i="36" s="1"/>
  <c r="T21" i="36" s="1"/>
  <c r="S21" i="36" s="1"/>
  <c r="T22" i="36" s="1"/>
  <c r="S22" i="36" s="1"/>
  <c r="T23" i="36" s="1"/>
  <c r="S23" i="36" s="1"/>
  <c r="T24" i="36" s="1"/>
  <c r="S24" i="36" s="1"/>
  <c r="T25" i="36" s="1"/>
  <c r="S25" i="36" s="1"/>
  <c r="T26" i="36" s="1"/>
  <c r="S26" i="36" s="1"/>
  <c r="T27" i="36" s="1"/>
  <c r="S27" i="36" s="1"/>
  <c r="T28" i="36" s="1"/>
  <c r="S28" i="36" s="1"/>
  <c r="T29" i="36" s="1"/>
  <c r="S29" i="36" s="1"/>
  <c r="T30" i="36" s="1"/>
  <c r="S30" i="36" s="1"/>
  <c r="T31" i="36" s="1"/>
  <c r="S31" i="36" s="1"/>
  <c r="T32" i="36" s="1"/>
  <c r="S32" i="36" s="1"/>
  <c r="T33" i="36" s="1"/>
  <c r="S33" i="36" s="1"/>
  <c r="T34" i="36" s="1"/>
  <c r="S34" i="36" s="1"/>
  <c r="T35" i="36" s="1"/>
  <c r="S35" i="36" s="1"/>
  <c r="T36" i="36" s="1"/>
  <c r="S36" i="36" s="1"/>
  <c r="T37" i="36" s="1"/>
  <c r="S37" i="36" s="1"/>
  <c r="T38" i="36" s="1"/>
  <c r="S38" i="36" s="1"/>
  <c r="T39" i="36" s="1"/>
  <c r="S39" i="36" s="1"/>
  <c r="T40" i="36" s="1"/>
  <c r="S40" i="36" s="1"/>
  <c r="T41" i="36" s="1"/>
  <c r="S41" i="36" s="1"/>
  <c r="T42" i="36" s="1"/>
  <c r="S42" i="36" s="1"/>
  <c r="T43" i="36" s="1"/>
  <c r="S43" i="36" s="1"/>
  <c r="T44" i="36" s="1"/>
  <c r="S44" i="36" s="1"/>
  <c r="T45" i="36" s="1"/>
  <c r="S45" i="36" s="1"/>
  <c r="T46" i="36" s="1"/>
  <c r="S46" i="36" s="1"/>
  <c r="T47" i="36" s="1"/>
  <c r="S47" i="36" s="1"/>
  <c r="T48" i="36" s="1"/>
  <c r="S48" i="36" s="1"/>
  <c r="T49" i="36" s="1"/>
  <c r="S49" i="36" s="1"/>
  <c r="T50" i="36" s="1"/>
  <c r="S50" i="36" s="1"/>
  <c r="T51" i="36" s="1"/>
  <c r="S51" i="36" s="1"/>
  <c r="T52" i="36" s="1"/>
  <c r="S52" i="36" s="1"/>
  <c r="T53" i="36" s="1"/>
  <c r="S53" i="36" s="1"/>
  <c r="T54" i="36" s="1"/>
  <c r="S54" i="36" s="1"/>
  <c r="T55" i="36" s="1"/>
  <c r="S55" i="36" s="1"/>
  <c r="T56" i="36" s="1"/>
  <c r="S56" i="36" s="1"/>
  <c r="T57" i="36" s="1"/>
  <c r="S57" i="36" s="1"/>
  <c r="T58" i="36" s="1"/>
  <c r="S58" i="36" s="1"/>
  <c r="T59" i="36" s="1"/>
  <c r="S59" i="36" s="1"/>
  <c r="T60" i="36" s="1"/>
  <c r="S60" i="36" s="1"/>
  <c r="T61" i="36" s="1"/>
  <c r="S61" i="36" s="1"/>
  <c r="T62" i="36" s="1"/>
  <c r="S62" i="36" s="1"/>
  <c r="T63" i="36" s="1"/>
  <c r="S63" i="36" s="1"/>
  <c r="T64" i="36" s="1"/>
  <c r="S64" i="36" s="1"/>
  <c r="T65" i="36" s="1"/>
  <c r="S65" i="36" s="1"/>
  <c r="T66" i="36" s="1"/>
  <c r="S66" i="36" s="1"/>
  <c r="T67" i="36" s="1"/>
  <c r="S67" i="36" s="1"/>
  <c r="T68" i="36" s="1"/>
  <c r="S68" i="36" s="1"/>
  <c r="T69" i="36" s="1"/>
  <c r="S69" i="36" s="1"/>
  <c r="T70" i="36" s="1"/>
  <c r="S70" i="36" s="1"/>
  <c r="T71" i="36" s="1"/>
  <c r="S71" i="36" s="1"/>
  <c r="T72" i="36" s="1"/>
  <c r="S72" i="36" s="1"/>
  <c r="T73" i="36" s="1"/>
  <c r="S73" i="36" s="1"/>
  <c r="T74" i="36" s="1"/>
  <c r="S74" i="36" s="1"/>
  <c r="T75" i="36" s="1"/>
  <c r="S75" i="36" s="1"/>
  <c r="T76" i="36" s="1"/>
  <c r="S76" i="36" s="1"/>
  <c r="T77" i="36" s="1"/>
  <c r="S77" i="36" s="1"/>
  <c r="T78" i="36" s="1"/>
  <c r="S78" i="36" s="1"/>
  <c r="T79" i="36" s="1"/>
  <c r="S79" i="36" s="1"/>
  <c r="T80" i="36" s="1"/>
  <c r="S80" i="36" s="1"/>
  <c r="T81" i="36" s="1"/>
  <c r="S81" i="36" s="1"/>
  <c r="T82" i="36" s="1"/>
  <c r="S82" i="36" s="1"/>
  <c r="T83" i="36" s="1"/>
  <c r="S83" i="36" s="1"/>
  <c r="T84" i="36" s="1"/>
  <c r="S84" i="36" s="1"/>
  <c r="T85" i="36" s="1"/>
  <c r="S85" i="36" s="1"/>
  <c r="T86" i="36" s="1"/>
  <c r="S86" i="36" s="1"/>
  <c r="T87" i="36" s="1"/>
  <c r="S87" i="36" s="1"/>
  <c r="T88" i="36" s="1"/>
  <c r="S88" i="36" s="1"/>
  <c r="T89" i="36" s="1"/>
  <c r="S89" i="36" s="1"/>
  <c r="T90" i="36" s="1"/>
  <c r="S90" i="36" s="1"/>
  <c r="T91" i="36" s="1"/>
  <c r="S91" i="36" s="1"/>
  <c r="T92" i="36" s="1"/>
  <c r="S92" i="36" s="1"/>
  <c r="T93" i="36" s="1"/>
  <c r="S93" i="36" s="1"/>
  <c r="T94" i="36" s="1"/>
  <c r="S94" i="36" s="1"/>
  <c r="T95" i="36" s="1"/>
  <c r="S95" i="36" s="1"/>
  <c r="T96" i="36" s="1"/>
  <c r="S96" i="36" s="1"/>
  <c r="T97" i="36" s="1"/>
  <c r="S97" i="36" s="1"/>
  <c r="T98" i="36" s="1"/>
  <c r="S98" i="36" s="1"/>
  <c r="T99" i="36" s="1"/>
  <c r="S99" i="36" s="1"/>
  <c r="T100" i="36" s="1"/>
  <c r="S100" i="36" s="1"/>
  <c r="T101" i="36" s="1"/>
  <c r="S101" i="36" s="1"/>
  <c r="T102" i="36" s="1"/>
  <c r="S102" i="36" s="1"/>
  <c r="T103" i="36" s="1"/>
  <c r="S103" i="36" s="1"/>
  <c r="T104" i="36" s="1"/>
  <c r="S104" i="36" s="1"/>
  <c r="T105" i="36" s="1"/>
  <c r="S105" i="36" s="1"/>
  <c r="T106" i="36" s="1"/>
  <c r="S106" i="36" s="1"/>
  <c r="T107" i="36" s="1"/>
  <c r="S107" i="36" s="1"/>
  <c r="T108" i="36" s="1"/>
  <c r="S108" i="36" s="1"/>
  <c r="T109" i="36" s="1"/>
  <c r="S109" i="36" s="1"/>
  <c r="T110" i="36" s="1"/>
  <c r="S110" i="36" s="1"/>
  <c r="T111" i="36" s="1"/>
  <c r="S111" i="36" s="1"/>
  <c r="T112" i="36" s="1"/>
  <c r="S112" i="36" s="1"/>
  <c r="T113" i="36" s="1"/>
  <c r="S113" i="36" s="1"/>
  <c r="T114" i="36" s="1"/>
  <c r="S114" i="36" s="1"/>
  <c r="T115" i="36" s="1"/>
  <c r="S115" i="36" s="1"/>
  <c r="T116" i="36" s="1"/>
  <c r="S116" i="36" s="1"/>
  <c r="T117" i="36" s="1"/>
  <c r="S117" i="36" s="1"/>
  <c r="T118" i="36" s="1"/>
  <c r="S118" i="36" s="1"/>
  <c r="T119" i="36" s="1"/>
  <c r="S119" i="36" s="1"/>
  <c r="T120" i="36" s="1"/>
  <c r="S120" i="36" s="1"/>
  <c r="T121" i="36" s="1"/>
  <c r="S121" i="36" s="1"/>
  <c r="T122" i="36" s="1"/>
  <c r="S122" i="36" s="1"/>
  <c r="T123" i="36" s="1"/>
  <c r="S123" i="36" s="1"/>
  <c r="T124" i="36" s="1"/>
  <c r="S124" i="36" s="1"/>
  <c r="T125" i="36" s="1"/>
  <c r="S125" i="36" s="1"/>
  <c r="T126" i="36" s="1"/>
  <c r="S126" i="36" s="1"/>
  <c r="T127" i="36" s="1"/>
  <c r="S127" i="36" s="1"/>
  <c r="T128" i="36" s="1"/>
  <c r="S128" i="36" s="1"/>
  <c r="T129" i="36" s="1"/>
  <c r="S129" i="36" s="1"/>
  <c r="T130" i="36" s="1"/>
  <c r="S130" i="36" s="1"/>
  <c r="T131" i="36" s="1"/>
  <c r="S131" i="36" s="1"/>
  <c r="T132" i="36" s="1"/>
  <c r="S132" i="36" s="1"/>
  <c r="T133" i="36" s="1"/>
  <c r="S133" i="36" s="1"/>
  <c r="T134" i="36" s="1"/>
  <c r="S134" i="36" s="1"/>
  <c r="T135" i="36" s="1"/>
  <c r="S135" i="36" s="1"/>
  <c r="T136" i="36" s="1"/>
  <c r="S136" i="36" s="1"/>
  <c r="T137" i="36" s="1"/>
  <c r="S137" i="36" s="1"/>
  <c r="T138" i="36" s="1"/>
  <c r="S138" i="36" s="1"/>
  <c r="T139" i="36" s="1"/>
  <c r="S139" i="36" s="1"/>
  <c r="T140" i="36" s="1"/>
  <c r="S140" i="36" s="1"/>
  <c r="T141" i="36" s="1"/>
  <c r="S141" i="36" s="1"/>
  <c r="T142" i="36" s="1"/>
  <c r="S142" i="36" s="1"/>
  <c r="T143" i="36" s="1"/>
  <c r="S143" i="36" s="1"/>
  <c r="T144" i="36" s="1"/>
  <c r="S144" i="36" s="1"/>
  <c r="T145" i="36" s="1"/>
  <c r="S145" i="36" s="1"/>
  <c r="T146" i="36" s="1"/>
  <c r="S146" i="36" s="1"/>
  <c r="T147" i="36" s="1"/>
  <c r="S147" i="36" s="1"/>
  <c r="T148" i="36" s="1"/>
  <c r="S148" i="36" s="1"/>
  <c r="T149" i="36" s="1"/>
  <c r="S149" i="36" s="1"/>
  <c r="T150" i="36" s="1"/>
  <c r="S150" i="36" s="1"/>
  <c r="T151" i="36" s="1"/>
  <c r="S151" i="36" s="1"/>
  <c r="T152" i="36" s="1"/>
  <c r="S152" i="36" s="1"/>
  <c r="T153" i="36" s="1"/>
  <c r="S153" i="36" s="1"/>
  <c r="T154" i="36" s="1"/>
  <c r="S154" i="36" s="1"/>
  <c r="T155" i="36" s="1"/>
  <c r="S155" i="36" s="1"/>
  <c r="T156" i="36" s="1"/>
  <c r="S156" i="36" s="1"/>
  <c r="T157" i="36" s="1"/>
  <c r="S157" i="36" s="1"/>
  <c r="T158" i="36" s="1"/>
  <c r="S158" i="36" s="1"/>
  <c r="T159" i="36" s="1"/>
  <c r="S159" i="36" s="1"/>
  <c r="T160" i="36" s="1"/>
  <c r="S160" i="36" s="1"/>
  <c r="T161" i="36" s="1"/>
  <c r="S161" i="36" s="1"/>
  <c r="T162" i="36" s="1"/>
  <c r="S162" i="36" s="1"/>
  <c r="T163" i="36" s="1"/>
  <c r="S163" i="36" s="1"/>
  <c r="T164" i="36" s="1"/>
  <c r="S164" i="36" s="1"/>
  <c r="T165" i="36" s="1"/>
  <c r="S165" i="36" s="1"/>
  <c r="T166" i="36" s="1"/>
  <c r="S166" i="36" s="1"/>
  <c r="T167" i="36" s="1"/>
  <c r="S167" i="36" s="1"/>
  <c r="T168" i="36" s="1"/>
  <c r="S168" i="36" s="1"/>
  <c r="T169" i="36" s="1"/>
  <c r="S169" i="36" s="1"/>
  <c r="T170" i="36" s="1"/>
  <c r="S170" i="36" s="1"/>
  <c r="T171" i="36" s="1"/>
  <c r="S171" i="36" s="1"/>
  <c r="T172" i="36" s="1"/>
  <c r="S172" i="36" s="1"/>
  <c r="T173" i="36" s="1"/>
  <c r="S173" i="36" s="1"/>
  <c r="T174" i="36" s="1"/>
  <c r="S174" i="36" s="1"/>
  <c r="T175" i="36" s="1"/>
  <c r="S175" i="36" s="1"/>
  <c r="T176" i="36" s="1"/>
  <c r="S176" i="36" s="1"/>
  <c r="T177" i="36" s="1"/>
  <c r="S177" i="36" s="1"/>
  <c r="T178" i="36" s="1"/>
  <c r="S178" i="36" s="1"/>
  <c r="T179" i="36" s="1"/>
  <c r="S179" i="36" s="1"/>
  <c r="T180" i="36" s="1"/>
  <c r="S180" i="36" s="1"/>
  <c r="T181" i="36" s="1"/>
  <c r="S181" i="36" s="1"/>
  <c r="T182" i="36" s="1"/>
  <c r="S182" i="36" s="1"/>
  <c r="T183" i="36" s="1"/>
  <c r="S183" i="36" s="1"/>
  <c r="T184" i="36" s="1"/>
  <c r="S184" i="36" s="1"/>
  <c r="T185" i="36" s="1"/>
  <c r="S185" i="36" s="1"/>
  <c r="T186" i="36" s="1"/>
  <c r="S186" i="36" s="1"/>
  <c r="T187" i="36" s="1"/>
  <c r="S187" i="36" s="1"/>
  <c r="T188" i="36" s="1"/>
  <c r="S188" i="36" s="1"/>
  <c r="T189" i="36" s="1"/>
  <c r="S189" i="36" s="1"/>
  <c r="T190" i="36" s="1"/>
  <c r="S190" i="36" s="1"/>
  <c r="T191" i="36" s="1"/>
  <c r="S191" i="36" s="1"/>
  <c r="T192" i="36" s="1"/>
  <c r="S192" i="36" s="1"/>
  <c r="T193" i="36" s="1"/>
  <c r="S193" i="36" s="1"/>
  <c r="T194" i="36" s="1"/>
  <c r="S194" i="36" s="1"/>
  <c r="T195" i="36" s="1"/>
  <c r="S195" i="36" s="1"/>
  <c r="T196" i="36" s="1"/>
  <c r="S196" i="36" s="1"/>
  <c r="T197" i="36" s="1"/>
  <c r="S197" i="36" s="1"/>
  <c r="T198" i="36" s="1"/>
  <c r="S198" i="36" s="1"/>
  <c r="T199" i="36" s="1"/>
  <c r="S199" i="36" s="1"/>
  <c r="T200" i="36" s="1"/>
  <c r="S200" i="36" s="1"/>
  <c r="T201" i="36" s="1"/>
  <c r="S201" i="36" s="1"/>
  <c r="T202" i="36" s="1"/>
  <c r="S202" i="36" s="1"/>
  <c r="T203" i="36" s="1"/>
  <c r="S203" i="36" s="1"/>
  <c r="T204" i="36" s="1"/>
  <c r="S204" i="36" s="1"/>
  <c r="T205" i="36" s="1"/>
  <c r="S205" i="36" s="1"/>
  <c r="T206" i="36" s="1"/>
  <c r="S206" i="36" s="1"/>
  <c r="T207" i="36" s="1"/>
  <c r="S207" i="36" s="1"/>
  <c r="T208" i="36" s="1"/>
  <c r="S208" i="36" s="1"/>
  <c r="T209" i="36" s="1"/>
  <c r="S209" i="36" s="1"/>
  <c r="T210" i="36" s="1"/>
  <c r="S210" i="36" s="1"/>
  <c r="T211" i="36" s="1"/>
  <c r="S211" i="36" s="1"/>
  <c r="T212" i="36" s="1"/>
  <c r="S212" i="36" s="1"/>
  <c r="T213" i="36" s="1"/>
  <c r="S213" i="36" s="1"/>
  <c r="T214" i="36" s="1"/>
  <c r="S214" i="36" s="1"/>
  <c r="T215" i="36" s="1"/>
  <c r="S215" i="36" s="1"/>
  <c r="T216" i="36" s="1"/>
  <c r="S216" i="36" s="1"/>
  <c r="T217" i="36" s="1"/>
  <c r="S217" i="36" s="1"/>
  <c r="T218" i="36" s="1"/>
  <c r="S218" i="36" s="1"/>
  <c r="T219" i="36" s="1"/>
  <c r="S219" i="36" s="1"/>
  <c r="T220" i="36" s="1"/>
  <c r="S220" i="36" s="1"/>
  <c r="T221" i="36" s="1"/>
  <c r="S221" i="36" s="1"/>
  <c r="T222" i="36" s="1"/>
  <c r="S222" i="36" s="1"/>
  <c r="T223" i="36" s="1"/>
  <c r="S223" i="36" s="1"/>
  <c r="T224" i="36" s="1"/>
  <c r="S224" i="36" s="1"/>
  <c r="T225" i="36" s="1"/>
  <c r="S225" i="36" s="1"/>
  <c r="T226" i="36" s="1"/>
  <c r="S226" i="36" s="1"/>
  <c r="T227" i="36" s="1"/>
  <c r="S227" i="36" s="1"/>
  <c r="T228" i="36" s="1"/>
  <c r="S228" i="36" s="1"/>
  <c r="T229" i="36" s="1"/>
  <c r="S229" i="36" s="1"/>
  <c r="T230" i="36" s="1"/>
  <c r="S230" i="36" s="1"/>
  <c r="T231" i="36" s="1"/>
  <c r="S231" i="36" s="1"/>
  <c r="T232" i="36" s="1"/>
  <c r="S232" i="36" s="1"/>
  <c r="T233" i="36" s="1"/>
  <c r="S233" i="36" s="1"/>
  <c r="T234" i="36" s="1"/>
  <c r="S234" i="36" s="1"/>
  <c r="T235" i="36" s="1"/>
  <c r="S235" i="36" s="1"/>
  <c r="T236" i="36" s="1"/>
  <c r="S236" i="36" s="1"/>
  <c r="T237" i="36" s="1"/>
  <c r="S237" i="36" s="1"/>
  <c r="T238" i="36" s="1"/>
  <c r="S238" i="36" s="1"/>
  <c r="T239" i="36" s="1"/>
  <c r="S239" i="36" s="1"/>
  <c r="T240" i="36" s="1"/>
  <c r="S240" i="36" s="1"/>
  <c r="T241" i="36" s="1"/>
  <c r="S241" i="36" s="1"/>
  <c r="T242" i="36" s="1"/>
  <c r="S242" i="36" s="1"/>
  <c r="T243" i="36" s="1"/>
  <c r="S243" i="36" s="1"/>
  <c r="T244" i="36" s="1"/>
  <c r="S244" i="36" s="1"/>
  <c r="T245" i="36" s="1"/>
  <c r="S245" i="36" s="1"/>
  <c r="T246" i="36" s="1"/>
  <c r="S246" i="36" s="1"/>
  <c r="T247" i="36" s="1"/>
  <c r="S247" i="36" s="1"/>
  <c r="T248" i="36" s="1"/>
  <c r="S248" i="36" s="1"/>
  <c r="T249" i="36" s="1"/>
  <c r="S249" i="36" s="1"/>
  <c r="T250" i="36" s="1"/>
  <c r="S250" i="36" s="1"/>
  <c r="T251" i="36" s="1"/>
  <c r="S251" i="36" s="1"/>
  <c r="T252" i="36" s="1"/>
  <c r="S252" i="36" s="1"/>
  <c r="T253" i="36" s="1"/>
  <c r="S253" i="36" s="1"/>
  <c r="T254" i="36" s="1"/>
  <c r="S254" i="36" s="1"/>
  <c r="T255" i="36" s="1"/>
  <c r="S255" i="36" s="1"/>
  <c r="T256" i="36" s="1"/>
  <c r="S256" i="36" s="1"/>
  <c r="T257" i="36" s="1"/>
  <c r="S257" i="36" s="1"/>
  <c r="T258" i="36" s="1"/>
  <c r="S258" i="36" s="1"/>
  <c r="T259" i="36" s="1"/>
  <c r="S259" i="36" s="1"/>
  <c r="T260" i="36" s="1"/>
  <c r="S260" i="36" s="1"/>
  <c r="T261" i="36" s="1"/>
  <c r="S261" i="36" s="1"/>
  <c r="T262" i="36" s="1"/>
  <c r="S262" i="36" s="1"/>
  <c r="T263" i="36" s="1"/>
  <c r="S263" i="36" s="1"/>
  <c r="T264" i="36" s="1"/>
  <c r="S264" i="36" s="1"/>
  <c r="T265" i="36" s="1"/>
  <c r="S265" i="36" s="1"/>
  <c r="T266" i="36" s="1"/>
  <c r="S266" i="36" s="1"/>
  <c r="T267" i="36" s="1"/>
  <c r="S267" i="36" s="1"/>
  <c r="T268" i="36" s="1"/>
  <c r="S268" i="36" s="1"/>
  <c r="T269" i="36" s="1"/>
  <c r="S269" i="36" s="1"/>
  <c r="T270" i="36" s="1"/>
  <c r="S270" i="36" s="1"/>
  <c r="T271" i="36" s="1"/>
  <c r="S271" i="36" s="1"/>
  <c r="T272" i="36" s="1"/>
  <c r="S272" i="36" s="1"/>
  <c r="T273" i="36" s="1"/>
  <c r="S273" i="36" s="1"/>
  <c r="T274" i="36" s="1"/>
  <c r="S274" i="36" s="1"/>
  <c r="T275" i="36" s="1"/>
  <c r="S275" i="36" s="1"/>
  <c r="T276" i="36" s="1"/>
  <c r="S276" i="36" s="1"/>
  <c r="T277" i="36" s="1"/>
  <c r="S277" i="36" s="1"/>
  <c r="T278" i="36" s="1"/>
  <c r="S278" i="36" s="1"/>
  <c r="T279" i="36" s="1"/>
  <c r="S279" i="36" s="1"/>
  <c r="T280" i="36" s="1"/>
  <c r="S280" i="36" s="1"/>
  <c r="T281" i="36" s="1"/>
  <c r="S281" i="36" s="1"/>
  <c r="T282" i="36" s="1"/>
  <c r="S282" i="36" s="1"/>
  <c r="T283" i="36" s="1"/>
  <c r="S283" i="36" s="1"/>
  <c r="T284" i="36" s="1"/>
  <c r="S284" i="36" s="1"/>
  <c r="T285" i="36" s="1"/>
  <c r="S285" i="36" s="1"/>
  <c r="T286" i="36" s="1"/>
  <c r="S286" i="36" s="1"/>
  <c r="T287" i="36" s="1"/>
  <c r="S287" i="36" s="1"/>
  <c r="T288" i="36" s="1"/>
  <c r="S288" i="36" s="1"/>
  <c r="T289" i="36" s="1"/>
  <c r="S289" i="36" s="1"/>
  <c r="T290" i="36" s="1"/>
  <c r="S290" i="36" s="1"/>
  <c r="T291" i="36" s="1"/>
  <c r="S291" i="36" s="1"/>
  <c r="T292" i="36" s="1"/>
  <c r="S292" i="36" s="1"/>
  <c r="T293" i="36" s="1"/>
  <c r="S293" i="36" s="1"/>
  <c r="T294" i="36" s="1"/>
  <c r="S294" i="36" s="1"/>
  <c r="T295" i="36" s="1"/>
  <c r="S295" i="36" s="1"/>
  <c r="T296" i="36" s="1"/>
  <c r="S296" i="36" s="1"/>
  <c r="T297" i="36" s="1"/>
  <c r="S297" i="36" s="1"/>
  <c r="T298" i="36" s="1"/>
  <c r="S298" i="36" s="1"/>
  <c r="T299" i="36" s="1"/>
  <c r="S299" i="36" s="1"/>
  <c r="T300" i="36" s="1"/>
  <c r="S300" i="36" s="1"/>
  <c r="T301" i="36" s="1"/>
  <c r="S301" i="36" s="1"/>
  <c r="T302" i="36" s="1"/>
  <c r="S302" i="36" s="1"/>
  <c r="T303" i="36" s="1"/>
  <c r="S303" i="36" s="1"/>
  <c r="T304" i="36" s="1"/>
  <c r="S304" i="36" s="1"/>
  <c r="T305" i="36" s="1"/>
  <c r="S305" i="36" s="1"/>
  <c r="T306" i="36" s="1"/>
  <c r="S306" i="36" s="1"/>
  <c r="T307" i="36" s="1"/>
  <c r="S307" i="36" s="1"/>
  <c r="T308" i="36" s="1"/>
  <c r="S308" i="36" s="1"/>
  <c r="T309" i="36" s="1"/>
  <c r="S309" i="36" s="1"/>
  <c r="T310" i="36" s="1"/>
  <c r="S310" i="36" s="1"/>
  <c r="T311" i="36" s="1"/>
  <c r="S311" i="36" s="1"/>
  <c r="T312" i="36" s="1"/>
  <c r="S312" i="36" s="1"/>
  <c r="T313" i="36" s="1"/>
  <c r="S313" i="36" s="1"/>
  <c r="T314" i="36" s="1"/>
  <c r="S314" i="36" s="1"/>
  <c r="T315" i="36" s="1"/>
  <c r="S315" i="36" s="1"/>
  <c r="T316" i="36" s="1"/>
  <c r="S316" i="36" s="1"/>
  <c r="T317" i="36" s="1"/>
  <c r="S317" i="36" s="1"/>
  <c r="T318" i="36" s="1"/>
  <c r="S318" i="36" s="1"/>
  <c r="T319" i="36" s="1"/>
  <c r="S319" i="36" s="1"/>
  <c r="T320" i="36" s="1"/>
  <c r="S320" i="36" s="1"/>
  <c r="T321" i="36" s="1"/>
  <c r="S321" i="36" s="1"/>
  <c r="T322" i="36" s="1"/>
  <c r="S322" i="36" s="1"/>
  <c r="T323" i="36" s="1"/>
  <c r="S323" i="36" s="1"/>
  <c r="T324" i="36" s="1"/>
  <c r="S324" i="36" s="1"/>
  <c r="T325" i="36" s="1"/>
  <c r="S325" i="36" s="1"/>
  <c r="T326" i="36" s="1"/>
  <c r="S326" i="36" s="1"/>
  <c r="T327" i="36" s="1"/>
  <c r="S327" i="36" s="1"/>
  <c r="T328" i="36" s="1"/>
  <c r="S328" i="36" s="1"/>
  <c r="T329" i="36" s="1"/>
  <c r="S329" i="36" s="1"/>
  <c r="T330" i="36" s="1"/>
  <c r="S330" i="36" s="1"/>
  <c r="T331" i="36" s="1"/>
  <c r="S331" i="36" s="1"/>
  <c r="T332" i="36" s="1"/>
  <c r="S332" i="36" s="1"/>
  <c r="T333" i="36" s="1"/>
  <c r="S333" i="36" s="1"/>
  <c r="T334" i="36" s="1"/>
  <c r="S334" i="36" s="1"/>
  <c r="T335" i="36" s="1"/>
  <c r="S335" i="36" s="1"/>
  <c r="T336" i="36" s="1"/>
  <c r="S336" i="36" s="1"/>
  <c r="T337" i="36" s="1"/>
  <c r="S337" i="36" s="1"/>
  <c r="T338" i="36" s="1"/>
  <c r="S338" i="36" s="1"/>
  <c r="T339" i="36" s="1"/>
  <c r="S339" i="36" s="1"/>
  <c r="T340" i="36" s="1"/>
  <c r="S340" i="36" s="1"/>
  <c r="T341" i="36" s="1"/>
  <c r="S341" i="36" s="1"/>
  <c r="T342" i="36" s="1"/>
  <c r="S342" i="36" s="1"/>
  <c r="T343" i="36" s="1"/>
  <c r="S343" i="36" s="1"/>
  <c r="T344" i="36" s="1"/>
  <c r="S344" i="36" s="1"/>
  <c r="T345" i="36" s="1"/>
  <c r="S345" i="36" s="1"/>
  <c r="T346" i="36" s="1"/>
  <c r="S346" i="36" s="1"/>
  <c r="T347" i="36" s="1"/>
  <c r="S347" i="36" s="1"/>
  <c r="T348" i="36" s="1"/>
  <c r="S348" i="36" s="1"/>
  <c r="T349" i="36" s="1"/>
  <c r="S349" i="36" s="1"/>
  <c r="T350" i="36" s="1"/>
  <c r="S350" i="36" s="1"/>
  <c r="T351" i="36" s="1"/>
  <c r="S351" i="36" s="1"/>
  <c r="T352" i="36" s="1"/>
  <c r="S352" i="36" s="1"/>
  <c r="T353" i="36" s="1"/>
  <c r="S353" i="36" s="1"/>
  <c r="T354" i="36" s="1"/>
  <c r="S354" i="36" s="1"/>
  <c r="T355" i="36" s="1"/>
  <c r="S355" i="36" s="1"/>
  <c r="T356" i="36" s="1"/>
  <c r="S356" i="36" s="1"/>
  <c r="T357" i="36" s="1"/>
  <c r="S357" i="36" s="1"/>
  <c r="T358" i="36" s="1"/>
  <c r="S358" i="36" s="1"/>
  <c r="T359" i="36" s="1"/>
  <c r="S359" i="36" s="1"/>
  <c r="T360" i="36" s="1"/>
  <c r="S360" i="36" s="1"/>
  <c r="T361" i="36" s="1"/>
  <c r="S361" i="36" s="1"/>
  <c r="T362" i="36" s="1"/>
  <c r="S362" i="36" s="1"/>
  <c r="T363" i="36" s="1"/>
  <c r="S363" i="36" s="1"/>
  <c r="T364" i="36" s="1"/>
  <c r="S364" i="36" s="1"/>
  <c r="T365" i="36" s="1"/>
  <c r="S365" i="36" s="1"/>
  <c r="T366" i="36" s="1"/>
  <c r="S366" i="36" s="1"/>
  <c r="T367" i="36" s="1"/>
  <c r="S367" i="36" s="1"/>
  <c r="T368" i="36" s="1"/>
  <c r="S368" i="36" s="1"/>
  <c r="T369" i="36" s="1"/>
  <c r="S369" i="36" s="1"/>
  <c r="T370" i="36" s="1"/>
  <c r="S370" i="36" s="1"/>
  <c r="T371" i="36" s="1"/>
  <c r="S371" i="36" s="1"/>
  <c r="T372" i="36" s="1"/>
  <c r="S372" i="36" s="1"/>
  <c r="T373" i="36" s="1"/>
  <c r="S373" i="36" s="1"/>
  <c r="T374" i="36" s="1"/>
  <c r="S374" i="36" s="1"/>
  <c r="T375" i="36" s="1"/>
  <c r="S375" i="36" s="1"/>
  <c r="T376" i="36" s="1"/>
  <c r="S376" i="36" s="1"/>
  <c r="T377" i="36" s="1"/>
  <c r="S377" i="36" s="1"/>
  <c r="T378" i="36" s="1"/>
  <c r="S378" i="36" s="1"/>
  <c r="T379" i="36" s="1"/>
  <c r="S379" i="36" s="1"/>
  <c r="T380" i="36" s="1"/>
  <c r="S380" i="36" s="1"/>
  <c r="T381" i="36" s="1"/>
  <c r="S381" i="36" s="1"/>
  <c r="T382" i="36" s="1"/>
  <c r="S382" i="36" s="1"/>
  <c r="T383" i="36" s="1"/>
  <c r="S383" i="36" s="1"/>
  <c r="T384" i="36" s="1"/>
  <c r="S384" i="36" s="1"/>
  <c r="T385" i="36" s="1"/>
  <c r="S385" i="36" s="1"/>
  <c r="T386" i="36" s="1"/>
  <c r="S386" i="36" s="1"/>
  <c r="T387" i="36" s="1"/>
  <c r="S387" i="36" s="1"/>
  <c r="T388" i="36" s="1"/>
  <c r="S388" i="36" s="1"/>
  <c r="T389" i="36" s="1"/>
  <c r="S389" i="36" s="1"/>
  <c r="T390" i="36" s="1"/>
  <c r="S390" i="36" s="1"/>
  <c r="T391" i="36" s="1"/>
  <c r="S391" i="36" s="1"/>
  <c r="T392" i="36" s="1"/>
  <c r="S392" i="36" s="1"/>
  <c r="T393" i="36" s="1"/>
  <c r="S393" i="36" s="1"/>
  <c r="T394" i="36" s="1"/>
  <c r="S394" i="36" s="1"/>
  <c r="T395" i="36" s="1"/>
  <c r="S395" i="36" s="1"/>
  <c r="T396" i="36" s="1"/>
  <c r="S396" i="36" s="1"/>
  <c r="T397" i="36" s="1"/>
  <c r="S397" i="36" s="1"/>
  <c r="T398" i="36" s="1"/>
  <c r="S398" i="36" s="1"/>
  <c r="T399" i="36" s="1"/>
  <c r="S399" i="36" s="1"/>
  <c r="T400" i="36" s="1"/>
  <c r="S400" i="36" s="1"/>
  <c r="T401" i="36" s="1"/>
  <c r="S401" i="36" s="1"/>
  <c r="T402" i="36" s="1"/>
  <c r="S402" i="36" s="1"/>
  <c r="T403" i="36" s="1"/>
  <c r="S403" i="36" s="1"/>
  <c r="T404" i="36" s="1"/>
  <c r="S404" i="36" s="1"/>
  <c r="T405" i="36" s="1"/>
  <c r="S405" i="36" s="1"/>
  <c r="T406" i="36" s="1"/>
  <c r="S406" i="36" s="1"/>
  <c r="T407" i="36" s="1"/>
  <c r="S407" i="36" s="1"/>
  <c r="T408" i="36" s="1"/>
  <c r="S408" i="36" s="1"/>
  <c r="T409" i="36" s="1"/>
  <c r="S409" i="36" s="1"/>
  <c r="T410" i="36" s="1"/>
  <c r="S410" i="36" s="1"/>
  <c r="T411" i="36" s="1"/>
  <c r="S411" i="36" s="1"/>
  <c r="T412" i="36" s="1"/>
  <c r="S412" i="36" s="1"/>
  <c r="T413" i="36" s="1"/>
  <c r="S413" i="36" s="1"/>
  <c r="T414" i="36" s="1"/>
  <c r="S414" i="36" s="1"/>
  <c r="T415" i="36" s="1"/>
  <c r="S415" i="36" s="1"/>
  <c r="T416" i="36" s="1"/>
  <c r="S416" i="36" s="1"/>
  <c r="T417" i="36" s="1"/>
  <c r="S417" i="36" s="1"/>
  <c r="T418" i="36" s="1"/>
  <c r="S418" i="36" s="1"/>
  <c r="T419" i="36" s="1"/>
  <c r="S419" i="36" s="1"/>
  <c r="T420" i="36" s="1"/>
  <c r="S420" i="36" s="1"/>
  <c r="T421" i="36" s="1"/>
  <c r="S421" i="36" s="1"/>
  <c r="T422" i="36" s="1"/>
  <c r="S422" i="36" s="1"/>
  <c r="T423" i="36" s="1"/>
  <c r="S423" i="36" s="1"/>
  <c r="T424" i="36" s="1"/>
  <c r="S424" i="36" s="1"/>
  <c r="T425" i="36" s="1"/>
  <c r="S425" i="36" s="1"/>
  <c r="T426" i="36" s="1"/>
  <c r="S426" i="36" s="1"/>
  <c r="T427" i="36" s="1"/>
  <c r="S427" i="36" s="1"/>
  <c r="T428" i="36" s="1"/>
  <c r="S428" i="36" s="1"/>
  <c r="T429" i="36" s="1"/>
  <c r="S429" i="36" s="1"/>
  <c r="T430" i="36" s="1"/>
  <c r="S430" i="36" s="1"/>
  <c r="T431" i="36" s="1"/>
  <c r="S431" i="36" s="1"/>
  <c r="T432" i="36" s="1"/>
  <c r="S432" i="36" s="1"/>
  <c r="T433" i="36" s="1"/>
  <c r="S433" i="36" s="1"/>
  <c r="T434" i="36" s="1"/>
  <c r="S434" i="36" s="1"/>
  <c r="T435" i="36" s="1"/>
  <c r="S435" i="36" s="1"/>
  <c r="T436" i="36" s="1"/>
  <c r="S436" i="36" s="1"/>
  <c r="T437" i="36" s="1"/>
  <c r="S437" i="36" s="1"/>
  <c r="T438" i="36" s="1"/>
  <c r="S438" i="36" s="1"/>
  <c r="T439" i="36" s="1"/>
  <c r="S439" i="36" s="1"/>
  <c r="T440" i="36" s="1"/>
  <c r="S440" i="36" s="1"/>
  <c r="T441" i="36" s="1"/>
  <c r="S441" i="36" s="1"/>
  <c r="T442" i="36" s="1"/>
  <c r="S442" i="36" s="1"/>
  <c r="T443" i="36" s="1"/>
  <c r="S443" i="36" s="1"/>
  <c r="T444" i="36" s="1"/>
  <c r="S444" i="36" s="1"/>
  <c r="T445" i="36" s="1"/>
  <c r="S445" i="36" s="1"/>
  <c r="T446" i="36" s="1"/>
  <c r="S446" i="36" s="1"/>
  <c r="T447" i="36" s="1"/>
  <c r="S447" i="36" s="1"/>
  <c r="T448" i="36" s="1"/>
  <c r="S448" i="36" s="1"/>
  <c r="T449" i="36" s="1"/>
  <c r="S449" i="36" s="1"/>
  <c r="T450" i="36" s="1"/>
  <c r="S450" i="36" s="1"/>
  <c r="T451" i="36" s="1"/>
  <c r="S451" i="36" s="1"/>
  <c r="T452" i="36" s="1"/>
  <c r="S452" i="36" s="1"/>
  <c r="T453" i="36" s="1"/>
  <c r="S453" i="36" s="1"/>
  <c r="T454" i="36" s="1"/>
  <c r="S454" i="36" s="1"/>
  <c r="T455" i="36" s="1"/>
  <c r="S455" i="36" s="1"/>
  <c r="T456" i="36" s="1"/>
  <c r="S456" i="36" s="1"/>
  <c r="T457" i="36" s="1"/>
  <c r="S457" i="36" s="1"/>
  <c r="T458" i="36" s="1"/>
  <c r="S458" i="36" s="1"/>
  <c r="T459" i="36" s="1"/>
  <c r="S459" i="36" s="1"/>
  <c r="T460" i="36" s="1"/>
  <c r="S460" i="36" s="1"/>
  <c r="T461" i="36" s="1"/>
  <c r="S461" i="36" s="1"/>
  <c r="T462" i="36" s="1"/>
  <c r="S462" i="36" s="1"/>
  <c r="T463" i="36" s="1"/>
  <c r="S463" i="36" s="1"/>
  <c r="T464" i="36" s="1"/>
  <c r="S464" i="36" s="1"/>
  <c r="T465" i="36" s="1"/>
  <c r="S465" i="36" s="1"/>
  <c r="T466" i="36" s="1"/>
  <c r="S466" i="36" s="1"/>
  <c r="T467" i="36" s="1"/>
  <c r="S467" i="36" s="1"/>
  <c r="T468" i="36" s="1"/>
  <c r="S468" i="36" s="1"/>
  <c r="T469" i="36" s="1"/>
  <c r="S469" i="36" s="1"/>
  <c r="T470" i="36" s="1"/>
  <c r="S470" i="36" s="1"/>
  <c r="T471" i="36" s="1"/>
  <c r="S471" i="36" s="1"/>
  <c r="T472" i="36" s="1"/>
  <c r="S472" i="36" s="1"/>
  <c r="T473" i="36" s="1"/>
  <c r="S473" i="36" s="1"/>
  <c r="T474" i="36" s="1"/>
  <c r="S474" i="36" s="1"/>
  <c r="T475" i="36" s="1"/>
  <c r="S475" i="36" s="1"/>
  <c r="T476" i="36" s="1"/>
  <c r="S476" i="36" s="1"/>
  <c r="T477" i="36" s="1"/>
  <c r="S477" i="36" s="1"/>
  <c r="T478" i="36" s="1"/>
  <c r="S478" i="36" s="1"/>
  <c r="T479" i="36" s="1"/>
  <c r="S479" i="36" s="1"/>
  <c r="T480" i="36" s="1"/>
  <c r="S480" i="36" s="1"/>
  <c r="T481" i="36" s="1"/>
  <c r="S481" i="36" s="1"/>
  <c r="T482" i="36" s="1"/>
  <c r="S482" i="36" s="1"/>
  <c r="T483" i="36" s="1"/>
  <c r="S483" i="36" s="1"/>
  <c r="T484" i="36" s="1"/>
  <c r="S484" i="36" s="1"/>
  <c r="T485" i="36" s="1"/>
  <c r="S485" i="36" s="1"/>
  <c r="T486" i="36" s="1"/>
  <c r="S486" i="36" s="1"/>
  <c r="T487" i="36" s="1"/>
  <c r="S487" i="36" s="1"/>
  <c r="T488" i="36" s="1"/>
  <c r="S488" i="36" s="1"/>
  <c r="T489" i="36" s="1"/>
  <c r="S489" i="36" s="1"/>
  <c r="T490" i="36" s="1"/>
  <c r="S490" i="36" s="1"/>
  <c r="T491" i="36" s="1"/>
  <c r="S491" i="36" s="1"/>
  <c r="T492" i="36" s="1"/>
  <c r="S492" i="36" s="1"/>
  <c r="T493" i="36" s="1"/>
  <c r="S493" i="36" s="1"/>
  <c r="T494" i="36" s="1"/>
  <c r="S494" i="36" s="1"/>
  <c r="T495" i="36" s="1"/>
  <c r="S495" i="36" s="1"/>
  <c r="T496" i="36" s="1"/>
  <c r="S496" i="36" s="1"/>
  <c r="T497" i="36" s="1"/>
  <c r="S497" i="36" s="1"/>
  <c r="T498" i="36" s="1"/>
  <c r="S498" i="36" s="1"/>
  <c r="T499" i="36" s="1"/>
  <c r="S499" i="36" s="1"/>
  <c r="T500" i="36" s="1"/>
  <c r="S500" i="36" s="1"/>
  <c r="T501" i="36" s="1"/>
  <c r="S501" i="36" s="1"/>
  <c r="T502" i="36" s="1"/>
  <c r="S502" i="36" s="1"/>
  <c r="T503" i="36" s="1"/>
  <c r="S503" i="36" s="1"/>
  <c r="T504" i="36" s="1"/>
  <c r="S504" i="36" s="1"/>
  <c r="T505" i="36" s="1"/>
  <c r="S505" i="36" s="1"/>
  <c r="T506" i="36" s="1"/>
  <c r="S506" i="36" s="1"/>
  <c r="T507" i="36" s="1"/>
  <c r="S507" i="36" s="1"/>
  <c r="T508" i="36" s="1"/>
  <c r="S508" i="36" s="1"/>
  <c r="T509" i="36" s="1"/>
  <c r="S509" i="36" s="1"/>
  <c r="T510" i="36" s="1"/>
  <c r="S510" i="36" s="1"/>
  <c r="T511" i="36" s="1"/>
  <c r="S511" i="36" s="1"/>
  <c r="T512" i="36" s="1"/>
  <c r="S512" i="36" s="1"/>
  <c r="T513" i="36" s="1"/>
  <c r="S513" i="36" s="1"/>
  <c r="T514" i="36" s="1"/>
  <c r="S514" i="36" s="1"/>
  <c r="T515" i="36" s="1"/>
  <c r="S515" i="36" s="1"/>
  <c r="T516" i="36" s="1"/>
  <c r="S516" i="36" s="1"/>
  <c r="T517" i="36" s="1"/>
  <c r="S517" i="36" s="1"/>
  <c r="T518" i="36" s="1"/>
  <c r="S518" i="36" s="1"/>
  <c r="T519" i="36" s="1"/>
  <c r="S519" i="36" s="1"/>
  <c r="T520" i="36" s="1"/>
  <c r="S520" i="36" s="1"/>
  <c r="T521" i="36" s="1"/>
  <c r="S521" i="36" s="1"/>
  <c r="T522" i="36" s="1"/>
  <c r="S522" i="36" s="1"/>
  <c r="T523" i="36" s="1"/>
  <c r="S523" i="36" s="1"/>
  <c r="T524" i="36" s="1"/>
  <c r="S524" i="36" s="1"/>
  <c r="T525" i="36" s="1"/>
  <c r="S525" i="36" s="1"/>
  <c r="T526" i="36" s="1"/>
  <c r="S526" i="36" s="1"/>
  <c r="T527" i="36" s="1"/>
  <c r="S527" i="36" s="1"/>
  <c r="T528" i="36" s="1"/>
  <c r="S528" i="36" s="1"/>
  <c r="T529" i="36" s="1"/>
  <c r="S529" i="36" s="1"/>
  <c r="T530" i="36" s="1"/>
  <c r="S530" i="36" s="1"/>
  <c r="T531" i="36" s="1"/>
  <c r="S531" i="36" s="1"/>
  <c r="T532" i="36" s="1"/>
  <c r="S532" i="36" s="1"/>
  <c r="T533" i="36" s="1"/>
  <c r="S533" i="36" s="1"/>
  <c r="T534" i="36" s="1"/>
  <c r="S534" i="36" s="1"/>
  <c r="T535" i="36" s="1"/>
  <c r="S535" i="36" s="1"/>
  <c r="T536" i="36" s="1"/>
  <c r="S536" i="36" s="1"/>
  <c r="T537" i="36" s="1"/>
  <c r="S537" i="36" s="1"/>
  <c r="T538" i="36" s="1"/>
  <c r="S538" i="36" s="1"/>
  <c r="T539" i="36" s="1"/>
  <c r="S539" i="36" s="1"/>
  <c r="T540" i="36" s="1"/>
  <c r="S540" i="36" s="1"/>
  <c r="T541" i="36" s="1"/>
  <c r="S541" i="36" s="1"/>
  <c r="T542" i="36" s="1"/>
  <c r="S542" i="36" s="1"/>
  <c r="T543" i="36" s="1"/>
  <c r="S543" i="36" s="1"/>
  <c r="T544" i="36" s="1"/>
  <c r="S544" i="36" s="1"/>
  <c r="T545" i="36" s="1"/>
  <c r="S545" i="36" s="1"/>
  <c r="T546" i="36" s="1"/>
  <c r="S546" i="36" s="1"/>
  <c r="T547" i="36" s="1"/>
  <c r="S547" i="36" s="1"/>
  <c r="T548" i="36" s="1"/>
  <c r="S548" i="36" s="1"/>
  <c r="T549" i="36" s="1"/>
  <c r="S549" i="36" s="1"/>
  <c r="T550" i="36" s="1"/>
  <c r="S550" i="36" s="1"/>
  <c r="T551" i="36" s="1"/>
  <c r="S551" i="36" s="1"/>
  <c r="T552" i="36" s="1"/>
  <c r="S552" i="36" s="1"/>
  <c r="T553" i="36" s="1"/>
  <c r="S553" i="36" s="1"/>
  <c r="T554" i="36" s="1"/>
  <c r="S554" i="36" s="1"/>
  <c r="T555" i="36" s="1"/>
  <c r="S555" i="36" s="1"/>
  <c r="T556" i="36" s="1"/>
  <c r="S556" i="36" s="1"/>
  <c r="T557" i="36" s="1"/>
  <c r="S557" i="36" s="1"/>
  <c r="T558" i="36" s="1"/>
  <c r="S558" i="36" s="1"/>
  <c r="T559" i="36" s="1"/>
  <c r="S559" i="36" s="1"/>
  <c r="T560" i="36" s="1"/>
  <c r="S560" i="36" s="1"/>
  <c r="T561" i="36" s="1"/>
  <c r="S561" i="36" s="1"/>
  <c r="T562" i="36" s="1"/>
  <c r="S562" i="36" s="1"/>
  <c r="T563" i="36" s="1"/>
  <c r="S563" i="36" s="1"/>
  <c r="T564" i="36" s="1"/>
  <c r="S564" i="36" s="1"/>
  <c r="T565" i="36" s="1"/>
  <c r="S565" i="36" s="1"/>
  <c r="T566" i="36" s="1"/>
  <c r="S566" i="36" s="1"/>
  <c r="T567" i="36" s="1"/>
  <c r="S567" i="36" s="1"/>
  <c r="T568" i="36" s="1"/>
  <c r="S568" i="36" s="1"/>
  <c r="T569" i="36" s="1"/>
  <c r="S569" i="36" s="1"/>
  <c r="T570" i="36" s="1"/>
  <c r="S570" i="36" s="1"/>
  <c r="T571" i="36" s="1"/>
  <c r="S571" i="36" s="1"/>
  <c r="T572" i="36" s="1"/>
  <c r="S572" i="36" s="1"/>
  <c r="T573" i="36" s="1"/>
  <c r="S573" i="36" s="1"/>
  <c r="T574" i="36" s="1"/>
  <c r="S574" i="36" s="1"/>
  <c r="T575" i="36" s="1"/>
  <c r="S575" i="36" s="1"/>
  <c r="T576" i="36" s="1"/>
  <c r="S576" i="36" s="1"/>
  <c r="T577" i="36" s="1"/>
  <c r="S577" i="36" s="1"/>
  <c r="T578" i="36" s="1"/>
  <c r="S578" i="36" s="1"/>
  <c r="T579" i="36" s="1"/>
  <c r="S579" i="36" s="1"/>
  <c r="T580" i="36" s="1"/>
  <c r="S580" i="36" s="1"/>
  <c r="T581" i="36" s="1"/>
  <c r="S581" i="36" s="1"/>
  <c r="T582" i="36" s="1"/>
  <c r="S582" i="36" s="1"/>
  <c r="T583" i="36" s="1"/>
  <c r="S583" i="36" s="1"/>
  <c r="T584" i="36" s="1"/>
  <c r="S584" i="36" s="1"/>
  <c r="T585" i="36" s="1"/>
  <c r="S585" i="36" s="1"/>
  <c r="T586" i="36" s="1"/>
  <c r="S586" i="36" s="1"/>
  <c r="T587" i="36" s="1"/>
  <c r="S587" i="36" s="1"/>
  <c r="T588" i="36" s="1"/>
  <c r="S588" i="36" s="1"/>
  <c r="T589" i="36" s="1"/>
  <c r="S589" i="36" s="1"/>
  <c r="T590" i="36" s="1"/>
  <c r="S590" i="36" s="1"/>
  <c r="T591" i="36" s="1"/>
  <c r="S591" i="36" s="1"/>
  <c r="T592" i="36" s="1"/>
  <c r="S592" i="36" s="1"/>
  <c r="T593" i="36" s="1"/>
  <c r="S593" i="36" s="1"/>
  <c r="T594" i="36" s="1"/>
  <c r="S594" i="36" s="1"/>
  <c r="T595" i="36" s="1"/>
  <c r="S595" i="36" s="1"/>
  <c r="T596" i="36" s="1"/>
  <c r="S596" i="36" s="1"/>
  <c r="T597" i="36" s="1"/>
  <c r="S597" i="36" s="1"/>
  <c r="T598" i="36" s="1"/>
  <c r="S598" i="36" s="1"/>
  <c r="T599" i="36" s="1"/>
  <c r="S599" i="36" s="1"/>
  <c r="T600" i="36" s="1"/>
  <c r="S600" i="36" s="1"/>
  <c r="T601" i="36" s="1"/>
  <c r="S601" i="36" s="1"/>
  <c r="T602" i="36" s="1"/>
  <c r="S602" i="36" s="1"/>
  <c r="T603" i="36" s="1"/>
  <c r="S603" i="36" s="1"/>
  <c r="T604" i="36" s="1"/>
  <c r="S604" i="36" s="1"/>
  <c r="T605" i="36" s="1"/>
  <c r="S605" i="36" s="1"/>
  <c r="T606" i="36" s="1"/>
  <c r="S606" i="36" s="1"/>
  <c r="T607" i="36" s="1"/>
  <c r="S607" i="36" s="1"/>
  <c r="T608" i="36" s="1"/>
  <c r="S608" i="36" s="1"/>
  <c r="T609" i="36" s="1"/>
  <c r="S609" i="36" s="1"/>
  <c r="T610" i="36" s="1"/>
  <c r="S610" i="36" s="1"/>
  <c r="T611" i="36" s="1"/>
  <c r="S611" i="36" s="1"/>
  <c r="T612" i="36" s="1"/>
  <c r="S612" i="36" s="1"/>
  <c r="T613" i="36" s="1"/>
  <c r="S613" i="36" s="1"/>
  <c r="T614" i="36" s="1"/>
  <c r="S614" i="36" s="1"/>
  <c r="T615" i="36" s="1"/>
  <c r="S615" i="36" s="1"/>
  <c r="T616" i="36" s="1"/>
  <c r="S616" i="36" s="1"/>
  <c r="T617" i="36" s="1"/>
  <c r="S617" i="36" s="1"/>
  <c r="T618" i="36" s="1"/>
  <c r="S618" i="36" s="1"/>
  <c r="T619" i="36" s="1"/>
  <c r="S619" i="36" s="1"/>
  <c r="T620" i="36" s="1"/>
  <c r="S620" i="36" s="1"/>
  <c r="T621" i="36" s="1"/>
  <c r="S621" i="36" s="1"/>
  <c r="T622" i="36" s="1"/>
  <c r="S622" i="36" s="1"/>
  <c r="T623" i="36" s="1"/>
  <c r="S623" i="36" s="1"/>
  <c r="T624" i="36" s="1"/>
  <c r="S624" i="36" s="1"/>
  <c r="T625" i="36" s="1"/>
  <c r="S625" i="36" s="1"/>
  <c r="T626" i="36" s="1"/>
  <c r="S626" i="36" s="1"/>
  <c r="T627" i="36" s="1"/>
  <c r="S627" i="36" s="1"/>
  <c r="T628" i="36" s="1"/>
  <c r="S628" i="36" s="1"/>
  <c r="T629" i="36" s="1"/>
  <c r="S629" i="36" s="1"/>
  <c r="T630" i="36" s="1"/>
  <c r="S630" i="36" s="1"/>
  <c r="T631" i="36" s="1"/>
  <c r="S631" i="36" s="1"/>
  <c r="T632" i="36" s="1"/>
  <c r="S632" i="36" s="1"/>
  <c r="T633" i="36" s="1"/>
  <c r="S633" i="36" s="1"/>
  <c r="T634" i="36" s="1"/>
  <c r="S634" i="36" s="1"/>
  <c r="T635" i="36" s="1"/>
  <c r="S635" i="36" s="1"/>
  <c r="T636" i="36" s="1"/>
  <c r="S636" i="36" s="1"/>
  <c r="T637" i="36" s="1"/>
  <c r="S637" i="36" s="1"/>
  <c r="T638" i="36" s="1"/>
  <c r="S638" i="36" s="1"/>
  <c r="T639" i="36" s="1"/>
  <c r="S639" i="36" s="1"/>
  <c r="T640" i="36" s="1"/>
  <c r="S640" i="36" s="1"/>
  <c r="T641" i="36" s="1"/>
  <c r="S641" i="36" s="1"/>
  <c r="T642" i="36" s="1"/>
  <c r="S642" i="36" s="1"/>
  <c r="T643" i="36" s="1"/>
  <c r="S643" i="36" s="1"/>
  <c r="T644" i="36" s="1"/>
  <c r="S644" i="36" s="1"/>
  <c r="T645" i="36" s="1"/>
  <c r="S645" i="36" s="1"/>
  <c r="T646" i="36" s="1"/>
  <c r="S646" i="36" s="1"/>
  <c r="T647" i="36" s="1"/>
  <c r="S647" i="36" s="1"/>
  <c r="T648" i="36" s="1"/>
  <c r="S648" i="36" s="1"/>
  <c r="T649" i="36" s="1"/>
  <c r="S649" i="36" s="1"/>
  <c r="T650" i="36" s="1"/>
  <c r="S650" i="36" s="1"/>
  <c r="T651" i="36" s="1"/>
  <c r="S651" i="36" s="1"/>
  <c r="T652" i="36" s="1"/>
  <c r="S652" i="36" s="1"/>
  <c r="T653" i="36" s="1"/>
  <c r="S653" i="36" s="1"/>
  <c r="T654" i="36" s="1"/>
  <c r="S654" i="36" s="1"/>
  <c r="T655" i="36" s="1"/>
  <c r="S655" i="36" s="1"/>
  <c r="T656" i="36" s="1"/>
  <c r="S656" i="36" s="1"/>
  <c r="T657" i="36" s="1"/>
  <c r="S657" i="36" s="1"/>
  <c r="T658" i="36" s="1"/>
  <c r="S658" i="36" s="1"/>
  <c r="T659" i="36" s="1"/>
  <c r="S659" i="36" s="1"/>
  <c r="T660" i="36" s="1"/>
  <c r="S660" i="36" s="1"/>
  <c r="T661" i="36" s="1"/>
  <c r="S661" i="36" s="1"/>
  <c r="T662" i="36" s="1"/>
  <c r="S662" i="36" s="1"/>
  <c r="T663" i="36" s="1"/>
  <c r="S663" i="36" s="1"/>
  <c r="T664" i="36" s="1"/>
  <c r="S664" i="36" s="1"/>
  <c r="T665" i="36" s="1"/>
  <c r="S665" i="36" s="1"/>
  <c r="T666" i="36" s="1"/>
  <c r="S666" i="36" s="1"/>
  <c r="T667" i="36" s="1"/>
  <c r="S667" i="36" s="1"/>
  <c r="T668" i="36" s="1"/>
  <c r="S668" i="36" s="1"/>
  <c r="T669" i="36" s="1"/>
  <c r="S669" i="36" s="1"/>
  <c r="T670" i="36" s="1"/>
  <c r="S670" i="36" s="1"/>
  <c r="T671" i="36" s="1"/>
  <c r="S671" i="36" s="1"/>
  <c r="T672" i="36" s="1"/>
  <c r="S672" i="36" s="1"/>
  <c r="T673" i="36" s="1"/>
  <c r="S673" i="36" s="1"/>
  <c r="T674" i="36" s="1"/>
  <c r="S674" i="36" s="1"/>
  <c r="T675" i="36" s="1"/>
  <c r="S675" i="36" s="1"/>
  <c r="T676" i="36" s="1"/>
  <c r="S676" i="36" s="1"/>
  <c r="T677" i="36" s="1"/>
  <c r="S677" i="36" s="1"/>
  <c r="T678" i="36" s="1"/>
  <c r="S678" i="36" s="1"/>
  <c r="T679" i="36" s="1"/>
  <c r="S679" i="36" s="1"/>
  <c r="T680" i="36" s="1"/>
  <c r="S680" i="36" s="1"/>
  <c r="T681" i="36" s="1"/>
  <c r="S681" i="36" s="1"/>
  <c r="T682" i="36" s="1"/>
  <c r="S682" i="36" s="1"/>
  <c r="T683" i="36" s="1"/>
  <c r="S683" i="36" s="1"/>
  <c r="T684" i="36" s="1"/>
  <c r="S684" i="36" s="1"/>
  <c r="T685" i="36" s="1"/>
  <c r="S685" i="36" s="1"/>
  <c r="T686" i="36" s="1"/>
  <c r="S686" i="36" s="1"/>
  <c r="T687" i="36" s="1"/>
  <c r="S687" i="36" s="1"/>
  <c r="T688" i="36" s="1"/>
  <c r="S688" i="36" s="1"/>
  <c r="T689" i="36" s="1"/>
  <c r="S689" i="36" s="1"/>
  <c r="T690" i="36" s="1"/>
  <c r="S690" i="36" s="1"/>
  <c r="T691" i="36" s="1"/>
  <c r="S691" i="36" s="1"/>
  <c r="T692" i="36" s="1"/>
  <c r="S692" i="36" s="1"/>
  <c r="T693" i="36" s="1"/>
  <c r="S693" i="36" s="1"/>
  <c r="T694" i="36" s="1"/>
  <c r="S694" i="36" s="1"/>
  <c r="T695" i="36" s="1"/>
  <c r="S695" i="36" s="1"/>
  <c r="T696" i="36" s="1"/>
  <c r="S696" i="36" s="1"/>
  <c r="T697" i="36" s="1"/>
  <c r="S697" i="36" s="1"/>
  <c r="T698" i="36" s="1"/>
  <c r="S698" i="36" s="1"/>
  <c r="T699" i="36" s="1"/>
  <c r="S699" i="36" s="1"/>
  <c r="T700" i="36" s="1"/>
  <c r="S700" i="36" s="1"/>
  <c r="T701" i="36" s="1"/>
  <c r="S701" i="36" s="1"/>
  <c r="T702" i="36" s="1"/>
  <c r="S702" i="36" s="1"/>
  <c r="T703" i="36" s="1"/>
  <c r="S703" i="36" s="1"/>
  <c r="T704" i="36" s="1"/>
  <c r="S704" i="36" s="1"/>
  <c r="T705" i="36" s="1"/>
  <c r="S705" i="36" s="1"/>
  <c r="T706" i="36" s="1"/>
  <c r="S706" i="36" s="1"/>
  <c r="T707" i="36" s="1"/>
  <c r="S707" i="36" s="1"/>
  <c r="T708" i="36" s="1"/>
  <c r="S708" i="36" s="1"/>
  <c r="T709" i="36" s="1"/>
  <c r="S709" i="36" s="1"/>
  <c r="T710" i="36" s="1"/>
  <c r="S710" i="36" s="1"/>
  <c r="T711" i="36" s="1"/>
  <c r="S711" i="36" s="1"/>
  <c r="T712" i="36" s="1"/>
  <c r="S712" i="36" s="1"/>
  <c r="T713" i="36" s="1"/>
  <c r="S713" i="36" s="1"/>
  <c r="T714" i="36" s="1"/>
  <c r="S714" i="36" s="1"/>
  <c r="T715" i="36" s="1"/>
  <c r="S715" i="36" s="1"/>
  <c r="T716" i="36" s="1"/>
  <c r="S716" i="36" s="1"/>
  <c r="T717" i="36" s="1"/>
  <c r="S717" i="36" s="1"/>
  <c r="T718" i="36" s="1"/>
  <c r="S718" i="36" s="1"/>
  <c r="T719" i="36" s="1"/>
  <c r="S719" i="36" s="1"/>
  <c r="T720" i="36" s="1"/>
  <c r="S720" i="36" s="1"/>
  <c r="T721" i="36" s="1"/>
  <c r="S721" i="36" s="1"/>
  <c r="T722" i="36" s="1"/>
  <c r="S722" i="36" s="1"/>
  <c r="T723" i="36" s="1"/>
  <c r="S723" i="36" s="1"/>
  <c r="T724" i="36" s="1"/>
  <c r="S724" i="36" s="1"/>
  <c r="T725" i="36" s="1"/>
  <c r="S725" i="36" s="1"/>
  <c r="T726" i="36" s="1"/>
  <c r="S726" i="36" s="1"/>
  <c r="T727" i="36" s="1"/>
  <c r="S727" i="36" s="1"/>
  <c r="T728" i="36" s="1"/>
  <c r="S728" i="36" s="1"/>
  <c r="T729" i="36" s="1"/>
  <c r="S729" i="36" s="1"/>
  <c r="T730" i="36" s="1"/>
  <c r="S730" i="36" s="1"/>
  <c r="T731" i="36" s="1"/>
  <c r="S731" i="36" s="1"/>
  <c r="T732" i="36" s="1"/>
  <c r="S732" i="36" s="1"/>
  <c r="T733" i="36" s="1"/>
  <c r="S733" i="36" s="1"/>
  <c r="T734" i="36" s="1"/>
  <c r="S734" i="36" s="1"/>
  <c r="T735" i="36" s="1"/>
  <c r="S735" i="36" s="1"/>
  <c r="T736" i="36" s="1"/>
  <c r="S736" i="36" s="1"/>
  <c r="T737" i="36" s="1"/>
  <c r="S737" i="36" s="1"/>
  <c r="T738" i="36" s="1"/>
  <c r="S738" i="36" s="1"/>
  <c r="T739" i="36" s="1"/>
  <c r="S739" i="36" s="1"/>
  <c r="T740" i="36" s="1"/>
  <c r="S740" i="36" s="1"/>
  <c r="T741" i="36" s="1"/>
  <c r="S741" i="36" s="1"/>
  <c r="T742" i="36" s="1"/>
  <c r="S742" i="36" s="1"/>
  <c r="T743" i="36" s="1"/>
  <c r="S743" i="36" s="1"/>
  <c r="T744" i="36" s="1"/>
  <c r="S744" i="36" s="1"/>
  <c r="T745" i="36" s="1"/>
  <c r="S745" i="36" s="1"/>
  <c r="T746" i="36" s="1"/>
  <c r="S746" i="36" s="1"/>
  <c r="T747" i="36" s="1"/>
  <c r="S747" i="36" s="1"/>
  <c r="T748" i="36" s="1"/>
  <c r="S748" i="36" s="1"/>
  <c r="T749" i="36" s="1"/>
  <c r="S749" i="36" s="1"/>
  <c r="T750" i="36" s="1"/>
  <c r="S750" i="36" s="1"/>
  <c r="T751" i="36" s="1"/>
  <c r="S751" i="36" s="1"/>
  <c r="T752" i="36" s="1"/>
  <c r="S752" i="36" s="1"/>
  <c r="T753" i="36" s="1"/>
  <c r="S753" i="36" s="1"/>
  <c r="T754" i="36" s="1"/>
  <c r="S754" i="36" s="1"/>
  <c r="T755" i="36" s="1"/>
  <c r="S755" i="36" s="1"/>
  <c r="I14" i="36" s="1"/>
  <c r="J14" i="36" s="1"/>
  <c r="F99" i="41" l="1"/>
  <c r="F100" i="41" s="1"/>
  <c r="F114" i="41"/>
  <c r="F74" i="41"/>
  <c r="F75" i="41" s="1"/>
  <c r="J50" i="29"/>
  <c r="J51" i="29" s="1"/>
  <c r="J60" i="30"/>
  <c r="J62" i="30" s="1"/>
  <c r="N46" i="30" l="1"/>
  <c r="J64" i="30"/>
  <c r="J65" i="30" s="1"/>
  <c r="J451" i="4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Roldan Lopez, Carmen</author>
    <author>Fernandez Pardo, Ruben</author>
    <author>Author</author>
  </authors>
  <commentList>
    <comment ref="C7" authorId="0" shapeId="0" xr:uid="{6BB53FDA-91D9-49B8-B670-B478C3B36692}">
      <text>
        <r>
          <rPr>
            <b/>
            <sz val="9"/>
            <color indexed="81"/>
            <rFont val="Tahoma"/>
            <family val="2"/>
          </rPr>
          <t>Roldan Lopez, Carmen:</t>
        </r>
        <r>
          <rPr>
            <sz val="9"/>
            <color indexed="81"/>
            <rFont val="Tahoma"/>
            <family val="2"/>
          </rPr>
          <t xml:space="preserve">
años cotizados con opción ordinaria o anticipada según seleccionado, en caso de prolongar hay que tener en cuenta los años de la casilla de abajo</t>
        </r>
      </text>
    </comment>
    <comment ref="D7" authorId="0" shapeId="0" xr:uid="{B1DBA55A-2C48-49D6-896F-12D03B062413}">
      <text>
        <r>
          <rPr>
            <b/>
            <sz val="9"/>
            <color indexed="81"/>
            <rFont val="Tahoma"/>
            <family val="2"/>
          </rPr>
          <t>Roldan Lopez, Carmen:</t>
        </r>
        <r>
          <rPr>
            <sz val="9"/>
            <color indexed="81"/>
            <rFont val="Tahoma"/>
            <family val="2"/>
          </rPr>
          <t xml:space="preserve">
años de anticipo</t>
        </r>
      </text>
    </comment>
    <comment ref="E7" authorId="0" shapeId="0" xr:uid="{5A037991-F113-4CA8-9810-1881348E7E54}">
      <text>
        <r>
          <rPr>
            <b/>
            <sz val="9"/>
            <color indexed="81"/>
            <rFont val="Tahoma"/>
            <family val="2"/>
          </rPr>
          <t>Roldan Lopez, Carmen:</t>
        </r>
        <r>
          <rPr>
            <sz val="9"/>
            <color indexed="81"/>
            <rFont val="Tahoma"/>
            <family val="2"/>
          </rPr>
          <t xml:space="preserve">
meses de anticipo</t>
        </r>
      </text>
    </comment>
    <comment ref="F7" authorId="0" shapeId="0" xr:uid="{48717C33-8462-4657-AE9E-C3C3CB7BB82E}">
      <text>
        <r>
          <rPr>
            <b/>
            <sz val="9"/>
            <color indexed="81"/>
            <rFont val="Tahoma"/>
            <family val="2"/>
          </rPr>
          <t>Roldan Lopez, Carmen:</t>
        </r>
        <r>
          <rPr>
            <sz val="9"/>
            <color indexed="81"/>
            <rFont val="Tahoma"/>
            <family val="2"/>
          </rPr>
          <t xml:space="preserve">
trimestres de anticipo</t>
        </r>
      </text>
    </comment>
    <comment ref="C8" authorId="0" shapeId="0" xr:uid="{3513CFE4-57DC-4D11-B298-148E6AFF5BBE}">
      <text>
        <r>
          <rPr>
            <b/>
            <sz val="9"/>
            <color indexed="81"/>
            <rFont val="Tahoma"/>
            <family val="2"/>
          </rPr>
          <t>Roldan Lopez, Carmen:</t>
        </r>
        <r>
          <rPr>
            <sz val="9"/>
            <color indexed="81"/>
            <rFont val="Tahoma"/>
            <family val="2"/>
          </rPr>
          <t xml:space="preserve">
años cotizados con prolongada</t>
        </r>
      </text>
    </comment>
    <comment ref="D8" authorId="0" shapeId="0" xr:uid="{CA26057C-3E39-41A2-859E-27126B4489F6}">
      <text>
        <r>
          <rPr>
            <b/>
            <sz val="9"/>
            <color indexed="81"/>
            <rFont val="Tahoma"/>
            <family val="2"/>
          </rPr>
          <t>Roldan Lopez, Carmen:</t>
        </r>
        <r>
          <rPr>
            <sz val="9"/>
            <color indexed="81"/>
            <rFont val="Tahoma"/>
            <family val="2"/>
          </rPr>
          <t xml:space="preserve">
en caso de no cumplir el requisito de 15 años de cotizacion para acceder a jubilación ordinaria, en caso de prolongar el acceso por encima de la edad ordinaria, se ha de tener en cuenta que el porcentaje por prolongacion se aplica por los años de prolongación en exceso del periodo minimo exigido.
celda auxiliar que calcula el exceso de años prolongados por encima del requisito minimo</t>
        </r>
      </text>
    </comment>
    <comment ref="T16" authorId="1" shapeId="0" xr:uid="{00000000-0006-0000-0400-000001000000}">
      <text>
        <r>
          <rPr>
            <b/>
            <sz val="9"/>
            <color indexed="81"/>
            <rFont val="Tahoma"/>
            <family val="2"/>
          </rPr>
          <t>Fernandez Pardo, Ruben:</t>
        </r>
        <r>
          <rPr>
            <sz val="9"/>
            <color indexed="81"/>
            <rFont val="Tahoma"/>
            <family val="2"/>
          </rPr>
          <t xml:space="preserve">
Añadiendo el salario anterior a la fecha de hoy como menor que el actual</t>
        </r>
      </text>
    </comment>
    <comment ref="B25" authorId="0" shapeId="0" xr:uid="{CD44DC7D-650B-40C1-9393-14780B4B5B49}">
      <text>
        <r>
          <rPr>
            <b/>
            <sz val="9"/>
            <color indexed="81"/>
            <rFont val="Tahoma"/>
            <family val="2"/>
          </rPr>
          <t>Roldan Lopez, Carmen:</t>
        </r>
        <r>
          <rPr>
            <sz val="9"/>
            <color indexed="81"/>
            <rFont val="Tahoma"/>
            <family val="2"/>
          </rPr>
          <t xml:space="preserve">
porcentaje penalización en caso de ir por BASE REGULADORA </t>
        </r>
      </text>
    </comment>
    <comment ref="C25" authorId="0" shapeId="0" xr:uid="{3EB4EE79-26AC-488E-892A-90F59EDC8AFE}">
      <text>
        <r>
          <rPr>
            <b/>
            <sz val="9"/>
            <color indexed="81"/>
            <rFont val="Tahoma"/>
            <family val="2"/>
          </rPr>
          <t>Roldan Lopez, Carmen:</t>
        </r>
        <r>
          <rPr>
            <sz val="9"/>
            <color indexed="81"/>
            <rFont val="Tahoma"/>
            <family val="2"/>
          </rPr>
          <t xml:space="preserve">
% por mes de anticipo</t>
        </r>
      </text>
    </comment>
    <comment ref="C26" authorId="0" shapeId="0" xr:uid="{46C3FD03-68EF-4DDB-82E0-DDA0829573D7}">
      <text>
        <r>
          <rPr>
            <b/>
            <sz val="9"/>
            <color indexed="81"/>
            <rFont val="Tahoma"/>
            <family val="2"/>
          </rPr>
          <t>Roldan Lopez, Carmen:</t>
        </r>
        <r>
          <rPr>
            <sz val="9"/>
            <color indexed="81"/>
            <rFont val="Tahoma"/>
            <family val="2"/>
          </rPr>
          <t xml:space="preserve">
al % s/BR por Años cotizados agrego el 4% por año de prolongación </t>
        </r>
      </text>
    </comment>
    <comment ref="C28" authorId="0" shapeId="0" xr:uid="{1A1EFE24-6872-4657-BB38-A1EA1F557C48}">
      <text>
        <r>
          <rPr>
            <b/>
            <sz val="9"/>
            <color indexed="81"/>
            <rFont val="Tahoma"/>
            <family val="2"/>
          </rPr>
          <t>Roldan Lopez, Carmen:</t>
        </r>
        <r>
          <rPr>
            <sz val="9"/>
            <color indexed="81"/>
            <rFont val="Tahoma"/>
            <family val="2"/>
          </rPr>
          <t xml:space="preserve">
BR con % por Años Cotizados y complemento por prolongación del 4% por año</t>
        </r>
      </text>
    </comment>
    <comment ref="A31" authorId="0" shapeId="0" xr:uid="{80BF513F-B144-41AC-9930-111BE952CFDB}">
      <text>
        <r>
          <rPr>
            <b/>
            <sz val="9"/>
            <color indexed="81"/>
            <rFont val="Tahoma"/>
            <family val="2"/>
          </rPr>
          <t>Roldan Lopez, Carmen:</t>
        </r>
        <r>
          <rPr>
            <sz val="9"/>
            <color indexed="81"/>
            <rFont val="Tahoma"/>
            <family val="2"/>
          </rPr>
          <t xml:space="preserve">
Derogado reforma 2021.
BUSCARV(AÑO(B7)+SI('Simulador - 1º Pilar'!G10="Jubilación prolongada";'Simulador - 1º Pilar'!E99;0);'Datos SS'!$B$38:$E$899;4;0)</t>
        </r>
      </text>
    </comment>
    <comment ref="A32" authorId="0" shapeId="0" xr:uid="{CAC926F8-0424-4121-974F-46925D9CA127}">
      <text>
        <r>
          <rPr>
            <b/>
            <sz val="9"/>
            <color indexed="81"/>
            <rFont val="Tahoma"/>
            <family val="2"/>
          </rPr>
          <t>Roldan Lopez, Carmen:</t>
        </r>
        <r>
          <rPr>
            <sz val="9"/>
            <color indexed="81"/>
            <rFont val="Tahoma"/>
            <family val="2"/>
          </rPr>
          <t xml:space="preserve">
actualizado a nueva normativa teniendo en cuenta límite hijos a tener en cuenta</t>
        </r>
      </text>
    </comment>
    <comment ref="A67" authorId="2" shapeId="0" xr:uid="{567D3EEC-30C8-40B0-A754-FDE1703B8744}">
      <text>
        <r>
          <rPr>
            <b/>
            <sz val="9"/>
            <color indexed="81"/>
            <rFont val="Tahoma"/>
            <family val="2"/>
          </rPr>
          <t>Author:</t>
        </r>
        <r>
          <rPr>
            <sz val="9"/>
            <color indexed="81"/>
            <rFont val="Tahoma"/>
            <family val="2"/>
          </rPr>
          <t xml:space="preserve">
Si la cuantía de la pensión reconocida alcanza el límite máximo sin aplicar el porcentaje adicional o aplicándolo sólo parcialmente, el interesado percibirá:
La pensión por el importe máximo.
Además, tendrá derecho a percibir anualmente una cantidad que se obtendrá aplicando al importe máximo vigente en cada momento el porcentaje adicional no utilizado para determinar la cuantía de la pensión, redondeado a la unidad más próxima por exceso. La citada cantidad se devengará por meses vencidos y se abonará en catorce pagas.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Fernandez Pardo, Ruben</author>
  </authors>
  <commentList>
    <comment ref="F16" authorId="0" shapeId="0" xr:uid="{00000000-0006-0000-0500-000001000000}">
      <text>
        <r>
          <rPr>
            <b/>
            <sz val="9"/>
            <color indexed="81"/>
            <rFont val="Tahoma"/>
            <family val="2"/>
          </rPr>
          <t xml:space="preserve">Fernandez Pardo, Ruben: </t>
        </r>
        <r>
          <rPr>
            <b/>
            <sz val="14"/>
            <color indexed="81"/>
            <rFont val="Tahoma"/>
            <family val="2"/>
          </rPr>
          <t>l</t>
        </r>
        <r>
          <rPr>
            <b/>
            <sz val="9"/>
            <color indexed="81"/>
            <rFont val="Tahoma"/>
            <family val="2"/>
          </rPr>
          <t>x+t</t>
        </r>
        <r>
          <rPr>
            <b/>
            <sz val="14"/>
            <color indexed="81"/>
            <rFont val="Tahoma"/>
            <family val="2"/>
          </rPr>
          <t>=t * l</t>
        </r>
        <r>
          <rPr>
            <b/>
            <sz val="9"/>
            <color indexed="81"/>
            <rFont val="Tahoma"/>
            <family val="2"/>
          </rPr>
          <t>x+1</t>
        </r>
        <r>
          <rPr>
            <b/>
            <sz val="14"/>
            <color indexed="81"/>
            <rFont val="Tahoma"/>
            <family val="2"/>
          </rPr>
          <t>+ l</t>
        </r>
        <r>
          <rPr>
            <b/>
            <sz val="9"/>
            <color indexed="81"/>
            <rFont val="Tahoma"/>
            <family val="2"/>
          </rPr>
          <t>x</t>
        </r>
        <r>
          <rPr>
            <b/>
            <sz val="14"/>
            <color indexed="81"/>
            <rFont val="Tahoma"/>
            <family val="2"/>
          </rPr>
          <t xml:space="preserve"> *(1-t)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<sst xmlns="http://schemas.openxmlformats.org/spreadsheetml/2006/main" count="8915" uniqueCount="1252">
  <si>
    <t>Datos</t>
  </si>
  <si>
    <t>Fecha</t>
  </si>
  <si>
    <t>Fecha de Nacimiento</t>
  </si>
  <si>
    <t>Periodo de cotización</t>
  </si>
  <si>
    <t>Salario</t>
  </si>
  <si>
    <t>Periodo exigido</t>
  </si>
  <si>
    <t>Hombre</t>
  </si>
  <si>
    <t>Fecha de Jubilación</t>
  </si>
  <si>
    <t>Factor de sostenibilidad</t>
  </si>
  <si>
    <t>Base Reguladora:</t>
  </si>
  <si>
    <t>% Base Reguladora:</t>
  </si>
  <si>
    <t>% Reducción:</t>
  </si>
  <si>
    <t>Prestación Jubilación:</t>
  </si>
  <si>
    <t>Hipótesis crecimiento mensual:</t>
  </si>
  <si>
    <t>Enero</t>
  </si>
  <si>
    <t>Febrero</t>
  </si>
  <si>
    <t>Marzo</t>
  </si>
  <si>
    <t>Abril</t>
  </si>
  <si>
    <t>Mayo</t>
  </si>
  <si>
    <t>Junio</t>
  </si>
  <si>
    <t>Julio</t>
  </si>
  <si>
    <t>Agosto</t>
  </si>
  <si>
    <t>Septiembre</t>
  </si>
  <si>
    <t>Octubre</t>
  </si>
  <si>
    <t>Noviembre</t>
  </si>
  <si>
    <t>Diciembre</t>
  </si>
  <si>
    <t>Hipótesis de crecimiento anual estaplecia como máximo por el gobierno:</t>
  </si>
  <si>
    <t>Hipótesis de crecimiento anual:</t>
  </si>
  <si>
    <t>Ha crecido casi un 10% en los últimos 5 años y un 20% en los últimos 2</t>
  </si>
  <si>
    <t>Meses</t>
  </si>
  <si>
    <t>Porcentaje</t>
  </si>
  <si>
    <t>Año</t>
  </si>
  <si>
    <t>Nº Mes</t>
  </si>
  <si>
    <t xml:space="preserve">Mes </t>
  </si>
  <si>
    <t>IPC</t>
  </si>
  <si>
    <t>Salario Mes</t>
  </si>
  <si>
    <t>Base C. Máx</t>
  </si>
  <si>
    <t>Base de cot.</t>
  </si>
  <si>
    <t>Base Actualizada</t>
  </si>
  <si>
    <t>t</t>
  </si>
  <si>
    <t>Varones</t>
  </si>
  <si>
    <t>Mujeres</t>
  </si>
  <si>
    <r>
      <t>FS</t>
    </r>
    <r>
      <rPr>
        <b/>
        <vertAlign val="subscript"/>
        <sz val="10"/>
        <color indexed="8"/>
        <rFont val="Arial"/>
        <family val="2"/>
      </rPr>
      <t>t</t>
    </r>
  </si>
  <si>
    <t>-</t>
  </si>
  <si>
    <t>36 años y 9 meses o más</t>
  </si>
  <si>
    <t>65 años</t>
  </si>
  <si>
    <t>Menos de 36 años y 9 meses</t>
  </si>
  <si>
    <t>65 años y 8 meses</t>
  </si>
  <si>
    <t>37 o más años</t>
  </si>
  <si>
    <t>Menos de 37 años</t>
  </si>
  <si>
    <t>65 años y 10 meses </t>
  </si>
  <si>
    <t>37 años y 3 meses o más</t>
  </si>
  <si>
    <t>Menos de 37 años y 3 meses</t>
  </si>
  <si>
    <t>66 años</t>
  </si>
  <si>
    <t>37 años y 6 meses o más</t>
  </si>
  <si>
    <t>Menos de 37 años y 6 meses</t>
  </si>
  <si>
    <t>66 años y 2 meses</t>
  </si>
  <si>
    <t>37 años y 9 meses o más</t>
  </si>
  <si>
    <t>Menos de 37 años y 9 meses</t>
  </si>
  <si>
    <t>66 años y 4 meses</t>
  </si>
  <si>
    <t>38 o más años</t>
  </si>
  <si>
    <t>Menos de 38 años</t>
  </si>
  <si>
    <t>66 años y 6 meses</t>
  </si>
  <si>
    <t>38 años y 3 meses o más</t>
  </si>
  <si>
    <t>Menos de 38 años y 3 meses</t>
  </si>
  <si>
    <t>66 años y 8 meses</t>
  </si>
  <si>
    <t>66 años y 10 meses</t>
  </si>
  <si>
    <t>A partir de 2027</t>
  </si>
  <si>
    <t>38 años y 6 meses o más</t>
  </si>
  <si>
    <t>Menos de 38 años y 6 meses</t>
  </si>
  <si>
    <t>67 años </t>
  </si>
  <si>
    <t>Períodos cotizados</t>
  </si>
  <si>
    <t>Edad exigida</t>
  </si>
  <si>
    <t>Periodo cotizado</t>
  </si>
  <si>
    <t>Edad exigida sino cumple PC</t>
  </si>
  <si>
    <t>La cuantía que resulte será objeto de reducción mediante la aplicación, por cada trimestre o fracción de trimestre que, en el momento del hecho causante, le falte al trabajador para cumplir la edad legal de jubilación que en cada caso resulte de la aplicación, de los siguientes coeficientes en función del período de cotización acreditado:</t>
  </si>
  <si>
    <t>1. Coeficiente del 2 por 100 por trimestre cuando se acredite un período de cotización inferior a 38 años y 6 meses. </t>
  </si>
  <si>
    <t>2. Coeficiente del 1,875 por 100 por trimestre cuando se acredite un período de cotización igual o superior a 38 años y 6 meses e inferior a 41 años y 6 meses.</t>
  </si>
  <si>
    <t>3. Coeficiente del 1,750 por 100 por trimestre cuando se acredite un período de cotización igual o superior a 41 años y 6 meses e inferior a 44 años y 6 meses.</t>
  </si>
  <si>
    <t>4. Coeficiente del 1,625 por 100 por trimestre cuando se acredite un período de cotización igual o superior a 44 años y 6 meses.</t>
  </si>
  <si>
    <t>Porcentaje de reducción de la base en jubilación anticipada</t>
  </si>
  <si>
    <t>Mínimo</t>
  </si>
  <si>
    <t>Edad Exigida</t>
  </si>
  <si>
    <t>Cuantía</t>
  </si>
  <si>
    <t>Meses - 15 primeros años</t>
  </si>
  <si>
    <t>Base reguladora</t>
  </si>
  <si>
    <t>Porcentaje aplicable 1</t>
  </si>
  <si>
    <t>porcentaje aplicable 2</t>
  </si>
  <si>
    <t>Total con FS</t>
  </si>
  <si>
    <t>Límite de la cuantía:</t>
  </si>
  <si>
    <t>Una vez aplicados los referidos coeficientes reductores, el importe resultante de la pensión no podrá ser superior a la cuantía que resulte de reducir el tope máximo de pensión en un 0,50 por 100 por cada trimestre o fracción de trimestre de anticipación.</t>
  </si>
  <si>
    <t>264 / 308</t>
  </si>
  <si>
    <t>276 / 322</t>
  </si>
  <si>
    <t>288 / 336</t>
  </si>
  <si>
    <t>300 / 350</t>
  </si>
  <si>
    <t>Nº. meses computables/Divisor</t>
  </si>
  <si>
    <t>Años computables</t>
  </si>
  <si>
    <t>Nº de meses comutables</t>
  </si>
  <si>
    <t>Divisor</t>
  </si>
  <si>
    <t>Porcentaje jubilación años cotizados</t>
  </si>
  <si>
    <t>Pensión Max</t>
  </si>
  <si>
    <t>Edad fecha jub</t>
  </si>
  <si>
    <t>RESULTADOS</t>
  </si>
  <si>
    <t>A las mujeres que hayan tenido 2 o más hijos, biológicos o adoptados, se les aplicará un complemento por maternidad consistente en un porcentaje aplicable al importe de la pensión que se causen a partir de 1 de enero de 2016, calculada de acuerdo con lo indicado en los apartados anteriores. Dicho porcentaje será del 5% en el caso de dos hijos, del 10% con tres hijos y del 15% en el caso de cuatro o más hijos.</t>
  </si>
  <si>
    <t>Son computables para la determinación del derecho y su cuantificación los hijos con independencia de que el nacimiento se haya producido en España o en el extranjero.</t>
  </si>
  <si>
    <t>El complemento de pensión no será de aplicación en los casos de acceso anticipado a la jubilación por voluntad de la interesada ni en los de jubilación parcial, a los que se refieren, respectivamente, los artículos 208 y 215 de la Ley General de la Seguridad Social.  Así mismo no será de aplicación a la pensión SOVI.</t>
  </si>
  <si>
    <t>Aplicación del complemento por maternidad:</t>
  </si>
  <si>
    <t>MATERNIDAD</t>
  </si>
  <si>
    <t>Compl. de maternidad</t>
  </si>
  <si>
    <t>hijos</t>
  </si>
  <si>
    <t>El 52% de la base reguladora, con carácter general.</t>
  </si>
  <si>
    <t>A partir de 01-01-2019 el porcentaje aplicable a la base reguladora de la pensión de viudedad será del 60%, cuando en la persona beneficiaria concurran los siguientes requisitos:</t>
  </si>
  <si>
    <t>Tener una edad igual o superior a 65 años.</t>
  </si>
  <si>
    <t>No tener derecho a otra pensión pública española o extranjera.</t>
  </si>
  <si>
    <t>No percibir ingresos por la realización de trabajos por cuenta ajena o por cuenta propia.</t>
  </si>
  <si>
    <t>No disponer de rentas de capital mobiliario o inmobiliario, ganancias patrimoniales o rentas de actividades económicas, superiores a 7.569,00 euros/año. </t>
  </si>
  <si>
    <t>El 70% de la base reguladora correspondiente siempre que, durante todo el período de percepción de la pensión, se cumplan los siguientes requisitos:</t>
  </si>
  <si>
    <t>1. Que el pensionista tenga cargas familiares. Se entiende que existen cargas familiares cuando:</t>
  </si>
  <si>
    <t>Conviva con hijos menores de 26 años o mayores incapacitados, o menores acogidos. A estos efectos, se considera que existe incapacidad cuando acredite una discapacidad igual o superior al 33%.</t>
  </si>
  <si>
    <t>Los rendimientos de la unidad familiar, incluido el propio pensionista, divididos entre el número de miembros que la componen, no superen, en cómputo anual, el 75% del salario mínimo interprofesional vigente en cada momento, excluida la parte proporcional de las dos pagas extraordinarias.</t>
  </si>
  <si>
    <t>2. Que la pensión de viudedad constituya la principal o única fuente de ingresos, entendiendo que se cumple este requisito cuando el importe anual de la pensión sea superior al 50% del total de los ingresos del pensionista.</t>
  </si>
  <si>
    <t>3. Que los rendimientos anuales del pensionista por todos los conceptos no superen la cuantía resultante de sumar al límite que, en cada ejercicio económico, esté previsto para el reconocimiento de los complementos por mínimos de las pensiones contributivas, el importe anual que, en cada ejercicio económico, corresponda a la pensión mínima de viudedad con cargas familiares. A partir de 01-01-2019, el límite de ingresos es de 18.539,40 € anuales (7.569,00 + 10.970,40).</t>
  </si>
  <si>
    <t>La pensión de viudedad, en cómputo anual, más los rendimientos anuales del pensionista, no pueden exceder el límite de ingresos del párrafo anterior. En caso contrario, se reducirá la cuantía de la pensión de viudedad a fin de no superar dicho límite.</t>
  </si>
  <si>
    <t>Los tres requisitos exigidos deben concurrir simultáneamente. La pérdida de uno de ellos motivará la aplicación del porcentaje del 52% con efectos desde el día 1 del mes siguiente a aquél en que deje de concurrir dicho requisito.</t>
  </si>
  <si>
    <t>Viudedad</t>
  </si>
  <si>
    <t>Pensión viudedad 52% aunque hay excepciones</t>
  </si>
  <si>
    <t>Sexo (Hombre / Mujer)</t>
  </si>
  <si>
    <t>Parámetros</t>
  </si>
  <si>
    <t>Fecha Nacimiento</t>
  </si>
  <si>
    <t>Sexo (Hombre/Mujer)</t>
  </si>
  <si>
    <t>Resultados</t>
  </si>
  <si>
    <t>14 pagas</t>
  </si>
  <si>
    <t xml:space="preserve">Edad </t>
  </si>
  <si>
    <t xml:space="preserve">Renta </t>
  </si>
  <si>
    <t>Edad</t>
  </si>
  <si>
    <t>Fecha de valoración</t>
  </si>
  <si>
    <t>Tipo de interés</t>
  </si>
  <si>
    <t>40años</t>
  </si>
  <si>
    <t>Crecimiento pensión</t>
  </si>
  <si>
    <t>Fecha inicio renta (dif)</t>
  </si>
  <si>
    <t>Fecha fin prestación</t>
  </si>
  <si>
    <t>Lx</t>
  </si>
  <si>
    <t xml:space="preserve">Fecha inicio </t>
  </si>
  <si>
    <t>Fecha fin</t>
  </si>
  <si>
    <t>V^t</t>
  </si>
  <si>
    <t>nPx</t>
  </si>
  <si>
    <t>Lx+n</t>
  </si>
  <si>
    <t>(1+a)</t>
  </si>
  <si>
    <t>C*(1+a)*VA</t>
  </si>
  <si>
    <t>nPx Con Lx</t>
  </si>
  <si>
    <t>Hombres</t>
  </si>
  <si>
    <t>Nacimiento</t>
  </si>
  <si>
    <t>lx</t>
  </si>
  <si>
    <t>qx</t>
  </si>
  <si>
    <t xml:space="preserve">Factor de mejora de qx </t>
  </si>
  <si>
    <t xml:space="preserve"> Tabla Base. qx ( en tanto por mil )</t>
  </si>
  <si>
    <t>Año de  nacimiento</t>
  </si>
  <si>
    <t>Tabla de la generación de mujeres nacidas en X</t>
  </si>
  <si>
    <t>Tabla de la generación de hombres nacidos en X</t>
  </si>
  <si>
    <t>X</t>
  </si>
  <si>
    <t>Aportaciones</t>
  </si>
  <si>
    <t>Fechas</t>
  </si>
  <si>
    <t>Tramos</t>
  </si>
  <si>
    <t>Crecimiento salarial</t>
  </si>
  <si>
    <t>Crecimiento salario</t>
  </si>
  <si>
    <t>Nuevo salario</t>
  </si>
  <si>
    <t>Rentabilidad</t>
  </si>
  <si>
    <t>Total aportaciones</t>
  </si>
  <si>
    <t>Ratios</t>
  </si>
  <si>
    <t>PJSS/salario Jub</t>
  </si>
  <si>
    <t>P.Plan/ Salario jub</t>
  </si>
  <si>
    <t>P Jub con maternidad:</t>
  </si>
  <si>
    <t>Gap</t>
  </si>
  <si>
    <t>Fecha de antigüedad</t>
  </si>
  <si>
    <t>Mensualidad</t>
  </si>
  <si>
    <t xml:space="preserve">Fecha Hoy </t>
  </si>
  <si>
    <t>Fecha Jubilación</t>
  </si>
  <si>
    <t>Factor Sostenibilidad</t>
  </si>
  <si>
    <t>Tipo conversión del capital en renta:</t>
  </si>
  <si>
    <t xml:space="preserve">Rentabilidad de las aportaciones: </t>
  </si>
  <si>
    <t xml:space="preserve">Crecimiento IPC: </t>
  </si>
  <si>
    <t>Crecimiento Pensión Máxima de la Seguridad Social:</t>
  </si>
  <si>
    <t>Crecimiento Base Cotización de la Seguridad Social</t>
  </si>
  <si>
    <t xml:space="preserve">Hipótesis </t>
  </si>
  <si>
    <t>Fecha de jubilación anticipada</t>
  </si>
  <si>
    <t>Mujer</t>
  </si>
  <si>
    <t>Sexo</t>
  </si>
  <si>
    <t>Años cotizados</t>
  </si>
  <si>
    <t>Hipótesis decrecimiento mensual:</t>
  </si>
  <si>
    <t>2,70%</t>
  </si>
  <si>
    <t>4,00%</t>
  </si>
  <si>
    <t>2,60%</t>
  </si>
  <si>
    <t>35 años y 3 meses o más</t>
  </si>
  <si>
    <t>Menos de 35 años y 3 meses</t>
  </si>
  <si>
    <t>65 años y 1 mes</t>
  </si>
  <si>
    <t>35 años y 6 meses o más</t>
  </si>
  <si>
    <t>Menos de 35 años y 6 meses</t>
  </si>
  <si>
    <t>65 años y 2 meses</t>
  </si>
  <si>
    <t>35 años y 9 meses o más</t>
  </si>
  <si>
    <t>Menos de 35 años y 9 meses</t>
  </si>
  <si>
    <t>65 años y 3 meses</t>
  </si>
  <si>
    <t>36 o más años</t>
  </si>
  <si>
    <t>Menos de 36 años</t>
  </si>
  <si>
    <t>65 años y 4 meses</t>
  </si>
  <si>
    <t>36 años y 3 meses o más</t>
  </si>
  <si>
    <t>Menos de 36 años y 3 meses</t>
  </si>
  <si>
    <t>65 años y 5 meses</t>
  </si>
  <si>
    <t>36 años y 6 meses o más</t>
  </si>
  <si>
    <t>Menos de 36 años y 6 meses</t>
  </si>
  <si>
    <t>65 años y 6 meses</t>
  </si>
  <si>
    <t>192 / 224</t>
  </si>
  <si>
    <t>204 / 238</t>
  </si>
  <si>
    <t>216 / 252</t>
  </si>
  <si>
    <t>228 / 266</t>
  </si>
  <si>
    <t>240 / 280</t>
  </si>
  <si>
    <t>252 / 294</t>
  </si>
  <si>
    <t>Fondo acumulado</t>
  </si>
  <si>
    <t>Maxima Anticipada</t>
  </si>
  <si>
    <t>Salario pensionable</t>
  </si>
  <si>
    <t>Hipotesisi del 1,75%</t>
  </si>
  <si>
    <t>Today</t>
  </si>
  <si>
    <t>F. Nacimiento</t>
  </si>
  <si>
    <t>Años cotizados hoy</t>
  </si>
  <si>
    <t>Años cotizados supuestos</t>
  </si>
  <si>
    <t>Fecha de jubilación</t>
  </si>
  <si>
    <t>Jubilaciones</t>
  </si>
  <si>
    <t xml:space="preserve">Salario total </t>
  </si>
  <si>
    <t>Salario t. proyect</t>
  </si>
  <si>
    <t>Total Años cotizados a la fecha actual</t>
  </si>
  <si>
    <t>Empresa</t>
  </si>
  <si>
    <t>Participe</t>
  </si>
  <si>
    <t>Total</t>
  </si>
  <si>
    <t>Empresa proyeccion</t>
  </si>
  <si>
    <t>Participe proyección</t>
  </si>
  <si>
    <t>Aportación anual</t>
  </si>
  <si>
    <t>%Mes</t>
  </si>
  <si>
    <t>Nº de meses</t>
  </si>
  <si>
    <t>Porcentaje adicional</t>
  </si>
  <si>
    <t>Fecha jubilación prolongada</t>
  </si>
  <si>
    <t>Base Min</t>
  </si>
  <si>
    <t xml:space="preserve">Bases Minima </t>
  </si>
  <si>
    <t xml:space="preserve">Hipotesis de creimiento </t>
  </si>
  <si>
    <t>Años Cese de cotización</t>
  </si>
  <si>
    <t>Años cot</t>
  </si>
  <si>
    <t>Años adelanto</t>
  </si>
  <si>
    <t>DATOS PERSONALES</t>
  </si>
  <si>
    <t>Introduzca los datos personales que se solicitan a continuación:</t>
  </si>
  <si>
    <t>Número de hijos:</t>
  </si>
  <si>
    <t>Salario Total anual:</t>
  </si>
  <si>
    <t>Salario Fijo anual:</t>
  </si>
  <si>
    <t>Salario a la jubilación</t>
  </si>
  <si>
    <t>Jubilación ordinaria</t>
  </si>
  <si>
    <t>Jubilación anticipada</t>
  </si>
  <si>
    <t>Jubilación prolongada</t>
  </si>
  <si>
    <t>Póliza de excesos</t>
  </si>
  <si>
    <t>Plan de Pensiones de Empleo (PPE)</t>
  </si>
  <si>
    <t>Fecha de jubilación ordinaria:</t>
  </si>
  <si>
    <t xml:space="preserve">PAD + Flex </t>
  </si>
  <si>
    <t>PPE + Excesos + Flex + PAD</t>
  </si>
  <si>
    <t>PPE + Excesos + Flex</t>
  </si>
  <si>
    <t>PPE + Excesos</t>
  </si>
  <si>
    <t>Resumen de categorias</t>
  </si>
  <si>
    <t>% PAD</t>
  </si>
  <si>
    <t>% PPE</t>
  </si>
  <si>
    <t>PPMM PAD</t>
  </si>
  <si>
    <t>PPMM Flex</t>
  </si>
  <si>
    <t>PPMM Excesos</t>
  </si>
  <si>
    <t>DDCC PPE</t>
  </si>
  <si>
    <t>Fecha de nacimiento</t>
  </si>
  <si>
    <t>Categoria</t>
  </si>
  <si>
    <t>Fecha cese cotización</t>
  </si>
  <si>
    <t>PAD</t>
  </si>
  <si>
    <t>Capitalizacón Póliza</t>
  </si>
  <si>
    <t>Moderado</t>
  </si>
  <si>
    <t>Alto riesgo</t>
  </si>
  <si>
    <t>Mi propio perfil</t>
  </si>
  <si>
    <t>Perfil arriesgado: 4,34%</t>
  </si>
  <si>
    <t>Perfil moderado: 2,04%</t>
  </si>
  <si>
    <t>Perfil conservador: 1,40%</t>
  </si>
  <si>
    <t>Derechos consolidados / Provisiones matemáticas</t>
  </si>
  <si>
    <t>Fecha Fondo</t>
  </si>
  <si>
    <t>Pensión total del Segundo Pilar:</t>
  </si>
  <si>
    <t>Pensión total del Primer Pilar:</t>
  </si>
  <si>
    <t>Pensión total de jubilación:</t>
  </si>
  <si>
    <t>Importe mensual</t>
  </si>
  <si>
    <t>Importe anual</t>
  </si>
  <si>
    <t>Pensión total del Tercer Pilar:</t>
  </si>
  <si>
    <t>Crecimiento del IPC:</t>
  </si>
  <si>
    <t>Crecimiento salarial:</t>
  </si>
  <si>
    <t>HIPÓTESIS EMPLEADAS</t>
  </si>
  <si>
    <t>SEGUNDO PILAR: AHORRO EMPRESARIAL</t>
  </si>
  <si>
    <t>Edad de jubilación</t>
  </si>
  <si>
    <t>Modalidad de jubilación:</t>
  </si>
  <si>
    <t>Sexo:</t>
  </si>
  <si>
    <t>Fecha de nacimiento:</t>
  </si>
  <si>
    <t>PRIMER PILAR: PRESTACIONES DEL SISTEMA PÚBLICO</t>
  </si>
  <si>
    <t>Cobertura sobre el salario</t>
  </si>
  <si>
    <t>Pensión total del Primer Pilar</t>
  </si>
  <si>
    <t>TERCER PILAR: AHORRO INDIVIDUAL</t>
  </si>
  <si>
    <t>Crecimiento BC de la SS:</t>
  </si>
  <si>
    <t>Aportación anual vehículo 1</t>
  </si>
  <si>
    <t>Aportación anual vehículo 2</t>
  </si>
  <si>
    <t>Aportación anual vehículo 3</t>
  </si>
  <si>
    <t>Tablas de mortalidad:</t>
  </si>
  <si>
    <t>Pensión estimada vitalicia en términos brutos</t>
  </si>
  <si>
    <t>Ratio de sustitución de ingresos</t>
  </si>
  <si>
    <t>Número de años a percibir la renta</t>
  </si>
  <si>
    <t>DATOS EN LA FECHA DE JUBILACIÓN</t>
  </si>
  <si>
    <t>Años cotizados en la fecha actual:</t>
  </si>
  <si>
    <t>A continuación se indica cada una de las pensiones a las que tendría derecho y la cobertura que supone cada una de ellas sobre el salario en la fecha de jubilación:</t>
  </si>
  <si>
    <t>Fecha de jubilación anticipada:</t>
  </si>
  <si>
    <t>Disminución de ingresos respecto del último salario (GAP):</t>
  </si>
  <si>
    <t>Disminución de ingresos respecto del último salario (GAP)</t>
  </si>
  <si>
    <t>Importe estimado mensual de cada término</t>
  </si>
  <si>
    <t>Indique el importe mensual que desearía percibir:</t>
  </si>
  <si>
    <t>En función del importe mensual estimado a percibir que ha introducido, el número de años estimados a percibir dicho importe es de:</t>
  </si>
  <si>
    <t>En función del número de años estimado a percibir que ha introducido, el importe mensual estimado de renta a percibir durante dichos años es de:</t>
  </si>
  <si>
    <t>Rentabilidad con la que se capitalizan las aportaciones hasta la fecha de jubilación</t>
  </si>
  <si>
    <t>Tabla de años</t>
  </si>
  <si>
    <t>Si es Año</t>
  </si>
  <si>
    <t>Dato</t>
  </si>
  <si>
    <t>Instrucción</t>
  </si>
  <si>
    <t>Fondos acumulados</t>
  </si>
  <si>
    <t>Si es importe</t>
  </si>
  <si>
    <t>Final</t>
  </si>
  <si>
    <t>Flex</t>
  </si>
  <si>
    <t>Años para jubilación</t>
  </si>
  <si>
    <t>Dato importante que la rentabilidad supongo que es igual la del fondo que la de la póliza</t>
  </si>
  <si>
    <t>Aportación plan</t>
  </si>
  <si>
    <t>Aportación póliza</t>
  </si>
  <si>
    <t>Proyección Plan</t>
  </si>
  <si>
    <t>Proyección Póliza</t>
  </si>
  <si>
    <t>Fecha Cese Voluntario</t>
  </si>
  <si>
    <t>F. Cese</t>
  </si>
  <si>
    <t>Días</t>
  </si>
  <si>
    <t>Nueva fecha de jub.</t>
  </si>
  <si>
    <t>Años</t>
  </si>
  <si>
    <t>Medio año es una y media año es otra</t>
  </si>
  <si>
    <t>texto PAD</t>
  </si>
  <si>
    <t>Debe completar todos los campos sombreados en verde</t>
  </si>
  <si>
    <t>PPE</t>
  </si>
  <si>
    <t>Póliza</t>
  </si>
  <si>
    <t>Pad</t>
  </si>
  <si>
    <t>Prestaciones</t>
  </si>
  <si>
    <t>Capital estimado alcanzado en la fecha de jubilación</t>
  </si>
  <si>
    <t>Necesito poder capitalizar una cuantia cuando me meto a simular y tengo 68 años</t>
  </si>
  <si>
    <t>Años posteriores a ordinaria</t>
  </si>
  <si>
    <t>SI/NO</t>
  </si>
  <si>
    <t>FECHA</t>
  </si>
  <si>
    <t>Fecha Def</t>
  </si>
  <si>
    <t>Con límite a hoy</t>
  </si>
  <si>
    <t>Prolongada</t>
  </si>
  <si>
    <t>¿Cuál es mi pensión de jubilación?</t>
  </si>
  <si>
    <t>¿Cómo quiero cobrar mi prestación de jubilación?</t>
  </si>
  <si>
    <t>¿Cuándo voy a jubilarme?</t>
  </si>
  <si>
    <t>Mi jubilación</t>
  </si>
  <si>
    <t>Vehículos financieros contratados por su empresa a su favor</t>
  </si>
  <si>
    <t xml:space="preserve">Sus propios vehículos financieros </t>
  </si>
  <si>
    <t>Seleccione la rentabilidad estimada</t>
  </si>
  <si>
    <t xml:space="preserve">Introduzca el importe que tiene acumulado  así como la fecha a la que están calculados. </t>
  </si>
  <si>
    <t>P. Excesos</t>
  </si>
  <si>
    <t>Póliza Flex</t>
  </si>
  <si>
    <t>P. Ahorro</t>
  </si>
  <si>
    <t>Tipo conversión renta</t>
  </si>
  <si>
    <t>Chart 37</t>
  </si>
  <si>
    <t>Chart 4</t>
  </si>
  <si>
    <t>Chart 38</t>
  </si>
  <si>
    <t>Póliza flex</t>
  </si>
  <si>
    <t>Capital jubilación</t>
  </si>
  <si>
    <t>Pensión mensual</t>
  </si>
  <si>
    <t>Aportación anual empresa</t>
  </si>
  <si>
    <t>Aportación anual empleado</t>
  </si>
  <si>
    <t>Aportación anual voluntaria empleado</t>
  </si>
  <si>
    <t>Póliza de Ahorro</t>
  </si>
  <si>
    <t>P. Flex</t>
  </si>
  <si>
    <t>Capital total estimado alcanzado en la fecha de jubilación</t>
  </si>
  <si>
    <t>Seleccione en el desplegable la opción preferida</t>
  </si>
  <si>
    <t>New style aport volun</t>
  </si>
  <si>
    <t>Plan de pensiones y póliza de Excesos</t>
  </si>
  <si>
    <t>Pensión vitalicia estimada en términos brutos</t>
  </si>
  <si>
    <t>Póliza ahorro</t>
  </si>
  <si>
    <t>IF(#REF!$D$14="Sí";$I$5*G7;0)</t>
  </si>
  <si>
    <t xml:space="preserve">Ratio de sustitución de ingresos </t>
  </si>
  <si>
    <t>Pensión de jubilación estimada Seguridad Social</t>
  </si>
  <si>
    <t>Porcentaje aplicado a la base reguladora en función de los años cotizados</t>
  </si>
  <si>
    <t>Indique el importe mensual que desearía percibir</t>
  </si>
  <si>
    <t>Indique el número de años durante los cuales desearía percibir la prestación</t>
  </si>
  <si>
    <t>Salario Total anual bruto:</t>
  </si>
  <si>
    <t>Periodo cotizado en la fecha actual:</t>
  </si>
  <si>
    <t>Meses cotizados excedentes de los años:</t>
  </si>
  <si>
    <t>Sexo: Seleccione Hombre o Mujer en el desplegable:</t>
  </si>
  <si>
    <t>Código de empleado:</t>
  </si>
  <si>
    <t>Introduca el dígito del número de hijos:</t>
  </si>
  <si>
    <t xml:space="preserve"> ¿Bajo que modalidad le gustaría acceder a la jubilación? </t>
  </si>
  <si>
    <t>PRIMER PILAR DE LA PREVISIÓN SOCIAL: PRESTACIONES DEL SISTEMA PÚBLICO</t>
  </si>
  <si>
    <t>SEGUNDO PILAR DE LA PREVISIÓN SOCIAL: AHORRO EMPRESARIAL</t>
  </si>
  <si>
    <t>P. excesos</t>
  </si>
  <si>
    <t>TERCER PILAR DE LA PREVISIÓN SOCIAL: AHORRO INDIVIDUAL</t>
  </si>
  <si>
    <t>Años cotizados actual:</t>
  </si>
  <si>
    <t>Salario Total a jubilación:</t>
  </si>
  <si>
    <t>PLANIFICACIÓN DE LA JUBILACIÓN: RESUMEN DE LOS COMPROMISOS</t>
  </si>
  <si>
    <t>Rentabilidad del 2º Pilar:</t>
  </si>
  <si>
    <t>Crecimiento Pensiones SS:</t>
  </si>
  <si>
    <t>Rentabilidad plan individual:</t>
  </si>
  <si>
    <t>Tipo de conversación renta:</t>
  </si>
  <si>
    <t>99:110</t>
  </si>
  <si>
    <t>Rentabilidad del vehículo del Pilar III:</t>
  </si>
  <si>
    <t>Crecimiento de la Base de Cotización de la Seguridad Social:</t>
  </si>
  <si>
    <t>Crecimiento de la Pensiones de la Seguridad Social:</t>
  </si>
  <si>
    <t>HIPÓTESIS</t>
  </si>
  <si>
    <t>Pensión total de jubilación</t>
  </si>
  <si>
    <t>Ratio de sustitución</t>
  </si>
  <si>
    <t>Pensión de jubilación del vehículo individual:</t>
  </si>
  <si>
    <t>Fondo acumulado por las aportaciones totales:</t>
  </si>
  <si>
    <t>Aportación anual al vehículo individual:</t>
  </si>
  <si>
    <t>Pensión de jubilación de la Seguridad Social:</t>
  </si>
  <si>
    <t>Porcentaje de base reguladora por los años cotizados:</t>
  </si>
  <si>
    <t>Años cotizados en la fecha de jubilación:</t>
  </si>
  <si>
    <t>Fecha de jubilación:</t>
  </si>
  <si>
    <t>Modalidad de jubilación escogida:</t>
  </si>
  <si>
    <t>5% Sal. Pensionable</t>
  </si>
  <si>
    <t>Pensión de jubilación Seg. Social:</t>
  </si>
  <si>
    <t>Pensión de jubilación PPE:</t>
  </si>
  <si>
    <t>Pensión de jubilación P. Excesos:</t>
  </si>
  <si>
    <t>Pensión de jubilación P. Ahorro</t>
  </si>
  <si>
    <t>Pensión de jubilación Póliza flex:</t>
  </si>
  <si>
    <t>Pensión jubilación plan individual:</t>
  </si>
  <si>
    <t>Modalidad de cobro</t>
  </si>
  <si>
    <t>Capital estimado a fecha jubilación PPE:</t>
  </si>
  <si>
    <t>Capital estimado a fecha jubilación P. Excesos:</t>
  </si>
  <si>
    <t>Capital estimado a fecha jubilación P. Ahorro:</t>
  </si>
  <si>
    <t>Capital estimado a fecha jubilación Póliza flex:</t>
  </si>
  <si>
    <t>PRESTACIÓN TOTAL DE JUBILACIÓN DEL AHORRO EMPRESARIAL</t>
  </si>
  <si>
    <t>CAPITAL ESTIMADO A FECHA DE JUBILACIÓN</t>
  </si>
  <si>
    <t>SIMULADOR DE PRESTACIONES</t>
  </si>
  <si>
    <t>Capital</t>
  </si>
  <si>
    <t>Renta temporal</t>
  </si>
  <si>
    <t>Indique el número de años que desearía percibir la prestación:</t>
  </si>
  <si>
    <t>El importe mensual estimado de renta a percibir en dichos años es:</t>
  </si>
  <si>
    <t>El número de años estimados a percibir dicho importe es:</t>
  </si>
  <si>
    <t>Inserte fondo a convertir en renta en la fecha de jubilación</t>
  </si>
  <si>
    <t>La prestación de capital consiste en una percepción de pago único.</t>
  </si>
  <si>
    <t>Constante:</t>
  </si>
  <si>
    <t>sólo aport este año</t>
  </si>
  <si>
    <t>* tendría en cuenta que la provisión matematica se actualiza cada mes.</t>
  </si>
  <si>
    <t xml:space="preserve">P </t>
  </si>
  <si>
    <t>n</t>
  </si>
  <si>
    <t>NM</t>
  </si>
  <si>
    <t>C</t>
  </si>
  <si>
    <t>Vf</t>
  </si>
  <si>
    <t>renta vitalicia</t>
  </si>
  <si>
    <t>Aportación definida C</t>
  </si>
  <si>
    <t>fecha jub</t>
  </si>
  <si>
    <t>fecha inicio</t>
  </si>
  <si>
    <t>puntual men</t>
  </si>
  <si>
    <t>Puntual anual</t>
  </si>
  <si>
    <t>Continua anual</t>
  </si>
  <si>
    <t>Introduzca la aportación anual que planifica realizar a sus planes de previsión privados:</t>
  </si>
  <si>
    <t>Capital estimado a fecha jubilación vehiculos individuales:</t>
  </si>
  <si>
    <r>
      <rPr>
        <b/>
        <sz val="14"/>
        <color rgb="FF001D9A"/>
        <rFont val="Arial"/>
        <family val="2"/>
      </rPr>
      <t>¿</t>
    </r>
    <r>
      <rPr>
        <b/>
        <sz val="11"/>
        <color rgb="FF001D9A"/>
        <rFont val="Arial"/>
        <family val="2"/>
      </rPr>
      <t>Cuál será el ratio de sustitución resultado de mis aportaciones a vehiculos individuales</t>
    </r>
    <r>
      <rPr>
        <b/>
        <sz val="14"/>
        <color rgb="FF001D9A"/>
        <rFont val="Arial"/>
        <family val="2"/>
      </rPr>
      <t>?</t>
    </r>
  </si>
  <si>
    <r>
      <rPr>
        <b/>
        <sz val="14"/>
        <color rgb="FF7030A0"/>
        <rFont val="Arial"/>
        <family val="2"/>
      </rPr>
      <t>¿</t>
    </r>
    <r>
      <rPr>
        <b/>
        <sz val="11"/>
        <color rgb="FF7030A0"/>
        <rFont val="Arial"/>
        <family val="2"/>
      </rPr>
      <t>Cuál sería la aportación anual necesaria para conseguir mi pensión mensual deseada</t>
    </r>
    <r>
      <rPr>
        <b/>
        <sz val="14"/>
        <color rgb="FF7030A0"/>
        <rFont val="Arial"/>
        <family val="2"/>
      </rPr>
      <t>?</t>
    </r>
  </si>
  <si>
    <t xml:space="preserve">Fechas actualizaciones </t>
  </si>
  <si>
    <t>Tabla de motalidad</t>
  </si>
  <si>
    <t>Ultima actualización IPC</t>
  </si>
  <si>
    <t>Ultima actualización BMCSS</t>
  </si>
  <si>
    <t>Ultima actualización PMCSS</t>
  </si>
  <si>
    <t>Funciones Secundarias/Auxiliares para EASA</t>
  </si>
  <si>
    <t>Perfil</t>
  </si>
  <si>
    <t xml:space="preserve">Información para desplegable ¿Bajo que modalidad le gustaría acceder a la jubilación? </t>
  </si>
  <si>
    <t>Fórmulas para los ratios de cobertura (gráfico anillo)</t>
  </si>
  <si>
    <t>Pensión de seguridad social</t>
  </si>
  <si>
    <t>Gaap de ingresos</t>
  </si>
  <si>
    <t>Desplegable Jubilación prolongada y anticipada</t>
  </si>
  <si>
    <t>Tasa Crecimiento Salario Medio hasta 2020, siguiendo la hipótesis de que los salarios avancen con el IPC</t>
  </si>
  <si>
    <t>Perfiles de usuarios</t>
  </si>
  <si>
    <t>Desplegable en caso de prolongar la jubilación (ojo se activa si se elige la jub prolongada) es un imput para EASA</t>
  </si>
  <si>
    <t>Fecha hoy</t>
  </si>
  <si>
    <t>Primera fecha jub anticipada posible</t>
  </si>
  <si>
    <t>Edad jub anticipada elegida</t>
  </si>
  <si>
    <t>Fecha jub anticipada elegida</t>
  </si>
  <si>
    <t>Edad jub anticipada o prolongada elegida</t>
  </si>
  <si>
    <t xml:space="preserve"> no se utiliza </t>
  </si>
  <si>
    <t>Calculo fecha de jubilación anticipada/prolongada</t>
  </si>
  <si>
    <t>Definicion de perfil del usuario</t>
  </si>
  <si>
    <t>Pensión desada anual!</t>
  </si>
  <si>
    <t>Gráfico de ratio de sustitución · Pilar</t>
  </si>
  <si>
    <t>Criterio de cálculo del fondo</t>
  </si>
  <si>
    <t>Desplegable de rentabilidad</t>
  </si>
  <si>
    <t>Desplegable modalidades de cobro "Seleccione en el desplegable la opción preferida"</t>
  </si>
  <si>
    <t>mensajes condicionados a la opción de cobro</t>
  </si>
  <si>
    <t>mensaje condicionado al desplegable de modalidades de cobro</t>
  </si>
  <si>
    <t>Calculo de renta vitalica</t>
  </si>
  <si>
    <t>Gráfico de ratio de sustitución total</t>
  </si>
  <si>
    <t>Mensajes de error al usuario</t>
  </si>
  <si>
    <t>Pensión máxima de seguridad social en el año de la jubilación</t>
  </si>
  <si>
    <t>Edad en la fecha de jubilación ordinaria</t>
  </si>
  <si>
    <t>este mensaje se activa cuando el usuario indica que tiene menos de 15 años cotizados a la fecha de jubilacion</t>
  </si>
  <si>
    <t>Jubilación final sin maternidad:</t>
  </si>
  <si>
    <t>condicional anticipada requisito 35 años cotizados</t>
  </si>
  <si>
    <t>condicional requisito 15 años cotizados para acceso jubilacion</t>
  </si>
  <si>
    <t>condicional para cuando fecha ordinaria es anterior a la fecha de hoy</t>
  </si>
  <si>
    <t>Edad en la primera fecha de jubilación anticipada posible</t>
  </si>
  <si>
    <t>Edades de acceso a la jubilacion</t>
  </si>
  <si>
    <t>Edad de jubilacion ordinaria</t>
  </si>
  <si>
    <t>Edad de jubilacion primera anticipada</t>
  </si>
  <si>
    <t>Mensajes de error para los usurios de acuerdo con la normativa de SS</t>
  </si>
  <si>
    <t>condicional prolongada</t>
  </si>
  <si>
    <t>celda auxiliar que sirve para mostrar la pension de jubilacion en blanco cuando no se cumplen los requisitos</t>
  </si>
  <si>
    <t>Desplegable modalidad de cobro</t>
  </si>
  <si>
    <t>Improvement</t>
  </si>
  <si>
    <t>edad en 2012</t>
  </si>
  <si>
    <t>Annual Qx</t>
  </si>
  <si>
    <t>pension anual deseada: importe introducido por el usuario</t>
  </si>
  <si>
    <t>rentabilidad introducida por el usuario</t>
  </si>
  <si>
    <t>nº meses entre fecha actual y fecha de jubilación: periodo para constituir el ahorro</t>
  </si>
  <si>
    <t>periodicidad</t>
  </si>
  <si>
    <t>aportación mensual necesaria para alcanzar fondo objetivo</t>
  </si>
  <si>
    <t>cheq de fondo objetivo</t>
  </si>
  <si>
    <t>cheq de pensión objetivo</t>
  </si>
  <si>
    <t>Cálculo de aportación necesaria para alcanzar pensión deseada objetivo</t>
  </si>
  <si>
    <t>aportación mensual que se pretende realizar: importe introducido por el usuario</t>
  </si>
  <si>
    <t>Pop out en EASA: si selecciona "SI", el importe de aportación introducido por el usuario se realiza desde hoy hasta la fecha de jubilacion (caso contrario será 1 sola aportacion puntual)</t>
  </si>
  <si>
    <t>fondo proyec 1</t>
  </si>
  <si>
    <t>fondo proyec 2</t>
  </si>
  <si>
    <t>fondo acumulado por 1 sola aportacion anual puntual de importe introducido por el usuario + fondo ya acumulado</t>
  </si>
  <si>
    <t>fondo acumulado por aportacion anual desde fecha actual a fecha de jubilacion de importe introducido por el usuario + fondo ya acumulado</t>
  </si>
  <si>
    <t>Se capitalizan los DDCC desde la fecha que se informa hasta la fecha de jubilacion. De manera adicional, en caso de que el usuario seleccione "NO" (no va a continuar haciendo aportaciones hasta la jubilacion) el usuario hará en el momento actual una única aportación de importe igual al introducido. En caso de que seleccione "SI" (sí va a continuar realizando aportaciones hasta jubilación) suponemos que en el año en curso realiza aportacion por el importe introducido y a partir del año que viene las realiza mensuales.</t>
  </si>
  <si>
    <t>fecha DDCC</t>
  </si>
  <si>
    <t>Capitalizacion de aportaciones según importe y rentabilidad introducidos por usuario</t>
  </si>
  <si>
    <t>i mensual</t>
  </si>
  <si>
    <t>Forma de cobro de la renta</t>
  </si>
  <si>
    <t>Si</t>
  </si>
  <si>
    <t>PER2020_Col (seguros de supervivencia colectivos) 1er Orden</t>
  </si>
  <si>
    <t>PERMF2020</t>
  </si>
  <si>
    <t>Fecha de jubilación final</t>
  </si>
  <si>
    <t>Gráfico susitucion acumulado</t>
  </si>
  <si>
    <t xml:space="preserve">  Gaap de ingresos</t>
  </si>
  <si>
    <t xml:space="preserve">  Vehículo de ahorro individual </t>
  </si>
  <si>
    <t xml:space="preserve">  Pensión total del Primer Pilar</t>
  </si>
  <si>
    <t xml:space="preserve">  Pensión total del Tercer Pilar</t>
  </si>
  <si>
    <t xml:space="preserve">  Disminución de ingresos respecto del último salario (GAP)</t>
  </si>
  <si>
    <t xml:space="preserve">  Disminución de ingresos respecto del último salario (GAP) sin Pilar II</t>
  </si>
  <si>
    <t>Ratio de cobertuta total (sin Pilar II)</t>
  </si>
  <si>
    <t>fecha fondo acumulado</t>
  </si>
  <si>
    <t>Edad de jubilación:</t>
  </si>
  <si>
    <t>Salario fijo</t>
  </si>
  <si>
    <t>Salario variable</t>
  </si>
  <si>
    <t>Salario Fijo anual bruto:</t>
  </si>
  <si>
    <t>DDCC</t>
  </si>
  <si>
    <r>
      <t xml:space="preserve">fondo necesario en la fecha de jubilacion para pensión deseada introducida por usuario </t>
    </r>
    <r>
      <rPr>
        <b/>
        <sz val="9"/>
        <color rgb="FF0000FF"/>
        <rFont val="Arial"/>
        <family val="2"/>
      </rPr>
      <t>teniendo en cuenta sus derechos consolidados</t>
    </r>
  </si>
  <si>
    <t>DDCC capitalizados a fecha de jubilación</t>
  </si>
  <si>
    <t>(1+'Aportaciones PP indvidual'!$G$5)^(1/12)-1</t>
  </si>
  <si>
    <t>Periodo de cotización utilizado para cálculos</t>
  </si>
  <si>
    <t>Meses cotizados</t>
  </si>
  <si>
    <t>Número de hijos</t>
  </si>
  <si>
    <t>Usuario</t>
  </si>
  <si>
    <t xml:space="preserve">Ratio de sustitución acumulado </t>
  </si>
  <si>
    <t>GAP acumulado</t>
  </si>
  <si>
    <t>Aportación anual adicional empresa</t>
  </si>
  <si>
    <t>Condicionado a H12 Pilar II</t>
  </si>
  <si>
    <t>PPMM en Excesos</t>
  </si>
  <si>
    <t>en PPE</t>
  </si>
  <si>
    <t>Pop out</t>
  </si>
  <si>
    <t>0% Sal. Pensionable</t>
  </si>
  <si>
    <t>Respuesta</t>
  </si>
  <si>
    <t>Texto condicionado a Respuesta</t>
  </si>
  <si>
    <t>Aportación voluntaria del empleado en el PPE</t>
  </si>
  <si>
    <t>Ratio de sustitución total</t>
  </si>
  <si>
    <t>GAP Pilar II</t>
  </si>
  <si>
    <t>Gráficos circulos</t>
  </si>
  <si>
    <t>Fondo acumulado PPE</t>
  </si>
  <si>
    <t>Fondo acumulado Flex</t>
  </si>
  <si>
    <t>Gráficos quesitos en función de la categoría/perfil de empleado</t>
  </si>
  <si>
    <t>Gráfico Perfil 1</t>
  </si>
  <si>
    <t>Perfil de empleado</t>
  </si>
  <si>
    <t>Numero de gráfico</t>
  </si>
  <si>
    <t>Cobertura total</t>
  </si>
  <si>
    <t>GAP total</t>
  </si>
  <si>
    <t>Gráfico Perfil 3</t>
  </si>
  <si>
    <t>Gráfico Perfil 4</t>
  </si>
  <si>
    <t>Fondo acumulado P. Ahorro</t>
  </si>
  <si>
    <t>Fondo acumulado P.Ex</t>
  </si>
  <si>
    <r>
      <t xml:space="preserve">Condicionalidad de realizar aportaciones hasta jubilación en Poliza Flex </t>
    </r>
    <r>
      <rPr>
        <b/>
        <sz val="11"/>
        <color rgb="FFFF0000"/>
        <rFont val="Arial"/>
        <family val="2"/>
      </rPr>
      <t>(de momento no se está empleando)</t>
    </r>
  </si>
  <si>
    <t>¿Desea realizar la aportación voluntaria a su cargo? Esta aportación es del 0,5% del salario pensionable y en caso de realizarla, la empresa realizará una aportación de igual importe a su favor</t>
  </si>
  <si>
    <t>mes</t>
  </si>
  <si>
    <t>año</t>
  </si>
  <si>
    <t>Ap partícipes</t>
  </si>
  <si>
    <t>Mesyaño</t>
  </si>
  <si>
    <t>Ap participe</t>
  </si>
  <si>
    <t>Mensual</t>
  </si>
  <si>
    <t>Acumulado anual</t>
  </si>
  <si>
    <t>Acumulado anual PPE</t>
  </si>
  <si>
    <t>Ap promotor adicional</t>
  </si>
  <si>
    <t>Ap promotor corriente</t>
  </si>
  <si>
    <t>Capacidad fiscal disponible</t>
  </si>
  <si>
    <t>limite individual</t>
  </si>
  <si>
    <t>limite conjunto</t>
  </si>
  <si>
    <t>Ap PPE partícipe</t>
  </si>
  <si>
    <t>Ap Excesos partícipe</t>
  </si>
  <si>
    <t>Ap PPE promotor adicional</t>
  </si>
  <si>
    <t>Ap Excesos promotor adicional</t>
  </si>
  <si>
    <t>Ap PPE promotor corriente</t>
  </si>
  <si>
    <t>Ap Excesos promotor corriente</t>
  </si>
  <si>
    <t>PPMM en jubilacion</t>
  </si>
  <si>
    <t>Gráfico Perfil 2</t>
  </si>
  <si>
    <t>Aportación anual voluntaria empresa</t>
  </si>
  <si>
    <t>Predict no lo muestra</t>
  </si>
  <si>
    <t xml:space="preserve">  Pensión total del Segundo Pilar</t>
  </si>
  <si>
    <t>Ap continuada?</t>
  </si>
  <si>
    <t>AP mensual cte</t>
  </si>
  <si>
    <t>Ap mensual proyectada</t>
  </si>
  <si>
    <t>no se emplea: por si cese</t>
  </si>
  <si>
    <t>se puede eliminar</t>
  </si>
  <si>
    <t>2% Sal. Pensionable</t>
  </si>
  <si>
    <t xml:space="preserve">Flex </t>
  </si>
  <si>
    <t>Gráfico Perfil 5</t>
  </si>
  <si>
    <t>Fondo acumulado proyectado por las aportaciones totales:</t>
  </si>
  <si>
    <t>Aportación anual al Plan de Previsión:</t>
  </si>
  <si>
    <t>Pensión de jubilación del Plan de Previsión</t>
  </si>
  <si>
    <t>Flex + PAD</t>
  </si>
  <si>
    <t>M</t>
  </si>
  <si>
    <t>V</t>
  </si>
  <si>
    <t>¿Cómo le gustaría percibir su complemento económico?</t>
  </si>
  <si>
    <t>Pago único</t>
  </si>
  <si>
    <t>Complemento vitalicio</t>
  </si>
  <si>
    <t>Pago unico por retraso edad de jubilación</t>
  </si>
  <si>
    <t>años cotizados a edad ordinaria</t>
  </si>
  <si>
    <t>pensión inicial</t>
  </si>
  <si>
    <t>pago unico por año de retraso</t>
  </si>
  <si>
    <t>pago unico total</t>
  </si>
  <si>
    <t>Importe del pago único por prolongación acceso jubilacion</t>
  </si>
  <si>
    <t>Ordinaria</t>
  </si>
  <si>
    <t>Legislacion actual</t>
  </si>
  <si>
    <t>El 2,00% si se acreditan menos de 38,5 años cotizados.</t>
  </si>
  <si>
    <t>El 1,875% si se acreditan entre 38,5 y 41,5 años cotizados.</t>
  </si>
  <si>
    <t>El 1,75% si se acreditan entre 41,5 y 44,5 años cotizados.</t>
  </si>
  <si>
    <t>El 1,625% si se acreditan más de 44,5 años cotizados.</t>
  </si>
  <si>
    <t>Los coeficientes sombreados en naranja implican una mayor penalización que los coeficientes actuales o coeficientes previos al cambio legislativo</t>
  </si>
  <si>
    <t>Menos de 38 años y 6 meses cotizados</t>
  </si>
  <si>
    <t>Más de 38 años y 6 meses cotizados y menos de 41 años y 6 meses</t>
  </si>
  <si>
    <t>Más de 41 años y 6 meses cotizados y menos de 44 años y 6 meses</t>
  </si>
  <si>
    <t>Más de 44 años y medio cotizados</t>
  </si>
  <si>
    <t>Meses Anticipo</t>
  </si>
  <si>
    <t>Coefic. Actual</t>
  </si>
  <si>
    <t>Coefic. planteado</t>
  </si>
  <si>
    <t>Diferencia</t>
  </si>
  <si>
    <t>16%</t>
  </si>
  <si>
    <t>21%</t>
  </si>
  <si>
    <t>15%</t>
  </si>
  <si>
    <t>19%</t>
  </si>
  <si>
    <t>14%</t>
  </si>
  <si>
    <t>17%</t>
  </si>
  <si>
    <t>13%</t>
  </si>
  <si>
    <t>17,6%</t>
  </si>
  <si>
    <t>16,5%</t>
  </si>
  <si>
    <t>12%</t>
  </si>
  <si>
    <t>14,67%</t>
  </si>
  <si>
    <t>13,33%</t>
  </si>
  <si>
    <t>11%</t>
  </si>
  <si>
    <t>12,57%</t>
  </si>
  <si>
    <t>13,125%</t>
  </si>
  <si>
    <t>12,25%</t>
  </si>
  <si>
    <t>11,43%</t>
  </si>
  <si>
    <t>11,375%</t>
  </si>
  <si>
    <t>10%</t>
  </si>
  <si>
    <t>10,5%</t>
  </si>
  <si>
    <t>9,2%</t>
  </si>
  <si>
    <t>9,78%</t>
  </si>
  <si>
    <t>9,33%</t>
  </si>
  <si>
    <t>8,89%</t>
  </si>
  <si>
    <t>8,4%</t>
  </si>
  <si>
    <t>8,8%</t>
  </si>
  <si>
    <t>11,25%</t>
  </si>
  <si>
    <t>8%</t>
  </si>
  <si>
    <t>9,75%</t>
  </si>
  <si>
    <t>7,6%</t>
  </si>
  <si>
    <t>7,64%</t>
  </si>
  <si>
    <t>7,27%</t>
  </si>
  <si>
    <t>6,91%</t>
  </si>
  <si>
    <t>7,33%</t>
  </si>
  <si>
    <t>7%</t>
  </si>
  <si>
    <t>6,67%</t>
  </si>
  <si>
    <t>6,33%</t>
  </si>
  <si>
    <t>6,77%</t>
  </si>
  <si>
    <t>9,375%</t>
  </si>
  <si>
    <t>6,46%</t>
  </si>
  <si>
    <t>8,75%</t>
  </si>
  <si>
    <t>6,15%</t>
  </si>
  <si>
    <t>8,125%</t>
  </si>
  <si>
    <t>5,85%</t>
  </si>
  <si>
    <t>6,29%</t>
  </si>
  <si>
    <t>6%</t>
  </si>
  <si>
    <t>5,71%</t>
  </si>
  <si>
    <t>5,43%</t>
  </si>
  <si>
    <t>5,87%</t>
  </si>
  <si>
    <t>5,6%</t>
  </si>
  <si>
    <t>5,33%</t>
  </si>
  <si>
    <t>5,07%</t>
  </si>
  <si>
    <t>5,5%</t>
  </si>
  <si>
    <t>7,5%</t>
  </si>
  <si>
    <t>5,25%</t>
  </si>
  <si>
    <t>5%</t>
  </si>
  <si>
    <t>6,5%</t>
  </si>
  <si>
    <t>4,75%</t>
  </si>
  <si>
    <t>5,18%</t>
  </si>
  <si>
    <t>4,94%</t>
  </si>
  <si>
    <t>4,71%</t>
  </si>
  <si>
    <t>4,47%</t>
  </si>
  <si>
    <t>4,89%</t>
  </si>
  <si>
    <t>4,67%</t>
  </si>
  <si>
    <t>4,44%</t>
  </si>
  <si>
    <t>4,22%</t>
  </si>
  <si>
    <t>4,63%</t>
  </si>
  <si>
    <t>5,625%</t>
  </si>
  <si>
    <t>4,42%</t>
  </si>
  <si>
    <t>4,21%</t>
  </si>
  <si>
    <t>4,875%</t>
  </si>
  <si>
    <t>4%</t>
  </si>
  <si>
    <t>4,4%</t>
  </si>
  <si>
    <t>4,2%</t>
  </si>
  <si>
    <t>3,8%</t>
  </si>
  <si>
    <t>4,19%</t>
  </si>
  <si>
    <t>3,81%</t>
  </si>
  <si>
    <t>3,62%</t>
  </si>
  <si>
    <t>3,75%</t>
  </si>
  <si>
    <t>3,82%</t>
  </si>
  <si>
    <t>3,5%</t>
  </si>
  <si>
    <t>3,64%</t>
  </si>
  <si>
    <t>3,25%</t>
  </si>
  <si>
    <t>3,45%</t>
  </si>
  <si>
    <t>3,83%</t>
  </si>
  <si>
    <t>3,65%</t>
  </si>
  <si>
    <t>3,48%</t>
  </si>
  <si>
    <t>3,3%</t>
  </si>
  <si>
    <t>3,67%</t>
  </si>
  <si>
    <t>3,33%</t>
  </si>
  <si>
    <t>3,17%</t>
  </si>
  <si>
    <t>2%</t>
  </si>
  <si>
    <t>3,52%</t>
  </si>
  <si>
    <t>1,875%</t>
  </si>
  <si>
    <t>3,36%</t>
  </si>
  <si>
    <t>1,75%</t>
  </si>
  <si>
    <t>3,2%</t>
  </si>
  <si>
    <t>1,625%</t>
  </si>
  <si>
    <t>3,04%</t>
  </si>
  <si>
    <t>3,38%</t>
  </si>
  <si>
    <t>3,23%</t>
  </si>
  <si>
    <t>3,08%</t>
  </si>
  <si>
    <t>2,92%</t>
  </si>
  <si>
    <t>3,26%</t>
  </si>
  <si>
    <t>3,11%</t>
  </si>
  <si>
    <t>2,96%</t>
  </si>
  <si>
    <t>2,81%</t>
  </si>
  <si>
    <t>Período cotizado inferior a treinta y ocho años y seis meses</t>
  </si>
  <si>
    <t>5,7%</t>
  </si>
  <si>
    <t>7,4%</t>
  </si>
  <si>
    <t>9,1%</t>
  </si>
  <si>
    <t>10,8%</t>
  </si>
  <si>
    <t>12,5%</t>
  </si>
  <si>
    <t>14,2%</t>
  </si>
  <si>
    <t>15,9%</t>
  </si>
  <si>
    <t>19,3%</t>
  </si>
  <si>
    <t>5,36%</t>
  </si>
  <si>
    <t>6,72%</t>
  </si>
  <si>
    <t>8,08%</t>
  </si>
  <si>
    <t>9,44%</t>
  </si>
  <si>
    <t>12,16%</t>
  </si>
  <si>
    <t>13,52%</t>
  </si>
  <si>
    <t>14,88%</t>
  </si>
  <si>
    <t>16,24%</t>
  </si>
  <si>
    <t>6,13%</t>
  </si>
  <si>
    <t>7,2%</t>
  </si>
  <si>
    <t>8,27%</t>
  </si>
  <si>
    <t>9,34%</t>
  </si>
  <si>
    <t>10,4%</t>
  </si>
  <si>
    <t>11,47%</t>
  </si>
  <si>
    <t>12,54%</t>
  </si>
  <si>
    <t>13,6%</t>
  </si>
  <si>
    <t>4,41%</t>
  </si>
  <si>
    <t>5,31%</t>
  </si>
  <si>
    <t>6,22%</t>
  </si>
  <si>
    <t>7,13%</t>
  </si>
  <si>
    <t>8,04%</t>
  </si>
  <si>
    <t>8,94%</t>
  </si>
  <si>
    <t>9,85%</t>
  </si>
  <si>
    <t>10,76%</t>
  </si>
  <si>
    <t>11,66%</t>
  </si>
  <si>
    <t>4,25%</t>
  </si>
  <si>
    <t>5,75%</t>
  </si>
  <si>
    <t>7,25%</t>
  </si>
  <si>
    <t>9,5%</t>
  </si>
  <si>
    <t>10,25%</t>
  </si>
  <si>
    <t>4,13%</t>
  </si>
  <si>
    <t>4,76%</t>
  </si>
  <si>
    <t>5,38%</t>
  </si>
  <si>
    <t>6,01%</t>
  </si>
  <si>
    <t>6,64%</t>
  </si>
  <si>
    <t>7,9%</t>
  </si>
  <si>
    <t>8,52%</t>
  </si>
  <si>
    <t>9,15%</t>
  </si>
  <si>
    <t>3,58%</t>
  </si>
  <si>
    <t>4,16%</t>
  </si>
  <si>
    <t>4,74%</t>
  </si>
  <si>
    <t>5,32%</t>
  </si>
  <si>
    <t>5,9%</t>
  </si>
  <si>
    <t>6,48%</t>
  </si>
  <si>
    <t>7,06%</t>
  </si>
  <si>
    <t>8,22%</t>
  </si>
  <si>
    <t>4,5%</t>
  </si>
  <si>
    <t>3,43%</t>
  </si>
  <si>
    <t>3,87%</t>
  </si>
  <si>
    <t>4,3%</t>
  </si>
  <si>
    <t>4,73%</t>
  </si>
  <si>
    <t>5,17%</t>
  </si>
  <si>
    <t>6,03%</t>
  </si>
  <si>
    <t>6,9%</t>
  </si>
  <si>
    <t>2,93%</t>
  </si>
  <si>
    <t>3,35%</t>
  </si>
  <si>
    <t>3,78%</t>
  </si>
  <si>
    <t>4,64%</t>
  </si>
  <si>
    <t>5,06%</t>
  </si>
  <si>
    <t>5,49%</t>
  </si>
  <si>
    <t>5,92%</t>
  </si>
  <si>
    <t>6,34%</t>
  </si>
  <si>
    <t>2,88%</t>
  </si>
  <si>
    <t>4,02%</t>
  </si>
  <si>
    <t>4,77%</t>
  </si>
  <si>
    <t>5,15%</t>
  </si>
  <si>
    <t>5,53%</t>
  </si>
  <si>
    <t>5,91%</t>
  </si>
  <si>
    <t>2,84%</t>
  </si>
  <si>
    <t>3,51%</t>
  </si>
  <si>
    <t>3,85%</t>
  </si>
  <si>
    <t>4,52%</t>
  </si>
  <si>
    <t>4,86%</t>
  </si>
  <si>
    <t>5,2%</t>
  </si>
  <si>
    <t>2,35%</t>
  </si>
  <si>
    <t>2,7%</t>
  </si>
  <si>
    <t>3,05%</t>
  </si>
  <si>
    <t>3,4%</t>
  </si>
  <si>
    <t>4,1%</t>
  </si>
  <si>
    <t>4,45%</t>
  </si>
  <si>
    <t>4,8%</t>
  </si>
  <si>
    <t>2,32%</t>
  </si>
  <si>
    <t>2,64%</t>
  </si>
  <si>
    <t>2,95%</t>
  </si>
  <si>
    <t>3,27%</t>
  </si>
  <si>
    <t>3,59%</t>
  </si>
  <si>
    <t>3,91%</t>
  </si>
  <si>
    <t>4,23%</t>
  </si>
  <si>
    <t>4,54%</t>
  </si>
  <si>
    <t>2,29%</t>
  </si>
  <si>
    <t>2,58%</t>
  </si>
  <si>
    <t>2,87%</t>
  </si>
  <si>
    <t>3,16%</t>
  </si>
  <si>
    <t>3,73%</t>
  </si>
  <si>
    <t>4,31%</t>
  </si>
  <si>
    <t>4,6%</t>
  </si>
  <si>
    <t>1,81%</t>
  </si>
  <si>
    <t>2,13%</t>
  </si>
  <si>
    <t>2,44%</t>
  </si>
  <si>
    <t>2,75%</t>
  </si>
  <si>
    <t>3,07%</t>
  </si>
  <si>
    <t>3,69%</t>
  </si>
  <si>
    <t>4,32%</t>
  </si>
  <si>
    <t>1,79%</t>
  </si>
  <si>
    <t>2,08%</t>
  </si>
  <si>
    <t>2,37%</t>
  </si>
  <si>
    <t>2,66%</t>
  </si>
  <si>
    <t>3,24%</t>
  </si>
  <si>
    <t>3,53%</t>
  </si>
  <si>
    <t>4,11%</t>
  </si>
  <si>
    <t>1,77%</t>
  </si>
  <si>
    <t>2,04%</t>
  </si>
  <si>
    <t>2,31%</t>
  </si>
  <si>
    <t>2,85%</t>
  </si>
  <si>
    <t>3,92%</t>
  </si>
  <si>
    <t>1,3%</t>
  </si>
  <si>
    <t>1,6%</t>
  </si>
  <si>
    <t>1,9%</t>
  </si>
  <si>
    <t>2,2%</t>
  </si>
  <si>
    <t>2,5%</t>
  </si>
  <si>
    <t>2,8%</t>
  </si>
  <si>
    <t>3,1%</t>
  </si>
  <si>
    <t>3,7%</t>
  </si>
  <si>
    <t>1,28%</t>
  </si>
  <si>
    <t>1,57%</t>
  </si>
  <si>
    <t>1,85%</t>
  </si>
  <si>
    <t>2,42%</t>
  </si>
  <si>
    <t>2,98%</t>
  </si>
  <si>
    <t>3,55%</t>
  </si>
  <si>
    <t>1,27%</t>
  </si>
  <si>
    <t>1,53%</t>
  </si>
  <si>
    <t>1,8%</t>
  </si>
  <si>
    <t>2,07%</t>
  </si>
  <si>
    <t>2,34%</t>
  </si>
  <si>
    <t>2,6%</t>
  </si>
  <si>
    <t>3,14%</t>
  </si>
  <si>
    <t>0,8%</t>
  </si>
  <si>
    <t>1,1%</t>
  </si>
  <si>
    <t>1,41%</t>
  </si>
  <si>
    <t>1,71%</t>
  </si>
  <si>
    <t>2,01%</t>
  </si>
  <si>
    <t>2,61%</t>
  </si>
  <si>
    <t>3,22%</t>
  </si>
  <si>
    <t>0,79%</t>
  </si>
  <si>
    <t>1,08%</t>
  </si>
  <si>
    <t>1,36%</t>
  </si>
  <si>
    <t>1,65%</t>
  </si>
  <si>
    <t>1,94%</t>
  </si>
  <si>
    <t>2,23%</t>
  </si>
  <si>
    <t>2,52%</t>
  </si>
  <si>
    <t>3,09%</t>
  </si>
  <si>
    <t>0,78%</t>
  </si>
  <si>
    <t>1,05%</t>
  </si>
  <si>
    <t>1,33%</t>
  </si>
  <si>
    <t>1,88%</t>
  </si>
  <si>
    <t>2,16%</t>
  </si>
  <si>
    <t>2,43%</t>
  </si>
  <si>
    <t>2,71%</t>
  </si>
  <si>
    <t>Período cotizado igual o superior a treinta y ocho años y seis meses e inferior a cuarenta y un años y seis meses</t>
  </si>
  <si>
    <t>8,5%</t>
  </si>
  <si>
    <t>11,5%</t>
  </si>
  <si>
    <t>14,5%</t>
  </si>
  <si>
    <t>17,5%</t>
  </si>
  <si>
    <t>7,75%</t>
  </si>
  <si>
    <t>9%</t>
  </si>
  <si>
    <t>12,75%</t>
  </si>
  <si>
    <t>15,25%</t>
  </si>
  <si>
    <t>4,35%</t>
  </si>
  <si>
    <t>6,05%</t>
  </si>
  <si>
    <t>8,6%</t>
  </si>
  <si>
    <t>9,45%</t>
  </si>
  <si>
    <t>10,3%</t>
  </si>
  <si>
    <t>11,15%</t>
  </si>
  <si>
    <t>4,9%</t>
  </si>
  <si>
    <t>6,3%</t>
  </si>
  <si>
    <t>7,7%</t>
  </si>
  <si>
    <t>9,8%</t>
  </si>
  <si>
    <t>4,08%</t>
  </si>
  <si>
    <t>5,83%</t>
  </si>
  <si>
    <t>6,42%</t>
  </si>
  <si>
    <t>7,58%</t>
  </si>
  <si>
    <t>8,16%</t>
  </si>
  <si>
    <t>3,54%</t>
  </si>
  <si>
    <t>4,62%</t>
  </si>
  <si>
    <t>5,16%</t>
  </si>
  <si>
    <t>6,24%</t>
  </si>
  <si>
    <t>6,78%</t>
  </si>
  <si>
    <t>7,32%</t>
  </si>
  <si>
    <t>7,86%</t>
  </si>
  <si>
    <t>3,46%</t>
  </si>
  <si>
    <t>3,93%</t>
  </si>
  <si>
    <t>4,39%</t>
  </si>
  <si>
    <t>5,78%</t>
  </si>
  <si>
    <t>6,25%</t>
  </si>
  <si>
    <t>6,71%</t>
  </si>
  <si>
    <t>7,18%</t>
  </si>
  <si>
    <t>5,4%</t>
  </si>
  <si>
    <t>5,8%</t>
  </si>
  <si>
    <t>6,2%</t>
  </si>
  <si>
    <t>6,6%</t>
  </si>
  <si>
    <t>2,9%</t>
  </si>
  <si>
    <t>3,29%</t>
  </si>
  <si>
    <t>4,48%</t>
  </si>
  <si>
    <t>4,88%</t>
  </si>
  <si>
    <t>5,27%</t>
  </si>
  <si>
    <t>5,67%</t>
  </si>
  <si>
    <t>6,06%</t>
  </si>
  <si>
    <t>3,9%</t>
  </si>
  <si>
    <t>4,95%</t>
  </si>
  <si>
    <t>5,3%</t>
  </si>
  <si>
    <t>5,65%</t>
  </si>
  <si>
    <t>3,12%</t>
  </si>
  <si>
    <t>3,74%</t>
  </si>
  <si>
    <t>4,05%</t>
  </si>
  <si>
    <t>4,36%</t>
  </si>
  <si>
    <t>4,98%</t>
  </si>
  <si>
    <t>5,29%</t>
  </si>
  <si>
    <t>2,33%</t>
  </si>
  <si>
    <t>2,65%</t>
  </si>
  <si>
    <t>3,63%</t>
  </si>
  <si>
    <t>3,95%</t>
  </si>
  <si>
    <t>4,28%</t>
  </si>
  <si>
    <t>4,93%</t>
  </si>
  <si>
    <t>2,59%</t>
  </si>
  <si>
    <t>3,18%</t>
  </si>
  <si>
    <t>3,47%</t>
  </si>
  <si>
    <t>3,76%</t>
  </si>
  <si>
    <t>4,06%</t>
  </si>
  <si>
    <t>4,65%</t>
  </si>
  <si>
    <t>2,27%</t>
  </si>
  <si>
    <t>2,53%</t>
  </si>
  <si>
    <t>3,34%</t>
  </si>
  <si>
    <t>3,6%</t>
  </si>
  <si>
    <t>4,14%</t>
  </si>
  <si>
    <t>2,38%</t>
  </si>
  <si>
    <t>2,67%</t>
  </si>
  <si>
    <t>3,84%</t>
  </si>
  <si>
    <t>3,39%</t>
  </si>
  <si>
    <t>3,66%</t>
  </si>
  <si>
    <t>2,25%</t>
  </si>
  <si>
    <t>3%</t>
  </si>
  <si>
    <t>1,56%</t>
  </si>
  <si>
    <t>2,41%</t>
  </si>
  <si>
    <t>2,69%</t>
  </si>
  <si>
    <t>2,97%</t>
  </si>
  <si>
    <t>2,06%</t>
  </si>
  <si>
    <t>2,86%</t>
  </si>
  <si>
    <t>1,25%</t>
  </si>
  <si>
    <t>1,5%</t>
  </si>
  <si>
    <t>1,07%</t>
  </si>
  <si>
    <t>1,64%</t>
  </si>
  <si>
    <t>1,93%</t>
  </si>
  <si>
    <t>2,22%</t>
  </si>
  <si>
    <t>2,79%</t>
  </si>
  <si>
    <t>0,77%</t>
  </si>
  <si>
    <t>1,32%</t>
  </si>
  <si>
    <t>1,59%</t>
  </si>
  <si>
    <t>1,87%</t>
  </si>
  <si>
    <t>2,14%</t>
  </si>
  <si>
    <t>2,68%</t>
  </si>
  <si>
    <t>0,76%</t>
  </si>
  <si>
    <t>1,02%</t>
  </si>
  <si>
    <t>1,54%</t>
  </si>
  <si>
    <t>Período cotizado igual o superior a cuarenta y un años y seis meses e inferior a cuarenta y cuatro años y seis meses</t>
  </si>
  <si>
    <t>11,8%</t>
  </si>
  <si>
    <t>13,1%</t>
  </si>
  <si>
    <t>14,4%</t>
  </si>
  <si>
    <t>15,7%</t>
  </si>
  <si>
    <t>5,1%</t>
  </si>
  <si>
    <t>7,3%</t>
  </si>
  <si>
    <t>10,6%</t>
  </si>
  <si>
    <t>11,7%</t>
  </si>
  <si>
    <t>12,8%</t>
  </si>
  <si>
    <t>13,9%</t>
  </si>
  <si>
    <t>6,8%</t>
  </si>
  <si>
    <t>7,73%</t>
  </si>
  <si>
    <t>8,67%</t>
  </si>
  <si>
    <t>9,6%</t>
  </si>
  <si>
    <t>10,53%</t>
  </si>
  <si>
    <t>11,46%</t>
  </si>
  <si>
    <t>12,4%</t>
  </si>
  <si>
    <t>4,29%</t>
  </si>
  <si>
    <t>5,09%</t>
  </si>
  <si>
    <t>5,88%</t>
  </si>
  <si>
    <t>7,47%</t>
  </si>
  <si>
    <t>8,26%</t>
  </si>
  <si>
    <t>9,05%</t>
  </si>
  <si>
    <t>9,84%</t>
  </si>
  <si>
    <t>10,64%</t>
  </si>
  <si>
    <t>4,15%</t>
  </si>
  <si>
    <t>5,45%</t>
  </si>
  <si>
    <t>6,1%</t>
  </si>
  <si>
    <t>6,75%</t>
  </si>
  <si>
    <t>8,05%</t>
  </si>
  <si>
    <t>8,7%</t>
  </si>
  <si>
    <t>9,35%</t>
  </si>
  <si>
    <t>4,04%</t>
  </si>
  <si>
    <t>4,58%</t>
  </si>
  <si>
    <t>5,12%</t>
  </si>
  <si>
    <t>5,66%</t>
  </si>
  <si>
    <t>6,73%</t>
  </si>
  <si>
    <t>7,81%</t>
  </si>
  <si>
    <t>8,35%</t>
  </si>
  <si>
    <t>5,14%</t>
  </si>
  <si>
    <t>5,56%</t>
  </si>
  <si>
    <t>5,99%</t>
  </si>
  <si>
    <t>6,84%</t>
  </si>
  <si>
    <t>3,37%</t>
  </si>
  <si>
    <t>4,84%</t>
  </si>
  <si>
    <t>5,57%</t>
  </si>
  <si>
    <t>5,94%</t>
  </si>
  <si>
    <t>3,96%</t>
  </si>
  <si>
    <t>4,33%</t>
  </si>
  <si>
    <t>4,69%</t>
  </si>
  <si>
    <t>5,42%</t>
  </si>
  <si>
    <t>5,79%</t>
  </si>
  <si>
    <t>2,82%</t>
  </si>
  <si>
    <t>4,43%</t>
  </si>
  <si>
    <t>5,39%</t>
  </si>
  <si>
    <t>2,78%</t>
  </si>
  <si>
    <t>5,05%</t>
  </si>
  <si>
    <t>2,3%</t>
  </si>
  <si>
    <t>4,7%</t>
  </si>
  <si>
    <t>2,54%</t>
  </si>
  <si>
    <t>4,17%</t>
  </si>
  <si>
    <t>2,24%</t>
  </si>
  <si>
    <t>2,49%</t>
  </si>
  <si>
    <t>2,73%</t>
  </si>
  <si>
    <t>3,71%</t>
  </si>
  <si>
    <t>3,13%</t>
  </si>
  <si>
    <t>3,94%</t>
  </si>
  <si>
    <t>1,73%</t>
  </si>
  <si>
    <t>1,96%</t>
  </si>
  <si>
    <t>2,19%</t>
  </si>
  <si>
    <t>2,89%</t>
  </si>
  <si>
    <t>1,26%</t>
  </si>
  <si>
    <t>1,74%</t>
  </si>
  <si>
    <t>1,99%</t>
  </si>
  <si>
    <t>2,74%</t>
  </si>
  <si>
    <t>1,23%</t>
  </si>
  <si>
    <t>1,47%</t>
  </si>
  <si>
    <t>1,7%</t>
  </si>
  <si>
    <t>2,17%</t>
  </si>
  <si>
    <t>2,4%</t>
  </si>
  <si>
    <t>2,63%</t>
  </si>
  <si>
    <t>1,04%</t>
  </si>
  <si>
    <t>1,31%</t>
  </si>
  <si>
    <t>1,58%</t>
  </si>
  <si>
    <t>2,12%</t>
  </si>
  <si>
    <t>2,39%</t>
  </si>
  <si>
    <t>2,05%</t>
  </si>
  <si>
    <t>2,56%</t>
  </si>
  <si>
    <t>0,75%</t>
  </si>
  <si>
    <t>0,99%</t>
  </si>
  <si>
    <t>1,24%</t>
  </si>
  <si>
    <t>1,48%</t>
  </si>
  <si>
    <t>1,98%</t>
  </si>
  <si>
    <t>2,47%</t>
  </si>
  <si>
    <t>Período cotizado igual o superior a cuarenta y cuatro años y seis meses</t>
  </si>
  <si>
    <t>6,7%</t>
  </si>
  <si>
    <t>9,4%</t>
  </si>
  <si>
    <t>11,2%</t>
  </si>
  <si>
    <t>12,1%</t>
  </si>
  <si>
    <t>6,4%</t>
  </si>
  <si>
    <t>8,2%</t>
  </si>
  <si>
    <t>8,9%</t>
  </si>
  <si>
    <t>4,07%</t>
  </si>
  <si>
    <t>5,21%</t>
  </si>
  <si>
    <t>6,35%</t>
  </si>
  <si>
    <t>6,92%</t>
  </si>
  <si>
    <t>7,49%</t>
  </si>
  <si>
    <t>8,06%</t>
  </si>
  <si>
    <t>8,63%</t>
  </si>
  <si>
    <t>3,99%</t>
  </si>
  <si>
    <t>4,97%</t>
  </si>
  <si>
    <t>5,46%</t>
  </si>
  <si>
    <t>5,95%</t>
  </si>
  <si>
    <t>6,44%</t>
  </si>
  <si>
    <t>6,93%</t>
  </si>
  <si>
    <t>7,42%</t>
  </si>
  <si>
    <t>7,91%</t>
  </si>
  <si>
    <t>4,38%</t>
  </si>
  <si>
    <t>5,76%</t>
  </si>
  <si>
    <t>6,68%</t>
  </si>
  <si>
    <t>7,14%</t>
  </si>
  <si>
    <t>4,56%</t>
  </si>
  <si>
    <t>4,96%</t>
  </si>
  <si>
    <t>5,35%</t>
  </si>
  <si>
    <t>5,74%</t>
  </si>
  <si>
    <t>6,52%</t>
  </si>
  <si>
    <t>4,18%</t>
  </si>
  <si>
    <t>4,51%</t>
  </si>
  <si>
    <t>4,85%</t>
  </si>
  <si>
    <t>5,52%</t>
  </si>
  <si>
    <t>3,97%</t>
  </si>
  <si>
    <t>4,26%</t>
  </si>
  <si>
    <t>4,55%</t>
  </si>
  <si>
    <t>2,76%</t>
  </si>
  <si>
    <t>3,01%</t>
  </si>
  <si>
    <t>3,79%</t>
  </si>
  <si>
    <t>4,81%</t>
  </si>
  <si>
    <t>2,28%</t>
  </si>
  <si>
    <t>2,55%</t>
  </si>
  <si>
    <t>2,83%</t>
  </si>
  <si>
    <t>2,99%</t>
  </si>
  <si>
    <t>3,98%</t>
  </si>
  <si>
    <t>3,57%</t>
  </si>
  <si>
    <t>1,92%</t>
  </si>
  <si>
    <t>2,77%</t>
  </si>
  <si>
    <t>3,41%</t>
  </si>
  <si>
    <t>1,49%</t>
  </si>
  <si>
    <t>2,72%</t>
  </si>
  <si>
    <t>3,21%</t>
  </si>
  <si>
    <t>1,46%</t>
  </si>
  <si>
    <t>1,69%</t>
  </si>
  <si>
    <t>2,15%</t>
  </si>
  <si>
    <t>1,22%</t>
  </si>
  <si>
    <t>1,43%</t>
  </si>
  <si>
    <t>2,09%</t>
  </si>
  <si>
    <t>1,01%</t>
  </si>
  <si>
    <t>1,52%</t>
  </si>
  <si>
    <t>2,02%</t>
  </si>
  <si>
    <t>0,74%</t>
  </si>
  <si>
    <t>0,98%</t>
  </si>
  <si>
    <t>1,95%</t>
  </si>
  <si>
    <t>0,73%</t>
  </si>
  <si>
    <t>0,96%</t>
  </si>
  <si>
    <t>1,19%</t>
  </si>
  <si>
    <t>1,42%</t>
  </si>
  <si>
    <t>1,66%</t>
  </si>
  <si>
    <t>1,89%</t>
  </si>
  <si>
    <t>Suma bases de cotización</t>
  </si>
  <si>
    <t>% s/BR por Años Cotizados</t>
  </si>
  <si>
    <t>BR con % por Años Cotizados y penalización por Anticipo</t>
  </si>
  <si>
    <t>IPC Hasta dic 2021</t>
  </si>
  <si>
    <t>Pensión Máxmima hasta 2022</t>
  </si>
  <si>
    <t>Base Máxima de cotización sin distinguir grupos hasta 2022</t>
  </si>
  <si>
    <t>PMSS año de la jubilación</t>
  </si>
  <si>
    <t>Cálculo normativa 2022</t>
  </si>
  <si>
    <t>Importe</t>
  </si>
  <si>
    <t>Coef reductor</t>
  </si>
  <si>
    <t>% reduccion Anticipo Edad si no vas por maxima</t>
  </si>
  <si>
    <t>Coef reductor sobre PM</t>
  </si>
  <si>
    <t>% s/BR por Prolongacion</t>
  </si>
  <si>
    <t>Min (BR; PM)</t>
  </si>
  <si>
    <t>Datos de Anticipada</t>
  </si>
  <si>
    <t>PJSS si Ordinaria</t>
  </si>
  <si>
    <t>PJSS si Anticipada</t>
  </si>
  <si>
    <t>no se utiliza: normativa previa a 2022</t>
  </si>
  <si>
    <t>PJSS si Prolongada con Pago único</t>
  </si>
  <si>
    <t>PJSS si Prolongada con Compl. Vitalicio</t>
  </si>
  <si>
    <t>Pensión sin % de prolongacion</t>
  </si>
  <si>
    <t>Pension con % de prolongación</t>
  </si>
  <si>
    <t>Cálculo PJSS si Prolongada</t>
  </si>
  <si>
    <t>% a aplicar a la BR para alcanzar la máx</t>
  </si>
  <si>
    <t>(1) Complemento hasta PM</t>
  </si>
  <si>
    <t>% no aplicado de la BR</t>
  </si>
  <si>
    <t>(2) Complemento en exceso de la PM</t>
  </si>
  <si>
    <t>% por prolongación</t>
  </si>
  <si>
    <t>Complemento total (1) + (2)</t>
  </si>
  <si>
    <t>Pensión</t>
  </si>
  <si>
    <t>Límite al complemento (base de coti)</t>
  </si>
  <si>
    <t>Pensión + complemento lim</t>
  </si>
  <si>
    <t>no se utiliza</t>
  </si>
  <si>
    <t>IF(AND(H421="Jubilación prolongada";'Simulador - 1º Pilar'!H94="Complemento vitalicio");"Porcentaje adicional por prolongar la jubilación:";IF(AND(H421="Jubilación prolongada";'Simulador - 1º Pilar'!H94="Pago único");"Pago único por prolongar la jubilación";"Porcentaje reductor por jubilación anticipada:"))</t>
  </si>
  <si>
    <t>Pago único por prolongar la jubilación</t>
  </si>
  <si>
    <t>Coef reductor que estamos aplicando</t>
  </si>
  <si>
    <t>Provisiones matemáticas a 31/12/2021</t>
  </si>
  <si>
    <t>SI</t>
  </si>
  <si>
    <t>Tipo de conversión del capital en renta:</t>
  </si>
  <si>
    <t>Fecha de Jubilación seleccionada</t>
  </si>
  <si>
    <t>DNI1</t>
  </si>
  <si>
    <t>DNI2</t>
  </si>
  <si>
    <t>DNI3</t>
  </si>
  <si>
    <t>DNI4</t>
  </si>
  <si>
    <t>Derechos consolidados a 31/12/2021</t>
  </si>
  <si>
    <t>anual empresa</t>
  </si>
  <si>
    <t>anual empleado</t>
  </si>
  <si>
    <t>ampliacion</t>
  </si>
  <si>
    <t>lim individual total</t>
  </si>
  <si>
    <t>limite anual participe</t>
  </si>
  <si>
    <t>Aportaciones a planes de pensiones que exceden el límite fiscal y financiero</t>
  </si>
  <si>
    <t>Base reguladora reducida</t>
  </si>
  <si>
    <t>DNI5</t>
  </si>
  <si>
    <t>DNI6</t>
  </si>
  <si>
    <t>DNI7</t>
  </si>
  <si>
    <t>v</t>
  </si>
  <si>
    <t>DNI8</t>
  </si>
  <si>
    <t>DNI9</t>
  </si>
  <si>
    <t>DNI10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</si>
</sst>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_(* #,##0.00_);_(* \(#,##0.00\);_(* &quot;-&quot;??_);_(@_)"/>
    <numFmt numFmtId="165" formatCode="&quot;€&quot;#,##0.00_);[Red]\(&quot;€&quot;#,##0.00\)"/>
    <numFmt numFmtId="166" formatCode="0.000"/>
    <numFmt numFmtId="167" formatCode="_-* #,##0.0000\ _P_t_s_-;\-* #,##0.0000\ _P_t_s_-;_-* &quot;-&quot;??\ _P_t_s_-;_-@_-"/>
    <numFmt numFmtId="168" formatCode="0.0000"/>
    <numFmt numFmtId="169" formatCode="0.0000000"/>
    <numFmt numFmtId="170" formatCode="0.00000000"/>
    <numFmt numFmtId="171" formatCode="#,##0.0000000"/>
    <numFmt numFmtId="172" formatCode="#,##0.000"/>
    <numFmt numFmtId="173" formatCode="#,##0.00000"/>
    <numFmt numFmtId="174" formatCode="#,##0.00\ &quot;€&quot;"/>
    <numFmt numFmtId="175" formatCode="#,##0\ &quot;€&quot;"/>
    <numFmt numFmtId="176" formatCode="0.00000"/>
    <numFmt numFmtId="177" formatCode="#,##0.0\ &quot;€&quot;"/>
    <numFmt numFmtId="178" formatCode="0.0%"/>
    <numFmt numFmtId="179" formatCode="0.000000"/>
    <numFmt numFmtId="180" formatCode="_-* #,##0_ \€_-;\-* #,##0_ \€_-;_-* &quot;-&quot;??_ \€_-;_-@_-"/>
    <numFmt numFmtId="181" formatCode="_-* #,##0.00_ \€_-;\-* #,##0.00_ \€_-;_-* &quot;-&quot;??_ \€_-;_-@_-"/>
    <numFmt numFmtId="182" formatCode="#,##0.00\ &quot;€&quot;;[Red]#,##0.00\ &quot;€&quot;"/>
    <numFmt numFmtId="183" formatCode="0.000%"/>
    <numFmt numFmtId="184" formatCode="0.0"/>
  </numFmts>
  <fonts count="180">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
      <sz val="10"/>
      <name val="Arial"/>
      <family val="2"/>
    </font>
    <font>
      <sz val="9"/>
      <color indexed="8"/>
      <name val="Arial"/>
      <family val="2"/>
    </font>
    <font>
      <sz val="10"/>
      <color theme="1"/>
      <name val="Arial"/>
      <family val="2"/>
    </font>
    <font>
      <b/>
      <sz val="10"/>
      <color theme="1"/>
      <name val="Arial"/>
      <family val="2"/>
    </font>
    <font>
      <b/>
      <sz val="10"/>
      <name val="Arial"/>
      <family val="2"/>
    </font>
    <font>
      <b/>
      <vertAlign val="subscript"/>
      <sz val="10"/>
      <color indexed="8"/>
      <name val="Arial"/>
      <family val="2"/>
    </font>
    <font>
      <sz val="9.9"/>
      <color rgb="FFFFFFFF"/>
      <name val="Arial"/>
      <family val="2"/>
    </font>
    <font>
      <sz val="9.9"/>
      <color rgb="FF333333"/>
      <name val="Arial"/>
      <family val="2"/>
    </font>
    <font>
      <b/>
      <sz val="8.9"/>
      <color rgb="FF333333"/>
      <name val="Arial"/>
      <family val="2"/>
    </font>
    <font>
      <sz val="9"/>
      <color indexed="81"/>
      <name val="Tahoma"/>
      <family val="2"/>
    </font>
    <font>
      <b/>
      <sz val="9"/>
      <color indexed="81"/>
      <name val="Tahoma"/>
      <family val="2"/>
    </font>
    <font>
      <b/>
      <sz val="11"/>
      <color theme="1"/>
      <name val="Calibri"/>
      <family val="2"/>
      <scheme val="minor"/>
    </font>
    <font>
      <sz val="11"/>
      <color rgb="FFFF0000"/>
      <name val="Calibri"/>
      <family val="2"/>
      <scheme val="minor"/>
    </font>
    <font>
      <b/>
      <u/>
      <sz val="11"/>
      <color theme="7" tint="-0.249977111117893"/>
      <name val="Calibri"/>
      <family val="2"/>
      <scheme val="minor"/>
    </font>
    <font>
      <b/>
      <sz val="11"/>
      <name val="Calibri"/>
      <family val="2"/>
      <scheme val="minor"/>
    </font>
    <font>
      <b/>
      <sz val="11"/>
      <color theme="7" tint="-0.249977111117893"/>
      <name val="Calibri"/>
      <family val="2"/>
      <scheme val="minor"/>
    </font>
    <font>
      <b/>
      <sz val="14"/>
      <color indexed="81"/>
      <name val="Tahoma"/>
      <family val="2"/>
    </font>
    <font>
      <sz val="12"/>
      <color rgb="FF000000"/>
      <name val="Times New Roman"/>
      <family val="1"/>
    </font>
    <font>
      <sz val="12"/>
      <color theme="1"/>
      <name val="Calibri"/>
      <family val="2"/>
      <scheme val="minor"/>
    </font>
    <font>
      <b/>
      <sz val="12"/>
      <color rgb="FF000000"/>
      <name val="Times New Roman"/>
      <family val="1"/>
    </font>
    <font>
      <b/>
      <sz val="20"/>
      <color theme="1"/>
      <name val="Calibri"/>
      <family val="2"/>
      <scheme val="minor"/>
    </font>
    <font>
      <b/>
      <sz val="12"/>
      <color theme="0"/>
      <name val="Calibri"/>
      <family val="2"/>
      <scheme val="minor"/>
    </font>
    <font>
      <sz val="14"/>
      <color theme="0"/>
      <name val="Calibri"/>
      <family val="2"/>
      <scheme val="minor"/>
    </font>
    <font>
      <b/>
      <sz val="9"/>
      <color theme="0"/>
      <name val="Arial"/>
      <family val="2"/>
    </font>
    <font>
      <sz val="11"/>
      <color theme="1"/>
      <name val="Arial"/>
      <family val="2"/>
    </font>
    <font>
      <sz val="11"/>
      <color rgb="FFFF0000"/>
      <name val="Arial"/>
      <family val="2"/>
    </font>
    <font>
      <sz val="11"/>
      <color theme="0"/>
      <name val="Arial"/>
      <family val="2"/>
    </font>
    <font>
      <b/>
      <sz val="14"/>
      <color theme="0"/>
      <name val="Arial"/>
      <family val="2"/>
    </font>
    <font>
      <b/>
      <sz val="11"/>
      <color theme="1"/>
      <name val="Arial"/>
      <family val="2"/>
    </font>
    <font>
      <b/>
      <sz val="11"/>
      <name val="Arial"/>
      <family val="2"/>
    </font>
    <font>
      <sz val="11"/>
      <name val="Arial"/>
      <family val="2"/>
    </font>
    <font>
      <sz val="14"/>
      <color theme="1"/>
      <name val="Arial"/>
      <family val="2"/>
    </font>
    <font>
      <sz val="12"/>
      <color theme="1"/>
      <name val="Arial"/>
      <family val="2"/>
    </font>
    <font>
      <b/>
      <sz val="14"/>
      <color rgb="FFFFFFFF"/>
      <name val="Arial"/>
      <family val="2"/>
    </font>
    <font>
      <b/>
      <sz val="14"/>
      <color theme="1"/>
      <name val="Arial"/>
      <family val="2"/>
    </font>
    <font>
      <b/>
      <sz val="14"/>
      <color rgb="FF00338D"/>
      <name val="Arial"/>
      <family val="2"/>
    </font>
    <font>
      <sz val="11"/>
      <color theme="5"/>
      <name val="Arial"/>
      <family val="2"/>
    </font>
    <font>
      <b/>
      <sz val="12"/>
      <color theme="1"/>
      <name val="Arial"/>
      <family val="2"/>
    </font>
    <font>
      <sz val="12"/>
      <color theme="0"/>
      <name val="Arial"/>
      <family val="2"/>
    </font>
    <font>
      <sz val="11"/>
      <color theme="0"/>
      <name val="Calibri"/>
      <family val="2"/>
      <scheme val="minor"/>
    </font>
    <font>
      <sz val="14"/>
      <color rgb="FF00338D"/>
      <name val="Arial"/>
      <family val="2"/>
    </font>
    <font>
      <b/>
      <sz val="11"/>
      <color rgb="FFFF0000"/>
      <name val="Arial"/>
      <family val="2"/>
    </font>
    <font>
      <b/>
      <sz val="16"/>
      <color rgb="FFFFFFFF"/>
      <name val="Arial"/>
      <family val="2"/>
    </font>
    <font>
      <sz val="12"/>
      <name val="Arial"/>
      <family val="2"/>
    </font>
    <font>
      <sz val="9"/>
      <color theme="1"/>
      <name val="Arial"/>
      <family val="2"/>
    </font>
    <font>
      <b/>
      <sz val="9"/>
      <color rgb="FF00338D"/>
      <name val="Arial"/>
      <family val="2"/>
    </font>
    <font>
      <b/>
      <sz val="14"/>
      <color rgb="FFFF0000"/>
      <name val="Arial"/>
      <family val="2"/>
    </font>
    <font>
      <sz val="14"/>
      <color rgb="FFFF0000"/>
      <name val="Arial"/>
      <family val="2"/>
    </font>
    <font>
      <b/>
      <sz val="11"/>
      <color rgb="FF053091"/>
      <name val="Arial"/>
      <family val="2"/>
    </font>
    <font>
      <b/>
      <sz val="14"/>
      <color rgb="FF00B050"/>
      <name val="Arial"/>
      <family val="2"/>
    </font>
    <font>
      <b/>
      <sz val="11"/>
      <color rgb="FF001D9A"/>
      <name val="Calibri"/>
      <family val="2"/>
      <scheme val="minor"/>
    </font>
    <font>
      <b/>
      <sz val="11"/>
      <color rgb="FF053091"/>
      <name val="Calibri"/>
      <family val="2"/>
      <scheme val="minor"/>
    </font>
    <font>
      <sz val="18"/>
      <color rgb="FFFF0000"/>
      <name val="Arial"/>
      <family val="2"/>
    </font>
    <font>
      <sz val="12"/>
      <color rgb="FFFF0000"/>
      <name val="Arial"/>
      <family val="2"/>
    </font>
    <font>
      <b/>
      <i/>
      <sz val="18"/>
      <color rgb="FF7030A0"/>
      <name val="Arial"/>
      <family val="2"/>
    </font>
    <font>
      <b/>
      <i/>
      <sz val="20"/>
      <color rgb="FF7030A0"/>
      <name val="Arial"/>
      <family val="2"/>
    </font>
    <font>
      <b/>
      <sz val="20"/>
      <color rgb="FF7030A0"/>
      <name val="Arial"/>
      <family val="2"/>
    </font>
    <font>
      <sz val="20"/>
      <color rgb="FFFF0066"/>
      <name val="Arial"/>
      <family val="2"/>
    </font>
    <font>
      <b/>
      <sz val="14"/>
      <color theme="0"/>
      <name val="Calibri"/>
      <family val="2"/>
      <scheme val="minor"/>
    </font>
    <font>
      <b/>
      <sz val="12"/>
      <color rgb="FF00338D"/>
      <name val="Arial"/>
      <family val="2"/>
    </font>
    <font>
      <sz val="11"/>
      <color rgb="FF0000FF"/>
      <name val="Arial"/>
      <family val="2"/>
    </font>
    <font>
      <b/>
      <i/>
      <sz val="20"/>
      <color rgb="FF0000FF"/>
      <name val="Arial"/>
      <family val="2"/>
    </font>
    <font>
      <b/>
      <sz val="11"/>
      <color theme="0"/>
      <name val="Arial"/>
      <family val="2"/>
    </font>
    <font>
      <b/>
      <sz val="16"/>
      <color rgb="FFFF0000"/>
      <name val="Arial"/>
      <family val="2"/>
    </font>
    <font>
      <sz val="12"/>
      <color rgb="FFFF0000"/>
      <name val="Calibri"/>
      <family val="2"/>
      <scheme val="minor"/>
    </font>
    <font>
      <b/>
      <sz val="14"/>
      <color rgb="FFFF0000"/>
      <name val="Calibri"/>
      <family val="2"/>
      <scheme val="minor"/>
    </font>
    <font>
      <sz val="12"/>
      <color rgb="FF0000FF"/>
      <name val="Arial"/>
      <family val="2"/>
    </font>
    <font>
      <b/>
      <sz val="11"/>
      <color rgb="FF00338D"/>
      <name val="Arial"/>
      <family val="2"/>
    </font>
    <font>
      <b/>
      <sz val="12"/>
      <color rgb="FF00B050"/>
      <name val="Arial"/>
      <family val="2"/>
    </font>
    <font>
      <sz val="12"/>
      <color rgb="FFFFFFFF"/>
      <name val="Arial"/>
      <family val="2"/>
    </font>
    <font>
      <b/>
      <sz val="12"/>
      <name val="Arial"/>
      <family val="2"/>
    </font>
    <font>
      <b/>
      <sz val="12"/>
      <color theme="0"/>
      <name val="Arial"/>
      <family val="2"/>
    </font>
    <font>
      <sz val="11"/>
      <color rgb="FF000000"/>
      <name val="Arial"/>
      <family val="2"/>
    </font>
    <font>
      <b/>
      <sz val="10"/>
      <color rgb="FF000000"/>
      <name val="Arial"/>
      <family val="2"/>
    </font>
    <font>
      <b/>
      <sz val="11"/>
      <color rgb="FF00B050"/>
      <name val="Arial"/>
      <family val="2"/>
    </font>
    <font>
      <sz val="12"/>
      <color rgb="FF00338D"/>
      <name val="Arial"/>
      <family val="2"/>
    </font>
    <font>
      <b/>
      <sz val="11"/>
      <color rgb="FF000000"/>
      <name val="Arial"/>
      <family val="2"/>
    </font>
    <font>
      <b/>
      <i/>
      <sz val="11"/>
      <color rgb="FFFF0066"/>
      <name val="Arial"/>
      <family val="2"/>
    </font>
    <font>
      <b/>
      <sz val="10"/>
      <color rgb="FF00B050"/>
      <name val="Arial"/>
      <family val="2"/>
    </font>
    <font>
      <b/>
      <sz val="9"/>
      <color theme="1"/>
      <name val="Arial"/>
      <family val="2"/>
    </font>
    <font>
      <b/>
      <i/>
      <sz val="16"/>
      <color rgb="FF7030A0"/>
      <name val="Arial"/>
      <family val="2"/>
    </font>
    <font>
      <b/>
      <sz val="16"/>
      <color rgb="FF7030A0"/>
      <name val="Arial"/>
      <family val="2"/>
    </font>
    <font>
      <b/>
      <sz val="11"/>
      <color rgb="FFFFFFFF"/>
      <name val="Arial"/>
      <family val="2"/>
    </font>
    <font>
      <b/>
      <sz val="10"/>
      <color theme="0"/>
      <name val="Arial"/>
      <family val="2"/>
    </font>
    <font>
      <sz val="10"/>
      <color rgb="FFFF0000"/>
      <name val="Arial"/>
      <family val="2"/>
    </font>
    <font>
      <b/>
      <sz val="16"/>
      <color theme="0"/>
      <name val="Calibri"/>
      <family val="2"/>
      <scheme val="minor"/>
    </font>
    <font>
      <b/>
      <sz val="10"/>
      <color rgb="FF00338D"/>
      <name val="Arial"/>
      <family val="2"/>
    </font>
    <font>
      <sz val="10"/>
      <color theme="1"/>
      <name val="Calibri"/>
      <family val="2"/>
      <scheme val="minor"/>
    </font>
    <font>
      <b/>
      <sz val="10"/>
      <color rgb="FFFFFFFF"/>
      <name val="Arial"/>
      <family val="2"/>
    </font>
    <font>
      <b/>
      <i/>
      <sz val="14"/>
      <color rgb="FF7030A0"/>
      <name val="Arial"/>
      <family val="2"/>
    </font>
    <font>
      <b/>
      <i/>
      <sz val="10"/>
      <color rgb="FF7030A0"/>
      <name val="Arial"/>
      <family val="2"/>
    </font>
    <font>
      <b/>
      <sz val="12"/>
      <color rgb="FFFFFFFF"/>
      <name val="Arial"/>
      <family val="2"/>
    </font>
    <font>
      <b/>
      <sz val="14"/>
      <color rgb="FF7030A0"/>
      <name val="Arial"/>
      <family val="2"/>
    </font>
    <font>
      <b/>
      <sz val="10"/>
      <color rgb="FF6D2077"/>
      <name val="Arial"/>
      <family val="2"/>
    </font>
    <font>
      <sz val="9"/>
      <color theme="1"/>
      <name val="Calibri"/>
      <family val="2"/>
      <scheme val="minor"/>
    </font>
    <font>
      <b/>
      <sz val="9"/>
      <color rgb="FF00338D"/>
      <name val="Calibri"/>
      <family val="2"/>
      <scheme val="minor"/>
    </font>
    <font>
      <b/>
      <sz val="9"/>
      <color rgb="FFFFFFFF"/>
      <name val="Arial"/>
      <family val="2"/>
    </font>
    <font>
      <b/>
      <sz val="9"/>
      <color theme="0"/>
      <name val="Calibri"/>
      <family val="2"/>
      <scheme val="minor"/>
    </font>
    <font>
      <sz val="9"/>
      <color rgb="FFFFFFFF"/>
      <name val="Calibri"/>
      <family val="2"/>
      <scheme val="minor"/>
    </font>
    <font>
      <b/>
      <sz val="9"/>
      <color theme="0" tint="-0.14999847407452621"/>
      <name val="Arial"/>
      <family val="2"/>
    </font>
    <font>
      <b/>
      <sz val="9"/>
      <color rgb="FF053091"/>
      <name val="Arial"/>
      <family val="2"/>
    </font>
    <font>
      <sz val="9"/>
      <color rgb="FF00338D"/>
      <name val="Arial"/>
      <family val="2"/>
    </font>
    <font>
      <sz val="9"/>
      <color rgb="FFFF0000"/>
      <name val="Arial"/>
      <family val="2"/>
    </font>
    <font>
      <b/>
      <i/>
      <sz val="10"/>
      <color rgb="FF0000FF"/>
      <name val="Arial"/>
      <family val="2"/>
    </font>
    <font>
      <sz val="9"/>
      <color theme="0"/>
      <name val="Arial"/>
      <family val="2"/>
    </font>
    <font>
      <b/>
      <i/>
      <sz val="11"/>
      <color rgb="FF7030A0"/>
      <name val="Arial"/>
      <family val="2"/>
    </font>
    <font>
      <sz val="9"/>
      <color rgb="FF0000FF"/>
      <name val="Arial"/>
      <family val="2"/>
    </font>
    <font>
      <b/>
      <i/>
      <sz val="9"/>
      <color rgb="FF7030A0"/>
      <name val="Arial"/>
      <family val="2"/>
    </font>
    <font>
      <b/>
      <i/>
      <sz val="9"/>
      <color rgb="FFDAA600"/>
      <name val="Arial"/>
      <family val="2"/>
    </font>
    <font>
      <b/>
      <sz val="10"/>
      <color rgb="FF0000FF"/>
      <name val="Arial"/>
      <family val="2"/>
    </font>
    <font>
      <b/>
      <i/>
      <sz val="11"/>
      <color rgb="FF0000FF"/>
      <name val="Arial"/>
      <family val="2"/>
    </font>
    <font>
      <b/>
      <sz val="8"/>
      <color rgb="FFFFFFFF"/>
      <name val="Arial"/>
      <family val="2"/>
    </font>
    <font>
      <sz val="8"/>
      <color theme="1"/>
      <name val="Calibri"/>
      <family val="2"/>
      <scheme val="minor"/>
    </font>
    <font>
      <b/>
      <sz val="8"/>
      <color theme="1"/>
      <name val="Arial"/>
      <family val="2"/>
    </font>
    <font>
      <b/>
      <sz val="8"/>
      <color rgb="FF00338D"/>
      <name val="Arial"/>
      <family val="2"/>
    </font>
    <font>
      <sz val="8"/>
      <color theme="1"/>
      <name val="Arial"/>
      <family val="2"/>
    </font>
    <font>
      <i/>
      <sz val="8"/>
      <color theme="1"/>
      <name val="Arial"/>
      <family val="2"/>
    </font>
    <font>
      <b/>
      <sz val="8"/>
      <name val="Arial"/>
      <family val="2"/>
    </font>
    <font>
      <i/>
      <sz val="8"/>
      <color rgb="FF00338D"/>
      <name val="Arial"/>
      <family val="2"/>
    </font>
    <font>
      <b/>
      <sz val="10"/>
      <color rgb="FF00A3A1"/>
      <name val="Arial"/>
      <family val="2"/>
    </font>
    <font>
      <b/>
      <sz val="11"/>
      <color rgb="FF7030A0"/>
      <name val="Arial"/>
      <family val="2"/>
    </font>
    <font>
      <b/>
      <sz val="9"/>
      <color rgb="FF6D2077"/>
      <name val="Arial"/>
      <family val="2"/>
    </font>
    <font>
      <b/>
      <sz val="11"/>
      <color rgb="FF001D9A"/>
      <name val="Arial"/>
      <family val="2"/>
    </font>
    <font>
      <b/>
      <sz val="14"/>
      <color rgb="FF001D9A"/>
      <name val="Arial"/>
      <family val="2"/>
    </font>
    <font>
      <b/>
      <u/>
      <sz val="11"/>
      <name val="Calibri"/>
      <family val="2"/>
      <scheme val="minor"/>
    </font>
    <font>
      <u/>
      <sz val="11"/>
      <color rgb="FFFF0000"/>
      <name val="Calibri"/>
      <family val="2"/>
      <scheme val="minor"/>
    </font>
    <font>
      <b/>
      <u/>
      <sz val="11"/>
      <name val="Arial"/>
      <family val="2"/>
    </font>
    <font>
      <b/>
      <sz val="14"/>
      <name val="Calibri"/>
      <family val="2"/>
      <scheme val="minor"/>
    </font>
    <font>
      <b/>
      <sz val="14"/>
      <name val="Arial"/>
      <family val="2"/>
    </font>
    <font>
      <b/>
      <sz val="12"/>
      <color rgb="FFFF0000"/>
      <name val="Arial"/>
      <family val="2"/>
    </font>
    <font>
      <sz val="11"/>
      <color rgb="FFFF0066"/>
      <name val="Arial"/>
      <family val="2"/>
    </font>
    <font>
      <sz val="11"/>
      <color rgb="FFFF0066"/>
      <name val="Calibri"/>
      <family val="2"/>
      <scheme val="minor"/>
    </font>
    <font>
      <sz val="16"/>
      <color rgb="FFFF0000"/>
      <name val="Arial"/>
      <family val="2"/>
    </font>
    <font>
      <b/>
      <sz val="11"/>
      <color rgb="FF0000FF"/>
      <name val="Arial"/>
      <family val="2"/>
    </font>
    <font>
      <sz val="14"/>
      <name val="Arial"/>
      <family val="2"/>
    </font>
    <font>
      <b/>
      <sz val="9"/>
      <name val="Arial"/>
      <family val="2"/>
    </font>
    <font>
      <sz val="8"/>
      <color rgb="FF0000FF"/>
      <name val="Arial"/>
      <family val="2"/>
    </font>
    <font>
      <b/>
      <sz val="8"/>
      <color rgb="FF0000FF"/>
      <name val="Arial"/>
      <family val="2"/>
    </font>
    <font>
      <sz val="8"/>
      <name val="Arial"/>
      <family val="2"/>
    </font>
    <font>
      <sz val="11.5"/>
      <name val="Arial"/>
      <family val="2"/>
    </font>
    <font>
      <sz val="11.5"/>
      <color rgb="FF0000FF"/>
      <name val="Arial"/>
      <family val="2"/>
    </font>
    <font>
      <sz val="10"/>
      <name val="Times"/>
    </font>
    <font>
      <b/>
      <sz val="9"/>
      <color rgb="FFFF0000"/>
      <name val="Arial"/>
      <family val="2"/>
    </font>
    <font>
      <sz val="9"/>
      <name val="Arial"/>
      <family val="2"/>
    </font>
    <font>
      <sz val="9"/>
      <color rgb="FFFF0066"/>
      <name val="Arial"/>
      <family val="2"/>
    </font>
    <font>
      <i/>
      <sz val="9"/>
      <color rgb="FF0000FF"/>
      <name val="Arial"/>
      <family val="2"/>
    </font>
    <font>
      <sz val="11"/>
      <color theme="9" tint="-0.249977111117893"/>
      <name val="Calibri"/>
      <family val="2"/>
      <scheme val="minor"/>
    </font>
    <font>
      <sz val="10"/>
      <name val="CG Times"/>
    </font>
    <font>
      <b/>
      <sz val="9"/>
      <color rgb="FF0000FF"/>
      <name val="Arial"/>
      <family val="2"/>
    </font>
    <font>
      <b/>
      <sz val="11"/>
      <color rgb="FFFF0000"/>
      <name val="Calibri"/>
      <family val="2"/>
      <scheme val="minor"/>
    </font>
    <font>
      <b/>
      <i/>
      <sz val="18"/>
      <color rgb="FFFF0066"/>
      <name val="Arial"/>
      <family val="2"/>
    </font>
    <font>
      <sz val="12"/>
      <color rgb="FFFF0066"/>
      <name val="Arial"/>
      <family val="2"/>
    </font>
    <font>
      <sz val="18"/>
      <color rgb="FFFF0066"/>
      <name val="Arial"/>
      <family val="2"/>
    </font>
    <font>
      <sz val="22"/>
      <color rgb="FFFF0066"/>
      <name val="Arial"/>
      <family val="2"/>
    </font>
    <font>
      <sz val="12"/>
      <color rgb="FFFF0066"/>
      <name val="Calibri"/>
      <family val="2"/>
      <scheme val="minor"/>
    </font>
    <font>
      <b/>
      <sz val="14"/>
      <color rgb="FFFF0066"/>
      <name val="Arial"/>
      <family val="2"/>
    </font>
    <font>
      <b/>
      <sz val="16"/>
      <color rgb="FFFF0066"/>
      <name val="Arial"/>
      <family val="2"/>
    </font>
    <font>
      <b/>
      <sz val="18"/>
      <color rgb="FFFF0066"/>
      <name val="Arial"/>
      <family val="2"/>
    </font>
    <font>
      <b/>
      <sz val="11"/>
      <color rgb="FFFF0066"/>
      <name val="Calibri"/>
      <family val="2"/>
      <scheme val="minor"/>
    </font>
    <font>
      <b/>
      <sz val="11"/>
      <color rgb="FFFF0066"/>
      <name val="Arial"/>
      <family val="2"/>
    </font>
    <font>
      <sz val="10"/>
      <color rgb="FFFF0066"/>
      <name val="Arial"/>
      <family val="2"/>
    </font>
    <font>
      <b/>
      <sz val="10"/>
      <color rgb="FFFF0066"/>
      <name val="Arial"/>
      <family val="2"/>
    </font>
    <font>
      <sz val="11"/>
      <color theme="6" tint="-0.249977111117893"/>
      <name val="Arial"/>
      <family val="2"/>
    </font>
    <font>
      <sz val="11"/>
      <color theme="6" tint="-0.249977111117893"/>
      <name val="Calibri"/>
      <family val="2"/>
      <scheme val="minor"/>
    </font>
    <font>
      <b/>
      <sz val="11"/>
      <color theme="6" tint="-0.249977111117893"/>
      <name val="Arial"/>
      <family val="2"/>
    </font>
    <font>
      <sz val="18"/>
      <color theme="6" tint="-0.249977111117893"/>
      <name val="Arial"/>
      <family val="2"/>
    </font>
    <font>
      <i/>
      <sz val="11"/>
      <name val="Arial"/>
      <family val="2"/>
    </font>
    <font>
      <sz val="9"/>
      <color rgb="FFFF0000"/>
      <name val="Calibri"/>
      <family val="2"/>
      <scheme val="minor"/>
    </font>
    <font>
      <i/>
      <sz val="11"/>
      <color rgb="FFFF0066"/>
      <name val="Calibri"/>
      <family val="2"/>
      <scheme val="minor"/>
    </font>
    <font>
      <i/>
      <sz val="11"/>
      <color theme="1"/>
      <name val="Calibri"/>
      <family val="2"/>
      <scheme val="minor"/>
    </font>
    <font>
      <b/>
      <sz val="10"/>
      <color rgb="FF005EB8"/>
      <name val="Arial"/>
      <family val="2"/>
    </font>
    <font>
      <sz val="12"/>
      <color rgb="FF000000"/>
      <name val="Verdana"/>
      <family val="2"/>
    </font>
    <font>
      <sz val="11"/>
      <color theme="0" tint="-0.34998626667073579"/>
      <name val="Calibri"/>
      <family val="2"/>
      <scheme val="minor"/>
    </font>
    <font>
      <b/>
      <sz val="16"/>
      <color rgb="FF339966"/>
      <name val="Calibri"/>
      <family val="2"/>
    </font>
    <font>
      <sz val="11"/>
      <color rgb="FF000000"/>
      <name val="Calibri"/>
      <family val="2"/>
      <scheme val="minor"/>
    </font>
    <font>
      <sz val="11"/>
      <color indexed="8"/>
      <name val="Calibri"/>
      <family val="2"/>
    </font>
  </fonts>
  <fills count="5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206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rgb="FFFFFFFF"/>
        <bgColor indexed="64"/>
      </patternFill>
    </fill>
    <fill>
      <patternFill patternType="solid">
        <fgColor rgb="FF494949"/>
        <bgColor indexed="64"/>
      </patternFill>
    </fill>
    <fill>
      <patternFill patternType="solid">
        <fgColor rgb="FFDDDDDD"/>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FFC000"/>
        <bgColor indexed="64"/>
      </patternFill>
    </fill>
    <fill>
      <patternFill patternType="solid">
        <fgColor theme="8" tint="-0.499984740745262"/>
        <bgColor indexed="64"/>
      </patternFill>
    </fill>
    <fill>
      <patternFill patternType="solid">
        <fgColor rgb="FF92D050"/>
        <bgColor indexed="64"/>
      </patternFill>
    </fill>
    <fill>
      <patternFill patternType="solid">
        <fgColor rgb="FF00338D"/>
        <bgColor indexed="64"/>
      </patternFill>
    </fill>
    <fill>
      <patternFill patternType="solid">
        <fgColor theme="7"/>
        <bgColor indexed="64"/>
      </patternFill>
    </fill>
    <fill>
      <patternFill patternType="solid">
        <fgColor rgb="FFEAAA00"/>
        <bgColor indexed="64"/>
      </patternFill>
    </fill>
    <fill>
      <patternFill patternType="solid">
        <fgColor theme="0" tint="-0.249977111117893"/>
        <bgColor indexed="64"/>
      </patternFill>
    </fill>
    <fill>
      <patternFill patternType="solid">
        <fgColor rgb="FF053091"/>
        <bgColor indexed="64"/>
      </patternFill>
    </fill>
    <fill>
      <patternFill patternType="solid">
        <fgColor rgb="FF6D2077"/>
        <bgColor indexed="64"/>
      </patternFill>
    </fill>
    <fill>
      <patternFill patternType="solid">
        <fgColor rgb="FF0091DA"/>
        <bgColor indexed="64"/>
      </patternFill>
    </fill>
    <fill>
      <patternFill patternType="solid">
        <fgColor rgb="FF00A3A1"/>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001D9A"/>
        <bgColor indexed="64"/>
      </patternFill>
    </fill>
    <fill>
      <patternFill patternType="solid">
        <fgColor rgb="FF2DFF37"/>
        <bgColor indexed="64"/>
      </patternFill>
    </fill>
    <fill>
      <patternFill patternType="solid">
        <fgColor rgb="FFF53737"/>
        <bgColor indexed="64"/>
      </patternFill>
    </fill>
    <fill>
      <patternFill patternType="solid">
        <fgColor rgb="FF0070C0"/>
        <bgColor indexed="64"/>
      </patternFill>
    </fill>
    <fill>
      <patternFill patternType="solid">
        <fgColor rgb="FF00FFFF"/>
        <bgColor indexed="64"/>
      </patternFill>
    </fill>
    <fill>
      <patternFill patternType="solid">
        <fgColor theme="8" tint="0.59999389629810485"/>
        <bgColor indexed="64"/>
      </patternFill>
    </fill>
    <fill>
      <patternFill patternType="solid">
        <fgColor theme="4"/>
        <bgColor indexed="64"/>
      </patternFill>
    </fill>
    <fill>
      <patternFill patternType="solid">
        <fgColor theme="8"/>
        <bgColor indexed="64"/>
      </patternFill>
    </fill>
    <fill>
      <patternFill patternType="solid">
        <fgColor rgb="FF9D9375"/>
        <bgColor indexed="64"/>
      </patternFill>
    </fill>
    <fill>
      <patternFill patternType="solid">
        <fgColor theme="4" tint="0.39997558519241921"/>
        <bgColor indexed="64"/>
      </patternFill>
    </fill>
    <fill>
      <patternFill patternType="solid">
        <fgColor rgb="FFFF0066"/>
        <bgColor indexed="64"/>
      </patternFill>
    </fill>
    <fill>
      <patternFill patternType="solid">
        <fgColor theme="9"/>
        <bgColor indexed="64"/>
      </patternFill>
    </fill>
    <fill>
      <patternFill patternType="solid">
        <fgColor theme="2"/>
        <bgColor indexed="64"/>
      </patternFill>
    </fill>
    <fill>
      <patternFill patternType="solid">
        <fgColor rgb="FF005EB8"/>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EB500"/>
        <bgColor indexed="64"/>
      </patternFill>
    </fill>
    <fill>
      <patternFill patternType="solid">
        <fgColor rgb="FFFFCCFF"/>
        <bgColor indexed="64"/>
      </patternFill>
    </fill>
  </fills>
  <borders count="101">
    <border>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rgb="FFB2B2B2"/>
      </left>
      <right style="medium">
        <color rgb="FFB2B2B2"/>
      </right>
      <top style="medium">
        <color rgb="FFB2B2B2"/>
      </top>
      <bottom style="medium">
        <color rgb="FFB2B2B2"/>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rgb="FF000000"/>
      </bottom>
      <diagonal/>
    </border>
    <border>
      <left/>
      <right style="medium">
        <color indexed="64"/>
      </right>
      <top style="medium">
        <color indexed="64"/>
      </top>
      <bottom/>
      <diagonal/>
    </border>
    <border>
      <left style="medium">
        <color indexed="64"/>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style="medium">
        <color indexed="64"/>
      </right>
      <top style="medium">
        <color indexed="64"/>
      </top>
      <bottom/>
      <diagonal/>
    </border>
    <border>
      <left/>
      <right/>
      <top style="thin">
        <color theme="0"/>
      </top>
      <bottom/>
      <diagonal/>
    </border>
    <border>
      <left style="thin">
        <color rgb="FF0328DF"/>
      </left>
      <right style="thin">
        <color rgb="FF0328DF"/>
      </right>
      <top style="thin">
        <color rgb="FF0328DF"/>
      </top>
      <bottom style="thin">
        <color rgb="FF0328DF"/>
      </bottom>
      <diagonal/>
    </border>
    <border>
      <left/>
      <right/>
      <top style="double">
        <color theme="0"/>
      </top>
      <bottom/>
      <diagonal/>
    </border>
    <border>
      <left/>
      <right/>
      <top/>
      <bottom style="thick">
        <color theme="0"/>
      </bottom>
      <diagonal/>
    </border>
    <border>
      <left/>
      <right/>
      <top style="thick">
        <color theme="0"/>
      </top>
      <bottom/>
      <diagonal/>
    </border>
    <border>
      <left/>
      <right/>
      <top style="thick">
        <color theme="0"/>
      </top>
      <bottom style="thick">
        <color theme="0"/>
      </bottom>
      <diagonal/>
    </border>
    <border>
      <left style="thick">
        <color theme="0"/>
      </left>
      <right/>
      <top/>
      <bottom/>
      <diagonal/>
    </border>
    <border>
      <left style="thick">
        <color theme="0"/>
      </left>
      <right style="thick">
        <color theme="0"/>
      </right>
      <top/>
      <bottom/>
      <diagonal/>
    </border>
    <border>
      <left/>
      <right/>
      <top/>
      <bottom style="thin">
        <color theme="0"/>
      </bottom>
      <diagonal/>
    </border>
    <border>
      <left/>
      <right/>
      <top style="medium">
        <color theme="0"/>
      </top>
      <bottom/>
      <diagonal/>
    </border>
    <border>
      <left/>
      <right style="thin">
        <color theme="0"/>
      </right>
      <top/>
      <bottom/>
      <diagonal/>
    </border>
    <border>
      <left/>
      <right style="thin">
        <color theme="0"/>
      </right>
      <top style="thin">
        <color theme="0"/>
      </top>
      <bottom/>
      <diagonal/>
    </border>
    <border>
      <left style="thick">
        <color theme="0"/>
      </left>
      <right style="thick">
        <color theme="0"/>
      </right>
      <top style="thick">
        <color theme="0"/>
      </top>
      <bottom style="thick">
        <color theme="0"/>
      </bottom>
      <diagonal/>
    </border>
    <border>
      <left/>
      <right style="medium">
        <color rgb="FF00A3A1"/>
      </right>
      <top/>
      <bottom style="medium">
        <color rgb="FF00A3A1"/>
      </bottom>
      <diagonal/>
    </border>
    <border>
      <left/>
      <right/>
      <top/>
      <bottom style="medium">
        <color rgb="FF00A3A1"/>
      </bottom>
      <diagonal/>
    </border>
    <border>
      <left style="medium">
        <color rgb="FF00A3A1"/>
      </left>
      <right/>
      <top/>
      <bottom style="medium">
        <color rgb="FF00A3A1"/>
      </bottom>
      <diagonal/>
    </border>
    <border>
      <left/>
      <right style="medium">
        <color rgb="FF00A3A1"/>
      </right>
      <top/>
      <bottom/>
      <diagonal/>
    </border>
    <border>
      <left style="medium">
        <color rgb="FF00A3A1"/>
      </left>
      <right/>
      <top/>
      <bottom/>
      <diagonal/>
    </border>
    <border>
      <left/>
      <right style="medium">
        <color rgb="FF00A3A1"/>
      </right>
      <top style="medium">
        <color rgb="FF00A3A1"/>
      </top>
      <bottom/>
      <diagonal/>
    </border>
    <border>
      <left/>
      <right/>
      <top style="medium">
        <color rgb="FF00A3A1"/>
      </top>
      <bottom/>
      <diagonal/>
    </border>
    <border>
      <left style="medium">
        <color rgb="FF00A3A1"/>
      </left>
      <right/>
      <top style="medium">
        <color rgb="FF00A3A1"/>
      </top>
      <bottom/>
      <diagonal/>
    </border>
    <border>
      <left/>
      <right style="medium">
        <color rgb="FF6D2077"/>
      </right>
      <top/>
      <bottom style="medium">
        <color rgb="FF6D2077"/>
      </bottom>
      <diagonal/>
    </border>
    <border>
      <left/>
      <right/>
      <top/>
      <bottom style="medium">
        <color rgb="FF6D2077"/>
      </bottom>
      <diagonal/>
    </border>
    <border>
      <left style="medium">
        <color rgb="FF6D2077"/>
      </left>
      <right/>
      <top/>
      <bottom style="medium">
        <color rgb="FF6D2077"/>
      </bottom>
      <diagonal/>
    </border>
    <border>
      <left/>
      <right style="medium">
        <color rgb="FF6D2077"/>
      </right>
      <top/>
      <bottom/>
      <diagonal/>
    </border>
    <border>
      <left style="medium">
        <color rgb="FF6D2077"/>
      </left>
      <right/>
      <top/>
      <bottom/>
      <diagonal/>
    </border>
    <border>
      <left/>
      <right style="medium">
        <color rgb="FF6D2077"/>
      </right>
      <top style="medium">
        <color rgb="FF6D2077"/>
      </top>
      <bottom/>
      <diagonal/>
    </border>
    <border>
      <left/>
      <right/>
      <top style="medium">
        <color rgb="FF6D2077"/>
      </top>
      <bottom/>
      <diagonal/>
    </border>
    <border>
      <left style="medium">
        <color rgb="FF6D2077"/>
      </left>
      <right/>
      <top style="medium">
        <color rgb="FF6D2077"/>
      </top>
      <bottom/>
      <diagonal/>
    </border>
    <border>
      <left style="medium">
        <color theme="0"/>
      </left>
      <right/>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medium">
        <color theme="0"/>
      </right>
      <top/>
      <bottom/>
      <diagonal/>
    </border>
    <border>
      <left/>
      <right/>
      <top style="thin">
        <color rgb="FF6D2077"/>
      </top>
      <bottom/>
      <diagonal/>
    </border>
    <border>
      <left style="thin">
        <color rgb="FF6D2077"/>
      </left>
      <right/>
      <top/>
      <bottom/>
      <diagonal/>
    </border>
    <border>
      <left style="thin">
        <color rgb="FF6D2077"/>
      </left>
      <right/>
      <top style="thin">
        <color rgb="FF6D2077"/>
      </top>
      <bottom/>
      <diagonal/>
    </border>
    <border>
      <left/>
      <right style="thin">
        <color indexed="64"/>
      </right>
      <top style="thin">
        <color indexed="64"/>
      </top>
      <bottom/>
      <diagonal/>
    </border>
    <border>
      <left style="medium">
        <color rgb="FF053091"/>
      </left>
      <right/>
      <top style="medium">
        <color rgb="FF053091"/>
      </top>
      <bottom/>
      <diagonal/>
    </border>
    <border>
      <left/>
      <right/>
      <top style="medium">
        <color rgb="FF053091"/>
      </top>
      <bottom/>
      <diagonal/>
    </border>
    <border>
      <left/>
      <right style="medium">
        <color rgb="FF053091"/>
      </right>
      <top style="medium">
        <color rgb="FF053091"/>
      </top>
      <bottom/>
      <diagonal/>
    </border>
    <border>
      <left style="medium">
        <color rgb="FF053091"/>
      </left>
      <right/>
      <top/>
      <bottom/>
      <diagonal/>
    </border>
    <border>
      <left/>
      <right style="medium">
        <color rgb="FF053091"/>
      </right>
      <top/>
      <bottom/>
      <diagonal/>
    </border>
    <border>
      <left style="medium">
        <color rgb="FF053091"/>
      </left>
      <right/>
      <top/>
      <bottom style="medium">
        <color rgb="FF053091"/>
      </bottom>
      <diagonal/>
    </border>
    <border>
      <left/>
      <right/>
      <top/>
      <bottom style="medium">
        <color rgb="FF053091"/>
      </bottom>
      <diagonal/>
    </border>
    <border>
      <left/>
      <right style="medium">
        <color rgb="FF053091"/>
      </right>
      <top/>
      <bottom style="medium">
        <color rgb="FF053091"/>
      </bottom>
      <diagonal/>
    </border>
    <border>
      <left/>
      <right style="double">
        <color rgb="FF053091"/>
      </right>
      <top/>
      <bottom/>
      <diagonal/>
    </border>
    <border>
      <left/>
      <right/>
      <top style="double">
        <color rgb="FF053091"/>
      </top>
      <bottom/>
      <diagonal/>
    </border>
    <border>
      <left/>
      <right style="double">
        <color rgb="FF00A3A1"/>
      </right>
      <top/>
      <bottom/>
      <diagonal/>
    </border>
    <border>
      <left/>
      <right/>
      <top style="medium">
        <color indexed="64"/>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style="medium">
        <color rgb="FF0070C0"/>
      </right>
      <top/>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double">
        <color rgb="FF053091"/>
      </left>
      <right/>
      <top style="double">
        <color rgb="FF053091"/>
      </top>
      <bottom/>
      <diagonal/>
    </border>
    <border>
      <left/>
      <right style="double">
        <color rgb="FF053091"/>
      </right>
      <top style="double">
        <color rgb="FF053091"/>
      </top>
      <bottom/>
      <diagonal/>
    </border>
  </borders>
  <cellStyleXfs count="23">
    <xf numFmtId="0" fontId="0" fillId="0" borderId="0"/>
    <xf numFmtId="9" fontId="1" fillId="0" borderId="0" applyFont="0" applyFill="0" applyBorder="0" applyAlignment="0" applyProtection="0"/>
    <xf numFmtId="0" fontId="4" fillId="0" borderId="0"/>
    <xf numFmtId="0" fontId="6" fillId="0" borderId="0"/>
    <xf numFmtId="164" fontId="6" fillId="0" borderId="0" applyFont="0" applyFill="0" applyBorder="0" applyAlignment="0" applyProtection="0"/>
    <xf numFmtId="164" fontId="1" fillId="0" borderId="0" applyFont="0" applyFill="0" applyBorder="0" applyAlignment="0" applyProtection="0"/>
    <xf numFmtId="0" fontId="4" fillId="0" borderId="0" applyFill="0" applyBorder="0"/>
    <xf numFmtId="0" fontId="4" fillId="0" borderId="0"/>
    <xf numFmtId="164" fontId="4" fillId="0" borderId="0" applyFont="0" applyFill="0" applyBorder="0" applyAlignment="0" applyProtection="0"/>
    <xf numFmtId="9" fontId="4" fillId="0" borderId="0" applyFont="0" applyFill="0" applyBorder="0" applyAlignment="0" applyProtection="0"/>
    <xf numFmtId="0" fontId="6" fillId="0" borderId="0"/>
    <xf numFmtId="0" fontId="145" fillId="0" borderId="0"/>
    <xf numFmtId="0" fontId="151" fillId="0" borderId="0"/>
    <xf numFmtId="9" fontId="179" fillId="0" borderId="0" applyFont="0" applyFill="0" applyBorder="0" applyAlignment="0" applyProtection="0"/>
    <xf numFmtId="164" fontId="1" fillId="0" borderId="0" applyFont="0" applyFill="0" applyBorder="0" applyAlignment="0" applyProtection="0"/>
    <xf numFmtId="0" fontId="1" fillId="0" borderId="0"/>
    <xf numFmtId="9" fontId="6" fillId="0" borderId="0" applyFont="0" applyFill="0" applyBorder="0" applyAlignment="0" applyProtection="0"/>
    <xf numFmtId="0" fontId="4" fillId="0" borderId="0"/>
    <xf numFmtId="0" fontId="4" fillId="0" borderId="0"/>
    <xf numFmtId="164" fontId="6" fillId="0" borderId="0" applyFont="0" applyFill="0" applyBorder="0" applyAlignment="0" applyProtection="0"/>
    <xf numFmtId="164" fontId="1" fillId="0" borderId="0" applyFont="0" applyFill="0" applyBorder="0" applyAlignment="0" applyProtection="0"/>
    <xf numFmtId="0" fontId="6" fillId="0" borderId="0"/>
    <xf numFmtId="0" fontId="4" fillId="0" borderId="0"/>
  </cellStyleXfs>
  <cellXfs count="1063">
    <xf numFmtId="0" fontId="0" fillId="0" borderId="0" xfId="0"/>
    <xf numFmtId="0" fontId="0" fillId="6" borderId="1" xfId="0" applyFill="1" applyBorder="1"/>
    <xf numFmtId="0" fontId="0" fillId="6" borderId="2" xfId="0" applyFill="1" applyBorder="1"/>
    <xf numFmtId="0" fontId="0" fillId="6" borderId="3" xfId="0" applyFill="1" applyBorder="1"/>
    <xf numFmtId="0" fontId="0" fillId="0" borderId="3" xfId="0" applyBorder="1"/>
    <xf numFmtId="0" fontId="0" fillId="7" borderId="3" xfId="0" applyFill="1" applyBorder="1"/>
    <xf numFmtId="14" fontId="0" fillId="0" borderId="3" xfId="0" applyNumberFormat="1" applyBorder="1"/>
    <xf numFmtId="2" fontId="0" fillId="0" borderId="3" xfId="0" applyNumberFormat="1" applyBorder="1"/>
    <xf numFmtId="0" fontId="0" fillId="0" borderId="0" xfId="0" applyFill="1" applyBorder="1"/>
    <xf numFmtId="0" fontId="0" fillId="0" borderId="3" xfId="0" applyFill="1" applyBorder="1"/>
    <xf numFmtId="0" fontId="3" fillId="0" borderId="0" xfId="0" applyFont="1"/>
    <xf numFmtId="0" fontId="0" fillId="0" borderId="0" xfId="0" applyBorder="1"/>
    <xf numFmtId="0" fontId="3" fillId="0" borderId="0" xfId="0" applyFont="1" applyBorder="1"/>
    <xf numFmtId="0" fontId="0" fillId="9" borderId="3" xfId="0" applyFill="1" applyBorder="1"/>
    <xf numFmtId="1" fontId="0" fillId="0" borderId="3" xfId="0" applyNumberFormat="1" applyBorder="1"/>
    <xf numFmtId="167" fontId="8" fillId="0" borderId="5" xfId="4" applyNumberFormat="1" applyFont="1" applyBorder="1" applyAlignment="1">
      <alignment horizontal="center"/>
    </xf>
    <xf numFmtId="167" fontId="7" fillId="0" borderId="3" xfId="4" applyNumberFormat="1" applyFont="1" applyBorder="1" applyAlignment="1">
      <alignment horizontal="center"/>
    </xf>
    <xf numFmtId="0" fontId="6" fillId="0" borderId="4" xfId="3" applyFont="1" applyBorder="1"/>
    <xf numFmtId="167" fontId="7" fillId="0" borderId="7" xfId="4" applyNumberFormat="1" applyFont="1" applyBorder="1" applyAlignment="1">
      <alignment horizontal="center"/>
    </xf>
    <xf numFmtId="167" fontId="7" fillId="0" borderId="11" xfId="4" applyNumberFormat="1" applyFont="1" applyBorder="1" applyAlignment="1">
      <alignment horizontal="center"/>
    </xf>
    <xf numFmtId="0" fontId="6" fillId="0" borderId="8" xfId="3" applyFont="1" applyBorder="1"/>
    <xf numFmtId="167" fontId="7" fillId="0" borderId="0" xfId="4" applyNumberFormat="1" applyFont="1" applyBorder="1" applyAlignment="1">
      <alignment horizontal="center"/>
    </xf>
    <xf numFmtId="167" fontId="7" fillId="0" borderId="12" xfId="4" applyNumberFormat="1" applyFont="1" applyBorder="1" applyAlignment="1">
      <alignment horizontal="center"/>
    </xf>
    <xf numFmtId="0" fontId="6" fillId="0" borderId="9" xfId="3" applyFont="1" applyBorder="1"/>
    <xf numFmtId="167" fontId="7" fillId="0" borderId="10" xfId="4" applyNumberFormat="1" applyFont="1" applyBorder="1" applyAlignment="1">
      <alignment horizontal="center"/>
    </xf>
    <xf numFmtId="167" fontId="8" fillId="0" borderId="10" xfId="4" applyNumberFormat="1" applyFont="1" applyBorder="1" applyAlignment="1">
      <alignment horizontal="center"/>
    </xf>
    <xf numFmtId="167" fontId="8" fillId="0" borderId="13" xfId="4" applyNumberFormat="1" applyFont="1" applyBorder="1" applyAlignment="1">
      <alignment horizontal="center"/>
    </xf>
    <xf numFmtId="0" fontId="6" fillId="3" borderId="4" xfId="3" applyFont="1" applyFill="1" applyBorder="1"/>
    <xf numFmtId="167" fontId="7" fillId="3" borderId="7" xfId="4" applyNumberFormat="1" applyFont="1" applyFill="1" applyBorder="1"/>
    <xf numFmtId="167" fontId="8" fillId="3" borderId="7" xfId="4" applyNumberFormat="1" applyFont="1" applyFill="1" applyBorder="1"/>
    <xf numFmtId="167" fontId="8" fillId="3" borderId="11" xfId="4" applyNumberFormat="1" applyFont="1" applyFill="1" applyBorder="1"/>
    <xf numFmtId="0" fontId="6" fillId="3" borderId="8" xfId="3" applyFont="1" applyFill="1" applyBorder="1"/>
    <xf numFmtId="167" fontId="7" fillId="3" borderId="0" xfId="4" applyNumberFormat="1" applyFont="1" applyFill="1" applyBorder="1"/>
    <xf numFmtId="167" fontId="8" fillId="3" borderId="0" xfId="4" applyNumberFormat="1" applyFont="1" applyFill="1" applyBorder="1"/>
    <xf numFmtId="167" fontId="8" fillId="3" borderId="12" xfId="4" applyNumberFormat="1" applyFont="1" applyFill="1" applyBorder="1"/>
    <xf numFmtId="0" fontId="6" fillId="3" borderId="9" xfId="3" applyFont="1" applyFill="1" applyBorder="1"/>
    <xf numFmtId="167" fontId="7" fillId="3" borderId="10" xfId="4" applyNumberFormat="1" applyFont="1" applyFill="1" applyBorder="1"/>
    <xf numFmtId="167" fontId="8" fillId="3" borderId="10" xfId="4" applyNumberFormat="1" applyFont="1" applyFill="1" applyBorder="1"/>
    <xf numFmtId="167" fontId="8" fillId="3" borderId="13" xfId="4" applyNumberFormat="1" applyFont="1" applyFill="1" applyBorder="1"/>
    <xf numFmtId="0" fontId="6" fillId="10" borderId="4" xfId="3" applyFont="1" applyFill="1" applyBorder="1"/>
    <xf numFmtId="167" fontId="7" fillId="10" borderId="7" xfId="4" applyNumberFormat="1" applyFont="1" applyFill="1" applyBorder="1"/>
    <xf numFmtId="167" fontId="8" fillId="10" borderId="7" xfId="4" applyNumberFormat="1" applyFont="1" applyFill="1" applyBorder="1"/>
    <xf numFmtId="167" fontId="8" fillId="10" borderId="11" xfId="4" applyNumberFormat="1" applyFont="1" applyFill="1" applyBorder="1"/>
    <xf numFmtId="0" fontId="6" fillId="10" borderId="8" xfId="3" applyFont="1" applyFill="1" applyBorder="1"/>
    <xf numFmtId="167" fontId="7" fillId="10" borderId="0" xfId="4" applyNumberFormat="1" applyFont="1" applyFill="1" applyBorder="1"/>
    <xf numFmtId="167" fontId="8" fillId="10" borderId="0" xfId="4" applyNumberFormat="1" applyFont="1" applyFill="1" applyBorder="1"/>
    <xf numFmtId="167" fontId="8" fillId="10" borderId="12" xfId="4" applyNumberFormat="1" applyFont="1" applyFill="1" applyBorder="1"/>
    <xf numFmtId="0" fontId="6" fillId="10" borderId="9" xfId="3" applyFont="1" applyFill="1" applyBorder="1"/>
    <xf numFmtId="167" fontId="7" fillId="10" borderId="10" xfId="4" applyNumberFormat="1" applyFont="1" applyFill="1" applyBorder="1"/>
    <xf numFmtId="167" fontId="8" fillId="10" borderId="10" xfId="4" applyNumberFormat="1" applyFont="1" applyFill="1" applyBorder="1"/>
    <xf numFmtId="167" fontId="8" fillId="10" borderId="13" xfId="4" applyNumberFormat="1" applyFont="1" applyFill="1" applyBorder="1"/>
    <xf numFmtId="0" fontId="10" fillId="12" borderId="15"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2" fillId="13" borderId="15" xfId="0" applyFont="1" applyFill="1" applyBorder="1" applyAlignment="1">
      <alignment horizontal="left" vertical="center" wrapText="1"/>
    </xf>
    <xf numFmtId="0" fontId="12" fillId="13" borderId="0" xfId="0" applyFont="1" applyFill="1" applyBorder="1" applyAlignment="1">
      <alignment horizontal="left" vertical="center" wrapText="1"/>
    </xf>
    <xf numFmtId="2" fontId="0" fillId="0" borderId="0" xfId="0" applyNumberFormat="1"/>
    <xf numFmtId="0" fontId="0" fillId="14" borderId="0" xfId="0" applyFill="1"/>
    <xf numFmtId="0" fontId="0" fillId="7" borderId="1" xfId="0" applyFill="1" applyBorder="1"/>
    <xf numFmtId="0" fontId="11" fillId="11" borderId="3" xfId="0" applyFont="1" applyFill="1" applyBorder="1" applyAlignment="1">
      <alignment horizontal="left" vertical="center" wrapText="1"/>
    </xf>
    <xf numFmtId="0" fontId="0" fillId="14" borderId="3" xfId="0" applyFill="1" applyBorder="1"/>
    <xf numFmtId="10" fontId="0" fillId="0" borderId="5" xfId="1" applyNumberFormat="1" applyFont="1" applyBorder="1"/>
    <xf numFmtId="0" fontId="0" fillId="7" borderId="17" xfId="0" applyFill="1" applyBorder="1"/>
    <xf numFmtId="0" fontId="0" fillId="7" borderId="19" xfId="0" applyFill="1" applyBorder="1"/>
    <xf numFmtId="0" fontId="0" fillId="4" borderId="3" xfId="0" applyFill="1" applyBorder="1"/>
    <xf numFmtId="2" fontId="0" fillId="0" borderId="3" xfId="0" applyNumberFormat="1" applyFill="1" applyBorder="1"/>
    <xf numFmtId="10" fontId="0" fillId="0" borderId="3" xfId="0" applyNumberFormat="1" applyFill="1" applyBorder="1"/>
    <xf numFmtId="0" fontId="0" fillId="15" borderId="3" xfId="0" applyFill="1" applyBorder="1"/>
    <xf numFmtId="10" fontId="0" fillId="15" borderId="3" xfId="0" applyNumberFormat="1" applyFill="1" applyBorder="1"/>
    <xf numFmtId="0" fontId="15" fillId="6" borderId="0" xfId="0" applyFont="1" applyFill="1"/>
    <xf numFmtId="168" fontId="0" fillId="0" borderId="0" xfId="0" applyNumberFormat="1"/>
    <xf numFmtId="0" fontId="17" fillId="0" borderId="0" xfId="6" applyFont="1" applyAlignment="1">
      <alignment horizontal="center"/>
    </xf>
    <xf numFmtId="0" fontId="3" fillId="0" borderId="0" xfId="6" applyFont="1"/>
    <xf numFmtId="0" fontId="3" fillId="0" borderId="0" xfId="6" applyFont="1" applyAlignment="1">
      <alignment horizontal="center"/>
    </xf>
    <xf numFmtId="0" fontId="3" fillId="0" borderId="0" xfId="6" applyNumberFormat="1" applyFont="1" applyAlignment="1">
      <alignment horizontal="center"/>
    </xf>
    <xf numFmtId="4" fontId="3" fillId="0" borderId="0" xfId="6" applyNumberFormat="1" applyFont="1" applyAlignment="1">
      <alignment horizontal="center"/>
    </xf>
    <xf numFmtId="169" fontId="3" fillId="0" borderId="0" xfId="6" applyNumberFormat="1" applyFont="1" applyAlignment="1">
      <alignment horizontal="center"/>
    </xf>
    <xf numFmtId="164" fontId="3" fillId="0" borderId="0" xfId="5" applyFont="1" applyAlignment="1">
      <alignment horizontal="center"/>
    </xf>
    <xf numFmtId="10" fontId="3" fillId="0" borderId="0" xfId="6" applyNumberFormat="1" applyFont="1" applyAlignment="1">
      <alignment horizontal="center"/>
    </xf>
    <xf numFmtId="2" fontId="3" fillId="0" borderId="0" xfId="6" applyNumberFormat="1" applyFont="1" applyAlignment="1">
      <alignment horizontal="center"/>
    </xf>
    <xf numFmtId="14" fontId="3" fillId="0" borderId="0" xfId="6" applyNumberFormat="1" applyFont="1" applyAlignment="1">
      <alignment horizontal="center"/>
    </xf>
    <xf numFmtId="0" fontId="18" fillId="10" borderId="3" xfId="6" applyFont="1" applyFill="1" applyBorder="1" applyAlignment="1">
      <alignment horizontal="left"/>
    </xf>
    <xf numFmtId="14" fontId="3" fillId="0" borderId="3" xfId="6" applyNumberFormat="1" applyFont="1" applyFill="1" applyBorder="1" applyAlignment="1">
      <alignment horizontal="left"/>
    </xf>
    <xf numFmtId="0" fontId="3" fillId="0" borderId="3" xfId="6" applyNumberFormat="1" applyFont="1" applyFill="1" applyBorder="1" applyAlignment="1">
      <alignment horizontal="left"/>
    </xf>
    <xf numFmtId="0" fontId="15" fillId="16" borderId="23" xfId="0" applyFont="1" applyFill="1" applyBorder="1" applyAlignment="1">
      <alignment horizontal="center"/>
    </xf>
    <xf numFmtId="0" fontId="15" fillId="16" borderId="24" xfId="0" applyFont="1" applyFill="1" applyBorder="1" applyAlignment="1"/>
    <xf numFmtId="2" fontId="3" fillId="0" borderId="3" xfId="6" applyNumberFormat="1" applyFont="1" applyBorder="1" applyAlignment="1">
      <alignment horizontal="left"/>
    </xf>
    <xf numFmtId="0" fontId="0" fillId="0" borderId="13" xfId="0" applyBorder="1"/>
    <xf numFmtId="2" fontId="18" fillId="0" borderId="13" xfId="5" applyNumberFormat="1" applyFont="1" applyBorder="1" applyAlignment="1">
      <alignment horizontal="center"/>
    </xf>
    <xf numFmtId="4" fontId="3" fillId="0" borderId="3" xfId="6" applyNumberFormat="1" applyFont="1" applyFill="1" applyBorder="1" applyAlignment="1">
      <alignment horizontal="left"/>
    </xf>
    <xf numFmtId="9" fontId="3" fillId="0" borderId="3" xfId="6" applyNumberFormat="1" applyFont="1" applyFill="1" applyBorder="1" applyAlignment="1">
      <alignment horizontal="left"/>
    </xf>
    <xf numFmtId="0" fontId="18" fillId="0" borderId="0" xfId="6" applyFont="1" applyAlignment="1">
      <alignment horizontal="center"/>
    </xf>
    <xf numFmtId="2" fontId="18" fillId="0" borderId="0" xfId="6" applyNumberFormat="1" applyFont="1" applyAlignment="1">
      <alignment horizontal="center"/>
    </xf>
    <xf numFmtId="9" fontId="3" fillId="0" borderId="0" xfId="6" applyNumberFormat="1" applyFont="1" applyAlignment="1">
      <alignment horizontal="center"/>
    </xf>
    <xf numFmtId="0" fontId="17" fillId="0" borderId="0" xfId="6" applyFont="1" applyFill="1" applyBorder="1" applyAlignment="1">
      <alignment horizontal="center"/>
    </xf>
    <xf numFmtId="9" fontId="3" fillId="0" borderId="0" xfId="1" applyFont="1" applyFill="1" applyBorder="1"/>
    <xf numFmtId="0" fontId="3" fillId="17" borderId="3" xfId="6" applyNumberFormat="1" applyFont="1" applyFill="1" applyBorder="1" applyAlignment="1">
      <alignment horizontal="center"/>
    </xf>
    <xf numFmtId="0" fontId="19" fillId="0" borderId="0" xfId="6" applyFont="1" applyAlignment="1">
      <alignment horizontal="center"/>
    </xf>
    <xf numFmtId="4" fontId="3" fillId="0" borderId="3" xfId="6" applyNumberFormat="1" applyFont="1" applyBorder="1" applyAlignment="1">
      <alignment horizontal="center"/>
    </xf>
    <xf numFmtId="0" fontId="18" fillId="10" borderId="3" xfId="6" applyFont="1" applyFill="1" applyBorder="1" applyAlignment="1">
      <alignment horizontal="center"/>
    </xf>
    <xf numFmtId="0" fontId="18" fillId="6" borderId="3" xfId="6" applyFont="1" applyFill="1" applyBorder="1" applyAlignment="1">
      <alignment horizontal="center"/>
    </xf>
    <xf numFmtId="10" fontId="18" fillId="18" borderId="3" xfId="6" applyNumberFormat="1" applyFont="1" applyFill="1" applyBorder="1" applyAlignment="1">
      <alignment horizontal="center"/>
    </xf>
    <xf numFmtId="14" fontId="3" fillId="0" borderId="3" xfId="6" applyNumberFormat="1" applyFont="1" applyBorder="1" applyAlignment="1">
      <alignment horizontal="center"/>
    </xf>
    <xf numFmtId="2" fontId="3" fillId="0" borderId="3" xfId="6" applyNumberFormat="1" applyFont="1" applyBorder="1" applyAlignment="1">
      <alignment horizontal="center"/>
    </xf>
    <xf numFmtId="170" fontId="3" fillId="0" borderId="3" xfId="6" applyNumberFormat="1" applyFont="1" applyBorder="1" applyAlignment="1">
      <alignment horizontal="center"/>
    </xf>
    <xf numFmtId="171" fontId="3" fillId="0" borderId="3" xfId="6" applyNumberFormat="1" applyFont="1" applyBorder="1" applyAlignment="1">
      <alignment horizontal="center"/>
    </xf>
    <xf numFmtId="169" fontId="3" fillId="0" borderId="3" xfId="6" applyNumberFormat="1" applyFont="1" applyBorder="1" applyAlignment="1">
      <alignment horizontal="center"/>
    </xf>
    <xf numFmtId="0" fontId="3" fillId="0" borderId="3" xfId="5" applyNumberFormat="1" applyFont="1" applyBorder="1" applyAlignment="1">
      <alignment horizontal="center"/>
    </xf>
    <xf numFmtId="169" fontId="3" fillId="0" borderId="0" xfId="6" applyNumberFormat="1" applyFont="1"/>
    <xf numFmtId="168" fontId="21" fillId="0" borderId="25" xfId="0" applyNumberFormat="1" applyFont="1" applyBorder="1" applyAlignment="1">
      <alignment horizontal="center" vertical="top" wrapText="1"/>
    </xf>
    <xf numFmtId="168" fontId="21" fillId="0" borderId="26" xfId="0" applyNumberFormat="1" applyFont="1" applyBorder="1" applyAlignment="1">
      <alignment horizontal="center" vertical="top" wrapText="1"/>
    </xf>
    <xf numFmtId="1" fontId="21" fillId="0" borderId="25" xfId="0" applyNumberFormat="1" applyFont="1" applyBorder="1" applyAlignment="1">
      <alignment horizontal="center" vertical="top" wrapText="1"/>
    </xf>
    <xf numFmtId="168" fontId="21" fillId="0" borderId="27" xfId="0" applyNumberFormat="1" applyFont="1" applyBorder="1" applyAlignment="1">
      <alignment horizontal="center" vertical="top" wrapText="1"/>
    </xf>
    <xf numFmtId="0" fontId="23" fillId="0" borderId="26" xfId="0" applyFont="1" applyBorder="1" applyAlignment="1">
      <alignment horizontal="center" vertical="top" wrapText="1"/>
    </xf>
    <xf numFmtId="0" fontId="23" fillId="0" borderId="25" xfId="0" applyFont="1" applyBorder="1" applyAlignment="1">
      <alignment horizontal="center" vertical="top" wrapText="1"/>
    </xf>
    <xf numFmtId="0" fontId="23" fillId="0" borderId="29" xfId="0" applyFont="1" applyBorder="1" applyAlignment="1">
      <alignment horizontal="center" vertical="top" wrapText="1"/>
    </xf>
    <xf numFmtId="0" fontId="23" fillId="0" borderId="28" xfId="0" applyFont="1" applyBorder="1" applyAlignment="1">
      <alignment horizontal="center" vertical="top" wrapText="1"/>
    </xf>
    <xf numFmtId="0" fontId="23" fillId="0" borderId="24" xfId="0" applyFont="1" applyBorder="1" applyAlignment="1">
      <alignment horizontal="center" wrapText="1"/>
    </xf>
    <xf numFmtId="2" fontId="0" fillId="0" borderId="11" xfId="0" applyNumberFormat="1" applyBorder="1"/>
    <xf numFmtId="0" fontId="15" fillId="16" borderId="3" xfId="0" applyFont="1" applyFill="1" applyBorder="1" applyAlignment="1">
      <alignment horizontal="center"/>
    </xf>
    <xf numFmtId="4" fontId="0" fillId="0" borderId="18" xfId="0" applyNumberFormat="1" applyBorder="1"/>
    <xf numFmtId="10" fontId="16" fillId="0" borderId="3" xfId="6" applyNumberFormat="1" applyFont="1" applyFill="1" applyBorder="1" applyAlignment="1">
      <alignment horizontal="left"/>
    </xf>
    <xf numFmtId="10" fontId="16" fillId="0" borderId="0" xfId="6" applyNumberFormat="1" applyFont="1" applyAlignment="1">
      <alignment horizontal="center"/>
    </xf>
    <xf numFmtId="0" fontId="2" fillId="5" borderId="0" xfId="0" applyFont="1" applyFill="1" applyAlignment="1">
      <alignment horizontal="center"/>
    </xf>
    <xf numFmtId="14" fontId="0" fillId="0" borderId="0" xfId="0" applyNumberFormat="1"/>
    <xf numFmtId="0" fontId="0" fillId="0" borderId="6" xfId="0" applyBorder="1"/>
    <xf numFmtId="4" fontId="0" fillId="0" borderId="3" xfId="0" applyNumberFormat="1" applyBorder="1"/>
    <xf numFmtId="4" fontId="0" fillId="0" borderId="0" xfId="0" applyNumberFormat="1"/>
    <xf numFmtId="0" fontId="2" fillId="19" borderId="0" xfId="0" applyFont="1" applyFill="1" applyAlignment="1">
      <alignment horizontal="center"/>
    </xf>
    <xf numFmtId="173" fontId="0" fillId="0" borderId="6" xfId="0" applyNumberFormat="1" applyBorder="1"/>
    <xf numFmtId="4" fontId="0" fillId="0" borderId="3" xfId="0" applyNumberFormat="1" applyBorder="1" applyAlignment="1">
      <alignment horizontal="center" vertical="center"/>
    </xf>
    <xf numFmtId="2" fontId="0" fillId="2" borderId="3" xfId="0" applyNumberFormat="1" applyFill="1" applyBorder="1"/>
    <xf numFmtId="9" fontId="0" fillId="0" borderId="3" xfId="1" applyFont="1" applyBorder="1"/>
    <xf numFmtId="9" fontId="0" fillId="0" borderId="3" xfId="1" applyNumberFormat="1" applyFont="1" applyBorder="1"/>
    <xf numFmtId="0" fontId="6" fillId="0" borderId="3" xfId="3" applyBorder="1"/>
    <xf numFmtId="167" fontId="7" fillId="3" borderId="3" xfId="4" applyNumberFormat="1" applyFont="1" applyFill="1" applyBorder="1"/>
    <xf numFmtId="167" fontId="8" fillId="3" borderId="3" xfId="4" applyNumberFormat="1" applyFont="1" applyFill="1" applyBorder="1"/>
    <xf numFmtId="166" fontId="5" fillId="0" borderId="3" xfId="2" applyNumberFormat="1" applyFont="1" applyBorder="1" applyAlignment="1">
      <alignment horizontal="right" wrapText="1"/>
    </xf>
    <xf numFmtId="0" fontId="27" fillId="25" borderId="3" xfId="2" applyFont="1" applyFill="1" applyBorder="1" applyAlignment="1">
      <alignment horizontal="center" wrapText="1"/>
    </xf>
    <xf numFmtId="167" fontId="8" fillId="2" borderId="3" xfId="4" applyNumberFormat="1" applyFont="1" applyFill="1" applyBorder="1" applyAlignment="1">
      <alignment horizontal="center"/>
    </xf>
    <xf numFmtId="166" fontId="5" fillId="21" borderId="3" xfId="2" applyNumberFormat="1" applyFont="1" applyFill="1" applyBorder="1" applyAlignment="1">
      <alignment horizontal="right" wrapText="1"/>
    </xf>
    <xf numFmtId="0" fontId="0" fillId="21" borderId="3" xfId="0" applyFill="1" applyBorder="1"/>
    <xf numFmtId="0" fontId="2" fillId="5" borderId="0" xfId="0" applyFont="1" applyFill="1" applyAlignment="1">
      <alignment horizontal="center"/>
    </xf>
    <xf numFmtId="0" fontId="0" fillId="0" borderId="3" xfId="0" applyBorder="1" applyAlignment="1">
      <alignment horizontal="right"/>
    </xf>
    <xf numFmtId="9" fontId="0" fillId="0" borderId="6" xfId="0" applyNumberFormat="1" applyBorder="1"/>
    <xf numFmtId="0" fontId="0" fillId="23" borderId="3" xfId="0" applyFill="1" applyBorder="1"/>
    <xf numFmtId="0" fontId="0" fillId="4" borderId="0" xfId="0" applyFill="1"/>
    <xf numFmtId="10" fontId="0" fillId="0" borderId="3" xfId="0" applyNumberFormat="1" applyBorder="1" applyAlignment="1">
      <alignment horizontal="center" vertical="center"/>
    </xf>
    <xf numFmtId="2" fontId="0" fillId="0" borderId="3" xfId="0" applyNumberFormat="1" applyBorder="1" applyAlignment="1"/>
    <xf numFmtId="10" fontId="0" fillId="0" borderId="0" xfId="0" applyNumberFormat="1"/>
    <xf numFmtId="0" fontId="16" fillId="0" borderId="0" xfId="0" applyFont="1"/>
    <xf numFmtId="9" fontId="0" fillId="0" borderId="0" xfId="1" applyFont="1" applyAlignment="1">
      <alignment horizontal="center"/>
    </xf>
    <xf numFmtId="9" fontId="0" fillId="0" borderId="0" xfId="0" applyNumberFormat="1"/>
    <xf numFmtId="0" fontId="2" fillId="24" borderId="0" xfId="0" applyFont="1" applyFill="1" applyAlignment="1">
      <alignment horizontal="center"/>
    </xf>
    <xf numFmtId="0" fontId="0" fillId="0" borderId="3" xfId="0" applyBorder="1" applyAlignment="1">
      <alignment horizontal="center"/>
    </xf>
    <xf numFmtId="0" fontId="2" fillId="5" borderId="3" xfId="0" applyFont="1" applyFill="1" applyBorder="1"/>
    <xf numFmtId="0" fontId="0" fillId="0" borderId="11" xfId="0" applyBorder="1"/>
    <xf numFmtId="14" fontId="0" fillId="0" borderId="3" xfId="0" applyNumberFormat="1" applyBorder="1" applyAlignment="1">
      <alignment horizontal="center"/>
    </xf>
    <xf numFmtId="2" fontId="0" fillId="0" borderId="3" xfId="0" applyNumberFormat="1" applyBorder="1" applyAlignment="1">
      <alignment horizontal="center"/>
    </xf>
    <xf numFmtId="14" fontId="0" fillId="26" borderId="3" xfId="0" applyNumberFormat="1" applyFill="1" applyBorder="1"/>
    <xf numFmtId="2" fontId="0" fillId="26" borderId="3" xfId="0" applyNumberFormat="1" applyFill="1" applyBorder="1"/>
    <xf numFmtId="0" fontId="0" fillId="26" borderId="3" xfId="0" applyFill="1" applyBorder="1" applyAlignment="1">
      <alignment horizontal="left" vertical="center"/>
    </xf>
    <xf numFmtId="10" fontId="16" fillId="0" borderId="3" xfId="0" applyNumberFormat="1" applyFont="1" applyBorder="1"/>
    <xf numFmtId="0" fontId="16" fillId="0" borderId="3" xfId="0" applyFont="1" applyBorder="1"/>
    <xf numFmtId="0" fontId="16" fillId="18" borderId="3" xfId="0" applyFont="1" applyFill="1" applyBorder="1"/>
    <xf numFmtId="0" fontId="2" fillId="27" borderId="0" xfId="0" applyFont="1" applyFill="1"/>
    <xf numFmtId="2" fontId="16" fillId="0" borderId="3" xfId="0" applyNumberFormat="1" applyFont="1" applyBorder="1"/>
    <xf numFmtId="0" fontId="0" fillId="26" borderId="3" xfId="0" applyFill="1" applyBorder="1"/>
    <xf numFmtId="14" fontId="16" fillId="0" borderId="3" xfId="0" applyNumberFormat="1" applyFont="1" applyBorder="1"/>
    <xf numFmtId="14" fontId="3" fillId="0" borderId="3" xfId="0" applyNumberFormat="1" applyFont="1" applyBorder="1"/>
    <xf numFmtId="0" fontId="0" fillId="28" borderId="0" xfId="0" applyFill="1"/>
    <xf numFmtId="4" fontId="0" fillId="28" borderId="0" xfId="0" applyNumberFormat="1" applyFill="1"/>
    <xf numFmtId="10" fontId="16" fillId="15" borderId="5" xfId="1" applyNumberFormat="1" applyFont="1" applyFill="1" applyBorder="1"/>
    <xf numFmtId="0" fontId="28" fillId="0" borderId="0" xfId="0" applyFont="1"/>
    <xf numFmtId="0" fontId="29" fillId="0" borderId="0" xfId="0" applyFont="1"/>
    <xf numFmtId="0" fontId="30" fillId="0" borderId="0" xfId="0" applyFont="1"/>
    <xf numFmtId="174" fontId="28" fillId="0" borderId="0" xfId="0" applyNumberFormat="1" applyFont="1"/>
    <xf numFmtId="0" fontId="28" fillId="0" borderId="0" xfId="0" applyFont="1" applyAlignment="1">
      <alignment vertical="center" wrapText="1"/>
    </xf>
    <xf numFmtId="0" fontId="29" fillId="0" borderId="0" xfId="0" applyFont="1" applyAlignment="1">
      <alignment vertical="center" wrapText="1"/>
    </xf>
    <xf numFmtId="0" fontId="37" fillId="2" borderId="0" xfId="0" applyFont="1" applyFill="1" applyBorder="1" applyAlignment="1">
      <alignment vertical="center"/>
    </xf>
    <xf numFmtId="0" fontId="28" fillId="0" borderId="0" xfId="0" applyFont="1" applyAlignment="1">
      <alignment vertical="center"/>
    </xf>
    <xf numFmtId="0" fontId="29" fillId="0" borderId="0" xfId="0" applyFont="1" applyAlignment="1">
      <alignment vertical="center"/>
    </xf>
    <xf numFmtId="0" fontId="30" fillId="0" borderId="0" xfId="0" applyFont="1" applyAlignment="1">
      <alignment vertical="center"/>
    </xf>
    <xf numFmtId="0" fontId="35" fillId="0" borderId="0" xfId="0" applyFont="1" applyBorder="1" applyAlignment="1">
      <alignment horizontal="left" vertical="center"/>
    </xf>
    <xf numFmtId="0" fontId="35" fillId="0" borderId="0" xfId="0" applyFont="1" applyBorder="1" applyAlignment="1">
      <alignment vertical="center"/>
    </xf>
    <xf numFmtId="0" fontId="35" fillId="0" borderId="0" xfId="0" applyFont="1" applyBorder="1" applyAlignment="1">
      <alignment horizontal="left" vertical="center"/>
    </xf>
    <xf numFmtId="0" fontId="0" fillId="0" borderId="3" xfId="0" applyBorder="1" applyAlignment="1">
      <alignment horizontal="center"/>
    </xf>
    <xf numFmtId="0" fontId="2" fillId="5" borderId="0" xfId="0" applyFont="1" applyFill="1" applyAlignment="1">
      <alignment horizontal="center"/>
    </xf>
    <xf numFmtId="14" fontId="31" fillId="29" borderId="0" xfId="0" applyNumberFormat="1" applyFont="1" applyFill="1" applyBorder="1" applyAlignment="1">
      <alignment horizontal="center" vertical="center"/>
    </xf>
    <xf numFmtId="0" fontId="28" fillId="2" borderId="0" xfId="0" applyFont="1" applyFill="1"/>
    <xf numFmtId="0" fontId="29" fillId="2" borderId="0" xfId="0" applyFont="1" applyFill="1"/>
    <xf numFmtId="0" fontId="30" fillId="2" borderId="0" xfId="0" applyFont="1" applyFill="1"/>
    <xf numFmtId="0" fontId="40" fillId="0" borderId="0" xfId="0" applyFont="1"/>
    <xf numFmtId="9" fontId="0" fillId="0" borderId="3" xfId="1" applyNumberFormat="1" applyFont="1" applyBorder="1" applyAlignment="1">
      <alignment horizontal="center"/>
    </xf>
    <xf numFmtId="10" fontId="0" fillId="0" borderId="3" xfId="1" applyNumberFormat="1" applyFont="1" applyBorder="1" applyAlignment="1">
      <alignment horizontal="center"/>
    </xf>
    <xf numFmtId="0" fontId="0" fillId="8" borderId="0" xfId="0" applyFill="1"/>
    <xf numFmtId="0" fontId="34" fillId="0" borderId="0" xfId="0" applyFont="1"/>
    <xf numFmtId="0" fontId="0" fillId="0" borderId="3" xfId="0" applyBorder="1" applyAlignment="1">
      <alignment horizontal="center"/>
    </xf>
    <xf numFmtId="0" fontId="2" fillId="5" borderId="0" xfId="0" applyFont="1" applyFill="1" applyAlignment="1">
      <alignment horizontal="center"/>
    </xf>
    <xf numFmtId="0" fontId="2" fillId="5" borderId="0" xfId="0" applyFont="1" applyFill="1" applyAlignment="1">
      <alignment horizontal="center"/>
    </xf>
    <xf numFmtId="4" fontId="16" fillId="0" borderId="3" xfId="0" applyNumberFormat="1" applyFont="1" applyBorder="1" applyAlignment="1">
      <alignment horizontal="center" vertical="center"/>
    </xf>
    <xf numFmtId="0" fontId="0" fillId="0" borderId="3" xfId="0" applyNumberFormat="1" applyBorder="1"/>
    <xf numFmtId="14" fontId="0" fillId="6" borderId="0" xfId="0" applyNumberFormat="1" applyFill="1"/>
    <xf numFmtId="0" fontId="35" fillId="2" borderId="0" xfId="0" applyFont="1" applyFill="1" applyBorder="1" applyAlignment="1">
      <alignment horizontal="left" vertical="center" wrapText="1"/>
    </xf>
    <xf numFmtId="0" fontId="37" fillId="2" borderId="0" xfId="0" applyFont="1" applyFill="1" applyBorder="1" applyAlignment="1">
      <alignment horizontal="center" vertical="center" wrapText="1"/>
    </xf>
    <xf numFmtId="0" fontId="35" fillId="0" borderId="0" xfId="0" applyFont="1" applyBorder="1" applyAlignment="1">
      <alignment horizontal="left" vertical="center"/>
    </xf>
    <xf numFmtId="0" fontId="28" fillId="0" borderId="0" xfId="0" applyFont="1" applyBorder="1"/>
    <xf numFmtId="0" fontId="43" fillId="0" borderId="0" xfId="0" applyFont="1"/>
    <xf numFmtId="0" fontId="35" fillId="0" borderId="0" xfId="0" applyFont="1" applyBorder="1" applyAlignment="1">
      <alignment horizontal="left" vertical="center"/>
    </xf>
    <xf numFmtId="0" fontId="36" fillId="0" borderId="0" xfId="0" applyFont="1"/>
    <xf numFmtId="0" fontId="16" fillId="0" borderId="0" xfId="0" applyFont="1" applyBorder="1"/>
    <xf numFmtId="0" fontId="29" fillId="0" borderId="0" xfId="0" applyFont="1" applyAlignment="1">
      <alignment horizontal="left"/>
    </xf>
    <xf numFmtId="0" fontId="28" fillId="0" borderId="0" xfId="0" applyFont="1" applyAlignment="1">
      <alignment horizontal="left"/>
    </xf>
    <xf numFmtId="0" fontId="28" fillId="2" borderId="0" xfId="0" applyFont="1" applyFill="1" applyAlignment="1">
      <alignment vertical="center"/>
    </xf>
    <xf numFmtId="0" fontId="29" fillId="2" borderId="0" xfId="0" applyFont="1" applyFill="1" applyAlignment="1">
      <alignment vertical="center"/>
    </xf>
    <xf numFmtId="0" fontId="30" fillId="2" borderId="0" xfId="0" applyFont="1" applyFill="1" applyAlignment="1">
      <alignment vertical="center"/>
    </xf>
    <xf numFmtId="0" fontId="28" fillId="2" borderId="0" xfId="0" applyFont="1" applyFill="1" applyBorder="1" applyAlignment="1">
      <alignment vertical="center"/>
    </xf>
    <xf numFmtId="0" fontId="49" fillId="0" borderId="3" xfId="0" applyFont="1" applyFill="1" applyBorder="1" applyAlignment="1">
      <alignment horizontal="center" vertical="center"/>
    </xf>
    <xf numFmtId="10" fontId="0" fillId="0" borderId="3" xfId="0" applyNumberFormat="1" applyBorder="1"/>
    <xf numFmtId="4" fontId="48" fillId="0" borderId="3" xfId="0" applyNumberFormat="1" applyFont="1" applyFill="1" applyBorder="1"/>
    <xf numFmtId="0" fontId="0" fillId="6" borderId="3" xfId="0" applyFill="1" applyBorder="1" applyAlignment="1">
      <alignment horizontal="center"/>
    </xf>
    <xf numFmtId="0" fontId="0" fillId="4" borderId="3" xfId="0" applyFill="1" applyBorder="1" applyAlignment="1">
      <alignment horizontal="center"/>
    </xf>
    <xf numFmtId="4" fontId="0" fillId="37" borderId="3" xfId="0" applyNumberFormat="1" applyFill="1" applyBorder="1" applyAlignment="1">
      <alignment horizontal="center"/>
    </xf>
    <xf numFmtId="176" fontId="0" fillId="0" borderId="3" xfId="0" applyNumberFormat="1" applyBorder="1"/>
    <xf numFmtId="0" fontId="0" fillId="0" borderId="3" xfId="0" applyBorder="1" applyAlignment="1">
      <alignment horizontal="center"/>
    </xf>
    <xf numFmtId="0" fontId="50" fillId="2" borderId="0" xfId="0" applyFont="1" applyFill="1" applyBorder="1" applyAlignment="1">
      <alignment vertical="center"/>
    </xf>
    <xf numFmtId="0" fontId="51" fillId="0" borderId="0" xfId="0" applyFont="1" applyBorder="1" applyAlignment="1">
      <alignment vertical="center"/>
    </xf>
    <xf numFmtId="0" fontId="2" fillId="39" borderId="3" xfId="0" applyFont="1" applyFill="1" applyBorder="1"/>
    <xf numFmtId="4" fontId="18" fillId="0" borderId="3" xfId="0" applyNumberFormat="1" applyFont="1" applyFill="1" applyBorder="1" applyAlignment="1">
      <alignment horizontal="center"/>
    </xf>
    <xf numFmtId="14" fontId="0" fillId="0" borderId="6" xfId="0" applyNumberFormat="1" applyBorder="1"/>
    <xf numFmtId="0" fontId="0" fillId="0" borderId="3" xfId="0" applyBorder="1" applyAlignment="1">
      <alignment horizontal="left"/>
    </xf>
    <xf numFmtId="14" fontId="47" fillId="2" borderId="3" xfId="0" applyNumberFormat="1" applyFont="1" applyFill="1" applyBorder="1" applyAlignment="1">
      <alignment horizontal="center" vertical="center"/>
    </xf>
    <xf numFmtId="0" fontId="2" fillId="5" borderId="0" xfId="0" applyFont="1" applyFill="1" applyAlignment="1">
      <alignment horizontal="center"/>
    </xf>
    <xf numFmtId="14" fontId="0" fillId="0" borderId="11" xfId="0" applyNumberFormat="1" applyBorder="1"/>
    <xf numFmtId="0" fontId="0" fillId="0" borderId="3" xfId="0" applyBorder="1" applyAlignment="1">
      <alignment horizontal="center"/>
    </xf>
    <xf numFmtId="9" fontId="0" fillId="0" borderId="3" xfId="0" applyNumberFormat="1" applyBorder="1"/>
    <xf numFmtId="2" fontId="0" fillId="2" borderId="24" xfId="0" applyNumberFormat="1" applyFill="1" applyBorder="1"/>
    <xf numFmtId="2" fontId="0" fillId="0" borderId="24" xfId="0" applyNumberFormat="1" applyBorder="1"/>
    <xf numFmtId="0" fontId="29" fillId="0" borderId="0" xfId="0" applyFont="1" applyBorder="1"/>
    <xf numFmtId="14" fontId="50" fillId="2" borderId="0" xfId="0" applyNumberFormat="1" applyFont="1" applyFill="1" applyBorder="1" applyAlignment="1">
      <alignment vertical="center"/>
    </xf>
    <xf numFmtId="0" fontId="43" fillId="2" borderId="0" xfId="0" applyFont="1" applyFill="1"/>
    <xf numFmtId="14" fontId="30" fillId="2" borderId="0" xfId="0" applyNumberFormat="1" applyFont="1" applyFill="1"/>
    <xf numFmtId="174" fontId="43" fillId="2" borderId="0" xfId="0" applyNumberFormat="1" applyFont="1" applyFill="1"/>
    <xf numFmtId="0" fontId="0" fillId="0" borderId="3" xfId="0" applyBorder="1" applyAlignment="1">
      <alignment horizontal="center"/>
    </xf>
    <xf numFmtId="173" fontId="16" fillId="0" borderId="6" xfId="0" applyNumberFormat="1" applyFont="1" applyBorder="1"/>
    <xf numFmtId="14" fontId="0" fillId="6" borderId="3" xfId="0" applyNumberFormat="1" applyFill="1" applyBorder="1"/>
    <xf numFmtId="0" fontId="54" fillId="40" borderId="3" xfId="0" applyFont="1" applyFill="1" applyBorder="1" applyAlignment="1">
      <alignment horizontal="left"/>
    </xf>
    <xf numFmtId="0" fontId="54" fillId="41" borderId="3" xfId="0" applyFont="1" applyFill="1" applyBorder="1" applyAlignment="1">
      <alignment horizontal="left"/>
    </xf>
    <xf numFmtId="0" fontId="54" fillId="41" borderId="3" xfId="0" applyFont="1" applyFill="1" applyBorder="1"/>
    <xf numFmtId="14" fontId="0" fillId="42" borderId="0" xfId="0" applyNumberFormat="1" applyFill="1"/>
    <xf numFmtId="0" fontId="0" fillId="0" borderId="0" xfId="0" applyFill="1"/>
    <xf numFmtId="14" fontId="0" fillId="40" borderId="3" xfId="0" applyNumberFormat="1" applyFill="1" applyBorder="1"/>
    <xf numFmtId="0" fontId="0" fillId="40" borderId="3" xfId="0" applyFill="1" applyBorder="1"/>
    <xf numFmtId="0" fontId="0" fillId="43" borderId="3" xfId="0" applyFill="1" applyBorder="1"/>
    <xf numFmtId="0" fontId="55" fillId="43" borderId="3" xfId="0" applyFont="1" applyFill="1" applyBorder="1"/>
    <xf numFmtId="1" fontId="0" fillId="20" borderId="3" xfId="0" applyNumberFormat="1" applyFill="1" applyBorder="1" applyAlignment="1">
      <alignment horizontal="center"/>
    </xf>
    <xf numFmtId="14" fontId="0" fillId="26" borderId="5" xfId="0" applyNumberFormat="1" applyFill="1" applyBorder="1"/>
    <xf numFmtId="0" fontId="0" fillId="9" borderId="12" xfId="0" applyFill="1" applyBorder="1"/>
    <xf numFmtId="0" fontId="0" fillId="9" borderId="18" xfId="0" applyFill="1" applyBorder="1"/>
    <xf numFmtId="0" fontId="0" fillId="9" borderId="17" xfId="0" applyFill="1" applyBorder="1"/>
    <xf numFmtId="10" fontId="31" fillId="29" borderId="0" xfId="0" applyNumberFormat="1" applyFont="1" applyFill="1" applyBorder="1" applyAlignment="1">
      <alignment horizontal="center" vertical="center"/>
    </xf>
    <xf numFmtId="0" fontId="28" fillId="6" borderId="0" xfId="0" applyFont="1" applyFill="1"/>
    <xf numFmtId="0" fontId="28" fillId="0" borderId="0" xfId="0" applyFont="1" applyFill="1"/>
    <xf numFmtId="0" fontId="38" fillId="0" borderId="0" xfId="0" applyFont="1" applyFill="1" applyBorder="1" applyAlignment="1">
      <alignment horizontal="left" vertical="center" indent="1"/>
    </xf>
    <xf numFmtId="4" fontId="31" fillId="0" borderId="0" xfId="0" applyNumberFormat="1" applyFont="1" applyFill="1" applyBorder="1" applyAlignment="1">
      <alignment horizontal="center" vertical="center"/>
    </xf>
    <xf numFmtId="0" fontId="38" fillId="0" borderId="0" xfId="0" applyFont="1" applyFill="1" applyBorder="1" applyAlignment="1">
      <alignment horizontal="left" vertical="center" wrapText="1" indent="1"/>
    </xf>
    <xf numFmtId="14" fontId="31" fillId="0" borderId="0" xfId="0" applyNumberFormat="1" applyFont="1" applyFill="1" applyBorder="1" applyAlignment="1">
      <alignment horizontal="center" vertical="center"/>
    </xf>
    <xf numFmtId="0" fontId="35" fillId="0" borderId="0" xfId="0" applyFont="1" applyFill="1" applyBorder="1" applyAlignment="1">
      <alignment vertical="center"/>
    </xf>
    <xf numFmtId="0" fontId="38" fillId="21" borderId="0" xfId="0" applyFont="1" applyFill="1" applyBorder="1" applyAlignment="1">
      <alignment horizontal="left" vertical="center"/>
    </xf>
    <xf numFmtId="0" fontId="61" fillId="0" borderId="0" xfId="0" applyFont="1"/>
    <xf numFmtId="0" fontId="16" fillId="2" borderId="0" xfId="0" applyFont="1" applyFill="1"/>
    <xf numFmtId="0" fontId="62" fillId="0" borderId="0" xfId="0" applyFont="1" applyBorder="1" applyAlignment="1">
      <alignment horizontal="center" vertical="center" wrapText="1"/>
    </xf>
    <xf numFmtId="0" fontId="0" fillId="0" borderId="3" xfId="0" applyBorder="1" applyAlignment="1">
      <alignment horizontal="center"/>
    </xf>
    <xf numFmtId="0" fontId="59" fillId="0" borderId="0" xfId="0" applyFont="1" applyFill="1" applyBorder="1" applyAlignment="1">
      <alignment vertical="center" wrapText="1"/>
    </xf>
    <xf numFmtId="4" fontId="29" fillId="2" borderId="0" xfId="0" applyNumberFormat="1" applyFont="1" applyFill="1"/>
    <xf numFmtId="10" fontId="29" fillId="2" borderId="0" xfId="0" applyNumberFormat="1" applyFont="1" applyFill="1"/>
    <xf numFmtId="3" fontId="0" fillId="0" borderId="3" xfId="0" applyNumberFormat="1" applyBorder="1"/>
    <xf numFmtId="0" fontId="58" fillId="0" borderId="0" xfId="0" applyFont="1" applyFill="1" applyBorder="1" applyAlignment="1">
      <alignment vertical="center" wrapText="1"/>
    </xf>
    <xf numFmtId="0" fontId="64" fillId="0" borderId="0" xfId="0" applyFont="1"/>
    <xf numFmtId="14" fontId="65" fillId="0" borderId="0" xfId="0" applyNumberFormat="1" applyFont="1" applyFill="1" applyBorder="1" applyAlignment="1">
      <alignment horizontal="left" vertical="center" wrapText="1"/>
    </xf>
    <xf numFmtId="168" fontId="5" fillId="6" borderId="3" xfId="2" applyNumberFormat="1" applyFont="1" applyFill="1" applyBorder="1" applyAlignment="1">
      <alignment horizontal="right" wrapText="1"/>
    </xf>
    <xf numFmtId="3" fontId="0" fillId="0" borderId="3" xfId="0" applyNumberFormat="1" applyBorder="1" applyAlignment="1">
      <alignment horizontal="center" vertical="center"/>
    </xf>
    <xf numFmtId="3" fontId="0" fillId="6" borderId="3" xfId="0" applyNumberFormat="1" applyFill="1" applyBorder="1" applyAlignment="1">
      <alignment horizontal="center" vertical="center"/>
    </xf>
    <xf numFmtId="0" fontId="0" fillId="8" borderId="14" xfId="0" applyFill="1" applyBorder="1"/>
    <xf numFmtId="172" fontId="0" fillId="0" borderId="3" xfId="0" applyNumberFormat="1" applyBorder="1"/>
    <xf numFmtId="2" fontId="0" fillId="0" borderId="0" xfId="0" applyNumberFormat="1" applyFill="1" applyBorder="1"/>
    <xf numFmtId="0" fontId="0" fillId="0" borderId="0" xfId="0" applyFill="1" applyBorder="1" applyAlignment="1">
      <alignment horizontal="center"/>
    </xf>
    <xf numFmtId="0" fontId="0" fillId="2" borderId="0" xfId="0" applyFill="1"/>
    <xf numFmtId="0" fontId="59" fillId="0" borderId="0" xfId="0" applyFont="1" applyBorder="1" applyAlignment="1">
      <alignment vertical="center"/>
    </xf>
    <xf numFmtId="0" fontId="44" fillId="0" borderId="0" xfId="0" applyFont="1" applyBorder="1" applyAlignment="1">
      <alignment vertical="center"/>
    </xf>
    <xf numFmtId="0" fontId="53" fillId="0" borderId="0" xfId="0" applyFont="1" applyBorder="1" applyAlignment="1">
      <alignment vertical="center"/>
    </xf>
    <xf numFmtId="0" fontId="59" fillId="0" borderId="0" xfId="0" applyFont="1" applyFill="1" applyBorder="1" applyAlignment="1">
      <alignment vertical="center"/>
    </xf>
    <xf numFmtId="0" fontId="39" fillId="0" borderId="0" xfId="0" applyFont="1" applyBorder="1" applyAlignment="1">
      <alignment vertical="center" wrapText="1"/>
    </xf>
    <xf numFmtId="0" fontId="39" fillId="0" borderId="0" xfId="0" applyFont="1" applyFill="1" applyBorder="1" applyAlignment="1">
      <alignment vertical="center" wrapText="1"/>
    </xf>
    <xf numFmtId="0" fontId="59" fillId="0" borderId="0" xfId="0" applyFont="1" applyFill="1" applyBorder="1" applyAlignment="1">
      <alignment horizontal="left" vertical="center" wrapText="1"/>
    </xf>
    <xf numFmtId="0" fontId="28" fillId="0" borderId="0" xfId="0" applyFont="1" applyBorder="1" applyAlignment="1">
      <alignment vertical="center"/>
    </xf>
    <xf numFmtId="0" fontId="59" fillId="0" borderId="0" xfId="0" applyFont="1" applyFill="1" applyBorder="1" applyAlignment="1">
      <alignment horizontal="left" vertical="center" wrapText="1"/>
    </xf>
    <xf numFmtId="0" fontId="46" fillId="0" borderId="0" xfId="0" applyFont="1" applyFill="1" applyBorder="1" applyAlignment="1">
      <alignment vertical="center" wrapText="1"/>
    </xf>
    <xf numFmtId="0" fontId="65" fillId="0" borderId="0" xfId="0" applyFont="1" applyFill="1" applyBorder="1" applyAlignment="1">
      <alignment horizontal="left" vertical="center" wrapText="1"/>
    </xf>
    <xf numFmtId="0" fontId="32" fillId="0" borderId="0" xfId="0" applyFont="1" applyBorder="1" applyAlignment="1">
      <alignment horizontal="center" vertical="center" wrapText="1"/>
    </xf>
    <xf numFmtId="0" fontId="0" fillId="2" borderId="0" xfId="0" applyFont="1" applyFill="1"/>
    <xf numFmtId="0" fontId="15" fillId="2" borderId="0" xfId="0" applyFont="1" applyFill="1"/>
    <xf numFmtId="0" fontId="0" fillId="0" borderId="0" xfId="0" applyFont="1"/>
    <xf numFmtId="2" fontId="0" fillId="2" borderId="13" xfId="0" applyNumberFormat="1" applyFill="1" applyBorder="1"/>
    <xf numFmtId="2" fontId="0" fillId="6" borderId="0" xfId="0" applyNumberFormat="1" applyFill="1"/>
    <xf numFmtId="178" fontId="0" fillId="0" borderId="0" xfId="1" applyNumberFormat="1" applyFont="1" applyAlignment="1">
      <alignment horizontal="center"/>
    </xf>
    <xf numFmtId="0" fontId="56" fillId="2" borderId="0" xfId="0" applyFont="1" applyFill="1"/>
    <xf numFmtId="0" fontId="57" fillId="0" borderId="44" xfId="0" applyFont="1" applyBorder="1"/>
    <xf numFmtId="4" fontId="29" fillId="0" borderId="0" xfId="0" applyNumberFormat="1" applyFont="1"/>
    <xf numFmtId="4" fontId="31" fillId="29" borderId="0" xfId="0" applyNumberFormat="1" applyFont="1" applyFill="1" applyBorder="1" applyAlignment="1">
      <alignment horizontal="center" vertical="center"/>
    </xf>
    <xf numFmtId="0" fontId="50" fillId="0" borderId="0" xfId="0" applyFont="1" applyFill="1" applyBorder="1" applyAlignment="1">
      <alignment horizontal="left" vertical="center" indent="1"/>
    </xf>
    <xf numFmtId="0" fontId="50" fillId="0" borderId="0" xfId="0" applyFont="1" applyFill="1" applyBorder="1" applyAlignment="1">
      <alignment horizontal="left" vertical="center"/>
    </xf>
    <xf numFmtId="10" fontId="67" fillId="0" borderId="0" xfId="0" applyNumberFormat="1" applyFont="1" applyFill="1" applyBorder="1" applyAlignment="1">
      <alignment horizontal="center" vertical="center"/>
    </xf>
    <xf numFmtId="0" fontId="38" fillId="0" borderId="0" xfId="0" applyFont="1" applyFill="1" applyBorder="1" applyAlignment="1">
      <alignment horizontal="left" vertical="center"/>
    </xf>
    <xf numFmtId="0" fontId="38" fillId="0" borderId="0" xfId="0" applyFont="1" applyFill="1" applyBorder="1" applyAlignment="1">
      <alignment vertical="center"/>
    </xf>
    <xf numFmtId="14" fontId="29" fillId="2" borderId="0" xfId="0" applyNumberFormat="1" applyFont="1" applyFill="1"/>
    <xf numFmtId="0" fontId="0" fillId="0" borderId="47" xfId="0" applyBorder="1"/>
    <xf numFmtId="0" fontId="70" fillId="0" borderId="0" xfId="0" applyFont="1"/>
    <xf numFmtId="0" fontId="72" fillId="0" borderId="0" xfId="0" applyFont="1" applyBorder="1" applyAlignment="1">
      <alignment vertical="center"/>
    </xf>
    <xf numFmtId="0" fontId="36" fillId="0" borderId="50" xfId="0" applyFont="1" applyBorder="1" applyAlignment="1">
      <alignment vertical="center"/>
    </xf>
    <xf numFmtId="0" fontId="76" fillId="0" borderId="0" xfId="0" applyFont="1" applyAlignment="1">
      <alignment vertical="center"/>
    </xf>
    <xf numFmtId="0" fontId="28" fillId="0" borderId="51" xfId="0" applyFont="1" applyBorder="1" applyAlignment="1">
      <alignment vertical="center"/>
    </xf>
    <xf numFmtId="0" fontId="36" fillId="0" borderId="0" xfId="0" applyFont="1" applyAlignment="1">
      <alignment vertical="center"/>
    </xf>
    <xf numFmtId="0" fontId="78" fillId="0" borderId="0" xfId="0" applyFont="1" applyBorder="1" applyAlignment="1">
      <alignment vertical="center"/>
    </xf>
    <xf numFmtId="0" fontId="79" fillId="0" borderId="0" xfId="0" applyFont="1" applyBorder="1" applyAlignment="1">
      <alignment vertical="center"/>
    </xf>
    <xf numFmtId="0" fontId="28" fillId="0" borderId="41" xfId="0" applyFont="1" applyBorder="1" applyAlignment="1">
      <alignment vertical="center"/>
    </xf>
    <xf numFmtId="0" fontId="28" fillId="14" borderId="46" xfId="0" applyFont="1" applyFill="1" applyBorder="1" applyAlignment="1">
      <alignment vertical="center"/>
    </xf>
    <xf numFmtId="0" fontId="28" fillId="39" borderId="0" xfId="0" applyFont="1" applyFill="1"/>
    <xf numFmtId="0" fontId="28" fillId="14" borderId="0" xfId="0" applyFont="1" applyFill="1" applyBorder="1" applyAlignment="1">
      <alignment vertical="center"/>
    </xf>
    <xf numFmtId="0" fontId="77" fillId="2" borderId="0" xfId="0" applyFont="1" applyFill="1" applyBorder="1" applyAlignment="1">
      <alignment horizontal="left" vertical="center" wrapText="1" indent="1"/>
    </xf>
    <xf numFmtId="0" fontId="47" fillId="2" borderId="0" xfId="0" applyFont="1" applyFill="1" applyBorder="1" applyAlignment="1">
      <alignment horizontal="center" vertical="center"/>
    </xf>
    <xf numFmtId="14" fontId="36" fillId="2" borderId="0" xfId="0" applyNumberFormat="1" applyFont="1" applyFill="1" applyBorder="1" applyAlignment="1">
      <alignment horizontal="center" vertical="center"/>
    </xf>
    <xf numFmtId="0" fontId="36" fillId="2" borderId="0" xfId="0" applyFont="1" applyFill="1" applyBorder="1" applyAlignment="1">
      <alignment horizontal="center" vertical="center"/>
    </xf>
    <xf numFmtId="174" fontId="36" fillId="2" borderId="0" xfId="0" applyNumberFormat="1" applyFont="1" applyFill="1" applyBorder="1" applyAlignment="1">
      <alignment horizontal="center" vertical="center"/>
    </xf>
    <xf numFmtId="0" fontId="74" fillId="2" borderId="0" xfId="0" applyFont="1" applyFill="1" applyBorder="1" applyAlignment="1">
      <alignment horizontal="left" vertical="center" wrapText="1" indent="1"/>
    </xf>
    <xf numFmtId="0" fontId="28" fillId="14" borderId="45" xfId="0" applyFont="1" applyFill="1" applyBorder="1" applyAlignment="1">
      <alignment vertical="center"/>
    </xf>
    <xf numFmtId="0" fontId="73" fillId="4" borderId="45" xfId="0" applyFont="1" applyFill="1" applyBorder="1" applyAlignment="1">
      <alignment horizontal="left" vertical="center"/>
    </xf>
    <xf numFmtId="0" fontId="77" fillId="4" borderId="45" xfId="0" applyFont="1" applyFill="1" applyBorder="1" applyAlignment="1">
      <alignment horizontal="left" vertical="center" wrapText="1" indent="1"/>
    </xf>
    <xf numFmtId="0" fontId="69" fillId="0" borderId="0" xfId="0" applyFont="1" applyFill="1" applyBorder="1" applyAlignment="1">
      <alignment horizontal="center" vertical="center" wrapText="1"/>
    </xf>
    <xf numFmtId="0" fontId="60" fillId="0" borderId="0" xfId="0" applyFont="1" applyBorder="1" applyAlignment="1">
      <alignment horizontal="left" vertical="center" wrapText="1"/>
    </xf>
    <xf numFmtId="0" fontId="59" fillId="0" borderId="0" xfId="0" applyFont="1" applyFill="1" applyBorder="1" applyAlignment="1">
      <alignment horizontal="left" vertical="center" wrapText="1"/>
    </xf>
    <xf numFmtId="0" fontId="80" fillId="14" borderId="45" xfId="0" applyFont="1" applyFill="1" applyBorder="1" applyAlignment="1">
      <alignment horizontal="left" vertical="center" wrapText="1" indent="1"/>
    </xf>
    <xf numFmtId="0" fontId="80" fillId="2" borderId="0" xfId="0" applyFont="1" applyFill="1" applyBorder="1" applyAlignment="1">
      <alignment horizontal="left" vertical="center" wrapText="1" indent="1"/>
    </xf>
    <xf numFmtId="0" fontId="33" fillId="14" borderId="46" xfId="0" applyFont="1" applyFill="1" applyBorder="1" applyAlignment="1">
      <alignment horizontal="left" vertical="center" indent="1"/>
    </xf>
    <xf numFmtId="0" fontId="33" fillId="14" borderId="45" xfId="0" applyFont="1" applyFill="1" applyBorder="1" applyAlignment="1">
      <alignment horizontal="left" vertical="center" indent="1"/>
    </xf>
    <xf numFmtId="0" fontId="75" fillId="2" borderId="0" xfId="0" applyFont="1" applyFill="1" applyBorder="1" applyAlignment="1">
      <alignment horizontal="left" vertical="center" indent="1"/>
    </xf>
    <xf numFmtId="0" fontId="28" fillId="0" borderId="52" xfId="0" applyFont="1" applyBorder="1" applyAlignment="1">
      <alignment vertical="center"/>
    </xf>
    <xf numFmtId="0" fontId="28" fillId="21" borderId="45" xfId="0" applyFont="1" applyFill="1" applyBorder="1"/>
    <xf numFmtId="0" fontId="28" fillId="21" borderId="0" xfId="0" applyFont="1" applyFill="1" applyBorder="1"/>
    <xf numFmtId="0" fontId="41" fillId="21" borderId="0" xfId="0" applyFont="1" applyFill="1" applyBorder="1" applyAlignment="1">
      <alignment horizontal="left" vertical="center"/>
    </xf>
    <xf numFmtId="0" fontId="83" fillId="14" borderId="0" xfId="0" applyFont="1" applyFill="1" applyBorder="1" applyAlignment="1">
      <alignment horizontal="left" vertical="center" wrapText="1"/>
    </xf>
    <xf numFmtId="0" fontId="83" fillId="14" borderId="47" xfId="0" applyFont="1" applyFill="1" applyBorder="1" applyAlignment="1">
      <alignment horizontal="left" vertical="center"/>
    </xf>
    <xf numFmtId="0" fontId="71" fillId="21" borderId="45" xfId="0" applyFont="1" applyFill="1" applyBorder="1" applyAlignment="1">
      <alignment horizontal="left" vertical="center" indent="1"/>
    </xf>
    <xf numFmtId="0" fontId="32" fillId="21" borderId="0" xfId="0" applyFont="1" applyFill="1" applyBorder="1" applyAlignment="1">
      <alignment horizontal="left" vertical="center" indent="1"/>
    </xf>
    <xf numFmtId="0" fontId="71" fillId="21" borderId="0" xfId="0" applyFont="1" applyFill="1" applyBorder="1" applyAlignment="1">
      <alignment horizontal="left" vertical="center" indent="1"/>
    </xf>
    <xf numFmtId="0" fontId="84" fillId="0" borderId="0" xfId="0" applyFont="1" applyFill="1" applyBorder="1" applyAlignment="1">
      <alignment vertical="center" wrapText="1"/>
    </xf>
    <xf numFmtId="175" fontId="86" fillId="21" borderId="0" xfId="0" applyNumberFormat="1" applyFont="1" applyFill="1" applyBorder="1" applyAlignment="1">
      <alignment horizontal="center" vertical="center"/>
    </xf>
    <xf numFmtId="0" fontId="81" fillId="0" borderId="0" xfId="0" applyFont="1" applyFill="1" applyBorder="1" applyAlignment="1">
      <alignment horizontal="left" vertical="center" wrapText="1"/>
    </xf>
    <xf numFmtId="0" fontId="38" fillId="14" borderId="0" xfId="0" applyFont="1" applyFill="1" applyBorder="1" applyAlignment="1">
      <alignment horizontal="left" vertical="center" indent="1"/>
    </xf>
    <xf numFmtId="0" fontId="35" fillId="14" borderId="38" xfId="0" applyFont="1" applyFill="1" applyBorder="1" applyAlignment="1">
      <alignment horizontal="left" vertical="center"/>
    </xf>
    <xf numFmtId="0" fontId="63" fillId="14" borderId="0" xfId="0" applyFont="1" applyFill="1" applyBorder="1" applyAlignment="1">
      <alignment vertical="center"/>
    </xf>
    <xf numFmtId="9" fontId="71" fillId="14" borderId="0" xfId="0" applyNumberFormat="1" applyFont="1" applyFill="1" applyBorder="1" applyAlignment="1">
      <alignment horizontal="center" vertical="center" wrapText="1"/>
    </xf>
    <xf numFmtId="0" fontId="57" fillId="2" borderId="0" xfId="0" applyFont="1" applyFill="1"/>
    <xf numFmtId="175" fontId="52" fillId="31" borderId="0" xfId="0" applyNumberFormat="1" applyFont="1" applyFill="1" applyBorder="1" applyAlignment="1">
      <alignment horizontal="center" vertical="center"/>
    </xf>
    <xf numFmtId="0" fontId="89" fillId="0" borderId="0" xfId="0" applyFont="1" applyBorder="1" applyAlignment="1">
      <alignment horizontal="center" vertical="center" wrapText="1"/>
    </xf>
    <xf numFmtId="0" fontId="7" fillId="3" borderId="0" xfId="0" applyFont="1" applyFill="1" applyBorder="1" applyAlignment="1">
      <alignment horizontal="right" vertical="center" indent="4"/>
    </xf>
    <xf numFmtId="0" fontId="87" fillId="4" borderId="0" xfId="0" applyFont="1" applyFill="1" applyBorder="1" applyAlignment="1">
      <alignment horizontal="left" vertical="center"/>
    </xf>
    <xf numFmtId="0" fontId="7" fillId="3" borderId="0" xfId="0" applyFont="1" applyFill="1" applyBorder="1" applyAlignment="1">
      <alignment horizontal="right" vertical="center" indent="3"/>
    </xf>
    <xf numFmtId="0" fontId="28" fillId="4" borderId="47" xfId="0" applyFont="1" applyFill="1" applyBorder="1"/>
    <xf numFmtId="0" fontId="28" fillId="3" borderId="0" xfId="0" applyFont="1" applyFill="1" applyBorder="1"/>
    <xf numFmtId="0" fontId="6" fillId="0" borderId="0" xfId="0" applyFont="1" applyBorder="1"/>
    <xf numFmtId="14" fontId="87" fillId="29" borderId="48" xfId="0" applyNumberFormat="1" applyFont="1" applyFill="1" applyBorder="1" applyAlignment="1">
      <alignment horizontal="center" vertical="center"/>
    </xf>
    <xf numFmtId="0" fontId="30" fillId="3" borderId="0" xfId="0" applyFont="1" applyFill="1"/>
    <xf numFmtId="0" fontId="57" fillId="6" borderId="0" xfId="0" applyFont="1" applyFill="1" applyAlignment="1">
      <alignment horizontal="left"/>
    </xf>
    <xf numFmtId="0" fontId="57" fillId="0" borderId="0" xfId="0" applyFont="1"/>
    <xf numFmtId="0" fontId="59" fillId="0" borderId="0" xfId="0" applyFont="1" applyFill="1" applyBorder="1" applyAlignment="1">
      <alignment horizontal="left" vertical="center" wrapText="1"/>
    </xf>
    <xf numFmtId="0" fontId="91" fillId="0" borderId="0" xfId="0" applyFont="1" applyBorder="1"/>
    <xf numFmtId="0" fontId="87" fillId="38" borderId="0" xfId="0" applyFont="1" applyFill="1" applyBorder="1" applyAlignment="1">
      <alignment horizontal="center" vertical="center" textRotation="90" wrapText="1"/>
    </xf>
    <xf numFmtId="0" fontId="0" fillId="38" borderId="0" xfId="0" applyFill="1" applyBorder="1"/>
    <xf numFmtId="0" fontId="98" fillId="0" borderId="0" xfId="0" applyFont="1" applyBorder="1"/>
    <xf numFmtId="9" fontId="49" fillId="14" borderId="0" xfId="0" applyNumberFormat="1" applyFont="1" applyFill="1" applyBorder="1" applyAlignment="1">
      <alignment horizontal="center" vertical="center" wrapText="1"/>
    </xf>
    <xf numFmtId="0" fontId="98" fillId="0" borderId="0" xfId="0" applyFont="1" applyBorder="1" applyAlignment="1"/>
    <xf numFmtId="174" fontId="49" fillId="31" borderId="0" xfId="0" applyNumberFormat="1" applyFont="1" applyFill="1" applyBorder="1" applyAlignment="1">
      <alignment horizontal="center" vertical="center"/>
    </xf>
    <xf numFmtId="174" fontId="104" fillId="2" borderId="42" xfId="0" applyNumberFormat="1" applyFont="1" applyFill="1" applyBorder="1" applyAlignment="1">
      <alignment horizontal="center" vertical="center"/>
    </xf>
    <xf numFmtId="0" fontId="48" fillId="0" borderId="0" xfId="0" applyFont="1" applyBorder="1"/>
    <xf numFmtId="14" fontId="107" fillId="0" borderId="0" xfId="0" applyNumberFormat="1" applyFont="1" applyFill="1" applyBorder="1" applyAlignment="1">
      <alignment horizontal="center" vertical="center"/>
    </xf>
    <xf numFmtId="174" fontId="104" fillId="2" borderId="0" xfId="0" applyNumberFormat="1" applyFont="1" applyFill="1" applyBorder="1" applyAlignment="1">
      <alignment horizontal="center" vertical="center"/>
    </xf>
    <xf numFmtId="0" fontId="49" fillId="14" borderId="0" xfId="0" applyFont="1" applyFill="1" applyBorder="1" applyAlignment="1">
      <alignment horizontal="center" vertical="center" wrapText="1"/>
    </xf>
    <xf numFmtId="174" fontId="104" fillId="0" borderId="0" xfId="0" applyNumberFormat="1" applyFont="1" applyFill="1" applyBorder="1" applyAlignment="1">
      <alignment horizontal="left" vertical="center" wrapText="1" indent="1"/>
    </xf>
    <xf numFmtId="174" fontId="49" fillId="0" borderId="0" xfId="0" applyNumberFormat="1" applyFont="1" applyFill="1" applyBorder="1" applyAlignment="1">
      <alignment horizontal="center" vertical="center"/>
    </xf>
    <xf numFmtId="0" fontId="48" fillId="0" borderId="0" xfId="0" applyFont="1" applyFill="1" applyBorder="1"/>
    <xf numFmtId="2" fontId="48" fillId="0" borderId="0" xfId="0" applyNumberFormat="1" applyFont="1" applyBorder="1"/>
    <xf numFmtId="174" fontId="99" fillId="31" borderId="0" xfId="0" applyNumberFormat="1" applyFont="1" applyFill="1" applyBorder="1" applyAlignment="1">
      <alignment horizontal="center" vertical="center"/>
    </xf>
    <xf numFmtId="0" fontId="98" fillId="34" borderId="0" xfId="0" applyFont="1" applyFill="1" applyBorder="1"/>
    <xf numFmtId="0" fontId="102" fillId="34" borderId="0" xfId="0" applyFont="1" applyFill="1" applyBorder="1"/>
    <xf numFmtId="0" fontId="97" fillId="34" borderId="0" xfId="0" applyFont="1" applyFill="1" applyBorder="1" applyAlignment="1">
      <alignment horizontal="center" vertical="center" textRotation="90" wrapText="1"/>
    </xf>
    <xf numFmtId="0" fontId="28" fillId="38" borderId="0" xfId="0" applyFont="1" applyFill="1" applyBorder="1"/>
    <xf numFmtId="0" fontId="57" fillId="0" borderId="0" xfId="0" applyFont="1" applyBorder="1"/>
    <xf numFmtId="0" fontId="83" fillId="2" borderId="0" xfId="0" applyFont="1" applyFill="1" applyBorder="1" applyAlignment="1">
      <alignment horizontal="left" vertical="center" wrapText="1"/>
    </xf>
    <xf numFmtId="174" fontId="83" fillId="14" borderId="0" xfId="0" applyNumberFormat="1" applyFont="1" applyFill="1" applyBorder="1" applyAlignment="1">
      <alignment horizontal="center" vertical="center"/>
    </xf>
    <xf numFmtId="0" fontId="48" fillId="2" borderId="0" xfId="0" applyFont="1" applyFill="1" applyBorder="1"/>
    <xf numFmtId="0" fontId="83" fillId="14" borderId="0" xfId="0" applyFont="1" applyFill="1" applyBorder="1" applyAlignment="1">
      <alignment vertical="center" wrapText="1"/>
    </xf>
    <xf numFmtId="0" fontId="98" fillId="14" borderId="0" xfId="0" applyFont="1" applyFill="1" applyBorder="1"/>
    <xf numFmtId="0" fontId="98" fillId="2" borderId="0" xfId="0" applyFont="1" applyFill="1" applyBorder="1"/>
    <xf numFmtId="174" fontId="83" fillId="2" borderId="0" xfId="0" applyNumberFormat="1" applyFont="1" applyFill="1" applyBorder="1" applyAlignment="1">
      <alignment horizontal="center" vertical="center"/>
    </xf>
    <xf numFmtId="0" fontId="49" fillId="21" borderId="0" xfId="0" applyFont="1" applyFill="1" applyBorder="1" applyAlignment="1">
      <alignment horizontal="left" vertical="center" indent="1"/>
    </xf>
    <xf numFmtId="3" fontId="27" fillId="0" borderId="0" xfId="0" applyNumberFormat="1" applyFont="1" applyFill="1" applyBorder="1" applyAlignment="1">
      <alignment vertical="center" wrapText="1"/>
    </xf>
    <xf numFmtId="0" fontId="87" fillId="2" borderId="0" xfId="0" applyFont="1" applyFill="1" applyBorder="1" applyAlignment="1">
      <alignment vertical="center" textRotation="90"/>
    </xf>
    <xf numFmtId="0" fontId="87" fillId="32" borderId="0" xfId="0" applyFont="1" applyFill="1" applyBorder="1" applyAlignment="1">
      <alignment horizontal="center" vertical="center" textRotation="90" wrapText="1"/>
    </xf>
    <xf numFmtId="0" fontId="87" fillId="32" borderId="0" xfId="0" applyFont="1" applyFill="1" applyBorder="1" applyAlignment="1">
      <alignment horizontal="center" vertical="center" textRotation="90"/>
    </xf>
    <xf numFmtId="0" fontId="87" fillId="0" borderId="0" xfId="0" applyFont="1" applyFill="1" applyBorder="1" applyAlignment="1">
      <alignment horizontal="center" vertical="center" textRotation="90" wrapText="1"/>
    </xf>
    <xf numFmtId="0" fontId="113" fillId="0" borderId="0" xfId="0" applyFont="1" applyFill="1" applyBorder="1" applyAlignment="1">
      <alignment horizontal="center" vertical="center" textRotation="90" wrapText="1"/>
    </xf>
    <xf numFmtId="0" fontId="49" fillId="0" borderId="0" xfId="0" applyFont="1" applyFill="1" applyBorder="1" applyAlignment="1">
      <alignment horizontal="left" vertical="center" indent="1"/>
    </xf>
    <xf numFmtId="0" fontId="83" fillId="0" borderId="0" xfId="0" applyFont="1" applyFill="1" applyBorder="1" applyAlignment="1">
      <alignment horizontal="left" vertical="center" indent="1"/>
    </xf>
    <xf numFmtId="175" fontId="27" fillId="0" borderId="0" xfId="0" applyNumberFormat="1" applyFont="1" applyFill="1" applyBorder="1" applyAlignment="1">
      <alignment horizontal="center" vertical="center"/>
    </xf>
    <xf numFmtId="174" fontId="83" fillId="0" borderId="0" xfId="0" applyNumberFormat="1" applyFont="1" applyFill="1" applyBorder="1" applyAlignment="1">
      <alignment horizontal="center" vertical="center"/>
    </xf>
    <xf numFmtId="0" fontId="83" fillId="0" borderId="0" xfId="0" applyFont="1" applyFill="1" applyBorder="1" applyAlignment="1">
      <alignment horizontal="left" vertical="top" wrapText="1" indent="1"/>
    </xf>
    <xf numFmtId="0" fontId="98" fillId="0" borderId="0" xfId="0" applyFont="1" applyFill="1" applyBorder="1"/>
    <xf numFmtId="0" fontId="110" fillId="0" borderId="0" xfId="0" applyFont="1" applyBorder="1"/>
    <xf numFmtId="0" fontId="27" fillId="0" borderId="0" xfId="0" applyFont="1" applyFill="1" applyBorder="1" applyAlignment="1">
      <alignment horizontal="center" vertical="center"/>
    </xf>
    <xf numFmtId="0" fontId="112" fillId="0" borderId="0" xfId="0" applyFont="1" applyFill="1" applyBorder="1" applyAlignment="1">
      <alignment horizontal="left" vertical="center" wrapText="1" indent="1"/>
    </xf>
    <xf numFmtId="174" fontId="104" fillId="0" borderId="0" xfId="0" applyNumberFormat="1" applyFont="1" applyFill="1" applyBorder="1" applyAlignment="1">
      <alignment horizontal="center" vertical="center"/>
    </xf>
    <xf numFmtId="0" fontId="49" fillId="0" borderId="0" xfId="0" applyFont="1" applyFill="1" applyBorder="1" applyAlignment="1">
      <alignment horizontal="center" vertical="center" wrapText="1"/>
    </xf>
    <xf numFmtId="0" fontId="113" fillId="21" borderId="0" xfId="0" applyFont="1" applyFill="1" applyBorder="1" applyAlignment="1">
      <alignment horizontal="center" vertical="center" textRotation="90" wrapText="1"/>
    </xf>
    <xf numFmtId="0" fontId="87" fillId="0" borderId="0" xfId="0" applyFont="1" applyFill="1" applyBorder="1" applyAlignment="1">
      <alignment horizontal="center" vertical="center" textRotation="90"/>
    </xf>
    <xf numFmtId="0" fontId="83" fillId="0" borderId="0" xfId="0" applyFont="1" applyFill="1" applyBorder="1" applyAlignment="1">
      <alignment vertical="center" wrapText="1"/>
    </xf>
    <xf numFmtId="0" fontId="87" fillId="0" borderId="0" xfId="0" applyFont="1" applyFill="1" applyBorder="1" applyAlignment="1">
      <alignment vertical="center" textRotation="90"/>
    </xf>
    <xf numFmtId="0" fontId="29" fillId="0" borderId="53" xfId="0" applyFont="1" applyBorder="1"/>
    <xf numFmtId="0" fontId="22" fillId="0" borderId="0" xfId="0" applyFont="1"/>
    <xf numFmtId="0" fontId="109" fillId="0" borderId="0" xfId="0" applyFont="1" applyBorder="1" applyAlignment="1">
      <alignment vertical="center"/>
    </xf>
    <xf numFmtId="0" fontId="114" fillId="0" borderId="0" xfId="0" applyFont="1" applyFill="1" applyBorder="1" applyAlignment="1">
      <alignment horizontal="left" vertical="center" wrapText="1"/>
    </xf>
    <xf numFmtId="0" fontId="116" fillId="0" borderId="0" xfId="0" applyFont="1"/>
    <xf numFmtId="0" fontId="119" fillId="0" borderId="0" xfId="0" applyFont="1"/>
    <xf numFmtId="0" fontId="120" fillId="0" borderId="0" xfId="0" applyFont="1" applyBorder="1" applyAlignment="1">
      <alignment horizontal="center" vertical="center"/>
    </xf>
    <xf numFmtId="175" fontId="119" fillId="3" borderId="0" xfId="0" applyNumberFormat="1" applyFont="1" applyFill="1" applyBorder="1" applyAlignment="1">
      <alignment horizontal="center" vertical="center"/>
    </xf>
    <xf numFmtId="175" fontId="120" fillId="0" borderId="0" xfId="0" applyNumberFormat="1" applyFont="1" applyBorder="1" applyAlignment="1">
      <alignment horizontal="center" vertical="center"/>
    </xf>
    <xf numFmtId="0" fontId="121" fillId="2" borderId="0" xfId="0" applyFont="1" applyFill="1" applyBorder="1" applyAlignment="1">
      <alignment horizontal="left" vertical="center" indent="1"/>
    </xf>
    <xf numFmtId="10" fontId="121" fillId="2" borderId="0" xfId="1" applyNumberFormat="1" applyFont="1" applyFill="1" applyBorder="1" applyAlignment="1">
      <alignment horizontal="center" vertical="center"/>
    </xf>
    <xf numFmtId="0" fontId="117" fillId="0" borderId="0" xfId="0" applyFont="1" applyBorder="1" applyAlignment="1">
      <alignment vertical="center"/>
    </xf>
    <xf numFmtId="0" fontId="119" fillId="0" borderId="0" xfId="0" applyFont="1" applyBorder="1"/>
    <xf numFmtId="0" fontId="36" fillId="0" borderId="0" xfId="0" applyFont="1" applyBorder="1"/>
    <xf numFmtId="14" fontId="114" fillId="0" borderId="0" xfId="0" applyNumberFormat="1" applyFont="1" applyFill="1" applyBorder="1" applyAlignment="1">
      <alignment horizontal="center" vertical="center" wrapText="1"/>
    </xf>
    <xf numFmtId="10" fontId="28" fillId="0" borderId="0" xfId="0" applyNumberFormat="1" applyFont="1"/>
    <xf numFmtId="0" fontId="91" fillId="2" borderId="0" xfId="0" applyFont="1" applyFill="1"/>
    <xf numFmtId="0" fontId="28" fillId="0" borderId="0" xfId="0" applyFont="1" applyAlignment="1">
      <alignment horizontal="left" vertical="center" indent="1"/>
    </xf>
    <xf numFmtId="10" fontId="63" fillId="2" borderId="0" xfId="1" applyNumberFormat="1" applyFont="1" applyFill="1" applyBorder="1" applyAlignment="1">
      <alignment horizontal="center" vertical="center"/>
    </xf>
    <xf numFmtId="0" fontId="122" fillId="2" borderId="57" xfId="0" applyFont="1" applyFill="1" applyBorder="1" applyAlignment="1">
      <alignment horizontal="center" vertical="center" wrapText="1"/>
    </xf>
    <xf numFmtId="0" fontId="91" fillId="2" borderId="0" xfId="0" applyFont="1" applyFill="1" applyBorder="1"/>
    <xf numFmtId="0" fontId="0" fillId="2" borderId="0" xfId="0" applyFill="1" applyBorder="1"/>
    <xf numFmtId="0" fontId="0" fillId="2" borderId="58" xfId="0" applyFill="1" applyBorder="1"/>
    <xf numFmtId="0" fontId="122" fillId="2" borderId="65" xfId="0" applyFont="1" applyFill="1" applyBorder="1" applyAlignment="1">
      <alignment horizontal="center" vertical="center" wrapText="1"/>
    </xf>
    <xf numFmtId="0" fontId="0" fillId="2" borderId="66" xfId="0" applyFill="1" applyBorder="1"/>
    <xf numFmtId="0" fontId="105" fillId="0" borderId="0" xfId="0" applyFont="1" applyBorder="1" applyAlignment="1">
      <alignment horizontal="left" vertical="center" wrapText="1"/>
    </xf>
    <xf numFmtId="0" fontId="116" fillId="0" borderId="0" xfId="0" applyFont="1" applyBorder="1"/>
    <xf numFmtId="0" fontId="117" fillId="38" borderId="0" xfId="0" applyFont="1" applyFill="1" applyBorder="1" applyAlignment="1">
      <alignment horizontal="left" vertical="center"/>
    </xf>
    <xf numFmtId="14" fontId="118" fillId="3" borderId="0" xfId="0" applyNumberFormat="1" applyFont="1" applyFill="1" applyBorder="1" applyAlignment="1">
      <alignment horizontal="center" vertical="center"/>
    </xf>
    <xf numFmtId="0" fontId="118" fillId="3" borderId="0" xfId="0" applyFont="1" applyFill="1" applyBorder="1" applyAlignment="1">
      <alignment horizontal="center" vertical="center"/>
    </xf>
    <xf numFmtId="10" fontId="119" fillId="3" borderId="0" xfId="1" applyNumberFormat="1" applyFont="1" applyFill="1" applyBorder="1" applyAlignment="1">
      <alignment horizontal="center" vertical="center"/>
    </xf>
    <xf numFmtId="0" fontId="115" fillId="31" borderId="0" xfId="0" applyFont="1" applyFill="1" applyBorder="1" applyAlignment="1">
      <alignment vertical="center"/>
    </xf>
    <xf numFmtId="175" fontId="115" fillId="31" borderId="0" xfId="0" applyNumberFormat="1" applyFont="1" applyFill="1" applyBorder="1" applyAlignment="1">
      <alignment horizontal="center" vertical="center"/>
    </xf>
    <xf numFmtId="10" fontId="115" fillId="31" borderId="0" xfId="1" applyNumberFormat="1" applyFont="1" applyFill="1" applyBorder="1" applyAlignment="1">
      <alignment horizontal="center" vertical="center"/>
    </xf>
    <xf numFmtId="0" fontId="121" fillId="38" borderId="0" xfId="0" applyFont="1" applyFill="1" applyBorder="1" applyAlignment="1">
      <alignment horizontal="left" vertical="center"/>
    </xf>
    <xf numFmtId="0" fontId="121" fillId="38" borderId="0" xfId="0" applyFont="1" applyFill="1" applyBorder="1" applyAlignment="1">
      <alignment vertical="center"/>
    </xf>
    <xf numFmtId="2" fontId="118" fillId="3" borderId="0" xfId="0" applyNumberFormat="1" applyFont="1" applyFill="1" applyBorder="1" applyAlignment="1">
      <alignment horizontal="center" vertical="center"/>
    </xf>
    <xf numFmtId="174" fontId="118" fillId="3" borderId="0" xfId="0" applyNumberFormat="1" applyFont="1" applyFill="1" applyBorder="1" applyAlignment="1">
      <alignment horizontal="center" vertical="center"/>
    </xf>
    <xf numFmtId="10" fontId="118" fillId="3" borderId="0" xfId="1" applyNumberFormat="1" applyFont="1" applyFill="1" applyBorder="1" applyAlignment="1">
      <alignment horizontal="center" vertical="center"/>
    </xf>
    <xf numFmtId="0" fontId="119" fillId="26" borderId="0" xfId="0" applyFont="1" applyFill="1" applyBorder="1"/>
    <xf numFmtId="0" fontId="49" fillId="30" borderId="0" xfId="0" applyFont="1" applyFill="1" applyBorder="1" applyAlignment="1">
      <alignment vertical="center"/>
    </xf>
    <xf numFmtId="175" fontId="49" fillId="30" borderId="0" xfId="0" applyNumberFormat="1" applyFont="1" applyFill="1" applyBorder="1" applyAlignment="1">
      <alignment horizontal="center" vertical="center"/>
    </xf>
    <xf numFmtId="10" fontId="49" fillId="30" borderId="0" xfId="1" applyNumberFormat="1" applyFont="1" applyFill="1" applyBorder="1" applyAlignment="1">
      <alignment horizontal="center" vertical="center"/>
    </xf>
    <xf numFmtId="0" fontId="119" fillId="32" borderId="0" xfId="0" applyFont="1" applyFill="1" applyBorder="1"/>
    <xf numFmtId="0" fontId="49" fillId="32" borderId="0" xfId="0" applyFont="1" applyFill="1" applyBorder="1" applyAlignment="1">
      <alignment vertical="center"/>
    </xf>
    <xf numFmtId="0" fontId="49" fillId="32" borderId="0" xfId="0" applyFont="1" applyFill="1" applyBorder="1" applyAlignment="1">
      <alignment horizontal="left" vertical="center" indent="1"/>
    </xf>
    <xf numFmtId="10" fontId="49" fillId="32" borderId="0" xfId="1" applyNumberFormat="1" applyFont="1" applyFill="1" applyBorder="1" applyAlignment="1">
      <alignment horizontal="center" vertical="center"/>
    </xf>
    <xf numFmtId="175" fontId="119" fillId="2" borderId="0" xfId="0" applyNumberFormat="1" applyFont="1" applyFill="1" applyBorder="1" applyAlignment="1">
      <alignment horizontal="center" vertical="center"/>
    </xf>
    <xf numFmtId="0" fontId="35" fillId="2" borderId="0" xfId="0" applyFont="1" applyFill="1" applyBorder="1" applyAlignment="1">
      <alignment vertical="center"/>
    </xf>
    <xf numFmtId="0" fontId="96" fillId="0" borderId="0" xfId="0" applyFont="1" applyFill="1" applyBorder="1" applyAlignment="1">
      <alignment horizontal="left" vertical="center" wrapText="1"/>
    </xf>
    <xf numFmtId="0" fontId="0" fillId="0" borderId="0" xfId="0" applyAlignment="1">
      <alignment horizontal="center"/>
    </xf>
    <xf numFmtId="0" fontId="0" fillId="0" borderId="0" xfId="0" applyAlignment="1">
      <alignment horizontal="left"/>
    </xf>
    <xf numFmtId="0" fontId="0" fillId="0" borderId="0" xfId="0" applyAlignment="1"/>
    <xf numFmtId="0" fontId="106" fillId="0" borderId="0" xfId="0" applyFont="1" applyBorder="1" applyAlignment="1"/>
    <xf numFmtId="0" fontId="16" fillId="0" borderId="0" xfId="0" applyFont="1" applyBorder="1" applyAlignment="1">
      <alignment horizontal="center"/>
    </xf>
    <xf numFmtId="0" fontId="105" fillId="0" borderId="0" xfId="0" applyFont="1" applyFill="1" applyBorder="1" applyAlignment="1">
      <alignment horizontal="center"/>
    </xf>
    <xf numFmtId="174" fontId="49" fillId="31" borderId="0" xfId="0" applyNumberFormat="1" applyFont="1" applyFill="1" applyBorder="1" applyAlignment="1">
      <alignment horizontal="center" vertical="center"/>
    </xf>
    <xf numFmtId="0" fontId="100" fillId="0" borderId="0" xfId="0" applyFont="1" applyFill="1" applyBorder="1" applyAlignment="1">
      <alignment horizontal="center" vertical="center"/>
    </xf>
    <xf numFmtId="0" fontId="49" fillId="21" borderId="0" xfId="0" applyFont="1" applyFill="1" applyBorder="1" applyAlignment="1">
      <alignment horizontal="center" vertical="center" wrapText="1"/>
    </xf>
    <xf numFmtId="0" fontId="49" fillId="2" borderId="0" xfId="0" applyFont="1" applyFill="1" applyBorder="1" applyAlignment="1">
      <alignment horizontal="center" vertical="center" wrapText="1"/>
    </xf>
    <xf numFmtId="0" fontId="0" fillId="6" borderId="0" xfId="1" applyNumberFormat="1" applyFont="1" applyFill="1" applyAlignment="1">
      <alignment horizontal="center"/>
    </xf>
    <xf numFmtId="0" fontId="0" fillId="6" borderId="0" xfId="0" applyFill="1"/>
    <xf numFmtId="2" fontId="16" fillId="0" borderId="0" xfId="0" applyNumberFormat="1" applyFont="1"/>
    <xf numFmtId="0" fontId="114" fillId="0" borderId="0" xfId="0" applyFont="1" applyFill="1" applyBorder="1" applyAlignment="1">
      <alignment horizontal="right" vertical="center" wrapText="1"/>
    </xf>
    <xf numFmtId="0" fontId="2" fillId="5" borderId="0" xfId="0" applyFont="1" applyFill="1" applyAlignment="1">
      <alignment horizontal="center"/>
    </xf>
    <xf numFmtId="0" fontId="114" fillId="0" borderId="0" xfId="0" applyFont="1" applyBorder="1" applyAlignment="1">
      <alignment vertical="center"/>
    </xf>
    <xf numFmtId="4" fontId="0" fillId="0" borderId="0" xfId="0" applyNumberFormat="1" applyBorder="1"/>
    <xf numFmtId="165" fontId="49" fillId="14" borderId="70" xfId="0" applyNumberFormat="1" applyFont="1" applyFill="1" applyBorder="1" applyAlignment="1">
      <alignment horizontal="center" vertical="center" wrapText="1"/>
    </xf>
    <xf numFmtId="4" fontId="0" fillId="0" borderId="6" xfId="0" applyNumberFormat="1" applyBorder="1"/>
    <xf numFmtId="4" fontId="16" fillId="6" borderId="0" xfId="0" applyNumberFormat="1" applyFont="1" applyFill="1"/>
    <xf numFmtId="4" fontId="0" fillId="6" borderId="3" xfId="0" applyNumberFormat="1" applyFill="1" applyBorder="1" applyAlignment="1">
      <alignment horizontal="center" vertical="center"/>
    </xf>
    <xf numFmtId="4" fontId="0" fillId="6" borderId="73" xfId="0" applyNumberFormat="1" applyFill="1" applyBorder="1" applyAlignment="1">
      <alignment horizontal="center" vertical="center"/>
    </xf>
    <xf numFmtId="4" fontId="0" fillId="6" borderId="16" xfId="0" applyNumberFormat="1" applyFill="1" applyBorder="1"/>
    <xf numFmtId="174" fontId="49" fillId="31" borderId="0" xfId="0" applyNumberFormat="1" applyFont="1" applyFill="1" applyBorder="1" applyAlignment="1">
      <alignment horizontal="center" vertical="center"/>
    </xf>
    <xf numFmtId="0" fontId="28" fillId="3" borderId="0" xfId="0" applyFont="1" applyFill="1"/>
    <xf numFmtId="0" fontId="64" fillId="3" borderId="0" xfId="0" applyFont="1" applyFill="1"/>
    <xf numFmtId="0" fontId="83" fillId="3" borderId="0" xfId="0" applyFont="1" applyFill="1" applyBorder="1" applyAlignment="1">
      <alignment vertical="center" wrapText="1"/>
    </xf>
    <xf numFmtId="0" fontId="125" fillId="3" borderId="0" xfId="0" applyFont="1" applyFill="1" applyBorder="1" applyAlignment="1">
      <alignment vertical="center" wrapText="1"/>
    </xf>
    <xf numFmtId="174" fontId="125" fillId="3" borderId="76" xfId="0" applyNumberFormat="1" applyFont="1" applyFill="1" applyBorder="1" applyAlignment="1">
      <alignment horizontal="center" vertical="center" wrapText="1"/>
    </xf>
    <xf numFmtId="0" fontId="83" fillId="3" borderId="75" xfId="0" applyFont="1" applyFill="1" applyBorder="1" applyAlignment="1">
      <alignment vertical="center" wrapText="1"/>
    </xf>
    <xf numFmtId="0" fontId="125" fillId="3" borderId="75" xfId="0" applyFont="1" applyFill="1" applyBorder="1" applyAlignment="1">
      <alignment vertical="center" wrapText="1"/>
    </xf>
    <xf numFmtId="174" fontId="125" fillId="3" borderId="77" xfId="0" applyNumberFormat="1" applyFont="1" applyFill="1" applyBorder="1" applyAlignment="1">
      <alignment horizontal="center" vertical="center" wrapText="1"/>
    </xf>
    <xf numFmtId="0" fontId="0" fillId="48" borderId="3" xfId="0" applyFill="1" applyBorder="1"/>
    <xf numFmtId="0" fontId="18" fillId="0" borderId="0" xfId="0" applyFont="1"/>
    <xf numFmtId="0" fontId="128" fillId="0" borderId="0" xfId="0" applyFont="1"/>
    <xf numFmtId="0" fontId="129" fillId="0" borderId="0" xfId="0" applyFont="1" applyAlignment="1">
      <alignment horizontal="left"/>
    </xf>
    <xf numFmtId="0" fontId="130" fillId="0" borderId="0" xfId="0" applyFont="1"/>
    <xf numFmtId="14" fontId="28" fillId="2" borderId="0" xfId="0" applyNumberFormat="1" applyFont="1" applyFill="1"/>
    <xf numFmtId="0" fontId="3" fillId="2" borderId="0" xfId="0" applyFont="1" applyFill="1"/>
    <xf numFmtId="4" fontId="28" fillId="2" borderId="0" xfId="0" applyNumberFormat="1" applyFont="1" applyFill="1"/>
    <xf numFmtId="0" fontId="28" fillId="0" borderId="0" xfId="0" applyFont="1" applyAlignment="1">
      <alignment horizontal="center"/>
    </xf>
    <xf numFmtId="0" fontId="0" fillId="0" borderId="0" xfId="0" applyFont="1" applyAlignment="1">
      <alignment horizontal="center"/>
    </xf>
    <xf numFmtId="0" fontId="33" fillId="0" borderId="0" xfId="0" applyFont="1" applyFill="1"/>
    <xf numFmtId="0" fontId="34" fillId="0" borderId="0" xfId="0" applyFont="1" applyFill="1"/>
    <xf numFmtId="14" fontId="34" fillId="0" borderId="0" xfId="0" applyNumberFormat="1" applyFont="1"/>
    <xf numFmtId="0" fontId="34" fillId="2" borderId="0" xfId="0" applyFont="1" applyFill="1"/>
    <xf numFmtId="14" fontId="42" fillId="0" borderId="0" xfId="0" applyNumberFormat="1" applyFont="1" applyFill="1" applyAlignment="1">
      <alignment horizontal="center" vertical="center"/>
    </xf>
    <xf numFmtId="0" fontId="131" fillId="0" borderId="0" xfId="0" applyFont="1" applyBorder="1" applyAlignment="1">
      <alignment horizontal="center" vertical="center" wrapText="1"/>
    </xf>
    <xf numFmtId="0" fontId="47" fillId="0" borderId="0" xfId="0" applyFont="1" applyBorder="1"/>
    <xf numFmtId="0" fontId="34" fillId="0" borderId="0" xfId="0" applyFont="1" applyBorder="1"/>
    <xf numFmtId="17" fontId="0" fillId="48" borderId="3" xfId="0" applyNumberFormat="1" applyFill="1" applyBorder="1"/>
    <xf numFmtId="10" fontId="0" fillId="6" borderId="3" xfId="1" applyNumberFormat="1" applyFont="1" applyFill="1" applyBorder="1"/>
    <xf numFmtId="0" fontId="92" fillId="50" borderId="0" xfId="0" applyFont="1" applyFill="1" applyBorder="1" applyAlignment="1">
      <alignment horizontal="center" vertical="center" wrapText="1"/>
    </xf>
    <xf numFmtId="14" fontId="57" fillId="0" borderId="0" xfId="0" applyNumberFormat="1" applyFont="1" applyFill="1" applyAlignment="1">
      <alignment horizontal="center" vertical="center"/>
    </xf>
    <xf numFmtId="0" fontId="0" fillId="6" borderId="0" xfId="0" applyFont="1" applyFill="1"/>
    <xf numFmtId="14" fontId="0" fillId="0" borderId="0" xfId="0" applyNumberFormat="1" applyFont="1"/>
    <xf numFmtId="14" fontId="28" fillId="0" borderId="0" xfId="0" applyNumberFormat="1" applyFont="1"/>
    <xf numFmtId="14" fontId="28" fillId="6" borderId="0" xfId="0" applyNumberFormat="1" applyFont="1" applyFill="1"/>
    <xf numFmtId="2" fontId="28" fillId="0" borderId="0" xfId="0" applyNumberFormat="1" applyFont="1"/>
    <xf numFmtId="0" fontId="134" fillId="0" borderId="0" xfId="0" applyFont="1"/>
    <xf numFmtId="14" fontId="134" fillId="0" borderId="0" xfId="0" applyNumberFormat="1" applyFont="1"/>
    <xf numFmtId="0" fontId="135" fillId="0" borderId="0" xfId="0" applyFont="1"/>
    <xf numFmtId="14" fontId="28" fillId="0" borderId="0" xfId="0" applyNumberFormat="1" applyFont="1" applyFill="1"/>
    <xf numFmtId="0" fontId="29" fillId="0" borderId="0" xfId="0" applyFont="1" applyAlignment="1"/>
    <xf numFmtId="0" fontId="136" fillId="0" borderId="0" xfId="0" applyFont="1"/>
    <xf numFmtId="4" fontId="34" fillId="0" borderId="0" xfId="0" applyNumberFormat="1" applyFont="1"/>
    <xf numFmtId="10" fontId="34" fillId="0" borderId="0" xfId="0" applyNumberFormat="1" applyFont="1"/>
    <xf numFmtId="0" fontId="137" fillId="0" borderId="0" xfId="0" applyFont="1"/>
    <xf numFmtId="0" fontId="138" fillId="0" borderId="0" xfId="0" applyFont="1"/>
    <xf numFmtId="0" fontId="3" fillId="0" borderId="0" xfId="0" applyFont="1" applyFill="1"/>
    <xf numFmtId="0" fontId="3" fillId="0" borderId="0" xfId="0" applyFont="1" applyAlignment="1"/>
    <xf numFmtId="0" fontId="132" fillId="0" borderId="0" xfId="0" applyFont="1" applyFill="1" applyBorder="1" applyAlignment="1">
      <alignment vertical="center" wrapText="1"/>
    </xf>
    <xf numFmtId="0" fontId="132" fillId="0" borderId="0" xfId="0" applyFont="1" applyFill="1" applyBorder="1" applyAlignment="1">
      <alignment horizontal="left" vertical="center" wrapText="1"/>
    </xf>
    <xf numFmtId="0" fontId="139" fillId="0" borderId="0" xfId="0" applyFont="1" applyFill="1" applyBorder="1" applyAlignment="1">
      <alignment horizontal="center" vertical="center"/>
    </xf>
    <xf numFmtId="0" fontId="8" fillId="14" borderId="0" xfId="0" applyFont="1" applyFill="1" applyBorder="1" applyAlignment="1">
      <alignment vertical="center" textRotation="90" wrapText="1"/>
    </xf>
    <xf numFmtId="0" fontId="3" fillId="0" borderId="0" xfId="0" applyFont="1" applyAlignment="1">
      <alignment horizontal="left"/>
    </xf>
    <xf numFmtId="0" fontId="8" fillId="0" borderId="0" xfId="0" applyFont="1" applyFill="1" applyBorder="1" applyAlignment="1">
      <alignment horizontal="center" vertical="center" textRotation="90" wrapText="1"/>
    </xf>
    <xf numFmtId="174" fontId="139" fillId="0" borderId="0" xfId="0" applyNumberFormat="1" applyFont="1" applyFill="1" applyBorder="1" applyAlignment="1">
      <alignment horizontal="left" vertical="center" wrapText="1" indent="1"/>
    </xf>
    <xf numFmtId="0" fontId="139" fillId="21" borderId="0" xfId="0" applyFont="1" applyFill="1" applyBorder="1" applyAlignment="1">
      <alignment vertical="center" textRotation="90" wrapText="1"/>
    </xf>
    <xf numFmtId="0" fontId="139" fillId="21" borderId="0" xfId="0" applyFont="1" applyFill="1" applyBorder="1" applyAlignment="1">
      <alignment horizontal="center" vertical="center" textRotation="90" wrapText="1"/>
    </xf>
    <xf numFmtId="0" fontId="139" fillId="0" borderId="0" xfId="0" applyFont="1" applyFill="1" applyBorder="1" applyAlignment="1">
      <alignment horizontal="center" vertical="center" textRotation="90" wrapText="1"/>
    </xf>
    <xf numFmtId="0" fontId="4" fillId="2" borderId="0" xfId="0" applyFont="1" applyFill="1"/>
    <xf numFmtId="174" fontId="3" fillId="0" borderId="0" xfId="0" applyNumberFormat="1" applyFont="1"/>
    <xf numFmtId="0" fontId="137" fillId="2" borderId="0" xfId="0" applyFont="1" applyFill="1"/>
    <xf numFmtId="0" fontId="140" fillId="0" borderId="0" xfId="0" applyFont="1"/>
    <xf numFmtId="0" fontId="110" fillId="0" borderId="0" xfId="0" applyFont="1"/>
    <xf numFmtId="0" fontId="140" fillId="0" borderId="0" xfId="0" applyFont="1" applyAlignment="1">
      <alignment vertical="center"/>
    </xf>
    <xf numFmtId="0" fontId="141" fillId="0" borderId="0" xfId="0" applyFont="1" applyFill="1" applyBorder="1" applyAlignment="1">
      <alignment horizontal="left" vertical="center"/>
    </xf>
    <xf numFmtId="10" fontId="140" fillId="0" borderId="0" xfId="1" applyNumberFormat="1" applyFont="1" applyFill="1" applyBorder="1"/>
    <xf numFmtId="0" fontId="140" fillId="0" borderId="49" xfId="0" applyFont="1" applyBorder="1"/>
    <xf numFmtId="0" fontId="140" fillId="0" borderId="0" xfId="0" applyFont="1" applyBorder="1"/>
    <xf numFmtId="10" fontId="140" fillId="0" borderId="0" xfId="0" applyNumberFormat="1" applyFont="1"/>
    <xf numFmtId="4" fontId="140" fillId="0" borderId="0" xfId="0" applyNumberFormat="1" applyFont="1"/>
    <xf numFmtId="0" fontId="142" fillId="0" borderId="0" xfId="0" applyFont="1"/>
    <xf numFmtId="10" fontId="142" fillId="0" borderId="0" xfId="0" applyNumberFormat="1" applyFont="1" applyAlignment="1"/>
    <xf numFmtId="0" fontId="142" fillId="0" borderId="0" xfId="0" applyFont="1" applyAlignment="1"/>
    <xf numFmtId="0" fontId="142" fillId="0" borderId="0" xfId="0" applyFont="1" applyBorder="1" applyAlignment="1">
      <alignment vertical="center"/>
    </xf>
    <xf numFmtId="4" fontId="88" fillId="2" borderId="0" xfId="0" applyNumberFormat="1" applyFont="1" applyFill="1" applyBorder="1" applyAlignment="1">
      <alignment horizontal="left" vertical="center" wrapText="1"/>
    </xf>
    <xf numFmtId="0" fontId="28" fillId="14" borderId="0" xfId="0" applyFont="1" applyFill="1"/>
    <xf numFmtId="0" fontId="68" fillId="0" borderId="0" xfId="0" applyFont="1" applyBorder="1" applyAlignment="1">
      <alignment horizontal="left" vertical="center"/>
    </xf>
    <xf numFmtId="0" fontId="121" fillId="2" borderId="0" xfId="0" applyFont="1" applyFill="1" applyBorder="1" applyAlignment="1">
      <alignment vertical="center"/>
    </xf>
    <xf numFmtId="0" fontId="144" fillId="0" borderId="0" xfId="0" applyFont="1" applyAlignment="1">
      <alignment horizontal="left"/>
    </xf>
    <xf numFmtId="14" fontId="64" fillId="2" borderId="0" xfId="0" applyNumberFormat="1" applyFont="1" applyFill="1"/>
    <xf numFmtId="4" fontId="34" fillId="2" borderId="0" xfId="0" applyNumberFormat="1" applyFont="1" applyFill="1"/>
    <xf numFmtId="10" fontId="34" fillId="2" borderId="0" xfId="0" applyNumberFormat="1" applyFont="1" applyFill="1"/>
    <xf numFmtId="0" fontId="69" fillId="2" borderId="0" xfId="0" applyFont="1" applyFill="1" applyBorder="1" applyAlignment="1">
      <alignment horizontal="center" vertical="center" wrapText="1"/>
    </xf>
    <xf numFmtId="0" fontId="121" fillId="0" borderId="0" xfId="11" applyFont="1"/>
    <xf numFmtId="179" fontId="21" fillId="0" borderId="24" xfId="0" applyNumberFormat="1" applyFont="1" applyBorder="1" applyAlignment="1">
      <alignment horizontal="center" wrapText="1"/>
    </xf>
    <xf numFmtId="176" fontId="22" fillId="0" borderId="24" xfId="0" applyNumberFormat="1" applyFont="1" applyBorder="1"/>
    <xf numFmtId="4" fontId="21" fillId="14" borderId="24" xfId="0" applyNumberFormat="1" applyFont="1" applyFill="1" applyBorder="1" applyAlignment="1">
      <alignment horizontal="center" wrapText="1"/>
    </xf>
    <xf numFmtId="0" fontId="146" fillId="0" borderId="70" xfId="0" applyFont="1" applyFill="1" applyBorder="1" applyAlignment="1">
      <alignment horizontal="center" vertical="center" wrapText="1"/>
    </xf>
    <xf numFmtId="4" fontId="3" fillId="0" borderId="0" xfId="0" applyNumberFormat="1" applyFont="1"/>
    <xf numFmtId="0" fontId="147" fillId="0" borderId="0" xfId="0" applyFont="1"/>
    <xf numFmtId="0" fontId="147" fillId="14" borderId="34" xfId="0" applyFont="1" applyFill="1" applyBorder="1"/>
    <xf numFmtId="0" fontId="147" fillId="14" borderId="33" xfId="0" applyFont="1" applyFill="1" applyBorder="1"/>
    <xf numFmtId="0" fontId="147" fillId="14" borderId="71" xfId="0" applyFont="1" applyFill="1" applyBorder="1"/>
    <xf numFmtId="0" fontId="147" fillId="14" borderId="72" xfId="0" applyFont="1" applyFill="1" applyBorder="1"/>
    <xf numFmtId="0" fontId="148" fillId="0" borderId="0" xfId="0" applyFont="1"/>
    <xf numFmtId="4" fontId="147" fillId="14" borderId="72" xfId="0" applyNumberFormat="1" applyFont="1" applyFill="1" applyBorder="1"/>
    <xf numFmtId="165" fontId="147" fillId="14" borderId="72" xfId="0" applyNumberFormat="1" applyFont="1" applyFill="1" applyBorder="1"/>
    <xf numFmtId="165" fontId="147" fillId="40" borderId="72" xfId="0" applyNumberFormat="1" applyFont="1" applyFill="1" applyBorder="1"/>
    <xf numFmtId="0" fontId="147" fillId="14" borderId="31" xfId="0" applyFont="1" applyFill="1" applyBorder="1"/>
    <xf numFmtId="165" fontId="147" fillId="14" borderId="29" xfId="0" applyNumberFormat="1" applyFont="1" applyFill="1" applyBorder="1"/>
    <xf numFmtId="0" fontId="106" fillId="0" borderId="0" xfId="0" applyFont="1"/>
    <xf numFmtId="4" fontId="106" fillId="0" borderId="0" xfId="0" applyNumberFormat="1" applyFont="1"/>
    <xf numFmtId="10" fontId="147" fillId="14" borderId="72" xfId="0" applyNumberFormat="1" applyFont="1" applyFill="1" applyBorder="1"/>
    <xf numFmtId="0" fontId="87" fillId="2" borderId="0" xfId="0" applyFont="1" applyFill="1" applyBorder="1" applyAlignment="1">
      <alignment horizontal="center" vertical="center" textRotation="90" wrapText="1"/>
    </xf>
    <xf numFmtId="0" fontId="83" fillId="2" borderId="0" xfId="0" applyFont="1" applyFill="1" applyBorder="1" applyAlignment="1">
      <alignment vertical="center" wrapText="1"/>
    </xf>
    <xf numFmtId="0" fontId="83" fillId="2" borderId="0" xfId="0" applyFont="1" applyFill="1" applyBorder="1" applyAlignment="1">
      <alignment horizontal="left" vertical="center" wrapText="1" indent="1"/>
    </xf>
    <xf numFmtId="0" fontId="6" fillId="2" borderId="0" xfId="0" applyFont="1" applyFill="1" applyBorder="1"/>
    <xf numFmtId="0" fontId="114" fillId="2" borderId="0" xfId="0" applyFont="1" applyFill="1" applyBorder="1" applyAlignment="1">
      <alignment horizontal="right" vertical="center" wrapText="1"/>
    </xf>
    <xf numFmtId="0" fontId="113" fillId="2" borderId="0" xfId="0" applyFont="1" applyFill="1" applyBorder="1" applyAlignment="1">
      <alignment horizontal="center" vertical="center" textRotation="90" wrapText="1"/>
    </xf>
    <xf numFmtId="165" fontId="147" fillId="14" borderId="33" xfId="0" applyNumberFormat="1" applyFont="1" applyFill="1" applyBorder="1"/>
    <xf numFmtId="0" fontId="149" fillId="0" borderId="0" xfId="0" applyFont="1"/>
    <xf numFmtId="0" fontId="34" fillId="14" borderId="71" xfId="0" applyFont="1" applyFill="1" applyBorder="1"/>
    <xf numFmtId="0" fontId="34" fillId="14" borderId="72" xfId="0" applyFont="1" applyFill="1" applyBorder="1"/>
    <xf numFmtId="165" fontId="147" fillId="40" borderId="29" xfId="0" applyNumberFormat="1" applyFont="1" applyFill="1" applyBorder="1"/>
    <xf numFmtId="4" fontId="106" fillId="14" borderId="72" xfId="0" applyNumberFormat="1" applyFont="1" applyFill="1" applyBorder="1"/>
    <xf numFmtId="0" fontId="113" fillId="0" borderId="0" xfId="0" applyFont="1" applyFill="1" applyBorder="1" applyAlignment="1">
      <alignment vertical="center" textRotation="90" wrapText="1"/>
    </xf>
    <xf numFmtId="2" fontId="0" fillId="0" borderId="0" xfId="0" applyNumberFormat="1" applyBorder="1" applyAlignment="1">
      <alignment horizontal="center"/>
    </xf>
    <xf numFmtId="10" fontId="0" fillId="0" borderId="0" xfId="0" applyNumberFormat="1" applyFill="1" applyBorder="1"/>
    <xf numFmtId="2" fontId="0" fillId="0" borderId="0" xfId="0" applyNumberFormat="1" applyFill="1" applyBorder="1" applyAlignment="1">
      <alignment horizontal="center"/>
    </xf>
    <xf numFmtId="4" fontId="0" fillId="0" borderId="0" xfId="0" applyNumberFormat="1" applyFill="1" applyBorder="1" applyAlignment="1">
      <alignment horizontal="center"/>
    </xf>
    <xf numFmtId="0" fontId="15" fillId="0" borderId="0" xfId="0" applyFont="1"/>
    <xf numFmtId="0" fontId="49" fillId="0" borderId="0" xfId="0" applyFont="1" applyFill="1" applyBorder="1" applyAlignment="1">
      <alignment horizontal="center" vertical="center"/>
    </xf>
    <xf numFmtId="4" fontId="28" fillId="0" borderId="0" xfId="0" applyNumberFormat="1" applyFont="1"/>
    <xf numFmtId="0" fontId="0" fillId="0" borderId="3" xfId="0" applyBorder="1" applyAlignment="1">
      <alignment horizontal="center"/>
    </xf>
    <xf numFmtId="14" fontId="6" fillId="3" borderId="81" xfId="0" applyNumberFormat="1" applyFont="1" applyFill="1" applyBorder="1" applyAlignment="1">
      <alignment horizontal="center"/>
    </xf>
    <xf numFmtId="0" fontId="6" fillId="3" borderId="83" xfId="0" applyFont="1" applyFill="1" applyBorder="1" applyAlignment="1">
      <alignment horizontal="center"/>
    </xf>
    <xf numFmtId="4" fontId="6" fillId="3" borderId="86" xfId="0" applyNumberFormat="1" applyFont="1" applyFill="1" applyBorder="1" applyAlignment="1">
      <alignment horizontal="center"/>
    </xf>
    <xf numFmtId="0" fontId="8" fillId="17" borderId="79" xfId="0" applyFont="1" applyFill="1" applyBorder="1" applyAlignment="1">
      <alignment horizontal="left" vertical="center" indent="1"/>
    </xf>
    <xf numFmtId="0" fontId="8" fillId="17" borderId="80" xfId="0" applyFont="1" applyFill="1" applyBorder="1" applyAlignment="1">
      <alignment horizontal="left" vertical="center" indent="1"/>
    </xf>
    <xf numFmtId="0" fontId="8" fillId="17" borderId="82" xfId="0" applyFont="1" applyFill="1" applyBorder="1" applyAlignment="1">
      <alignment horizontal="left" vertical="center" indent="1"/>
    </xf>
    <xf numFmtId="0" fontId="8" fillId="17" borderId="84" xfId="0" applyFont="1" applyFill="1" applyBorder="1" applyAlignment="1">
      <alignment horizontal="left" vertical="center" indent="1"/>
    </xf>
    <xf numFmtId="0" fontId="8" fillId="17" borderId="85" xfId="0" applyFont="1" applyFill="1" applyBorder="1" applyAlignment="1">
      <alignment horizontal="left" vertical="center" indent="1"/>
    </xf>
    <xf numFmtId="0" fontId="0" fillId="0" borderId="87" xfId="0" applyBorder="1"/>
    <xf numFmtId="0" fontId="28" fillId="0" borderId="87" xfId="0" applyFont="1" applyBorder="1" applyAlignment="1">
      <alignment horizontal="left" vertical="center" indent="1"/>
    </xf>
    <xf numFmtId="0" fontId="0" fillId="0" borderId="89" xfId="0" applyBorder="1"/>
    <xf numFmtId="175" fontId="97" fillId="51" borderId="63" xfId="0" applyNumberFormat="1" applyFont="1" applyFill="1" applyBorder="1" applyAlignment="1">
      <alignment horizontal="center" vertical="center"/>
    </xf>
    <xf numFmtId="10" fontId="97" fillId="51" borderId="62" xfId="1" applyNumberFormat="1" applyFont="1" applyFill="1" applyBorder="1" applyAlignment="1">
      <alignment horizontal="center" vertical="center"/>
    </xf>
    <xf numFmtId="175" fontId="123" fillId="51" borderId="55" xfId="0" applyNumberFormat="1" applyFont="1" applyFill="1" applyBorder="1" applyAlignment="1">
      <alignment horizontal="center" vertical="center"/>
    </xf>
    <xf numFmtId="10" fontId="123" fillId="51" borderId="54" xfId="1" applyNumberFormat="1" applyFont="1" applyFill="1" applyBorder="1" applyAlignment="1">
      <alignment horizontal="center" vertical="center"/>
    </xf>
    <xf numFmtId="0" fontId="7" fillId="51" borderId="79" xfId="0" applyFont="1" applyFill="1" applyBorder="1" applyAlignment="1">
      <alignment horizontal="left" vertical="center" indent="1"/>
    </xf>
    <xf numFmtId="0" fontId="7" fillId="51" borderId="80" xfId="0" applyFont="1" applyFill="1" applyBorder="1" applyAlignment="1">
      <alignment horizontal="left" vertical="center" indent="1"/>
    </xf>
    <xf numFmtId="0" fontId="7" fillId="51" borderId="82" xfId="0" applyFont="1" applyFill="1" applyBorder="1" applyAlignment="1">
      <alignment horizontal="left" vertical="center" indent="1"/>
    </xf>
    <xf numFmtId="0" fontId="7" fillId="51" borderId="84" xfId="0" applyFont="1" applyFill="1" applyBorder="1" applyAlignment="1">
      <alignment horizontal="left" vertical="center" indent="1"/>
    </xf>
    <xf numFmtId="0" fontId="7" fillId="51" borderId="85" xfId="0" applyFont="1" applyFill="1" applyBorder="1" applyAlignment="1">
      <alignment horizontal="left" vertical="center" indent="1"/>
    </xf>
    <xf numFmtId="0" fontId="0" fillId="0" borderId="3" xfId="0" applyBorder="1" applyAlignment="1">
      <alignment horizontal="center"/>
    </xf>
    <xf numFmtId="0" fontId="2" fillId="5" borderId="0" xfId="0" applyFont="1" applyFill="1" applyAlignment="1">
      <alignment horizontal="center"/>
    </xf>
    <xf numFmtId="0" fontId="150" fillId="2" borderId="0" xfId="0" applyFont="1" applyFill="1"/>
    <xf numFmtId="0" fontId="0" fillId="0" borderId="0" xfId="0" applyBorder="1" applyAlignment="1">
      <alignment horizontal="center"/>
    </xf>
    <xf numFmtId="0" fontId="0" fillId="0" borderId="24" xfId="0" applyBorder="1" applyAlignment="1">
      <alignment horizontal="center"/>
    </xf>
    <xf numFmtId="180" fontId="142" fillId="0" borderId="0" xfId="12" applyNumberFormat="1" applyFont="1"/>
    <xf numFmtId="181" fontId="142" fillId="0" borderId="0" xfId="12" applyNumberFormat="1" applyFont="1"/>
    <xf numFmtId="180" fontId="0" fillId="0" borderId="0" xfId="0" applyNumberFormat="1"/>
    <xf numFmtId="174" fontId="64" fillId="0" borderId="0" xfId="0" applyNumberFormat="1" applyFont="1"/>
    <xf numFmtId="0" fontId="34" fillId="0" borderId="34" xfId="0" applyFont="1" applyBorder="1"/>
    <xf numFmtId="14" fontId="34" fillId="0" borderId="33" xfId="0" applyNumberFormat="1" applyFont="1" applyBorder="1"/>
    <xf numFmtId="0" fontId="34" fillId="0" borderId="71" xfId="0" applyFont="1" applyBorder="1"/>
    <xf numFmtId="174" fontId="34" fillId="0" borderId="72" xfId="0" applyNumberFormat="1" applyFont="1" applyBorder="1"/>
    <xf numFmtId="10" fontId="34" fillId="0" borderId="72" xfId="0" applyNumberFormat="1" applyFont="1" applyBorder="1"/>
    <xf numFmtId="0" fontId="64" fillId="0" borderId="71" xfId="0" applyFont="1" applyBorder="1"/>
    <xf numFmtId="0" fontId="64" fillId="0" borderId="72" xfId="0" applyFont="1" applyBorder="1"/>
    <xf numFmtId="0" fontId="64" fillId="0" borderId="31" xfId="0" applyFont="1" applyBorder="1"/>
    <xf numFmtId="174" fontId="64" fillId="0" borderId="29" xfId="0" applyNumberFormat="1" applyFont="1" applyBorder="1"/>
    <xf numFmtId="174" fontId="104" fillId="31" borderId="0" xfId="0" applyNumberFormat="1" applyFont="1" applyFill="1" applyBorder="1" applyAlignment="1">
      <alignment horizontal="center" vertical="center"/>
    </xf>
    <xf numFmtId="174" fontId="146" fillId="0" borderId="70" xfId="0" applyNumberFormat="1" applyFont="1" applyFill="1" applyBorder="1" applyAlignment="1">
      <alignment horizontal="center" vertical="center" wrapText="1"/>
    </xf>
    <xf numFmtId="182" fontId="34" fillId="0" borderId="0" xfId="0" applyNumberFormat="1" applyFont="1"/>
    <xf numFmtId="14" fontId="64" fillId="0" borderId="72" xfId="0" applyNumberFormat="1" applyFont="1" applyBorder="1"/>
    <xf numFmtId="0" fontId="32" fillId="2" borderId="0" xfId="0" applyFont="1" applyFill="1"/>
    <xf numFmtId="0" fontId="153" fillId="0" borderId="0" xfId="0" applyFont="1"/>
    <xf numFmtId="0" fontId="75" fillId="2" borderId="0" xfId="0" applyFont="1" applyFill="1" applyBorder="1" applyAlignment="1">
      <alignment horizontal="center" vertical="center"/>
    </xf>
    <xf numFmtId="10" fontId="0" fillId="0" borderId="0" xfId="1" applyNumberFormat="1" applyFont="1"/>
    <xf numFmtId="9" fontId="49" fillId="14" borderId="0" xfId="0" applyNumberFormat="1" applyFont="1" applyFill="1" applyBorder="1" applyAlignment="1">
      <alignment horizontal="center" vertical="center" wrapText="1"/>
    </xf>
    <xf numFmtId="0" fontId="154" fillId="0" borderId="0" xfId="0" applyFont="1" applyFill="1" applyBorder="1" applyAlignment="1">
      <alignment vertical="center" wrapText="1"/>
    </xf>
    <xf numFmtId="0" fontId="135" fillId="0" borderId="0" xfId="0" applyFont="1" applyBorder="1"/>
    <xf numFmtId="0" fontId="155" fillId="0" borderId="0" xfId="0" applyFont="1"/>
    <xf numFmtId="0" fontId="156" fillId="0" borderId="0" xfId="0" applyFont="1"/>
    <xf numFmtId="0" fontId="134" fillId="0" borderId="41" xfId="0" applyFont="1" applyBorder="1"/>
    <xf numFmtId="0" fontId="134" fillId="0" borderId="0" xfId="0" applyFont="1" applyAlignment="1">
      <alignment vertical="center"/>
    </xf>
    <xf numFmtId="0" fontId="134" fillId="0" borderId="0" xfId="0" applyFont="1" applyBorder="1"/>
    <xf numFmtId="0" fontId="134" fillId="2" borderId="0" xfId="0" applyFont="1" applyFill="1"/>
    <xf numFmtId="0" fontId="134" fillId="0" borderId="0" xfId="0" applyFont="1" applyBorder="1" applyAlignment="1">
      <alignment vertical="center"/>
    </xf>
    <xf numFmtId="0" fontId="157" fillId="0" borderId="0" xfId="0" applyFont="1" applyBorder="1"/>
    <xf numFmtId="0" fontId="157" fillId="0" borderId="0" xfId="0" applyFont="1" applyBorder="1" applyAlignment="1">
      <alignment vertical="center"/>
    </xf>
    <xf numFmtId="175" fontId="134" fillId="0" borderId="0" xfId="0" applyNumberFormat="1" applyFont="1" applyBorder="1"/>
    <xf numFmtId="0" fontId="158" fillId="0" borderId="0" xfId="0" applyFont="1" applyBorder="1"/>
    <xf numFmtId="0" fontId="159" fillId="0" borderId="0" xfId="0" applyFont="1" applyFill="1" applyBorder="1" applyAlignment="1">
      <alignment vertical="center" wrapText="1"/>
    </xf>
    <xf numFmtId="0" fontId="134" fillId="0" borderId="0" xfId="0" applyFont="1" applyFill="1" applyBorder="1"/>
    <xf numFmtId="0" fontId="160" fillId="0" borderId="0" xfId="0" applyFont="1" applyFill="1" applyBorder="1" applyAlignment="1">
      <alignment vertical="center" textRotation="90" wrapText="1"/>
    </xf>
    <xf numFmtId="0" fontId="134" fillId="0" borderId="43" xfId="0" applyFont="1" applyBorder="1"/>
    <xf numFmtId="10" fontId="135" fillId="0" borderId="0" xfId="0" applyNumberFormat="1" applyFont="1" applyBorder="1"/>
    <xf numFmtId="0" fontId="134" fillId="2" borderId="0" xfId="0" applyFont="1" applyFill="1" applyBorder="1"/>
    <xf numFmtId="9" fontId="0" fillId="6" borderId="3" xfId="1" applyNumberFormat="1" applyFont="1" applyFill="1" applyBorder="1" applyAlignment="1">
      <alignment horizontal="center"/>
    </xf>
    <xf numFmtId="10" fontId="162" fillId="0" borderId="0" xfId="0" applyNumberFormat="1" applyFont="1"/>
    <xf numFmtId="0" fontId="164" fillId="0" borderId="0" xfId="0" applyFont="1"/>
    <xf numFmtId="0" fontId="32" fillId="0" borderId="0" xfId="0" applyFont="1"/>
    <xf numFmtId="0" fontId="33" fillId="0" borderId="0" xfId="0" applyFont="1" applyBorder="1"/>
    <xf numFmtId="0" fontId="6" fillId="0" borderId="0" xfId="0" applyFont="1"/>
    <xf numFmtId="0" fontId="164" fillId="0" borderId="0" xfId="0" applyFont="1" applyBorder="1"/>
    <xf numFmtId="0" fontId="165" fillId="0" borderId="0" xfId="0" applyFont="1" applyFill="1" applyBorder="1" applyAlignment="1">
      <alignment vertical="center" textRotation="90" wrapText="1"/>
    </xf>
    <xf numFmtId="0" fontId="164" fillId="0" borderId="0" xfId="0" applyFont="1" applyFill="1" applyBorder="1"/>
    <xf numFmtId="0" fontId="164" fillId="0" borderId="0" xfId="0" applyFont="1" applyAlignment="1">
      <alignment vertical="center"/>
    </xf>
    <xf numFmtId="0" fontId="164" fillId="0" borderId="0" xfId="0" applyFont="1" applyBorder="1" applyAlignment="1">
      <alignment vertical="center"/>
    </xf>
    <xf numFmtId="0" fontId="164" fillId="2" borderId="0" xfId="0" applyFont="1" applyFill="1" applyBorder="1"/>
    <xf numFmtId="0" fontId="164" fillId="2" borderId="0" xfId="0" applyFont="1" applyFill="1"/>
    <xf numFmtId="0" fontId="164" fillId="2" borderId="0" xfId="0" applyFont="1" applyFill="1" applyBorder="1" applyAlignment="1">
      <alignment vertical="center"/>
    </xf>
    <xf numFmtId="14" fontId="164" fillId="0" borderId="0" xfId="0" applyNumberFormat="1" applyFont="1" applyBorder="1"/>
    <xf numFmtId="0" fontId="4" fillId="2" borderId="0" xfId="0" applyFont="1" applyFill="1" applyBorder="1" applyAlignment="1">
      <alignment vertical="center"/>
    </xf>
    <xf numFmtId="0" fontId="33" fillId="0" borderId="0" xfId="0" applyFont="1"/>
    <xf numFmtId="0" fontId="3" fillId="0" borderId="3" xfId="0" applyFont="1" applyBorder="1" applyAlignment="1">
      <alignment horizontal="center"/>
    </xf>
    <xf numFmtId="0" fontId="3" fillId="0" borderId="3" xfId="0" applyFont="1" applyBorder="1"/>
    <xf numFmtId="0" fontId="166" fillId="0" borderId="0" xfId="0" applyFont="1"/>
    <xf numFmtId="10" fontId="166" fillId="0" borderId="0" xfId="0" applyNumberFormat="1" applyFont="1"/>
    <xf numFmtId="0" fontId="167" fillId="0" borderId="0" xfId="0" applyFont="1"/>
    <xf numFmtId="0" fontId="167" fillId="0" borderId="0" xfId="0" applyFont="1" applyBorder="1"/>
    <xf numFmtId="0" fontId="166" fillId="0" borderId="0" xfId="0" applyFont="1" applyAlignment="1">
      <alignment vertical="center"/>
    </xf>
    <xf numFmtId="0" fontId="166" fillId="0" borderId="0" xfId="0" applyFont="1" applyBorder="1"/>
    <xf numFmtId="0" fontId="166" fillId="2" borderId="0" xfId="0" applyFont="1" applyFill="1"/>
    <xf numFmtId="0" fontId="166" fillId="0" borderId="0" xfId="0" applyFont="1" applyBorder="1" applyAlignment="1">
      <alignment vertical="center"/>
    </xf>
    <xf numFmtId="0" fontId="166" fillId="2" borderId="0" xfId="0" applyFont="1" applyFill="1" applyBorder="1"/>
    <xf numFmtId="0" fontId="166" fillId="2" borderId="0" xfId="0" applyFont="1" applyFill="1" applyBorder="1" applyAlignment="1">
      <alignment vertical="center"/>
    </xf>
    <xf numFmtId="0" fontId="168" fillId="2" borderId="0" xfId="0" applyFont="1" applyFill="1" applyBorder="1" applyAlignment="1">
      <alignment horizontal="center" vertical="center"/>
    </xf>
    <xf numFmtId="0" fontId="169" fillId="2" borderId="0" xfId="0" applyFont="1" applyFill="1"/>
    <xf numFmtId="0" fontId="34" fillId="2" borderId="0" xfId="0" applyFont="1" applyFill="1" applyBorder="1" applyAlignment="1">
      <alignment vertical="center"/>
    </xf>
    <xf numFmtId="0" fontId="170" fillId="0" borderId="0" xfId="0" applyFont="1"/>
    <xf numFmtId="0" fontId="33" fillId="0" borderId="0" xfId="0" applyFont="1" applyAlignment="1">
      <alignment horizontal="center" vertical="center"/>
    </xf>
    <xf numFmtId="0" fontId="170" fillId="0" borderId="0" xfId="0" applyFont="1" applyAlignment="1">
      <alignment horizontal="center" vertical="center"/>
    </xf>
    <xf numFmtId="0" fontId="4" fillId="2" borderId="0" xfId="0" applyFont="1" applyFill="1" applyBorder="1"/>
    <xf numFmtId="0" fontId="34" fillId="32" borderId="0" xfId="0" applyFont="1" applyFill="1"/>
    <xf numFmtId="10" fontId="34" fillId="32" borderId="0" xfId="0" applyNumberFormat="1" applyFont="1" applyFill="1"/>
    <xf numFmtId="0" fontId="170" fillId="0" borderId="0" xfId="0" applyFont="1" applyBorder="1"/>
    <xf numFmtId="0" fontId="34" fillId="6" borderId="0" xfId="0" applyFont="1" applyFill="1"/>
    <xf numFmtId="0" fontId="33" fillId="2" borderId="0" xfId="0" applyFont="1" applyFill="1" applyBorder="1"/>
    <xf numFmtId="4" fontId="34" fillId="2" borderId="0" xfId="0" applyNumberFormat="1" applyFont="1" applyFill="1" applyAlignment="1">
      <alignment vertical="center"/>
    </xf>
    <xf numFmtId="174" fontId="34" fillId="2" borderId="0" xfId="0" applyNumberFormat="1" applyFont="1" applyFill="1" applyBorder="1" applyAlignment="1">
      <alignment vertical="center"/>
    </xf>
    <xf numFmtId="174" fontId="163" fillId="2" borderId="0" xfId="0" applyNumberFormat="1" applyFont="1" applyFill="1" applyBorder="1" applyAlignment="1">
      <alignment vertical="center"/>
    </xf>
    <xf numFmtId="4" fontId="34" fillId="2" borderId="0" xfId="0" applyNumberFormat="1" applyFont="1" applyFill="1" applyAlignment="1"/>
    <xf numFmtId="0" fontId="161" fillId="2" borderId="0" xfId="0" applyFont="1" applyFill="1" applyBorder="1" applyAlignment="1">
      <alignment horizontal="center" vertical="center" wrapText="1"/>
    </xf>
    <xf numFmtId="0" fontId="134" fillId="0" borderId="0" xfId="0" applyFont="1" applyBorder="1" applyAlignment="1">
      <alignment vertical="top"/>
    </xf>
    <xf numFmtId="0" fontId="135" fillId="0" borderId="0" xfId="0" applyFont="1" applyAlignment="1">
      <alignment vertical="top"/>
    </xf>
    <xf numFmtId="0" fontId="130" fillId="0" borderId="0" xfId="0" applyFont="1" applyAlignment="1">
      <alignment vertical="top"/>
    </xf>
    <xf numFmtId="0" fontId="28" fillId="0" borderId="0" xfId="0" applyFont="1" applyAlignment="1">
      <alignment vertical="top"/>
    </xf>
    <xf numFmtId="0" fontId="6" fillId="0" borderId="0" xfId="0" applyFont="1" applyAlignment="1">
      <alignment vertical="top"/>
    </xf>
    <xf numFmtId="0" fontId="164" fillId="0" borderId="0" xfId="0" applyFont="1" applyAlignment="1">
      <alignment vertical="top"/>
    </xf>
    <xf numFmtId="0" fontId="159" fillId="0" borderId="0" xfId="0" applyFont="1" applyFill="1" applyBorder="1" applyAlignment="1">
      <alignment vertical="top" wrapText="1"/>
    </xf>
    <xf numFmtId="0" fontId="134" fillId="0" borderId="0" xfId="0" applyFont="1" applyAlignment="1">
      <alignment vertical="top"/>
    </xf>
    <xf numFmtId="0" fontId="166" fillId="0" borderId="0" xfId="0" applyFont="1" applyAlignment="1">
      <alignment vertical="top"/>
    </xf>
    <xf numFmtId="0" fontId="34" fillId="36" borderId="0" xfId="0" applyFont="1" applyFill="1" applyBorder="1"/>
    <xf numFmtId="0" fontId="0" fillId="0" borderId="10" xfId="0" applyBorder="1"/>
    <xf numFmtId="4" fontId="0" fillId="0" borderId="10" xfId="0" applyNumberFormat="1" applyBorder="1"/>
    <xf numFmtId="0" fontId="3" fillId="32" borderId="3" xfId="0" applyFont="1" applyFill="1" applyBorder="1" applyAlignment="1">
      <alignment vertical="center" wrapText="1"/>
    </xf>
    <xf numFmtId="0" fontId="2" fillId="38" borderId="3" xfId="0" applyFont="1" applyFill="1" applyBorder="1" applyAlignment="1">
      <alignment vertical="center" wrapText="1"/>
    </xf>
    <xf numFmtId="0" fontId="2" fillId="19" borderId="3" xfId="0" applyFont="1" applyFill="1" applyBorder="1" applyAlignment="1">
      <alignment vertical="center" wrapText="1"/>
    </xf>
    <xf numFmtId="4" fontId="15" fillId="0" borderId="0" xfId="0" applyNumberFormat="1" applyFont="1"/>
    <xf numFmtId="4" fontId="15" fillId="0" borderId="10" xfId="0" applyNumberFormat="1" applyFont="1" applyBorder="1"/>
    <xf numFmtId="4" fontId="15" fillId="0" borderId="0" xfId="0" applyNumberFormat="1" applyFont="1" applyBorder="1"/>
    <xf numFmtId="4" fontId="15" fillId="0" borderId="0" xfId="0" applyNumberFormat="1" applyFont="1" applyFill="1"/>
    <xf numFmtId="4" fontId="15" fillId="0" borderId="10" xfId="0" applyNumberFormat="1" applyFont="1" applyFill="1" applyBorder="1"/>
    <xf numFmtId="10" fontId="162" fillId="0" borderId="0" xfId="0" applyNumberFormat="1" applyFont="1" applyFill="1"/>
    <xf numFmtId="0" fontId="43" fillId="23" borderId="3" xfId="0" applyFont="1" applyFill="1" applyBorder="1" applyAlignment="1">
      <alignment vertical="center" wrapText="1"/>
    </xf>
    <xf numFmtId="4" fontId="0" fillId="6" borderId="3" xfId="0" applyNumberFormat="1" applyFill="1" applyBorder="1"/>
    <xf numFmtId="4" fontId="18" fillId="6" borderId="3" xfId="0" applyNumberFormat="1" applyFont="1" applyFill="1" applyBorder="1" applyAlignment="1">
      <alignment horizontal="center"/>
    </xf>
    <xf numFmtId="0" fontId="171" fillId="0" borderId="0" xfId="0" applyFont="1"/>
    <xf numFmtId="0" fontId="162" fillId="0" borderId="0" xfId="0" applyFont="1"/>
    <xf numFmtId="2" fontId="162" fillId="0" borderId="0" xfId="0" applyNumberFormat="1" applyFont="1"/>
    <xf numFmtId="4" fontId="135" fillId="0" borderId="0" xfId="0" applyNumberFormat="1" applyFont="1"/>
    <xf numFmtId="0" fontId="172" fillId="0" borderId="0" xfId="0" applyFont="1"/>
    <xf numFmtId="0" fontId="173" fillId="0" borderId="0" xfId="0" applyFont="1"/>
    <xf numFmtId="0" fontId="0" fillId="2" borderId="94" xfId="0" applyFill="1" applyBorder="1"/>
    <xf numFmtId="0" fontId="122" fillId="2" borderId="0" xfId="0" applyFont="1" applyFill="1" applyAlignment="1">
      <alignment horizontal="center" vertical="center" wrapText="1"/>
    </xf>
    <xf numFmtId="0" fontId="122" fillId="2" borderId="95" xfId="0" applyFont="1" applyFill="1" applyBorder="1" applyAlignment="1">
      <alignment horizontal="center" vertical="center" wrapText="1"/>
    </xf>
    <xf numFmtId="175" fontId="174" fillId="14" borderId="97" xfId="0" applyNumberFormat="1" applyFont="1" applyFill="1" applyBorder="1" applyAlignment="1">
      <alignment horizontal="center" vertical="center"/>
    </xf>
    <xf numFmtId="10" fontId="174" fillId="14" borderId="98" xfId="1" applyNumberFormat="1" applyFont="1" applyFill="1" applyBorder="1" applyAlignment="1">
      <alignment horizontal="center" vertical="center"/>
    </xf>
    <xf numFmtId="0" fontId="92" fillId="2" borderId="0" xfId="0" applyFont="1" applyFill="1" applyAlignment="1">
      <alignment horizontal="center" vertical="center" wrapText="1"/>
    </xf>
    <xf numFmtId="175" fontId="66" fillId="52" borderId="0" xfId="1" applyNumberFormat="1" applyFont="1" applyFill="1" applyAlignment="1">
      <alignment horizontal="center" vertical="center"/>
    </xf>
    <xf numFmtId="10" fontId="66" fillId="52" borderId="0" xfId="1" applyNumberFormat="1" applyFont="1" applyFill="1" applyAlignment="1">
      <alignment horizontal="center" vertical="center"/>
    </xf>
    <xf numFmtId="174" fontId="6" fillId="3" borderId="83" xfId="0" applyNumberFormat="1" applyFont="1" applyFill="1" applyBorder="1" applyAlignment="1">
      <alignment horizontal="center"/>
    </xf>
    <xf numFmtId="0" fontId="0" fillId="0" borderId="3" xfId="0" applyBorder="1" applyAlignment="1">
      <alignment horizontal="center"/>
    </xf>
    <xf numFmtId="0" fontId="2" fillId="5" borderId="0" xfId="0" applyFont="1" applyFill="1" applyAlignment="1">
      <alignment horizontal="center"/>
    </xf>
    <xf numFmtId="0" fontId="0" fillId="44" borderId="3" xfId="0" applyFill="1" applyBorder="1" applyAlignment="1">
      <alignment horizontal="center"/>
    </xf>
    <xf numFmtId="0" fontId="0" fillId="2" borderId="0" xfId="0" applyFill="1" applyBorder="1" applyAlignment="1">
      <alignment horizontal="center"/>
    </xf>
    <xf numFmtId="0" fontId="0" fillId="0" borderId="3" xfId="0" applyBorder="1" applyAlignment="1">
      <alignment horizontal="center"/>
    </xf>
    <xf numFmtId="14" fontId="6" fillId="3" borderId="65" xfId="0" applyNumberFormat="1" applyFont="1" applyFill="1" applyBorder="1" applyAlignment="1">
      <alignment horizontal="center" vertical="center" wrapText="1"/>
    </xf>
    <xf numFmtId="0" fontId="6" fillId="0" borderId="0" xfId="0" applyFont="1" applyAlignment="1">
      <alignment horizontal="left" vertical="center" indent="1"/>
    </xf>
    <xf numFmtId="0" fontId="0" fillId="53" borderId="0" xfId="0" applyFill="1"/>
    <xf numFmtId="0" fontId="16" fillId="53" borderId="0" xfId="0" applyFont="1" applyFill="1"/>
    <xf numFmtId="0" fontId="22" fillId="0" borderId="0" xfId="0" applyFont="1" applyAlignment="1">
      <alignment horizontal="center" vertical="center" wrapText="1"/>
    </xf>
    <xf numFmtId="0" fontId="68" fillId="0" borderId="0" xfId="0" applyFont="1" applyAlignment="1">
      <alignment horizontal="center" vertical="center" wrapText="1"/>
    </xf>
    <xf numFmtId="0" fontId="0" fillId="0" borderId="31" xfId="0" applyBorder="1"/>
    <xf numFmtId="0" fontId="0" fillId="0" borderId="35" xfId="0" applyBorder="1"/>
    <xf numFmtId="0" fontId="0" fillId="0" borderId="29" xfId="0" applyBorder="1"/>
    <xf numFmtId="0" fontId="0" fillId="54" borderId="71" xfId="0" applyFill="1" applyBorder="1" applyAlignment="1">
      <alignment horizontal="center"/>
    </xf>
    <xf numFmtId="0" fontId="0" fillId="54" borderId="0" xfId="0" applyFill="1" applyAlignment="1">
      <alignment horizontal="center"/>
    </xf>
    <xf numFmtId="0" fontId="15" fillId="54" borderId="72" xfId="0" applyFont="1" applyFill="1" applyBorder="1" applyAlignment="1">
      <alignment horizontal="center"/>
    </xf>
    <xf numFmtId="10" fontId="16" fillId="0" borderId="0" xfId="0" applyNumberFormat="1" applyFont="1" applyAlignment="1">
      <alignment horizontal="center"/>
    </xf>
    <xf numFmtId="4" fontId="0" fillId="54" borderId="71" xfId="0" applyNumberFormat="1" applyFill="1" applyBorder="1" applyAlignment="1">
      <alignment horizontal="center"/>
    </xf>
    <xf numFmtId="0" fontId="0" fillId="54" borderId="72" xfId="0" applyFill="1" applyBorder="1" applyAlignment="1">
      <alignment horizontal="center"/>
    </xf>
    <xf numFmtId="0" fontId="0" fillId="0" borderId="71" xfId="0" applyBorder="1" applyAlignment="1">
      <alignment horizontal="center"/>
    </xf>
    <xf numFmtId="0" fontId="0" fillId="0" borderId="72" xfId="0" applyBorder="1" applyAlignment="1">
      <alignment horizontal="center"/>
    </xf>
    <xf numFmtId="0" fontId="15" fillId="0" borderId="72" xfId="0" applyFont="1" applyBorder="1" applyAlignment="1">
      <alignment horizontal="center"/>
    </xf>
    <xf numFmtId="4" fontId="0" fillId="0" borderId="71" xfId="0" applyNumberFormat="1" applyBorder="1" applyAlignment="1">
      <alignment horizontal="center"/>
    </xf>
    <xf numFmtId="2" fontId="15" fillId="0" borderId="72" xfId="0" applyNumberFormat="1" applyFont="1" applyBorder="1" applyAlignment="1">
      <alignment horizontal="center"/>
    </xf>
    <xf numFmtId="0" fontId="0" fillId="54" borderId="31" xfId="0" applyFill="1" applyBorder="1" applyAlignment="1">
      <alignment horizontal="center"/>
    </xf>
    <xf numFmtId="0" fontId="0" fillId="54" borderId="35" xfId="0" applyFill="1" applyBorder="1" applyAlignment="1">
      <alignment horizontal="center"/>
    </xf>
    <xf numFmtId="0" fontId="15" fillId="54" borderId="29" xfId="0" applyFont="1" applyFill="1" applyBorder="1" applyAlignment="1">
      <alignment horizontal="center"/>
    </xf>
    <xf numFmtId="4" fontId="0" fillId="54" borderId="31" xfId="0" applyNumberFormat="1" applyFill="1" applyBorder="1" applyAlignment="1">
      <alignment horizontal="center"/>
    </xf>
    <xf numFmtId="0" fontId="0" fillId="54" borderId="29" xfId="0" applyFill="1" applyBorder="1" applyAlignment="1">
      <alignment horizontal="center"/>
    </xf>
    <xf numFmtId="0" fontId="175" fillId="0" borderId="0" xfId="0" applyFont="1"/>
    <xf numFmtId="0" fontId="0" fillId="54" borderId="0" xfId="0" applyFill="1"/>
    <xf numFmtId="0" fontId="0" fillId="15" borderId="1" xfId="0" applyFill="1" applyBorder="1" applyAlignment="1">
      <alignment horizontal="left"/>
    </xf>
    <xf numFmtId="10" fontId="16" fillId="55" borderId="3" xfId="1" applyNumberFormat="1" applyFont="1" applyFill="1" applyBorder="1" applyAlignment="1">
      <alignment horizontal="center" vertical="center"/>
    </xf>
    <xf numFmtId="183" fontId="0" fillId="0" borderId="3" xfId="0" applyNumberFormat="1" applyBorder="1"/>
    <xf numFmtId="0" fontId="48" fillId="56" borderId="3" xfId="0" applyFont="1" applyFill="1" applyBorder="1"/>
    <xf numFmtId="0" fontId="48" fillId="0" borderId="3" xfId="0" applyFont="1" applyBorder="1"/>
    <xf numFmtId="166" fontId="48" fillId="0" borderId="3" xfId="0" applyNumberFormat="1" applyFont="1" applyBorder="1" applyAlignment="1">
      <alignment horizontal="center"/>
    </xf>
    <xf numFmtId="10" fontId="48" fillId="0" borderId="3" xfId="0" applyNumberFormat="1" applyFont="1" applyBorder="1" applyAlignment="1">
      <alignment horizontal="center"/>
    </xf>
    <xf numFmtId="168" fontId="5" fillId="0" borderId="3" xfId="2" applyNumberFormat="1" applyFont="1" applyFill="1" applyBorder="1" applyAlignment="1">
      <alignment horizontal="right" wrapText="1"/>
    </xf>
    <xf numFmtId="4" fontId="0" fillId="6" borderId="3" xfId="0" applyNumberFormat="1" applyFont="1" applyFill="1" applyBorder="1"/>
    <xf numFmtId="4" fontId="0" fillId="0" borderId="3" xfId="0" applyNumberFormat="1" applyFont="1" applyFill="1" applyBorder="1"/>
    <xf numFmtId="166" fontId="0" fillId="0" borderId="3" xfId="0" applyNumberFormat="1" applyBorder="1"/>
    <xf numFmtId="4" fontId="48" fillId="0" borderId="3" xfId="0" applyNumberFormat="1" applyFont="1" applyBorder="1" applyAlignment="1">
      <alignment horizontal="right"/>
    </xf>
    <xf numFmtId="4" fontId="83" fillId="0" borderId="3" xfId="0" applyNumberFormat="1" applyFont="1" applyBorder="1" applyAlignment="1">
      <alignment horizontal="right"/>
    </xf>
    <xf numFmtId="0" fontId="48" fillId="49" borderId="3" xfId="0" applyFont="1" applyFill="1" applyBorder="1"/>
    <xf numFmtId="2" fontId="0" fillId="49" borderId="3" xfId="0" applyNumberFormat="1" applyFill="1" applyBorder="1"/>
    <xf numFmtId="10" fontId="16" fillId="0" borderId="3" xfId="1" applyNumberFormat="1" applyFont="1" applyFill="1" applyBorder="1" applyAlignment="1">
      <alignment horizontal="center" vertical="center"/>
    </xf>
    <xf numFmtId="10" fontId="48" fillId="0" borderId="3" xfId="1" applyNumberFormat="1" applyFont="1" applyBorder="1" applyAlignment="1">
      <alignment horizontal="center" vertical="center"/>
    </xf>
    <xf numFmtId="166" fontId="176" fillId="0" borderId="0" xfId="0" applyNumberFormat="1" applyFont="1"/>
    <xf numFmtId="14" fontId="6" fillId="3" borderId="0" xfId="0" applyNumberFormat="1" applyFont="1" applyFill="1" applyAlignment="1">
      <alignment horizontal="center" vertical="center" wrapText="1"/>
    </xf>
    <xf numFmtId="4" fontId="6" fillId="3" borderId="0" xfId="0" applyNumberFormat="1" applyFont="1" applyFill="1" applyAlignment="1">
      <alignment horizontal="center" vertical="center" wrapText="1"/>
    </xf>
    <xf numFmtId="0" fontId="90" fillId="2" borderId="0" xfId="0" applyFont="1" applyFill="1" applyAlignment="1">
      <alignment horizontal="center" vertical="center"/>
    </xf>
    <xf numFmtId="175" fontId="63" fillId="2" borderId="0" xfId="0" applyNumberFormat="1" applyFont="1" applyFill="1" applyAlignment="1">
      <alignment horizontal="center" vertical="center"/>
    </xf>
    <xf numFmtId="0" fontId="0" fillId="51" borderId="80" xfId="0" applyFill="1" applyBorder="1" applyAlignment="1">
      <alignment horizontal="left" indent="1"/>
    </xf>
    <xf numFmtId="0" fontId="7" fillId="51" borderId="0" xfId="0" applyFont="1" applyFill="1" applyAlignment="1">
      <alignment horizontal="left" vertical="center" indent="1"/>
    </xf>
    <xf numFmtId="0" fontId="0" fillId="51" borderId="0" xfId="0" applyFill="1" applyAlignment="1">
      <alignment horizontal="left" indent="1"/>
    </xf>
    <xf numFmtId="0" fontId="0" fillId="51" borderId="85" xfId="0" applyFill="1" applyBorder="1" applyAlignment="1">
      <alignment horizontal="left" indent="1"/>
    </xf>
    <xf numFmtId="175" fontId="66" fillId="34" borderId="0" xfId="0" applyNumberFormat="1" applyFont="1" applyFill="1" applyBorder="1" applyAlignment="1">
      <alignment horizontal="center" vertical="center"/>
    </xf>
    <xf numFmtId="10" fontId="66" fillId="34" borderId="0" xfId="0" applyNumberFormat="1" applyFont="1" applyFill="1" applyBorder="1" applyAlignment="1">
      <alignment horizontal="center" vertical="center"/>
    </xf>
    <xf numFmtId="175" fontId="66" fillId="36" borderId="0" xfId="0" applyNumberFormat="1" applyFont="1" applyFill="1" applyBorder="1" applyAlignment="1">
      <alignment horizontal="center" vertical="center"/>
    </xf>
    <xf numFmtId="10" fontId="66" fillId="36" borderId="0" xfId="1" applyNumberFormat="1" applyFont="1" applyFill="1" applyBorder="1" applyAlignment="1">
      <alignment horizontal="center" vertical="center"/>
    </xf>
    <xf numFmtId="0" fontId="0" fillId="0" borderId="3" xfId="0" applyFill="1" applyBorder="1" applyAlignment="1">
      <alignment horizontal="center"/>
    </xf>
    <xf numFmtId="0" fontId="66" fillId="29" borderId="99" xfId="0" applyFont="1" applyFill="1" applyBorder="1" applyAlignment="1">
      <alignment horizontal="left" vertical="center" indent="1"/>
    </xf>
    <xf numFmtId="175" fontId="87" fillId="29" borderId="88" xfId="0" applyNumberFormat="1" applyFont="1" applyFill="1" applyBorder="1" applyAlignment="1">
      <alignment horizontal="center" vertical="center"/>
    </xf>
    <xf numFmtId="10" fontId="87" fillId="29" borderId="100" xfId="0" applyNumberFormat="1" applyFont="1" applyFill="1" applyBorder="1" applyAlignment="1">
      <alignment horizontal="center" vertical="center"/>
    </xf>
    <xf numFmtId="0" fontId="52" fillId="2" borderId="0" xfId="0" applyFont="1" applyFill="1" applyBorder="1" applyAlignment="1">
      <alignment horizontal="left" vertical="center" indent="1"/>
    </xf>
    <xf numFmtId="0" fontId="52" fillId="2" borderId="0" xfId="0" applyFont="1" applyFill="1" applyBorder="1" applyAlignment="1">
      <alignment horizontal="center" vertical="center"/>
    </xf>
    <xf numFmtId="10" fontId="52" fillId="2" borderId="0" xfId="0" applyNumberFormat="1" applyFont="1" applyFill="1" applyBorder="1" applyAlignment="1">
      <alignment horizontal="center" vertical="center"/>
    </xf>
    <xf numFmtId="0" fontId="8" fillId="17" borderId="0" xfId="0" applyFont="1" applyFill="1" applyAlignment="1">
      <alignment horizontal="left" vertical="center" indent="1"/>
    </xf>
    <xf numFmtId="0" fontId="178" fillId="0" borderId="0" xfId="0" applyFont="1"/>
    <xf numFmtId="172" fontId="0" fillId="0" borderId="0" xfId="0" applyNumberFormat="1"/>
    <xf numFmtId="4" fontId="0" fillId="0" borderId="5" xfId="0" applyNumberFormat="1" applyBorder="1"/>
    <xf numFmtId="4" fontId="16" fillId="0" borderId="3" xfId="0" applyNumberFormat="1" applyFont="1" applyBorder="1"/>
    <xf numFmtId="4" fontId="0" fillId="0" borderId="20" xfId="0" applyNumberFormat="1" applyBorder="1"/>
    <xf numFmtId="4" fontId="0" fillId="0" borderId="40" xfId="0" applyNumberFormat="1" applyBorder="1"/>
    <xf numFmtId="4" fontId="16" fillId="0" borderId="16" xfId="0" applyNumberFormat="1" applyFont="1" applyBorder="1"/>
    <xf numFmtId="176" fontId="0" fillId="0" borderId="0" xfId="0" applyNumberFormat="1"/>
    <xf numFmtId="0" fontId="48" fillId="6" borderId="3" xfId="0" applyFont="1" applyFill="1" applyBorder="1"/>
    <xf numFmtId="4" fontId="48" fillId="6" borderId="3" xfId="0" applyNumberFormat="1" applyFont="1" applyFill="1" applyBorder="1" applyAlignment="1">
      <alignment horizontal="right"/>
    </xf>
    <xf numFmtId="184" fontId="0" fillId="0" borderId="0" xfId="0" applyNumberFormat="1" applyBorder="1"/>
    <xf numFmtId="4" fontId="0" fillId="6" borderId="3" xfId="0" applyNumberFormat="1" applyFill="1" applyBorder="1" applyAlignment="1">
      <alignment horizontal="center"/>
    </xf>
    <xf numFmtId="4" fontId="0" fillId="0" borderId="3" xfId="0" applyNumberFormat="1" applyBorder="1" applyAlignment="1">
      <alignment horizontal="center"/>
    </xf>
    <xf numFmtId="0" fontId="2" fillId="38" borderId="12" xfId="0" applyFont="1" applyFill="1" applyBorder="1" applyAlignment="1">
      <alignment vertical="center" wrapText="1"/>
    </xf>
    <xf numFmtId="14" fontId="0" fillId="0" borderId="13" xfId="0" applyNumberFormat="1" applyBorder="1"/>
    <xf numFmtId="2" fontId="0" fillId="0" borderId="13" xfId="0" applyNumberFormat="1" applyBorder="1"/>
    <xf numFmtId="4" fontId="0" fillId="0" borderId="13" xfId="0" applyNumberFormat="1" applyBorder="1"/>
    <xf numFmtId="2" fontId="0" fillId="0" borderId="13" xfId="0" applyNumberFormat="1" applyFill="1" applyBorder="1"/>
    <xf numFmtId="2" fontId="0" fillId="0" borderId="10" xfId="0" applyNumberFormat="1" applyBorder="1"/>
    <xf numFmtId="14" fontId="0" fillId="0" borderId="10" xfId="0" applyNumberFormat="1" applyBorder="1"/>
    <xf numFmtId="174" fontId="16" fillId="0" borderId="0" xfId="0" applyNumberFormat="1" applyFont="1"/>
    <xf numFmtId="0" fontId="0" fillId="0" borderId="3" xfId="0" applyBorder="1" applyAlignment="1">
      <alignment horizontal="center"/>
    </xf>
    <xf numFmtId="0" fontId="0" fillId="0" borderId="3" xfId="0" applyBorder="1" applyAlignment="1">
      <alignment horizontal="center"/>
    </xf>
    <xf numFmtId="0" fontId="178" fillId="0" borderId="0" xfId="0" applyFont="1" applyFill="1" applyBorder="1"/>
    <xf numFmtId="0" fontId="2" fillId="5" borderId="0" xfId="0" applyFont="1" applyFill="1" applyAlignment="1">
      <alignment horizontal="center"/>
    </xf>
    <xf numFmtId="0" fontId="0" fillId="16" borderId="3" xfId="0" applyFill="1" applyBorder="1" applyAlignment="1">
      <alignment horizontal="center"/>
    </xf>
    <xf numFmtId="0" fontId="0" fillId="16" borderId="5" xfId="0" applyFill="1" applyBorder="1" applyAlignment="1">
      <alignment horizontal="center"/>
    </xf>
    <xf numFmtId="0" fontId="0" fillId="16" borderId="36" xfId="0" applyFill="1" applyBorder="1" applyAlignment="1">
      <alignment horizontal="center"/>
    </xf>
    <xf numFmtId="0" fontId="0" fillId="16" borderId="7" xfId="0" applyFill="1" applyBorder="1" applyAlignment="1">
      <alignment horizontal="center"/>
    </xf>
    <xf numFmtId="0" fontId="24" fillId="6" borderId="0" xfId="0" applyFont="1" applyFill="1" applyAlignment="1">
      <alignment horizontal="center"/>
    </xf>
    <xf numFmtId="0" fontId="23" fillId="0" borderId="30" xfId="0" applyFont="1" applyBorder="1" applyAlignment="1">
      <alignment horizontal="center" vertical="top" wrapText="1"/>
    </xf>
    <xf numFmtId="0" fontId="23" fillId="0" borderId="32" xfId="0" applyFont="1" applyBorder="1" applyAlignment="1">
      <alignment horizontal="center" vertical="top" wrapText="1"/>
    </xf>
    <xf numFmtId="0" fontId="23" fillId="0" borderId="34" xfId="0" applyFont="1" applyBorder="1" applyAlignment="1">
      <alignment horizontal="center" vertical="top" wrapText="1"/>
    </xf>
    <xf numFmtId="0" fontId="23" fillId="0" borderId="33" xfId="0" applyFont="1" applyBorder="1" applyAlignment="1">
      <alignment horizontal="center" vertical="top" wrapText="1"/>
    </xf>
    <xf numFmtId="0" fontId="23" fillId="0" borderId="31" xfId="0" applyFont="1" applyBorder="1" applyAlignment="1">
      <alignment horizontal="center" vertical="top" wrapText="1"/>
    </xf>
    <xf numFmtId="0" fontId="23" fillId="0" borderId="29" xfId="0" applyFont="1" applyBorder="1" applyAlignment="1">
      <alignment horizontal="center" vertical="top" wrapText="1"/>
    </xf>
    <xf numFmtId="0" fontId="21" fillId="0" borderId="24" xfId="0" applyFont="1" applyBorder="1" applyAlignment="1">
      <alignment horizontal="center" wrapText="1"/>
    </xf>
    <xf numFmtId="0" fontId="23" fillId="16" borderId="0" xfId="0" applyFont="1" applyFill="1" applyBorder="1" applyAlignment="1">
      <alignment horizontal="center" wrapText="1"/>
    </xf>
    <xf numFmtId="0" fontId="23" fillId="16" borderId="72" xfId="0" applyFont="1" applyFill="1" applyBorder="1" applyAlignment="1">
      <alignment horizontal="center" wrapText="1"/>
    </xf>
    <xf numFmtId="0" fontId="23" fillId="16" borderId="71" xfId="0" applyFont="1" applyFill="1" applyBorder="1" applyAlignment="1">
      <alignment horizontal="center" wrapText="1"/>
    </xf>
    <xf numFmtId="0" fontId="23" fillId="16" borderId="31" xfId="0" applyFont="1" applyFill="1" applyBorder="1" applyAlignment="1">
      <alignment horizontal="center" wrapText="1"/>
    </xf>
    <xf numFmtId="0" fontId="23" fillId="16" borderId="35" xfId="0" applyFont="1" applyFill="1" applyBorder="1" applyAlignment="1">
      <alignment horizontal="center" wrapText="1"/>
    </xf>
    <xf numFmtId="0" fontId="23" fillId="16" borderId="29" xfId="0" applyFont="1" applyFill="1" applyBorder="1" applyAlignment="1">
      <alignment horizontal="center" wrapText="1"/>
    </xf>
    <xf numFmtId="10" fontId="0" fillId="22" borderId="3" xfId="0" applyNumberFormat="1" applyFill="1" applyBorder="1" applyAlignment="1">
      <alignment horizontal="center" vertical="center" wrapText="1"/>
    </xf>
    <xf numFmtId="0" fontId="15" fillId="22" borderId="3" xfId="0" applyFont="1" applyFill="1" applyBorder="1" applyAlignment="1">
      <alignment horizontal="center" vertical="center" wrapText="1"/>
    </xf>
    <xf numFmtId="0" fontId="26" fillId="23" borderId="78" xfId="0" applyFont="1" applyFill="1" applyBorder="1" applyAlignment="1">
      <alignment horizontal="center" vertical="center" wrapText="1"/>
    </xf>
    <xf numFmtId="0" fontId="26" fillId="23" borderId="38" xfId="0" applyFont="1" applyFill="1" applyBorder="1" applyAlignment="1">
      <alignment horizontal="center" vertical="center" wrapText="1"/>
    </xf>
    <xf numFmtId="0" fontId="0" fillId="45" borderId="11" xfId="0" applyFill="1" applyBorder="1" applyAlignment="1">
      <alignment horizontal="center" vertical="center"/>
    </xf>
    <xf numFmtId="0" fontId="0" fillId="45" borderId="12" xfId="0" applyFill="1" applyBorder="1" applyAlignment="1">
      <alignment horizontal="center" vertical="center"/>
    </xf>
    <xf numFmtId="0" fontId="0" fillId="45" borderId="13" xfId="0" applyFill="1" applyBorder="1" applyAlignment="1">
      <alignment horizontal="center" vertical="center"/>
    </xf>
    <xf numFmtId="14" fontId="0" fillId="22" borderId="3" xfId="0" applyNumberFormat="1" applyFill="1" applyBorder="1" applyAlignment="1">
      <alignment horizontal="center" vertical="center" wrapText="1"/>
    </xf>
    <xf numFmtId="10" fontId="0" fillId="22" borderId="3" xfId="0" applyNumberFormat="1" applyFill="1" applyBorder="1" applyAlignment="1">
      <alignment horizontal="center" vertical="center"/>
    </xf>
    <xf numFmtId="0" fontId="73" fillId="4" borderId="46" xfId="0" applyFont="1" applyFill="1" applyBorder="1" applyAlignment="1">
      <alignment horizontal="center" vertical="center"/>
    </xf>
    <xf numFmtId="0" fontId="73" fillId="4" borderId="45" xfId="0" applyFont="1" applyFill="1" applyBorder="1" applyAlignment="1">
      <alignment horizontal="center" vertical="center"/>
    </xf>
    <xf numFmtId="0" fontId="37" fillId="29" borderId="0" xfId="0" applyFont="1" applyFill="1" applyBorder="1" applyAlignment="1">
      <alignment horizontal="center" vertical="center" wrapText="1"/>
    </xf>
    <xf numFmtId="0" fontId="8" fillId="14" borderId="46" xfId="0" applyFont="1" applyFill="1" applyBorder="1" applyAlignment="1">
      <alignment horizontal="left" vertical="center" wrapText="1" indent="1"/>
    </xf>
    <xf numFmtId="0" fontId="8" fillId="14" borderId="46" xfId="0" applyFont="1" applyFill="1" applyBorder="1" applyAlignment="1">
      <alignment horizontal="left" vertical="center" indent="1"/>
    </xf>
    <xf numFmtId="14" fontId="73" fillId="4" borderId="45" xfId="0" applyNumberFormat="1" applyFont="1" applyFill="1" applyBorder="1" applyAlignment="1">
      <alignment horizontal="center" vertical="center"/>
    </xf>
    <xf numFmtId="174" fontId="73" fillId="4" borderId="45" xfId="0" applyNumberFormat="1" applyFont="1" applyFill="1" applyBorder="1" applyAlignment="1">
      <alignment horizontal="center" vertical="center"/>
    </xf>
    <xf numFmtId="0" fontId="0" fillId="0" borderId="3" xfId="0" applyBorder="1" applyAlignment="1">
      <alignment horizontal="center"/>
    </xf>
    <xf numFmtId="0" fontId="7" fillId="0" borderId="11" xfId="3" applyFont="1" applyBorder="1" applyAlignment="1">
      <alignment horizontal="center" vertical="center"/>
    </xf>
    <xf numFmtId="0" fontId="7" fillId="0" borderId="13" xfId="3" applyFont="1" applyBorder="1" applyAlignment="1">
      <alignment horizontal="center" vertical="center"/>
    </xf>
    <xf numFmtId="0" fontId="22" fillId="0" borderId="34" xfId="0" applyFont="1" applyBorder="1" applyAlignment="1">
      <alignment horizontal="center" vertical="center" wrapText="1"/>
    </xf>
    <xf numFmtId="0" fontId="22" fillId="0" borderId="90" xfId="0" applyFont="1" applyBorder="1" applyAlignment="1">
      <alignment horizontal="center" vertical="center" wrapText="1"/>
    </xf>
    <xf numFmtId="0" fontId="22" fillId="0" borderId="33" xfId="0" applyFont="1" applyBorder="1" applyAlignment="1">
      <alignment horizontal="center" vertical="center" wrapText="1"/>
    </xf>
    <xf numFmtId="0" fontId="2" fillId="5" borderId="3" xfId="0" applyFont="1" applyFill="1" applyBorder="1" applyAlignment="1">
      <alignment horizontal="center"/>
    </xf>
    <xf numFmtId="0" fontId="83" fillId="49" borderId="3" xfId="0" applyFont="1" applyFill="1" applyBorder="1" applyAlignment="1">
      <alignment horizontal="center"/>
    </xf>
    <xf numFmtId="0" fontId="0" fillId="14" borderId="5" xfId="0" applyFill="1" applyBorder="1" applyAlignment="1">
      <alignment horizontal="center"/>
    </xf>
    <xf numFmtId="0" fontId="0" fillId="14" borderId="6" xfId="0" applyFill="1" applyBorder="1" applyAlignment="1">
      <alignment horizontal="center"/>
    </xf>
    <xf numFmtId="0" fontId="0" fillId="20" borderId="3" xfId="0" applyFill="1" applyBorder="1" applyAlignment="1">
      <alignment horizontal="center"/>
    </xf>
    <xf numFmtId="0" fontId="25" fillId="5" borderId="5" xfId="0" applyFont="1" applyFill="1" applyBorder="1" applyAlignment="1">
      <alignment horizontal="center"/>
    </xf>
    <xf numFmtId="0" fontId="25" fillId="5" borderId="6" xfId="0" applyFont="1" applyFill="1" applyBorder="1" applyAlignment="1">
      <alignment horizontal="center"/>
    </xf>
    <xf numFmtId="0" fontId="7" fillId="14" borderId="0" xfId="0" applyFont="1" applyFill="1" applyAlignment="1">
      <alignment horizontal="left" vertical="top" wrapText="1"/>
    </xf>
    <xf numFmtId="0" fontId="7" fillId="14" borderId="0" xfId="0" applyFont="1" applyFill="1" applyBorder="1" applyAlignment="1">
      <alignment horizontal="left" vertical="top" wrapText="1"/>
    </xf>
    <xf numFmtId="9" fontId="71" fillId="14" borderId="47" xfId="0" applyNumberFormat="1" applyFont="1" applyFill="1" applyBorder="1" applyAlignment="1">
      <alignment horizontal="center" vertical="center" wrapText="1"/>
    </xf>
    <xf numFmtId="9" fontId="71" fillId="14" borderId="0" xfId="0" applyNumberFormat="1" applyFont="1" applyFill="1" applyBorder="1" applyAlignment="1">
      <alignment horizontal="center" vertical="center" wrapText="1"/>
    </xf>
    <xf numFmtId="177" fontId="52" fillId="31" borderId="47" xfId="0" applyNumberFormat="1" applyFont="1" applyFill="1" applyBorder="1" applyAlignment="1">
      <alignment horizontal="center" vertical="center"/>
    </xf>
    <xf numFmtId="177" fontId="52" fillId="31" borderId="0" xfId="0" applyNumberFormat="1" applyFont="1" applyFill="1" applyBorder="1" applyAlignment="1">
      <alignment horizontal="center" vertical="center"/>
    </xf>
    <xf numFmtId="0" fontId="143" fillId="0" borderId="0" xfId="0" applyFont="1" applyAlignment="1">
      <alignment horizontal="left"/>
    </xf>
    <xf numFmtId="10" fontId="86" fillId="34" borderId="0" xfId="0" applyNumberFormat="1" applyFont="1" applyFill="1" applyBorder="1" applyAlignment="1">
      <alignment horizontal="center" vertical="center"/>
    </xf>
    <xf numFmtId="0" fontId="86" fillId="33" borderId="9" xfId="0" applyFont="1" applyFill="1" applyBorder="1" applyAlignment="1">
      <alignment horizontal="center" vertical="center"/>
    </xf>
    <xf numFmtId="0" fontId="86" fillId="33" borderId="10" xfId="0" applyFont="1" applyFill="1" applyBorder="1" applyAlignment="1">
      <alignment horizontal="center" vertical="center"/>
    </xf>
    <xf numFmtId="0" fontId="86" fillId="33" borderId="37" xfId="0" applyFont="1" applyFill="1" applyBorder="1" applyAlignment="1">
      <alignment horizontal="center" vertical="center"/>
    </xf>
    <xf numFmtId="0" fontId="84" fillId="0" borderId="0" xfId="0" applyFont="1" applyBorder="1" applyAlignment="1">
      <alignment horizontal="left" vertical="center" wrapText="1"/>
    </xf>
    <xf numFmtId="0" fontId="85" fillId="0" borderId="0" xfId="0" applyFont="1" applyBorder="1" applyAlignment="1">
      <alignment horizontal="left" vertical="center" wrapText="1"/>
    </xf>
    <xf numFmtId="0" fontId="41" fillId="0" borderId="0" xfId="0" applyFont="1" applyFill="1" applyBorder="1" applyAlignment="1">
      <alignment horizontal="left" vertical="center" wrapText="1" indent="1"/>
    </xf>
    <xf numFmtId="0" fontId="133" fillId="0" borderId="0" xfId="0" applyFont="1" applyFill="1" applyBorder="1" applyAlignment="1">
      <alignment horizontal="left" vertical="center" wrapText="1" indent="1"/>
    </xf>
    <xf numFmtId="0" fontId="7" fillId="3" borderId="0" xfId="0" applyFont="1" applyFill="1" applyBorder="1" applyAlignment="1">
      <alignment horizontal="left" vertical="center" wrapText="1"/>
    </xf>
    <xf numFmtId="0" fontId="81" fillId="0" borderId="0" xfId="0" applyFont="1" applyFill="1" applyBorder="1" applyAlignment="1">
      <alignment horizontal="left" vertical="center" wrapText="1"/>
    </xf>
    <xf numFmtId="0" fontId="52" fillId="0" borderId="0" xfId="0" applyFont="1" applyFill="1" applyBorder="1" applyAlignment="1">
      <alignment horizontal="left" vertical="center" wrapText="1" indent="1"/>
    </xf>
    <xf numFmtId="0" fontId="7" fillId="3" borderId="0" xfId="0" applyFont="1" applyFill="1" applyBorder="1" applyAlignment="1">
      <alignment horizontal="left" vertical="center"/>
    </xf>
    <xf numFmtId="0" fontId="84" fillId="0" borderId="0" xfId="0" applyFont="1" applyFill="1" applyBorder="1" applyAlignment="1">
      <alignment horizontal="left" vertical="center" wrapText="1"/>
    </xf>
    <xf numFmtId="0" fontId="82" fillId="0" borderId="0" xfId="0" applyFont="1" applyBorder="1" applyAlignment="1">
      <alignment horizontal="left" vertical="center" wrapText="1"/>
    </xf>
    <xf numFmtId="0" fontId="87" fillId="4" borderId="47" xfId="0" applyFont="1" applyFill="1" applyBorder="1" applyAlignment="1">
      <alignment horizontal="center" vertical="center"/>
    </xf>
    <xf numFmtId="0" fontId="87" fillId="4" borderId="0" xfId="0" applyFont="1" applyFill="1" applyBorder="1" applyAlignment="1">
      <alignment horizontal="center" vertical="center"/>
    </xf>
    <xf numFmtId="0" fontId="121" fillId="2" borderId="0" xfId="0" applyFont="1" applyFill="1" applyBorder="1" applyAlignment="1">
      <alignment horizontal="left" vertical="center" wrapText="1"/>
    </xf>
    <xf numFmtId="14" fontId="87" fillId="29" borderId="47" xfId="0" applyNumberFormat="1" applyFont="1" applyFill="1" applyBorder="1" applyAlignment="1">
      <alignment horizontal="center" vertical="center"/>
    </xf>
    <xf numFmtId="14" fontId="87" fillId="29" borderId="0" xfId="0" applyNumberFormat="1" applyFont="1" applyFill="1" applyBorder="1" applyAlignment="1">
      <alignment horizontal="center" vertical="center"/>
    </xf>
    <xf numFmtId="0" fontId="15" fillId="16" borderId="21" xfId="0" applyFont="1" applyFill="1" applyBorder="1" applyAlignment="1">
      <alignment horizontal="center"/>
    </xf>
    <xf numFmtId="0" fontId="15" fillId="16" borderId="22" xfId="0" applyFont="1" applyFill="1" applyBorder="1" applyAlignment="1">
      <alignment horizontal="center"/>
    </xf>
    <xf numFmtId="0" fontId="15" fillId="16" borderId="23" xfId="0" applyFont="1" applyFill="1" applyBorder="1" applyAlignment="1">
      <alignment horizontal="center"/>
    </xf>
    <xf numFmtId="0" fontId="162" fillId="0" borderId="0" xfId="0" applyFont="1" applyAlignment="1">
      <alignment horizontal="center" wrapText="1"/>
    </xf>
    <xf numFmtId="0" fontId="2" fillId="23" borderId="34" xfId="0" applyFont="1" applyFill="1" applyBorder="1" applyAlignment="1">
      <alignment horizontal="center"/>
    </xf>
    <xf numFmtId="0" fontId="2" fillId="23" borderId="90" xfId="0" applyFont="1" applyFill="1" applyBorder="1" applyAlignment="1">
      <alignment horizontal="center"/>
    </xf>
    <xf numFmtId="0" fontId="2" fillId="23" borderId="33" xfId="0" applyFont="1" applyFill="1" applyBorder="1" applyAlignment="1">
      <alignment horizontal="center"/>
    </xf>
    <xf numFmtId="0" fontId="165" fillId="0" borderId="0" xfId="0" applyFont="1" applyFill="1" applyBorder="1" applyAlignment="1">
      <alignment horizontal="center" vertical="center" wrapText="1"/>
    </xf>
    <xf numFmtId="0" fontId="83" fillId="38" borderId="0" xfId="0" applyFont="1" applyFill="1" applyBorder="1" applyAlignment="1">
      <alignment horizontal="left" vertical="center" wrapText="1"/>
    </xf>
    <xf numFmtId="174" fontId="99" fillId="31" borderId="0" xfId="0" applyNumberFormat="1" applyFont="1" applyFill="1" applyBorder="1" applyAlignment="1">
      <alignment horizontal="center" vertical="center"/>
    </xf>
    <xf numFmtId="0" fontId="86" fillId="29" borderId="0" xfId="0" applyFont="1" applyFill="1" applyBorder="1" applyAlignment="1">
      <alignment horizontal="center" vertical="center" wrapText="1"/>
    </xf>
    <xf numFmtId="2" fontId="103" fillId="14" borderId="0" xfId="0" applyNumberFormat="1" applyFont="1" applyFill="1" applyBorder="1" applyAlignment="1">
      <alignment horizontal="center" vertical="center" wrapText="1"/>
    </xf>
    <xf numFmtId="174" fontId="99" fillId="14" borderId="0" xfId="0" applyNumberFormat="1" applyFont="1" applyFill="1" applyBorder="1" applyAlignment="1">
      <alignment horizontal="center" vertical="center"/>
    </xf>
    <xf numFmtId="0" fontId="100" fillId="34" borderId="0" xfId="0" applyFont="1" applyFill="1" applyBorder="1" applyAlignment="1">
      <alignment horizontal="left" vertical="center" wrapText="1"/>
    </xf>
    <xf numFmtId="10" fontId="101" fillId="35" borderId="0" xfId="0" applyNumberFormat="1" applyFont="1" applyFill="1" applyBorder="1" applyAlignment="1">
      <alignment horizontal="center" vertical="center"/>
    </xf>
    <xf numFmtId="9" fontId="49" fillId="14" borderId="0" xfId="0" applyNumberFormat="1" applyFont="1" applyFill="1" applyBorder="1" applyAlignment="1">
      <alignment horizontal="center" vertical="center" wrapText="1"/>
    </xf>
    <xf numFmtId="0" fontId="87" fillId="5" borderId="0" xfId="0" applyFont="1" applyFill="1" applyBorder="1" applyAlignment="1">
      <alignment horizontal="center" vertical="center" textRotation="90" wrapText="1"/>
    </xf>
    <xf numFmtId="0" fontId="63" fillId="0" borderId="0" xfId="0" applyFont="1" applyBorder="1" applyAlignment="1">
      <alignment horizontal="center" vertical="center" wrapText="1"/>
    </xf>
    <xf numFmtId="0" fontId="87" fillId="44" borderId="0" xfId="0" applyFont="1" applyFill="1" applyBorder="1" applyAlignment="1">
      <alignment horizontal="center" vertical="center" textRotation="90" wrapText="1"/>
    </xf>
    <xf numFmtId="0" fontId="87" fillId="46" borderId="0" xfId="0" applyFont="1" applyFill="1" applyBorder="1" applyAlignment="1">
      <alignment horizontal="center" vertical="center" textRotation="90" wrapText="1"/>
    </xf>
    <xf numFmtId="0" fontId="87" fillId="45" borderId="0" xfId="0" applyFont="1" applyFill="1" applyBorder="1" applyAlignment="1">
      <alignment horizontal="center" vertical="center" textRotation="90" wrapText="1"/>
    </xf>
    <xf numFmtId="0" fontId="83" fillId="38" borderId="0" xfId="0" applyFont="1" applyFill="1" applyBorder="1" applyAlignment="1">
      <alignment vertical="center" wrapText="1"/>
    </xf>
    <xf numFmtId="174" fontId="101" fillId="34" borderId="0" xfId="0" applyNumberFormat="1" applyFont="1" applyFill="1" applyBorder="1" applyAlignment="1">
      <alignment horizontal="center" vertical="center"/>
    </xf>
    <xf numFmtId="0" fontId="95" fillId="29" borderId="0" xfId="0" applyFont="1" applyFill="1" applyBorder="1" applyAlignment="1">
      <alignment horizontal="center" vertical="center" wrapText="1"/>
    </xf>
    <xf numFmtId="0" fontId="94" fillId="0" borderId="0" xfId="0" applyFont="1" applyFill="1" applyBorder="1" applyAlignment="1">
      <alignment horizontal="left" vertical="center" wrapText="1"/>
    </xf>
    <xf numFmtId="0" fontId="107" fillId="0" borderId="0" xfId="0" applyFont="1" applyFill="1" applyBorder="1" applyAlignment="1">
      <alignment horizontal="center" vertical="center"/>
    </xf>
    <xf numFmtId="0" fontId="15" fillId="6" borderId="0" xfId="0" applyFont="1" applyFill="1" applyAlignment="1">
      <alignment horizontal="center"/>
    </xf>
    <xf numFmtId="0" fontId="0" fillId="26" borderId="0" xfId="0" applyFill="1" applyAlignment="1">
      <alignment horizontal="center"/>
    </xf>
    <xf numFmtId="0" fontId="0" fillId="8" borderId="0" xfId="0" applyFill="1" applyAlignment="1">
      <alignment horizontal="center"/>
    </xf>
    <xf numFmtId="10" fontId="27" fillId="4" borderId="0" xfId="1" applyNumberFormat="1" applyFont="1" applyFill="1" applyBorder="1" applyAlignment="1">
      <alignment horizontal="center" vertical="center" wrapText="1"/>
    </xf>
    <xf numFmtId="174" fontId="48" fillId="14" borderId="0" xfId="0" applyNumberFormat="1" applyFont="1" applyFill="1" applyBorder="1" applyAlignment="1">
      <alignment horizontal="center" vertical="center"/>
    </xf>
    <xf numFmtId="0" fontId="27" fillId="4" borderId="0" xfId="0" applyFont="1" applyFill="1" applyBorder="1" applyAlignment="1">
      <alignment horizontal="center" vertical="center" wrapText="1"/>
    </xf>
    <xf numFmtId="0" fontId="124" fillId="3" borderId="0" xfId="0" applyFont="1" applyFill="1" applyBorder="1" applyAlignment="1">
      <alignment horizontal="center" vertical="center" wrapText="1"/>
    </xf>
    <xf numFmtId="0" fontId="126" fillId="0" borderId="0" xfId="0" applyFont="1" applyBorder="1" applyAlignment="1">
      <alignment horizontal="center" vertical="center" wrapText="1"/>
    </xf>
    <xf numFmtId="0" fontId="27" fillId="39" borderId="0" xfId="0" applyFont="1" applyFill="1" applyBorder="1" applyAlignment="1">
      <alignment horizontal="center" vertical="center" textRotation="90" wrapText="1"/>
    </xf>
    <xf numFmtId="174" fontId="27" fillId="4" borderId="0" xfId="0" applyNumberFormat="1" applyFont="1" applyFill="1" applyBorder="1" applyAlignment="1">
      <alignment horizontal="center" vertical="center"/>
    </xf>
    <xf numFmtId="14" fontId="108" fillId="4" borderId="0" xfId="0" applyNumberFormat="1" applyFont="1" applyFill="1" applyBorder="1" applyAlignment="1">
      <alignment horizontal="center" vertical="center"/>
    </xf>
    <xf numFmtId="0" fontId="83" fillId="32" borderId="0" xfId="0" applyFont="1" applyFill="1" applyBorder="1" applyAlignment="1">
      <alignment horizontal="left" vertical="center" wrapText="1" indent="1"/>
    </xf>
    <xf numFmtId="0" fontId="111" fillId="0" borderId="0" xfId="0" applyFont="1" applyFill="1" applyBorder="1" applyAlignment="1">
      <alignment horizontal="left" vertical="center" wrapText="1"/>
    </xf>
    <xf numFmtId="0" fontId="49" fillId="21" borderId="0" xfId="0" applyFont="1" applyFill="1" applyBorder="1" applyAlignment="1">
      <alignment horizontal="left" vertical="center" indent="1"/>
    </xf>
    <xf numFmtId="174" fontId="104" fillId="31" borderId="0" xfId="0" applyNumberFormat="1" applyFont="1" applyFill="1" applyBorder="1" applyAlignment="1">
      <alignment horizontal="center" vertical="center"/>
    </xf>
    <xf numFmtId="0" fontId="49" fillId="14" borderId="0" xfId="0" applyFont="1" applyFill="1" applyBorder="1" applyAlignment="1">
      <alignment horizontal="center" vertical="center" wrapText="1"/>
    </xf>
    <xf numFmtId="175" fontId="104" fillId="31" borderId="0" xfId="0" applyNumberFormat="1" applyFont="1" applyFill="1" applyBorder="1" applyAlignment="1">
      <alignment horizontal="center" vertical="center"/>
    </xf>
    <xf numFmtId="0" fontId="113" fillId="26" borderId="0" xfId="0" applyFont="1" applyFill="1" applyBorder="1" applyAlignment="1">
      <alignment horizontal="center" vertical="center" textRotation="90" wrapText="1"/>
    </xf>
    <xf numFmtId="10" fontId="100" fillId="36" borderId="0" xfId="0" applyNumberFormat="1" applyFont="1" applyFill="1" applyBorder="1" applyAlignment="1">
      <alignment horizontal="center" vertical="center"/>
    </xf>
    <xf numFmtId="0" fontId="49" fillId="14" borderId="74" xfId="0" applyFont="1" applyFill="1" applyBorder="1" applyAlignment="1">
      <alignment horizontal="center" vertical="center" wrapText="1"/>
    </xf>
    <xf numFmtId="0" fontId="114" fillId="0" borderId="0" xfId="0" applyFont="1" applyFill="1" applyBorder="1" applyAlignment="1">
      <alignment horizontal="right" vertical="center" wrapText="1"/>
    </xf>
    <xf numFmtId="0" fontId="27" fillId="39" borderId="0" xfId="0" applyFont="1" applyFill="1" applyBorder="1" applyAlignment="1">
      <alignment horizontal="center" vertical="center" textRotation="90"/>
    </xf>
    <xf numFmtId="0" fontId="83" fillId="32" borderId="0" xfId="0" applyFont="1" applyFill="1" applyBorder="1" applyAlignment="1">
      <alignment horizontal="left" vertical="center" wrapText="1"/>
    </xf>
    <xf numFmtId="0" fontId="83" fillId="14" borderId="0" xfId="0" applyFont="1" applyFill="1" applyBorder="1" applyAlignment="1">
      <alignment horizontal="center" vertical="center" wrapText="1"/>
    </xf>
    <xf numFmtId="0" fontId="112" fillId="0" borderId="0" xfId="0" applyFont="1" applyFill="1" applyBorder="1" applyAlignment="1">
      <alignment horizontal="left" vertical="center" wrapText="1" indent="1"/>
    </xf>
    <xf numFmtId="174" fontId="104" fillId="0" borderId="0" xfId="0" applyNumberFormat="1" applyFont="1" applyFill="1" applyBorder="1" applyAlignment="1">
      <alignment horizontal="center" vertical="center"/>
    </xf>
    <xf numFmtId="0" fontId="27" fillId="0" borderId="0" xfId="0" applyFont="1" applyFill="1" applyBorder="1" applyAlignment="1">
      <alignment horizontal="center" vertical="center"/>
    </xf>
    <xf numFmtId="4" fontId="49" fillId="0" borderId="0" xfId="0" applyNumberFormat="1" applyFont="1" applyFill="1" applyBorder="1" applyAlignment="1">
      <alignment horizontal="center" vertical="center" wrapText="1"/>
    </xf>
    <xf numFmtId="0" fontId="49" fillId="0" borderId="0" xfId="0" applyFont="1" applyFill="1" applyBorder="1" applyAlignment="1">
      <alignment horizontal="left" vertical="center" indent="1"/>
    </xf>
    <xf numFmtId="0" fontId="49" fillId="0" borderId="0" xfId="0" applyFont="1" applyFill="1" applyBorder="1" applyAlignment="1">
      <alignment horizontal="left" vertical="center" wrapText="1" indent="1"/>
    </xf>
    <xf numFmtId="0" fontId="0" fillId="0" borderId="5" xfId="0" applyBorder="1" applyAlignment="1">
      <alignment horizontal="center"/>
    </xf>
    <xf numFmtId="0" fontId="0" fillId="0" borderId="39" xfId="0" applyBorder="1" applyAlignment="1">
      <alignment horizontal="center"/>
    </xf>
    <xf numFmtId="0" fontId="0" fillId="0" borderId="6" xfId="0" applyBorder="1" applyAlignment="1">
      <alignment horizontal="center"/>
    </xf>
    <xf numFmtId="0" fontId="0" fillId="0" borderId="0" xfId="0" applyFill="1" applyBorder="1" applyAlignment="1">
      <alignment horizontal="center"/>
    </xf>
    <xf numFmtId="174" fontId="104" fillId="14" borderId="0" xfId="0" applyNumberFormat="1" applyFont="1" applyFill="1" applyBorder="1" applyAlignment="1">
      <alignment horizontal="left" vertical="center" wrapText="1"/>
    </xf>
    <xf numFmtId="4" fontId="49" fillId="31" borderId="0" xfId="0" applyNumberFormat="1" applyFont="1" applyFill="1" applyBorder="1" applyAlignment="1">
      <alignment horizontal="center" vertical="center" wrapText="1"/>
    </xf>
    <xf numFmtId="0" fontId="27" fillId="4" borderId="0" xfId="0" applyFont="1" applyFill="1" applyBorder="1" applyAlignment="1">
      <alignment horizontal="center" vertical="center"/>
    </xf>
    <xf numFmtId="174" fontId="104" fillId="21" borderId="0" xfId="0" applyNumberFormat="1" applyFont="1" applyFill="1" applyBorder="1" applyAlignment="1">
      <alignment horizontal="left" vertical="center" wrapText="1"/>
    </xf>
    <xf numFmtId="177" fontId="104" fillId="21" borderId="0" xfId="0" applyNumberFormat="1" applyFont="1" applyFill="1" applyBorder="1" applyAlignment="1">
      <alignment horizontal="left" vertical="center" wrapText="1"/>
    </xf>
    <xf numFmtId="0" fontId="8" fillId="14" borderId="0" xfId="0" applyFont="1" applyFill="1" applyBorder="1" applyAlignment="1">
      <alignment horizontal="center" vertical="center" textRotation="90" wrapText="1"/>
    </xf>
    <xf numFmtId="0" fontId="96" fillId="0" borderId="0" xfId="0" applyFont="1" applyFill="1" applyBorder="1" applyAlignment="1">
      <alignment horizontal="left" vertical="center" wrapText="1"/>
    </xf>
    <xf numFmtId="0" fontId="100" fillId="47" borderId="0" xfId="0" applyFont="1" applyFill="1" applyBorder="1" applyAlignment="1">
      <alignment horizontal="center" vertical="center"/>
    </xf>
    <xf numFmtId="174" fontId="49" fillId="31" borderId="0" xfId="0" applyNumberFormat="1" applyFont="1" applyFill="1" applyBorder="1" applyAlignment="1">
      <alignment horizontal="center" vertical="center"/>
    </xf>
    <xf numFmtId="10" fontId="100" fillId="35" borderId="0" xfId="0" applyNumberFormat="1" applyFont="1" applyFill="1" applyBorder="1" applyAlignment="1">
      <alignment horizontal="center" vertical="center"/>
    </xf>
    <xf numFmtId="0" fontId="93" fillId="2" borderId="0" xfId="0" applyFont="1" applyFill="1" applyBorder="1" applyAlignment="1">
      <alignment horizontal="left" vertical="center" wrapText="1"/>
    </xf>
    <xf numFmtId="0" fontId="100" fillId="29" borderId="0" xfId="0" applyFont="1" applyFill="1" applyBorder="1" applyAlignment="1">
      <alignment horizontal="center" vertical="center" wrapText="1"/>
    </xf>
    <xf numFmtId="0" fontId="105" fillId="0" borderId="0" xfId="0" applyFont="1" applyBorder="1" applyAlignment="1">
      <alignment horizontal="left" vertical="center" wrapText="1"/>
    </xf>
    <xf numFmtId="0" fontId="100" fillId="29" borderId="0" xfId="0" applyFont="1" applyFill="1" applyBorder="1" applyAlignment="1">
      <alignment horizontal="center" vertical="center"/>
    </xf>
    <xf numFmtId="0" fontId="92" fillId="29" borderId="5" xfId="0" applyFont="1" applyFill="1" applyBorder="1" applyAlignment="1">
      <alignment horizontal="center" vertical="center"/>
    </xf>
    <xf numFmtId="0" fontId="92" fillId="29" borderId="39" xfId="0" applyFont="1" applyFill="1" applyBorder="1" applyAlignment="1">
      <alignment horizontal="center" vertical="center"/>
    </xf>
    <xf numFmtId="0" fontId="92" fillId="29" borderId="6" xfId="0" applyFont="1" applyFill="1" applyBorder="1" applyAlignment="1">
      <alignment horizontal="center" vertical="center"/>
    </xf>
    <xf numFmtId="174" fontId="6" fillId="3" borderId="0" xfId="0" applyNumberFormat="1" applyFont="1" applyFill="1" applyAlignment="1">
      <alignment horizontal="center" wrapText="1"/>
    </xf>
    <xf numFmtId="174" fontId="6" fillId="3" borderId="95" xfId="0" applyNumberFormat="1" applyFont="1" applyFill="1" applyBorder="1" applyAlignment="1">
      <alignment horizontal="center" wrapText="1"/>
    </xf>
    <xf numFmtId="0" fontId="174" fillId="14" borderId="96" xfId="0" applyFont="1" applyFill="1" applyBorder="1" applyAlignment="1">
      <alignment horizontal="center" vertical="center"/>
    </xf>
    <xf numFmtId="0" fontId="174" fillId="14" borderId="97" xfId="0" applyFont="1" applyFill="1" applyBorder="1" applyAlignment="1">
      <alignment horizontal="center" vertical="center"/>
    </xf>
    <xf numFmtId="0" fontId="87" fillId="52" borderId="0" xfId="0" applyFont="1" applyFill="1" applyAlignment="1">
      <alignment horizontal="center" vertical="center"/>
    </xf>
    <xf numFmtId="10" fontId="6" fillId="3" borderId="0" xfId="0" applyNumberFormat="1" applyFont="1" applyFill="1" applyAlignment="1">
      <alignment horizontal="center"/>
    </xf>
    <xf numFmtId="10" fontId="6" fillId="3" borderId="83" xfId="0" applyNumberFormat="1" applyFont="1" applyFill="1" applyBorder="1" applyAlignment="1">
      <alignment horizontal="center"/>
    </xf>
    <xf numFmtId="0" fontId="8" fillId="17" borderId="58" xfId="0" applyFont="1" applyFill="1" applyBorder="1" applyAlignment="1">
      <alignment horizontal="left" vertical="center" indent="1"/>
    </xf>
    <xf numFmtId="0" fontId="8" fillId="17" borderId="0" xfId="0" applyFont="1" applyFill="1" applyAlignment="1">
      <alignment horizontal="left" vertical="center" indent="1"/>
    </xf>
    <xf numFmtId="174" fontId="6" fillId="3" borderId="57" xfId="0" applyNumberFormat="1" applyFont="1" applyFill="1" applyBorder="1" applyAlignment="1">
      <alignment horizontal="center" wrapText="1"/>
    </xf>
    <xf numFmtId="0" fontId="97" fillId="51" borderId="64" xfId="0" applyFont="1" applyFill="1" applyBorder="1" applyAlignment="1">
      <alignment horizontal="center" vertical="center"/>
    </xf>
    <xf numFmtId="0" fontId="97" fillId="51" borderId="63" xfId="0" applyFont="1" applyFill="1" applyBorder="1" applyAlignment="1">
      <alignment horizontal="center" vertical="center"/>
    </xf>
    <xf numFmtId="0" fontId="87" fillId="34" borderId="0" xfId="0" applyFont="1" applyFill="1" applyBorder="1" applyAlignment="1">
      <alignment horizontal="center" vertical="center"/>
    </xf>
    <xf numFmtId="4" fontId="6" fillId="3" borderId="0" xfId="0" applyNumberFormat="1" applyFont="1" applyFill="1" applyAlignment="1">
      <alignment horizontal="center" vertical="center" wrapText="1"/>
    </xf>
    <xf numFmtId="4" fontId="6" fillId="3" borderId="65" xfId="0" applyNumberFormat="1" applyFont="1" applyFill="1" applyBorder="1" applyAlignment="1">
      <alignment horizontal="center" vertical="center" wrapText="1"/>
    </xf>
    <xf numFmtId="10" fontId="6" fillId="3" borderId="0" xfId="0" applyNumberFormat="1" applyFont="1" applyFill="1" applyAlignment="1">
      <alignment horizontal="center" vertical="center" wrapText="1"/>
    </xf>
    <xf numFmtId="10" fontId="6" fillId="3" borderId="65" xfId="0" applyNumberFormat="1" applyFont="1" applyFill="1" applyBorder="1" applyAlignment="1">
      <alignment horizontal="center" vertical="center" wrapText="1"/>
    </xf>
    <xf numFmtId="0" fontId="8" fillId="17" borderId="66" xfId="0" applyFont="1" applyFill="1" applyBorder="1" applyAlignment="1">
      <alignment horizontal="left" vertical="center" indent="1"/>
    </xf>
    <xf numFmtId="10" fontId="6" fillId="3" borderId="85" xfId="0" applyNumberFormat="1" applyFont="1" applyFill="1" applyBorder="1" applyAlignment="1">
      <alignment horizontal="center"/>
    </xf>
    <xf numFmtId="10" fontId="6" fillId="3" borderId="86" xfId="0" applyNumberFormat="1" applyFont="1" applyFill="1" applyBorder="1" applyAlignment="1">
      <alignment horizontal="center"/>
    </xf>
    <xf numFmtId="0" fontId="8" fillId="17" borderId="94" xfId="0" applyFont="1" applyFill="1" applyBorder="1" applyAlignment="1">
      <alignment horizontal="left" vertical="center" indent="1"/>
    </xf>
    <xf numFmtId="10" fontId="6" fillId="3" borderId="80" xfId="0" applyNumberFormat="1" applyFont="1" applyFill="1" applyBorder="1" applyAlignment="1">
      <alignment horizontal="center"/>
    </xf>
    <xf numFmtId="10" fontId="6" fillId="3" borderId="81" xfId="0" applyNumberFormat="1" applyFont="1" applyFill="1" applyBorder="1" applyAlignment="1">
      <alignment horizontal="center"/>
    </xf>
    <xf numFmtId="0" fontId="92" fillId="36" borderId="0" xfId="0" applyFont="1" applyFill="1" applyBorder="1" applyAlignment="1">
      <alignment horizontal="center" vertical="center" wrapText="1"/>
    </xf>
    <xf numFmtId="0" fontId="123" fillId="51" borderId="56" xfId="0" applyFont="1" applyFill="1" applyBorder="1" applyAlignment="1">
      <alignment horizontal="center" vertical="center"/>
    </xf>
    <xf numFmtId="0" fontId="123" fillId="51" borderId="55" xfId="0" applyFont="1" applyFill="1" applyBorder="1" applyAlignment="1">
      <alignment horizontal="center" vertical="center"/>
    </xf>
    <xf numFmtId="0" fontId="87" fillId="36" borderId="0" xfId="0" applyFont="1" applyFill="1" applyBorder="1" applyAlignment="1">
      <alignment horizontal="center" vertical="center"/>
    </xf>
    <xf numFmtId="0" fontId="92" fillId="29" borderId="0" xfId="0" applyFont="1" applyFill="1" applyBorder="1" applyAlignment="1">
      <alignment horizontal="center" vertical="center"/>
    </xf>
    <xf numFmtId="0" fontId="8" fillId="17" borderId="61" xfId="0" applyFont="1" applyFill="1" applyBorder="1" applyAlignment="1">
      <alignment horizontal="left" vertical="center" indent="1"/>
    </xf>
    <xf numFmtId="0" fontId="8" fillId="17" borderId="60" xfId="0" applyFont="1" applyFill="1" applyBorder="1" applyAlignment="1">
      <alignment horizontal="left" vertical="center" indent="1"/>
    </xf>
    <xf numFmtId="174" fontId="6" fillId="3" borderId="60" xfId="0" applyNumberFormat="1" applyFont="1" applyFill="1" applyBorder="1" applyAlignment="1">
      <alignment horizontal="center" wrapText="1"/>
    </xf>
    <xf numFmtId="174" fontId="6" fillId="3" borderId="59" xfId="0" applyNumberFormat="1" applyFont="1" applyFill="1" applyBorder="1" applyAlignment="1">
      <alignment horizontal="center" wrapText="1"/>
    </xf>
    <xf numFmtId="0" fontId="92" fillId="52" borderId="0" xfId="0" applyFont="1" applyFill="1" applyBorder="1" applyAlignment="1">
      <alignment horizontal="center" vertical="center" wrapText="1"/>
    </xf>
    <xf numFmtId="0" fontId="8" fillId="17" borderId="91" xfId="0" applyFont="1" applyFill="1" applyBorder="1" applyAlignment="1">
      <alignment horizontal="left" vertical="center" indent="1"/>
    </xf>
    <xf numFmtId="0" fontId="8" fillId="17" borderId="92" xfId="0" applyFont="1" applyFill="1" applyBorder="1" applyAlignment="1">
      <alignment horizontal="left" vertical="center" indent="1"/>
    </xf>
    <xf numFmtId="174" fontId="6" fillId="3" borderId="92" xfId="0" applyNumberFormat="1" applyFont="1" applyFill="1" applyBorder="1" applyAlignment="1">
      <alignment horizontal="center"/>
    </xf>
    <xf numFmtId="174" fontId="6" fillId="3" borderId="93" xfId="0" applyNumberFormat="1" applyFont="1" applyFill="1" applyBorder="1" applyAlignment="1">
      <alignment horizontal="center"/>
    </xf>
    <xf numFmtId="14" fontId="6" fillId="3" borderId="68" xfId="0" applyNumberFormat="1" applyFont="1" applyFill="1" applyBorder="1" applyAlignment="1">
      <alignment horizontal="center" vertical="center"/>
    </xf>
    <xf numFmtId="14" fontId="6" fillId="3" borderId="67" xfId="0" applyNumberFormat="1" applyFont="1" applyFill="1" applyBorder="1" applyAlignment="1">
      <alignment horizontal="center" vertical="center"/>
    </xf>
    <xf numFmtId="14" fontId="6" fillId="3" borderId="0" xfId="0" applyNumberFormat="1" applyFont="1" applyFill="1" applyAlignment="1">
      <alignment horizontal="center" vertical="center" wrapText="1"/>
    </xf>
    <xf numFmtId="14" fontId="6" fillId="3" borderId="65" xfId="0" applyNumberFormat="1" applyFont="1" applyFill="1" applyBorder="1" applyAlignment="1">
      <alignment horizontal="center" vertical="center" wrapText="1"/>
    </xf>
    <xf numFmtId="0" fontId="8" fillId="17" borderId="69" xfId="0" applyFont="1" applyFill="1" applyBorder="1" applyAlignment="1">
      <alignment horizontal="left" vertical="center" indent="1"/>
    </xf>
    <xf numFmtId="0" fontId="8" fillId="17" borderId="68" xfId="0" applyFont="1" applyFill="1" applyBorder="1" applyAlignment="1">
      <alignment horizontal="left" vertical="center" indent="1"/>
    </xf>
    <xf numFmtId="0" fontId="92" fillId="34" borderId="0" xfId="0" applyFont="1" applyFill="1" applyBorder="1" applyAlignment="1">
      <alignment horizontal="center" vertical="center" wrapText="1"/>
    </xf>
  </cellXfs>
  <cellStyles count="23">
    <cellStyle name="Comma" xfId="5" builtinId="3"/>
    <cellStyle name="Comma 2" xfId="20" xr:uid="{E4D5CBDF-5D74-4423-AA80-66D979195B1C}"/>
    <cellStyle name="Comma 3" xfId="14" xr:uid="{82BD957C-2182-427C-B2F7-7254B127F7D0}"/>
    <cellStyle name="Millares 2" xfId="8" xr:uid="{00000000-0005-0000-0000-000001000000}"/>
    <cellStyle name="Millares 3" xfId="4" xr:uid="{00000000-0005-0000-0000-000002000000}"/>
    <cellStyle name="Millares 3 2" xfId="19" xr:uid="{4A50EDF2-2243-4A97-8EF8-235ACC1837A8}"/>
    <cellStyle name="Normal" xfId="0" builtinId="0"/>
    <cellStyle name="Normal 2" xfId="6" xr:uid="{00000000-0005-0000-0000-000004000000}"/>
    <cellStyle name="Normal 2 2" xfId="18" xr:uid="{DC9A412B-D363-42EA-9387-32B834E8E305}"/>
    <cellStyle name="Normal 2 2 2" xfId="21" xr:uid="{776A258B-6702-42B8-9723-AAB85BDBBED9}"/>
    <cellStyle name="Normal 2 3" xfId="7" xr:uid="{00000000-0005-0000-0000-000005000000}"/>
    <cellStyle name="Normal 2 3 2" xfId="10" xr:uid="{00000000-0005-0000-0000-000006000000}"/>
    <cellStyle name="Normal 2 3 2 2" xfId="22" xr:uid="{65457289-4168-48C8-A8E1-085F6D7EA67D}"/>
    <cellStyle name="Normal 2 4" xfId="15" xr:uid="{B4C9B495-59A1-40E1-9B8E-E65DB8978DF2}"/>
    <cellStyle name="Normal 3" xfId="2" xr:uid="{00000000-0005-0000-0000-000007000000}"/>
    <cellStyle name="Normal 3 2" xfId="17" xr:uid="{8F329D1F-5CBD-4079-BB07-BD38AAF00771}"/>
    <cellStyle name="Normal 3 3" xfId="3" xr:uid="{00000000-0005-0000-0000-000008000000}"/>
    <cellStyle name="Normal_Axa Diciembre 2001 sin rever" xfId="11" xr:uid="{DE2AA5DC-244D-4411-BC18-9A9FBA8A9027}"/>
    <cellStyle name="Normal_SSIPC" xfId="12" xr:uid="{E641357F-3594-49CF-A6FA-ECE2A2472664}"/>
    <cellStyle name="Percent" xfId="1" builtinId="5"/>
    <cellStyle name="Percent 2" xfId="16" xr:uid="{BBDF3CD2-B8E5-4CEE-87D7-5ED72775A3AF}"/>
    <cellStyle name="Percent 3" xfId="13" xr:uid="{79E5C64E-4993-48A8-9D17-62BA889A74F2}"/>
    <cellStyle name="Porcentaje 2" xfId="9" xr:uid="{00000000-0005-0000-0000-00000A000000}"/>
  </cellStyles>
  <dxfs count="43">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rgb="FF053091"/>
      </font>
    </dxf>
    <dxf>
      <font>
        <color rgb="FF053091"/>
      </font>
    </dxf>
    <dxf>
      <font>
        <color rgb="FF053091"/>
      </font>
    </dxf>
    <dxf>
      <font>
        <color rgb="FF053091"/>
      </font>
    </dxf>
    <dxf>
      <fill>
        <patternFill>
          <bgColor theme="0"/>
        </patternFill>
      </fill>
      <border>
        <left/>
        <right/>
        <top/>
        <bottom/>
        <vertical/>
        <horizontal/>
      </border>
    </dxf>
    <dxf>
      <fill>
        <patternFill>
          <bgColor theme="0" tint="-4.9989318521683403E-2"/>
        </patternFill>
      </fill>
      <border>
        <left/>
        <right style="thin">
          <color auto="1"/>
        </right>
        <top/>
        <bottom/>
        <vertical/>
        <horizontal/>
      </border>
    </dxf>
    <dxf>
      <font>
        <color rgb="FF053091"/>
      </font>
    </dxf>
    <dxf>
      <fill>
        <patternFill>
          <bgColor theme="0" tint="-4.9989318521683403E-2"/>
        </patternFill>
      </fill>
    </dxf>
    <dxf>
      <font>
        <color rgb="FFFF0000"/>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ont>
        <color rgb="FFFF0000"/>
      </font>
    </dxf>
    <dxf>
      <fill>
        <patternFill>
          <bgColor theme="0" tint="-4.9989318521683403E-2"/>
        </patternFill>
      </fill>
    </dxf>
    <dxf>
      <font>
        <color rgb="FFFF0000"/>
      </font>
    </dxf>
    <dxf>
      <font>
        <color rgb="FF053091"/>
      </font>
    </dxf>
    <dxf>
      <font>
        <color rgb="FF053091"/>
      </font>
    </dxf>
    <dxf>
      <fill>
        <patternFill>
          <bgColor theme="0"/>
        </patternFill>
      </fill>
      <border>
        <left/>
        <right/>
        <top/>
        <bottom/>
        <vertical/>
        <horizontal/>
      </border>
    </dxf>
    <dxf>
      <fill>
        <patternFill>
          <bgColor theme="0" tint="-4.9989318521683403E-2"/>
        </patternFill>
      </fill>
      <border>
        <left/>
        <right style="thin">
          <color auto="1"/>
        </right>
        <top/>
        <bottom/>
        <vertical/>
        <horizontal/>
      </border>
    </dxf>
    <dxf>
      <font>
        <color rgb="FFEEB500"/>
      </font>
    </dxf>
    <dxf>
      <font>
        <color rgb="FF053091"/>
      </font>
    </dxf>
    <dxf>
      <font>
        <color theme="0"/>
      </font>
    </dxf>
    <dxf>
      <font>
        <color rgb="FF053091"/>
      </font>
    </dxf>
    <dxf>
      <font>
        <color rgb="FF053091"/>
      </font>
    </dxf>
    <dxf>
      <font>
        <color rgb="FF053091"/>
      </font>
    </dxf>
    <dxf>
      <font>
        <color rgb="FF053091"/>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38D"/>
      <rgbColor rgb="000091DA"/>
      <rgbColor rgb="006D2077"/>
      <rgbColor rgb="00005EB8"/>
      <rgbColor rgb="0000A3A1"/>
      <rgbColor rgb="00EAAA00"/>
      <rgbColor rgb="0043B02A"/>
      <rgbColor rgb="00C6007E"/>
      <rgbColor rgb="0000338D"/>
      <rgbColor rgb="000091DA"/>
      <rgbColor rgb="006D2077"/>
      <rgbColor rgb="00005EB8"/>
      <rgbColor rgb="0000A3A1"/>
      <rgbColor rgb="00EAAA00"/>
      <rgbColor rgb="0043B02A"/>
      <rgbColor rgb="00C6007E"/>
      <rgbColor rgb="00753F19"/>
      <rgbColor rgb="009B642E"/>
      <rgbColor rgb="009D9375"/>
      <rgbColor rgb="00E3BC9F"/>
      <rgbColor rgb="00E36877"/>
      <rgbColor rgb="00FF99CC"/>
      <rgbColor rgb="00CC99FF"/>
      <rgbColor rgb="00FFCC99"/>
      <rgbColor rgb="003366FF"/>
      <rgbColor rgb="0033CCCC"/>
      <rgbColor rgb="0099CC00"/>
      <rgbColor rgb="00F5B36A"/>
      <rgbColor rgb="00FF9900"/>
      <rgbColor rgb="00FF6600"/>
      <rgbColor rgb="00666699"/>
      <rgbColor rgb="00969696"/>
      <rgbColor rgb="00003366"/>
      <rgbColor rgb="00339966"/>
      <rgbColor rgb="00003300"/>
      <rgbColor rgb="00333300"/>
      <rgbColor rgb="00993300"/>
      <rgbColor rgb="00E6E9EE"/>
      <rgbColor rgb="00333399"/>
      <rgbColor rgb="00333333"/>
    </indexedColors>
    <mruColors>
      <color rgb="FFFF0066"/>
      <color rgb="FFFFCCFF"/>
      <color rgb="FFEEB500"/>
      <color rgb="FF001D9A"/>
      <color rgb="FF053091"/>
      <color rgb="FF00A3A1"/>
      <color rgb="FF00FFFF"/>
      <color rgb="FF0091DA"/>
      <color rgb="FF0000FF"/>
      <color rgb="FF6D20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solidFill>
                  <a:sysClr val="windowText" lastClr="000000"/>
                </a:solidFill>
                <a:effectLst/>
                <a:latin typeface="Arial" panose="020B0604020202020204" pitchFamily="34" charset="0"/>
                <a:cs typeface="Arial" panose="020B0604020202020204" pitchFamily="34" charset="0"/>
              </a:rPr>
              <a:t>Ratio de sustitución de ingresos del Pilar I por la pensión pública de la Seguridad Social</a:t>
            </a:r>
            <a:endParaRPr lang="en-US" sz="12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0.12511770820769941"/>
          <c:y val="1.317661379284111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260894556887307"/>
          <c:y val="0.12069914841430847"/>
          <c:w val="0.68014863568749739"/>
          <c:h val="0.59280915972459969"/>
        </c:manualLayout>
      </c:layout>
      <c:pie3DChart>
        <c:varyColors val="1"/>
        <c:ser>
          <c:idx val="0"/>
          <c:order val="0"/>
          <c:tx>
            <c:strRef>
              <c:f>'Simulador - 1º Pilar'!$D$51:$D$52</c:f>
              <c:strCache>
                <c:ptCount val="2"/>
                <c:pt idx="0">
                  <c:v>Ratio de sustitución</c:v>
                </c:pt>
                <c:pt idx="1">
                  <c:v>Gaap de ingresos</c:v>
                </c:pt>
              </c:strCache>
            </c:strRef>
          </c:tx>
          <c:dPt>
            <c:idx val="0"/>
            <c:bubble3D val="0"/>
            <c:spPr>
              <a:solidFill>
                <a:srgbClr val="6D2077"/>
              </a:solidFill>
              <a:ln w="25400">
                <a:solidFill>
                  <a:srgbClr val="7030A0"/>
                </a:solidFill>
              </a:ln>
              <a:effectLst>
                <a:outerShdw blurRad="50800" dist="50800" dir="5400000" algn="ctr" rotWithShape="0">
                  <a:schemeClr val="tx1"/>
                </a:outerShdw>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FC20-46C5-9F5B-18E5FC1C0627}"/>
              </c:ext>
            </c:extLst>
          </c:dPt>
          <c:dPt>
            <c:idx val="1"/>
            <c:bubble3D val="0"/>
            <c:spPr>
              <a:pattFill prst="pct5">
                <a:fgClr>
                  <a:srgbClr val="FF0000"/>
                </a:fgClr>
                <a:bgClr>
                  <a:schemeClr val="bg1"/>
                </a:bgClr>
              </a:pattFill>
              <a:ln w="25400">
                <a:solidFill>
                  <a:srgbClr val="C00000"/>
                </a:solidFill>
              </a:ln>
              <a:effectLst>
                <a:outerShdw dir="5400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03-FC20-46C5-9F5B-18E5FC1C062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- 1º Pilar'!$D$51:$D$52</c:f>
              <c:strCache>
                <c:ptCount val="2"/>
                <c:pt idx="0">
                  <c:v>Ratio de sustitución</c:v>
                </c:pt>
                <c:pt idx="1">
                  <c:v>Gaap de ingresos</c:v>
                </c:pt>
              </c:strCache>
            </c:strRef>
          </c:cat>
          <c:val>
            <c:numRef>
              <c:f>'Simulador - 1º Pilar'!$G$51:$G$52</c:f>
              <c:numCache>
                <c:formatCode>0.00%</c:formatCode>
                <c:ptCount val="2"/>
                <c:pt idx="0">
                  <c:v>0.13200138862105404</c:v>
                </c:pt>
                <c:pt idx="1">
                  <c:v>0.86799861137894596</c:v>
                </c:pt>
              </c:numCache>
            </c:numRef>
          </c:val>
          <c:extLst>
            <c:ext xmlns:c16="http://schemas.microsoft.com/office/drawing/2014/chart" uri="{C3380CC4-5D6E-409C-BE32-E72D297353CC}">
              <c16:uniqueId val="{00000004-FC20-46C5-9F5B-18E5FC1C0627}"/>
            </c:ext>
          </c:extLst>
        </c:ser>
        <c:dLbls>
          <c:showLegendKey val="0"/>
          <c:showVal val="0"/>
          <c:showCatName val="0"/>
          <c:showSerName val="0"/>
          <c:showPercent val="0"/>
          <c:showBubbleSize val="0"/>
          <c:showLeaderLines val="1"/>
        </c:dLbls>
      </c:pie3DChart>
      <c:spPr>
        <a:solidFill>
          <a:schemeClr val="lt1"/>
        </a:solidFill>
        <a:ln>
          <a:noFill/>
        </a:ln>
        <a:effectLst/>
      </c:spPr>
    </c:plotArea>
    <c:legend>
      <c:legendPos val="r"/>
      <c:layout>
        <c:manualLayout>
          <c:xMode val="edge"/>
          <c:yMode val="edge"/>
          <c:x val="0.25962782554930802"/>
          <c:y val="0.79407741062934822"/>
          <c:w val="0.46703140090066236"/>
          <c:h val="0.15353367061001433"/>
        </c:manualLayout>
      </c:layout>
      <c:overlay val="0"/>
      <c:spPr>
        <a:noFill/>
        <a:ln>
          <a:noFill/>
        </a:ln>
        <a:effectLst/>
      </c:spPr>
      <c:txPr>
        <a:bodyPr rot="0" spcFirstLastPara="1" vertOverflow="ellipsis" vert="horz" wrap="square" anchor="ctr" anchorCtr="1"/>
        <a:lstStyle/>
        <a:p>
          <a:pPr rtl="0">
            <a:defRPr sz="12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327614833644899E-2"/>
          <c:y val="3.0469277753752823E-3"/>
          <c:w val="0.93037466105433053"/>
          <c:h val="0.95730739770321571"/>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476783654325475E-3"/>
          <c:y val="4.8520268009307178E-2"/>
          <c:w val="0.95887115533422895"/>
          <c:h val="0.9514797319906928"/>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476783654325475E-3"/>
          <c:y val="4.8520268009307178E-2"/>
          <c:w val="0.95887115533422895"/>
          <c:h val="0.9514797319906928"/>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cene3d>
              <a:camera prst="orthographicFront"/>
              <a:lightRig rig="threePt" dir="t"/>
            </a:scene3d>
            <a:sp3d prstMaterial="dkEdge">
              <a:bevelT/>
            </a:sp3d>
          </c:spPr>
          <c:dPt>
            <c:idx val="0"/>
            <c:bubble3D val="0"/>
            <c:spPr>
              <a:solidFill>
                <a:srgbClr val="6D2077"/>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1-4494-4FE9-9ACD-52DF4062AE1A}"/>
              </c:ext>
            </c:extLst>
          </c:dPt>
          <c:dPt>
            <c:idx val="1"/>
            <c:bubble3D val="0"/>
            <c:spPr>
              <a:solidFill>
                <a:srgbClr val="6D2077">
                  <a:alpha val="34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3-4494-4FE9-9ACD-52DF4062AE1A}"/>
              </c:ext>
            </c:extLst>
          </c:dPt>
          <c:val>
            <c:numRef>
              <c:f>'Simulador - 1º Pilar'!$G$51:$G$52</c:f>
              <c:numCache>
                <c:formatCode>0.00%</c:formatCode>
                <c:ptCount val="2"/>
                <c:pt idx="0">
                  <c:v>0.13200138862105404</c:v>
                </c:pt>
                <c:pt idx="1">
                  <c:v>0.86799861137894596</c:v>
                </c:pt>
              </c:numCache>
            </c:numRef>
          </c:val>
          <c:extLst>
            <c:ext xmlns:c16="http://schemas.microsoft.com/office/drawing/2014/chart" uri="{C3380CC4-5D6E-409C-BE32-E72D297353CC}">
              <c16:uniqueId val="{00000004-4494-4FE9-9ACD-52DF4062AE1A}"/>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a:solidFill>
                  <a:sysClr val="windowText" lastClr="000000"/>
                </a:solidFill>
                <a:latin typeface="Arial" panose="020B0604020202020204" pitchFamily="34" charset="0"/>
                <a:cs typeface="Arial" panose="020B0604020202020204" pitchFamily="34" charset="0"/>
              </a:rPr>
              <a:t>Ratio de sustitución alcanzado en el Pilar II por cada vehículo</a:t>
            </a:r>
          </a:p>
        </c:rich>
      </c:tx>
      <c:layout>
        <c:manualLayout>
          <c:xMode val="edge"/>
          <c:yMode val="edge"/>
          <c:x val="0.11968887000789502"/>
          <c:y val="9.9510657034803242E-4"/>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3920454545454548E-2"/>
          <c:y val="3.3458080808080805E-2"/>
          <c:w val="0.86499494949494959"/>
          <c:h val="0.76498791904139463"/>
        </c:manualLayout>
      </c:layout>
      <c:pie3DChart>
        <c:varyColors val="1"/>
        <c:ser>
          <c:idx val="0"/>
          <c:order val="0"/>
          <c:explosion val="7"/>
          <c:dPt>
            <c:idx val="0"/>
            <c:bubble3D val="0"/>
            <c:explosion val="0"/>
            <c:spPr>
              <a:solidFill>
                <a:schemeClr val="accent5">
                  <a:lumMod val="40000"/>
                  <a:lumOff val="60000"/>
                </a:schemeClr>
              </a:solidFill>
              <a:ln w="25400">
                <a:solidFill>
                  <a:schemeClr val="accent5">
                    <a:lumMod val="40000"/>
                    <a:lumOff val="60000"/>
                  </a:schemeClr>
                </a:solidFill>
              </a:ln>
              <a:effectLst/>
              <a:sp3d contourW="25400">
                <a:contourClr>
                  <a:schemeClr val="accent5">
                    <a:lumMod val="40000"/>
                    <a:lumOff val="60000"/>
                  </a:schemeClr>
                </a:contourClr>
              </a:sp3d>
            </c:spPr>
            <c:extLst>
              <c:ext xmlns:c16="http://schemas.microsoft.com/office/drawing/2014/chart" uri="{C3380CC4-5D6E-409C-BE32-E72D297353CC}">
                <c16:uniqueId val="{00000001-5944-4059-9311-4AB534849C6D}"/>
              </c:ext>
            </c:extLst>
          </c:dPt>
          <c:dPt>
            <c:idx val="1"/>
            <c:bubble3D val="0"/>
            <c:explosion val="0"/>
            <c:spPr>
              <a:solidFill>
                <a:schemeClr val="accent1"/>
              </a:solidFill>
              <a:ln w="25400">
                <a:solidFill>
                  <a:schemeClr val="accent5">
                    <a:lumMod val="60000"/>
                    <a:lumOff val="40000"/>
                  </a:schemeClr>
                </a:solidFill>
              </a:ln>
              <a:effectLst/>
              <a:sp3d contourW="25400">
                <a:contourClr>
                  <a:schemeClr val="accent5">
                    <a:lumMod val="60000"/>
                    <a:lumOff val="40000"/>
                  </a:schemeClr>
                </a:contourClr>
              </a:sp3d>
            </c:spPr>
            <c:extLst>
              <c:ext xmlns:c16="http://schemas.microsoft.com/office/drawing/2014/chart" uri="{C3380CC4-5D6E-409C-BE32-E72D297353CC}">
                <c16:uniqueId val="{00000003-5944-4059-9311-4AB534849C6D}"/>
              </c:ext>
            </c:extLst>
          </c:dPt>
          <c:dPt>
            <c:idx val="2"/>
            <c:bubble3D val="0"/>
            <c:spPr>
              <a:solidFill>
                <a:schemeClr val="accent1">
                  <a:lumMod val="75000"/>
                </a:schemeClr>
              </a:solidFill>
              <a:ln w="25400">
                <a:solidFill>
                  <a:schemeClr val="accent5">
                    <a:lumMod val="75000"/>
                  </a:schemeClr>
                </a:solidFill>
              </a:ln>
              <a:effectLst/>
              <a:sp3d contourW="25400">
                <a:contourClr>
                  <a:schemeClr val="accent5">
                    <a:lumMod val="75000"/>
                  </a:schemeClr>
                </a:contourClr>
              </a:sp3d>
            </c:spPr>
            <c:extLst>
              <c:ext xmlns:c16="http://schemas.microsoft.com/office/drawing/2014/chart" uri="{C3380CC4-5D6E-409C-BE32-E72D297353CC}">
                <c16:uniqueId val="{00000005-5944-4059-9311-4AB534849C6D}"/>
              </c:ext>
            </c:extLst>
          </c:dPt>
          <c:dPt>
            <c:idx val="3"/>
            <c:bubble3D val="0"/>
            <c:explosion val="0"/>
            <c:spPr>
              <a:solidFill>
                <a:schemeClr val="accent5"/>
              </a:solidFill>
              <a:ln w="25400">
                <a:solidFill>
                  <a:schemeClr val="accent5">
                    <a:lumMod val="60000"/>
                    <a:lumOff val="40000"/>
                  </a:schemeClr>
                </a:solidFill>
              </a:ln>
              <a:effectLst>
                <a:outerShdw blurRad="50800" dist="50800" dir="5400000" algn="ctr" rotWithShape="0">
                  <a:schemeClr val="tx1"/>
                </a:outerShdw>
              </a:effectLst>
              <a:scene3d>
                <a:camera prst="orthographicFront"/>
                <a:lightRig rig="threePt" dir="t"/>
              </a:scene3d>
              <a:sp3d contourW="25400" prstMaterial="metal">
                <a:bevelT/>
                <a:bevelB/>
                <a:contourClr>
                  <a:schemeClr val="accent5">
                    <a:lumMod val="60000"/>
                    <a:lumOff val="40000"/>
                  </a:schemeClr>
                </a:contourClr>
              </a:sp3d>
            </c:spPr>
            <c:extLst>
              <c:ext xmlns:c16="http://schemas.microsoft.com/office/drawing/2014/chart" uri="{C3380CC4-5D6E-409C-BE32-E72D297353CC}">
                <c16:uniqueId val="{00000007-5944-4059-9311-4AB534849C6D}"/>
              </c:ext>
            </c:extLst>
          </c:dPt>
          <c:dPt>
            <c:idx val="4"/>
            <c:bubble3D val="0"/>
            <c:spPr>
              <a:pattFill prst="pct5">
                <a:fgClr>
                  <a:srgbClr val="FF0000"/>
                </a:fgClr>
                <a:bgClr>
                  <a:schemeClr val="bg1"/>
                </a:bgClr>
              </a:pattFill>
              <a:ln w="25400">
                <a:solidFill>
                  <a:srgbClr val="C00000"/>
                </a:solidFill>
              </a:ln>
              <a:effectLst>
                <a:outerShdw dist="50800" dir="5400000" sx="101000" sy="101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09-5944-4059-9311-4AB534849C6D}"/>
              </c:ext>
            </c:extLst>
          </c:dPt>
          <c:dLbls>
            <c:dLbl>
              <c:idx val="0"/>
              <c:layout>
                <c:manualLayout>
                  <c:x val="-0.10931476343238217"/>
                  <c:y val="-4.8932248443706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44-4059-9311-4AB534849C6D}"/>
                </c:ext>
              </c:extLst>
            </c:dLbl>
            <c:dLbl>
              <c:idx val="1"/>
              <c:layout>
                <c:manualLayout>
                  <c:x val="6.6579113676443147E-2"/>
                  <c:y val="-7.111545370374321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4-4059-9311-4AB534849C6D}"/>
                </c:ext>
              </c:extLst>
            </c:dLbl>
            <c:dLbl>
              <c:idx val="2"/>
              <c:layout>
                <c:manualLayout>
                  <c:x val="5.6564608449144432E-2"/>
                  <c:y val="-2.424318708372623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extLst>
                <c:ext xmlns:c15="http://schemas.microsoft.com/office/drawing/2012/chart" uri="{CE6537A1-D6FC-4f65-9D91-7224C49458BB}">
                  <c15:layout>
                    <c:manualLayout>
                      <c:w val="0.22011062492852715"/>
                      <c:h val="9.6845386161257152E-2"/>
                    </c:manualLayout>
                  </c15:layout>
                </c:ext>
                <c:ext xmlns:c16="http://schemas.microsoft.com/office/drawing/2014/chart" uri="{C3380CC4-5D6E-409C-BE32-E72D297353CC}">
                  <c16:uniqueId val="{00000005-5944-4059-9311-4AB534849C6D}"/>
                </c:ext>
              </c:extLst>
            </c:dLbl>
            <c:dLbl>
              <c:idx val="3"/>
              <c:layout>
                <c:manualLayout>
                  <c:x val="0.10252077979138945"/>
                  <c:y val="5.17224827303719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944-4059-9311-4AB534849C6D}"/>
                </c:ext>
              </c:extLst>
            </c:dLbl>
            <c:dLbl>
              <c:idx val="4"/>
              <c:layout>
                <c:manualLayout>
                  <c:x val="8.4909357717632236E-2"/>
                  <c:y val="-0.22209925706701553"/>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850875246561289"/>
                      <c:h val="0.10024953483163243"/>
                    </c:manualLayout>
                  </c15:layout>
                </c:ext>
                <c:ext xmlns:c16="http://schemas.microsoft.com/office/drawing/2014/chart" uri="{C3380CC4-5D6E-409C-BE32-E72D297353CC}">
                  <c16:uniqueId val="{00000009-5944-4059-9311-4AB534849C6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Pilar'!$E$108:$E$112</c:f>
              <c:strCache>
                <c:ptCount val="5"/>
                <c:pt idx="0">
                  <c:v>Plan de Pensiones de Empleo (PPE)</c:v>
                </c:pt>
                <c:pt idx="1">
                  <c:v>Póliza de excesos</c:v>
                </c:pt>
                <c:pt idx="2">
                  <c:v>Póliza ahorro</c:v>
                </c:pt>
                <c:pt idx="3">
                  <c:v>Póliza flex</c:v>
                </c:pt>
                <c:pt idx="4">
                  <c:v>Disminución de ingresos respecto del último salario (GAP)</c:v>
                </c:pt>
              </c:strCache>
            </c:strRef>
          </c:cat>
          <c:val>
            <c:numRef>
              <c:f>'Simulador - 2º Pilar'!$F$108:$F$112</c:f>
              <c:numCache>
                <c:formatCode>0.00%</c:formatCode>
                <c:ptCount val="5"/>
                <c:pt idx="0">
                  <c:v>3.3392565865424481E-2</c:v>
                </c:pt>
                <c:pt idx="1">
                  <c:v>1.2313493138510068E-2</c:v>
                </c:pt>
                <c:pt idx="2">
                  <c:v>0</c:v>
                </c:pt>
                <c:pt idx="3">
                  <c:v>6.3169907228003926E-4</c:v>
                </c:pt>
                <c:pt idx="4">
                  <c:v>0.95366224192378546</c:v>
                </c:pt>
              </c:numCache>
            </c:numRef>
          </c:val>
          <c:extLst>
            <c:ext xmlns:c16="http://schemas.microsoft.com/office/drawing/2014/chart" uri="{C3380CC4-5D6E-409C-BE32-E72D297353CC}">
              <c16:uniqueId val="{0000000A-5944-4059-9311-4AB534849C6D}"/>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6.6326767676767678E-2"/>
          <c:y val="0.65931057343834454"/>
          <c:w val="0.88562100698196278"/>
          <c:h val="0.3304922765215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58442203040204"/>
          <c:y val="4.537702689787726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effectLst/>
              </a:rPr>
              <a:t>Ratio de sustitución alcanzado en el Pilar II por cada vehículo</a:t>
            </a:r>
            <a:endParaRPr lang="es-ES" sz="1200">
              <a:effectLst/>
            </a:endParaRPr>
          </a:p>
        </c:rich>
      </c:tx>
      <c:layout>
        <c:manualLayout>
          <c:xMode val="edge"/>
          <c:yMode val="edge"/>
          <c:x val="0.1103452782791832"/>
          <c:y val="7.5132587312828349E-4"/>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132828282828277E-2"/>
          <c:y val="7.017904040404041E-2"/>
          <c:w val="0.84995555555555569"/>
          <c:h val="0.75167171717171721"/>
        </c:manualLayout>
      </c:layout>
      <c:pie3DChart>
        <c:varyColors val="1"/>
        <c:ser>
          <c:idx val="0"/>
          <c:order val="0"/>
          <c:explosion val="7"/>
          <c:dPt>
            <c:idx val="0"/>
            <c:bubble3D val="0"/>
            <c:spPr>
              <a:solidFill>
                <a:schemeClr val="accent5">
                  <a:lumMod val="40000"/>
                  <a:lumOff val="60000"/>
                </a:schemeClr>
              </a:solidFill>
              <a:ln w="25400">
                <a:solidFill>
                  <a:schemeClr val="accent5">
                    <a:lumMod val="40000"/>
                    <a:lumOff val="60000"/>
                  </a:schemeClr>
                </a:solidFill>
              </a:ln>
              <a:effectLst/>
              <a:sp3d contourW="25400">
                <a:contourClr>
                  <a:schemeClr val="accent5">
                    <a:lumMod val="40000"/>
                    <a:lumOff val="60000"/>
                  </a:schemeClr>
                </a:contourClr>
              </a:sp3d>
            </c:spPr>
            <c:extLst>
              <c:ext xmlns:c16="http://schemas.microsoft.com/office/drawing/2014/chart" uri="{C3380CC4-5D6E-409C-BE32-E72D297353CC}">
                <c16:uniqueId val="{00000001-B9C2-45FF-8AF6-6B4052530819}"/>
              </c:ext>
            </c:extLst>
          </c:dPt>
          <c:dPt>
            <c:idx val="1"/>
            <c:bubble3D val="0"/>
            <c:spPr>
              <a:solidFill>
                <a:schemeClr val="accent1"/>
              </a:solidFill>
              <a:ln w="25400">
                <a:solidFill>
                  <a:schemeClr val="accent5">
                    <a:lumMod val="60000"/>
                    <a:lumOff val="40000"/>
                  </a:schemeClr>
                </a:solidFill>
              </a:ln>
              <a:effectLst/>
              <a:sp3d contourW="25400">
                <a:contourClr>
                  <a:schemeClr val="accent5">
                    <a:lumMod val="60000"/>
                    <a:lumOff val="40000"/>
                  </a:schemeClr>
                </a:contourClr>
              </a:sp3d>
            </c:spPr>
            <c:extLst>
              <c:ext xmlns:c16="http://schemas.microsoft.com/office/drawing/2014/chart" uri="{C3380CC4-5D6E-409C-BE32-E72D297353CC}">
                <c16:uniqueId val="{00000003-B9C2-45FF-8AF6-6B4052530819}"/>
              </c:ext>
            </c:extLst>
          </c:dPt>
          <c:dPt>
            <c:idx val="2"/>
            <c:bubble3D val="0"/>
            <c:spPr>
              <a:pattFill prst="pct5">
                <a:fgClr>
                  <a:srgbClr val="C0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5-B9C2-45FF-8AF6-6B4052530819}"/>
              </c:ext>
            </c:extLst>
          </c:dPt>
          <c:dLbls>
            <c:dLbl>
              <c:idx val="0"/>
              <c:layout>
                <c:manualLayout>
                  <c:x val="-0.17860811950367425"/>
                  <c:y val="6.791366920909254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9C2-45FF-8AF6-6B4052530819}"/>
                </c:ext>
              </c:extLst>
            </c:dLbl>
            <c:dLbl>
              <c:idx val="1"/>
              <c:layout>
                <c:manualLayout>
                  <c:x val="7.5136007709914465E-2"/>
                  <c:y val="9.3775988972900747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C2-45FF-8AF6-6B4052530819}"/>
                </c:ext>
              </c:extLst>
            </c:dLbl>
            <c:dLbl>
              <c:idx val="2"/>
              <c:layout>
                <c:manualLayout>
                  <c:x val="0.13157450909528973"/>
                  <c:y val="-0.22893457374824064"/>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6597357335402722"/>
                      <c:h val="0.13477670274804773"/>
                    </c:manualLayout>
                  </c15:layout>
                </c:ext>
                <c:ext xmlns:c16="http://schemas.microsoft.com/office/drawing/2014/chart" uri="{C3380CC4-5D6E-409C-BE32-E72D297353CC}">
                  <c16:uniqueId val="{00000005-B9C2-45FF-8AF6-6B405253081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Pilar'!$E$96:$E$98</c:f>
              <c:strCache>
                <c:ptCount val="3"/>
                <c:pt idx="0">
                  <c:v>Plan de Pensiones de Empleo (PPE)</c:v>
                </c:pt>
                <c:pt idx="1">
                  <c:v>P. excesos</c:v>
                </c:pt>
                <c:pt idx="2">
                  <c:v>Disminución de ingresos respecto del último salario (GAP)</c:v>
                </c:pt>
              </c:strCache>
            </c:strRef>
          </c:cat>
          <c:val>
            <c:numRef>
              <c:f>'Simulador - 2º Pilar'!$F$96:$F$98</c:f>
              <c:numCache>
                <c:formatCode>0.00%</c:formatCode>
                <c:ptCount val="3"/>
                <c:pt idx="0">
                  <c:v>3.3392565865424481E-2</c:v>
                </c:pt>
                <c:pt idx="1">
                  <c:v>1.2313493138510068E-2</c:v>
                </c:pt>
                <c:pt idx="2">
                  <c:v>0.95429394099606546</c:v>
                </c:pt>
              </c:numCache>
            </c:numRef>
          </c:val>
          <c:extLst>
            <c:ext xmlns:c16="http://schemas.microsoft.com/office/drawing/2014/chart" uri="{C3380CC4-5D6E-409C-BE32-E72D297353CC}">
              <c16:uniqueId val="{00000006-B9C2-45FF-8AF6-6B4052530819}"/>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3.5602777777777775E-2"/>
          <c:y val="0.7257977272727274"/>
          <c:w val="0.91599569080066745"/>
          <c:h val="0.2723822768420571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effectLst/>
              </a:rPr>
              <a:t>Ratio de sustitución alcanzado en el Pilar II por cada vehículo</a:t>
            </a:r>
            <a:endParaRPr lang="es-ES" sz="1200" baseline="0">
              <a:effectLst/>
            </a:endParaRPr>
          </a:p>
        </c:rich>
      </c:tx>
      <c:layout>
        <c:manualLayout>
          <c:xMode val="edge"/>
          <c:yMode val="edge"/>
          <c:x val="0.15451790383975042"/>
          <c:y val="1.302304347837601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354621212121212"/>
          <c:y val="0.14491767676767678"/>
          <c:w val="0.81181352418428387"/>
          <c:h val="0.71634372724868678"/>
        </c:manualLayout>
      </c:layout>
      <c:pie3DChart>
        <c:varyColors val="1"/>
        <c:ser>
          <c:idx val="0"/>
          <c:order val="0"/>
          <c:explosion val="2"/>
          <c:dPt>
            <c:idx val="0"/>
            <c:bubble3D val="0"/>
            <c:spPr>
              <a:solidFill>
                <a:schemeClr val="accent5"/>
              </a:solidFill>
              <a:ln w="25400">
                <a:solidFill>
                  <a:schemeClr val="accent5">
                    <a:lumMod val="75000"/>
                  </a:schemeClr>
                </a:solidFill>
              </a:ln>
              <a:effectLst/>
              <a:sp3d contourW="25400">
                <a:contourClr>
                  <a:schemeClr val="accent5">
                    <a:lumMod val="75000"/>
                  </a:schemeClr>
                </a:contourClr>
              </a:sp3d>
            </c:spPr>
            <c:extLst>
              <c:ext xmlns:c16="http://schemas.microsoft.com/office/drawing/2014/chart" uri="{C3380CC4-5D6E-409C-BE32-E72D297353CC}">
                <c16:uniqueId val="{00000001-913E-461B-8441-05B5D41CBCA6}"/>
              </c:ext>
            </c:extLst>
          </c:dPt>
          <c:dPt>
            <c:idx val="1"/>
            <c:bubble3D val="0"/>
            <c:spPr>
              <a:solidFill>
                <a:srgbClr val="002060"/>
              </a:solidFill>
              <a:ln w="25400">
                <a:solidFill>
                  <a:srgbClr val="002060"/>
                </a:solidFill>
              </a:ln>
              <a:effectLst/>
              <a:sp3d contourW="25400">
                <a:contourClr>
                  <a:srgbClr val="002060"/>
                </a:contourClr>
              </a:sp3d>
            </c:spPr>
            <c:extLst>
              <c:ext xmlns:c16="http://schemas.microsoft.com/office/drawing/2014/chart" uri="{C3380CC4-5D6E-409C-BE32-E72D297353CC}">
                <c16:uniqueId val="{00000003-913E-461B-8441-05B5D41CBCA6}"/>
              </c:ext>
            </c:extLst>
          </c:dPt>
          <c:dPt>
            <c:idx val="2"/>
            <c:bubble3D val="0"/>
            <c:spPr>
              <a:pattFill prst="pct5">
                <a:fgClr>
                  <a:srgbClr val="C0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5-913E-461B-8441-05B5D41CBCA6}"/>
              </c:ext>
            </c:extLst>
          </c:dPt>
          <c:dLbls>
            <c:dLbl>
              <c:idx val="0"/>
              <c:layout>
                <c:manualLayout>
                  <c:x val="-0.11726555399736378"/>
                  <c:y val="-4.458575105258864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3E-461B-8441-05B5D41CBCA6}"/>
                </c:ext>
              </c:extLst>
            </c:dLbl>
            <c:dLbl>
              <c:idx val="1"/>
              <c:layout>
                <c:manualLayout>
                  <c:x val="8.3396751069835642E-2"/>
                  <c:y val="-2.905466043972616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3E-461B-8441-05B5D41CBCA6}"/>
                </c:ext>
              </c:extLst>
            </c:dLbl>
            <c:dLbl>
              <c:idx val="2"/>
              <c:layout>
                <c:manualLayout>
                  <c:x val="9.6773941148500964E-2"/>
                  <c:y val="-0.32011303429844323"/>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569878913522864"/>
                      <c:h val="0.17938636797938173"/>
                    </c:manualLayout>
                  </c15:layout>
                </c:ext>
                <c:ext xmlns:c16="http://schemas.microsoft.com/office/drawing/2014/chart" uri="{C3380CC4-5D6E-409C-BE32-E72D297353CC}">
                  <c16:uniqueId val="{00000005-913E-461B-8441-05B5D41CBC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Pilar'!$E$125:$E$127</c:f>
              <c:strCache>
                <c:ptCount val="3"/>
                <c:pt idx="0">
                  <c:v>Póliza ahorro</c:v>
                </c:pt>
                <c:pt idx="1">
                  <c:v>Póliza flex</c:v>
                </c:pt>
                <c:pt idx="2">
                  <c:v>Disminución de ingresos respecto del último salario (GAP)</c:v>
                </c:pt>
              </c:strCache>
            </c:strRef>
          </c:cat>
          <c:val>
            <c:numRef>
              <c:f>'Simulador - 2º Pilar'!$F$125:$F$127</c:f>
              <c:numCache>
                <c:formatCode>0.00%</c:formatCode>
                <c:ptCount val="3"/>
                <c:pt idx="0">
                  <c:v>0</c:v>
                </c:pt>
                <c:pt idx="1">
                  <c:v>6.3169907228003926E-4</c:v>
                </c:pt>
                <c:pt idx="2">
                  <c:v>0.99936830092772</c:v>
                </c:pt>
              </c:numCache>
            </c:numRef>
          </c:val>
          <c:extLst>
            <c:ext xmlns:c16="http://schemas.microsoft.com/office/drawing/2014/chart" uri="{C3380CC4-5D6E-409C-BE32-E72D297353CC}">
              <c16:uniqueId val="{00000006-913E-461B-8441-05B5D41CBCA6}"/>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5.7481508252017831E-2"/>
          <c:y val="0.73250139268752501"/>
          <c:w val="0.86848957956872663"/>
          <c:h val="0.250615457729966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olidFill>
              <a:srgbClr val="053091"/>
            </a:solidFill>
            <a:scene3d>
              <a:camera prst="orthographicFront"/>
              <a:lightRig rig="threePt" dir="t"/>
            </a:scene3d>
            <a:sp3d prstMaterial="dkEdge">
              <a:bevelT/>
            </a:sp3d>
          </c:spPr>
          <c:dPt>
            <c:idx val="0"/>
            <c:bubble3D val="0"/>
            <c:spPr>
              <a:solidFill>
                <a:srgbClr val="053091"/>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6-A6A4-4F75-94CD-E500E53FBCC0}"/>
              </c:ext>
            </c:extLst>
          </c:dPt>
          <c:dPt>
            <c:idx val="1"/>
            <c:bubble3D val="0"/>
            <c:spPr>
              <a:solidFill>
                <a:srgbClr val="053091">
                  <a:alpha val="37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8-A6A4-4F75-94CD-E500E53FBCC0}"/>
              </c:ext>
            </c:extLst>
          </c:dPt>
          <c:val>
            <c:numRef>
              <c:f>'Simulador - 2º Pilar'!$F$74:$F$75</c:f>
              <c:numCache>
                <c:formatCode>0.00%</c:formatCode>
                <c:ptCount val="2"/>
                <c:pt idx="0">
                  <c:v>0.17833914669726864</c:v>
                </c:pt>
                <c:pt idx="1">
                  <c:v>0.82166085330273142</c:v>
                </c:pt>
              </c:numCache>
            </c:numRef>
          </c:val>
          <c:extLst>
            <c:ext xmlns:c16="http://schemas.microsoft.com/office/drawing/2014/chart" uri="{C3380CC4-5D6E-409C-BE32-E72D297353CC}">
              <c16:uniqueId val="{00000009-A6A4-4F75-94CD-E500E53FBCC0}"/>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olidFill>
              <a:schemeClr val="accent1"/>
            </a:solidFill>
            <a:scene3d>
              <a:camera prst="orthographicFront"/>
              <a:lightRig rig="threePt" dir="t"/>
            </a:scene3d>
            <a:sp3d prstMaterial="dkEdge">
              <a:bevelT/>
            </a:sp3d>
          </c:spPr>
          <c:dPt>
            <c:idx val="0"/>
            <c:bubble3D val="0"/>
            <c:spPr>
              <a:solidFill>
                <a:srgbClr val="0091DA"/>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7-C2A4-4A4B-8346-4AD42E111283}"/>
              </c:ext>
            </c:extLst>
          </c:dPt>
          <c:dPt>
            <c:idx val="1"/>
            <c:bubble3D val="0"/>
            <c:spPr>
              <a:solidFill>
                <a:srgbClr val="0091DA">
                  <a:alpha val="37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9-C2A4-4A4B-8346-4AD42E111283}"/>
              </c:ext>
            </c:extLst>
          </c:dPt>
          <c:val>
            <c:numRef>
              <c:f>'Simulador - 2º Pilar'!$F$71:$F$72</c:f>
              <c:numCache>
                <c:formatCode>0.00%</c:formatCode>
                <c:ptCount val="2"/>
                <c:pt idx="0">
                  <c:v>4.633775807621459E-2</c:v>
                </c:pt>
                <c:pt idx="1">
                  <c:v>0.95366224192378546</c:v>
                </c:pt>
              </c:numCache>
            </c:numRef>
          </c:val>
          <c:extLst>
            <c:ext xmlns:c16="http://schemas.microsoft.com/office/drawing/2014/chart" uri="{C3380CC4-5D6E-409C-BE32-E72D297353CC}">
              <c16:uniqueId val="{0000000A-C2A4-4A4B-8346-4AD42E111283}"/>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a:solidFill>
                  <a:sysClr val="windowText" lastClr="000000"/>
                </a:solidFill>
                <a:latin typeface="Arial" panose="020B0604020202020204" pitchFamily="34" charset="0"/>
                <a:cs typeface="Arial" panose="020B0604020202020204" pitchFamily="34" charset="0"/>
              </a:rPr>
              <a:t>Ratio de sustitución alcanzado en el Pilar II por cada vehículo</a:t>
            </a:r>
          </a:p>
        </c:rich>
      </c:tx>
      <c:layout>
        <c:manualLayout>
          <c:xMode val="edge"/>
          <c:yMode val="edge"/>
          <c:x val="0.11968887000789502"/>
          <c:y val="9.9510657034803242E-4"/>
        </c:manualLayout>
      </c:layout>
      <c:overlay val="0"/>
      <c:spPr>
        <a:noFill/>
        <a:ln>
          <a:noFill/>
        </a:ln>
        <a:effectLst/>
      </c:sp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329533572071657E-2"/>
          <c:y val="3.3458101001924805E-2"/>
          <c:w val="0.86499494949494959"/>
          <c:h val="0.76498791904139463"/>
        </c:manualLayout>
      </c:layout>
      <c:pie3DChart>
        <c:varyColors val="1"/>
        <c:ser>
          <c:idx val="0"/>
          <c:order val="0"/>
          <c:explosion val="7"/>
          <c:dPt>
            <c:idx val="0"/>
            <c:bubble3D val="0"/>
            <c:explosion val="0"/>
            <c:spPr>
              <a:solidFill>
                <a:schemeClr val="accent5">
                  <a:lumMod val="40000"/>
                  <a:lumOff val="60000"/>
                </a:schemeClr>
              </a:solidFill>
              <a:ln w="25400">
                <a:solidFill>
                  <a:schemeClr val="accent5">
                    <a:lumMod val="40000"/>
                    <a:lumOff val="60000"/>
                  </a:schemeClr>
                </a:solidFill>
              </a:ln>
              <a:effectLst/>
              <a:sp3d contourW="25400">
                <a:contourClr>
                  <a:schemeClr val="lt1"/>
                </a:contourClr>
              </a:sp3d>
            </c:spPr>
            <c:extLst>
              <c:ext xmlns:c16="http://schemas.microsoft.com/office/drawing/2014/chart" uri="{C3380CC4-5D6E-409C-BE32-E72D297353CC}">
                <c16:uniqueId val="{0000000D-A39D-4608-8984-9D3EEBFC30A5}"/>
              </c:ext>
            </c:extLst>
          </c:dPt>
          <c:dPt>
            <c:idx val="1"/>
            <c:bubble3D val="0"/>
            <c:explosion val="0"/>
            <c:spPr>
              <a:solidFill>
                <a:schemeClr val="accent1"/>
              </a:solidFill>
              <a:ln w="25400">
                <a:solidFill>
                  <a:schemeClr val="accent5">
                    <a:lumMod val="60000"/>
                    <a:lumOff val="40000"/>
                  </a:schemeClr>
                </a:solidFill>
              </a:ln>
              <a:effectLst/>
              <a:sp3d contourW="25400">
                <a:contourClr>
                  <a:schemeClr val="lt1"/>
                </a:contourClr>
              </a:sp3d>
            </c:spPr>
            <c:extLst>
              <c:ext xmlns:c16="http://schemas.microsoft.com/office/drawing/2014/chart" uri="{C3380CC4-5D6E-409C-BE32-E72D297353CC}">
                <c16:uniqueId val="{0000000F-A39D-4608-8984-9D3EEBFC30A5}"/>
              </c:ext>
            </c:extLst>
          </c:dPt>
          <c:dPt>
            <c:idx val="2"/>
            <c:bubble3D val="0"/>
            <c:spPr>
              <a:solidFill>
                <a:schemeClr val="accent1">
                  <a:lumMod val="75000"/>
                </a:schemeClr>
              </a:solidFill>
              <a:ln w="25400">
                <a:solidFill>
                  <a:schemeClr val="accent5">
                    <a:lumMod val="75000"/>
                  </a:schemeClr>
                </a:solidFill>
              </a:ln>
              <a:effectLst/>
              <a:sp3d contourW="25400">
                <a:contourClr>
                  <a:schemeClr val="bg1"/>
                </a:contourClr>
              </a:sp3d>
            </c:spPr>
            <c:extLst>
              <c:ext xmlns:c16="http://schemas.microsoft.com/office/drawing/2014/chart" uri="{C3380CC4-5D6E-409C-BE32-E72D297353CC}">
                <c16:uniqueId val="{00000011-A39D-4608-8984-9D3EEBFC30A5}"/>
              </c:ext>
            </c:extLst>
          </c:dPt>
          <c:dPt>
            <c:idx val="3"/>
            <c:bubble3D val="0"/>
            <c:explosion val="0"/>
            <c:spPr>
              <a:pattFill prst="pct5">
                <a:fgClr>
                  <a:srgbClr val="FF0000"/>
                </a:fgClr>
                <a:bgClr>
                  <a:schemeClr val="bg1"/>
                </a:bgClr>
              </a:pattFill>
              <a:ln>
                <a:solidFill>
                  <a:srgbClr val="FF0000"/>
                </a:solidFill>
              </a:ln>
              <a:effectLst>
                <a:outerShdw dist="50800" dir="5400000" algn="ctr" rotWithShape="0">
                  <a:schemeClr val="tx1"/>
                </a:outerShdw>
              </a:effectLst>
              <a:scene3d>
                <a:camera prst="orthographicFront"/>
                <a:lightRig rig="threePt" dir="t"/>
              </a:scene3d>
              <a:sp3d contourW="25400" prstMaterial="metal">
                <a:bevelT/>
                <a:bevelB/>
                <a:contourClr>
                  <a:schemeClr val="lt1"/>
                </a:contourClr>
              </a:sp3d>
            </c:spPr>
            <c:extLst>
              <c:ext xmlns:c16="http://schemas.microsoft.com/office/drawing/2014/chart" uri="{C3380CC4-5D6E-409C-BE32-E72D297353CC}">
                <c16:uniqueId val="{00000013-A39D-4608-8984-9D3EEBFC30A5}"/>
              </c:ext>
            </c:extLst>
          </c:dPt>
          <c:dPt>
            <c:idx val="4"/>
            <c:bubble3D val="0"/>
            <c:spPr>
              <a:pattFill prst="pct5">
                <a:fgClr>
                  <a:srgbClr val="FF0000"/>
                </a:fgClr>
                <a:bgClr>
                  <a:schemeClr val="bg1"/>
                </a:bgClr>
              </a:pattFill>
              <a:ln w="25400">
                <a:solidFill>
                  <a:srgbClr val="C00000"/>
                </a:solidFill>
              </a:ln>
              <a:effectLst>
                <a:outerShdw blurRad="50800" dist="50800" dir="5400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15-A39D-4608-8984-9D3EEBFC30A5}"/>
              </c:ext>
            </c:extLst>
          </c:dPt>
          <c:dLbls>
            <c:dLbl>
              <c:idx val="0"/>
              <c:layout>
                <c:manualLayout>
                  <c:x val="-8.3862478319781955E-2"/>
                  <c:y val="-2.122454832042459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39D-4608-8984-9D3EEBFC30A5}"/>
                </c:ext>
              </c:extLst>
            </c:dLbl>
            <c:dLbl>
              <c:idx val="1"/>
              <c:layout>
                <c:manualLayout>
                  <c:x val="0.10345942127661213"/>
                  <c:y val="-3.247760221026703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39D-4608-8984-9D3EEBFC30A5}"/>
                </c:ext>
              </c:extLst>
            </c:dLbl>
            <c:dLbl>
              <c:idx val="2"/>
              <c:layout>
                <c:manualLayout>
                  <c:x val="0.17192870398280413"/>
                  <c:y val="3.431845238559087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39D-4608-8984-9D3EEBFC30A5}"/>
                </c:ext>
              </c:extLst>
            </c:dLbl>
            <c:dLbl>
              <c:idx val="3"/>
              <c:layout>
                <c:manualLayout>
                  <c:x val="6.7706322004566694E-2"/>
                  <c:y val="-0.1794548384992394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39D-4608-8984-9D3EEBFC30A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Pilar'!$E$139:$E$142</c:f>
              <c:strCache>
                <c:ptCount val="4"/>
                <c:pt idx="0">
                  <c:v>Plan de Pensiones de Empleo (PPE)</c:v>
                </c:pt>
                <c:pt idx="1">
                  <c:v>Póliza de excesos</c:v>
                </c:pt>
                <c:pt idx="2">
                  <c:v>Póliza flex</c:v>
                </c:pt>
                <c:pt idx="3">
                  <c:v>Disminución de ingresos respecto del último salario (GAP)</c:v>
                </c:pt>
              </c:strCache>
            </c:strRef>
          </c:cat>
          <c:val>
            <c:numRef>
              <c:f>'Simulador - 2º Pilar'!$F$139:$F$142</c:f>
              <c:numCache>
                <c:formatCode>0.00%</c:formatCode>
                <c:ptCount val="4"/>
                <c:pt idx="0">
                  <c:v>3.3392565865424481E-2</c:v>
                </c:pt>
                <c:pt idx="1">
                  <c:v>1.2313493138510068E-2</c:v>
                </c:pt>
                <c:pt idx="2">
                  <c:v>6.3169907228003926E-4</c:v>
                </c:pt>
                <c:pt idx="3">
                  <c:v>0.95366224192378546</c:v>
                </c:pt>
              </c:numCache>
            </c:numRef>
          </c:val>
          <c:extLst>
            <c:ext xmlns:c16="http://schemas.microsoft.com/office/drawing/2014/chart" uri="{C3380CC4-5D6E-409C-BE32-E72D297353CC}">
              <c16:uniqueId val="{00000016-A39D-4608-8984-9D3EEBFC30A5}"/>
            </c:ext>
          </c:extLst>
        </c:ser>
        <c:dLbls>
          <c:showLegendKey val="0"/>
          <c:showVal val="0"/>
          <c:showCatName val="0"/>
          <c:showSerName val="0"/>
          <c:showPercent val="0"/>
          <c:showBubbleSize val="0"/>
          <c:showLeaderLines val="1"/>
        </c:dLbls>
      </c:pie3DChart>
    </c:plotArea>
    <c:legend>
      <c:legendPos val="b"/>
      <c:layout>
        <c:manualLayout>
          <c:xMode val="edge"/>
          <c:yMode val="edge"/>
          <c:x val="6.6326767676767678E-2"/>
          <c:y val="0.65931057343834454"/>
          <c:w val="0.85506808114357169"/>
          <c:h val="0.3304922765215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Ratio de sustitución alcanzado en el Pilar II</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055555555555556"/>
          <c:y val="0.16113381031419871"/>
          <c:w val="0.72777777777777775"/>
          <c:h val="0.58217305509140904"/>
        </c:manualLayout>
      </c:layout>
      <c:pie3DChart>
        <c:varyColors val="1"/>
        <c:ser>
          <c:idx val="0"/>
          <c:order val="0"/>
          <c:dPt>
            <c:idx val="0"/>
            <c:bubble3D val="0"/>
            <c:spPr>
              <a:solidFill>
                <a:schemeClr val="accent5"/>
              </a:solidFill>
              <a:ln w="25400">
                <a:solidFill>
                  <a:schemeClr val="accent5"/>
                </a:solidFill>
              </a:ln>
              <a:effectLst/>
              <a:sp3d contourW="25400">
                <a:contourClr>
                  <a:schemeClr val="accent5"/>
                </a:contourClr>
              </a:sp3d>
            </c:spPr>
            <c:extLst>
              <c:ext xmlns:c16="http://schemas.microsoft.com/office/drawing/2014/chart" uri="{C3380CC4-5D6E-409C-BE32-E72D297353CC}">
                <c16:uniqueId val="{00000002-FE99-4ED9-A367-B80DC8E24F8A}"/>
              </c:ext>
            </c:extLst>
          </c:dPt>
          <c:dPt>
            <c:idx val="1"/>
            <c:bubble3D val="0"/>
            <c:spPr>
              <a:pattFill prst="pct5">
                <a:fgClr>
                  <a:srgbClr val="FF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3-FE99-4ED9-A367-B80DC8E24F8A}"/>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Pilar'!$E$160:$E$161</c:f>
              <c:strCache>
                <c:ptCount val="2"/>
                <c:pt idx="0">
                  <c:v>Póliza flex</c:v>
                </c:pt>
                <c:pt idx="1">
                  <c:v>Disminución de ingresos respecto del último salario (GAP)</c:v>
                </c:pt>
              </c:strCache>
            </c:strRef>
          </c:cat>
          <c:val>
            <c:numRef>
              <c:f>'Simulador - 2º Pilar'!$F$160:$F$161</c:f>
              <c:numCache>
                <c:formatCode>0.00%</c:formatCode>
                <c:ptCount val="2"/>
                <c:pt idx="0">
                  <c:v>6.3169907228003926E-4</c:v>
                </c:pt>
                <c:pt idx="1">
                  <c:v>0.99936830092772</c:v>
                </c:pt>
              </c:numCache>
            </c:numRef>
          </c:val>
          <c:extLst>
            <c:ext xmlns:c16="http://schemas.microsoft.com/office/drawing/2014/chart" uri="{C3380CC4-5D6E-409C-BE32-E72D297353CC}">
              <c16:uniqueId val="{00000000-FE99-4ED9-A367-B80DC8E24F8A}"/>
            </c:ext>
          </c:extLst>
        </c:ser>
        <c:dLbls>
          <c:dLblPos val="bestFit"/>
          <c:showLegendKey val="0"/>
          <c:showVal val="1"/>
          <c:showCatName val="0"/>
          <c:showSerName val="0"/>
          <c:showPercent val="0"/>
          <c:showBubbleSize val="0"/>
          <c:showLeaderLines val="1"/>
        </c:dLbls>
      </c:pie3DChart>
      <c:spPr>
        <a:noFill/>
        <a:ln>
          <a:noFill/>
        </a:ln>
        <a:effectLst/>
      </c:spPr>
    </c:plotArea>
    <c:legend>
      <c:legendPos val="b"/>
      <c:layout>
        <c:manualLayout>
          <c:xMode val="edge"/>
          <c:yMode val="edge"/>
          <c:x val="6.643000874890638E-2"/>
          <c:y val="0.79256014605439262"/>
          <c:w val="0.86659918663164925"/>
          <c:h val="0.1262796402871017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Arial" panose="020B06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solidFill>
                  <a:sysClr val="windowText" lastClr="000000"/>
                </a:solidFill>
                <a:effectLst/>
                <a:latin typeface="Arial" panose="020B0604020202020204" pitchFamily="34" charset="0"/>
                <a:cs typeface="Arial" panose="020B0604020202020204" pitchFamily="34" charset="0"/>
              </a:rPr>
              <a:t>Ratio de sustitución en el Pilar III </a:t>
            </a:r>
            <a:endParaRPr lang="en-US" sz="12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0.22686059782087803"/>
          <c:y val="1.8496924859042706E-2"/>
        </c:manualLayout>
      </c:layout>
      <c:overlay val="0"/>
      <c:spPr>
        <a:noFill/>
        <a:ln>
          <a:noFill/>
        </a:ln>
        <a:effectLst/>
      </c:sp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690682971131788"/>
          <c:y val="0.1437686971726867"/>
          <c:w val="0.65497512202951369"/>
          <c:h val="0.57958247201653734"/>
        </c:manualLayout>
      </c:layout>
      <c:pie3DChart>
        <c:varyColors val="1"/>
        <c:ser>
          <c:idx val="0"/>
          <c:order val="0"/>
          <c:explosion val="3"/>
          <c:dPt>
            <c:idx val="0"/>
            <c:bubble3D val="0"/>
            <c:spPr>
              <a:solidFill>
                <a:srgbClr val="00A3A1"/>
              </a:solidFill>
              <a:ln w="25400">
                <a:solidFill>
                  <a:srgbClr val="00A3A1"/>
                </a:solidFill>
              </a:ln>
              <a:effectLst>
                <a:outerShdw blurRad="50800" dist="50800" dir="5400000" algn="ctr" rotWithShape="0">
                  <a:srgbClr val="000000">
                    <a:alpha val="97000"/>
                  </a:srgbClr>
                </a:outerShdw>
              </a:effectLst>
              <a:scene3d>
                <a:camera prst="orthographicFront"/>
                <a:lightRig rig="threePt" dir="t"/>
              </a:scene3d>
              <a:sp3d prstMaterial="metal">
                <a:bevelT/>
                <a:bevelB/>
                <a:contourClr>
                  <a:srgbClr val="000000"/>
                </a:contourClr>
              </a:sp3d>
            </c:spPr>
            <c:extLst>
              <c:ext xmlns:c16="http://schemas.microsoft.com/office/drawing/2014/chart" uri="{C3380CC4-5D6E-409C-BE32-E72D297353CC}">
                <c16:uniqueId val="{00000001-D244-44CA-B7B0-654E098BB369}"/>
              </c:ext>
            </c:extLst>
          </c:dPt>
          <c:dPt>
            <c:idx val="1"/>
            <c:bubble3D val="0"/>
            <c:spPr>
              <a:pattFill prst="pct5">
                <a:fgClr>
                  <a:srgbClr val="FF0000"/>
                </a:fgClr>
                <a:bgClr>
                  <a:schemeClr val="bg1"/>
                </a:bgClr>
              </a:pattFill>
              <a:ln w="25400">
                <a:solidFill>
                  <a:srgbClr val="FF0000"/>
                </a:solidFill>
              </a:ln>
              <a:effectLst>
                <a:outerShdw dir="5400000" algn="ctr" rotWithShape="0">
                  <a:srgbClr val="000000">
                    <a:alpha val="97000"/>
                  </a:srgbClr>
                </a:outerShdw>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3-D244-44CA-B7B0-654E098BB369}"/>
              </c:ext>
            </c:extLst>
          </c:dPt>
          <c:dLbls>
            <c:dLbl>
              <c:idx val="0"/>
              <c:layout>
                <c:manualLayout>
                  <c:x val="2.7393635760989448E-2"/>
                  <c:y val="-2.9385674541506833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D244-44CA-B7B0-654E098BB369}"/>
                </c:ext>
              </c:extLst>
            </c:dLbl>
            <c:dLbl>
              <c:idx val="1"/>
              <c:layout>
                <c:manualLayout>
                  <c:x val="-9.131211920329816E-3"/>
                  <c:y val="4.775172112994860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D244-44CA-B7B0-654E098BB36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- 3º Pilar'!$D$50:$D$51</c:f>
              <c:strCache>
                <c:ptCount val="2"/>
                <c:pt idx="0">
                  <c:v>  Vehículo de ahorro individual </c:v>
                </c:pt>
                <c:pt idx="1">
                  <c:v>  Gaap de ingresos</c:v>
                </c:pt>
              </c:strCache>
            </c:strRef>
          </c:cat>
          <c:val>
            <c:numRef>
              <c:f>'Simulador - 3º Pilar'!$H$50:$H$51</c:f>
              <c:numCache>
                <c:formatCode>0.00%</c:formatCode>
                <c:ptCount val="2"/>
                <c:pt idx="0">
                  <c:v>0</c:v>
                </c:pt>
                <c:pt idx="1">
                  <c:v>1</c:v>
                </c:pt>
              </c:numCache>
            </c:numRef>
          </c:val>
          <c:extLst>
            <c:ext xmlns:c16="http://schemas.microsoft.com/office/drawing/2014/chart" uri="{C3380CC4-5D6E-409C-BE32-E72D297353CC}">
              <c16:uniqueId val="{00000008-D244-44CA-B7B0-654E098BB369}"/>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18407924070497753"/>
          <c:y val="0.7474691732415667"/>
          <c:w val="0.61289557200931244"/>
          <c:h val="0.2377557120382590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15371630635969E-3"/>
          <c:y val="4.2653914036176301E-3"/>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368115864575261E-2"/>
          <c:y val="0.24402929490849684"/>
          <c:w val="0.94009031878791116"/>
          <c:h val="0.80669211175668842"/>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53091"/>
            </a:solidFill>
            <a:scene3d>
              <a:camera prst="orthographicFront"/>
              <a:lightRig rig="threePt" dir="t"/>
            </a:scene3d>
            <a:sp3d prstMaterial="metal">
              <a:bevelT/>
              <a:bevelB/>
            </a:sp3d>
          </c:spPr>
          <c:dPt>
            <c:idx val="0"/>
            <c:bubble3D val="0"/>
            <c:spPr>
              <a:solidFill>
                <a:srgbClr val="05309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D8A6-492D-805B-8B772E88F1D9}"/>
              </c:ext>
            </c:extLst>
          </c:dPt>
          <c:dPt>
            <c:idx val="1"/>
            <c:bubble3D val="0"/>
            <c:spPr>
              <a:solidFill>
                <a:srgbClr val="053091">
                  <a:alpha val="37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D8A6-492D-805B-8B772E88F1D9}"/>
              </c:ext>
            </c:extLst>
          </c:dPt>
          <c:val>
            <c:numRef>
              <c:f>'Simulador - 3º Pilar'!$J$50:$J$51</c:f>
              <c:numCache>
                <c:formatCode>0.00%</c:formatCode>
                <c:ptCount val="2"/>
                <c:pt idx="0">
                  <c:v>0.17833914669726864</c:v>
                </c:pt>
                <c:pt idx="1">
                  <c:v>0.82166085330273142</c:v>
                </c:pt>
              </c:numCache>
            </c:numRef>
          </c:val>
          <c:extLst>
            <c:ext xmlns:c16="http://schemas.microsoft.com/office/drawing/2014/chart" uri="{C3380CC4-5D6E-409C-BE32-E72D297353CC}">
              <c16:uniqueId val="{00000004-D8A6-492D-805B-8B772E88F1D9}"/>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0A3A1"/>
            </a:solidFill>
            <a:scene3d>
              <a:camera prst="orthographicFront"/>
              <a:lightRig rig="threePt" dir="t"/>
            </a:scene3d>
            <a:sp3d prstMaterial="metal">
              <a:bevelT/>
              <a:bevelB/>
            </a:sp3d>
          </c:spPr>
          <c:dPt>
            <c:idx val="0"/>
            <c:bubble3D val="0"/>
            <c:spPr>
              <a:solidFill>
                <a:srgbClr val="00A3A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50E7-435A-8C71-E2A06F4B2047}"/>
              </c:ext>
            </c:extLst>
          </c:dPt>
          <c:dPt>
            <c:idx val="1"/>
            <c:bubble3D val="0"/>
            <c:spPr>
              <a:solidFill>
                <a:srgbClr val="00A3A1">
                  <a:alpha val="43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50E7-435A-8C71-E2A06F4B2047}"/>
              </c:ext>
            </c:extLst>
          </c:dPt>
          <c:cat>
            <c:numRef>
              <c:f>'Simulador - 3º Pilar'!$H$50:$H$51</c:f>
              <c:numCache>
                <c:formatCode>0.00%</c:formatCode>
                <c:ptCount val="2"/>
                <c:pt idx="0">
                  <c:v>0</c:v>
                </c:pt>
                <c:pt idx="1">
                  <c:v>1</c:v>
                </c:pt>
              </c:numCache>
            </c:numRef>
          </c:cat>
          <c:val>
            <c:numRef>
              <c:f>'Simulador - 3º Pilar'!$H$50:$H$51</c:f>
              <c:numCache>
                <c:formatCode>0.00%</c:formatCode>
                <c:ptCount val="2"/>
                <c:pt idx="0">
                  <c:v>0</c:v>
                </c:pt>
                <c:pt idx="1">
                  <c:v>1</c:v>
                </c:pt>
              </c:numCache>
            </c:numRef>
          </c:val>
          <c:extLst>
            <c:ext xmlns:c16="http://schemas.microsoft.com/office/drawing/2014/chart" uri="{C3380CC4-5D6E-409C-BE32-E72D297353CC}">
              <c16:uniqueId val="{00000004-50E7-435A-8C71-E2A06F4B2047}"/>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10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1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7.1356985001328185E-2"/>
          <c:y val="2.154738684934099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58351136550612"/>
          <c:y val="0.15878964474317975"/>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9486-4B8D-8E3E-AC72362459CA}"/>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9486-4B8D-8E3E-AC72362459CA}"/>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9486-4B8D-8E3E-AC72362459CA}"/>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F3A6-4F3A-8564-6B72EF2F3C4C}"/>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9486-4B8D-8E3E-AC72362459CA}"/>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9486-4B8D-8E3E-AC72362459CA}"/>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9486-4B8D-8E3E-AC72362459CA}"/>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F3A6-4F3A-8564-6B72EF2F3C4C}"/>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9486-4B8D-8E3E-AC72362459CA}"/>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53091"/>
            </a:solidFill>
          </c:spPr>
          <c:dPt>
            <c:idx val="0"/>
            <c:bubble3D val="0"/>
            <c:spPr>
              <a:solidFill>
                <a:srgbClr val="05309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30CF-4D46-ACD1-A783B6404373}"/>
              </c:ext>
            </c:extLst>
          </c:dPt>
          <c:dPt>
            <c:idx val="1"/>
            <c:bubble3D val="0"/>
            <c:spPr>
              <a:solidFill>
                <a:srgbClr val="053091">
                  <a:alpha val="48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30CF-4D46-ACD1-A783B6404373}"/>
              </c:ext>
            </c:extLst>
          </c:dPt>
          <c:val>
            <c:numRef>
              <c:f>'Simulador - RESUMEN'!$J$64:$J$65</c:f>
              <c:numCache>
                <c:formatCode>0.00%</c:formatCode>
                <c:ptCount val="2"/>
                <c:pt idx="0">
                  <c:v>0.17833914669726864</c:v>
                </c:pt>
                <c:pt idx="1">
                  <c:v>0.82166085330273142</c:v>
                </c:pt>
              </c:numCache>
            </c:numRef>
          </c:val>
          <c:extLst>
            <c:ext xmlns:c16="http://schemas.microsoft.com/office/drawing/2014/chart" uri="{C3380CC4-5D6E-409C-BE32-E72D297353CC}">
              <c16:uniqueId val="{00000004-30CF-4D46-ACD1-A783B6404373}"/>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10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1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7.1356985001328185E-2"/>
          <c:y val="2.154738684934099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58351136550612"/>
          <c:y val="0.15878964474317975"/>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8DA4-48FA-B9C0-4B53E017C552}"/>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8DA4-48FA-B9C0-4B53E017C552}"/>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8DA4-48FA-B9C0-4B53E017C552}"/>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8DA4-48FA-B9C0-4B53E017C552}"/>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8DA4-48FA-B9C0-4B53E017C552}"/>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8DA4-48FA-B9C0-4B53E017C552}"/>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8DA4-48FA-B9C0-4B53E017C552}"/>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8DA4-48FA-B9C0-4B53E017C552}"/>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8DA4-48FA-B9C0-4B53E017C552}"/>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5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05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9.3949013831667774E-2"/>
          <c:y val="2.1547411697463804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08180882067421"/>
          <c:y val="0.12441279997667962"/>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BFBD-4001-B049-26BFCC83F4CF}"/>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BFBD-4001-B049-26BFCC83F4CF}"/>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BFBD-4001-B049-26BFCC83F4CF}"/>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BFBD-4001-B049-26BFCC83F4CF}"/>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BFBD-4001-B049-26BFCC83F4CF}"/>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BFBD-4001-B049-26BFCC83F4CF}"/>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BFBD-4001-B049-26BFCC83F4CF}"/>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BFBD-4001-B049-26BFCC83F4CF}"/>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BFBD-4001-B049-26BFCC83F4CF}"/>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4">
  <dgm:title val=""/>
  <dgm:desc val=""/>
  <dgm:catLst>
    <dgm:cat type="accent1" pri="11400"/>
  </dgm:catLst>
  <dgm:styleLbl name="node0">
    <dgm:fillClrLst meth="cycle">
      <a:schemeClr val="accent1">
        <a:shade val="60000"/>
      </a:schemeClr>
    </dgm:fillClrLst>
    <dgm:linClrLst meth="repeat">
      <a:schemeClr val="lt1"/>
    </dgm:linClrLst>
    <dgm:effectClrLst/>
    <dgm:txLinClrLst/>
    <dgm:txFillClrLst/>
    <dgm:txEffectClrLst/>
  </dgm:styleLbl>
  <dgm:styleLbl name="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alignNode1">
    <dgm:fillClrLst meth="cycle">
      <a:schemeClr val="accent1">
        <a:shade val="50000"/>
      </a:schemeClr>
      <a:schemeClr val="accent1">
        <a:tint val="55000"/>
      </a:schemeClr>
    </dgm:fillClrLst>
    <dgm:linClrLst meth="cycle">
      <a:schemeClr val="accent1">
        <a:shade val="50000"/>
      </a:schemeClr>
      <a:schemeClr val="accent1">
        <a:tint val="55000"/>
      </a:schemeClr>
    </dgm:linClrLst>
    <dgm:effectClrLst/>
    <dgm:txLinClrLst/>
    <dgm:txFillClrLst/>
    <dgm:txEffectClrLst/>
  </dgm:styleLbl>
  <dgm:styleLbl name="ln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vennNode1">
    <dgm:fillClrLst meth="cycle">
      <a:schemeClr val="accent1">
        <a:shade val="80000"/>
        <a:alpha val="50000"/>
      </a:schemeClr>
      <a:schemeClr val="accent1">
        <a:tint val="50000"/>
        <a:alpha val="50000"/>
      </a:schemeClr>
    </dgm:fillClrLst>
    <dgm:linClrLst meth="repeat">
      <a:schemeClr val="lt1"/>
    </dgm:linClrLst>
    <dgm:effectClrLst/>
    <dgm:txLinClrLst/>
    <dgm:txFillClrLst/>
    <dgm:txEffectClrLst/>
  </dgm:styleLbl>
  <dgm:styleLbl name="node2">
    <dgm:fillClrLst>
      <a:schemeClr val="accent1">
        <a:shade val="80000"/>
      </a:schemeClr>
    </dgm:fillClrLst>
    <dgm:linClrLst meth="repeat">
      <a:schemeClr val="lt1"/>
    </dgm:linClrLst>
    <dgm:effectClrLst/>
    <dgm:txLinClrLst/>
    <dgm:txFillClrLst/>
    <dgm:txEffectClrLst/>
  </dgm:styleLbl>
  <dgm:styleLbl name="node3">
    <dgm:fillClrLst>
      <a:schemeClr val="accent1">
        <a:tint val="99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f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b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sibTrans1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0000"/>
      </a:schemeClr>
    </dgm:fillClrLst>
    <dgm:linClrLst meth="repeat">
      <a:schemeClr val="lt1"/>
    </dgm:linClrLst>
    <dgm:effectClrLst/>
    <dgm:txLinClrLst/>
    <dgm:txFillClrLst/>
    <dgm:txEffectClrLst/>
  </dgm:styleLbl>
  <dgm:styleLbl name="asst3">
    <dgm:fillClrLst>
      <a:schemeClr val="accent1">
        <a:tint val="70000"/>
      </a:schemeClr>
    </dgm:fillClrLst>
    <dgm:linClrLst meth="repeat">
      <a:schemeClr val="lt1"/>
    </dgm:linClrLst>
    <dgm:effectClrLst/>
    <dgm:txLinClrLst/>
    <dgm:txFillClrLst/>
    <dgm:txEffectClrLst/>
  </dgm:styleLbl>
  <dgm:styleLbl name="asst4">
    <dgm:fillClrLst>
      <a:schemeClr val="accent1">
        <a:tint val="5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shade val="80000"/>
      </a:schemeClr>
    </dgm:linClrLst>
    <dgm:effectClrLst/>
    <dgm:txLinClrLst/>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dk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0000"/>
      </a:schemeClr>
    </dgm:fillClrLst>
    <dgm:linClrLst meth="repeat">
      <a:schemeClr val="accent1">
        <a:tint val="90000"/>
      </a:schemeClr>
    </dgm:linClrLst>
    <dgm:effectClrLst/>
    <dgm:txLinClrLst/>
    <dgm:txFillClrLst meth="repeat">
      <a:schemeClr val="tx1"/>
    </dgm:txFillClrLst>
    <dgm:txEffectClrLst/>
  </dgm:styleLbl>
  <dgm:styleLbl name="parChTrans1D3">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parChTrans1D4">
    <dgm:fillClrLst meth="repeat">
      <a:schemeClr val="accent1">
        <a:tint val="50000"/>
      </a:schemeClr>
    </dgm:fillClrLst>
    <dgm:linClrLst meth="repeat">
      <a:schemeClr val="accent1">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align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bgAccFollowNode1">
    <dgm:fillClrLst meth="repeat">
      <a:schemeClr val="accent1">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50000"/>
      </a:schemeClr>
    </dgm:linClrLst>
    <dgm:effectClrLst/>
    <dgm:txLinClrLst/>
    <dgm:txFillClrLst meth="repeat">
      <a:schemeClr val="dk1"/>
    </dgm:txFillClrLst>
    <dgm:txEffectClrLst/>
  </dgm:styleLbl>
  <dgm:styleLbl name="bgShp">
    <dgm:fillClrLst meth="repeat">
      <a:schemeClr val="accent1">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55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4">
  <dgm:title val=""/>
  <dgm:desc val=""/>
  <dgm:catLst>
    <dgm:cat type="accent1" pri="11400"/>
  </dgm:catLst>
  <dgm:styleLbl name="node0">
    <dgm:fillClrLst meth="cycle">
      <a:schemeClr val="accent1">
        <a:shade val="60000"/>
      </a:schemeClr>
    </dgm:fillClrLst>
    <dgm:linClrLst meth="repeat">
      <a:schemeClr val="lt1"/>
    </dgm:linClrLst>
    <dgm:effectClrLst/>
    <dgm:txLinClrLst/>
    <dgm:txFillClrLst/>
    <dgm:txEffectClrLst/>
  </dgm:styleLbl>
  <dgm:styleLbl name="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alignNode1">
    <dgm:fillClrLst meth="cycle">
      <a:schemeClr val="accent1">
        <a:shade val="50000"/>
      </a:schemeClr>
      <a:schemeClr val="accent1">
        <a:tint val="55000"/>
      </a:schemeClr>
    </dgm:fillClrLst>
    <dgm:linClrLst meth="cycle">
      <a:schemeClr val="accent1">
        <a:shade val="50000"/>
      </a:schemeClr>
      <a:schemeClr val="accent1">
        <a:tint val="55000"/>
      </a:schemeClr>
    </dgm:linClrLst>
    <dgm:effectClrLst/>
    <dgm:txLinClrLst/>
    <dgm:txFillClrLst/>
    <dgm:txEffectClrLst/>
  </dgm:styleLbl>
  <dgm:styleLbl name="ln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vennNode1">
    <dgm:fillClrLst meth="cycle">
      <a:schemeClr val="accent1">
        <a:shade val="80000"/>
        <a:alpha val="50000"/>
      </a:schemeClr>
      <a:schemeClr val="accent1">
        <a:tint val="50000"/>
        <a:alpha val="50000"/>
      </a:schemeClr>
    </dgm:fillClrLst>
    <dgm:linClrLst meth="repeat">
      <a:schemeClr val="lt1"/>
    </dgm:linClrLst>
    <dgm:effectClrLst/>
    <dgm:txLinClrLst/>
    <dgm:txFillClrLst/>
    <dgm:txEffectClrLst/>
  </dgm:styleLbl>
  <dgm:styleLbl name="node2">
    <dgm:fillClrLst>
      <a:schemeClr val="accent1">
        <a:shade val="80000"/>
      </a:schemeClr>
    </dgm:fillClrLst>
    <dgm:linClrLst meth="repeat">
      <a:schemeClr val="lt1"/>
    </dgm:linClrLst>
    <dgm:effectClrLst/>
    <dgm:txLinClrLst/>
    <dgm:txFillClrLst/>
    <dgm:txEffectClrLst/>
  </dgm:styleLbl>
  <dgm:styleLbl name="node3">
    <dgm:fillClrLst>
      <a:schemeClr val="accent1">
        <a:tint val="99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f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b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sibTrans1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0000"/>
      </a:schemeClr>
    </dgm:fillClrLst>
    <dgm:linClrLst meth="repeat">
      <a:schemeClr val="lt1"/>
    </dgm:linClrLst>
    <dgm:effectClrLst/>
    <dgm:txLinClrLst/>
    <dgm:txFillClrLst/>
    <dgm:txEffectClrLst/>
  </dgm:styleLbl>
  <dgm:styleLbl name="asst3">
    <dgm:fillClrLst>
      <a:schemeClr val="accent1">
        <a:tint val="70000"/>
      </a:schemeClr>
    </dgm:fillClrLst>
    <dgm:linClrLst meth="repeat">
      <a:schemeClr val="lt1"/>
    </dgm:linClrLst>
    <dgm:effectClrLst/>
    <dgm:txLinClrLst/>
    <dgm:txFillClrLst/>
    <dgm:txEffectClrLst/>
  </dgm:styleLbl>
  <dgm:styleLbl name="asst4">
    <dgm:fillClrLst>
      <a:schemeClr val="accent1">
        <a:tint val="5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shade val="80000"/>
      </a:schemeClr>
    </dgm:linClrLst>
    <dgm:effectClrLst/>
    <dgm:txLinClrLst/>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dk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0000"/>
      </a:schemeClr>
    </dgm:fillClrLst>
    <dgm:linClrLst meth="repeat">
      <a:schemeClr val="accent1">
        <a:tint val="90000"/>
      </a:schemeClr>
    </dgm:linClrLst>
    <dgm:effectClrLst/>
    <dgm:txLinClrLst/>
    <dgm:txFillClrLst meth="repeat">
      <a:schemeClr val="tx1"/>
    </dgm:txFillClrLst>
    <dgm:txEffectClrLst/>
  </dgm:styleLbl>
  <dgm:styleLbl name="parChTrans1D3">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parChTrans1D4">
    <dgm:fillClrLst meth="repeat">
      <a:schemeClr val="accent1">
        <a:tint val="50000"/>
      </a:schemeClr>
    </dgm:fillClrLst>
    <dgm:linClrLst meth="repeat">
      <a:schemeClr val="accent1">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align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bgAccFollowNode1">
    <dgm:fillClrLst meth="repeat">
      <a:schemeClr val="accent1">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50000"/>
      </a:schemeClr>
    </dgm:linClrLst>
    <dgm:effectClrLst/>
    <dgm:txLinClrLst/>
    <dgm:txFillClrLst meth="repeat">
      <a:schemeClr val="dk1"/>
    </dgm:txFillClrLst>
    <dgm:txEffectClrLst/>
  </dgm:styleLbl>
  <dgm:styleLbl name="bgShp">
    <dgm:fillClrLst meth="repeat">
      <a:schemeClr val="accent1">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55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63425A2-076A-4BB6-B2B7-0597CB44BE09}" type="doc">
      <dgm:prSet loTypeId="urn:microsoft.com/office/officeart/2005/8/layout/pyramid2" loCatId="pyramid" qsTypeId="urn:microsoft.com/office/officeart/2005/8/quickstyle/simple1" qsCatId="simple" csTypeId="urn:microsoft.com/office/officeart/2005/8/colors/accent1_4" csCatId="accent1" phldr="1"/>
      <dgm:spPr/>
    </dgm:pt>
    <dgm:pt modelId="{EE2B20F5-61AB-452E-B1C6-D3D32D097C0B}">
      <dgm:prSet phldrT="[Text]" custT="1"/>
      <dgm:spPr>
        <a:ln>
          <a:solidFill>
            <a:srgbClr val="470A68"/>
          </a:solidFill>
        </a:ln>
      </dgm:spPr>
      <dgm:t>
        <a:bodyPr/>
        <a:lstStyle/>
        <a:p>
          <a:r>
            <a:rPr lang="es-ES" sz="1000" dirty="0"/>
            <a:t>I Pilar</a:t>
          </a:r>
        </a:p>
        <a:p>
          <a:r>
            <a:rPr lang="es-ES" sz="1000" dirty="0"/>
            <a:t>La Seguridad Social</a:t>
          </a:r>
          <a:endParaRPr lang="en-US" sz="1000" dirty="0"/>
        </a:p>
      </dgm:t>
    </dgm:pt>
    <dgm:pt modelId="{D53A4188-BE1A-4A6A-A697-15928C476CA5}" type="parTrans" cxnId="{5E806D47-71A8-46C0-8FF3-9744E80D2771}">
      <dgm:prSet/>
      <dgm:spPr/>
      <dgm:t>
        <a:bodyPr/>
        <a:lstStyle/>
        <a:p>
          <a:endParaRPr lang="en-US"/>
        </a:p>
      </dgm:t>
    </dgm:pt>
    <dgm:pt modelId="{9A63613B-9C0C-4C4E-A4C9-B6F704BFC525}" type="sibTrans" cxnId="{5E806D47-71A8-46C0-8FF3-9744E80D2771}">
      <dgm:prSet/>
      <dgm:spPr/>
      <dgm:t>
        <a:bodyPr/>
        <a:lstStyle/>
        <a:p>
          <a:endParaRPr lang="en-US"/>
        </a:p>
      </dgm:t>
    </dgm:pt>
    <dgm:pt modelId="{1242C907-F9E4-4F93-B409-FD6731C0E01C}">
      <dgm:prSet phldrT="[Text]" custT="1"/>
      <dgm:spPr>
        <a:ln>
          <a:solidFill>
            <a:srgbClr val="005EB8"/>
          </a:solidFill>
        </a:ln>
      </dgm:spPr>
      <dgm:t>
        <a:bodyPr/>
        <a:lstStyle/>
        <a:p>
          <a:r>
            <a:rPr lang="es-ES" sz="1000" dirty="0"/>
            <a:t>II Pilar</a:t>
          </a:r>
        </a:p>
        <a:p>
          <a:r>
            <a:rPr lang="es-ES" sz="1000" dirty="0"/>
            <a:t>El ahorro corporativo</a:t>
          </a:r>
          <a:endParaRPr lang="en-US" sz="1000" dirty="0"/>
        </a:p>
      </dgm:t>
    </dgm:pt>
    <dgm:pt modelId="{B0462F9F-8405-4B4E-906F-5394B69A1AD1}" type="parTrans" cxnId="{68BB95F7-9CA2-4EA1-90C2-10CBDC3C8220}">
      <dgm:prSet/>
      <dgm:spPr/>
      <dgm:t>
        <a:bodyPr/>
        <a:lstStyle/>
        <a:p>
          <a:endParaRPr lang="en-US"/>
        </a:p>
      </dgm:t>
    </dgm:pt>
    <dgm:pt modelId="{F324413E-721E-4BB5-AA2E-6992D8F492E7}" type="sibTrans" cxnId="{68BB95F7-9CA2-4EA1-90C2-10CBDC3C8220}">
      <dgm:prSet/>
      <dgm:spPr/>
      <dgm:t>
        <a:bodyPr/>
        <a:lstStyle/>
        <a:p>
          <a:endParaRPr lang="en-US"/>
        </a:p>
      </dgm:t>
    </dgm:pt>
    <dgm:pt modelId="{0BA4D01D-0CF6-4029-8795-DBDA1CBFA064}">
      <dgm:prSet phldrT="[Text]" custT="1"/>
      <dgm:spPr>
        <a:ln>
          <a:solidFill>
            <a:srgbClr val="00A3A1"/>
          </a:solidFill>
        </a:ln>
      </dgm:spPr>
      <dgm:t>
        <a:bodyPr/>
        <a:lstStyle/>
        <a:p>
          <a:r>
            <a:rPr lang="es-ES" sz="1000" dirty="0"/>
            <a:t>III Pilar</a:t>
          </a:r>
        </a:p>
        <a:p>
          <a:r>
            <a:rPr lang="es-ES" sz="1000" dirty="0"/>
            <a:t>El ahorro individual</a:t>
          </a:r>
          <a:endParaRPr lang="en-US" sz="1000" dirty="0"/>
        </a:p>
      </dgm:t>
    </dgm:pt>
    <dgm:pt modelId="{9F047A37-B174-4FBF-BBA1-7C3C957D1440}" type="parTrans" cxnId="{9548999F-67BF-4850-80D2-7C7D4892C8C7}">
      <dgm:prSet/>
      <dgm:spPr/>
      <dgm:t>
        <a:bodyPr/>
        <a:lstStyle/>
        <a:p>
          <a:endParaRPr lang="en-US"/>
        </a:p>
      </dgm:t>
    </dgm:pt>
    <dgm:pt modelId="{FF05AB7B-9DCD-42B5-8AF7-0EA75D58BBEB}" type="sibTrans" cxnId="{9548999F-67BF-4850-80D2-7C7D4892C8C7}">
      <dgm:prSet/>
      <dgm:spPr/>
      <dgm:t>
        <a:bodyPr/>
        <a:lstStyle/>
        <a:p>
          <a:endParaRPr lang="en-US"/>
        </a:p>
      </dgm:t>
    </dgm:pt>
    <dgm:pt modelId="{005AEF9D-0274-46A1-8B07-99272480BEFD}" type="pres">
      <dgm:prSet presAssocID="{963425A2-076A-4BB6-B2B7-0597CB44BE09}" presName="compositeShape" presStyleCnt="0">
        <dgm:presLayoutVars>
          <dgm:dir/>
          <dgm:resizeHandles/>
        </dgm:presLayoutVars>
      </dgm:prSet>
      <dgm:spPr/>
    </dgm:pt>
    <dgm:pt modelId="{37C58A2E-2E63-4756-B5DA-8231B22E2A17}" type="pres">
      <dgm:prSet presAssocID="{963425A2-076A-4BB6-B2B7-0597CB44BE09}" presName="pyramid" presStyleLbl="node1" presStyleIdx="0" presStyleCnt="1" custScaleX="126279" custLinFactY="11972" custLinFactNeighborX="704" custLinFactNeighborY="100000"/>
      <dgm:spPr>
        <a:solidFill>
          <a:srgbClr val="00338D"/>
        </a:solidFill>
      </dgm:spPr>
    </dgm:pt>
    <dgm:pt modelId="{D61BC017-466D-418C-9302-8C4D68BFCE25}" type="pres">
      <dgm:prSet presAssocID="{963425A2-076A-4BB6-B2B7-0597CB44BE09}" presName="theList" presStyleCnt="0"/>
      <dgm:spPr/>
    </dgm:pt>
    <dgm:pt modelId="{CFAA482D-6123-48BC-9460-ADD221A5DB5E}" type="pres">
      <dgm:prSet presAssocID="{EE2B20F5-61AB-452E-B1C6-D3D32D097C0B}" presName="aNode" presStyleLbl="fgAcc1" presStyleIdx="0" presStyleCnt="3" custScaleX="136097">
        <dgm:presLayoutVars>
          <dgm:bulletEnabled val="1"/>
        </dgm:presLayoutVars>
      </dgm:prSet>
      <dgm:spPr/>
    </dgm:pt>
    <dgm:pt modelId="{63737842-5AA9-4348-BF78-A6F951CE2E01}" type="pres">
      <dgm:prSet presAssocID="{EE2B20F5-61AB-452E-B1C6-D3D32D097C0B}" presName="aSpace" presStyleCnt="0"/>
      <dgm:spPr/>
    </dgm:pt>
    <dgm:pt modelId="{1B00A3E5-DF54-4F17-917B-B21AEC871955}" type="pres">
      <dgm:prSet presAssocID="{1242C907-F9E4-4F93-B409-FD6731C0E01C}" presName="aNode" presStyleLbl="fgAcc1" presStyleIdx="1" presStyleCnt="3" custScaleX="140385">
        <dgm:presLayoutVars>
          <dgm:bulletEnabled val="1"/>
        </dgm:presLayoutVars>
      </dgm:prSet>
      <dgm:spPr/>
    </dgm:pt>
    <dgm:pt modelId="{FF637D7A-AA54-4E2F-BAF6-69EF1EEE47A2}" type="pres">
      <dgm:prSet presAssocID="{1242C907-F9E4-4F93-B409-FD6731C0E01C}" presName="aSpace" presStyleCnt="0"/>
      <dgm:spPr/>
    </dgm:pt>
    <dgm:pt modelId="{B198DD29-5B51-47D2-AFDF-D6415E211D0C}" type="pres">
      <dgm:prSet presAssocID="{0BA4D01D-0CF6-4029-8795-DBDA1CBFA064}" presName="aNode" presStyleLbl="fgAcc1" presStyleIdx="2" presStyleCnt="3" custScaleX="139943">
        <dgm:presLayoutVars>
          <dgm:bulletEnabled val="1"/>
        </dgm:presLayoutVars>
      </dgm:prSet>
      <dgm:spPr/>
    </dgm:pt>
    <dgm:pt modelId="{54CB8EF1-24A7-426A-A29E-5D865637DE8E}" type="pres">
      <dgm:prSet presAssocID="{0BA4D01D-0CF6-4029-8795-DBDA1CBFA064}" presName="aSpace" presStyleCnt="0"/>
      <dgm:spPr/>
    </dgm:pt>
  </dgm:ptLst>
  <dgm:cxnLst>
    <dgm:cxn modelId="{B8A91428-35D2-4C5E-AE5C-67E4AA6D5913}" type="presOf" srcId="{1242C907-F9E4-4F93-B409-FD6731C0E01C}" destId="{1B00A3E5-DF54-4F17-917B-B21AEC871955}" srcOrd="0" destOrd="0" presId="urn:microsoft.com/office/officeart/2005/8/layout/pyramid2"/>
    <dgm:cxn modelId="{64C7B95E-A9E3-4396-B6D9-E0A0705A3C37}" type="presOf" srcId="{963425A2-076A-4BB6-B2B7-0597CB44BE09}" destId="{005AEF9D-0274-46A1-8B07-99272480BEFD}" srcOrd="0" destOrd="0" presId="urn:microsoft.com/office/officeart/2005/8/layout/pyramid2"/>
    <dgm:cxn modelId="{5E806D47-71A8-46C0-8FF3-9744E80D2771}" srcId="{963425A2-076A-4BB6-B2B7-0597CB44BE09}" destId="{EE2B20F5-61AB-452E-B1C6-D3D32D097C0B}" srcOrd="0" destOrd="0" parTransId="{D53A4188-BE1A-4A6A-A697-15928C476CA5}" sibTransId="{9A63613B-9C0C-4C4E-A4C9-B6F704BFC525}"/>
    <dgm:cxn modelId="{DE1D7E7A-888F-426B-B879-7E1E8A4DFAAF}" type="presOf" srcId="{0BA4D01D-0CF6-4029-8795-DBDA1CBFA064}" destId="{B198DD29-5B51-47D2-AFDF-D6415E211D0C}" srcOrd="0" destOrd="0" presId="urn:microsoft.com/office/officeart/2005/8/layout/pyramid2"/>
    <dgm:cxn modelId="{9548999F-67BF-4850-80D2-7C7D4892C8C7}" srcId="{963425A2-076A-4BB6-B2B7-0597CB44BE09}" destId="{0BA4D01D-0CF6-4029-8795-DBDA1CBFA064}" srcOrd="2" destOrd="0" parTransId="{9F047A37-B174-4FBF-BBA1-7C3C957D1440}" sibTransId="{FF05AB7B-9DCD-42B5-8AF7-0EA75D58BBEB}"/>
    <dgm:cxn modelId="{7DAB35AD-C6BA-4311-B8B8-AE75485D64FF}" type="presOf" srcId="{EE2B20F5-61AB-452E-B1C6-D3D32D097C0B}" destId="{CFAA482D-6123-48BC-9460-ADD221A5DB5E}" srcOrd="0" destOrd="0" presId="urn:microsoft.com/office/officeart/2005/8/layout/pyramid2"/>
    <dgm:cxn modelId="{68BB95F7-9CA2-4EA1-90C2-10CBDC3C8220}" srcId="{963425A2-076A-4BB6-B2B7-0597CB44BE09}" destId="{1242C907-F9E4-4F93-B409-FD6731C0E01C}" srcOrd="1" destOrd="0" parTransId="{B0462F9F-8405-4B4E-906F-5394B69A1AD1}" sibTransId="{F324413E-721E-4BB5-AA2E-6992D8F492E7}"/>
    <dgm:cxn modelId="{E4457D78-CF7C-4918-8176-B08762594342}" type="presParOf" srcId="{005AEF9D-0274-46A1-8B07-99272480BEFD}" destId="{37C58A2E-2E63-4756-B5DA-8231B22E2A17}" srcOrd="0" destOrd="0" presId="urn:microsoft.com/office/officeart/2005/8/layout/pyramid2"/>
    <dgm:cxn modelId="{8A166563-535B-4274-A690-507D816C31A7}" type="presParOf" srcId="{005AEF9D-0274-46A1-8B07-99272480BEFD}" destId="{D61BC017-466D-418C-9302-8C4D68BFCE25}" srcOrd="1" destOrd="0" presId="urn:microsoft.com/office/officeart/2005/8/layout/pyramid2"/>
    <dgm:cxn modelId="{F9D9B2D8-CFD3-4633-96BE-7556870D71D3}" type="presParOf" srcId="{D61BC017-466D-418C-9302-8C4D68BFCE25}" destId="{CFAA482D-6123-48BC-9460-ADD221A5DB5E}" srcOrd="0" destOrd="0" presId="urn:microsoft.com/office/officeart/2005/8/layout/pyramid2"/>
    <dgm:cxn modelId="{049FF20E-1529-4CF2-A762-82BF763B8436}" type="presParOf" srcId="{D61BC017-466D-418C-9302-8C4D68BFCE25}" destId="{63737842-5AA9-4348-BF78-A6F951CE2E01}" srcOrd="1" destOrd="0" presId="urn:microsoft.com/office/officeart/2005/8/layout/pyramid2"/>
    <dgm:cxn modelId="{4CB1A31E-5924-4D9F-9B7E-B9312D90978D}" type="presParOf" srcId="{D61BC017-466D-418C-9302-8C4D68BFCE25}" destId="{1B00A3E5-DF54-4F17-917B-B21AEC871955}" srcOrd="2" destOrd="0" presId="urn:microsoft.com/office/officeart/2005/8/layout/pyramid2"/>
    <dgm:cxn modelId="{E663DB51-5B0C-4110-94A1-6EB75F6F9943}" type="presParOf" srcId="{D61BC017-466D-418C-9302-8C4D68BFCE25}" destId="{FF637D7A-AA54-4E2F-BAF6-69EF1EEE47A2}" srcOrd="3" destOrd="0" presId="urn:microsoft.com/office/officeart/2005/8/layout/pyramid2"/>
    <dgm:cxn modelId="{105452AF-E30D-4CDD-9024-264EE5FF5094}" type="presParOf" srcId="{D61BC017-466D-418C-9302-8C4D68BFCE25}" destId="{B198DD29-5B51-47D2-AFDF-D6415E211D0C}" srcOrd="4" destOrd="0" presId="urn:microsoft.com/office/officeart/2005/8/layout/pyramid2"/>
    <dgm:cxn modelId="{2CDD1153-30DC-4BB9-8250-401B5F6DF866}" type="presParOf" srcId="{D61BC017-466D-418C-9302-8C4D68BFCE25}" destId="{54CB8EF1-24A7-426A-A29E-5D865637DE8E}" srcOrd="5" destOrd="0" presId="urn:microsoft.com/office/officeart/2005/8/layout/pyramid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63425A2-076A-4BB6-B2B7-0597CB44BE09}" type="doc">
      <dgm:prSet loTypeId="urn:microsoft.com/office/officeart/2005/8/layout/pyramid2" loCatId="pyramid" qsTypeId="urn:microsoft.com/office/officeart/2005/8/quickstyle/simple1" qsCatId="simple" csTypeId="urn:microsoft.com/office/officeart/2005/8/colors/accent1_4" csCatId="accent1" phldr="1"/>
      <dgm:spPr/>
    </dgm:pt>
    <dgm:pt modelId="{EE2B20F5-61AB-452E-B1C6-D3D32D097C0B}">
      <dgm:prSet phldrT="[Text]" custT="1"/>
      <dgm:spPr>
        <a:ln>
          <a:solidFill>
            <a:srgbClr val="470A68"/>
          </a:solidFill>
        </a:ln>
      </dgm:spPr>
      <dgm:t>
        <a:bodyPr/>
        <a:lstStyle/>
        <a:p>
          <a:r>
            <a:rPr lang="es-ES" sz="1000" dirty="0"/>
            <a:t>I Pilar</a:t>
          </a:r>
        </a:p>
        <a:p>
          <a:r>
            <a:rPr lang="es-ES" sz="1000" dirty="0"/>
            <a:t>La Seguridad Social</a:t>
          </a:r>
          <a:endParaRPr lang="en-US" sz="1000" dirty="0"/>
        </a:p>
      </dgm:t>
    </dgm:pt>
    <dgm:pt modelId="{D53A4188-BE1A-4A6A-A697-15928C476CA5}" type="parTrans" cxnId="{5E806D47-71A8-46C0-8FF3-9744E80D2771}">
      <dgm:prSet/>
      <dgm:spPr/>
      <dgm:t>
        <a:bodyPr/>
        <a:lstStyle/>
        <a:p>
          <a:endParaRPr lang="en-US"/>
        </a:p>
      </dgm:t>
    </dgm:pt>
    <dgm:pt modelId="{9A63613B-9C0C-4C4E-A4C9-B6F704BFC525}" type="sibTrans" cxnId="{5E806D47-71A8-46C0-8FF3-9744E80D2771}">
      <dgm:prSet/>
      <dgm:spPr/>
      <dgm:t>
        <a:bodyPr/>
        <a:lstStyle/>
        <a:p>
          <a:endParaRPr lang="en-US"/>
        </a:p>
      </dgm:t>
    </dgm:pt>
    <dgm:pt modelId="{1242C907-F9E4-4F93-B409-FD6731C0E01C}">
      <dgm:prSet phldrT="[Text]" custT="1"/>
      <dgm:spPr>
        <a:ln>
          <a:solidFill>
            <a:srgbClr val="005EB8"/>
          </a:solidFill>
        </a:ln>
      </dgm:spPr>
      <dgm:t>
        <a:bodyPr/>
        <a:lstStyle/>
        <a:p>
          <a:r>
            <a:rPr lang="es-ES" sz="1000" dirty="0"/>
            <a:t>II Pilar</a:t>
          </a:r>
        </a:p>
        <a:p>
          <a:r>
            <a:rPr lang="es-ES" sz="1000" dirty="0"/>
            <a:t>El ahorro corporativo</a:t>
          </a:r>
          <a:endParaRPr lang="en-US" sz="1000" dirty="0"/>
        </a:p>
      </dgm:t>
    </dgm:pt>
    <dgm:pt modelId="{B0462F9F-8405-4B4E-906F-5394B69A1AD1}" type="parTrans" cxnId="{68BB95F7-9CA2-4EA1-90C2-10CBDC3C8220}">
      <dgm:prSet/>
      <dgm:spPr/>
      <dgm:t>
        <a:bodyPr/>
        <a:lstStyle/>
        <a:p>
          <a:endParaRPr lang="en-US"/>
        </a:p>
      </dgm:t>
    </dgm:pt>
    <dgm:pt modelId="{F324413E-721E-4BB5-AA2E-6992D8F492E7}" type="sibTrans" cxnId="{68BB95F7-9CA2-4EA1-90C2-10CBDC3C8220}">
      <dgm:prSet/>
      <dgm:spPr/>
      <dgm:t>
        <a:bodyPr/>
        <a:lstStyle/>
        <a:p>
          <a:endParaRPr lang="en-US"/>
        </a:p>
      </dgm:t>
    </dgm:pt>
    <dgm:pt modelId="{0BA4D01D-0CF6-4029-8795-DBDA1CBFA064}">
      <dgm:prSet phldrT="[Text]" custT="1"/>
      <dgm:spPr>
        <a:ln>
          <a:solidFill>
            <a:srgbClr val="00A3A1"/>
          </a:solidFill>
        </a:ln>
      </dgm:spPr>
      <dgm:t>
        <a:bodyPr/>
        <a:lstStyle/>
        <a:p>
          <a:r>
            <a:rPr lang="es-ES" sz="1000" dirty="0"/>
            <a:t>III Pilar</a:t>
          </a:r>
        </a:p>
        <a:p>
          <a:r>
            <a:rPr lang="es-ES" sz="1000" dirty="0"/>
            <a:t>El ahorro individual</a:t>
          </a:r>
          <a:endParaRPr lang="en-US" sz="1000" dirty="0"/>
        </a:p>
      </dgm:t>
    </dgm:pt>
    <dgm:pt modelId="{9F047A37-B174-4FBF-BBA1-7C3C957D1440}" type="parTrans" cxnId="{9548999F-67BF-4850-80D2-7C7D4892C8C7}">
      <dgm:prSet/>
      <dgm:spPr/>
      <dgm:t>
        <a:bodyPr/>
        <a:lstStyle/>
        <a:p>
          <a:endParaRPr lang="en-US"/>
        </a:p>
      </dgm:t>
    </dgm:pt>
    <dgm:pt modelId="{FF05AB7B-9DCD-42B5-8AF7-0EA75D58BBEB}" type="sibTrans" cxnId="{9548999F-67BF-4850-80D2-7C7D4892C8C7}">
      <dgm:prSet/>
      <dgm:spPr/>
      <dgm:t>
        <a:bodyPr/>
        <a:lstStyle/>
        <a:p>
          <a:endParaRPr lang="en-US"/>
        </a:p>
      </dgm:t>
    </dgm:pt>
    <dgm:pt modelId="{005AEF9D-0274-46A1-8B07-99272480BEFD}" type="pres">
      <dgm:prSet presAssocID="{963425A2-076A-4BB6-B2B7-0597CB44BE09}" presName="compositeShape" presStyleCnt="0">
        <dgm:presLayoutVars>
          <dgm:dir/>
          <dgm:resizeHandles/>
        </dgm:presLayoutVars>
      </dgm:prSet>
      <dgm:spPr/>
    </dgm:pt>
    <dgm:pt modelId="{37C58A2E-2E63-4756-B5DA-8231B22E2A17}" type="pres">
      <dgm:prSet presAssocID="{963425A2-076A-4BB6-B2B7-0597CB44BE09}" presName="pyramid" presStyleLbl="node1" presStyleIdx="0" presStyleCnt="1" custScaleX="126279" custLinFactY="11972" custLinFactNeighborX="704" custLinFactNeighborY="100000"/>
      <dgm:spPr>
        <a:solidFill>
          <a:srgbClr val="00338D"/>
        </a:solidFill>
      </dgm:spPr>
    </dgm:pt>
    <dgm:pt modelId="{D61BC017-466D-418C-9302-8C4D68BFCE25}" type="pres">
      <dgm:prSet presAssocID="{963425A2-076A-4BB6-B2B7-0597CB44BE09}" presName="theList" presStyleCnt="0"/>
      <dgm:spPr/>
    </dgm:pt>
    <dgm:pt modelId="{CFAA482D-6123-48BC-9460-ADD221A5DB5E}" type="pres">
      <dgm:prSet presAssocID="{EE2B20F5-61AB-452E-B1C6-D3D32D097C0B}" presName="aNode" presStyleLbl="fgAcc1" presStyleIdx="0" presStyleCnt="3" custScaleX="136097">
        <dgm:presLayoutVars>
          <dgm:bulletEnabled val="1"/>
        </dgm:presLayoutVars>
      </dgm:prSet>
      <dgm:spPr/>
    </dgm:pt>
    <dgm:pt modelId="{63737842-5AA9-4348-BF78-A6F951CE2E01}" type="pres">
      <dgm:prSet presAssocID="{EE2B20F5-61AB-452E-B1C6-D3D32D097C0B}" presName="aSpace" presStyleCnt="0"/>
      <dgm:spPr/>
    </dgm:pt>
    <dgm:pt modelId="{1B00A3E5-DF54-4F17-917B-B21AEC871955}" type="pres">
      <dgm:prSet presAssocID="{1242C907-F9E4-4F93-B409-FD6731C0E01C}" presName="aNode" presStyleLbl="fgAcc1" presStyleIdx="1" presStyleCnt="3" custScaleX="140385">
        <dgm:presLayoutVars>
          <dgm:bulletEnabled val="1"/>
        </dgm:presLayoutVars>
      </dgm:prSet>
      <dgm:spPr/>
    </dgm:pt>
    <dgm:pt modelId="{FF637D7A-AA54-4E2F-BAF6-69EF1EEE47A2}" type="pres">
      <dgm:prSet presAssocID="{1242C907-F9E4-4F93-B409-FD6731C0E01C}" presName="aSpace" presStyleCnt="0"/>
      <dgm:spPr/>
    </dgm:pt>
    <dgm:pt modelId="{B198DD29-5B51-47D2-AFDF-D6415E211D0C}" type="pres">
      <dgm:prSet presAssocID="{0BA4D01D-0CF6-4029-8795-DBDA1CBFA064}" presName="aNode" presStyleLbl="fgAcc1" presStyleIdx="2" presStyleCnt="3" custScaleX="139943">
        <dgm:presLayoutVars>
          <dgm:bulletEnabled val="1"/>
        </dgm:presLayoutVars>
      </dgm:prSet>
      <dgm:spPr/>
    </dgm:pt>
    <dgm:pt modelId="{54CB8EF1-24A7-426A-A29E-5D865637DE8E}" type="pres">
      <dgm:prSet presAssocID="{0BA4D01D-0CF6-4029-8795-DBDA1CBFA064}" presName="aSpace" presStyleCnt="0"/>
      <dgm:spPr/>
    </dgm:pt>
  </dgm:ptLst>
  <dgm:cxnLst>
    <dgm:cxn modelId="{B8A91428-35D2-4C5E-AE5C-67E4AA6D5913}" type="presOf" srcId="{1242C907-F9E4-4F93-B409-FD6731C0E01C}" destId="{1B00A3E5-DF54-4F17-917B-B21AEC871955}" srcOrd="0" destOrd="0" presId="urn:microsoft.com/office/officeart/2005/8/layout/pyramid2"/>
    <dgm:cxn modelId="{64C7B95E-A9E3-4396-B6D9-E0A0705A3C37}" type="presOf" srcId="{963425A2-076A-4BB6-B2B7-0597CB44BE09}" destId="{005AEF9D-0274-46A1-8B07-99272480BEFD}" srcOrd="0" destOrd="0" presId="urn:microsoft.com/office/officeart/2005/8/layout/pyramid2"/>
    <dgm:cxn modelId="{5E806D47-71A8-46C0-8FF3-9744E80D2771}" srcId="{963425A2-076A-4BB6-B2B7-0597CB44BE09}" destId="{EE2B20F5-61AB-452E-B1C6-D3D32D097C0B}" srcOrd="0" destOrd="0" parTransId="{D53A4188-BE1A-4A6A-A697-15928C476CA5}" sibTransId="{9A63613B-9C0C-4C4E-A4C9-B6F704BFC525}"/>
    <dgm:cxn modelId="{DE1D7E7A-888F-426B-B879-7E1E8A4DFAAF}" type="presOf" srcId="{0BA4D01D-0CF6-4029-8795-DBDA1CBFA064}" destId="{B198DD29-5B51-47D2-AFDF-D6415E211D0C}" srcOrd="0" destOrd="0" presId="urn:microsoft.com/office/officeart/2005/8/layout/pyramid2"/>
    <dgm:cxn modelId="{9548999F-67BF-4850-80D2-7C7D4892C8C7}" srcId="{963425A2-076A-4BB6-B2B7-0597CB44BE09}" destId="{0BA4D01D-0CF6-4029-8795-DBDA1CBFA064}" srcOrd="2" destOrd="0" parTransId="{9F047A37-B174-4FBF-BBA1-7C3C957D1440}" sibTransId="{FF05AB7B-9DCD-42B5-8AF7-0EA75D58BBEB}"/>
    <dgm:cxn modelId="{7DAB35AD-C6BA-4311-B8B8-AE75485D64FF}" type="presOf" srcId="{EE2B20F5-61AB-452E-B1C6-D3D32D097C0B}" destId="{CFAA482D-6123-48BC-9460-ADD221A5DB5E}" srcOrd="0" destOrd="0" presId="urn:microsoft.com/office/officeart/2005/8/layout/pyramid2"/>
    <dgm:cxn modelId="{68BB95F7-9CA2-4EA1-90C2-10CBDC3C8220}" srcId="{963425A2-076A-4BB6-B2B7-0597CB44BE09}" destId="{1242C907-F9E4-4F93-B409-FD6731C0E01C}" srcOrd="1" destOrd="0" parTransId="{B0462F9F-8405-4B4E-906F-5394B69A1AD1}" sibTransId="{F324413E-721E-4BB5-AA2E-6992D8F492E7}"/>
    <dgm:cxn modelId="{E4457D78-CF7C-4918-8176-B08762594342}" type="presParOf" srcId="{005AEF9D-0274-46A1-8B07-99272480BEFD}" destId="{37C58A2E-2E63-4756-B5DA-8231B22E2A17}" srcOrd="0" destOrd="0" presId="urn:microsoft.com/office/officeart/2005/8/layout/pyramid2"/>
    <dgm:cxn modelId="{8A166563-535B-4274-A690-507D816C31A7}" type="presParOf" srcId="{005AEF9D-0274-46A1-8B07-99272480BEFD}" destId="{D61BC017-466D-418C-9302-8C4D68BFCE25}" srcOrd="1" destOrd="0" presId="urn:microsoft.com/office/officeart/2005/8/layout/pyramid2"/>
    <dgm:cxn modelId="{F9D9B2D8-CFD3-4633-96BE-7556870D71D3}" type="presParOf" srcId="{D61BC017-466D-418C-9302-8C4D68BFCE25}" destId="{CFAA482D-6123-48BC-9460-ADD221A5DB5E}" srcOrd="0" destOrd="0" presId="urn:microsoft.com/office/officeart/2005/8/layout/pyramid2"/>
    <dgm:cxn modelId="{049FF20E-1529-4CF2-A762-82BF763B8436}" type="presParOf" srcId="{D61BC017-466D-418C-9302-8C4D68BFCE25}" destId="{63737842-5AA9-4348-BF78-A6F951CE2E01}" srcOrd="1" destOrd="0" presId="urn:microsoft.com/office/officeart/2005/8/layout/pyramid2"/>
    <dgm:cxn modelId="{4CB1A31E-5924-4D9F-9B7E-B9312D90978D}" type="presParOf" srcId="{D61BC017-466D-418C-9302-8C4D68BFCE25}" destId="{1B00A3E5-DF54-4F17-917B-B21AEC871955}" srcOrd="2" destOrd="0" presId="urn:microsoft.com/office/officeart/2005/8/layout/pyramid2"/>
    <dgm:cxn modelId="{E663DB51-5B0C-4110-94A1-6EB75F6F9943}" type="presParOf" srcId="{D61BC017-466D-418C-9302-8C4D68BFCE25}" destId="{FF637D7A-AA54-4E2F-BAF6-69EF1EEE47A2}" srcOrd="3" destOrd="0" presId="urn:microsoft.com/office/officeart/2005/8/layout/pyramid2"/>
    <dgm:cxn modelId="{105452AF-E30D-4CDD-9024-264EE5FF5094}" type="presParOf" srcId="{D61BC017-466D-418C-9302-8C4D68BFCE25}" destId="{B198DD29-5B51-47D2-AFDF-D6415E211D0C}" srcOrd="4" destOrd="0" presId="urn:microsoft.com/office/officeart/2005/8/layout/pyramid2"/>
    <dgm:cxn modelId="{2CDD1153-30DC-4BB9-8250-401B5F6DF866}" type="presParOf" srcId="{D61BC017-466D-418C-9302-8C4D68BFCE25}" destId="{54CB8EF1-24A7-426A-A29E-5D865637DE8E}" srcOrd="5" destOrd="0" presId="urn:microsoft.com/office/officeart/2005/8/layout/pyramid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C58A2E-2E63-4756-B5DA-8231B22E2A17}">
      <dsp:nvSpPr>
        <dsp:cNvPr id="0" name=""/>
        <dsp:cNvSpPr/>
      </dsp:nvSpPr>
      <dsp:spPr>
        <a:xfrm>
          <a:off x="795223" y="0"/>
          <a:ext cx="2165053" cy="1714500"/>
        </a:xfrm>
        <a:prstGeom prst="triangle">
          <a:avLst/>
        </a:prstGeom>
        <a:solidFill>
          <a:srgbClr val="00338D"/>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CFAA482D-6123-48BC-9460-ADD221A5DB5E}">
      <dsp:nvSpPr>
        <dsp:cNvPr id="0" name=""/>
        <dsp:cNvSpPr/>
      </dsp:nvSpPr>
      <dsp:spPr>
        <a:xfrm>
          <a:off x="1664542" y="172370"/>
          <a:ext cx="1516698" cy="405854"/>
        </a:xfrm>
        <a:prstGeom prst="roundRect">
          <a:avLst/>
        </a:prstGeom>
        <a:solidFill>
          <a:schemeClr val="lt1">
            <a:alpha val="90000"/>
            <a:hueOff val="0"/>
            <a:satOff val="0"/>
            <a:lumOff val="0"/>
            <a:alphaOff val="0"/>
          </a:schemeClr>
        </a:solidFill>
        <a:ln w="12700" cap="flat" cmpd="sng" algn="ctr">
          <a:solidFill>
            <a:srgbClr val="470A6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 Pilar</a:t>
          </a:r>
        </a:p>
        <a:p>
          <a:pPr marL="0" lvl="0" indent="0" algn="ctr" defTabSz="444500">
            <a:lnSpc>
              <a:spcPct val="90000"/>
            </a:lnSpc>
            <a:spcBef>
              <a:spcPct val="0"/>
            </a:spcBef>
            <a:spcAft>
              <a:spcPct val="35000"/>
            </a:spcAft>
            <a:buNone/>
          </a:pPr>
          <a:r>
            <a:rPr lang="es-ES" sz="1000" kern="1200" dirty="0"/>
            <a:t>La Seguridad Social</a:t>
          </a:r>
          <a:endParaRPr lang="en-US" sz="1000" kern="1200" dirty="0"/>
        </a:p>
      </dsp:txBody>
      <dsp:txXfrm>
        <a:off x="1684354" y="192182"/>
        <a:ext cx="1477074" cy="366230"/>
      </dsp:txXfrm>
    </dsp:sp>
    <dsp:sp modelId="{1B00A3E5-DF54-4F17-917B-B21AEC871955}">
      <dsp:nvSpPr>
        <dsp:cNvPr id="0" name=""/>
        <dsp:cNvSpPr/>
      </dsp:nvSpPr>
      <dsp:spPr>
        <a:xfrm>
          <a:off x="1640649" y="628956"/>
          <a:ext cx="1564485" cy="405854"/>
        </a:xfrm>
        <a:prstGeom prst="roundRect">
          <a:avLst/>
        </a:prstGeom>
        <a:solidFill>
          <a:schemeClr val="lt1">
            <a:alpha val="90000"/>
            <a:hueOff val="0"/>
            <a:satOff val="0"/>
            <a:lumOff val="0"/>
            <a:alphaOff val="0"/>
          </a:schemeClr>
        </a:solidFill>
        <a:ln w="12700" cap="flat" cmpd="sng" algn="ctr">
          <a:solidFill>
            <a:srgbClr val="005EB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 Pilar</a:t>
          </a:r>
        </a:p>
        <a:p>
          <a:pPr marL="0" lvl="0" indent="0" algn="ctr" defTabSz="444500">
            <a:lnSpc>
              <a:spcPct val="90000"/>
            </a:lnSpc>
            <a:spcBef>
              <a:spcPct val="0"/>
            </a:spcBef>
            <a:spcAft>
              <a:spcPct val="35000"/>
            </a:spcAft>
            <a:buNone/>
          </a:pPr>
          <a:r>
            <a:rPr lang="es-ES" sz="1000" kern="1200" dirty="0"/>
            <a:t>El ahorro corporativo</a:t>
          </a:r>
          <a:endParaRPr lang="en-US" sz="1000" kern="1200" dirty="0"/>
        </a:p>
      </dsp:txBody>
      <dsp:txXfrm>
        <a:off x="1660461" y="648768"/>
        <a:ext cx="1524861" cy="366230"/>
      </dsp:txXfrm>
    </dsp:sp>
    <dsp:sp modelId="{B198DD29-5B51-47D2-AFDF-D6415E211D0C}">
      <dsp:nvSpPr>
        <dsp:cNvPr id="0" name=""/>
        <dsp:cNvSpPr/>
      </dsp:nvSpPr>
      <dsp:spPr>
        <a:xfrm>
          <a:off x="1643112" y="1085543"/>
          <a:ext cx="1559559" cy="405854"/>
        </a:xfrm>
        <a:prstGeom prst="roundRect">
          <a:avLst/>
        </a:prstGeom>
        <a:solidFill>
          <a:schemeClr val="lt1">
            <a:alpha val="90000"/>
            <a:hueOff val="0"/>
            <a:satOff val="0"/>
            <a:lumOff val="0"/>
            <a:alphaOff val="0"/>
          </a:schemeClr>
        </a:solidFill>
        <a:ln w="12700" cap="flat" cmpd="sng" algn="ctr">
          <a:solidFill>
            <a:srgbClr val="00A3A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III Pilar</a:t>
          </a:r>
        </a:p>
        <a:p>
          <a:pPr marL="0" lvl="0" indent="0" algn="ctr" defTabSz="444500">
            <a:lnSpc>
              <a:spcPct val="90000"/>
            </a:lnSpc>
            <a:spcBef>
              <a:spcPct val="0"/>
            </a:spcBef>
            <a:spcAft>
              <a:spcPct val="35000"/>
            </a:spcAft>
            <a:buNone/>
          </a:pPr>
          <a:r>
            <a:rPr lang="es-ES" sz="1000" kern="1200" dirty="0"/>
            <a:t>El ahorro individual</a:t>
          </a:r>
          <a:endParaRPr lang="en-US" sz="1000" kern="1200" dirty="0"/>
        </a:p>
      </dsp:txBody>
      <dsp:txXfrm>
        <a:off x="1662924" y="1105355"/>
        <a:ext cx="1519935" cy="366230"/>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C58A2E-2E63-4756-B5DA-8231B22E2A17}">
      <dsp:nvSpPr>
        <dsp:cNvPr id="0" name=""/>
        <dsp:cNvSpPr/>
      </dsp:nvSpPr>
      <dsp:spPr>
        <a:xfrm>
          <a:off x="795222" y="0"/>
          <a:ext cx="2165054" cy="1714501"/>
        </a:xfrm>
        <a:prstGeom prst="triangle">
          <a:avLst/>
        </a:prstGeom>
        <a:solidFill>
          <a:srgbClr val="00338D"/>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CFAA482D-6123-48BC-9460-ADD221A5DB5E}">
      <dsp:nvSpPr>
        <dsp:cNvPr id="0" name=""/>
        <dsp:cNvSpPr/>
      </dsp:nvSpPr>
      <dsp:spPr>
        <a:xfrm>
          <a:off x="1664542" y="172370"/>
          <a:ext cx="1516699" cy="405854"/>
        </a:xfrm>
        <a:prstGeom prst="roundRect">
          <a:avLst/>
        </a:prstGeom>
        <a:solidFill>
          <a:schemeClr val="lt1">
            <a:alpha val="90000"/>
            <a:hueOff val="0"/>
            <a:satOff val="0"/>
            <a:lumOff val="0"/>
            <a:alphaOff val="0"/>
          </a:schemeClr>
        </a:solidFill>
        <a:ln w="12700" cap="flat" cmpd="sng" algn="ctr">
          <a:solidFill>
            <a:srgbClr val="470A6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 Pilar</a:t>
          </a:r>
        </a:p>
        <a:p>
          <a:pPr marL="0" lvl="0" indent="0" algn="ctr" defTabSz="444500">
            <a:lnSpc>
              <a:spcPct val="90000"/>
            </a:lnSpc>
            <a:spcBef>
              <a:spcPct val="0"/>
            </a:spcBef>
            <a:spcAft>
              <a:spcPct val="35000"/>
            </a:spcAft>
            <a:buNone/>
          </a:pPr>
          <a:r>
            <a:rPr lang="es-ES" sz="1000" kern="1200" dirty="0"/>
            <a:t>La Seguridad Social</a:t>
          </a:r>
          <a:endParaRPr lang="en-US" sz="1000" kern="1200" dirty="0"/>
        </a:p>
      </dsp:txBody>
      <dsp:txXfrm>
        <a:off x="1684354" y="192182"/>
        <a:ext cx="1477075" cy="366230"/>
      </dsp:txXfrm>
    </dsp:sp>
    <dsp:sp modelId="{1B00A3E5-DF54-4F17-917B-B21AEC871955}">
      <dsp:nvSpPr>
        <dsp:cNvPr id="0" name=""/>
        <dsp:cNvSpPr/>
      </dsp:nvSpPr>
      <dsp:spPr>
        <a:xfrm>
          <a:off x="1640649" y="628957"/>
          <a:ext cx="1564486" cy="405854"/>
        </a:xfrm>
        <a:prstGeom prst="roundRect">
          <a:avLst/>
        </a:prstGeom>
        <a:solidFill>
          <a:schemeClr val="lt1">
            <a:alpha val="90000"/>
            <a:hueOff val="0"/>
            <a:satOff val="0"/>
            <a:lumOff val="0"/>
            <a:alphaOff val="0"/>
          </a:schemeClr>
        </a:solidFill>
        <a:ln w="12700" cap="flat" cmpd="sng" algn="ctr">
          <a:solidFill>
            <a:srgbClr val="005EB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 Pilar</a:t>
          </a:r>
        </a:p>
        <a:p>
          <a:pPr marL="0" lvl="0" indent="0" algn="ctr" defTabSz="444500">
            <a:lnSpc>
              <a:spcPct val="90000"/>
            </a:lnSpc>
            <a:spcBef>
              <a:spcPct val="0"/>
            </a:spcBef>
            <a:spcAft>
              <a:spcPct val="35000"/>
            </a:spcAft>
            <a:buNone/>
          </a:pPr>
          <a:r>
            <a:rPr lang="es-ES" sz="1000" kern="1200" dirty="0"/>
            <a:t>El ahorro corporativo</a:t>
          </a:r>
          <a:endParaRPr lang="en-US" sz="1000" kern="1200" dirty="0"/>
        </a:p>
      </dsp:txBody>
      <dsp:txXfrm>
        <a:off x="1660461" y="648769"/>
        <a:ext cx="1524862" cy="366230"/>
      </dsp:txXfrm>
    </dsp:sp>
    <dsp:sp modelId="{B198DD29-5B51-47D2-AFDF-D6415E211D0C}">
      <dsp:nvSpPr>
        <dsp:cNvPr id="0" name=""/>
        <dsp:cNvSpPr/>
      </dsp:nvSpPr>
      <dsp:spPr>
        <a:xfrm>
          <a:off x="1643112" y="1085543"/>
          <a:ext cx="1559560" cy="405854"/>
        </a:xfrm>
        <a:prstGeom prst="roundRect">
          <a:avLst/>
        </a:prstGeom>
        <a:solidFill>
          <a:schemeClr val="lt1">
            <a:alpha val="90000"/>
            <a:hueOff val="0"/>
            <a:satOff val="0"/>
            <a:lumOff val="0"/>
            <a:alphaOff val="0"/>
          </a:schemeClr>
        </a:solidFill>
        <a:ln w="12700" cap="flat" cmpd="sng" algn="ctr">
          <a:solidFill>
            <a:srgbClr val="00A3A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III Pilar</a:t>
          </a:r>
        </a:p>
        <a:p>
          <a:pPr marL="0" lvl="0" indent="0" algn="ctr" defTabSz="444500">
            <a:lnSpc>
              <a:spcPct val="90000"/>
            </a:lnSpc>
            <a:spcBef>
              <a:spcPct val="0"/>
            </a:spcBef>
            <a:spcAft>
              <a:spcPct val="35000"/>
            </a:spcAft>
            <a:buNone/>
          </a:pPr>
          <a:r>
            <a:rPr lang="es-ES" sz="1000" kern="1200" dirty="0"/>
            <a:t>El ahorro individual</a:t>
          </a:r>
          <a:endParaRPr lang="en-US" sz="1000" kern="1200" dirty="0"/>
        </a:p>
      </dsp:txBody>
      <dsp:txXfrm>
        <a:off x="1662924" y="1105355"/>
        <a:ext cx="1519936" cy="366230"/>
      </dsp:txXfrm>
    </dsp:sp>
  </dsp:spTree>
</dsp:drawing>
</file>

<file path=xl/diagrams/layout1.xml><?xml version="1.0" encoding="utf-8"?>
<dgm:layoutDef xmlns:dgm="http://schemas.openxmlformats.org/drawingml/2006/diagram" xmlns:a="http://schemas.openxmlformats.org/drawingml/2006/main" uniqueId="urn:microsoft.com/office/officeart/2005/8/layout/pyramid2">
  <dgm:title val=""/>
  <dgm:desc val=""/>
  <dgm:catLst>
    <dgm:cat type="pyramid" pri="3000"/>
    <dgm:cat type="list" pri="21000"/>
    <dgm:cat type="convert" pri="17000"/>
  </dgm:catLst>
  <dgm:sampData useDef="1">
    <dgm:dataModel>
      <dgm:ptLst/>
      <dgm:bg/>
      <dgm:whole/>
    </dgm:dataModel>
  </dgm:sampData>
  <dgm:styleData useDef="1">
    <dgm:dataModel>
      <dgm:ptLst/>
      <dgm:bg/>
      <dgm:whole/>
    </dgm:dataModel>
  </dgm:styleData>
  <dgm:clrData useDef="1">
    <dgm:dataModel>
      <dgm:ptLst/>
      <dgm:bg/>
      <dgm:whole/>
    </dgm:dataModel>
  </dgm:clrData>
  <dgm:layoutNode name="compositeShape">
    <dgm:alg type="composite"/>
    <dgm:shape xmlns:r="http://schemas.openxmlformats.org/officeDocument/2006/relationships" r:blip="">
      <dgm:adjLst/>
    </dgm:shape>
    <dgm:presOf/>
    <dgm:varLst>
      <dgm:dir/>
      <dgm:resizeHandles/>
    </dgm:varLst>
    <dgm:choose name="Name0">
      <dgm:if name="Name1" func="var" arg="dir" op="equ" val="norm">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l" for="ch" forName="theList" refType="w" refFor="ch" refForName="pyramid" fact="0.5"/>
          <dgm:constr type="h" for="des" forName="aSpace" refType="h" fact="0.1"/>
        </dgm:constrLst>
      </dgm:if>
      <dgm:else name="Name2">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r" for="ch" forName="theList" refType="w" refFor="ch" refForName="pyramid" fact="0.5"/>
          <dgm:constr type="h" for="des" forName="aSpace" refType="h" fact="0.1"/>
        </dgm:constrLst>
      </dgm:else>
    </dgm:choose>
    <dgm:ruleLst/>
    <dgm:choose name="Name3">
      <dgm:if name="Name4" axis="ch" ptType="node" func="cnt" op="gte" val="1">
        <dgm:layoutNode name="pyramid" styleLbl="node1">
          <dgm:alg type="sp"/>
          <dgm:shape xmlns:r="http://schemas.openxmlformats.org/officeDocument/2006/relationships" type="triangle" r:blip="">
            <dgm:adjLst/>
          </dgm:shape>
          <dgm:presOf/>
          <dgm:constrLst/>
          <dgm:ruleLst/>
        </dgm:layoutNode>
        <dgm:layoutNode name="theList">
          <dgm:alg type="lin">
            <dgm:param type="linDir" val="fromT"/>
          </dgm:alg>
          <dgm:shape xmlns:r="http://schemas.openxmlformats.org/officeDocument/2006/relationships" r:blip="">
            <dgm:adjLst/>
          </dgm:shape>
          <dgm:presOf/>
          <dgm:constrLst>
            <dgm:constr type="w" for="ch" forName="aNode" refType="w"/>
            <dgm:constr type="h" for="ch" forName="aNode" refType="h"/>
            <dgm:constr type="primFontSz" for="ch" ptType="node" op="equ"/>
          </dgm:constrLst>
          <dgm:ruleLst/>
          <dgm:forEach name="aNodeForEach" axis="ch" ptType="node">
            <dgm:layoutNode name="aNode" styleLbl="fgAcc1">
              <dgm:varLst>
                <dgm:bulletEnabled val="1"/>
              </dgm:varLst>
              <dgm:alg type="tx"/>
              <dgm:shape xmlns:r="http://schemas.openxmlformats.org/officeDocument/2006/relationships" type="roundRect" r:blip="">
                <dgm:adjLst/>
              </dgm:shape>
              <dgm:presOf axis="desOrSelf" ptType="node"/>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aSpace">
              <dgm:alg type="sp"/>
              <dgm:shape xmlns:r="http://schemas.openxmlformats.org/officeDocument/2006/relationships" r:blip="">
                <dgm:adjLst/>
              </dgm:shape>
              <dgm:presOf/>
              <dgm:constrLst/>
              <dgm:ruleLst/>
            </dgm:layoutNode>
          </dgm:forEach>
        </dgm:layoutNode>
      </dgm:if>
      <dgm:else name="Name5"/>
    </dgm:choose>
  </dgm:layoutNode>
</dgm:layoutDef>
</file>

<file path=xl/diagrams/layout2.xml><?xml version="1.0" encoding="utf-8"?>
<dgm:layoutDef xmlns:dgm="http://schemas.openxmlformats.org/drawingml/2006/diagram" xmlns:a="http://schemas.openxmlformats.org/drawingml/2006/main" uniqueId="urn:microsoft.com/office/officeart/2005/8/layout/pyramid2">
  <dgm:title val=""/>
  <dgm:desc val=""/>
  <dgm:catLst>
    <dgm:cat type="pyramid" pri="3000"/>
    <dgm:cat type="list" pri="21000"/>
    <dgm:cat type="convert" pri="17000"/>
  </dgm:catLst>
  <dgm:sampData useDef="1">
    <dgm:dataModel>
      <dgm:ptLst/>
      <dgm:bg/>
      <dgm:whole/>
    </dgm:dataModel>
  </dgm:sampData>
  <dgm:styleData useDef="1">
    <dgm:dataModel>
      <dgm:ptLst/>
      <dgm:bg/>
      <dgm:whole/>
    </dgm:dataModel>
  </dgm:styleData>
  <dgm:clrData useDef="1">
    <dgm:dataModel>
      <dgm:ptLst/>
      <dgm:bg/>
      <dgm:whole/>
    </dgm:dataModel>
  </dgm:clrData>
  <dgm:layoutNode name="compositeShape">
    <dgm:alg type="composite"/>
    <dgm:shape xmlns:r="http://schemas.openxmlformats.org/officeDocument/2006/relationships" r:blip="">
      <dgm:adjLst/>
    </dgm:shape>
    <dgm:presOf/>
    <dgm:varLst>
      <dgm:dir/>
      <dgm:resizeHandles/>
    </dgm:varLst>
    <dgm:choose name="Name0">
      <dgm:if name="Name1" func="var" arg="dir" op="equ" val="norm">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l" for="ch" forName="theList" refType="w" refFor="ch" refForName="pyramid" fact="0.5"/>
          <dgm:constr type="h" for="des" forName="aSpace" refType="h" fact="0.1"/>
        </dgm:constrLst>
      </dgm:if>
      <dgm:else name="Name2">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r" for="ch" forName="theList" refType="w" refFor="ch" refForName="pyramid" fact="0.5"/>
          <dgm:constr type="h" for="des" forName="aSpace" refType="h" fact="0.1"/>
        </dgm:constrLst>
      </dgm:else>
    </dgm:choose>
    <dgm:ruleLst/>
    <dgm:choose name="Name3">
      <dgm:if name="Name4" axis="ch" ptType="node" func="cnt" op="gte" val="1">
        <dgm:layoutNode name="pyramid" styleLbl="node1">
          <dgm:alg type="sp"/>
          <dgm:shape xmlns:r="http://schemas.openxmlformats.org/officeDocument/2006/relationships" type="triangle" r:blip="">
            <dgm:adjLst/>
          </dgm:shape>
          <dgm:presOf/>
          <dgm:constrLst/>
          <dgm:ruleLst/>
        </dgm:layoutNode>
        <dgm:layoutNode name="theList">
          <dgm:alg type="lin">
            <dgm:param type="linDir" val="fromT"/>
          </dgm:alg>
          <dgm:shape xmlns:r="http://schemas.openxmlformats.org/officeDocument/2006/relationships" r:blip="">
            <dgm:adjLst/>
          </dgm:shape>
          <dgm:presOf/>
          <dgm:constrLst>
            <dgm:constr type="w" for="ch" forName="aNode" refType="w"/>
            <dgm:constr type="h" for="ch" forName="aNode" refType="h"/>
            <dgm:constr type="primFontSz" for="ch" ptType="node" op="equ"/>
          </dgm:constrLst>
          <dgm:ruleLst/>
          <dgm:forEach name="aNodeForEach" axis="ch" ptType="node">
            <dgm:layoutNode name="aNode" styleLbl="fgAcc1">
              <dgm:varLst>
                <dgm:bulletEnabled val="1"/>
              </dgm:varLst>
              <dgm:alg type="tx"/>
              <dgm:shape xmlns:r="http://schemas.openxmlformats.org/officeDocument/2006/relationships" type="roundRect" r:blip="">
                <dgm:adjLst/>
              </dgm:shape>
              <dgm:presOf axis="desOrSelf" ptType="node"/>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aSpace">
              <dgm:alg type="sp"/>
              <dgm:shape xmlns:r="http://schemas.openxmlformats.org/officeDocument/2006/relationships" r:blip="">
                <dgm:adjLst/>
              </dgm:shape>
              <dgm:presOf/>
              <dgm:constrLst/>
              <dgm:ruleLst/>
            </dgm:layoutNode>
          </dgm:forEach>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20.xml"/><Relationship Id="rId7" Type="http://schemas.openxmlformats.org/officeDocument/2006/relationships/image" Target="../media/image6.png"/><Relationship Id="rId2" Type="http://schemas.openxmlformats.org/officeDocument/2006/relationships/chart" Target="../charts/chart19.xml"/><Relationship Id="rId1" Type="http://schemas.openxmlformats.org/officeDocument/2006/relationships/image" Target="../media/image2.png"/><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8" Type="http://schemas.openxmlformats.org/officeDocument/2006/relationships/diagramData" Target="../diagrams/data2.xml"/><Relationship Id="rId13" Type="http://schemas.openxmlformats.org/officeDocument/2006/relationships/chart" Target="../charts/chart29.xml"/><Relationship Id="rId3" Type="http://schemas.openxmlformats.org/officeDocument/2006/relationships/diagramQuickStyle" Target="../diagrams/quickStyle1.xml"/><Relationship Id="rId7" Type="http://schemas.openxmlformats.org/officeDocument/2006/relationships/chart" Target="../charts/chart28.xml"/><Relationship Id="rId12" Type="http://schemas.microsoft.com/office/2007/relationships/diagramDrawing" Target="../diagrams/drawing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8.png"/><Relationship Id="rId11" Type="http://schemas.openxmlformats.org/officeDocument/2006/relationships/diagramColors" Target="../diagrams/colors2.xml"/><Relationship Id="rId5" Type="http://schemas.microsoft.com/office/2007/relationships/diagramDrawing" Target="../diagrams/drawing1.xml"/><Relationship Id="rId10" Type="http://schemas.openxmlformats.org/officeDocument/2006/relationships/diagramQuickStyle" Target="../diagrams/quickStyle2.xml"/><Relationship Id="rId4" Type="http://schemas.openxmlformats.org/officeDocument/2006/relationships/diagramColors" Target="../diagrams/colors1.xml"/><Relationship Id="rId9" Type="http://schemas.openxmlformats.org/officeDocument/2006/relationships/diagramLayout" Target="../diagrams/layout2.xml"/></Relationships>
</file>

<file path=xl/drawings/drawing1.xml><?xml version="1.0" encoding="utf-8"?>
<xdr:wsDr xmlns:xdr="http://schemas.openxmlformats.org/drawingml/2006/spreadsheetDrawing" xmlns:a="http://schemas.openxmlformats.org/drawingml/2006/main">
  <xdr:twoCellAnchor>
    <xdr:from>
      <xdr:col>5</xdr:col>
      <xdr:colOff>190500</xdr:colOff>
      <xdr:row>4</xdr:row>
      <xdr:rowOff>50800</xdr:rowOff>
    </xdr:from>
    <xdr:to>
      <xdr:col>5</xdr:col>
      <xdr:colOff>285750</xdr:colOff>
      <xdr:row>5</xdr:row>
      <xdr:rowOff>0</xdr:rowOff>
    </xdr:to>
    <xdr:sp macro="" textlink="">
      <xdr:nvSpPr>
        <xdr:cNvPr id="7169" name="Object 1" hidden="1">
          <a:extLst>
            <a:ext uri="{63B3BB69-23CF-44E3-9099-C40C66FF867C}">
              <a14:compatExt xmlns:a14="http://schemas.microsoft.com/office/drawing/2010/main"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333375</xdr:colOff>
      <xdr:row>1</xdr:row>
      <xdr:rowOff>35620</xdr:rowOff>
    </xdr:from>
    <xdr:to>
      <xdr:col>10</xdr:col>
      <xdr:colOff>1047750</xdr:colOff>
      <xdr:row>1</xdr:row>
      <xdr:rowOff>619004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6124575" y="368995"/>
          <a:ext cx="2447925" cy="5833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228600</xdr:colOff>
      <xdr:row>0</xdr:row>
      <xdr:rowOff>171449</xdr:rowOff>
    </xdr:from>
    <xdr:to>
      <xdr:col>3</xdr:col>
      <xdr:colOff>209549</xdr:colOff>
      <xdr:row>33</xdr:row>
      <xdr:rowOff>66675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38200" y="171449"/>
          <a:ext cx="1200149" cy="6181726"/>
        </a:xfrm>
        <a:prstGeom prst="rect">
          <a:avLst/>
        </a:prstGeom>
        <a:solidFill>
          <a:srgbClr val="00338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1</xdr:col>
      <xdr:colOff>352425</xdr:colOff>
      <xdr:row>1</xdr:row>
      <xdr:rowOff>9525</xdr:rowOff>
    </xdr:from>
    <xdr:ext cx="964040" cy="866775"/>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200025"/>
          <a:ext cx="964040" cy="866775"/>
        </a:xfrm>
        <a:prstGeom prst="rect">
          <a:avLst/>
        </a:prstGeom>
      </xdr:spPr>
    </xdr:pic>
    <xdr:clientData/>
  </xdr:oneCellAnchor>
  <xdr:twoCellAnchor>
    <xdr:from>
      <xdr:col>3</xdr:col>
      <xdr:colOff>342901</xdr:colOff>
      <xdr:row>0</xdr:row>
      <xdr:rowOff>95249</xdr:rowOff>
    </xdr:from>
    <xdr:to>
      <xdr:col>16</xdr:col>
      <xdr:colOff>476250</xdr:colOff>
      <xdr:row>33</xdr:row>
      <xdr:rowOff>114300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171701" y="95249"/>
          <a:ext cx="8058149" cy="6305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4800" b="0">
              <a:solidFill>
                <a:srgbClr val="00338D"/>
              </a:solidFill>
              <a:latin typeface="KPMG Extralight" panose="020B0303030202040204" pitchFamily="34" charset="0"/>
            </a:rPr>
            <a:t>¡Bienvenido</a:t>
          </a:r>
          <a:r>
            <a:rPr lang="en-US" sz="4800" b="0" baseline="0">
              <a:solidFill>
                <a:srgbClr val="00338D"/>
              </a:solidFill>
              <a:latin typeface="KPMG Extralight" panose="020B0303030202040204" pitchFamily="34" charset="0"/>
            </a:rPr>
            <a:t> a KPMG PREDICT!</a:t>
          </a:r>
        </a:p>
        <a:p>
          <a:pPr algn="l"/>
          <a:endParaRPr lang="en-US" sz="1200" b="0" baseline="0">
            <a:solidFill>
              <a:srgbClr val="00338D"/>
            </a:solidFill>
            <a:latin typeface="Arial" panose="020B0604020202020204" pitchFamily="34" charset="0"/>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r>
            <a:rPr lang="en-US" sz="1200" b="0" i="0" baseline="0">
              <a:solidFill>
                <a:srgbClr val="00338D"/>
              </a:solidFill>
              <a:latin typeface="Arial" panose="020B0604020202020204" pitchFamily="34" charset="0"/>
              <a:ea typeface="+mn-ea"/>
              <a:cs typeface="Arial" panose="020B0604020202020204" pitchFamily="34" charset="0"/>
            </a:rPr>
            <a:t>Esta herramienta te permite hacer una estimación de tu futura pensión pública de jubilación así como las pensiones que vas a percibir por los posibles vehículos que tengas contratado a nivel particular.</a:t>
          </a:r>
        </a:p>
        <a:p>
          <a:pPr algn="l"/>
          <a:endParaRPr lang="en-US" sz="1200" b="0" i="0" baseline="0">
            <a:solidFill>
              <a:srgbClr val="00338D"/>
            </a:solidFill>
            <a:latin typeface="Arial" panose="020B0604020202020204" pitchFamily="34" charset="0"/>
            <a:ea typeface="+mn-ea"/>
            <a:cs typeface="Arial" panose="020B0604020202020204" pitchFamily="34" charset="0"/>
          </a:endParaRPr>
        </a:p>
        <a:p>
          <a:pPr algn="l"/>
          <a:r>
            <a:rPr lang="en-US" sz="1200" b="0" i="0" baseline="0">
              <a:solidFill>
                <a:srgbClr val="00338D"/>
              </a:solidFill>
              <a:latin typeface="Arial" panose="020B0604020202020204" pitchFamily="34" charset="0"/>
              <a:ea typeface="+mn-ea"/>
              <a:cs typeface="Arial" panose="020B0604020202020204" pitchFamily="34" charset="0"/>
            </a:rPr>
            <a:t>KPMG Predict te ayuda a planificar tu futuro dando respuesta a todas las preguntas relacionadas con tu jubilación:</a:t>
          </a: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marL="0" indent="0" algn="l"/>
          <a:r>
            <a:rPr lang="en-US" sz="1200" b="0" baseline="0">
              <a:solidFill>
                <a:srgbClr val="00338D"/>
              </a:solidFill>
              <a:latin typeface="Arial" panose="020B0604020202020204" pitchFamily="34" charset="0"/>
              <a:ea typeface="+mn-ea"/>
              <a:cs typeface="Arial" panose="020B0604020202020204" pitchFamily="34" charset="0"/>
            </a:rPr>
            <a:t>En España, la previsión social se estructura en tres pilares: el Pilar I o sistema público, el Pilar II o ahorro colectivo empresarial y el Pilar III, el ahorro individual. A través de KPMG Predict obtendrás una visión completa de las pensiones que recibirás en el futuro, incluyendo la posibilidad de calcular el ahorro necesario para alcanzar tus objetivos y simular distintas modalidades de cobro.</a:t>
          </a:r>
        </a:p>
        <a:p>
          <a:pPr marL="0" indent="0" algn="l"/>
          <a:endParaRPr lang="en-US" sz="1200" b="1" baseline="0">
            <a:solidFill>
              <a:srgbClr val="00338D"/>
            </a:solidFill>
            <a:latin typeface="Arial" panose="020B0604020202020204" pitchFamily="34" charset="0"/>
            <a:ea typeface="+mn-ea"/>
            <a:cs typeface="Arial" panose="020B0604020202020204" pitchFamily="34" charset="0"/>
          </a:endParaRPr>
        </a:p>
        <a:p>
          <a:pPr marL="0" indent="0" algn="l"/>
          <a:endParaRPr lang="en-US" sz="1200" b="1" baseline="0">
            <a:solidFill>
              <a:srgbClr val="00338D"/>
            </a:solidFill>
            <a:latin typeface="Arial" panose="020B0604020202020204" pitchFamily="34" charset="0"/>
            <a:ea typeface="+mn-ea"/>
            <a:cs typeface="Arial" panose="020B0604020202020204" pitchFamily="34" charset="0"/>
          </a:endParaRPr>
        </a:p>
        <a:p>
          <a:pPr marL="0" indent="0" algn="l"/>
          <a:endParaRPr lang="en-US" sz="1200" b="0" baseline="0">
            <a:solidFill>
              <a:srgbClr val="00338D"/>
            </a:solidFill>
            <a:latin typeface="Arial" panose="020B0604020202020204" pitchFamily="34" charset="0"/>
            <a:ea typeface="+mn-ea"/>
            <a:cs typeface="Arial" panose="020B0604020202020204" pitchFamily="34" charset="0"/>
          </a:endParaRPr>
        </a:p>
        <a:p>
          <a:pPr marL="0" indent="0" algn="ctr"/>
          <a:endParaRPr lang="en-US" sz="1100" b="0" i="1" baseline="0">
            <a:solidFill>
              <a:srgbClr val="00B050"/>
            </a:solidFill>
            <a:effectLst/>
            <a:latin typeface="+mn-lt"/>
            <a:ea typeface="+mn-ea"/>
            <a:cs typeface="+mn-cs"/>
          </a:endParaRPr>
        </a:p>
        <a:p>
          <a:pPr marL="0" indent="0" algn="l"/>
          <a:endParaRPr lang="en-US" sz="1100" b="0" i="1" baseline="0">
            <a:solidFill>
              <a:srgbClr val="00B050"/>
            </a:solidFill>
            <a:effectLst/>
            <a:latin typeface="+mn-lt"/>
            <a:ea typeface="+mn-ea"/>
            <a:cs typeface="+mn-cs"/>
          </a:endParaRPr>
        </a:p>
        <a:p>
          <a:pPr marL="0" indent="0" algn="l"/>
          <a:endParaRPr lang="en-US" sz="1200" b="0" baseline="0">
            <a:solidFill>
              <a:srgbClr val="00338D"/>
            </a:solidFill>
            <a:latin typeface="Arial" panose="020B0604020202020204" pitchFamily="34" charset="0"/>
            <a:ea typeface="+mn-ea"/>
            <a:cs typeface="Arial" panose="020B0604020202020204" pitchFamily="34" charset="0"/>
          </a:endParaRPr>
        </a:p>
      </xdr:txBody>
    </xdr:sp>
    <xdr:clientData/>
  </xdr:twoCellAnchor>
  <xdr:twoCellAnchor>
    <xdr:from>
      <xdr:col>23</xdr:col>
      <xdr:colOff>117199</xdr:colOff>
      <xdr:row>3</xdr:row>
      <xdr:rowOff>38273</xdr:rowOff>
    </xdr:from>
    <xdr:to>
      <xdr:col>25</xdr:col>
      <xdr:colOff>291607</xdr:colOff>
      <xdr:row>6</xdr:row>
      <xdr:rowOff>169651</xdr:rowOff>
    </xdr:to>
    <xdr:sp macro="" textlink="">
      <xdr:nvSpPr>
        <xdr:cNvPr id="5" name="Isosceles Triangle 4">
          <a:extLst>
            <a:ext uri="{FF2B5EF4-FFF2-40B4-BE49-F238E27FC236}">
              <a16:creationId xmlns:a16="http://schemas.microsoft.com/office/drawing/2014/main" id="{00000000-0008-0000-0300-000005000000}"/>
            </a:ext>
          </a:extLst>
        </xdr:cNvPr>
        <xdr:cNvSpPr/>
      </xdr:nvSpPr>
      <xdr:spPr>
        <a:xfrm>
          <a:off x="14226899" y="590723"/>
          <a:ext cx="1457108" cy="683828"/>
        </a:xfrm>
        <a:prstGeom prst="triangle">
          <a:avLst/>
        </a:prstGeom>
        <a:solidFill>
          <a:srgbClr val="6D2077"/>
        </a:solidFill>
        <a:ln>
          <a:solidFill>
            <a:srgbClr val="6D207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357292</xdr:colOff>
      <xdr:row>7</xdr:row>
      <xdr:rowOff>44832</xdr:rowOff>
    </xdr:from>
    <xdr:to>
      <xdr:col>26</xdr:col>
      <xdr:colOff>66262</xdr:colOff>
      <xdr:row>9</xdr:row>
      <xdr:rowOff>103962</xdr:rowOff>
    </xdr:to>
    <xdr:sp macro="" textlink="">
      <xdr:nvSpPr>
        <xdr:cNvPr id="6" name="Flowchart: Manual Operation 5">
          <a:extLst>
            <a:ext uri="{FF2B5EF4-FFF2-40B4-BE49-F238E27FC236}">
              <a16:creationId xmlns:a16="http://schemas.microsoft.com/office/drawing/2014/main" id="{00000000-0008-0000-0300-000006000000}"/>
            </a:ext>
          </a:extLst>
        </xdr:cNvPr>
        <xdr:cNvSpPr/>
      </xdr:nvSpPr>
      <xdr:spPr>
        <a:xfrm rot="10800000">
          <a:off x="13825642" y="1333882"/>
          <a:ext cx="2274370" cy="427430"/>
        </a:xfrm>
        <a:prstGeom prst="flowChartManualOperation">
          <a:avLst/>
        </a:prstGeom>
        <a:solidFill>
          <a:srgbClr val="0091DA"/>
        </a:solidFill>
        <a:ln>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120810</xdr:colOff>
      <xdr:row>10</xdr:row>
      <xdr:rowOff>6732</xdr:rowOff>
    </xdr:from>
    <xdr:to>
      <xdr:col>26</xdr:col>
      <xdr:colOff>245622</xdr:colOff>
      <xdr:row>12</xdr:row>
      <xdr:rowOff>164387</xdr:rowOff>
    </xdr:to>
    <xdr:sp macro="" textlink="">
      <xdr:nvSpPr>
        <xdr:cNvPr id="7" name="Flowchart: Manual Operation 6">
          <a:extLst>
            <a:ext uri="{FF2B5EF4-FFF2-40B4-BE49-F238E27FC236}">
              <a16:creationId xmlns:a16="http://schemas.microsoft.com/office/drawing/2014/main" id="{00000000-0008-0000-0300-000007000000}"/>
            </a:ext>
          </a:extLst>
        </xdr:cNvPr>
        <xdr:cNvSpPr/>
      </xdr:nvSpPr>
      <xdr:spPr>
        <a:xfrm rot="10800000">
          <a:off x="13589160" y="1848232"/>
          <a:ext cx="2690212" cy="525955"/>
        </a:xfrm>
        <a:prstGeom prst="flowChartManualOperation">
          <a:avLst/>
        </a:prstGeom>
        <a:solidFill>
          <a:srgbClr val="00A3A1"/>
        </a:solidFill>
        <a:ln>
          <a:solidFill>
            <a:srgbClr val="00A3A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600075</xdr:colOff>
      <xdr:row>29</xdr:row>
      <xdr:rowOff>19049</xdr:rowOff>
    </xdr:from>
    <xdr:to>
      <xdr:col>11</xdr:col>
      <xdr:colOff>485775</xdr:colOff>
      <xdr:row>32</xdr:row>
      <xdr:rowOff>123824</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5476875" y="5543549"/>
          <a:ext cx="1714500" cy="676275"/>
        </a:xfrm>
        <a:prstGeom prst="rect">
          <a:avLst/>
        </a:prstGeom>
        <a:solidFill>
          <a:srgbClr val="00338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effectLst/>
              <a:latin typeface="Arial" panose="020B0604020202020204" pitchFamily="34" charset="0"/>
              <a:ea typeface="+mn-ea"/>
              <a:cs typeface="Arial" panose="020B0604020202020204" pitchFamily="34" charset="0"/>
            </a:rPr>
            <a:t>Comienza a planificar tu jubilación</a:t>
          </a:r>
          <a:endParaRPr lang="es-ES" sz="9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5</xdr:col>
      <xdr:colOff>505956</xdr:colOff>
      <xdr:row>10</xdr:row>
      <xdr:rowOff>129465</xdr:rowOff>
    </xdr:from>
    <xdr:to>
      <xdr:col>14</xdr:col>
      <xdr:colOff>200026</xdr:colOff>
      <xdr:row>21</xdr:row>
      <xdr:rowOff>152400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3638623" y="1992132"/>
          <a:ext cx="5332870" cy="2071868"/>
          <a:chOff x="12246429" y="2477461"/>
          <a:chExt cx="9767919" cy="3952086"/>
        </a:xfrm>
      </xdr:grpSpPr>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tretch>
            <a:fillRect/>
          </a:stretch>
        </xdr:blipFill>
        <xdr:spPr>
          <a:xfrm>
            <a:off x="12246429" y="2477461"/>
            <a:ext cx="4628574" cy="3923809"/>
          </a:xfrm>
          <a:prstGeom prst="rect">
            <a:avLst/>
          </a:prstGeom>
        </xdr:spPr>
      </xdr:pic>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3"/>
          <a:stretch>
            <a:fillRect/>
          </a:stretch>
        </xdr:blipFill>
        <xdr:spPr>
          <a:xfrm>
            <a:off x="16859245" y="2562880"/>
            <a:ext cx="5155103" cy="3866667"/>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146959</xdr:colOff>
      <xdr:row>0</xdr:row>
      <xdr:rowOff>76200</xdr:rowOff>
    </xdr:from>
    <xdr:to>
      <xdr:col>3</xdr:col>
      <xdr:colOff>635001</xdr:colOff>
      <xdr:row>1</xdr:row>
      <xdr:rowOff>390438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5659" y="76200"/>
          <a:ext cx="494392" cy="492038"/>
        </a:xfrm>
        <a:prstGeom prst="rect">
          <a:avLst/>
        </a:prstGeom>
      </xdr:spPr>
    </xdr:pic>
    <xdr:clientData/>
  </xdr:twoCellAnchor>
  <xdr:twoCellAnchor editAs="oneCell">
    <xdr:from>
      <xdr:col>1</xdr:col>
      <xdr:colOff>495300</xdr:colOff>
      <xdr:row>4</xdr:row>
      <xdr:rowOff>76200</xdr:rowOff>
    </xdr:from>
    <xdr:to>
      <xdr:col>1</xdr:col>
      <xdr:colOff>779992</xdr:colOff>
      <xdr:row>4</xdr:row>
      <xdr:rowOff>364200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5300" y="1400175"/>
          <a:ext cx="284692" cy="288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779282</xdr:colOff>
      <xdr:row>1</xdr:row>
      <xdr:rowOff>350101</xdr:rowOff>
    </xdr:from>
    <xdr:to>
      <xdr:col>12</xdr:col>
      <xdr:colOff>132522</xdr:colOff>
      <xdr:row>11</xdr:row>
      <xdr:rowOff>217171</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9645152" y="532981"/>
          <a:ext cx="3475660" cy="22978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8</xdr:col>
      <xdr:colOff>752644</xdr:colOff>
      <xdr:row>2</xdr:row>
      <xdr:rowOff>23982</xdr:rowOff>
    </xdr:from>
    <xdr:to>
      <xdr:col>9</xdr:col>
      <xdr:colOff>180294</xdr:colOff>
      <xdr:row>9</xdr:row>
      <xdr:rowOff>62932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819034</xdr:colOff>
      <xdr:row>1</xdr:row>
      <xdr:rowOff>436989</xdr:rowOff>
    </xdr:from>
    <xdr:to>
      <xdr:col>9</xdr:col>
      <xdr:colOff>243839</xdr:colOff>
      <xdr:row>10</xdr:row>
      <xdr:rowOff>63558</xdr:rowOff>
    </xdr:to>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9684904" y="619869"/>
          <a:ext cx="1874635" cy="18935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8</xdr:col>
      <xdr:colOff>380999</xdr:colOff>
      <xdr:row>13</xdr:row>
      <xdr:rowOff>196850</xdr:rowOff>
    </xdr:from>
    <xdr:to>
      <xdr:col>13</xdr:col>
      <xdr:colOff>276225</xdr:colOff>
      <xdr:row>33</xdr:row>
      <xdr:rowOff>571500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1025253</xdr:colOff>
      <xdr:row>10</xdr:row>
      <xdr:rowOff>58155</xdr:rowOff>
    </xdr:from>
    <xdr:to>
      <xdr:col>11</xdr:col>
      <xdr:colOff>388289</xdr:colOff>
      <xdr:row>11</xdr:row>
      <xdr:rowOff>153697</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891123" y="2507985"/>
          <a:ext cx="2845376" cy="25937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del Pilar I</a:t>
          </a:r>
          <a:endParaRPr lang="en-US" sz="800" b="1">
            <a:latin typeface="Arial" panose="020B0604020202020204" pitchFamily="34" charset="0"/>
            <a:cs typeface="Arial" panose="020B0604020202020204" pitchFamily="34" charset="0"/>
          </a:endParaRPr>
        </a:p>
      </xdr:txBody>
    </xdr:sp>
    <xdr:clientData/>
  </xdr:twoCellAnchor>
  <xdr:twoCellAnchor>
    <xdr:from>
      <xdr:col>38</xdr:col>
      <xdr:colOff>234462</xdr:colOff>
      <xdr:row>10</xdr:row>
      <xdr:rowOff>1055313</xdr:rowOff>
    </xdr:from>
    <xdr:to>
      <xdr:col>41</xdr:col>
      <xdr:colOff>381001</xdr:colOff>
      <xdr:row>18</xdr:row>
      <xdr:rowOff>278424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38</xdr:col>
      <xdr:colOff>268148</xdr:colOff>
      <xdr:row>10</xdr:row>
      <xdr:rowOff>952500</xdr:rowOff>
    </xdr:from>
    <xdr:to>
      <xdr:col>41</xdr:col>
      <xdr:colOff>546569</xdr:colOff>
      <xdr:row>18</xdr:row>
      <xdr:rowOff>219808</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263963</xdr:colOff>
      <xdr:row>132</xdr:row>
      <xdr:rowOff>43462</xdr:rowOff>
    </xdr:from>
    <xdr:to>
      <xdr:col>17</xdr:col>
      <xdr:colOff>292376</xdr:colOff>
      <xdr:row>141</xdr:row>
      <xdr:rowOff>162788</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171347</xdr:colOff>
      <xdr:row>123</xdr:row>
      <xdr:rowOff>72532</xdr:rowOff>
    </xdr:from>
    <xdr:to>
      <xdr:col>17</xdr:col>
      <xdr:colOff>277409</xdr:colOff>
      <xdr:row>132</xdr:row>
      <xdr:rowOff>72542</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614483</xdr:colOff>
      <xdr:row>3</xdr:row>
      <xdr:rowOff>25447</xdr:rowOff>
    </xdr:from>
    <xdr:to>
      <xdr:col>11</xdr:col>
      <xdr:colOff>299946</xdr:colOff>
      <xdr:row>6</xdr:row>
      <xdr:rowOff>45674</xdr:rowOff>
    </xdr:to>
    <xdr:sp macro="" textlink="">
      <xdr:nvSpPr>
        <xdr:cNvPr id="35" name="Oval 34">
          <a:extLst>
            <a:ext uri="{FF2B5EF4-FFF2-40B4-BE49-F238E27FC236}">
              <a16:creationId xmlns:a16="http://schemas.microsoft.com/office/drawing/2014/main" id="{00000000-0008-0000-0A00-000023000000}"/>
            </a:ext>
          </a:extLst>
        </xdr:cNvPr>
        <xdr:cNvSpPr/>
      </xdr:nvSpPr>
      <xdr:spPr>
        <a:xfrm>
          <a:off x="11432162" y="991554"/>
          <a:ext cx="665177" cy="686977"/>
        </a:xfrm>
        <a:prstGeom prst="ellipse">
          <a:avLst/>
        </a:prstGeom>
        <a:solidFill>
          <a:srgbClr val="6D2077"/>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469486</xdr:colOff>
      <xdr:row>4</xdr:row>
      <xdr:rowOff>13409</xdr:rowOff>
    </xdr:from>
    <xdr:to>
      <xdr:col>11</xdr:col>
      <xdr:colOff>448850</xdr:colOff>
      <xdr:row>5</xdr:row>
      <xdr:rowOff>45071</xdr:rowOff>
    </xdr:to>
    <xdr:sp macro="" textlink="$G$51">
      <xdr:nvSpPr>
        <xdr:cNvPr id="36" name="Rectangle 35">
          <a:extLst>
            <a:ext uri="{FF2B5EF4-FFF2-40B4-BE49-F238E27FC236}">
              <a16:creationId xmlns:a16="http://schemas.microsoft.com/office/drawing/2014/main" id="{00000000-0008-0000-0A00-000024000000}"/>
            </a:ext>
          </a:extLst>
        </xdr:cNvPr>
        <xdr:cNvSpPr/>
      </xdr:nvSpPr>
      <xdr:spPr>
        <a:xfrm>
          <a:off x="11270008" y="1181257"/>
          <a:ext cx="964994" cy="2470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70A067-F676-45DB-A174-93DC19B3EC9F}" type="TxLink">
            <a:rPr lang="en-US" sz="1000" b="1" i="0" u="none" strike="noStrike">
              <a:solidFill>
                <a:schemeClr val="bg1"/>
              </a:solidFill>
              <a:latin typeface="Arial"/>
              <a:cs typeface="Arial"/>
            </a:rPr>
            <a:pPr algn="ctr"/>
            <a:t>13,20%</a:t>
          </a:fld>
          <a:endParaRPr lang="en-US" sz="1800" b="1">
            <a:solidFill>
              <a:schemeClr val="bg1"/>
            </a:solidFill>
          </a:endParaRPr>
        </a:p>
      </xdr:txBody>
    </xdr:sp>
    <xdr:clientData/>
  </xdr:twoCellAnchor>
  <xdr:twoCellAnchor>
    <xdr:from>
      <xdr:col>9</xdr:col>
      <xdr:colOff>355477</xdr:colOff>
      <xdr:row>2</xdr:row>
      <xdr:rowOff>81262</xdr:rowOff>
    </xdr:from>
    <xdr:to>
      <xdr:col>13</xdr:col>
      <xdr:colOff>135914</xdr:colOff>
      <xdr:row>7</xdr:row>
      <xdr:rowOff>184639</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925195</xdr:colOff>
      <xdr:row>10</xdr:row>
      <xdr:rowOff>132970</xdr:rowOff>
    </xdr:from>
    <xdr:to>
      <xdr:col>8</xdr:col>
      <xdr:colOff>1044575</xdr:colOff>
      <xdr:row>11</xdr:row>
      <xdr:rowOff>60959</xdr:rowOff>
    </xdr:to>
    <xdr:sp macro="" textlink="">
      <xdr:nvSpPr>
        <xdr:cNvPr id="8" name="Rectangle 7">
          <a:extLst>
            <a:ext uri="{FF2B5EF4-FFF2-40B4-BE49-F238E27FC236}">
              <a16:creationId xmlns:a16="http://schemas.microsoft.com/office/drawing/2014/main" id="{00000000-0008-0000-0A00-000008000000}"/>
            </a:ext>
          </a:extLst>
        </xdr:cNvPr>
        <xdr:cNvSpPr/>
      </xdr:nvSpPr>
      <xdr:spPr>
        <a:xfrm>
          <a:off x="9791065" y="2582800"/>
          <a:ext cx="119380" cy="91819"/>
        </a:xfrm>
        <a:prstGeom prst="rect">
          <a:avLst/>
        </a:prstGeom>
        <a:solidFill>
          <a:srgbClr val="6D2077"/>
        </a:solidFill>
        <a:ln>
          <a:solidFill>
            <a:srgbClr val="6D2077"/>
          </a:solid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201084</xdr:colOff>
      <xdr:row>0</xdr:row>
      <xdr:rowOff>0</xdr:rowOff>
    </xdr:from>
    <xdr:to>
      <xdr:col>4</xdr:col>
      <xdr:colOff>732436</xdr:colOff>
      <xdr:row>2</xdr:row>
      <xdr:rowOff>132477</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6501" y="0"/>
          <a:ext cx="809694" cy="783167"/>
        </a:xfrm>
        <a:prstGeom prst="rect">
          <a:avLst/>
        </a:prstGeom>
      </xdr:spPr>
    </xdr:pic>
    <xdr:clientData/>
  </xdr:twoCellAnchor>
  <xdr:twoCellAnchor>
    <xdr:from>
      <xdr:col>35</xdr:col>
      <xdr:colOff>458235</xdr:colOff>
      <xdr:row>2</xdr:row>
      <xdr:rowOff>3055</xdr:rowOff>
    </xdr:from>
    <xdr:to>
      <xdr:col>38</xdr:col>
      <xdr:colOff>401100</xdr:colOff>
      <xdr:row>13</xdr:row>
      <xdr:rowOff>220600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59081</xdr:colOff>
      <xdr:row>1</xdr:row>
      <xdr:rowOff>760406</xdr:rowOff>
    </xdr:from>
    <xdr:to>
      <xdr:col>43</xdr:col>
      <xdr:colOff>601436</xdr:colOff>
      <xdr:row>13</xdr:row>
      <xdr:rowOff>736425</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916732</xdr:colOff>
      <xdr:row>102</xdr:row>
      <xdr:rowOff>396875</xdr:rowOff>
    </xdr:from>
    <xdr:to>
      <xdr:col>18</xdr:col>
      <xdr:colOff>83789</xdr:colOff>
      <xdr:row>119</xdr:row>
      <xdr:rowOff>22411</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983716</xdr:colOff>
      <xdr:row>118</xdr:row>
      <xdr:rowOff>6883</xdr:rowOff>
    </xdr:from>
    <xdr:to>
      <xdr:col>16</xdr:col>
      <xdr:colOff>2752196</xdr:colOff>
      <xdr:row>129</xdr:row>
      <xdr:rowOff>16918</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678295</xdr:colOff>
      <xdr:row>78</xdr:row>
      <xdr:rowOff>36340</xdr:rowOff>
    </xdr:from>
    <xdr:to>
      <xdr:col>49</xdr:col>
      <xdr:colOff>1633531</xdr:colOff>
      <xdr:row>81</xdr:row>
      <xdr:rowOff>167360</xdr:rowOff>
    </xdr:to>
    <xdr:graphicFrame macro="">
      <xdr:nvGraphicFramePr>
        <xdr:cNvPr id="35" name="Chart 34">
          <a:extLst>
            <a:ext uri="{FF2B5EF4-FFF2-40B4-BE49-F238E27FC236}">
              <a16:creationId xmlns:a16="http://schemas.microsoft.com/office/drawing/2014/main" id="{00000000-0008-0000-0F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1040162</xdr:colOff>
      <xdr:row>84</xdr:row>
      <xdr:rowOff>273797</xdr:rowOff>
    </xdr:from>
    <xdr:to>
      <xdr:col>19</xdr:col>
      <xdr:colOff>103191</xdr:colOff>
      <xdr:row>100</xdr:row>
      <xdr:rowOff>313763</xdr:rowOff>
    </xdr:to>
    <xdr:graphicFrame macro="">
      <xdr:nvGraphicFramePr>
        <xdr:cNvPr id="38" name="Chart 37">
          <a:extLst>
            <a:ext uri="{FF2B5EF4-FFF2-40B4-BE49-F238E27FC236}">
              <a16:creationId xmlns:a16="http://schemas.microsoft.com/office/drawing/2014/main" id="{00000000-0008-0000-0F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827637</xdr:colOff>
      <xdr:row>120</xdr:row>
      <xdr:rowOff>198530</xdr:rowOff>
    </xdr:from>
    <xdr:to>
      <xdr:col>17</xdr:col>
      <xdr:colOff>95547</xdr:colOff>
      <xdr:row>134</xdr:row>
      <xdr:rowOff>347383</xdr:rowOff>
    </xdr:to>
    <xdr:graphicFrame macro="">
      <xdr:nvGraphicFramePr>
        <xdr:cNvPr id="39" name="Chart 38">
          <a:extLst>
            <a:ext uri="{FF2B5EF4-FFF2-40B4-BE49-F238E27FC236}">
              <a16:creationId xmlns:a16="http://schemas.microsoft.com/office/drawing/2014/main" id="{00000000-0008-0000-0F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7</xdr:col>
          <xdr:colOff>0</xdr:colOff>
          <xdr:row>46</xdr:row>
          <xdr:rowOff>388620</xdr:rowOff>
        </xdr:from>
        <xdr:to>
          <xdr:col>7</xdr:col>
          <xdr:colOff>2697480</xdr:colOff>
          <xdr:row>50</xdr:row>
          <xdr:rowOff>99060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F00-00000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339966"/>
                  </a:solidFill>
                  <a:latin typeface="Calibri"/>
                  <a:cs typeface="Calibri"/>
                </a:rPr>
                <a:t>Aportación Flex</a:t>
              </a:r>
            </a:p>
          </xdr:txBody>
        </xdr:sp>
        <xdr:clientData fPrintsWithSheet="0"/>
      </xdr:twoCellAnchor>
    </mc:Choice>
    <mc:Fallback/>
  </mc:AlternateContent>
  <xdr:twoCellAnchor>
    <xdr:from>
      <xdr:col>24</xdr:col>
      <xdr:colOff>106379</xdr:colOff>
      <xdr:row>1</xdr:row>
      <xdr:rowOff>127335</xdr:rowOff>
    </xdr:from>
    <xdr:to>
      <xdr:col>24</xdr:col>
      <xdr:colOff>1927412</xdr:colOff>
      <xdr:row>21</xdr:row>
      <xdr:rowOff>19424</xdr:rowOff>
    </xdr:to>
    <xdr:sp macro="" textlink="">
      <xdr:nvSpPr>
        <xdr:cNvPr id="51" name="TextBox 50">
          <a:extLst>
            <a:ext uri="{FF2B5EF4-FFF2-40B4-BE49-F238E27FC236}">
              <a16:creationId xmlns:a16="http://schemas.microsoft.com/office/drawing/2014/main" id="{00000000-0008-0000-0F00-000033000000}"/>
            </a:ext>
          </a:extLst>
        </xdr:cNvPr>
        <xdr:cNvSpPr txBox="1"/>
      </xdr:nvSpPr>
      <xdr:spPr>
        <a:xfrm>
          <a:off x="12208732" y="317835"/>
          <a:ext cx="1821033" cy="283923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1000" b="0" baseline="0">
              <a:latin typeface="Arial" panose="020B0604020202020204" pitchFamily="34" charset="0"/>
              <a:cs typeface="Arial" panose="020B0604020202020204" pitchFamily="34" charset="0"/>
            </a:rPr>
            <a:t>Porcentaje que representa la pensión respecto del salario estimado a la fecha de jubilación.</a:t>
          </a:r>
        </a:p>
        <a:p>
          <a:pPr algn="l"/>
          <a:endParaRPr lang="en-US" sz="1000" b="0" baseline="0">
            <a:latin typeface="Arial" panose="020B0604020202020204" pitchFamily="34" charset="0"/>
            <a:cs typeface="Arial" panose="020B0604020202020204" pitchFamily="34" charset="0"/>
          </a:endParaRPr>
        </a:p>
        <a:p>
          <a:r>
            <a:rPr lang="en-US" sz="1000" b="0" baseline="0">
              <a:solidFill>
                <a:schemeClr val="dk1"/>
              </a:solidFill>
              <a:latin typeface="Arial" panose="020B0604020202020204" pitchFamily="34" charset="0"/>
              <a:ea typeface="+mn-ea"/>
              <a:cs typeface="Arial" panose="020B0604020202020204" pitchFamily="34" charset="0"/>
            </a:rPr>
            <a:t>El ratio de sustitución de ingresos determina la parte del salario que quedaría cubierto por la pensión en la fecha de jubilación.</a:t>
          </a:r>
        </a:p>
      </xdr:txBody>
    </xdr:sp>
    <xdr:clientData/>
  </xdr:twoCellAnchor>
  <xdr:twoCellAnchor>
    <xdr:from>
      <xdr:col>24</xdr:col>
      <xdr:colOff>277903</xdr:colOff>
      <xdr:row>15</xdr:row>
      <xdr:rowOff>150272</xdr:rowOff>
    </xdr:from>
    <xdr:to>
      <xdr:col>24</xdr:col>
      <xdr:colOff>2247901</xdr:colOff>
      <xdr:row>17</xdr:row>
      <xdr:rowOff>147545</xdr:rowOff>
    </xdr:to>
    <xdr:sp macro="" textlink="">
      <xdr:nvSpPr>
        <xdr:cNvPr id="52" name="TextBox 51">
          <a:extLst>
            <a:ext uri="{FF2B5EF4-FFF2-40B4-BE49-F238E27FC236}">
              <a16:creationId xmlns:a16="http://schemas.microsoft.com/office/drawing/2014/main" id="{00000000-0008-0000-0F00-000034000000}"/>
            </a:ext>
          </a:extLst>
        </xdr:cNvPr>
        <xdr:cNvSpPr txBox="1"/>
      </xdr:nvSpPr>
      <xdr:spPr>
        <a:xfrm>
          <a:off x="9485403" y="2271172"/>
          <a:ext cx="1969998" cy="4036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Arial" panose="020B0604020202020204" pitchFamily="34" charset="0"/>
              <a:cs typeface="Arial" panose="020B0604020202020204" pitchFamily="34" charset="0"/>
            </a:rPr>
            <a:t>Ratio de sustitución</a:t>
          </a:r>
          <a:r>
            <a:rPr lang="en-US" sz="1000" b="1" baseline="0">
              <a:latin typeface="Arial" panose="020B0604020202020204" pitchFamily="34" charset="0"/>
              <a:cs typeface="Arial" panose="020B0604020202020204" pitchFamily="34" charset="0"/>
            </a:rPr>
            <a:t> de ingresos del Pilar II</a:t>
          </a:r>
          <a:endParaRPr lang="en-US" sz="1000" b="1">
            <a:latin typeface="Arial" panose="020B0604020202020204" pitchFamily="34" charset="0"/>
            <a:cs typeface="Arial" panose="020B0604020202020204" pitchFamily="34" charset="0"/>
          </a:endParaRPr>
        </a:p>
      </xdr:txBody>
    </xdr:sp>
    <xdr:clientData/>
  </xdr:twoCellAnchor>
  <xdr:twoCellAnchor>
    <xdr:from>
      <xdr:col>24</xdr:col>
      <xdr:colOff>296393</xdr:colOff>
      <xdr:row>17</xdr:row>
      <xdr:rowOff>156886</xdr:rowOff>
    </xdr:from>
    <xdr:to>
      <xdr:col>25</xdr:col>
      <xdr:colOff>394275</xdr:colOff>
      <xdr:row>19</xdr:row>
      <xdr:rowOff>156887</xdr:rowOff>
    </xdr:to>
    <xdr:sp macro="" textlink="">
      <xdr:nvSpPr>
        <xdr:cNvPr id="53" name="TextBox 52">
          <a:extLst>
            <a:ext uri="{FF2B5EF4-FFF2-40B4-BE49-F238E27FC236}">
              <a16:creationId xmlns:a16="http://schemas.microsoft.com/office/drawing/2014/main" id="{00000000-0008-0000-0F00-000035000000}"/>
            </a:ext>
          </a:extLst>
        </xdr:cNvPr>
        <xdr:cNvSpPr txBox="1"/>
      </xdr:nvSpPr>
      <xdr:spPr>
        <a:xfrm>
          <a:off x="9503893" y="2684186"/>
          <a:ext cx="2542632" cy="24765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Arial" panose="020B0604020202020204" pitchFamily="34" charset="0"/>
              <a:cs typeface="Arial" panose="020B0604020202020204" pitchFamily="34" charset="0"/>
            </a:rPr>
            <a:t>Ratio de sustitución</a:t>
          </a:r>
          <a:r>
            <a:rPr lang="en-US" sz="1000" b="1" baseline="0">
              <a:latin typeface="Arial" panose="020B0604020202020204" pitchFamily="34" charset="0"/>
              <a:cs typeface="Arial" panose="020B0604020202020204" pitchFamily="34" charset="0"/>
            </a:rPr>
            <a:t> de ingresos total</a:t>
          </a:r>
          <a:endParaRPr lang="en-US" sz="1000" b="1">
            <a:latin typeface="Arial" panose="020B0604020202020204" pitchFamily="34" charset="0"/>
            <a:cs typeface="Arial" panose="020B0604020202020204" pitchFamily="34" charset="0"/>
          </a:endParaRPr>
        </a:p>
      </xdr:txBody>
    </xdr:sp>
    <xdr:clientData/>
  </xdr:twoCellAnchor>
  <xdr:twoCellAnchor>
    <xdr:from>
      <xdr:col>24</xdr:col>
      <xdr:colOff>179080</xdr:colOff>
      <xdr:row>15</xdr:row>
      <xdr:rowOff>219350</xdr:rowOff>
    </xdr:from>
    <xdr:to>
      <xdr:col>24</xdr:col>
      <xdr:colOff>313763</xdr:colOff>
      <xdr:row>17</xdr:row>
      <xdr:rowOff>56030</xdr:rowOff>
    </xdr:to>
    <xdr:sp macro="" textlink="">
      <xdr:nvSpPr>
        <xdr:cNvPr id="54" name="Rectangle 53">
          <a:extLst>
            <a:ext uri="{FF2B5EF4-FFF2-40B4-BE49-F238E27FC236}">
              <a16:creationId xmlns:a16="http://schemas.microsoft.com/office/drawing/2014/main" id="{00000000-0008-0000-0F00-000036000000}"/>
            </a:ext>
          </a:extLst>
        </xdr:cNvPr>
        <xdr:cNvSpPr/>
      </xdr:nvSpPr>
      <xdr:spPr>
        <a:xfrm>
          <a:off x="12281433" y="2538968"/>
          <a:ext cx="134683" cy="161650"/>
        </a:xfrm>
        <a:prstGeom prst="rect">
          <a:avLst/>
        </a:prstGeom>
        <a:solidFill>
          <a:srgbClr val="0091DA"/>
        </a:solidFill>
        <a:ln>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24</xdr:col>
      <xdr:colOff>201628</xdr:colOff>
      <xdr:row>18</xdr:row>
      <xdr:rowOff>13077</xdr:rowOff>
    </xdr:from>
    <xdr:to>
      <xdr:col>24</xdr:col>
      <xdr:colOff>309628</xdr:colOff>
      <xdr:row>19</xdr:row>
      <xdr:rowOff>96798</xdr:rowOff>
    </xdr:to>
    <xdr:sp macro="" textlink="">
      <xdr:nvSpPr>
        <xdr:cNvPr id="55" name="Rectangle 54">
          <a:extLst>
            <a:ext uri="{FF2B5EF4-FFF2-40B4-BE49-F238E27FC236}">
              <a16:creationId xmlns:a16="http://schemas.microsoft.com/office/drawing/2014/main" id="{00000000-0008-0000-0F00-000037000000}"/>
            </a:ext>
          </a:extLst>
        </xdr:cNvPr>
        <xdr:cNvSpPr/>
      </xdr:nvSpPr>
      <xdr:spPr>
        <a:xfrm>
          <a:off x="9409128" y="2762627"/>
          <a:ext cx="108000" cy="10912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25</xdr:col>
      <xdr:colOff>37835</xdr:colOff>
      <xdr:row>19</xdr:row>
      <xdr:rowOff>73659</xdr:rowOff>
    </xdr:from>
    <xdr:to>
      <xdr:col>25</xdr:col>
      <xdr:colOff>694277</xdr:colOff>
      <xdr:row>24</xdr:row>
      <xdr:rowOff>44337</xdr:rowOff>
    </xdr:to>
    <xdr:sp macro="" textlink="">
      <xdr:nvSpPr>
        <xdr:cNvPr id="33" name="Oval 32">
          <a:extLst>
            <a:ext uri="{FF2B5EF4-FFF2-40B4-BE49-F238E27FC236}">
              <a16:creationId xmlns:a16="http://schemas.microsoft.com/office/drawing/2014/main" id="{00000000-0008-0000-0F00-000021000000}"/>
            </a:ext>
          </a:extLst>
        </xdr:cNvPr>
        <xdr:cNvSpPr/>
      </xdr:nvSpPr>
      <xdr:spPr>
        <a:xfrm>
          <a:off x="14527041" y="2785483"/>
          <a:ext cx="656442" cy="687854"/>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64649</xdr:colOff>
      <xdr:row>21</xdr:row>
      <xdr:rowOff>83007</xdr:rowOff>
    </xdr:from>
    <xdr:to>
      <xdr:col>25</xdr:col>
      <xdr:colOff>763476</xdr:colOff>
      <xdr:row>23</xdr:row>
      <xdr:rowOff>210221</xdr:rowOff>
    </xdr:to>
    <xdr:sp macro="" textlink="$F$74">
      <xdr:nvSpPr>
        <xdr:cNvPr id="34" name="Rectangle 33">
          <a:extLst>
            <a:ext uri="{FF2B5EF4-FFF2-40B4-BE49-F238E27FC236}">
              <a16:creationId xmlns:a16="http://schemas.microsoft.com/office/drawing/2014/main" id="{00000000-0008-0000-0F00-000022000000}"/>
            </a:ext>
          </a:extLst>
        </xdr:cNvPr>
        <xdr:cNvSpPr/>
      </xdr:nvSpPr>
      <xdr:spPr>
        <a:xfrm>
          <a:off x="14553855" y="3041360"/>
          <a:ext cx="698827" cy="3737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C7DABC-FA9E-40A6-8BD1-BAF40C7543E0}" type="TxLink">
            <a:rPr lang="en-US" sz="1100" b="1" i="0" u="none" strike="noStrike">
              <a:solidFill>
                <a:srgbClr val="FFFFFF"/>
              </a:solidFill>
              <a:latin typeface="Arial"/>
              <a:cs typeface="Arial"/>
            </a:rPr>
            <a:pPr algn="ctr"/>
            <a:t>17,83%</a:t>
          </a:fld>
          <a:endParaRPr lang="en-US" sz="5400" b="1">
            <a:solidFill>
              <a:schemeClr val="bg1"/>
            </a:solidFill>
          </a:endParaRPr>
        </a:p>
      </xdr:txBody>
    </xdr:sp>
    <xdr:clientData/>
  </xdr:twoCellAnchor>
  <xdr:twoCellAnchor>
    <xdr:from>
      <xdr:col>24</xdr:col>
      <xdr:colOff>2252870</xdr:colOff>
      <xdr:row>2</xdr:row>
      <xdr:rowOff>51575</xdr:rowOff>
    </xdr:from>
    <xdr:to>
      <xdr:col>25</xdr:col>
      <xdr:colOff>612913</xdr:colOff>
      <xdr:row>7</xdr:row>
      <xdr:rowOff>207065</xdr:rowOff>
    </xdr:to>
    <xdr:sp macro="" textlink="">
      <xdr:nvSpPr>
        <xdr:cNvPr id="36" name="Oval 35">
          <a:extLst>
            <a:ext uri="{FF2B5EF4-FFF2-40B4-BE49-F238E27FC236}">
              <a16:creationId xmlns:a16="http://schemas.microsoft.com/office/drawing/2014/main" id="{00000000-0008-0000-0F00-000024000000}"/>
            </a:ext>
          </a:extLst>
        </xdr:cNvPr>
        <xdr:cNvSpPr/>
      </xdr:nvSpPr>
      <xdr:spPr>
        <a:xfrm>
          <a:off x="14420022" y="697618"/>
          <a:ext cx="695739" cy="677295"/>
        </a:xfrm>
        <a:prstGeom prst="ellipse">
          <a:avLst/>
        </a:prstGeom>
        <a:solidFill>
          <a:srgbClr val="0091DA">
            <a:alpha val="94000"/>
          </a:srgbClr>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2253981</xdr:colOff>
      <xdr:row>2</xdr:row>
      <xdr:rowOff>240196</xdr:rowOff>
    </xdr:from>
    <xdr:to>
      <xdr:col>25</xdr:col>
      <xdr:colOff>654326</xdr:colOff>
      <xdr:row>6</xdr:row>
      <xdr:rowOff>33130</xdr:rowOff>
    </xdr:to>
    <xdr:sp macro="" textlink="$F$71">
      <xdr:nvSpPr>
        <xdr:cNvPr id="37" name="Rectangle 36">
          <a:extLst>
            <a:ext uri="{FF2B5EF4-FFF2-40B4-BE49-F238E27FC236}">
              <a16:creationId xmlns:a16="http://schemas.microsoft.com/office/drawing/2014/main" id="{00000000-0008-0000-0F00-000025000000}"/>
            </a:ext>
          </a:extLst>
        </xdr:cNvPr>
        <xdr:cNvSpPr/>
      </xdr:nvSpPr>
      <xdr:spPr>
        <a:xfrm>
          <a:off x="14421133" y="886239"/>
          <a:ext cx="736041" cy="2650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72E2C3-EBF7-4CD2-8530-5CB3F11FA24E}" type="TxLink">
            <a:rPr lang="en-US" sz="1100" b="0" i="0" u="none" strike="noStrike">
              <a:solidFill>
                <a:srgbClr val="000000"/>
              </a:solidFill>
              <a:latin typeface="Arial"/>
              <a:ea typeface="+mn-ea"/>
              <a:cs typeface="Arial"/>
            </a:rPr>
            <a:pPr marL="0" indent="0" algn="ctr"/>
            <a:t>4,63%</a:t>
          </a:fld>
          <a:endParaRPr lang="en-US" sz="1100" b="1" i="0" u="none" strike="noStrike">
            <a:solidFill>
              <a:srgbClr val="FFFFFF"/>
            </a:solidFill>
            <a:latin typeface="Arial"/>
            <a:ea typeface="+mn-ea"/>
            <a:cs typeface="Arial"/>
          </a:endParaRPr>
        </a:p>
      </xdr:txBody>
    </xdr:sp>
    <xdr:clientData/>
  </xdr:twoCellAnchor>
  <xdr:twoCellAnchor>
    <xdr:from>
      <xdr:col>24</xdr:col>
      <xdr:colOff>2014741</xdr:colOff>
      <xdr:row>16</xdr:row>
      <xdr:rowOff>64060</xdr:rowOff>
    </xdr:from>
    <xdr:to>
      <xdr:col>28</xdr:col>
      <xdr:colOff>630704</xdr:colOff>
      <xdr:row>27</xdr:row>
      <xdr:rowOff>156882</xdr:rowOff>
    </xdr:to>
    <xdr:graphicFrame macro="">
      <xdr:nvGraphicFramePr>
        <xdr:cNvPr id="31" name="Chart 30">
          <a:extLst>
            <a:ext uri="{FF2B5EF4-FFF2-40B4-BE49-F238E27FC236}">
              <a16:creationId xmlns:a16="http://schemas.microsoft.com/office/drawing/2014/main" id="{00000000-0008-0000-0F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36</xdr:col>
      <xdr:colOff>1887</xdr:colOff>
      <xdr:row>26</xdr:row>
      <xdr:rowOff>100521</xdr:rowOff>
    </xdr:from>
    <xdr:to>
      <xdr:col>37</xdr:col>
      <xdr:colOff>111389</xdr:colOff>
      <xdr:row>27</xdr:row>
      <xdr:rowOff>161675</xdr:rowOff>
    </xdr:to>
    <xdr:sp macro="" textlink="$T$147">
      <xdr:nvSpPr>
        <xdr:cNvPr id="32" name="Rectangle 31">
          <a:extLst>
            <a:ext uri="{FF2B5EF4-FFF2-40B4-BE49-F238E27FC236}">
              <a16:creationId xmlns:a16="http://schemas.microsoft.com/office/drawing/2014/main" id="{00000000-0008-0000-0F00-000020000000}"/>
            </a:ext>
          </a:extLst>
        </xdr:cNvPr>
        <xdr:cNvSpPr/>
      </xdr:nvSpPr>
      <xdr:spPr>
        <a:xfrm>
          <a:off x="19578563" y="3607962"/>
          <a:ext cx="826679" cy="2292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6D3904A-7258-4AD9-BE05-51C8E84C0DA7}" type="TxLink">
            <a:rPr lang="en-US" sz="1100" b="1" i="0" u="none" strike="noStrike">
              <a:solidFill>
                <a:schemeClr val="bg1"/>
              </a:solidFill>
              <a:latin typeface="Arial"/>
              <a:cs typeface="Arial"/>
            </a:rPr>
            <a:pPr algn="ctr"/>
            <a:t> </a:t>
          </a:fld>
          <a:endParaRPr lang="en-US" sz="1800" b="1">
            <a:solidFill>
              <a:schemeClr val="bg1"/>
            </a:solidFill>
          </a:endParaRPr>
        </a:p>
      </xdr:txBody>
    </xdr:sp>
    <xdr:clientData/>
  </xdr:twoCellAnchor>
  <xdr:twoCellAnchor>
    <xdr:from>
      <xdr:col>35</xdr:col>
      <xdr:colOff>2377533</xdr:colOff>
      <xdr:row>19</xdr:row>
      <xdr:rowOff>18717</xdr:rowOff>
    </xdr:from>
    <xdr:to>
      <xdr:col>37</xdr:col>
      <xdr:colOff>77771</xdr:colOff>
      <xdr:row>20</xdr:row>
      <xdr:rowOff>12636</xdr:rowOff>
    </xdr:to>
    <xdr:sp macro="" textlink="$S$147">
      <xdr:nvSpPr>
        <xdr:cNvPr id="43" name="Rectangle 42">
          <a:extLst>
            <a:ext uri="{FF2B5EF4-FFF2-40B4-BE49-F238E27FC236}">
              <a16:creationId xmlns:a16="http://schemas.microsoft.com/office/drawing/2014/main" id="{00000000-0008-0000-0F00-00002B000000}"/>
            </a:ext>
          </a:extLst>
        </xdr:cNvPr>
        <xdr:cNvSpPr/>
      </xdr:nvSpPr>
      <xdr:spPr>
        <a:xfrm>
          <a:off x="19544945" y="2540041"/>
          <a:ext cx="826679" cy="2180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2ADE403-2080-42F2-A319-D93956A06320}" type="TxLink">
            <a:rPr lang="en-US" sz="1100" b="1" i="0" u="none" strike="noStrike">
              <a:solidFill>
                <a:schemeClr val="bg1"/>
              </a:solidFill>
              <a:latin typeface="Arial"/>
              <a:cs typeface="Arial"/>
            </a:rPr>
            <a:pPr algn="ctr"/>
            <a:t> </a:t>
          </a:fld>
          <a:endParaRPr lang="en-US" sz="1800" b="1">
            <a:solidFill>
              <a:schemeClr val="bg1"/>
            </a:solidFill>
          </a:endParaRPr>
        </a:p>
      </xdr:txBody>
    </xdr:sp>
    <xdr:clientData/>
  </xdr:twoCellAnchor>
  <xdr:twoCellAnchor>
    <xdr:from>
      <xdr:col>24</xdr:col>
      <xdr:colOff>1913029</xdr:colOff>
      <xdr:row>1</xdr:row>
      <xdr:rowOff>84666</xdr:rowOff>
    </xdr:from>
    <xdr:to>
      <xdr:col>28</xdr:col>
      <xdr:colOff>283322</xdr:colOff>
      <xdr:row>11</xdr:row>
      <xdr:rowOff>12325</xdr:rowOff>
    </xdr:to>
    <xdr:graphicFrame macro="">
      <xdr:nvGraphicFramePr>
        <xdr:cNvPr id="25" name="Chart 55">
          <a:extLst>
            <a:ext uri="{FF2B5EF4-FFF2-40B4-BE49-F238E27FC236}">
              <a16:creationId xmlns:a16="http://schemas.microsoft.com/office/drawing/2014/main" id="{00000000-0008-0000-0F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875080</xdr:colOff>
      <xdr:row>137</xdr:row>
      <xdr:rowOff>94977</xdr:rowOff>
    </xdr:from>
    <xdr:to>
      <xdr:col>18</xdr:col>
      <xdr:colOff>48368</xdr:colOff>
      <xdr:row>152</xdr:row>
      <xdr:rowOff>168088</xdr:rowOff>
    </xdr:to>
    <xdr:graphicFrame macro="">
      <xdr:nvGraphicFramePr>
        <xdr:cNvPr id="26" name="Chart 25">
          <a:extLst>
            <a:ext uri="{FF2B5EF4-FFF2-40B4-BE49-F238E27FC236}">
              <a16:creationId xmlns:a16="http://schemas.microsoft.com/office/drawing/2014/main" id="{00000000-0008-0000-0F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51593</xdr:colOff>
      <xdr:row>152</xdr:row>
      <xdr:rowOff>246062</xdr:rowOff>
    </xdr:from>
    <xdr:to>
      <xdr:col>19</xdr:col>
      <xdr:colOff>924718</xdr:colOff>
      <xdr:row>172</xdr:row>
      <xdr:rowOff>111126</xdr:rowOff>
    </xdr:to>
    <xdr:graphicFrame macro="">
      <xdr:nvGraphicFramePr>
        <xdr:cNvPr id="7" name="Gráfico 6">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164307</xdr:colOff>
      <xdr:row>0</xdr:row>
      <xdr:rowOff>77788</xdr:rowOff>
    </xdr:from>
    <xdr:to>
      <xdr:col>3</xdr:col>
      <xdr:colOff>635000</xdr:colOff>
      <xdr:row>3</xdr:row>
      <xdr:rowOff>86373</xdr:rowOff>
    </xdr:to>
    <xdr:pic>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5757" y="77788"/>
          <a:ext cx="724693" cy="694385"/>
        </a:xfrm>
        <a:prstGeom prst="rect">
          <a:avLst/>
        </a:prstGeom>
      </xdr:spPr>
    </xdr:pic>
    <xdr:clientData/>
  </xdr:twoCellAnchor>
  <xdr:twoCellAnchor>
    <xdr:from>
      <xdr:col>24</xdr:col>
      <xdr:colOff>238977</xdr:colOff>
      <xdr:row>1</xdr:row>
      <xdr:rowOff>309732</xdr:rowOff>
    </xdr:from>
    <xdr:to>
      <xdr:col>27</xdr:col>
      <xdr:colOff>163287</xdr:colOff>
      <xdr:row>9</xdr:row>
      <xdr:rowOff>15308</xdr:rowOff>
    </xdr:to>
    <xdr:graphicFrame macro="">
      <xdr:nvGraphicFramePr>
        <xdr:cNvPr id="6" name="Chart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219415</xdr:colOff>
      <xdr:row>1</xdr:row>
      <xdr:rowOff>333375</xdr:rowOff>
    </xdr:from>
    <xdr:to>
      <xdr:col>32</xdr:col>
      <xdr:colOff>152231</xdr:colOff>
      <xdr:row>9</xdr:row>
      <xdr:rowOff>35550</xdr:rowOff>
    </xdr:to>
    <xdr:graphicFrame macro="">
      <xdr:nvGraphicFramePr>
        <xdr:cNvPr id="16" name="Chart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579782</xdr:colOff>
      <xdr:row>17</xdr:row>
      <xdr:rowOff>25508</xdr:rowOff>
    </xdr:from>
    <xdr:to>
      <xdr:col>22</xdr:col>
      <xdr:colOff>1018484</xdr:colOff>
      <xdr:row>37</xdr:row>
      <xdr:rowOff>171450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473040</xdr:colOff>
      <xdr:row>53</xdr:row>
      <xdr:rowOff>138545</xdr:rowOff>
    </xdr:from>
    <xdr:to>
      <xdr:col>51</xdr:col>
      <xdr:colOff>138547</xdr:colOff>
      <xdr:row>66</xdr:row>
      <xdr:rowOff>1</xdr:rowOff>
    </xdr:to>
    <xdr:graphicFrame macro="">
      <xdr:nvGraphicFramePr>
        <xdr:cNvPr id="19" name="Chart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353717</xdr:colOff>
      <xdr:row>58</xdr:row>
      <xdr:rowOff>83056</xdr:rowOff>
    </xdr:from>
    <xdr:to>
      <xdr:col>50</xdr:col>
      <xdr:colOff>64572</xdr:colOff>
      <xdr:row>60</xdr:row>
      <xdr:rowOff>87557</xdr:rowOff>
    </xdr:to>
    <xdr:sp macro="" textlink="$K$69">
      <xdr:nvSpPr>
        <xdr:cNvPr id="21" name="Rectangle 20">
          <a:extLst>
            <a:ext uri="{FF2B5EF4-FFF2-40B4-BE49-F238E27FC236}">
              <a16:creationId xmlns:a16="http://schemas.microsoft.com/office/drawing/2014/main" id="{00000000-0008-0000-1100-000015000000}"/>
            </a:ext>
          </a:extLst>
        </xdr:cNvPr>
        <xdr:cNvSpPr/>
      </xdr:nvSpPr>
      <xdr:spPr>
        <a:xfrm>
          <a:off x="37772535" y="15923420"/>
          <a:ext cx="1003946" cy="3508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FEF08D-2FD6-4B08-8252-D0E8E0084F37}" type="TxLink">
            <a:rPr lang="en-US" sz="1800" b="1" i="0" u="none" strike="noStrike">
              <a:solidFill>
                <a:srgbClr val="FFFFFF"/>
              </a:solidFill>
              <a:latin typeface="Arial"/>
              <a:cs typeface="Arial"/>
            </a:rPr>
            <a:pPr algn="ctr"/>
            <a:t> </a:t>
          </a:fld>
          <a:endParaRPr lang="en-US" sz="13800" b="1">
            <a:solidFill>
              <a:schemeClr val="bg1"/>
            </a:solidFill>
          </a:endParaRPr>
        </a:p>
      </xdr:txBody>
    </xdr:sp>
    <xdr:clientData/>
  </xdr:twoCellAnchor>
  <xdr:twoCellAnchor>
    <xdr:from>
      <xdr:col>47</xdr:col>
      <xdr:colOff>385468</xdr:colOff>
      <xdr:row>43</xdr:row>
      <xdr:rowOff>69273</xdr:rowOff>
    </xdr:from>
    <xdr:to>
      <xdr:col>51</xdr:col>
      <xdr:colOff>46182</xdr:colOff>
      <xdr:row>53</xdr:row>
      <xdr:rowOff>142253</xdr:rowOff>
    </xdr:to>
    <xdr:graphicFrame macro="">
      <xdr:nvGraphicFramePr>
        <xdr:cNvPr id="22" name="Chart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48</xdr:col>
      <xdr:colOff>327330</xdr:colOff>
      <xdr:row>47</xdr:row>
      <xdr:rowOff>120047</xdr:rowOff>
    </xdr:from>
    <xdr:to>
      <xdr:col>50</xdr:col>
      <xdr:colOff>19509</xdr:colOff>
      <xdr:row>48</xdr:row>
      <xdr:rowOff>132081</xdr:rowOff>
    </xdr:to>
    <xdr:sp macro="" textlink="$F$69">
      <xdr:nvSpPr>
        <xdr:cNvPr id="24" name="Rectangle 23">
          <a:extLst>
            <a:ext uri="{FF2B5EF4-FFF2-40B4-BE49-F238E27FC236}">
              <a16:creationId xmlns:a16="http://schemas.microsoft.com/office/drawing/2014/main" id="{00000000-0008-0000-1100-000018000000}"/>
            </a:ext>
          </a:extLst>
        </xdr:cNvPr>
        <xdr:cNvSpPr/>
      </xdr:nvSpPr>
      <xdr:spPr>
        <a:xfrm>
          <a:off x="37746148" y="13916865"/>
          <a:ext cx="985270" cy="3237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13A5CF-C987-451E-9958-AE3721FB73BF}" type="TxLink">
            <a:rPr lang="en-US" sz="1800" b="1" i="0" u="none" strike="noStrike">
              <a:solidFill>
                <a:schemeClr val="bg1"/>
              </a:solidFill>
              <a:latin typeface="Arial"/>
              <a:cs typeface="Arial"/>
            </a:rPr>
            <a:pPr algn="ctr"/>
            <a:t> </a:t>
          </a:fld>
          <a:endParaRPr lang="en-US" sz="7200" b="1">
            <a:solidFill>
              <a:schemeClr val="bg1"/>
            </a:solidFill>
          </a:endParaRPr>
        </a:p>
      </xdr:txBody>
    </xdr:sp>
    <xdr:clientData/>
  </xdr:twoCellAnchor>
  <xdr:twoCellAnchor editAs="oneCell">
    <xdr:from>
      <xdr:col>10</xdr:col>
      <xdr:colOff>240593</xdr:colOff>
      <xdr:row>22</xdr:row>
      <xdr:rowOff>36985</xdr:rowOff>
    </xdr:from>
    <xdr:to>
      <xdr:col>10</xdr:col>
      <xdr:colOff>1041102</xdr:colOff>
      <xdr:row>27</xdr:row>
      <xdr:rowOff>105345</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7"/>
        <a:stretch>
          <a:fillRect/>
        </a:stretch>
      </xdr:blipFill>
      <xdr:spPr>
        <a:xfrm>
          <a:off x="6845291" y="4014458"/>
          <a:ext cx="794159" cy="790585"/>
        </a:xfrm>
        <a:prstGeom prst="rect">
          <a:avLst/>
        </a:prstGeom>
      </xdr:spPr>
    </xdr:pic>
    <xdr:clientData/>
  </xdr:twoCellAnchor>
  <xdr:twoCellAnchor>
    <xdr:from>
      <xdr:col>16</xdr:col>
      <xdr:colOff>314325</xdr:colOff>
      <xdr:row>12</xdr:row>
      <xdr:rowOff>82550</xdr:rowOff>
    </xdr:from>
    <xdr:to>
      <xdr:col>17</xdr:col>
      <xdr:colOff>600075</xdr:colOff>
      <xdr:row>12</xdr:row>
      <xdr:rowOff>355600</xdr:rowOff>
    </xdr:to>
    <xdr:sp macro="" textlink="$K$69">
      <xdr:nvSpPr>
        <xdr:cNvPr id="39" name="Rectangle 38">
          <a:extLst>
            <a:ext uri="{FF2B5EF4-FFF2-40B4-BE49-F238E27FC236}">
              <a16:creationId xmlns:a16="http://schemas.microsoft.com/office/drawing/2014/main" id="{00000000-0008-0000-1100-000027000000}"/>
            </a:ext>
          </a:extLst>
        </xdr:cNvPr>
        <xdr:cNvSpPr/>
      </xdr:nvSpPr>
      <xdr:spPr>
        <a:xfrm>
          <a:off x="9896475" y="1654175"/>
          <a:ext cx="666750" cy="273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FEF08D-2FD6-4B08-8252-D0E8E0084F37}" type="TxLink">
            <a:rPr lang="en-US" sz="1000" b="1" i="0" u="none" strike="noStrike">
              <a:solidFill>
                <a:srgbClr val="FFFFFF"/>
              </a:solidFill>
              <a:latin typeface="Arial"/>
              <a:cs typeface="Arial"/>
            </a:rPr>
            <a:pPr algn="ctr"/>
            <a:t> </a:t>
          </a:fld>
          <a:endParaRPr lang="en-US" sz="6600" b="1">
            <a:solidFill>
              <a:schemeClr val="bg1"/>
            </a:solidFill>
          </a:endParaRPr>
        </a:p>
      </xdr:txBody>
    </xdr:sp>
    <xdr:clientData/>
  </xdr:twoCellAnchor>
  <xdr:twoCellAnchor>
    <xdr:from>
      <xdr:col>16</xdr:col>
      <xdr:colOff>189513</xdr:colOff>
      <xdr:row>1</xdr:row>
      <xdr:rowOff>66667</xdr:rowOff>
    </xdr:from>
    <xdr:to>
      <xdr:col>17</xdr:col>
      <xdr:colOff>425450</xdr:colOff>
      <xdr:row>5</xdr:row>
      <xdr:rowOff>130629</xdr:rowOff>
    </xdr:to>
    <xdr:sp macro="" textlink="$F$69">
      <xdr:nvSpPr>
        <xdr:cNvPr id="42" name="Rectangle 41">
          <a:extLst>
            <a:ext uri="{FF2B5EF4-FFF2-40B4-BE49-F238E27FC236}">
              <a16:creationId xmlns:a16="http://schemas.microsoft.com/office/drawing/2014/main" id="{00000000-0008-0000-1100-00002A000000}"/>
            </a:ext>
          </a:extLst>
        </xdr:cNvPr>
        <xdr:cNvSpPr/>
      </xdr:nvSpPr>
      <xdr:spPr>
        <a:xfrm>
          <a:off x="10258799" y="248096"/>
          <a:ext cx="635080" cy="7896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13A5CF-C987-451E-9958-AE3721FB73BF}" type="TxLink">
            <a:rPr lang="en-US" sz="1000" b="1" i="0" u="none" strike="noStrike">
              <a:solidFill>
                <a:schemeClr val="bg1"/>
              </a:solidFill>
              <a:latin typeface="Arial"/>
              <a:cs typeface="Arial"/>
            </a:rPr>
            <a:pPr algn="ctr"/>
            <a:t> </a:t>
          </a:fld>
          <a:endParaRPr lang="en-US" sz="4000" b="1">
            <a:solidFill>
              <a:schemeClr val="bg1"/>
            </a:solidFill>
          </a:endParaRPr>
        </a:p>
      </xdr:txBody>
    </xdr:sp>
    <xdr:clientData/>
  </xdr:twoCellAnchor>
  <xdr:twoCellAnchor>
    <xdr:from>
      <xdr:col>15</xdr:col>
      <xdr:colOff>415891</xdr:colOff>
      <xdr:row>1</xdr:row>
      <xdr:rowOff>181719</xdr:rowOff>
    </xdr:from>
    <xdr:to>
      <xdr:col>19</xdr:col>
      <xdr:colOff>910829</xdr:colOff>
      <xdr:row>14</xdr:row>
      <xdr:rowOff>133954</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0197081" y="365650"/>
          <a:ext cx="3280179" cy="24615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15</xdr:col>
      <xdr:colOff>439636</xdr:colOff>
      <xdr:row>1</xdr:row>
      <xdr:rowOff>266680</xdr:rowOff>
    </xdr:from>
    <xdr:to>
      <xdr:col>18</xdr:col>
      <xdr:colOff>380252</xdr:colOff>
      <xdr:row>12</xdr:row>
      <xdr:rowOff>254427</xdr:rowOff>
    </xdr:to>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0214667" y="445274"/>
          <a:ext cx="1797991" cy="18510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16</xdr:col>
      <xdr:colOff>7338</xdr:colOff>
      <xdr:row>12</xdr:row>
      <xdr:rowOff>255633</xdr:rowOff>
    </xdr:from>
    <xdr:to>
      <xdr:col>19</xdr:col>
      <xdr:colOff>903411</xdr:colOff>
      <xdr:row>13</xdr:row>
      <xdr:rowOff>84392</xdr:rowOff>
    </xdr:to>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0389588" y="2297555"/>
          <a:ext cx="3068964" cy="24547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del Pilar III</a:t>
          </a:r>
          <a:endParaRPr lang="en-US" sz="800" b="1">
            <a:latin typeface="Arial" panose="020B0604020202020204" pitchFamily="34" charset="0"/>
            <a:cs typeface="Arial" panose="020B0604020202020204" pitchFamily="34" charset="0"/>
          </a:endParaRPr>
        </a:p>
      </xdr:txBody>
    </xdr:sp>
    <xdr:clientData/>
  </xdr:twoCellAnchor>
  <xdr:twoCellAnchor>
    <xdr:from>
      <xdr:col>16</xdr:col>
      <xdr:colOff>5873</xdr:colOff>
      <xdr:row>13</xdr:row>
      <xdr:rowOff>80070</xdr:rowOff>
    </xdr:from>
    <xdr:to>
      <xdr:col>19</xdr:col>
      <xdr:colOff>901946</xdr:colOff>
      <xdr:row>14</xdr:row>
      <xdr:rowOff>39099</xdr:rowOff>
    </xdr:to>
    <xdr:sp macro="" textlink="">
      <xdr:nvSpPr>
        <xdr:cNvPr id="17" name="TextBox 16">
          <a:extLst>
            <a:ext uri="{FF2B5EF4-FFF2-40B4-BE49-F238E27FC236}">
              <a16:creationId xmlns:a16="http://schemas.microsoft.com/office/drawing/2014/main" id="{00000000-0008-0000-1100-000011000000}"/>
            </a:ext>
          </a:extLst>
        </xdr:cNvPr>
        <xdr:cNvSpPr txBox="1"/>
      </xdr:nvSpPr>
      <xdr:spPr>
        <a:xfrm>
          <a:off x="10388123" y="2538711"/>
          <a:ext cx="3068964" cy="17929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total</a:t>
          </a:r>
          <a:endParaRPr lang="en-US" sz="800" b="1">
            <a:latin typeface="Arial" panose="020B0604020202020204" pitchFamily="34" charset="0"/>
            <a:cs typeface="Arial" panose="020B0604020202020204" pitchFamily="34" charset="0"/>
          </a:endParaRPr>
        </a:p>
      </xdr:txBody>
    </xdr:sp>
    <xdr:clientData/>
  </xdr:twoCellAnchor>
  <xdr:twoCellAnchor>
    <xdr:from>
      <xdr:col>15</xdr:col>
      <xdr:colOff>530202</xdr:colOff>
      <xdr:row>12</xdr:row>
      <xdr:rowOff>329665</xdr:rowOff>
    </xdr:from>
    <xdr:to>
      <xdr:col>16</xdr:col>
      <xdr:colOff>28602</xdr:colOff>
      <xdr:row>13</xdr:row>
      <xdr:rowOff>20946</xdr:rowOff>
    </xdr:to>
    <xdr:sp macro="" textlink="">
      <xdr:nvSpPr>
        <xdr:cNvPr id="18" name="Rectangle 17">
          <a:extLst>
            <a:ext uri="{FF2B5EF4-FFF2-40B4-BE49-F238E27FC236}">
              <a16:creationId xmlns:a16="http://schemas.microsoft.com/office/drawing/2014/main" id="{00000000-0008-0000-1100-000012000000}"/>
            </a:ext>
          </a:extLst>
        </xdr:cNvPr>
        <xdr:cNvSpPr/>
      </xdr:nvSpPr>
      <xdr:spPr>
        <a:xfrm>
          <a:off x="10305233" y="2371587"/>
          <a:ext cx="105619" cy="108000"/>
        </a:xfrm>
        <a:prstGeom prst="rect">
          <a:avLst/>
        </a:prstGeom>
        <a:solidFill>
          <a:srgbClr val="00A3A1"/>
        </a:solidFill>
        <a:ln>
          <a:solidFill>
            <a:srgbClr val="00A3A1"/>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530202</xdr:colOff>
      <xdr:row>13</xdr:row>
      <xdr:rowOff>113577</xdr:rowOff>
    </xdr:from>
    <xdr:to>
      <xdr:col>16</xdr:col>
      <xdr:colOff>28602</xdr:colOff>
      <xdr:row>13</xdr:row>
      <xdr:rowOff>210371</xdr:rowOff>
    </xdr:to>
    <xdr:sp macro="" textlink="">
      <xdr:nvSpPr>
        <xdr:cNvPr id="20" name="Rectangle 19">
          <a:extLst>
            <a:ext uri="{FF2B5EF4-FFF2-40B4-BE49-F238E27FC236}">
              <a16:creationId xmlns:a16="http://schemas.microsoft.com/office/drawing/2014/main" id="{00000000-0008-0000-1100-000014000000}"/>
            </a:ext>
          </a:extLst>
        </xdr:cNvPr>
        <xdr:cNvSpPr/>
      </xdr:nvSpPr>
      <xdr:spPr>
        <a:xfrm>
          <a:off x="10305233" y="2572218"/>
          <a:ext cx="105619" cy="96794"/>
        </a:xfrm>
        <a:prstGeom prst="rect">
          <a:avLst/>
        </a:prstGeom>
        <a:solidFill>
          <a:srgbClr val="00338D"/>
        </a:solidFill>
        <a:ln>
          <a:solidFill>
            <a:srgbClr val="00338D"/>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196532</xdr:colOff>
      <xdr:row>8</xdr:row>
      <xdr:rowOff>113028</xdr:rowOff>
    </xdr:from>
    <xdr:to>
      <xdr:col>20</xdr:col>
      <xdr:colOff>354874</xdr:colOff>
      <xdr:row>13</xdr:row>
      <xdr:rowOff>186065</xdr:rowOff>
    </xdr:to>
    <xdr:graphicFrame macro="">
      <xdr:nvGraphicFramePr>
        <xdr:cNvPr id="23" name="Chart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206935</xdr:colOff>
      <xdr:row>1</xdr:row>
      <xdr:rowOff>180975</xdr:rowOff>
    </xdr:from>
    <xdr:to>
      <xdr:col>20</xdr:col>
      <xdr:colOff>364776</xdr:colOff>
      <xdr:row>8</xdr:row>
      <xdr:rowOff>6289</xdr:rowOff>
    </xdr:to>
    <xdr:graphicFrame macro="">
      <xdr:nvGraphicFramePr>
        <xdr:cNvPr id="26" name="Chart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783009</xdr:colOff>
      <xdr:row>9</xdr:row>
      <xdr:rowOff>113109</xdr:rowOff>
    </xdr:from>
    <xdr:to>
      <xdr:col>19</xdr:col>
      <xdr:colOff>553641</xdr:colOff>
      <xdr:row>13</xdr:row>
      <xdr:rowOff>5445</xdr:rowOff>
    </xdr:to>
    <xdr:sp macro="" textlink="">
      <xdr:nvSpPr>
        <xdr:cNvPr id="28" name="Oval 27">
          <a:extLst>
            <a:ext uri="{FF2B5EF4-FFF2-40B4-BE49-F238E27FC236}">
              <a16:creationId xmlns:a16="http://schemas.microsoft.com/office/drawing/2014/main" id="{00000000-0008-0000-1100-00001C000000}"/>
            </a:ext>
          </a:extLst>
        </xdr:cNvPr>
        <xdr:cNvSpPr/>
      </xdr:nvSpPr>
      <xdr:spPr>
        <a:xfrm>
          <a:off x="12415415" y="1803797"/>
          <a:ext cx="693367" cy="660289"/>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795292</xdr:colOff>
      <xdr:row>1</xdr:row>
      <xdr:rowOff>423818</xdr:rowOff>
    </xdr:from>
    <xdr:to>
      <xdr:col>19</xdr:col>
      <xdr:colOff>553640</xdr:colOff>
      <xdr:row>6</xdr:row>
      <xdr:rowOff>148828</xdr:rowOff>
    </xdr:to>
    <xdr:sp macro="" textlink="">
      <xdr:nvSpPr>
        <xdr:cNvPr id="29" name="Oval 28">
          <a:extLst>
            <a:ext uri="{FF2B5EF4-FFF2-40B4-BE49-F238E27FC236}">
              <a16:creationId xmlns:a16="http://schemas.microsoft.com/office/drawing/2014/main" id="{00000000-0008-0000-1100-00001D000000}"/>
            </a:ext>
          </a:extLst>
        </xdr:cNvPr>
        <xdr:cNvSpPr/>
      </xdr:nvSpPr>
      <xdr:spPr>
        <a:xfrm>
          <a:off x="12427698" y="602412"/>
          <a:ext cx="681083" cy="665604"/>
        </a:xfrm>
        <a:prstGeom prst="ellipse">
          <a:avLst/>
        </a:prstGeom>
        <a:solidFill>
          <a:srgbClr val="00A3A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721833</xdr:colOff>
      <xdr:row>3</xdr:row>
      <xdr:rowOff>150902</xdr:rowOff>
    </xdr:from>
    <xdr:to>
      <xdr:col>19</xdr:col>
      <xdr:colOff>624587</xdr:colOff>
      <xdr:row>5</xdr:row>
      <xdr:rowOff>140338</xdr:rowOff>
    </xdr:to>
    <xdr:sp macro="" textlink="$H$50">
      <xdr:nvSpPr>
        <xdr:cNvPr id="27" name="Rectangle 26">
          <a:extLst>
            <a:ext uri="{FF2B5EF4-FFF2-40B4-BE49-F238E27FC236}">
              <a16:creationId xmlns:a16="http://schemas.microsoft.com/office/drawing/2014/main" id="{00000000-0008-0000-1100-00001B000000}"/>
            </a:ext>
          </a:extLst>
        </xdr:cNvPr>
        <xdr:cNvSpPr/>
      </xdr:nvSpPr>
      <xdr:spPr>
        <a:xfrm>
          <a:off x="12354239" y="823605"/>
          <a:ext cx="825489" cy="21565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28FB4E-21BF-4182-AF43-C5762859047D}" type="TxLink">
            <a:rPr lang="en-US" sz="1100" b="0" i="0" u="none" strike="noStrike">
              <a:solidFill>
                <a:srgbClr val="000000"/>
              </a:solidFill>
              <a:latin typeface="Arial"/>
              <a:cs typeface="Arial"/>
            </a:rPr>
            <a:pPr algn="ctr"/>
            <a:t>0,00%</a:t>
          </a:fld>
          <a:endParaRPr lang="en-US" sz="1400" b="1">
            <a:solidFill>
              <a:schemeClr val="bg1"/>
            </a:solidFill>
          </a:endParaRPr>
        </a:p>
      </xdr:txBody>
    </xdr:sp>
    <xdr:clientData/>
  </xdr:twoCellAnchor>
  <xdr:twoCellAnchor>
    <xdr:from>
      <xdr:col>18</xdr:col>
      <xdr:colOff>719959</xdr:colOff>
      <xdr:row>10</xdr:row>
      <xdr:rowOff>59120</xdr:rowOff>
    </xdr:from>
    <xdr:to>
      <xdr:col>19</xdr:col>
      <xdr:colOff>622713</xdr:colOff>
      <xdr:row>12</xdr:row>
      <xdr:rowOff>163962</xdr:rowOff>
    </xdr:to>
    <xdr:sp macro="" textlink="$J$50:$J$51">
      <xdr:nvSpPr>
        <xdr:cNvPr id="25" name="Rectangle 24">
          <a:extLst>
            <a:ext uri="{FF2B5EF4-FFF2-40B4-BE49-F238E27FC236}">
              <a16:creationId xmlns:a16="http://schemas.microsoft.com/office/drawing/2014/main" id="{00000000-0008-0000-1100-000019000000}"/>
            </a:ext>
          </a:extLst>
        </xdr:cNvPr>
        <xdr:cNvSpPr/>
      </xdr:nvSpPr>
      <xdr:spPr>
        <a:xfrm>
          <a:off x="12352365" y="1976026"/>
          <a:ext cx="825489" cy="2298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2FB6B1F-868B-4974-8F10-439196B1B440}" type="TxLink">
            <a:rPr lang="en-US" sz="1100" b="0" i="0" u="none" strike="noStrike">
              <a:solidFill>
                <a:srgbClr val="000000"/>
              </a:solidFill>
              <a:latin typeface="Arial"/>
              <a:ea typeface="+mn-ea"/>
              <a:cs typeface="Arial"/>
            </a:rPr>
            <a:pPr marL="0" indent="0" algn="ctr"/>
            <a:t>17,83%</a:t>
          </a:fld>
          <a:endParaRPr lang="en-US" sz="1000" b="1" i="0" u="none" strike="noStrike">
            <a:solidFill>
              <a:schemeClr val="bg1"/>
            </a:solidFill>
            <a:latin typeface="Arial"/>
            <a:ea typeface="+mn-ea"/>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95250</xdr:colOff>
      <xdr:row>2</xdr:row>
      <xdr:rowOff>69850</xdr:rowOff>
    </xdr:from>
    <xdr:to>
      <xdr:col>6</xdr:col>
      <xdr:colOff>667543</xdr:colOff>
      <xdr:row>5</xdr:row>
      <xdr:rowOff>65735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12950" y="438150"/>
          <a:ext cx="718343" cy="694385"/>
        </a:xfrm>
        <a:prstGeom prst="rect">
          <a:avLst/>
        </a:prstGeom>
      </xdr:spPr>
    </xdr:pic>
    <xdr:clientData/>
  </xdr:twoCellAnchor>
  <xdr:twoCellAnchor editAs="oneCell">
    <xdr:from>
      <xdr:col>11</xdr:col>
      <xdr:colOff>260351</xdr:colOff>
      <xdr:row>7</xdr:row>
      <xdr:rowOff>44451</xdr:rowOff>
    </xdr:from>
    <xdr:to>
      <xdr:col>11</xdr:col>
      <xdr:colOff>1085850</xdr:colOff>
      <xdr:row>15</xdr:row>
      <xdr:rowOff>7451</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7435851" y="1847851"/>
          <a:ext cx="825499" cy="83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190498</xdr:colOff>
      <xdr:row>0</xdr:row>
      <xdr:rowOff>71437</xdr:rowOff>
    </xdr:from>
    <xdr:to>
      <xdr:col>3</xdr:col>
      <xdr:colOff>647700</xdr:colOff>
      <xdr:row>2</xdr:row>
      <xdr:rowOff>86838</xdr:rowOff>
    </xdr:to>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8298" y="71437"/>
          <a:ext cx="647702" cy="650401"/>
        </a:xfrm>
        <a:prstGeom prst="rect">
          <a:avLst/>
        </a:prstGeom>
      </xdr:spPr>
    </xdr:pic>
    <xdr:clientData/>
  </xdr:twoCellAnchor>
  <xdr:twoCellAnchor>
    <xdr:from>
      <xdr:col>14</xdr:col>
      <xdr:colOff>410600</xdr:colOff>
      <xdr:row>24</xdr:row>
      <xdr:rowOff>6745</xdr:rowOff>
    </xdr:from>
    <xdr:to>
      <xdr:col>19</xdr:col>
      <xdr:colOff>136072</xdr:colOff>
      <xdr:row>60</xdr:row>
      <xdr:rowOff>124239</xdr:rowOff>
    </xdr:to>
    <xdr:graphicFrame macro="">
      <xdr:nvGraphicFramePr>
        <xdr:cNvPr id="18" name="Chart 17">
          <a:extLst>
            <a:ext uri="{FF2B5EF4-FFF2-40B4-BE49-F238E27FC236}">
              <a16:creationId xmlns:a16="http://schemas.microsoft.com/office/drawing/2014/main" id="{00000000-0008-0000-1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599305</xdr:colOff>
      <xdr:row>1</xdr:row>
      <xdr:rowOff>47764</xdr:rowOff>
    </xdr:from>
    <xdr:to>
      <xdr:col>18</xdr:col>
      <xdr:colOff>646982</xdr:colOff>
      <xdr:row>17</xdr:row>
      <xdr:rowOff>156210</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9472795" y="230644"/>
          <a:ext cx="3446197" cy="232586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14</xdr:col>
      <xdr:colOff>619875</xdr:colOff>
      <xdr:row>1</xdr:row>
      <xdr:rowOff>123199</xdr:rowOff>
    </xdr:from>
    <xdr:to>
      <xdr:col>17</xdr:col>
      <xdr:colOff>1554480</xdr:colOff>
      <xdr:row>15</xdr:row>
      <xdr:rowOff>105030</xdr:rowOff>
    </xdr:to>
    <xdr:sp macro="" textlink="">
      <xdr:nvSpPr>
        <xdr:cNvPr id="6" name="TextBox 5">
          <a:extLst>
            <a:ext uri="{FF2B5EF4-FFF2-40B4-BE49-F238E27FC236}">
              <a16:creationId xmlns:a16="http://schemas.microsoft.com/office/drawing/2014/main" id="{00000000-0008-0000-1400-000006000000}"/>
            </a:ext>
          </a:extLst>
        </xdr:cNvPr>
        <xdr:cNvSpPr txBox="1"/>
      </xdr:nvSpPr>
      <xdr:spPr>
        <a:xfrm>
          <a:off x="9493365" y="306079"/>
          <a:ext cx="1883295" cy="198589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16</xdr:col>
      <xdr:colOff>6866</xdr:colOff>
      <xdr:row>15</xdr:row>
      <xdr:rowOff>76526</xdr:rowOff>
    </xdr:from>
    <xdr:to>
      <xdr:col>17</xdr:col>
      <xdr:colOff>2002828</xdr:colOff>
      <xdr:row>17</xdr:row>
      <xdr:rowOff>17968</xdr:rowOff>
    </xdr:to>
    <xdr:sp macro="" textlink="">
      <xdr:nvSpPr>
        <xdr:cNvPr id="7" name="TextBox 6">
          <a:extLst>
            <a:ext uri="{FF2B5EF4-FFF2-40B4-BE49-F238E27FC236}">
              <a16:creationId xmlns:a16="http://schemas.microsoft.com/office/drawing/2014/main" id="{00000000-0008-0000-1400-000007000000}"/>
            </a:ext>
          </a:extLst>
        </xdr:cNvPr>
        <xdr:cNvSpPr txBox="1"/>
      </xdr:nvSpPr>
      <xdr:spPr>
        <a:xfrm>
          <a:off x="9741416" y="2263466"/>
          <a:ext cx="2083592" cy="15480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total</a:t>
          </a:r>
          <a:endParaRPr lang="en-US" sz="800" b="1">
            <a:latin typeface="Arial" panose="020B0604020202020204" pitchFamily="34" charset="0"/>
            <a:cs typeface="Arial" panose="020B0604020202020204" pitchFamily="34" charset="0"/>
          </a:endParaRPr>
        </a:p>
      </xdr:txBody>
    </xdr:sp>
    <xdr:clientData/>
  </xdr:twoCellAnchor>
  <xdr:twoCellAnchor>
    <xdr:from>
      <xdr:col>14</xdr:col>
      <xdr:colOff>731520</xdr:colOff>
      <xdr:row>15</xdr:row>
      <xdr:rowOff>100256</xdr:rowOff>
    </xdr:from>
    <xdr:to>
      <xdr:col>16</xdr:col>
      <xdr:colOff>28575</xdr:colOff>
      <xdr:row>17</xdr:row>
      <xdr:rowOff>451</xdr:rowOff>
    </xdr:to>
    <xdr:sp macro="" textlink="">
      <xdr:nvSpPr>
        <xdr:cNvPr id="8" name="Rectangle 7">
          <a:extLst>
            <a:ext uri="{FF2B5EF4-FFF2-40B4-BE49-F238E27FC236}">
              <a16:creationId xmlns:a16="http://schemas.microsoft.com/office/drawing/2014/main" id="{00000000-0008-0000-1400-000008000000}"/>
            </a:ext>
          </a:extLst>
        </xdr:cNvPr>
        <xdr:cNvSpPr/>
      </xdr:nvSpPr>
      <xdr:spPr>
        <a:xfrm>
          <a:off x="9605010" y="2287196"/>
          <a:ext cx="158115" cy="113555"/>
        </a:xfrm>
        <a:prstGeom prst="rect">
          <a:avLst/>
        </a:prstGeom>
        <a:solidFill>
          <a:srgbClr val="00338D"/>
        </a:solidFill>
        <a:ln>
          <a:solidFill>
            <a:srgbClr val="00338D"/>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1400735</xdr:colOff>
      <xdr:row>7</xdr:row>
      <xdr:rowOff>115894</xdr:rowOff>
    </xdr:from>
    <xdr:to>
      <xdr:col>19</xdr:col>
      <xdr:colOff>260159</xdr:colOff>
      <xdr:row>19</xdr:row>
      <xdr:rowOff>67236</xdr:rowOff>
    </xdr:to>
    <xdr:graphicFrame macro="">
      <xdr:nvGraphicFramePr>
        <xdr:cNvPr id="9" name="Chart 8">
          <a:extLst>
            <a:ext uri="{FF2B5EF4-FFF2-40B4-BE49-F238E27FC236}">
              <a16:creationId xmlns:a16="http://schemas.microsoft.com/office/drawing/2014/main" id="{00000000-0008-0000-1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1931939</xdr:colOff>
      <xdr:row>10</xdr:row>
      <xdr:rowOff>17</xdr:rowOff>
    </xdr:from>
    <xdr:to>
      <xdr:col>18</xdr:col>
      <xdr:colOff>289794</xdr:colOff>
      <xdr:row>17</xdr:row>
      <xdr:rowOff>91136</xdr:rowOff>
    </xdr:to>
    <xdr:sp macro="" textlink="">
      <xdr:nvSpPr>
        <xdr:cNvPr id="10" name="Oval 9">
          <a:extLst>
            <a:ext uri="{FF2B5EF4-FFF2-40B4-BE49-F238E27FC236}">
              <a16:creationId xmlns:a16="http://schemas.microsoft.com/office/drawing/2014/main" id="{00000000-0008-0000-1400-00000A000000}"/>
            </a:ext>
          </a:extLst>
        </xdr:cNvPr>
        <xdr:cNvSpPr/>
      </xdr:nvSpPr>
      <xdr:spPr>
        <a:xfrm>
          <a:off x="11291287" y="1681387"/>
          <a:ext cx="693550" cy="704032"/>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1793501</xdr:colOff>
      <xdr:row>11</xdr:row>
      <xdr:rowOff>102958</xdr:rowOff>
    </xdr:from>
    <xdr:to>
      <xdr:col>18</xdr:col>
      <xdr:colOff>283478</xdr:colOff>
      <xdr:row>13</xdr:row>
      <xdr:rowOff>141539</xdr:rowOff>
    </xdr:to>
    <xdr:sp macro="" textlink="$J$50:$J$51">
      <xdr:nvSpPr>
        <xdr:cNvPr id="11" name="Rectangle 10">
          <a:extLst>
            <a:ext uri="{FF2B5EF4-FFF2-40B4-BE49-F238E27FC236}">
              <a16:creationId xmlns:a16="http://schemas.microsoft.com/office/drawing/2014/main" id="{00000000-0008-0000-1400-00000B000000}"/>
            </a:ext>
          </a:extLst>
        </xdr:cNvPr>
        <xdr:cNvSpPr/>
      </xdr:nvSpPr>
      <xdr:spPr>
        <a:xfrm>
          <a:off x="11128001" y="1776637"/>
          <a:ext cx="830406" cy="2290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2034B93-3022-4C17-997F-FB17A5ADA1B8}" type="TxLink">
            <a:rPr lang="en-US" sz="1000" b="1" i="0" u="none" strike="noStrike">
              <a:solidFill>
                <a:schemeClr val="bg1"/>
              </a:solidFill>
              <a:latin typeface="Arial"/>
              <a:ea typeface="+mn-ea"/>
              <a:cs typeface="Arial"/>
            </a:rPr>
            <a:pPr marL="0" indent="0" algn="ctr"/>
            <a:t> </a:t>
          </a:fld>
          <a:endParaRPr lang="en-US" sz="1000" b="1" i="0" u="none" strike="noStrike">
            <a:solidFill>
              <a:schemeClr val="bg1"/>
            </a:solidFill>
            <a:latin typeface="Arial"/>
            <a:ea typeface="+mn-ea"/>
            <a:cs typeface="Arial"/>
          </a:endParaRPr>
        </a:p>
      </xdr:txBody>
    </xdr:sp>
    <xdr:clientData/>
  </xdr:twoCellAnchor>
  <xdr:twoCellAnchor>
    <xdr:from>
      <xdr:col>17</xdr:col>
      <xdr:colOff>1877959</xdr:colOff>
      <xdr:row>13</xdr:row>
      <xdr:rowOff>6301</xdr:rowOff>
    </xdr:from>
    <xdr:to>
      <xdr:col>18</xdr:col>
      <xdr:colOff>376382</xdr:colOff>
      <xdr:row>15</xdr:row>
      <xdr:rowOff>31744</xdr:rowOff>
    </xdr:to>
    <xdr:sp macro="" textlink="$J$64:$J$65">
      <xdr:nvSpPr>
        <xdr:cNvPr id="12" name="Rectangle 11">
          <a:extLst>
            <a:ext uri="{FF2B5EF4-FFF2-40B4-BE49-F238E27FC236}">
              <a16:creationId xmlns:a16="http://schemas.microsoft.com/office/drawing/2014/main" id="{00000000-0008-0000-1400-00000C000000}"/>
            </a:ext>
          </a:extLst>
        </xdr:cNvPr>
        <xdr:cNvSpPr/>
      </xdr:nvSpPr>
      <xdr:spPr>
        <a:xfrm>
          <a:off x="11251873" y="1931008"/>
          <a:ext cx="830406" cy="2290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22C8637-F963-4795-A0E6-611B9CF0D24C}" type="TxLink">
            <a:rPr lang="en-US" sz="1000" b="1" i="0" u="none" strike="noStrike">
              <a:solidFill>
                <a:schemeClr val="bg1"/>
              </a:solidFill>
              <a:latin typeface="Arial"/>
              <a:ea typeface="+mn-ea"/>
              <a:cs typeface="Arial"/>
            </a:rPr>
            <a:pPr marL="0" indent="0" algn="ctr"/>
            <a:t>17,83%</a:t>
          </a:fld>
          <a:endParaRPr lang="en-US" sz="1100" b="1" i="0" u="none" strike="noStrike">
            <a:solidFill>
              <a:schemeClr val="bg1"/>
            </a:solidFill>
            <a:latin typeface="Arial"/>
            <a:ea typeface="+mn-ea"/>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21981</xdr:colOff>
      <xdr:row>0</xdr:row>
      <xdr:rowOff>65942</xdr:rowOff>
    </xdr:from>
    <xdr:to>
      <xdr:col>9</xdr:col>
      <xdr:colOff>600808</xdr:colOff>
      <xdr:row>2</xdr:row>
      <xdr:rowOff>183173</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631581" y="65942"/>
          <a:ext cx="5455627" cy="48553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552450</xdr:colOff>
      <xdr:row>0</xdr:row>
      <xdr:rowOff>73269</xdr:rowOff>
    </xdr:from>
    <xdr:to>
      <xdr:col>10</xdr:col>
      <xdr:colOff>29309</xdr:colOff>
      <xdr:row>2</xdr:row>
      <xdr:rowOff>152400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1162050" y="73269"/>
          <a:ext cx="4963259" cy="44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latin typeface="KPMG Extralight" panose="020B0303030202040204" pitchFamily="34" charset="0"/>
            </a:rPr>
            <a:t>KPMG PREDICT: El</a:t>
          </a:r>
          <a:r>
            <a:rPr lang="en-US" sz="2800" baseline="0">
              <a:solidFill>
                <a:schemeClr val="bg1"/>
              </a:solidFill>
              <a:latin typeface="KPMG Extralight" panose="020B0303030202040204" pitchFamily="34" charset="0"/>
            </a:rPr>
            <a:t> informe de tu jubilación</a:t>
          </a:r>
          <a:endParaRPr lang="en-US" sz="2800">
            <a:solidFill>
              <a:schemeClr val="bg1"/>
            </a:solidFill>
            <a:latin typeface="KPMG Extralight" panose="020B0303030202040204" pitchFamily="34" charset="0"/>
          </a:endParaRPr>
        </a:p>
      </xdr:txBody>
    </xdr:sp>
    <xdr:clientData/>
  </xdr:twoCellAnchor>
  <xdr:twoCellAnchor>
    <xdr:from>
      <xdr:col>2</xdr:col>
      <xdr:colOff>359020</xdr:colOff>
      <xdr:row>7</xdr:row>
      <xdr:rowOff>123093</xdr:rowOff>
    </xdr:from>
    <xdr:to>
      <xdr:col>8</xdr:col>
      <xdr:colOff>293077</xdr:colOff>
      <xdr:row>16</xdr:row>
      <xdr:rowOff>167055</xdr:rowOff>
    </xdr:to>
    <xdr:graphicFrame macro="">
      <xdr:nvGraphicFramePr>
        <xdr:cNvPr id="6" name="Diagram 5">
          <a:extLst>
            <a:ext uri="{FF2B5EF4-FFF2-40B4-BE49-F238E27FC236}">
              <a16:creationId xmlns:a16="http://schemas.microsoft.com/office/drawing/2014/main" id="{00000000-0008-0000-1500-000006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7327</xdr:colOff>
      <xdr:row>51</xdr:row>
      <xdr:rowOff>8282</xdr:rowOff>
    </xdr:from>
    <xdr:to>
      <xdr:col>10</xdr:col>
      <xdr:colOff>16566</xdr:colOff>
      <xdr:row>101</xdr:row>
      <xdr:rowOff>165652</xdr:rowOff>
    </xdr:to>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615462" y="9723782"/>
          <a:ext cx="5482450" cy="96823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Aft>
              <a:spcPts val="800"/>
            </a:spcAft>
          </a:pPr>
          <a:r>
            <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rPr>
            <a:t>¿Cuándo voy a poder acceder a mi jubilación?</a:t>
          </a: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300"/>
            </a:spcAft>
          </a:pPr>
          <a:endParaRPr lang="es-ES" sz="1050" b="1">
            <a:solidFill>
              <a:srgbClr val="0070C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ordinaria: </a:t>
          </a:r>
          <a:r>
            <a:rPr lang="es-ES" sz="1000">
              <a:effectLst/>
              <a:latin typeface="Arial" panose="020B0604020202020204" pitchFamily="34" charset="0"/>
              <a:ea typeface="Calibri" panose="020F0502020204030204" pitchFamily="34" charset="0"/>
              <a:cs typeface="Times New Roman" panose="02020603050405020304" pitchFamily="18" charset="0"/>
            </a:rPr>
            <a:t>La edad de acceso ordinaria a la pensión de jubilación se determina en función de los años de cotización acumulados a lo largo de la vida laboral, actualmente estamos en un periodo transitorio que finaliza en 2027, momento en el cual se requerirá haber cumplido la edad de: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67 años 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38 años y 6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el año 2021, la edad ordinaria 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66 años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37 años y 3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105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4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00B050"/>
              </a:solidFill>
              <a:effectLst/>
              <a:latin typeface="Arial" panose="020B0604020202020204" pitchFamily="34" charset="0"/>
              <a:ea typeface="Calibri" panose="020F0502020204030204" pitchFamily="34" charset="0"/>
              <a:cs typeface="Times New Roman" panose="02020603050405020304" pitchFamily="18" charset="0"/>
            </a:rPr>
            <a:t> </a:t>
          </a:r>
          <a:r>
            <a:rPr lang="es-ES_tradnl"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anticipada por voluntad del trabajador: </a:t>
          </a:r>
          <a:r>
            <a:rPr lang="es-ES_tradnl" sz="1000">
              <a:effectLst/>
              <a:latin typeface="Arial" panose="020B0604020202020204" pitchFamily="34" charset="0"/>
              <a:ea typeface="Calibri" panose="020F0502020204030204" pitchFamily="34" charset="0"/>
              <a:cs typeface="Arial" panose="020B0604020202020204" pitchFamily="34" charset="0"/>
            </a:rPr>
            <a:t>Para poder acceder a la jubilación anticipada por </a:t>
          </a:r>
          <a:r>
            <a:rPr lang="es-ES" sz="1000">
              <a:effectLst/>
              <a:latin typeface="Arial" panose="020B0604020202020204" pitchFamily="34" charset="0"/>
              <a:ea typeface="Calibri" panose="020F0502020204030204" pitchFamily="34" charset="0"/>
              <a:cs typeface="Arial" panose="020B0604020202020204" pitchFamily="34" charset="0"/>
            </a:rPr>
            <a:t>voluntad del trabajador deberás cumplir, entre otros requisitos: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Tener una edad como mínimo dos años inferior a la edad ordinaria de jubilación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Un periodo mínimo de cotización de 35 años.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Por trimestre, o</a:t>
          </a:r>
          <a:r>
            <a:rPr lang="es-ES" sz="1000" baseline="0">
              <a:effectLst/>
              <a:latin typeface="Arial" panose="020B0604020202020204" pitchFamily="34" charset="0"/>
              <a:ea typeface="Calibri" panose="020F0502020204030204" pitchFamily="34" charset="0"/>
              <a:cs typeface="Times New Roman" panose="02020603050405020304" pitchFamily="18" charset="0"/>
            </a:rPr>
            <a:t> fracción de trimestre </a:t>
          </a:r>
          <a:r>
            <a:rPr lang="es-ES" sz="1000">
              <a:effectLst/>
              <a:latin typeface="Arial" panose="020B0604020202020204" pitchFamily="34" charset="0"/>
              <a:ea typeface="Calibri" panose="020F0502020204030204" pitchFamily="34" charset="0"/>
              <a:cs typeface="Times New Roman" panose="02020603050405020304" pitchFamily="18" charset="0"/>
            </a:rPr>
            <a:t>de anticipación de la edad ordinaria de jubilación, se aplican los siguientes coeficientes reductores de la pensión, los cuales se determinan en función de los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2,00% si se acreditan menos de 38,5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1,875% si se acreditan entre 38,5 y 41,5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1,75% si se acreditan entre 41,5 y 44,5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1,63% si se acreditan más de 44,5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28600">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caso de que la jubilación no sea voluntaria, y el cese del trabajo sea por causa no imputable al trabajador, se aplicarían otros porcentajes reductores.</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acceso a la jubilación de manera anticipada se recoge en los artículos 5 y 163 de la Ley 27/2011 y en los artículos 206 a 208 del texto refundido.</a:t>
          </a:r>
        </a:p>
        <a:p>
          <a:pPr marL="0" marR="0" lvl="0" indent="0" defTabSz="914400" eaLnBrk="1" fontAlgn="auto" latinLnBrk="0" hangingPunct="1">
            <a:lnSpc>
              <a:spcPct val="107000"/>
            </a:lnSpc>
            <a:spcBef>
              <a:spcPts val="0"/>
            </a:spcBef>
            <a:spcAft>
              <a:spcPts val="800"/>
            </a:spcAft>
            <a:buClrTx/>
            <a:buSzTx/>
            <a:buFontTx/>
            <a:buNone/>
            <a:tabLst/>
            <a:defRPr/>
          </a:pPr>
          <a:r>
            <a:rPr kumimoji="0" lang="es-ES_tradnl" sz="1100" b="1" i="0" u="none" strike="noStrike" kern="0" cap="none" spc="0" normalizeH="0" baseline="0" noProof="0">
              <a:ln>
                <a:noFill/>
              </a:ln>
              <a:solidFill>
                <a:srgbClr val="6D2077"/>
              </a:solidFill>
              <a:effectLst/>
              <a:uLnTx/>
              <a:uFillTx/>
              <a:latin typeface="Arial" panose="020B0604020202020204" pitchFamily="34" charset="0"/>
              <a:ea typeface="Calibri" panose="020F0502020204030204" pitchFamily="34" charset="0"/>
              <a:cs typeface="Times New Roman" panose="02020603050405020304" pitchFamily="18" charset="0"/>
            </a:rPr>
            <a:t>Jubilación prolongada: </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Cuando se acceda a la pensión de jubilación a una edad superior a la edad ordinaria de jubilación, y se cumpla con el periodo de cotización exigido, la Seguridad Social reconoce un porcentaje adicional por cada año completo cotizado entre la fecha en que cumplió la edad ordinaria de jubilación y la del acceso a la pensión. </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73586</xdr:colOff>
      <xdr:row>53</xdr:row>
      <xdr:rowOff>124239</xdr:rowOff>
    </xdr:from>
    <xdr:to>
      <xdr:col>5</xdr:col>
      <xdr:colOff>91109</xdr:colOff>
      <xdr:row>57</xdr:row>
      <xdr:rowOff>165652</xdr:rowOff>
    </xdr:to>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3186" y="9884189"/>
          <a:ext cx="2455923" cy="778013"/>
        </a:xfrm>
        <a:prstGeom prst="rect">
          <a:avLst/>
        </a:prstGeom>
        <a:solidFill>
          <a:srgbClr val="470A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7000"/>
            </a:lnSpc>
            <a:spcBef>
              <a:spcPts val="0"/>
            </a:spcBef>
            <a:spcAft>
              <a:spcPts val="800"/>
            </a:spcAft>
            <a:buClrTx/>
            <a:buSzTx/>
            <a:buFontTx/>
            <a:buNone/>
            <a:tabLst/>
            <a:defRPr/>
          </a:pPr>
          <a:r>
            <a:rPr kumimoji="0" lang="es-ES" sz="1000" b="1" i="0"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Arial" panose="020B0604020202020204" pitchFamily="34" charset="0"/>
            </a:rPr>
            <a:t>Estas son las distintas modalidades de acceso a la jubilación que permite la legislación actual y que podrás seleccionar en KPMG Predict:</a:t>
          </a:r>
          <a:endParaRPr lang="en-US" sz="1100">
            <a:solidFill>
              <a:schemeClr val="bg1"/>
            </a:solidFill>
          </a:endParaRPr>
        </a:p>
      </xdr:txBody>
    </xdr:sp>
    <xdr:clientData/>
  </xdr:twoCellAnchor>
  <xdr:twoCellAnchor>
    <xdr:from>
      <xdr:col>5</xdr:col>
      <xdr:colOff>512885</xdr:colOff>
      <xdr:row>53</xdr:row>
      <xdr:rowOff>131156</xdr:rowOff>
    </xdr:from>
    <xdr:to>
      <xdr:col>9</xdr:col>
      <xdr:colOff>505558</xdr:colOff>
      <xdr:row>57</xdr:row>
      <xdr:rowOff>138483</xdr:rowOff>
    </xdr:to>
    <xdr:sp macro="" textlink="">
      <xdr:nvSpPr>
        <xdr:cNvPr id="9" name="Rectangular Callout 8">
          <a:extLst>
            <a:ext uri="{FF2B5EF4-FFF2-40B4-BE49-F238E27FC236}">
              <a16:creationId xmlns:a16="http://schemas.microsoft.com/office/drawing/2014/main" id="{00000000-0008-0000-1500-000009000000}"/>
            </a:ext>
          </a:extLst>
        </xdr:cNvPr>
        <xdr:cNvSpPr/>
      </xdr:nvSpPr>
      <xdr:spPr>
        <a:xfrm>
          <a:off x="3560885" y="9891106"/>
          <a:ext cx="2431073" cy="743927"/>
        </a:xfrm>
        <a:prstGeom prst="wedgeRectCallout">
          <a:avLst>
            <a:gd name="adj1" fmla="val -62272"/>
            <a:gd name="adj2" fmla="val -357"/>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483577</xdr:colOff>
      <xdr:row>53</xdr:row>
      <xdr:rowOff>146542</xdr:rowOff>
    </xdr:from>
    <xdr:to>
      <xdr:col>9</xdr:col>
      <xdr:colOff>549518</xdr:colOff>
      <xdr:row>57</xdr:row>
      <xdr:rowOff>146543</xdr:rowOff>
    </xdr:to>
    <xdr:sp macro="" textlink="">
      <xdr:nvSpPr>
        <xdr:cNvPr id="10" name="TextBox 9">
          <a:extLst>
            <a:ext uri="{FF2B5EF4-FFF2-40B4-BE49-F238E27FC236}">
              <a16:creationId xmlns:a16="http://schemas.microsoft.com/office/drawing/2014/main" id="{00000000-0008-0000-1500-00000A000000}"/>
            </a:ext>
          </a:extLst>
        </xdr:cNvPr>
        <xdr:cNvSpPr txBox="1"/>
      </xdr:nvSpPr>
      <xdr:spPr>
        <a:xfrm>
          <a:off x="3531577" y="9906492"/>
          <a:ext cx="2504341" cy="736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950" b="0" i="1">
              <a:solidFill>
                <a:schemeClr val="dk1"/>
              </a:solidFill>
              <a:effectLst/>
              <a:latin typeface="+mn-lt"/>
              <a:ea typeface="+mn-ea"/>
              <a:cs typeface="+mn-cs"/>
            </a:rPr>
            <a:t>Los datos incluidos en el apartado "Resultados" del presente informe, están vinculados con la edad de acceso a la jubilación que hayas seleccionado en KPMG Predict.</a:t>
          </a:r>
          <a:endParaRPr lang="en-US" sz="950" b="0" i="1">
            <a:effectLst/>
          </a:endParaRPr>
        </a:p>
        <a:p>
          <a:endParaRPr lang="en-US" sz="950" b="0" i="1"/>
        </a:p>
      </xdr:txBody>
    </xdr:sp>
    <xdr:clientData/>
  </xdr:twoCellAnchor>
  <xdr:twoCellAnchor>
    <xdr:from>
      <xdr:col>3</xdr:col>
      <xdr:colOff>190499</xdr:colOff>
      <xdr:row>69</xdr:row>
      <xdr:rowOff>1</xdr:rowOff>
    </xdr:from>
    <xdr:to>
      <xdr:col>9</xdr:col>
      <xdr:colOff>446941</xdr:colOff>
      <xdr:row>71</xdr:row>
      <xdr:rowOff>168519</xdr:rowOff>
    </xdr:to>
    <xdr:sp macro="" textlink="">
      <xdr:nvSpPr>
        <xdr:cNvPr id="11" name="Rectangular Callout 10">
          <a:extLst>
            <a:ext uri="{FF2B5EF4-FFF2-40B4-BE49-F238E27FC236}">
              <a16:creationId xmlns:a16="http://schemas.microsoft.com/office/drawing/2014/main" id="{00000000-0008-0000-1500-00000B000000}"/>
            </a:ext>
          </a:extLst>
        </xdr:cNvPr>
        <xdr:cNvSpPr/>
      </xdr:nvSpPr>
      <xdr:spPr>
        <a:xfrm>
          <a:off x="2088172" y="13144501"/>
          <a:ext cx="4125057" cy="549518"/>
        </a:xfrm>
        <a:prstGeom prst="wedgeRectCallout">
          <a:avLst>
            <a:gd name="adj1" fmla="val -61011"/>
            <a:gd name="adj2" fmla="val -60294"/>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161192</xdr:colOff>
      <xdr:row>68</xdr:row>
      <xdr:rowOff>175847</xdr:rowOff>
    </xdr:from>
    <xdr:to>
      <xdr:col>9</xdr:col>
      <xdr:colOff>498231</xdr:colOff>
      <xdr:row>71</xdr:row>
      <xdr:rowOff>168523</xdr:rowOff>
    </xdr:to>
    <xdr:sp macro="" textlink="">
      <xdr:nvSpPr>
        <xdr:cNvPr id="12" name="TextBox 11">
          <a:extLst>
            <a:ext uri="{FF2B5EF4-FFF2-40B4-BE49-F238E27FC236}">
              <a16:creationId xmlns:a16="http://schemas.microsoft.com/office/drawing/2014/main" id="{00000000-0008-0000-1500-00000C000000}"/>
            </a:ext>
          </a:extLst>
        </xdr:cNvPr>
        <xdr:cNvSpPr txBox="1"/>
      </xdr:nvSpPr>
      <xdr:spPr>
        <a:xfrm>
          <a:off x="2058865" y="13129847"/>
          <a:ext cx="4205654" cy="564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el apartado "Resultados" se incluye la edad y fecha de acceso a la </a:t>
          </a:r>
          <a:r>
            <a:rPr lang="en-US" sz="950" b="1" i="1"/>
            <a:t>jubilación ordinaria</a:t>
          </a:r>
          <a:r>
            <a:rPr lang="en-US" sz="950" b="0" i="1"/>
            <a:t> en función de los años cotizados que hayas introducido en el apartado “Datos personales”.</a:t>
          </a:r>
        </a:p>
        <a:p>
          <a:endParaRPr lang="en-US" sz="950" b="0" i="1"/>
        </a:p>
      </xdr:txBody>
    </xdr:sp>
    <xdr:clientData/>
  </xdr:twoCellAnchor>
  <xdr:twoCellAnchor>
    <xdr:from>
      <xdr:col>3</xdr:col>
      <xdr:colOff>190499</xdr:colOff>
      <xdr:row>84</xdr:row>
      <xdr:rowOff>23852</xdr:rowOff>
    </xdr:from>
    <xdr:to>
      <xdr:col>9</xdr:col>
      <xdr:colOff>507924</xdr:colOff>
      <xdr:row>87</xdr:row>
      <xdr:rowOff>26378</xdr:rowOff>
    </xdr:to>
    <xdr:sp macro="" textlink="">
      <xdr:nvSpPr>
        <xdr:cNvPr id="13" name="Rectangular Callout 12">
          <a:extLst>
            <a:ext uri="{FF2B5EF4-FFF2-40B4-BE49-F238E27FC236}">
              <a16:creationId xmlns:a16="http://schemas.microsoft.com/office/drawing/2014/main" id="{00000000-0008-0000-1500-00000D000000}"/>
            </a:ext>
          </a:extLst>
        </xdr:cNvPr>
        <xdr:cNvSpPr/>
      </xdr:nvSpPr>
      <xdr:spPr>
        <a:xfrm>
          <a:off x="2163535" y="15263852"/>
          <a:ext cx="4399568" cy="546812"/>
        </a:xfrm>
        <a:prstGeom prst="wedgeRectCallout">
          <a:avLst>
            <a:gd name="adj1" fmla="val -60305"/>
            <a:gd name="adj2" fmla="val -54485"/>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179999</xdr:colOff>
      <xdr:row>84</xdr:row>
      <xdr:rowOff>38555</xdr:rowOff>
    </xdr:from>
    <xdr:to>
      <xdr:col>9</xdr:col>
      <xdr:colOff>506948</xdr:colOff>
      <xdr:row>87</xdr:row>
      <xdr:rowOff>38555</xdr:rowOff>
    </xdr:to>
    <xdr:sp macro="" textlink="">
      <xdr:nvSpPr>
        <xdr:cNvPr id="14" name="TextBox 13">
          <a:extLst>
            <a:ext uri="{FF2B5EF4-FFF2-40B4-BE49-F238E27FC236}">
              <a16:creationId xmlns:a16="http://schemas.microsoft.com/office/drawing/2014/main" id="{00000000-0008-0000-1500-00000E000000}"/>
            </a:ext>
          </a:extLst>
        </xdr:cNvPr>
        <xdr:cNvSpPr txBox="1"/>
      </xdr:nvSpPr>
      <xdr:spPr>
        <a:xfrm>
          <a:off x="2153035" y="15278555"/>
          <a:ext cx="4409092" cy="54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50" b="0" i="1"/>
            <a:t>En caso de que hayas seleccionado la opción de </a:t>
          </a:r>
          <a:r>
            <a:rPr lang="en-US" sz="950" b="1" i="1"/>
            <a:t>jubilación anticipada</a:t>
          </a:r>
          <a:r>
            <a:rPr lang="en-US" sz="950" b="0" i="1"/>
            <a:t>, en el apartado "Resultados" puedes encontrar el detalle del coeficiente reductor que sería de aplicación en el cálculo de tu pensión pública.</a:t>
          </a:r>
        </a:p>
      </xdr:txBody>
    </xdr:sp>
    <xdr:clientData/>
  </xdr:twoCellAnchor>
  <xdr:twoCellAnchor>
    <xdr:from>
      <xdr:col>3</xdr:col>
      <xdr:colOff>171460</xdr:colOff>
      <xdr:row>96</xdr:row>
      <xdr:rowOff>49689</xdr:rowOff>
    </xdr:from>
    <xdr:to>
      <xdr:col>9</xdr:col>
      <xdr:colOff>448237</xdr:colOff>
      <xdr:row>99</xdr:row>
      <xdr:rowOff>47537</xdr:rowOff>
    </xdr:to>
    <xdr:sp macro="" textlink="">
      <xdr:nvSpPr>
        <xdr:cNvPr id="15" name="Rectangular Callout 14">
          <a:extLst>
            <a:ext uri="{FF2B5EF4-FFF2-40B4-BE49-F238E27FC236}">
              <a16:creationId xmlns:a16="http://schemas.microsoft.com/office/drawing/2014/main" id="{00000000-0008-0000-1500-00000F000000}"/>
            </a:ext>
          </a:extLst>
        </xdr:cNvPr>
        <xdr:cNvSpPr/>
      </xdr:nvSpPr>
      <xdr:spPr>
        <a:xfrm>
          <a:off x="2144496" y="17466832"/>
          <a:ext cx="4351360" cy="542134"/>
        </a:xfrm>
        <a:prstGeom prst="wedgeRectCallout">
          <a:avLst>
            <a:gd name="adj1" fmla="val -58880"/>
            <a:gd name="adj2" fmla="val -56920"/>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170127</xdr:colOff>
      <xdr:row>96</xdr:row>
      <xdr:rowOff>55516</xdr:rowOff>
    </xdr:from>
    <xdr:to>
      <xdr:col>9</xdr:col>
      <xdr:colOff>376809</xdr:colOff>
      <xdr:row>99</xdr:row>
      <xdr:rowOff>112086</xdr:rowOff>
    </xdr:to>
    <xdr:sp macro="" textlink="">
      <xdr:nvSpPr>
        <xdr:cNvPr id="16" name="TextBox 15">
          <a:extLst>
            <a:ext uri="{FF2B5EF4-FFF2-40B4-BE49-F238E27FC236}">
              <a16:creationId xmlns:a16="http://schemas.microsoft.com/office/drawing/2014/main" id="{00000000-0008-0000-1500-000010000000}"/>
            </a:ext>
          </a:extLst>
        </xdr:cNvPr>
        <xdr:cNvSpPr txBox="1"/>
      </xdr:nvSpPr>
      <xdr:spPr>
        <a:xfrm>
          <a:off x="2143163" y="17472659"/>
          <a:ext cx="4281265" cy="600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caso de que hayas seleccionado la opción de </a:t>
          </a:r>
          <a:r>
            <a:rPr lang="en-US" sz="950" b="1" i="1"/>
            <a:t>jubilación prolongada</a:t>
          </a:r>
          <a:r>
            <a:rPr lang="en-US" sz="950" b="0" i="1"/>
            <a:t>, en el apartado "Resultados" puedes encontrar el detalle del porcentaje adicional que sería de aplicación en el cálculo de tu pensión pública.</a:t>
          </a:r>
        </a:p>
      </xdr:txBody>
    </xdr:sp>
    <xdr:clientData/>
  </xdr:twoCellAnchor>
  <xdr:twoCellAnchor>
    <xdr:from>
      <xdr:col>0</xdr:col>
      <xdr:colOff>604630</xdr:colOff>
      <xdr:row>102</xdr:row>
      <xdr:rowOff>28572</xdr:rowOff>
    </xdr:from>
    <xdr:to>
      <xdr:col>10</xdr:col>
      <xdr:colOff>8283</xdr:colOff>
      <xdr:row>121</xdr:row>
      <xdr:rowOff>91109</xdr:rowOff>
    </xdr:to>
    <xdr:sp macro="" textlink="">
      <xdr:nvSpPr>
        <xdr:cNvPr id="17" name="TextBox 16">
          <a:extLst>
            <a:ext uri="{FF2B5EF4-FFF2-40B4-BE49-F238E27FC236}">
              <a16:creationId xmlns:a16="http://schemas.microsoft.com/office/drawing/2014/main" id="{00000000-0008-0000-1500-000011000000}"/>
            </a:ext>
          </a:extLst>
        </xdr:cNvPr>
        <xdr:cNvSpPr txBox="1"/>
      </xdr:nvSpPr>
      <xdr:spPr>
        <a:xfrm>
          <a:off x="604630" y="18811872"/>
          <a:ext cx="5499653" cy="35613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8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porcentaje adicional varía en función del número de años cotizados que acredites a la edad ordinaria de jubilación:</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2% si se acreditan hasta 25 años cotizados.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2,75 % si se acreditan entre 25 y 37 años cotizados.</a:t>
          </a:r>
        </a:p>
        <a:p>
          <a:pPr marL="342900" marR="0" lvl="0" indent="-342900" defTabSz="914400" eaLnBrk="1" fontAlgn="auto" latinLnBrk="0" hangingPunct="1">
            <a:lnSpc>
              <a:spcPct val="107000"/>
            </a:lnSpc>
            <a:spcBef>
              <a:spcPts val="0"/>
            </a:spcBef>
            <a:spcAft>
              <a:spcPts val="8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4 % si se acreditan más de 37 años cotizados.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Si la cuantía de la pensión reconocida alcanza el límite máximo sin aplicar el porcentaje adicional o aplicándolo sólo parcialmente, el importe que percibirías sería la pensión máxima y un complemento adicional por el porcentaje adicional que corresponda.</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acceso a la jubilación de manera posterior a la edad ordinaria se regula en el artículo 163 de la Ley 27/2011.</a:t>
          </a: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r>
            <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rPr>
            <a:t>¿Cómo se calcula la prestación de jubilación que voy a percibir de la Seguridad Social?</a:t>
          </a:r>
          <a:endParaRPr kumimoji="0" lang="en-U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La pensión de jubilación se calcula sobre una base reguladora calculada a partir de las bases de cotización durante un cierto número de años. A esta base reguladora se le aplica un porcentaje que se determina en función de los años de cotización. La pensión obtenida se corrige mediante la aplicación del factor de sostenibilidad y del complemento para la reducción de la brecha de género.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89204</xdr:colOff>
      <xdr:row>140</xdr:row>
      <xdr:rowOff>10795</xdr:rowOff>
    </xdr:from>
    <xdr:to>
      <xdr:col>9</xdr:col>
      <xdr:colOff>588232</xdr:colOff>
      <xdr:row>149</xdr:row>
      <xdr:rowOff>164429</xdr:rowOff>
    </xdr:to>
    <xdr:sp macro="" textlink="">
      <xdr:nvSpPr>
        <xdr:cNvPr id="19" name="Rectangle 18">
          <a:extLst>
            <a:ext uri="{FF2B5EF4-FFF2-40B4-BE49-F238E27FC236}">
              <a16:creationId xmlns:a16="http://schemas.microsoft.com/office/drawing/2014/main" id="{00000000-0008-0000-1500-000013000000}"/>
            </a:ext>
          </a:extLst>
        </xdr:cNvPr>
        <xdr:cNvSpPr/>
      </xdr:nvSpPr>
      <xdr:spPr>
        <a:xfrm>
          <a:off x="699670" y="25468522"/>
          <a:ext cx="5902301" cy="1790202"/>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85375</xdr:colOff>
      <xdr:row>130</xdr:row>
      <xdr:rowOff>42955</xdr:rowOff>
    </xdr:from>
    <xdr:to>
      <xdr:col>9</xdr:col>
      <xdr:colOff>598898</xdr:colOff>
      <xdr:row>138</xdr:row>
      <xdr:rowOff>163874</xdr:rowOff>
    </xdr:to>
    <xdr:sp macro="" textlink="">
      <xdr:nvSpPr>
        <xdr:cNvPr id="21" name="Rectangle 20">
          <a:extLst>
            <a:ext uri="{FF2B5EF4-FFF2-40B4-BE49-F238E27FC236}">
              <a16:creationId xmlns:a16="http://schemas.microsoft.com/office/drawing/2014/main" id="{00000000-0008-0000-1500-000015000000}"/>
            </a:ext>
          </a:extLst>
        </xdr:cNvPr>
        <xdr:cNvSpPr/>
      </xdr:nvSpPr>
      <xdr:spPr>
        <a:xfrm>
          <a:off x="697963" y="24322367"/>
          <a:ext cx="5929700" cy="1615036"/>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87683</xdr:colOff>
      <xdr:row>151</xdr:row>
      <xdr:rowOff>129111</xdr:rowOff>
    </xdr:from>
    <xdr:to>
      <xdr:col>9</xdr:col>
      <xdr:colOff>568075</xdr:colOff>
      <xdr:row>162</xdr:row>
      <xdr:rowOff>63931</xdr:rowOff>
    </xdr:to>
    <xdr:sp macro="" textlink="">
      <xdr:nvSpPr>
        <xdr:cNvPr id="24" name="TextBox 23">
          <a:extLst>
            <a:ext uri="{FF2B5EF4-FFF2-40B4-BE49-F238E27FC236}">
              <a16:creationId xmlns:a16="http://schemas.microsoft.com/office/drawing/2014/main" id="{00000000-0008-0000-1500-000018000000}"/>
            </a:ext>
          </a:extLst>
        </xdr:cNvPr>
        <xdr:cNvSpPr txBox="1"/>
      </xdr:nvSpPr>
      <xdr:spPr>
        <a:xfrm>
          <a:off x="700271" y="28330582"/>
          <a:ext cx="5896569" cy="1989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s-ES_tradnl"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Porcentajes reductores sobre la pensión</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función de los años cotizados acreditados a la fecha de jubilación se aplica un porcentaje sobre tu base reguladora. De este modo, en 2022:</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15 años cotizados se reconoce el 50% de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20 años cotizados se reconoce el 62,6% a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6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36 años cotizados se reconoce el 100% de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_tradnl" sz="1000">
              <a:effectLst/>
              <a:latin typeface="Arial" panose="020B0604020202020204" pitchFamily="34" charset="0"/>
              <a:ea typeface="Calibri" panose="020F0502020204030204" pitchFamily="34" charset="0"/>
              <a:cs typeface="Times New Roman" panose="02020603050405020304" pitchFamily="18" charset="0"/>
            </a:rPr>
            <a:t>Hay un periodo transitorio hasta el año 2027 durante el cual se aumenta progresivamente el requisito de años cotizados. En el año 2027, se ha de acreditar 37 años de cotización para obtener el 100% de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90892</xdr:colOff>
      <xdr:row>164</xdr:row>
      <xdr:rowOff>29599</xdr:rowOff>
    </xdr:from>
    <xdr:to>
      <xdr:col>9</xdr:col>
      <xdr:colOff>604415</xdr:colOff>
      <xdr:row>175</xdr:row>
      <xdr:rowOff>11583</xdr:rowOff>
    </xdr:to>
    <xdr:sp macro="" textlink="">
      <xdr:nvSpPr>
        <xdr:cNvPr id="27" name="Rectangle 26">
          <a:extLst>
            <a:ext uri="{FF2B5EF4-FFF2-40B4-BE49-F238E27FC236}">
              <a16:creationId xmlns:a16="http://schemas.microsoft.com/office/drawing/2014/main" id="{00000000-0008-0000-1500-00001B000000}"/>
            </a:ext>
          </a:extLst>
        </xdr:cNvPr>
        <xdr:cNvSpPr/>
      </xdr:nvSpPr>
      <xdr:spPr>
        <a:xfrm>
          <a:off x="700492" y="30378970"/>
          <a:ext cx="5930980" cy="2017613"/>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64532</xdr:colOff>
      <xdr:row>164</xdr:row>
      <xdr:rowOff>107676</xdr:rowOff>
    </xdr:from>
    <xdr:to>
      <xdr:col>9</xdr:col>
      <xdr:colOff>576477</xdr:colOff>
      <xdr:row>175</xdr:row>
      <xdr:rowOff>27581</xdr:rowOff>
    </xdr:to>
    <xdr:sp macro="" textlink="">
      <xdr:nvSpPr>
        <xdr:cNvPr id="28" name="TextBox 27">
          <a:extLst>
            <a:ext uri="{FF2B5EF4-FFF2-40B4-BE49-F238E27FC236}">
              <a16:creationId xmlns:a16="http://schemas.microsoft.com/office/drawing/2014/main" id="{00000000-0008-0000-1500-00001C000000}"/>
            </a:ext>
          </a:extLst>
        </xdr:cNvPr>
        <xdr:cNvSpPr txBox="1"/>
      </xdr:nvSpPr>
      <xdr:spPr>
        <a:xfrm>
          <a:off x="677120" y="30737088"/>
          <a:ext cx="5928122" cy="1974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b="1">
              <a:solidFill>
                <a:srgbClr val="7030A0"/>
              </a:solidFill>
              <a:effectLst/>
              <a:latin typeface="Arial" panose="020B0604020202020204" pitchFamily="34" charset="0"/>
              <a:ea typeface="Calibri" panose="020F0502020204030204" pitchFamily="34" charset="0"/>
              <a:cs typeface="Times New Roman" panose="02020603050405020304" pitchFamily="18" charset="0"/>
            </a:rPr>
            <a:t>Complemento para</a:t>
          </a: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 la reducción de la brecha de género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La prestación pública se incrementa en 28 Euros</a:t>
          </a:r>
          <a:r>
            <a:rPr lang="es-ES" sz="1000" baseline="0">
              <a:effectLst/>
              <a:latin typeface="Arial" panose="020B0604020202020204" pitchFamily="34" charset="0"/>
              <a:ea typeface="Calibri" panose="020F0502020204030204" pitchFamily="34" charset="0"/>
              <a:cs typeface="Times New Roman" panose="02020603050405020304" pitchFamily="18" charset="0"/>
            </a:rPr>
            <a:t> mensuales por hijo desde el primer hijo y con un máximo de cuatro. </a:t>
          </a: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Este complemento está diseñado para compensar la contribución demográfica de las mujeres con derecho a prestación</a:t>
          </a:r>
          <a:r>
            <a:rPr lang="es-ES" sz="1000" baseline="0">
              <a:effectLst/>
              <a:latin typeface="Arial" panose="020B0604020202020204" pitchFamily="34" charset="0"/>
              <a:ea typeface="Calibri" panose="020F0502020204030204" pitchFamily="34" charset="0"/>
              <a:cs typeface="Times New Roman" panose="02020603050405020304" pitchFamily="18" charset="0"/>
            </a:rPr>
            <a:t> contributiva, pero también </a:t>
          </a:r>
          <a:r>
            <a:rPr lang="es-ES" sz="1000">
              <a:effectLst/>
              <a:latin typeface="Arial" panose="020B0604020202020204" pitchFamily="34" charset="0"/>
              <a:ea typeface="Calibri" panose="020F0502020204030204" pitchFamily="34" charset="0"/>
              <a:cs typeface="Times New Roman" panose="02020603050405020304" pitchFamily="18" charset="0"/>
            </a:rPr>
            <a:t>regula</a:t>
          </a:r>
          <a:r>
            <a:rPr lang="es-ES" sz="1000" baseline="0">
              <a:effectLst/>
              <a:latin typeface="Arial" panose="020B0604020202020204" pitchFamily="34" charset="0"/>
              <a:ea typeface="Calibri" panose="020F0502020204030204" pitchFamily="34" charset="0"/>
              <a:cs typeface="Times New Roman" panose="02020603050405020304" pitchFamily="18" charset="0"/>
            </a:rPr>
            <a:t> la posibilidad de que hombres puedan acceder al mismo en caso de viudedad o en el caso de que su carrera profesional se haya visto más afectada que la de la progenitora como consecuencia del nacimiento del hijo.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El reconocimiento del complemento por maternidad se recoge en el artículo 60 del texto refundido de la Ley General de Seguridad Social.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54398</xdr:colOff>
      <xdr:row>311</xdr:row>
      <xdr:rowOff>119647</xdr:rowOff>
    </xdr:from>
    <xdr:to>
      <xdr:col>9</xdr:col>
      <xdr:colOff>69053</xdr:colOff>
      <xdr:row>312</xdr:row>
      <xdr:rowOff>134301</xdr:rowOff>
    </xdr:to>
    <xdr:sp macro="" textlink="">
      <xdr:nvSpPr>
        <xdr:cNvPr id="62" name="Rectangle 61">
          <a:extLst>
            <a:ext uri="{FF2B5EF4-FFF2-40B4-BE49-F238E27FC236}">
              <a16:creationId xmlns:a16="http://schemas.microsoft.com/office/drawing/2014/main" id="{00000000-0008-0000-1500-00003E000000}"/>
            </a:ext>
          </a:extLst>
        </xdr:cNvPr>
        <xdr:cNvSpPr/>
      </xdr:nvSpPr>
      <xdr:spPr>
        <a:xfrm>
          <a:off x="666307" y="58124011"/>
          <a:ext cx="5435246" cy="199381"/>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sistema</a:t>
          </a:r>
          <a:r>
            <a:rPr lang="en-US" sz="1000" baseline="0">
              <a:latin typeface="Arial" panose="020B0604020202020204" pitchFamily="34" charset="0"/>
              <a:cs typeface="Arial" panose="020B0604020202020204" pitchFamily="34" charset="0"/>
            </a:rPr>
            <a:t> público</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49823</xdr:colOff>
      <xdr:row>317</xdr:row>
      <xdr:rowOff>21154</xdr:rowOff>
    </xdr:from>
    <xdr:to>
      <xdr:col>9</xdr:col>
      <xdr:colOff>64478</xdr:colOff>
      <xdr:row>318</xdr:row>
      <xdr:rowOff>35808</xdr:rowOff>
    </xdr:to>
    <xdr:sp macro="" textlink="">
      <xdr:nvSpPr>
        <xdr:cNvPr id="63" name="Rectangle 62">
          <a:extLst>
            <a:ext uri="{FF2B5EF4-FFF2-40B4-BE49-F238E27FC236}">
              <a16:creationId xmlns:a16="http://schemas.microsoft.com/office/drawing/2014/main" id="{00000000-0008-0000-1500-00003F000000}"/>
            </a:ext>
          </a:extLst>
        </xdr:cNvPr>
        <xdr:cNvSpPr/>
      </xdr:nvSpPr>
      <xdr:spPr>
        <a:xfrm>
          <a:off x="658365" y="40396571"/>
          <a:ext cx="5465071" cy="199862"/>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Plantearse un objetivo</a:t>
          </a:r>
        </a:p>
      </xdr:txBody>
    </xdr:sp>
    <xdr:clientData/>
  </xdr:twoCellAnchor>
  <xdr:twoCellAnchor>
    <xdr:from>
      <xdr:col>1</xdr:col>
      <xdr:colOff>70337</xdr:colOff>
      <xdr:row>321</xdr:row>
      <xdr:rowOff>121947</xdr:rowOff>
    </xdr:from>
    <xdr:to>
      <xdr:col>9</xdr:col>
      <xdr:colOff>84992</xdr:colOff>
      <xdr:row>322</xdr:row>
      <xdr:rowOff>136601</xdr:rowOff>
    </xdr:to>
    <xdr:sp macro="" textlink="">
      <xdr:nvSpPr>
        <xdr:cNvPr id="64" name="Rectangle 63">
          <a:extLst>
            <a:ext uri="{FF2B5EF4-FFF2-40B4-BE49-F238E27FC236}">
              <a16:creationId xmlns:a16="http://schemas.microsoft.com/office/drawing/2014/main" id="{00000000-0008-0000-1500-000040000000}"/>
            </a:ext>
          </a:extLst>
        </xdr:cNvPr>
        <xdr:cNvSpPr/>
      </xdr:nvSpPr>
      <xdr:spPr>
        <a:xfrm>
          <a:off x="683250" y="42412947"/>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ahorro privado</a:t>
          </a:r>
        </a:p>
      </xdr:txBody>
    </xdr:sp>
    <xdr:clientData/>
  </xdr:twoCellAnchor>
  <xdr:twoCellAnchor>
    <xdr:from>
      <xdr:col>1</xdr:col>
      <xdr:colOff>61547</xdr:colOff>
      <xdr:row>327</xdr:row>
      <xdr:rowOff>47213</xdr:rowOff>
    </xdr:from>
    <xdr:to>
      <xdr:col>9</xdr:col>
      <xdr:colOff>76202</xdr:colOff>
      <xdr:row>328</xdr:row>
      <xdr:rowOff>61867</xdr:rowOff>
    </xdr:to>
    <xdr:sp macro="" textlink="">
      <xdr:nvSpPr>
        <xdr:cNvPr id="65" name="Rectangle 64">
          <a:extLst>
            <a:ext uri="{FF2B5EF4-FFF2-40B4-BE49-F238E27FC236}">
              <a16:creationId xmlns:a16="http://schemas.microsoft.com/office/drawing/2014/main" id="{00000000-0008-0000-1500-000041000000}"/>
            </a:ext>
          </a:extLst>
        </xdr:cNvPr>
        <xdr:cNvSpPr/>
      </xdr:nvSpPr>
      <xdr:spPr>
        <a:xfrm>
          <a:off x="674460" y="43481213"/>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Analizar el grado de cumplimiento del objetivo</a:t>
          </a:r>
        </a:p>
      </xdr:txBody>
    </xdr:sp>
    <xdr:clientData/>
  </xdr:twoCellAnchor>
  <xdr:twoCellAnchor>
    <xdr:from>
      <xdr:col>1</xdr:col>
      <xdr:colOff>7328</xdr:colOff>
      <xdr:row>347</xdr:row>
      <xdr:rowOff>35659</xdr:rowOff>
    </xdr:from>
    <xdr:to>
      <xdr:col>9</xdr:col>
      <xdr:colOff>608135</xdr:colOff>
      <xdr:row>392</xdr:row>
      <xdr:rowOff>22470</xdr:rowOff>
    </xdr:to>
    <xdr:sp macro="" textlink="">
      <xdr:nvSpPr>
        <xdr:cNvPr id="66" name="TextBox 65">
          <a:extLst>
            <a:ext uri="{FF2B5EF4-FFF2-40B4-BE49-F238E27FC236}">
              <a16:creationId xmlns:a16="http://schemas.microsoft.com/office/drawing/2014/main" id="{00000000-0008-0000-1500-000042000000}"/>
            </a:ext>
          </a:extLst>
        </xdr:cNvPr>
        <xdr:cNvSpPr txBox="1"/>
      </xdr:nvSpPr>
      <xdr:spPr>
        <a:xfrm>
          <a:off x="615463" y="64043659"/>
          <a:ext cx="6008076" cy="838346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12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A la hora de financiar el </a:t>
          </a:r>
          <a:r>
            <a:rPr kumimoji="0" lang="es-ES" sz="1000" b="0" i="1"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GAP</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o posible diferencia entre el objetivo de cobertura y la cobertura alcanzada, hay que plantearse las siguientes cuestiones: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1.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Times New Roman" panose="02020603050405020304" pitchFamily="18" charset="0"/>
            </a:rPr>
            <a:t>¿Conozco el vehículo más conveniente para financiar el ahorro complementario?</a:t>
          </a:r>
          <a:endParaRPr kumimoji="0" lang="en-US" sz="1100" b="0" i="0" u="none" strike="noStrike" kern="0" cap="none" spc="0" normalizeH="0" baseline="0" noProof="0">
            <a:ln>
              <a:noFill/>
            </a:ln>
            <a:solidFill>
              <a:srgbClr val="00A3A1"/>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Para la consideración del vehículo a escoger, hay que tener en cuenta multitud de factores, como son el perfil de riesgo de cada inversor y la fiscalidad aplicable a cada producto financiero.</a:t>
          </a:r>
        </a:p>
        <a:p>
          <a:pPr marL="215900" marR="0" lvl="0" indent="0" defTabSz="914400" eaLnBrk="1" fontAlgn="auto" latinLnBrk="0" hangingPunct="1">
            <a:lnSpc>
              <a:spcPct val="107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2.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¿Cuándo y cuánto debo empezar a ahorrar?</a:t>
          </a: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Si nuestras necesidades financieras no se van a ver cubiertas con el ahorro de los pilares I y II, lo recomendable es, a partir de la herramienta de simulación, y conociendo la capacidad de ahorro que pudiéramos tener, analizar el momento adecuado y cantidad necesaria para alcanzar el objetivo que nos hayamos propuesto.</a:t>
          </a: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La cuantía a destinar al ahorro para alcanzar la pensión que deseas percibir llegada la jubilación está ligada al número de años necesarios para financiar dicha pensión y por tanto al horizonte temporal del que dispones.</a:t>
          </a: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Cuanto mayor sea el horizonte de planificación, menor será el esfuerzo que tendrás que hacer para acumular el ahorro necesario. Además, no hay que perder de vista las bondades del interés compuesto, es decir, la rentabilidad que se genera sobre las rentabilidades pasadas.</a:t>
          </a:r>
        </a:p>
        <a:p>
          <a:pPr marL="0" marR="0" lvl="0" indent="0" defTabSz="914400" eaLnBrk="1" fontAlgn="auto" latinLnBrk="0" hangingPunct="1">
            <a:lnSpc>
              <a:spcPct val="107000"/>
            </a:lnSpc>
            <a:spcBef>
              <a:spcPts val="0"/>
            </a:spcBef>
            <a:spcAft>
              <a:spcPts val="600"/>
            </a:spcAft>
            <a:buClrTx/>
            <a:buSzTx/>
            <a:buFontTx/>
            <a:buNone/>
            <a:tabLst/>
            <a:defRPr/>
          </a:pPr>
          <a:endParaRPr kumimoji="0" lang="es-ES" sz="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1200"/>
            </a:spcAft>
            <a:buClrTx/>
            <a:buSzTx/>
            <a:buFontTx/>
            <a:buNone/>
            <a:tabLst/>
            <a:defRPr/>
          </a:pP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 </a:t>
          </a: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3.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¿Cómo voy a cobrar mis prestaciones?</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5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n-US" sz="24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posible percibir las prestaciones en forma de un único pago o capital, en forma de renta financiera temporal o de forma mixta en una combinación de capital y renta. La modalidad de cobro de las prestaciones tiene un impacto en la tributación en la medida en la que estas tributan como rendimientos del trabajo al tipo marginal aplicable al beneficiario en el momento de la percepción.</a:t>
          </a:r>
        </a:p>
        <a:p>
          <a:pPr marL="0" marR="0" lvl="0" indent="0" defTabSz="914400" eaLnBrk="1" fontAlgn="auto" latinLnBrk="0" hangingPunct="1">
            <a:lnSpc>
              <a:spcPct val="100000"/>
            </a:lnSpc>
            <a:spcBef>
              <a:spcPts val="0"/>
            </a:spcBef>
            <a:spcAft>
              <a:spcPts val="30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importante tomar la decisión sobre la modalidad de percepción de las prestaciones teniendo en cuenta, tanto las necesidades financieras que pudieras tener en el momento de la jubilación, como los aspectos fiscales aplicables a cada prestación.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______________________</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2</xdr:col>
      <xdr:colOff>9775</xdr:colOff>
      <xdr:row>355</xdr:row>
      <xdr:rowOff>70968</xdr:rowOff>
    </xdr:from>
    <xdr:to>
      <xdr:col>9</xdr:col>
      <xdr:colOff>440587</xdr:colOff>
      <xdr:row>359</xdr:row>
      <xdr:rowOff>58419</xdr:rowOff>
    </xdr:to>
    <xdr:sp macro="" textlink="">
      <xdr:nvSpPr>
        <xdr:cNvPr id="67" name="Rectangular Callout 66">
          <a:extLst>
            <a:ext uri="{FF2B5EF4-FFF2-40B4-BE49-F238E27FC236}">
              <a16:creationId xmlns:a16="http://schemas.microsoft.com/office/drawing/2014/main" id="{00000000-0008-0000-1500-000043000000}"/>
            </a:ext>
          </a:extLst>
        </xdr:cNvPr>
        <xdr:cNvSpPr/>
      </xdr:nvSpPr>
      <xdr:spPr>
        <a:xfrm>
          <a:off x="1296812" y="64998944"/>
          <a:ext cx="5174726" cy="712280"/>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644769</xdr:colOff>
      <xdr:row>355</xdr:row>
      <xdr:rowOff>104750</xdr:rowOff>
    </xdr:from>
    <xdr:to>
      <xdr:col>9</xdr:col>
      <xdr:colOff>408103</xdr:colOff>
      <xdr:row>359</xdr:row>
      <xdr:rowOff>71907</xdr:rowOff>
    </xdr:to>
    <xdr:sp macro="" textlink="">
      <xdr:nvSpPr>
        <xdr:cNvPr id="68" name="TextBox 67">
          <a:extLst>
            <a:ext uri="{FF2B5EF4-FFF2-40B4-BE49-F238E27FC236}">
              <a16:creationId xmlns:a16="http://schemas.microsoft.com/office/drawing/2014/main" id="{00000000-0008-0000-1500-000044000000}"/>
            </a:ext>
          </a:extLst>
        </xdr:cNvPr>
        <xdr:cNvSpPr txBox="1"/>
      </xdr:nvSpPr>
      <xdr:spPr>
        <a:xfrm>
          <a:off x="1252904" y="65732000"/>
          <a:ext cx="5170603" cy="69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Con KPMG PREDICT, es posible simular la prestación que otorgaría un vehículo de ahorro individual en función de la aportación anual que deseas realizar y la rentabilidad media que pueda obtener dicho vehículo con el objetivo de complementar las prestaciones públicas y del ahorro de la empresa.</a:t>
          </a:r>
        </a:p>
      </xdr:txBody>
    </xdr:sp>
    <xdr:clientData/>
  </xdr:twoCellAnchor>
  <xdr:twoCellAnchor>
    <xdr:from>
      <xdr:col>2</xdr:col>
      <xdr:colOff>6835</xdr:colOff>
      <xdr:row>373</xdr:row>
      <xdr:rowOff>104106</xdr:rowOff>
    </xdr:from>
    <xdr:to>
      <xdr:col>9</xdr:col>
      <xdr:colOff>443997</xdr:colOff>
      <xdr:row>378</xdr:row>
      <xdr:rowOff>68330</xdr:rowOff>
    </xdr:to>
    <xdr:sp macro="" textlink="">
      <xdr:nvSpPr>
        <xdr:cNvPr id="69" name="Rectangular Callout 68">
          <a:extLst>
            <a:ext uri="{FF2B5EF4-FFF2-40B4-BE49-F238E27FC236}">
              <a16:creationId xmlns:a16="http://schemas.microsoft.com/office/drawing/2014/main" id="{00000000-0008-0000-1500-000045000000}"/>
            </a:ext>
          </a:extLst>
        </xdr:cNvPr>
        <xdr:cNvSpPr/>
      </xdr:nvSpPr>
      <xdr:spPr>
        <a:xfrm>
          <a:off x="1293872" y="68293813"/>
          <a:ext cx="5181076" cy="870261"/>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27840</xdr:colOff>
      <xdr:row>373</xdr:row>
      <xdr:rowOff>157721</xdr:rowOff>
    </xdr:from>
    <xdr:to>
      <xdr:col>9</xdr:col>
      <xdr:colOff>465251</xdr:colOff>
      <xdr:row>378</xdr:row>
      <xdr:rowOff>95250</xdr:rowOff>
    </xdr:to>
    <xdr:sp macro="" textlink="">
      <xdr:nvSpPr>
        <xdr:cNvPr id="70" name="TextBox 69">
          <a:extLst>
            <a:ext uri="{FF2B5EF4-FFF2-40B4-BE49-F238E27FC236}">
              <a16:creationId xmlns:a16="http://schemas.microsoft.com/office/drawing/2014/main" id="{00000000-0008-0000-1500-000046000000}"/>
            </a:ext>
          </a:extLst>
        </xdr:cNvPr>
        <xdr:cNvSpPr txBox="1"/>
      </xdr:nvSpPr>
      <xdr:spPr>
        <a:xfrm>
          <a:off x="1310052" y="69082086"/>
          <a:ext cx="5170603" cy="85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Con el simulador de prestaciones que KPMG PREDICT ofrece, es posible simular el cobro de rentas temporales y el cobro en forma mixta combinando parte en capital y parte en forma de renta. Una vez conocido el fondo acumulado o capital que obtendrás a la jubilación, introduciendo el importe que deseas convertir en forma de renta, obtendrías una simulación del número de años a percibir la renta y el importe de cada uno de los términos.</a:t>
          </a:r>
        </a:p>
      </xdr:txBody>
    </xdr:sp>
    <xdr:clientData/>
  </xdr:twoCellAnchor>
  <xdr:twoCellAnchor>
    <xdr:from>
      <xdr:col>1</xdr:col>
      <xdr:colOff>73271</xdr:colOff>
      <xdr:row>334</xdr:row>
      <xdr:rowOff>118508</xdr:rowOff>
    </xdr:from>
    <xdr:to>
      <xdr:col>9</xdr:col>
      <xdr:colOff>87926</xdr:colOff>
      <xdr:row>335</xdr:row>
      <xdr:rowOff>133162</xdr:rowOff>
    </xdr:to>
    <xdr:sp macro="" textlink="">
      <xdr:nvSpPr>
        <xdr:cNvPr id="71" name="Rectangle 70">
          <a:extLst>
            <a:ext uri="{FF2B5EF4-FFF2-40B4-BE49-F238E27FC236}">
              <a16:creationId xmlns:a16="http://schemas.microsoft.com/office/drawing/2014/main" id="{00000000-0008-0000-1500-000047000000}"/>
            </a:ext>
          </a:extLst>
        </xdr:cNvPr>
        <xdr:cNvSpPr/>
      </xdr:nvSpPr>
      <xdr:spPr>
        <a:xfrm>
          <a:off x="686184" y="44886008"/>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El ahorro individual</a:t>
          </a:r>
        </a:p>
      </xdr:txBody>
    </xdr:sp>
    <xdr:clientData/>
  </xdr:twoCellAnchor>
  <xdr:twoCellAnchor>
    <xdr:from>
      <xdr:col>1</xdr:col>
      <xdr:colOff>224204</xdr:colOff>
      <xdr:row>1</xdr:row>
      <xdr:rowOff>29309</xdr:rowOff>
    </xdr:from>
    <xdr:to>
      <xdr:col>2</xdr:col>
      <xdr:colOff>197827</xdr:colOff>
      <xdr:row>2</xdr:row>
      <xdr:rowOff>88199</xdr:rowOff>
    </xdr:to>
    <xdr:sp macro="" textlink="">
      <xdr:nvSpPr>
        <xdr:cNvPr id="72" name="Freeform 71">
          <a:extLst>
            <a:ext uri="{FF2B5EF4-FFF2-40B4-BE49-F238E27FC236}">
              <a16:creationId xmlns:a16="http://schemas.microsoft.com/office/drawing/2014/main" id="{00000000-0008-0000-1500-000048000000}"/>
            </a:ext>
          </a:extLst>
        </xdr:cNvPr>
        <xdr:cNvSpPr>
          <a:spLocks noEditPoints="1"/>
        </xdr:cNvSpPr>
      </xdr:nvSpPr>
      <xdr:spPr bwMode="auto">
        <a:xfrm>
          <a:off x="833804" y="213459"/>
          <a:ext cx="583223" cy="243040"/>
        </a:xfrm>
        <a:custGeom>
          <a:avLst/>
          <a:gdLst>
            <a:gd name="T0" fmla="*/ 269 w 283"/>
            <a:gd name="T1" fmla="*/ 77 h 114"/>
            <a:gd name="T2" fmla="*/ 222 w 283"/>
            <a:gd name="T3" fmla="*/ 87 h 114"/>
            <a:gd name="T4" fmla="*/ 244 w 283"/>
            <a:gd name="T5" fmla="*/ 60 h 114"/>
            <a:gd name="T6" fmla="*/ 269 w 283"/>
            <a:gd name="T7" fmla="*/ 56 h 114"/>
            <a:gd name="T8" fmla="*/ 222 w 283"/>
            <a:gd name="T9" fmla="*/ 2 h 114"/>
            <a:gd name="T10" fmla="*/ 281 w 283"/>
            <a:gd name="T11" fmla="*/ 87 h 114"/>
            <a:gd name="T12" fmla="*/ 222 w 283"/>
            <a:gd name="T13" fmla="*/ 89 h 114"/>
            <a:gd name="T14" fmla="*/ 246 w 283"/>
            <a:gd name="T15" fmla="*/ 101 h 114"/>
            <a:gd name="T16" fmla="*/ 205 w 283"/>
            <a:gd name="T17" fmla="*/ 82 h 114"/>
            <a:gd name="T18" fmla="*/ 203 w 283"/>
            <a:gd name="T19" fmla="*/ 52 h 114"/>
            <a:gd name="T20" fmla="*/ 154 w 283"/>
            <a:gd name="T21" fmla="*/ 87 h 114"/>
            <a:gd name="T22" fmla="*/ 213 w 283"/>
            <a:gd name="T23" fmla="*/ 53 h 114"/>
            <a:gd name="T24" fmla="*/ 171 w 283"/>
            <a:gd name="T25" fmla="*/ 87 h 114"/>
            <a:gd name="T26" fmla="*/ 180 w 283"/>
            <a:gd name="T27" fmla="*/ 87 h 114"/>
            <a:gd name="T28" fmla="*/ 120 w 283"/>
            <a:gd name="T29" fmla="*/ 87 h 114"/>
            <a:gd name="T30" fmla="*/ 117 w 283"/>
            <a:gd name="T31" fmla="*/ 56 h 114"/>
            <a:gd name="T32" fmla="*/ 86 w 283"/>
            <a:gd name="T33" fmla="*/ 2 h 114"/>
            <a:gd name="T34" fmla="*/ 145 w 283"/>
            <a:gd name="T35" fmla="*/ 52 h 114"/>
            <a:gd name="T36" fmla="*/ 142 w 283"/>
            <a:gd name="T37" fmla="*/ 87 h 114"/>
            <a:gd name="T38" fmla="*/ 93 w 283"/>
            <a:gd name="T39" fmla="*/ 79 h 114"/>
            <a:gd name="T40" fmla="*/ 89 w 283"/>
            <a:gd name="T41" fmla="*/ 79 h 114"/>
            <a:gd name="T42" fmla="*/ 87 w 283"/>
            <a:gd name="T43" fmla="*/ 69 h 114"/>
            <a:gd name="T44" fmla="*/ 95 w 283"/>
            <a:gd name="T45" fmla="*/ 62 h 114"/>
            <a:gd name="T46" fmla="*/ 93 w 283"/>
            <a:gd name="T47" fmla="*/ 79 h 114"/>
            <a:gd name="T48" fmla="*/ 67 w 283"/>
            <a:gd name="T49" fmla="*/ 86 h 114"/>
            <a:gd name="T50" fmla="*/ 37 w 283"/>
            <a:gd name="T51" fmla="*/ 82 h 114"/>
            <a:gd name="T52" fmla="*/ 25 w 283"/>
            <a:gd name="T53" fmla="*/ 77 h 114"/>
            <a:gd name="T54" fmla="*/ 18 w 283"/>
            <a:gd name="T55" fmla="*/ 2 h 114"/>
            <a:gd name="T56" fmla="*/ 76 w 283"/>
            <a:gd name="T57" fmla="*/ 55 h 114"/>
            <a:gd name="T58" fmla="*/ 22 w 283"/>
            <a:gd name="T59" fmla="*/ 87 h 114"/>
            <a:gd name="T60" fmla="*/ 220 w 283"/>
            <a:gd name="T61" fmla="*/ 0 h 114"/>
            <a:gd name="T62" fmla="*/ 215 w 283"/>
            <a:gd name="T63" fmla="*/ 0 h 114"/>
            <a:gd name="T64" fmla="*/ 147 w 283"/>
            <a:gd name="T65" fmla="*/ 52 h 114"/>
            <a:gd name="T66" fmla="*/ 84 w 283"/>
            <a:gd name="T67" fmla="*/ 52 h 114"/>
            <a:gd name="T68" fmla="*/ 16 w 283"/>
            <a:gd name="T69" fmla="*/ 0 h 114"/>
            <a:gd name="T70" fmla="*/ 14 w 283"/>
            <a:gd name="T71" fmla="*/ 113 h 114"/>
            <a:gd name="T72" fmla="*/ 35 w 283"/>
            <a:gd name="T73" fmla="*/ 113 h 114"/>
            <a:gd name="T74" fmla="*/ 66 w 283"/>
            <a:gd name="T75" fmla="*/ 89 h 114"/>
            <a:gd name="T76" fmla="*/ 81 w 283"/>
            <a:gd name="T77" fmla="*/ 89 h 114"/>
            <a:gd name="T78" fmla="*/ 90 w 283"/>
            <a:gd name="T79" fmla="*/ 89 h 114"/>
            <a:gd name="T80" fmla="*/ 112 w 283"/>
            <a:gd name="T81" fmla="*/ 113 h 114"/>
            <a:gd name="T82" fmla="*/ 142 w 283"/>
            <a:gd name="T83" fmla="*/ 89 h 114"/>
            <a:gd name="T84" fmla="*/ 170 w 283"/>
            <a:gd name="T85" fmla="*/ 89 h 114"/>
            <a:gd name="T86" fmla="*/ 190 w 283"/>
            <a:gd name="T87" fmla="*/ 113 h 114"/>
            <a:gd name="T88" fmla="*/ 210 w 283"/>
            <a:gd name="T89" fmla="*/ 108 h 114"/>
            <a:gd name="T90" fmla="*/ 266 w 283"/>
            <a:gd name="T91" fmla="*/ 89 h 114"/>
            <a:gd name="T92" fmla="*/ 220 w 283"/>
            <a:gd name="T93" fmla="*/ 0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83" h="114">
              <a:moveTo>
                <a:pt x="281" y="87"/>
              </a:moveTo>
              <a:cubicBezTo>
                <a:pt x="266" y="87"/>
                <a:pt x="266" y="87"/>
                <a:pt x="266" y="87"/>
              </a:cubicBezTo>
              <a:cubicBezTo>
                <a:pt x="269" y="77"/>
                <a:pt x="269" y="77"/>
                <a:pt x="269" y="77"/>
              </a:cubicBezTo>
              <a:cubicBezTo>
                <a:pt x="239" y="77"/>
                <a:pt x="239" y="77"/>
                <a:pt x="239" y="77"/>
              </a:cubicBezTo>
              <a:cubicBezTo>
                <a:pt x="237" y="87"/>
                <a:pt x="237" y="87"/>
                <a:pt x="237" y="87"/>
              </a:cubicBezTo>
              <a:cubicBezTo>
                <a:pt x="222" y="87"/>
                <a:pt x="222" y="87"/>
                <a:pt x="222" y="87"/>
              </a:cubicBezTo>
              <a:cubicBezTo>
                <a:pt x="222" y="85"/>
                <a:pt x="222" y="85"/>
                <a:pt x="222" y="85"/>
              </a:cubicBezTo>
              <a:cubicBezTo>
                <a:pt x="223" y="84"/>
                <a:pt x="223" y="83"/>
                <a:pt x="223" y="81"/>
              </a:cubicBezTo>
              <a:cubicBezTo>
                <a:pt x="226" y="71"/>
                <a:pt x="233" y="60"/>
                <a:pt x="244" y="60"/>
              </a:cubicBezTo>
              <a:cubicBezTo>
                <a:pt x="249" y="60"/>
                <a:pt x="254" y="62"/>
                <a:pt x="253" y="69"/>
              </a:cubicBezTo>
              <a:cubicBezTo>
                <a:pt x="271" y="69"/>
                <a:pt x="271" y="69"/>
                <a:pt x="271" y="69"/>
              </a:cubicBezTo>
              <a:cubicBezTo>
                <a:pt x="272" y="66"/>
                <a:pt x="273" y="61"/>
                <a:pt x="269" y="56"/>
              </a:cubicBezTo>
              <a:cubicBezTo>
                <a:pt x="266" y="51"/>
                <a:pt x="258" y="48"/>
                <a:pt x="248" y="48"/>
              </a:cubicBezTo>
              <a:cubicBezTo>
                <a:pt x="241" y="48"/>
                <a:pt x="231" y="50"/>
                <a:pt x="222" y="55"/>
              </a:cubicBezTo>
              <a:cubicBezTo>
                <a:pt x="222" y="2"/>
                <a:pt x="222" y="2"/>
                <a:pt x="222" y="2"/>
              </a:cubicBezTo>
              <a:cubicBezTo>
                <a:pt x="281" y="2"/>
                <a:pt x="281" y="2"/>
                <a:pt x="281" y="2"/>
              </a:cubicBezTo>
              <a:cubicBezTo>
                <a:pt x="281" y="87"/>
                <a:pt x="281" y="87"/>
                <a:pt x="281" y="87"/>
              </a:cubicBezTo>
              <a:cubicBezTo>
                <a:pt x="281" y="87"/>
                <a:pt x="281" y="87"/>
                <a:pt x="281" y="87"/>
              </a:cubicBezTo>
              <a:close/>
              <a:moveTo>
                <a:pt x="246" y="101"/>
              </a:moveTo>
              <a:cubicBezTo>
                <a:pt x="243" y="102"/>
                <a:pt x="240" y="102"/>
                <a:pt x="237" y="102"/>
              </a:cubicBezTo>
              <a:cubicBezTo>
                <a:pt x="228" y="102"/>
                <a:pt x="222" y="98"/>
                <a:pt x="222" y="89"/>
              </a:cubicBezTo>
              <a:cubicBezTo>
                <a:pt x="249" y="89"/>
                <a:pt x="249" y="89"/>
                <a:pt x="249" y="89"/>
              </a:cubicBezTo>
              <a:cubicBezTo>
                <a:pt x="246" y="101"/>
                <a:pt x="246" y="101"/>
                <a:pt x="246" y="101"/>
              </a:cubicBezTo>
              <a:cubicBezTo>
                <a:pt x="246" y="101"/>
                <a:pt x="246" y="101"/>
                <a:pt x="246" y="101"/>
              </a:cubicBezTo>
              <a:close/>
              <a:moveTo>
                <a:pt x="213" y="53"/>
              </a:moveTo>
              <a:cubicBezTo>
                <a:pt x="213" y="65"/>
                <a:pt x="213" y="65"/>
                <a:pt x="213" y="65"/>
              </a:cubicBezTo>
              <a:cubicBezTo>
                <a:pt x="209" y="71"/>
                <a:pt x="206" y="77"/>
                <a:pt x="205" y="82"/>
              </a:cubicBezTo>
              <a:cubicBezTo>
                <a:pt x="204" y="83"/>
                <a:pt x="204" y="85"/>
                <a:pt x="204" y="87"/>
              </a:cubicBezTo>
              <a:cubicBezTo>
                <a:pt x="195" y="87"/>
                <a:pt x="195" y="87"/>
                <a:pt x="195" y="87"/>
              </a:cubicBezTo>
              <a:cubicBezTo>
                <a:pt x="203" y="52"/>
                <a:pt x="203" y="52"/>
                <a:pt x="203" y="52"/>
              </a:cubicBezTo>
              <a:cubicBezTo>
                <a:pt x="178" y="52"/>
                <a:pt x="178" y="52"/>
                <a:pt x="178" y="52"/>
              </a:cubicBezTo>
              <a:cubicBezTo>
                <a:pt x="156" y="87"/>
                <a:pt x="156" y="87"/>
                <a:pt x="156" y="87"/>
              </a:cubicBezTo>
              <a:cubicBezTo>
                <a:pt x="154" y="87"/>
                <a:pt x="154" y="87"/>
                <a:pt x="154" y="87"/>
              </a:cubicBezTo>
              <a:cubicBezTo>
                <a:pt x="154" y="2"/>
                <a:pt x="154" y="2"/>
                <a:pt x="154" y="2"/>
              </a:cubicBezTo>
              <a:cubicBezTo>
                <a:pt x="213" y="2"/>
                <a:pt x="213" y="2"/>
                <a:pt x="213" y="2"/>
              </a:cubicBezTo>
              <a:cubicBezTo>
                <a:pt x="213" y="53"/>
                <a:pt x="213" y="53"/>
                <a:pt x="213" y="53"/>
              </a:cubicBezTo>
              <a:cubicBezTo>
                <a:pt x="213" y="53"/>
                <a:pt x="213" y="53"/>
                <a:pt x="213" y="53"/>
              </a:cubicBezTo>
              <a:close/>
              <a:moveTo>
                <a:pt x="180" y="87"/>
              </a:moveTo>
              <a:cubicBezTo>
                <a:pt x="171" y="87"/>
                <a:pt x="171" y="87"/>
                <a:pt x="171" y="87"/>
              </a:cubicBezTo>
              <a:cubicBezTo>
                <a:pt x="185" y="66"/>
                <a:pt x="185" y="66"/>
                <a:pt x="185" y="66"/>
              </a:cubicBezTo>
              <a:cubicBezTo>
                <a:pt x="180" y="87"/>
                <a:pt x="180" y="87"/>
                <a:pt x="180" y="87"/>
              </a:cubicBezTo>
              <a:cubicBezTo>
                <a:pt x="180" y="87"/>
                <a:pt x="180" y="87"/>
                <a:pt x="180" y="87"/>
              </a:cubicBezTo>
              <a:close/>
              <a:moveTo>
                <a:pt x="145" y="52"/>
              </a:moveTo>
              <a:cubicBezTo>
                <a:pt x="130" y="52"/>
                <a:pt x="130" y="52"/>
                <a:pt x="130" y="52"/>
              </a:cubicBezTo>
              <a:cubicBezTo>
                <a:pt x="120" y="87"/>
                <a:pt x="120" y="87"/>
                <a:pt x="120" y="87"/>
              </a:cubicBezTo>
              <a:cubicBezTo>
                <a:pt x="104" y="87"/>
                <a:pt x="104" y="87"/>
                <a:pt x="104" y="87"/>
              </a:cubicBezTo>
              <a:cubicBezTo>
                <a:pt x="112" y="84"/>
                <a:pt x="117" y="78"/>
                <a:pt x="119" y="70"/>
              </a:cubicBezTo>
              <a:cubicBezTo>
                <a:pt x="120" y="64"/>
                <a:pt x="119" y="59"/>
                <a:pt x="117" y="56"/>
              </a:cubicBezTo>
              <a:cubicBezTo>
                <a:pt x="113" y="51"/>
                <a:pt x="105" y="52"/>
                <a:pt x="98" y="52"/>
              </a:cubicBezTo>
              <a:cubicBezTo>
                <a:pt x="97" y="52"/>
                <a:pt x="86" y="52"/>
                <a:pt x="86" y="52"/>
              </a:cubicBezTo>
              <a:cubicBezTo>
                <a:pt x="86" y="2"/>
                <a:pt x="86" y="2"/>
                <a:pt x="86" y="2"/>
              </a:cubicBezTo>
              <a:cubicBezTo>
                <a:pt x="145" y="2"/>
                <a:pt x="145" y="2"/>
                <a:pt x="145" y="2"/>
              </a:cubicBezTo>
              <a:cubicBezTo>
                <a:pt x="145" y="52"/>
                <a:pt x="145" y="52"/>
                <a:pt x="145" y="52"/>
              </a:cubicBezTo>
              <a:cubicBezTo>
                <a:pt x="145" y="52"/>
                <a:pt x="145" y="52"/>
                <a:pt x="145" y="52"/>
              </a:cubicBezTo>
              <a:close/>
              <a:moveTo>
                <a:pt x="135" y="87"/>
              </a:moveTo>
              <a:cubicBezTo>
                <a:pt x="141" y="65"/>
                <a:pt x="141" y="65"/>
                <a:pt x="141" y="65"/>
              </a:cubicBezTo>
              <a:cubicBezTo>
                <a:pt x="142" y="87"/>
                <a:pt x="142" y="87"/>
                <a:pt x="142" y="87"/>
              </a:cubicBezTo>
              <a:cubicBezTo>
                <a:pt x="135" y="87"/>
                <a:pt x="135" y="87"/>
                <a:pt x="135" y="87"/>
              </a:cubicBezTo>
              <a:cubicBezTo>
                <a:pt x="135" y="87"/>
                <a:pt x="135" y="87"/>
                <a:pt x="135" y="87"/>
              </a:cubicBezTo>
              <a:close/>
              <a:moveTo>
                <a:pt x="93" y="79"/>
              </a:moveTo>
              <a:cubicBezTo>
                <a:pt x="93" y="79"/>
                <a:pt x="93" y="79"/>
                <a:pt x="93" y="79"/>
              </a:cubicBezTo>
              <a:cubicBezTo>
                <a:pt x="92" y="79"/>
                <a:pt x="91" y="79"/>
                <a:pt x="91" y="79"/>
              </a:cubicBezTo>
              <a:cubicBezTo>
                <a:pt x="90" y="79"/>
                <a:pt x="89" y="79"/>
                <a:pt x="89" y="79"/>
              </a:cubicBezTo>
              <a:cubicBezTo>
                <a:pt x="85" y="79"/>
                <a:pt x="85" y="79"/>
                <a:pt x="85" y="79"/>
              </a:cubicBezTo>
              <a:cubicBezTo>
                <a:pt x="87" y="72"/>
                <a:pt x="87" y="72"/>
                <a:pt x="87" y="72"/>
              </a:cubicBezTo>
              <a:cubicBezTo>
                <a:pt x="87" y="69"/>
                <a:pt x="87" y="69"/>
                <a:pt x="87" y="69"/>
              </a:cubicBezTo>
              <a:cubicBezTo>
                <a:pt x="89" y="62"/>
                <a:pt x="89" y="62"/>
                <a:pt x="89" y="62"/>
              </a:cubicBezTo>
              <a:cubicBezTo>
                <a:pt x="90" y="62"/>
                <a:pt x="91" y="62"/>
                <a:pt x="92" y="62"/>
              </a:cubicBezTo>
              <a:cubicBezTo>
                <a:pt x="95" y="62"/>
                <a:pt x="95" y="62"/>
                <a:pt x="95" y="62"/>
              </a:cubicBezTo>
              <a:cubicBezTo>
                <a:pt x="100" y="62"/>
                <a:pt x="103" y="62"/>
                <a:pt x="104" y="63"/>
              </a:cubicBezTo>
              <a:cubicBezTo>
                <a:pt x="105" y="65"/>
                <a:pt x="105" y="67"/>
                <a:pt x="104" y="70"/>
              </a:cubicBezTo>
              <a:cubicBezTo>
                <a:pt x="102" y="75"/>
                <a:pt x="100" y="78"/>
                <a:pt x="93" y="79"/>
              </a:cubicBezTo>
              <a:moveTo>
                <a:pt x="76" y="55"/>
              </a:moveTo>
              <a:cubicBezTo>
                <a:pt x="75" y="58"/>
                <a:pt x="75" y="58"/>
                <a:pt x="75" y="58"/>
              </a:cubicBezTo>
              <a:cubicBezTo>
                <a:pt x="67" y="86"/>
                <a:pt x="67" y="86"/>
                <a:pt x="67" y="86"/>
              </a:cubicBezTo>
              <a:cubicBezTo>
                <a:pt x="67" y="87"/>
                <a:pt x="67" y="87"/>
                <a:pt x="67" y="87"/>
              </a:cubicBezTo>
              <a:cubicBezTo>
                <a:pt x="39" y="87"/>
                <a:pt x="39" y="87"/>
                <a:pt x="39" y="87"/>
              </a:cubicBezTo>
              <a:cubicBezTo>
                <a:pt x="37" y="82"/>
                <a:pt x="37" y="82"/>
                <a:pt x="37" y="82"/>
              </a:cubicBezTo>
              <a:cubicBezTo>
                <a:pt x="67" y="52"/>
                <a:pt x="67" y="52"/>
                <a:pt x="67" y="52"/>
              </a:cubicBezTo>
              <a:cubicBezTo>
                <a:pt x="48" y="52"/>
                <a:pt x="48" y="52"/>
                <a:pt x="48" y="52"/>
              </a:cubicBezTo>
              <a:cubicBezTo>
                <a:pt x="25" y="77"/>
                <a:pt x="25" y="77"/>
                <a:pt x="25" y="77"/>
              </a:cubicBezTo>
              <a:cubicBezTo>
                <a:pt x="32" y="52"/>
                <a:pt x="32" y="52"/>
                <a:pt x="32" y="52"/>
              </a:cubicBezTo>
              <a:cubicBezTo>
                <a:pt x="18" y="52"/>
                <a:pt x="18" y="52"/>
                <a:pt x="18" y="52"/>
              </a:cubicBezTo>
              <a:cubicBezTo>
                <a:pt x="18" y="2"/>
                <a:pt x="18" y="2"/>
                <a:pt x="18" y="2"/>
              </a:cubicBezTo>
              <a:cubicBezTo>
                <a:pt x="76" y="2"/>
                <a:pt x="76" y="2"/>
                <a:pt x="76" y="2"/>
              </a:cubicBezTo>
              <a:cubicBezTo>
                <a:pt x="76" y="55"/>
                <a:pt x="76" y="55"/>
                <a:pt x="76" y="55"/>
              </a:cubicBezTo>
              <a:cubicBezTo>
                <a:pt x="76" y="55"/>
                <a:pt x="76" y="55"/>
                <a:pt x="76" y="55"/>
              </a:cubicBezTo>
              <a:close/>
              <a:moveTo>
                <a:pt x="22" y="87"/>
              </a:moveTo>
              <a:cubicBezTo>
                <a:pt x="22" y="87"/>
                <a:pt x="22" y="87"/>
                <a:pt x="22" y="87"/>
              </a:cubicBezTo>
              <a:cubicBezTo>
                <a:pt x="22" y="87"/>
                <a:pt x="22" y="87"/>
                <a:pt x="22" y="87"/>
              </a:cubicBezTo>
              <a:cubicBezTo>
                <a:pt x="22" y="87"/>
                <a:pt x="22" y="87"/>
                <a:pt x="22" y="87"/>
              </a:cubicBezTo>
              <a:cubicBezTo>
                <a:pt x="22" y="87"/>
                <a:pt x="22" y="87"/>
                <a:pt x="22" y="87"/>
              </a:cubicBezTo>
              <a:close/>
              <a:moveTo>
                <a:pt x="220" y="0"/>
              </a:moveTo>
              <a:cubicBezTo>
                <a:pt x="220" y="57"/>
                <a:pt x="220" y="57"/>
                <a:pt x="220" y="57"/>
              </a:cubicBezTo>
              <a:cubicBezTo>
                <a:pt x="218" y="59"/>
                <a:pt x="216" y="60"/>
                <a:pt x="215" y="62"/>
              </a:cubicBezTo>
              <a:cubicBezTo>
                <a:pt x="215" y="0"/>
                <a:pt x="215" y="0"/>
                <a:pt x="215" y="0"/>
              </a:cubicBezTo>
              <a:cubicBezTo>
                <a:pt x="152" y="0"/>
                <a:pt x="152" y="0"/>
                <a:pt x="152" y="0"/>
              </a:cubicBezTo>
              <a:cubicBezTo>
                <a:pt x="152" y="52"/>
                <a:pt x="152" y="52"/>
                <a:pt x="152" y="52"/>
              </a:cubicBezTo>
              <a:cubicBezTo>
                <a:pt x="147" y="52"/>
                <a:pt x="147" y="52"/>
                <a:pt x="147" y="52"/>
              </a:cubicBezTo>
              <a:cubicBezTo>
                <a:pt x="147" y="0"/>
                <a:pt x="147" y="0"/>
                <a:pt x="147" y="0"/>
              </a:cubicBezTo>
              <a:cubicBezTo>
                <a:pt x="84" y="0"/>
                <a:pt x="84" y="0"/>
                <a:pt x="84" y="0"/>
              </a:cubicBezTo>
              <a:cubicBezTo>
                <a:pt x="84" y="52"/>
                <a:pt x="84" y="52"/>
                <a:pt x="84" y="52"/>
              </a:cubicBezTo>
              <a:cubicBezTo>
                <a:pt x="79" y="52"/>
                <a:pt x="79" y="52"/>
                <a:pt x="79" y="52"/>
              </a:cubicBezTo>
              <a:cubicBezTo>
                <a:pt x="79" y="0"/>
                <a:pt x="79" y="0"/>
                <a:pt x="79" y="0"/>
              </a:cubicBezTo>
              <a:cubicBezTo>
                <a:pt x="16" y="0"/>
                <a:pt x="16" y="0"/>
                <a:pt x="16" y="0"/>
              </a:cubicBezTo>
              <a:cubicBezTo>
                <a:pt x="16" y="59"/>
                <a:pt x="16" y="59"/>
                <a:pt x="16" y="59"/>
              </a:cubicBezTo>
              <a:cubicBezTo>
                <a:pt x="0" y="113"/>
                <a:pt x="0" y="113"/>
                <a:pt x="0" y="113"/>
              </a:cubicBezTo>
              <a:cubicBezTo>
                <a:pt x="14" y="113"/>
                <a:pt x="14" y="113"/>
                <a:pt x="14" y="113"/>
              </a:cubicBezTo>
              <a:cubicBezTo>
                <a:pt x="21" y="89"/>
                <a:pt x="21" y="89"/>
                <a:pt x="21" y="89"/>
              </a:cubicBezTo>
              <a:cubicBezTo>
                <a:pt x="23" y="89"/>
                <a:pt x="23" y="89"/>
                <a:pt x="23" y="89"/>
              </a:cubicBezTo>
              <a:cubicBezTo>
                <a:pt x="35" y="113"/>
                <a:pt x="35" y="113"/>
                <a:pt x="35" y="113"/>
              </a:cubicBezTo>
              <a:cubicBezTo>
                <a:pt x="52" y="113"/>
                <a:pt x="52" y="113"/>
                <a:pt x="52" y="113"/>
              </a:cubicBezTo>
              <a:cubicBezTo>
                <a:pt x="40" y="89"/>
                <a:pt x="40" y="89"/>
                <a:pt x="40" y="89"/>
              </a:cubicBezTo>
              <a:cubicBezTo>
                <a:pt x="66" y="89"/>
                <a:pt x="66" y="89"/>
                <a:pt x="66" y="89"/>
              </a:cubicBezTo>
              <a:cubicBezTo>
                <a:pt x="59" y="113"/>
                <a:pt x="59" y="113"/>
                <a:pt x="59" y="113"/>
              </a:cubicBezTo>
              <a:cubicBezTo>
                <a:pt x="74" y="113"/>
                <a:pt x="74" y="113"/>
                <a:pt x="74" y="113"/>
              </a:cubicBezTo>
              <a:cubicBezTo>
                <a:pt x="81" y="89"/>
                <a:pt x="81" y="89"/>
                <a:pt x="81" y="89"/>
              </a:cubicBezTo>
              <a:cubicBezTo>
                <a:pt x="85" y="89"/>
                <a:pt x="85" y="89"/>
                <a:pt x="85" y="89"/>
              </a:cubicBezTo>
              <a:cubicBezTo>
                <a:pt x="85" y="89"/>
                <a:pt x="85" y="89"/>
                <a:pt x="85" y="89"/>
              </a:cubicBezTo>
              <a:cubicBezTo>
                <a:pt x="90" y="89"/>
                <a:pt x="90" y="89"/>
                <a:pt x="90" y="89"/>
              </a:cubicBezTo>
              <a:cubicBezTo>
                <a:pt x="90" y="89"/>
                <a:pt x="90" y="89"/>
                <a:pt x="90" y="89"/>
              </a:cubicBezTo>
              <a:cubicBezTo>
                <a:pt x="119" y="89"/>
                <a:pt x="119" y="89"/>
                <a:pt x="119" y="89"/>
              </a:cubicBezTo>
              <a:cubicBezTo>
                <a:pt x="112" y="113"/>
                <a:pt x="112" y="113"/>
                <a:pt x="112" y="113"/>
              </a:cubicBezTo>
              <a:cubicBezTo>
                <a:pt x="128" y="113"/>
                <a:pt x="128" y="113"/>
                <a:pt x="128" y="113"/>
              </a:cubicBezTo>
              <a:cubicBezTo>
                <a:pt x="135" y="89"/>
                <a:pt x="135" y="89"/>
                <a:pt x="135" y="89"/>
              </a:cubicBezTo>
              <a:cubicBezTo>
                <a:pt x="142" y="89"/>
                <a:pt x="142" y="89"/>
                <a:pt x="142" y="89"/>
              </a:cubicBezTo>
              <a:cubicBezTo>
                <a:pt x="142" y="113"/>
                <a:pt x="142" y="113"/>
                <a:pt x="142" y="113"/>
              </a:cubicBezTo>
              <a:cubicBezTo>
                <a:pt x="155" y="113"/>
                <a:pt x="155" y="113"/>
                <a:pt x="155" y="113"/>
              </a:cubicBezTo>
              <a:cubicBezTo>
                <a:pt x="170" y="89"/>
                <a:pt x="170" y="89"/>
                <a:pt x="170" y="89"/>
              </a:cubicBezTo>
              <a:cubicBezTo>
                <a:pt x="180" y="89"/>
                <a:pt x="180" y="89"/>
                <a:pt x="180" y="89"/>
              </a:cubicBezTo>
              <a:cubicBezTo>
                <a:pt x="175" y="113"/>
                <a:pt x="175" y="113"/>
                <a:pt x="175" y="113"/>
              </a:cubicBezTo>
              <a:cubicBezTo>
                <a:pt x="190" y="113"/>
                <a:pt x="190" y="113"/>
                <a:pt x="190" y="113"/>
              </a:cubicBezTo>
              <a:cubicBezTo>
                <a:pt x="195" y="89"/>
                <a:pt x="195" y="89"/>
                <a:pt x="195" y="89"/>
              </a:cubicBezTo>
              <a:cubicBezTo>
                <a:pt x="204" y="89"/>
                <a:pt x="204" y="89"/>
                <a:pt x="204" y="89"/>
              </a:cubicBezTo>
              <a:cubicBezTo>
                <a:pt x="203" y="96"/>
                <a:pt x="205" y="103"/>
                <a:pt x="210" y="108"/>
              </a:cubicBezTo>
              <a:cubicBezTo>
                <a:pt x="216" y="113"/>
                <a:pt x="225" y="114"/>
                <a:pt x="232" y="114"/>
              </a:cubicBezTo>
              <a:cubicBezTo>
                <a:pt x="241" y="114"/>
                <a:pt x="251" y="113"/>
                <a:pt x="260" y="111"/>
              </a:cubicBezTo>
              <a:cubicBezTo>
                <a:pt x="266" y="89"/>
                <a:pt x="266" y="89"/>
                <a:pt x="266" y="89"/>
              </a:cubicBezTo>
              <a:cubicBezTo>
                <a:pt x="283" y="89"/>
                <a:pt x="283" y="89"/>
                <a:pt x="283" y="89"/>
              </a:cubicBezTo>
              <a:cubicBezTo>
                <a:pt x="283" y="0"/>
                <a:pt x="283" y="0"/>
                <a:pt x="283" y="0"/>
              </a:cubicBezTo>
              <a:cubicBezTo>
                <a:pt x="220" y="0"/>
                <a:pt x="220" y="0"/>
                <a:pt x="220" y="0"/>
              </a:cubicBezTo>
              <a:cubicBezTo>
                <a:pt x="220" y="0"/>
                <a:pt x="220" y="0"/>
                <a:pt x="220" y="0"/>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GB">
            <a:solidFill>
              <a:srgbClr val="000000"/>
            </a:solidFill>
            <a:latin typeface="Univers 45 Light" pitchFamily="2" charset="0"/>
          </a:endParaRPr>
        </a:p>
      </xdr:txBody>
    </xdr:sp>
    <xdr:clientData/>
  </xdr:twoCellAnchor>
  <xdr:twoCellAnchor>
    <xdr:from>
      <xdr:col>1</xdr:col>
      <xdr:colOff>11667</xdr:colOff>
      <xdr:row>396</xdr:row>
      <xdr:rowOff>77421</xdr:rowOff>
    </xdr:from>
    <xdr:to>
      <xdr:col>10</xdr:col>
      <xdr:colOff>7635</xdr:colOff>
      <xdr:row>401</xdr:row>
      <xdr:rowOff>96226</xdr:rowOff>
    </xdr:to>
    <xdr:sp macro="" textlink="">
      <xdr:nvSpPr>
        <xdr:cNvPr id="73" name="TextBox 72">
          <a:extLst>
            <a:ext uri="{FF2B5EF4-FFF2-40B4-BE49-F238E27FC236}">
              <a16:creationId xmlns:a16="http://schemas.microsoft.com/office/drawing/2014/main" id="{00000000-0008-0000-1500-000049000000}"/>
            </a:ext>
          </a:extLst>
        </xdr:cNvPr>
        <xdr:cNvSpPr txBox="1"/>
      </xdr:nvSpPr>
      <xdr:spPr>
        <a:xfrm>
          <a:off x="619802" y="73214767"/>
          <a:ext cx="6077314" cy="16966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Resultados</a:t>
          </a:r>
          <a:endParaRPr lang="en-U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endParaRPr>
        </a:p>
        <a:p>
          <a:pPr marL="0" indent="0">
            <a:lnSpc>
              <a:spcPct val="107000"/>
            </a:lnSpc>
            <a:spcAft>
              <a:spcPts val="6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En este apartado puedes encontrar el detalle de las aportaciones, fondo acumulado y prestaciones estimadas de cada uno de los pilares que componen la previsión social según los datos facilitados en KPMG Predict.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marL="0" indent="0">
            <a:lnSpc>
              <a:spcPct val="107000"/>
            </a:lnSpc>
            <a:spcAft>
              <a:spcPts val="6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A continuación se muestran, junto con tus datos personales</a:t>
          </a:r>
          <a:r>
            <a:rPr lang="es-ES" sz="1000" b="1" baseline="0">
              <a:solidFill>
                <a:srgbClr val="00338D"/>
              </a:solidFill>
              <a:effectLst/>
              <a:latin typeface="Arial" panose="020B0604020202020204" pitchFamily="34" charset="0"/>
              <a:ea typeface="Calibri" panose="020F0502020204030204" pitchFamily="34" charset="0"/>
              <a:cs typeface="Arial" panose="020B0604020202020204" pitchFamily="34" charset="0"/>
            </a:rPr>
            <a:t> y la foto de las coberturas de jubilación que obtendrías por cada pilar,</a:t>
          </a: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 las cifras detalladas relativas a cada uno de los pilares de la previsión social: </a:t>
          </a:r>
          <a:endParaRPr lang="en-US" sz="1000" b="1">
            <a:solidFill>
              <a:srgbClr val="00338D"/>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0</xdr:col>
      <xdr:colOff>563970</xdr:colOff>
      <xdr:row>495</xdr:row>
      <xdr:rowOff>7203</xdr:rowOff>
    </xdr:from>
    <xdr:to>
      <xdr:col>9</xdr:col>
      <xdr:colOff>625475</xdr:colOff>
      <xdr:row>507</xdr:row>
      <xdr:rowOff>177800</xdr:rowOff>
    </xdr:to>
    <xdr:sp macro="" textlink="">
      <xdr:nvSpPr>
        <xdr:cNvPr id="75" name="TextBox 74">
          <a:extLst>
            <a:ext uri="{FF2B5EF4-FFF2-40B4-BE49-F238E27FC236}">
              <a16:creationId xmlns:a16="http://schemas.microsoft.com/office/drawing/2014/main" id="{00000000-0008-0000-1500-00004B000000}"/>
            </a:ext>
          </a:extLst>
        </xdr:cNvPr>
        <xdr:cNvSpPr txBox="1"/>
      </xdr:nvSpPr>
      <xdr:spPr>
        <a:xfrm>
          <a:off x="563970" y="92267818"/>
          <a:ext cx="6076909" cy="4999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Metodología e hipótesis</a:t>
          </a:r>
          <a:endParaRPr lang="en-US" sz="2000" b="1" i="1">
            <a:solidFill>
              <a:srgbClr val="2E74B5"/>
            </a:solidFill>
            <a:effectLst/>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100">
              <a:effectLst/>
              <a:latin typeface="Arial" panose="020B0604020202020204" pitchFamily="34" charset="0"/>
              <a:ea typeface="Calibri" panose="020F0502020204030204" pitchFamily="34" charset="0"/>
              <a:cs typeface="Times New Roman" panose="02020603050405020304" pitchFamily="18" charset="0"/>
            </a:rPr>
            <a:t> </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este apartado puedes encontrar la metodología e hipótesis asumidas para la estimación de las aportaciones, fondo acumulado y prestaciones estimadas de cada uno de los pilares que componen la previsión social según los datos que hayas facilitado en KPMG Predict. </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Para la estimación de los resultados, se han supuesto las siguientes afirmaciones: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Las aportaciones al instrumento financiero individual se realizarán hasta la fecha en la que accedas a la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Cada aportación se capitalizará hasta la fecha de acceso a la jubilación de acuerdo con una hipótesis de rentabilidad futura. Para la capitalización de las aportaciones del vehículo individual, la hipótesis de rentabilidad futura es la que hayas escogido en KPMG Predict.</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La suma de las aportaciones capitalizadas en la fecha de jubilación junto con el importe de derechos consolidados o provisiones matemáticas ya consolidadas conforman el fondo acumulado a la fecha de jubilación.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El importe de las provisiones matemáticas es un dato facilitado por la entidad gestora del plan de pensiones o por la entidad aseguradora de cada seguro colectivo. Para introducir el dato de derechos consolidados o provisiones matemáticas consolidados en tu vehículo individual deberás consultar con la entidad gestora de tu plan de pensiones individual o con la entidad aseguradora de tu seguro de ahorro.</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Para la conversión del fondo acumulado a la fecha de jubilación a una renta vitalicia, se ha supuesto una hipótesis de tipo de interés de conversión.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El ratio de sustitución que proporciona la pensión respecto del salario estimado a la fecha de jubilación, se ha obtenido proyectando el salario actual hasta la fecha de jubilación a una hipótesis de crecimiento salarial.</a:t>
          </a:r>
          <a:endPar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Para la estimación de los resultados, se han supuesto las siguientes hipótesis:</a:t>
          </a:r>
          <a:endParaRPr lang="en-US" sz="1000">
            <a:effectLst/>
            <a:latin typeface="Arial" panose="020B0604020202020204" pitchFamily="34" charset="0"/>
            <a:ea typeface="Calibri" panose="020F050202020403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6350</xdr:colOff>
      <xdr:row>518</xdr:row>
      <xdr:rowOff>6350</xdr:rowOff>
    </xdr:from>
    <xdr:to>
      <xdr:col>9</xdr:col>
      <xdr:colOff>596900</xdr:colOff>
      <xdr:row>525</xdr:row>
      <xdr:rowOff>145562</xdr:rowOff>
    </xdr:to>
    <xdr:sp macro="" textlink="">
      <xdr:nvSpPr>
        <xdr:cNvPr id="76" name="TextBox 75">
          <a:extLst>
            <a:ext uri="{FF2B5EF4-FFF2-40B4-BE49-F238E27FC236}">
              <a16:creationId xmlns:a16="http://schemas.microsoft.com/office/drawing/2014/main" id="{00000000-0008-0000-1500-00004C000000}"/>
            </a:ext>
          </a:extLst>
        </xdr:cNvPr>
        <xdr:cNvSpPr txBox="1"/>
      </xdr:nvSpPr>
      <xdr:spPr>
        <a:xfrm>
          <a:off x="614485" y="99176254"/>
          <a:ext cx="5997819" cy="1421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rPr>
            <a:t>Disclaimers:</a:t>
          </a:r>
          <a:endParaRPr lang="en-US" sz="14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El presente informe contiene datos personales y confidenciales. </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Las cifras contenidas en este informe son datos estimados calculados conforme a las hipótesis anteriormente descritas. Cualquier cambio en las hipótesis implicará una desviación en los resultados reportados.</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Los importes de prestaciones contenidos en este informe se presentan en términos brutos.</a:t>
          </a:r>
          <a:endParaRPr lang="en-US" sz="1000" i="1">
            <a:effectLst/>
            <a:latin typeface="Arial" panose="020B0604020202020204" pitchFamily="34" charset="0"/>
            <a:ea typeface="Calibri" panose="020F0502020204030204" pitchFamily="34" charset="0"/>
            <a:cs typeface="Arial" panose="020B0604020202020204" pitchFamily="34" charset="0"/>
          </a:endParaRPr>
        </a:p>
        <a:p>
          <a:endParaRPr lang="en-US" sz="1100"/>
        </a:p>
      </xdr:txBody>
    </xdr:sp>
    <xdr:clientData/>
  </xdr:twoCellAnchor>
  <xdr:twoCellAnchor>
    <xdr:from>
      <xdr:col>1</xdr:col>
      <xdr:colOff>6488</xdr:colOff>
      <xdr:row>444</xdr:row>
      <xdr:rowOff>167247</xdr:rowOff>
    </xdr:from>
    <xdr:to>
      <xdr:col>9</xdr:col>
      <xdr:colOff>655983</xdr:colOff>
      <xdr:row>449</xdr:row>
      <xdr:rowOff>18197</xdr:rowOff>
    </xdr:to>
    <xdr:sp macro="" textlink="">
      <xdr:nvSpPr>
        <xdr:cNvPr id="78" name="TextBox 77">
          <a:extLst>
            <a:ext uri="{FF2B5EF4-FFF2-40B4-BE49-F238E27FC236}">
              <a16:creationId xmlns:a16="http://schemas.microsoft.com/office/drawing/2014/main" id="{00000000-0008-0000-1500-00004E000000}"/>
            </a:ext>
          </a:extLst>
        </xdr:cNvPr>
        <xdr:cNvSpPr txBox="1"/>
      </xdr:nvSpPr>
      <xdr:spPr>
        <a:xfrm>
          <a:off x="614623" y="82814939"/>
          <a:ext cx="6056764" cy="9133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rPr>
            <a:t>Mi jubilación en cifras: Resultados</a:t>
          </a:r>
          <a:endParaRPr lang="en-US" sz="16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endParaRPr>
        </a:p>
        <a:p>
          <a:pPr marL="0" indent="0">
            <a:lnSpc>
              <a:spcPct val="107000"/>
            </a:lnSpc>
            <a:spcAft>
              <a:spcPts val="1200"/>
            </a:spcAft>
          </a:pPr>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detalla la pensión de jubilación total resultante de los distintos vehículos de previsión social en base a las decisiones de ahorro individual y empresarial que has determinado:</a:t>
          </a:r>
          <a:endParaRPr lang="en-U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2</xdr:col>
      <xdr:colOff>111126</xdr:colOff>
      <xdr:row>211</xdr:row>
      <xdr:rowOff>7939</xdr:rowOff>
    </xdr:from>
    <xdr:to>
      <xdr:col>9</xdr:col>
      <xdr:colOff>70582</xdr:colOff>
      <xdr:row>213</xdr:row>
      <xdr:rowOff>18689</xdr:rowOff>
    </xdr:to>
    <xdr:sp macro="" textlink="">
      <xdr:nvSpPr>
        <xdr:cNvPr id="52" name="Rectángulo 2">
          <a:extLst>
            <a:ext uri="{FF2B5EF4-FFF2-40B4-BE49-F238E27FC236}">
              <a16:creationId xmlns:a16="http://schemas.microsoft.com/office/drawing/2014/main" id="{00000000-0008-0000-1500-000034000000}"/>
            </a:ext>
          </a:extLst>
        </xdr:cNvPr>
        <xdr:cNvSpPr/>
      </xdr:nvSpPr>
      <xdr:spPr>
        <a:xfrm>
          <a:off x="1404939" y="38528627"/>
          <a:ext cx="4698143" cy="375875"/>
        </a:xfrm>
        <a:prstGeom prst="rect">
          <a:avLst/>
        </a:prstGeom>
        <a:solidFill>
          <a:srgbClr val="009CDC"/>
        </a:solidFill>
        <a:ln w="12700">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ES_tradnl" sz="1400" b="1">
              <a:solidFill>
                <a:schemeClr val="bg1"/>
              </a:solidFill>
              <a:latin typeface="Univers for KPMG" panose="020B0603020202020204" pitchFamily="34" charset="0"/>
            </a:rPr>
            <a:t>  </a:t>
          </a:r>
          <a:r>
            <a:rPr lang="es-ES_tradnl" sz="1100" b="1">
              <a:solidFill>
                <a:schemeClr val="bg1"/>
              </a:solidFill>
              <a:latin typeface="Univers for KPMG" panose="020B0603020202020204" pitchFamily="34" charset="0"/>
            </a:rPr>
            <a:t>Plan de Previsión</a:t>
          </a:r>
          <a:r>
            <a:rPr lang="es-ES_tradnl" sz="1100" b="1" baseline="0">
              <a:solidFill>
                <a:schemeClr val="bg1"/>
              </a:solidFill>
              <a:latin typeface="Univers for KPMG" panose="020B0603020202020204" pitchFamily="34" charset="0"/>
            </a:rPr>
            <a:t> </a:t>
          </a:r>
          <a:endParaRPr lang="es-ES_tradnl" sz="1400" b="1">
            <a:solidFill>
              <a:schemeClr val="bg1"/>
            </a:solidFill>
            <a:latin typeface="Univers for KPMG" panose="020B0603020202020204" pitchFamily="34" charset="0"/>
          </a:endParaRPr>
        </a:p>
      </xdr:txBody>
    </xdr:sp>
    <xdr:clientData/>
  </xdr:twoCellAnchor>
  <xdr:twoCellAnchor>
    <xdr:from>
      <xdr:col>1</xdr:col>
      <xdr:colOff>246064</xdr:colOff>
      <xdr:row>211</xdr:row>
      <xdr:rowOff>15875</xdr:rowOff>
    </xdr:from>
    <xdr:to>
      <xdr:col>2</xdr:col>
      <xdr:colOff>55563</xdr:colOff>
      <xdr:row>213</xdr:row>
      <xdr:rowOff>7937</xdr:rowOff>
    </xdr:to>
    <xdr:sp macro="" textlink="">
      <xdr:nvSpPr>
        <xdr:cNvPr id="53" name="Rectángulo 61">
          <a:extLst>
            <a:ext uri="{FF2B5EF4-FFF2-40B4-BE49-F238E27FC236}">
              <a16:creationId xmlns:a16="http://schemas.microsoft.com/office/drawing/2014/main" id="{00000000-0008-0000-1500-000035000000}"/>
            </a:ext>
          </a:extLst>
        </xdr:cNvPr>
        <xdr:cNvSpPr/>
      </xdr:nvSpPr>
      <xdr:spPr>
        <a:xfrm>
          <a:off x="857252" y="38536563"/>
          <a:ext cx="492124" cy="357187"/>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ES_tradnl" sz="1600" b="1">
            <a:solidFill>
              <a:schemeClr val="bg1"/>
            </a:solidFill>
            <a:latin typeface="Univers for KPMG" panose="020B0603020202020204" pitchFamily="34" charset="0"/>
          </a:endParaRPr>
        </a:p>
      </xdr:txBody>
    </xdr:sp>
    <xdr:clientData/>
  </xdr:twoCellAnchor>
  <xdr:oneCellAnchor>
    <xdr:from>
      <xdr:col>1</xdr:col>
      <xdr:colOff>325438</xdr:colOff>
      <xdr:row>211</xdr:row>
      <xdr:rowOff>47625</xdr:rowOff>
    </xdr:from>
    <xdr:ext cx="324930" cy="317650"/>
    <xdr:pic>
      <xdr:nvPicPr>
        <xdr:cNvPr id="54" name="Picture 3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36626" y="38568313"/>
          <a:ext cx="324930" cy="317650"/>
        </a:xfrm>
        <a:prstGeom prst="rect">
          <a:avLst/>
        </a:prstGeom>
      </xdr:spPr>
    </xdr:pic>
    <xdr:clientData/>
  </xdr:oneCellAnchor>
  <xdr:twoCellAnchor>
    <xdr:from>
      <xdr:col>2</xdr:col>
      <xdr:colOff>184728</xdr:colOff>
      <xdr:row>213</xdr:row>
      <xdr:rowOff>139266</xdr:rowOff>
    </xdr:from>
    <xdr:to>
      <xdr:col>8</xdr:col>
      <xdr:colOff>633497</xdr:colOff>
      <xdr:row>217</xdr:row>
      <xdr:rowOff>165175</xdr:rowOff>
    </xdr:to>
    <xdr:sp macro="" textlink="">
      <xdr:nvSpPr>
        <xdr:cNvPr id="79" name="Rectangular Callout 53">
          <a:extLst>
            <a:ext uri="{FF2B5EF4-FFF2-40B4-BE49-F238E27FC236}">
              <a16:creationId xmlns:a16="http://schemas.microsoft.com/office/drawing/2014/main" id="{00000000-0008-0000-1500-00004F000000}"/>
            </a:ext>
          </a:extLst>
        </xdr:cNvPr>
        <xdr:cNvSpPr/>
      </xdr:nvSpPr>
      <xdr:spPr>
        <a:xfrm>
          <a:off x="1477819" y="39486175"/>
          <a:ext cx="4506996" cy="764818"/>
        </a:xfrm>
        <a:prstGeom prst="wedgeRectCallout">
          <a:avLst>
            <a:gd name="adj1" fmla="val -58429"/>
            <a:gd name="adj2" fmla="val -57963"/>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174626</xdr:colOff>
      <xdr:row>213</xdr:row>
      <xdr:rowOff>173182</xdr:rowOff>
    </xdr:from>
    <xdr:to>
      <xdr:col>9</xdr:col>
      <xdr:colOff>13554</xdr:colOff>
      <xdr:row>217</xdr:row>
      <xdr:rowOff>168656</xdr:rowOff>
    </xdr:to>
    <xdr:sp macro="" textlink="">
      <xdr:nvSpPr>
        <xdr:cNvPr id="80" name="TextBox 54">
          <a:extLst>
            <a:ext uri="{FF2B5EF4-FFF2-40B4-BE49-F238E27FC236}">
              <a16:creationId xmlns:a16="http://schemas.microsoft.com/office/drawing/2014/main" id="{00000000-0008-0000-1500-000050000000}"/>
            </a:ext>
          </a:extLst>
        </xdr:cNvPr>
        <xdr:cNvSpPr txBox="1"/>
      </xdr:nvSpPr>
      <xdr:spPr>
        <a:xfrm>
          <a:off x="1467717" y="39520091"/>
          <a:ext cx="4578337" cy="73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caso de que hayas introducido el importe anual de aportaciones que deseas realizar a partir de este momento, en el apartado "Resultados" del presente informe, se incluye el fondo acumulado a la fecha de jubilación por dichas aportaciones así como la prestación que vas a percibir por esta póliza a la fecha de jubilación.</a:t>
          </a:r>
        </a:p>
      </xdr:txBody>
    </xdr:sp>
    <xdr:clientData/>
  </xdr:twoCellAnchor>
  <xdr:twoCellAnchor>
    <xdr:from>
      <xdr:col>1</xdr:col>
      <xdr:colOff>23812</xdr:colOff>
      <xdr:row>452</xdr:row>
      <xdr:rowOff>111125</xdr:rowOff>
    </xdr:from>
    <xdr:to>
      <xdr:col>9</xdr:col>
      <xdr:colOff>673307</xdr:colOff>
      <xdr:row>458</xdr:row>
      <xdr:rowOff>119061</xdr:rowOff>
    </xdr:to>
    <xdr:sp macro="" textlink="">
      <xdr:nvSpPr>
        <xdr:cNvPr id="81" name="TextBox 77">
          <a:extLst>
            <a:ext uri="{FF2B5EF4-FFF2-40B4-BE49-F238E27FC236}">
              <a16:creationId xmlns:a16="http://schemas.microsoft.com/office/drawing/2014/main" id="{00000000-0008-0000-1500-000051000000}"/>
            </a:ext>
          </a:extLst>
        </xdr:cNvPr>
        <xdr:cNvSpPr txBox="1"/>
      </xdr:nvSpPr>
      <xdr:spPr>
        <a:xfrm>
          <a:off x="635000" y="85391625"/>
          <a:ext cx="6070807" cy="11112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Por otro lado y a modo de resumen,</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siguiente gráfico se muestra el porcentaje que representa la pensión, de cada pilar que compone la previsión social complementaria, respecto del salario estimado en la fecha de jubilación.</a:t>
          </a:r>
        </a:p>
        <a:p>
          <a:endParaRPr lang="es-ES" sz="1000" b="0" baseline="0">
            <a:solidFill>
              <a:sysClr val="windowText" lastClr="000000"/>
            </a:solidFill>
            <a:effectLst/>
            <a:latin typeface="Arial" panose="020B0604020202020204" pitchFamily="34" charset="0"/>
            <a:ea typeface="+mn-ea"/>
            <a:cs typeface="Arial" panose="020B0604020202020204" pitchFamily="34" charset="0"/>
          </a:endParaRPr>
        </a:p>
        <a:p>
          <a:r>
            <a:rPr lang="es-ES" sz="1000" b="0" baseline="0">
              <a:solidFill>
                <a:sysClr val="windowText" lastClr="000000"/>
              </a:solidFill>
              <a:effectLst/>
              <a:latin typeface="Arial" panose="020B0604020202020204" pitchFamily="34" charset="0"/>
              <a:ea typeface="+mn-ea"/>
              <a:cs typeface="Arial" panose="020B0604020202020204" pitchFamily="34" charset="0"/>
            </a:rPr>
            <a:t>El ratio de sustitución de ingresos determina la parte proporcional del salario que quedaría cubierto por la pensión en la fecha de jubilación. </a:t>
          </a:r>
          <a:endParaRPr lang="en-US" sz="1100">
            <a:latin typeface="Arial" panose="020B0604020202020204" pitchFamily="34" charset="0"/>
            <a:cs typeface="Arial" panose="020B0604020202020204" pitchFamily="34" charset="0"/>
          </a:endParaRPr>
        </a:p>
      </xdr:txBody>
    </xdr:sp>
    <xdr:clientData/>
  </xdr:twoCellAnchor>
  <xdr:twoCellAnchor>
    <xdr:from>
      <xdr:col>2</xdr:col>
      <xdr:colOff>377826</xdr:colOff>
      <xdr:row>463</xdr:row>
      <xdr:rowOff>150380</xdr:rowOff>
    </xdr:from>
    <xdr:to>
      <xdr:col>8</xdr:col>
      <xdr:colOff>178536</xdr:colOff>
      <xdr:row>489</xdr:row>
      <xdr:rowOff>31576</xdr:rowOff>
    </xdr:to>
    <xdr:graphicFrame macro="">
      <xdr:nvGraphicFramePr>
        <xdr:cNvPr id="57" name="Chart 17">
          <a:extLst>
            <a:ext uri="{FF2B5EF4-FFF2-40B4-BE49-F238E27FC236}">
              <a16:creationId xmlns:a16="http://schemas.microsoft.com/office/drawing/2014/main" id="{00000000-0008-0000-15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21981</xdr:colOff>
      <xdr:row>0</xdr:row>
      <xdr:rowOff>65942</xdr:rowOff>
    </xdr:from>
    <xdr:to>
      <xdr:col>9</xdr:col>
      <xdr:colOff>600808</xdr:colOff>
      <xdr:row>2</xdr:row>
      <xdr:rowOff>183173</xdr:rowOff>
    </xdr:to>
    <xdr:sp macro="" textlink="">
      <xdr:nvSpPr>
        <xdr:cNvPr id="56" name="Rectangle 55">
          <a:extLst>
            <a:ext uri="{FF2B5EF4-FFF2-40B4-BE49-F238E27FC236}">
              <a16:creationId xmlns:a16="http://schemas.microsoft.com/office/drawing/2014/main" id="{00000000-0008-0000-1500-000038000000}"/>
            </a:ext>
          </a:extLst>
        </xdr:cNvPr>
        <xdr:cNvSpPr/>
      </xdr:nvSpPr>
      <xdr:spPr>
        <a:xfrm>
          <a:off x="603006" y="65942"/>
          <a:ext cx="5741377" cy="49823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552450</xdr:colOff>
      <xdr:row>0</xdr:row>
      <xdr:rowOff>73269</xdr:rowOff>
    </xdr:from>
    <xdr:to>
      <xdr:col>10</xdr:col>
      <xdr:colOff>29309</xdr:colOff>
      <xdr:row>2</xdr:row>
      <xdr:rowOff>152400</xdr:rowOff>
    </xdr:to>
    <xdr:sp macro="" textlink="">
      <xdr:nvSpPr>
        <xdr:cNvPr id="58" name="TextBox 57">
          <a:extLst>
            <a:ext uri="{FF2B5EF4-FFF2-40B4-BE49-F238E27FC236}">
              <a16:creationId xmlns:a16="http://schemas.microsoft.com/office/drawing/2014/main" id="{00000000-0008-0000-1500-00003A000000}"/>
            </a:ext>
          </a:extLst>
        </xdr:cNvPr>
        <xdr:cNvSpPr txBox="1"/>
      </xdr:nvSpPr>
      <xdr:spPr>
        <a:xfrm>
          <a:off x="1133475" y="73269"/>
          <a:ext cx="5287109" cy="460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latin typeface="KPMG Extralight" panose="020B0303030202040204" pitchFamily="34" charset="0"/>
            </a:rPr>
            <a:t>KPMG PREDICT: El</a:t>
          </a:r>
          <a:r>
            <a:rPr lang="en-US" sz="2800" baseline="0">
              <a:solidFill>
                <a:schemeClr val="bg1"/>
              </a:solidFill>
              <a:latin typeface="KPMG Extralight" panose="020B0303030202040204" pitchFamily="34" charset="0"/>
            </a:rPr>
            <a:t> informe de tu jubilación</a:t>
          </a:r>
          <a:endParaRPr lang="en-US" sz="2800">
            <a:solidFill>
              <a:schemeClr val="bg1"/>
            </a:solidFill>
            <a:latin typeface="KPMG Extralight" panose="020B0303030202040204" pitchFamily="34" charset="0"/>
          </a:endParaRPr>
        </a:p>
      </xdr:txBody>
    </xdr:sp>
    <xdr:clientData/>
  </xdr:twoCellAnchor>
  <xdr:twoCellAnchor>
    <xdr:from>
      <xdr:col>0</xdr:col>
      <xdr:colOff>574431</xdr:colOff>
      <xdr:row>24</xdr:row>
      <xdr:rowOff>158017</xdr:rowOff>
    </xdr:from>
    <xdr:to>
      <xdr:col>10</xdr:col>
      <xdr:colOff>13676</xdr:colOff>
      <xdr:row>49</xdr:row>
      <xdr:rowOff>92319</xdr:rowOff>
    </xdr:to>
    <xdr:sp macro="" textlink="">
      <xdr:nvSpPr>
        <xdr:cNvPr id="59" name="TextBox 58">
          <a:extLst>
            <a:ext uri="{FF2B5EF4-FFF2-40B4-BE49-F238E27FC236}">
              <a16:creationId xmlns:a16="http://schemas.microsoft.com/office/drawing/2014/main" id="{00000000-0008-0000-1500-00003B000000}"/>
            </a:ext>
          </a:extLst>
        </xdr:cNvPr>
        <xdr:cNvSpPr txBox="1"/>
      </xdr:nvSpPr>
      <xdr:spPr>
        <a:xfrm>
          <a:off x="574431" y="4730017"/>
          <a:ext cx="5840045" cy="46968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600"/>
            </a:spcAft>
          </a:pPr>
          <a:endParaRPr lang="es-ES" sz="1600" b="1" i="1">
            <a:solidFill>
              <a:srgbClr val="470A68"/>
            </a:solidFill>
            <a:effectLst/>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Bef>
              <a:spcPts val="200"/>
            </a:spcBef>
            <a:spcAft>
              <a:spcPts val="600"/>
            </a:spcAft>
          </a:pPr>
          <a:r>
            <a:rPr lang="es-E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rPr>
            <a:t>Primer Pilar de la Previsión Social: La</a:t>
          </a:r>
          <a:r>
            <a:rPr lang="es-ES" sz="1600" b="1" i="1" baseline="0">
              <a:solidFill>
                <a:srgbClr val="470A68"/>
              </a:solidFill>
              <a:effectLst/>
              <a:latin typeface="Arial" panose="020B0604020202020204" pitchFamily="34" charset="0"/>
              <a:ea typeface="Times New Roman" panose="02020603050405020304" pitchFamily="18" charset="0"/>
              <a:cs typeface="Arial" panose="020B0604020202020204" pitchFamily="34" charset="0"/>
            </a:rPr>
            <a:t> </a:t>
          </a:r>
          <a:r>
            <a:rPr lang="es-E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rPr>
            <a:t>Seguridad Social</a:t>
          </a:r>
          <a:endParaRPr lang="en-U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endParaRPr>
        </a:p>
        <a:p>
          <a:pPr>
            <a:spcBef>
              <a:spcPts val="600"/>
            </a:spcBef>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 describen los principales aspectos a tener en cuenta en la determinación de la prestación de jubilación de la Seguridad Social conforme a la legislación actual, así como la metodología de cálculo de la prestación.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La Seguridad Social se rige por la Ley 27/2011, de 1 de agosto, sobre actualización, adecuación y modernización del sistema de Seguridad Social y por el texto refundido de la Ley General de la Seguridad Social aprobado mediante el Real Decreto Legislativo 8/2015, de 30 de octubre. Posteriormente se ha llevado a cabo la reforma del sistema contemplada en l</a:t>
          </a:r>
          <a:r>
            <a:rPr lang="es-ES" sz="1000">
              <a:solidFill>
                <a:sysClr val="windowText" lastClr="000000"/>
              </a:solidFill>
              <a:effectLst/>
              <a:latin typeface="Arial" panose="020B0604020202020204" pitchFamily="34" charset="0"/>
              <a:ea typeface="+mn-ea"/>
              <a:cs typeface="Arial" panose="020B0604020202020204" pitchFamily="34" charset="0"/>
            </a:rPr>
            <a:t>a Ley 21/2021, de 28 de diciembre, de garantía del poder adquisitivo de las pensiones y de otras medidas de refuerzo de la sostenibilidad financiera y social del sistema público de pensiones.</a:t>
          </a:r>
          <a:endParaRPr lang="en-US" sz="1000" strike="sngStrike">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La prestación de Seguridad Social se calcula con el promedio de las últimas bases de cotización. Actualmente nos encontramos en un periodo transitorio de adaptación a las reformas legislativas aprobadas por la Ley 27/2011 el cual finaliza en 2022, momento</a:t>
          </a:r>
          <a:r>
            <a:rPr lang="es-ES" sz="100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que se tendrán en cuenta los últimos 25 años de cotización</a:t>
          </a: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Las bases de cotización están topadas por la base máxima y la base mínima de cotización, siendo 4.139,40 Euros mensuales la base máxima de cotización en 2022.</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Sobre la base reguladora se aplica un porcentaje en función de los años cotizados, el cual penaliza la pensión a recibir en caso </a:t>
          </a:r>
          <a:r>
            <a:rPr lang="es-ES_tradnl"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de anticipo de la edad ordinaria de jubilación. La legislación también contempla la posibilidad de prolongar la vida laboral reconociendo un porcentaje adicional sobre la pensión. La pensión está sujeta a un importe máximo que en 2022 se establece en 39.468,52 Euros anuales.</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3175</xdr:colOff>
      <xdr:row>4</xdr:row>
      <xdr:rowOff>21249</xdr:rowOff>
    </xdr:from>
    <xdr:to>
      <xdr:col>10</xdr:col>
      <xdr:colOff>1933</xdr:colOff>
      <xdr:row>25</xdr:row>
      <xdr:rowOff>57150</xdr:rowOff>
    </xdr:to>
    <xdr:sp macro="" textlink="">
      <xdr:nvSpPr>
        <xdr:cNvPr id="60" name="TextBox 59">
          <a:extLst>
            <a:ext uri="{FF2B5EF4-FFF2-40B4-BE49-F238E27FC236}">
              <a16:creationId xmlns:a16="http://schemas.microsoft.com/office/drawing/2014/main" id="{00000000-0008-0000-1500-00003C000000}"/>
            </a:ext>
          </a:extLst>
        </xdr:cNvPr>
        <xdr:cNvSpPr txBox="1"/>
      </xdr:nvSpPr>
      <xdr:spPr>
        <a:xfrm>
          <a:off x="584200" y="783249"/>
          <a:ext cx="5818533" cy="40364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El presente informe es un documento de comunicación que pretende aportar información sobre todos los factores que intervienen en la prestación que vas a percibir llegado el momento de acceso a la jubilación.</a:t>
          </a:r>
        </a:p>
        <a:p>
          <a:pPr marL="0" marR="0" lvl="0" indent="0" defTabSz="914400" eaLnBrk="1" fontAlgn="auto" latinLnBrk="0" hangingPunct="1">
            <a:lnSpc>
              <a:spcPct val="107000"/>
            </a:lnSpc>
            <a:spcBef>
              <a:spcPts val="0"/>
            </a:spcBef>
            <a:spcAft>
              <a:spcPts val="800"/>
            </a:spcAft>
            <a:buClrTx/>
            <a:buSzTx/>
            <a:buFontTx/>
            <a:buNone/>
            <a:tabLst/>
            <a:defRPr/>
          </a:pPr>
          <a:r>
            <a:rPr lang="es-ES" sz="1000">
              <a:solidFill>
                <a:schemeClr val="dk1"/>
              </a:solidFill>
              <a:effectLst/>
              <a:latin typeface="Arial" panose="020B0604020202020204" pitchFamily="34" charset="0"/>
              <a:ea typeface="+mn-ea"/>
              <a:cs typeface="Arial" panose="020B0604020202020204" pitchFamily="34" charset="0"/>
            </a:rPr>
            <a:t>En este informe</a:t>
          </a:r>
          <a:r>
            <a:rPr lang="es-ES" sz="1000" baseline="0">
              <a:solidFill>
                <a:schemeClr val="dk1"/>
              </a:solidFill>
              <a:effectLst/>
              <a:latin typeface="Arial" panose="020B0604020202020204" pitchFamily="34" charset="0"/>
              <a:ea typeface="+mn-ea"/>
              <a:cs typeface="Arial" panose="020B0604020202020204" pitchFamily="34" charset="0"/>
            </a:rPr>
            <a:t> se desarrollan las características de los pilares I y III de la previsión </a:t>
          </a:r>
          <a:r>
            <a:rPr lang="es-ES" sz="1000">
              <a:solidFill>
                <a:schemeClr val="dk1"/>
              </a:solidFill>
              <a:effectLst/>
              <a:latin typeface="Arial" panose="020B0604020202020204" pitchFamily="34" charset="0"/>
              <a:ea typeface="+mn-ea"/>
              <a:cs typeface="Arial" panose="020B0604020202020204" pitchFamily="34" charset="0"/>
            </a:rPr>
            <a:t>social complementaria: </a:t>
          </a: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n-US" sz="10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lang="es-ES" sz="1000">
              <a:solidFill>
                <a:schemeClr val="dk1"/>
              </a:solidFill>
              <a:effectLst/>
              <a:latin typeface="Arial" panose="020B0604020202020204" pitchFamily="34" charset="0"/>
              <a:ea typeface="+mn-ea"/>
              <a:cs typeface="Arial" panose="020B0604020202020204" pitchFamily="34" charset="0"/>
            </a:rPr>
            <a:t>Al final del documento se incluye el apartado de resultados, donde se recogen los importes de pensión derivados de cada pilar de la previsión social y la cobertura que dichos importes van a suponer sobre tu nivel de ingresos en la fecha de jubilación.</a:t>
          </a: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n-US" sz="1000">
            <a:effectLst/>
            <a:latin typeface="Arial" panose="020B0604020202020204" pitchFamily="34" charset="0"/>
            <a:cs typeface="Arial" panose="020B0604020202020204" pitchFamily="34" charset="0"/>
          </a:endParaRPr>
        </a:p>
        <a:p>
          <a:pPr>
            <a:lnSpc>
              <a:spcPct val="107000"/>
            </a:lnSpc>
            <a:spcAft>
              <a:spcPts val="800"/>
            </a:spcAft>
          </a:pPr>
          <a:endParaRPr lang="en-US" sz="1100"/>
        </a:p>
      </xdr:txBody>
    </xdr:sp>
    <xdr:clientData/>
  </xdr:twoCellAnchor>
  <xdr:twoCellAnchor>
    <xdr:from>
      <xdr:col>2</xdr:col>
      <xdr:colOff>349495</xdr:colOff>
      <xdr:row>8</xdr:row>
      <xdr:rowOff>65943</xdr:rowOff>
    </xdr:from>
    <xdr:to>
      <xdr:col>8</xdr:col>
      <xdr:colOff>283552</xdr:colOff>
      <xdr:row>17</xdr:row>
      <xdr:rowOff>109905</xdr:rowOff>
    </xdr:to>
    <xdr:graphicFrame macro="">
      <xdr:nvGraphicFramePr>
        <xdr:cNvPr id="74" name="Diagram 73">
          <a:extLst>
            <a:ext uri="{FF2B5EF4-FFF2-40B4-BE49-F238E27FC236}">
              <a16:creationId xmlns:a16="http://schemas.microsoft.com/office/drawing/2014/main" id="{00000000-0008-0000-1500-00004A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twoCellAnchor>
    <xdr:from>
      <xdr:col>1</xdr:col>
      <xdr:colOff>7327</xdr:colOff>
      <xdr:row>51</xdr:row>
      <xdr:rowOff>8282</xdr:rowOff>
    </xdr:from>
    <xdr:to>
      <xdr:col>10</xdr:col>
      <xdr:colOff>16566</xdr:colOff>
      <xdr:row>101</xdr:row>
      <xdr:rowOff>165652</xdr:rowOff>
    </xdr:to>
    <xdr:sp macro="" textlink="">
      <xdr:nvSpPr>
        <xdr:cNvPr id="77" name="TextBox 76">
          <a:extLst>
            <a:ext uri="{FF2B5EF4-FFF2-40B4-BE49-F238E27FC236}">
              <a16:creationId xmlns:a16="http://schemas.microsoft.com/office/drawing/2014/main" id="{00000000-0008-0000-1500-00004D000000}"/>
            </a:ext>
          </a:extLst>
        </xdr:cNvPr>
        <xdr:cNvSpPr txBox="1"/>
      </xdr:nvSpPr>
      <xdr:spPr>
        <a:xfrm>
          <a:off x="588352" y="9723782"/>
          <a:ext cx="5819489" cy="96823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Aft>
              <a:spcPts val="800"/>
            </a:spcAft>
          </a:pPr>
          <a:r>
            <a:rPr kumimoji="0" lang="es-E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rPr>
            <a:t>¿Cuándo voy a poder acceder a mi jubilación?</a:t>
          </a: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300"/>
            </a:spcAft>
          </a:pPr>
          <a:endParaRPr lang="es-ES" sz="1050" b="1">
            <a:solidFill>
              <a:srgbClr val="0070C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ordinaria: </a:t>
          </a:r>
          <a:r>
            <a:rPr lang="es-ES" sz="1000">
              <a:effectLst/>
              <a:latin typeface="Arial" panose="020B0604020202020204" pitchFamily="34" charset="0"/>
              <a:ea typeface="Calibri" panose="020F0502020204030204" pitchFamily="34" charset="0"/>
              <a:cs typeface="Times New Roman" panose="02020603050405020304" pitchFamily="18" charset="0"/>
            </a:rPr>
            <a:t>La edad de acceso ordinaria a la pensión de jubilación se determina en función de los años de cotización acumulados a lo largo de la vida laboral, actualmente estamos en un periodo transitorio que finaliza en 2027, momento en el cual se requerirá haber cumplido la edad de: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67 años 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38 años y 6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el </a:t>
          </a: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año 2022, la edad ordinaria es:</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66 años y 2</a:t>
          </a:r>
          <a:r>
            <a:rPr lang="es-ES" sz="1000" baseline="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 meses</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65 años si se acreditan 37 años y 6 meses de cotización.</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105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4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00B050"/>
              </a:solidFill>
              <a:effectLst/>
              <a:latin typeface="Arial" panose="020B0604020202020204" pitchFamily="34" charset="0"/>
              <a:ea typeface="Calibri" panose="020F0502020204030204" pitchFamily="34" charset="0"/>
              <a:cs typeface="Times New Roman" panose="02020603050405020304" pitchFamily="18" charset="0"/>
            </a:rPr>
            <a:t> </a:t>
          </a:r>
          <a:r>
            <a:rPr lang="es-ES_tradnl"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anticipada por voluntad del trabajador: </a:t>
          </a:r>
          <a:r>
            <a:rPr lang="es-ES_tradnl" sz="1000">
              <a:effectLst/>
              <a:latin typeface="Arial" panose="020B0604020202020204" pitchFamily="34" charset="0"/>
              <a:ea typeface="Calibri" panose="020F0502020204030204" pitchFamily="34" charset="0"/>
              <a:cs typeface="Arial" panose="020B0604020202020204" pitchFamily="34" charset="0"/>
            </a:rPr>
            <a:t>Para poder acceder a la jubilación anticipada por </a:t>
          </a:r>
          <a:r>
            <a:rPr lang="es-ES" sz="1000">
              <a:effectLst/>
              <a:latin typeface="Arial" panose="020B0604020202020204" pitchFamily="34" charset="0"/>
              <a:ea typeface="Calibri" panose="020F0502020204030204" pitchFamily="34" charset="0"/>
              <a:cs typeface="Arial" panose="020B0604020202020204" pitchFamily="34" charset="0"/>
            </a:rPr>
            <a:t>voluntad del trabajador deberás cumplir los siguientes requisitos: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Tener una edad como mínimo dos años inferior a la edad ordinaria de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Un periodo mínimo de cotización de 35 años.</a:t>
          </a:r>
        </a:p>
        <a:p>
          <a:pPr marL="0" marR="0" lvl="0" indent="0" defTabSz="914400" eaLnBrk="1" fontAlgn="auto" latinLnBrk="0" hangingPunct="1">
            <a:lnSpc>
              <a:spcPct val="107000"/>
            </a:lnSpc>
            <a:spcBef>
              <a:spcPts val="0"/>
            </a:spcBef>
            <a:spcAft>
              <a:spcPts val="800"/>
            </a:spcAft>
            <a:buClrTx/>
            <a:buSzTx/>
            <a:buFontTx/>
            <a:buNone/>
            <a:tabLst/>
            <a:defRPr/>
          </a:pPr>
          <a:r>
            <a:rPr lang="es-ES" sz="1000" strike="noStrike">
              <a:solidFill>
                <a:sysClr val="windowText" lastClr="000000"/>
              </a:solidFill>
              <a:effectLst/>
              <a:latin typeface="Arial" panose="020B0604020202020204" pitchFamily="34" charset="0"/>
              <a:ea typeface="+mn-ea"/>
              <a:cs typeface="Arial" panose="020B0604020202020204" pitchFamily="34" charset="0"/>
            </a:rPr>
            <a:t>Por cada mes o fracción de mes de anticipación de la edad ordinaria de jubilación, se aplican unos</a:t>
          </a:r>
          <a:r>
            <a:rPr lang="es-ES" sz="1000" strike="noStrike" baseline="0">
              <a:solidFill>
                <a:sysClr val="windowText" lastClr="000000"/>
              </a:solidFill>
              <a:effectLst/>
              <a:latin typeface="Arial" panose="020B0604020202020204" pitchFamily="34" charset="0"/>
              <a:ea typeface="+mn-ea"/>
              <a:cs typeface="Arial" panose="020B0604020202020204" pitchFamily="34" charset="0"/>
            </a:rPr>
            <a:t> </a:t>
          </a:r>
          <a:r>
            <a:rPr lang="es-ES" sz="1000" strike="noStrike">
              <a:solidFill>
                <a:sysClr val="windowText" lastClr="000000"/>
              </a:solidFill>
              <a:effectLst/>
              <a:latin typeface="Arial" panose="020B0604020202020204" pitchFamily="34" charset="0"/>
              <a:ea typeface="+mn-ea"/>
              <a:cs typeface="Arial" panose="020B0604020202020204" pitchFamily="34" charset="0"/>
            </a:rPr>
            <a:t>coeficientes reductores de la pensión, los cuales se determinan en función de los años cotizados.</a:t>
          </a:r>
        </a:p>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Cuando la base reguladora</a:t>
          </a:r>
          <a:r>
            <a:rPr lang="es-ES" sz="100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 la pensión supere el límite de la pensión máxima, los coeficientes reductores se aplicarán sobre la pensión máxima. En este caso, a partir de enero de 2024 y durante un periodo transitorio de 10 años se aplicarán los coeficientes reductores recogidos en la disposición transitoria trigesimo cuarta de la Ley 21/2021.</a:t>
          </a:r>
          <a:endPar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caso de que la jubilación no sea voluntaria, y el cese del trabajo sea por causa no imputable al trabajador, se aplicarían otros porcentajes reductores.</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acceso a la jubilación de manera anticipada se recoge en los artículos 5 y 163 de la Ley 27/2011 y en los artículos 206 a 208 del texto refundido.</a:t>
          </a: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ES_tradnl" sz="1100" b="1" i="0" u="none" strike="noStrike" kern="0" cap="none" spc="0" normalizeH="0" baseline="0" noProof="0">
              <a:ln>
                <a:noFill/>
              </a:ln>
              <a:solidFill>
                <a:srgbClr val="6D2077"/>
              </a:solidFill>
              <a:effectLst/>
              <a:uLnTx/>
              <a:uFillTx/>
              <a:latin typeface="Arial" panose="020B0604020202020204" pitchFamily="34" charset="0"/>
              <a:ea typeface="Calibri" panose="020F0502020204030204" pitchFamily="34" charset="0"/>
              <a:cs typeface="Times New Roman" panose="02020603050405020304" pitchFamily="18" charset="0"/>
            </a:rPr>
            <a:t>Jubilación prolongada: </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Cuando se acceda a la pensión de jubilación a una edad superior a la edad ordinaria de jubilación, y se cumpla con el periodo de cotización exigido, la Seguridad </a:t>
          </a: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Social reconoce un complemento adicional que se abonará de una de las siguientes formas: </a:t>
          </a:r>
        </a:p>
        <a:p>
          <a:pPr marL="0" marR="0" lvl="0" indent="0" defTabSz="914400" eaLnBrk="1" fontAlgn="auto" latinLnBrk="0" hangingPunct="1">
            <a:lnSpc>
              <a:spcPct val="107000"/>
            </a:lnSpc>
            <a:spcBef>
              <a:spcPts val="0"/>
            </a:spcBef>
            <a:spcAft>
              <a:spcPts val="8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a)  un porcentaje adicional del 4% por cada año completo cotizado entre la fecha en que cumplió la edad ordinaria de jubilación y la del acceso a la pensión. </a:t>
          </a:r>
        </a:p>
        <a:p>
          <a:pPr marL="0" marR="0" lvl="0" indent="0" defTabSz="914400" eaLnBrk="1" fontAlgn="auto" latinLnBrk="0" hangingPunct="1">
            <a:lnSpc>
              <a:spcPct val="107000"/>
            </a:lnSpc>
            <a:spcBef>
              <a:spcPts val="0"/>
            </a:spcBef>
            <a:spcAft>
              <a:spcPts val="800"/>
            </a:spcAft>
            <a:buClrTx/>
            <a:buSzTx/>
            <a:buFontTx/>
            <a:buNone/>
            <a:tabLst/>
            <a:defRPr/>
          </a:pPr>
          <a:r>
            <a:rPr lang="es-ES" sz="1000" b="0" i="0" baseline="0">
              <a:solidFill>
                <a:schemeClr val="dk1"/>
              </a:solidFill>
              <a:effectLst/>
              <a:latin typeface="Arial" panose="020B0604020202020204" pitchFamily="34" charset="0"/>
              <a:ea typeface="+mn-ea"/>
              <a:cs typeface="Arial" panose="020B0604020202020204" pitchFamily="34" charset="0"/>
            </a:rPr>
            <a:t>Si la cuantía de la pensión reconocida alcanza el límite máximo sin aplicar el porcentaje adicional o aplicándolo sólo parcialmente, el importe que percibirías sería la pensión máxima y un complemento adicional por el porcentaje adicional que corresponda.</a:t>
          </a:r>
          <a:endParaRPr lang="es-ES" sz="10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73586</xdr:colOff>
      <xdr:row>53</xdr:row>
      <xdr:rowOff>124239</xdr:rowOff>
    </xdr:from>
    <xdr:to>
      <xdr:col>5</xdr:col>
      <xdr:colOff>91109</xdr:colOff>
      <xdr:row>57</xdr:row>
      <xdr:rowOff>165652</xdr:rowOff>
    </xdr:to>
    <xdr:sp macro="" textlink="">
      <xdr:nvSpPr>
        <xdr:cNvPr id="82" name="TextBox 81">
          <a:extLst>
            <a:ext uri="{FF2B5EF4-FFF2-40B4-BE49-F238E27FC236}">
              <a16:creationId xmlns:a16="http://schemas.microsoft.com/office/drawing/2014/main" id="{00000000-0008-0000-1500-000052000000}"/>
            </a:ext>
          </a:extLst>
        </xdr:cNvPr>
        <xdr:cNvSpPr txBox="1"/>
      </xdr:nvSpPr>
      <xdr:spPr>
        <a:xfrm>
          <a:off x="654611" y="10220739"/>
          <a:ext cx="2532123" cy="803413"/>
        </a:xfrm>
        <a:prstGeom prst="rect">
          <a:avLst/>
        </a:prstGeom>
        <a:solidFill>
          <a:srgbClr val="470A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7000"/>
            </a:lnSpc>
            <a:spcBef>
              <a:spcPts val="0"/>
            </a:spcBef>
            <a:spcAft>
              <a:spcPts val="800"/>
            </a:spcAft>
            <a:buClrTx/>
            <a:buSzTx/>
            <a:buFontTx/>
            <a:buNone/>
            <a:tabLst/>
            <a:defRPr/>
          </a:pPr>
          <a:r>
            <a:rPr kumimoji="0" lang="es-ES" sz="1000" b="1" i="0"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Arial" panose="020B0604020202020204" pitchFamily="34" charset="0"/>
            </a:rPr>
            <a:t>Estas son las distintas modalidades de acceso a la jubilación que permite la legislación actual y que podrás seleccionar en KPMG Predict:</a:t>
          </a:r>
          <a:endParaRPr lang="en-US" sz="1100">
            <a:solidFill>
              <a:schemeClr val="bg1"/>
            </a:solidFill>
          </a:endParaRPr>
        </a:p>
      </xdr:txBody>
    </xdr:sp>
    <xdr:clientData/>
  </xdr:twoCellAnchor>
  <xdr:twoCellAnchor>
    <xdr:from>
      <xdr:col>5</xdr:col>
      <xdr:colOff>512885</xdr:colOff>
      <xdr:row>53</xdr:row>
      <xdr:rowOff>131156</xdr:rowOff>
    </xdr:from>
    <xdr:to>
      <xdr:col>9</xdr:col>
      <xdr:colOff>505558</xdr:colOff>
      <xdr:row>57</xdr:row>
      <xdr:rowOff>138483</xdr:rowOff>
    </xdr:to>
    <xdr:sp macro="" textlink="">
      <xdr:nvSpPr>
        <xdr:cNvPr id="83" name="Rectangular Callout 8">
          <a:extLst>
            <a:ext uri="{FF2B5EF4-FFF2-40B4-BE49-F238E27FC236}">
              <a16:creationId xmlns:a16="http://schemas.microsoft.com/office/drawing/2014/main" id="{00000000-0008-0000-1500-000053000000}"/>
            </a:ext>
          </a:extLst>
        </xdr:cNvPr>
        <xdr:cNvSpPr/>
      </xdr:nvSpPr>
      <xdr:spPr>
        <a:xfrm>
          <a:off x="3608510" y="10227656"/>
          <a:ext cx="2640623" cy="769327"/>
        </a:xfrm>
        <a:prstGeom prst="wedgeRectCallout">
          <a:avLst>
            <a:gd name="adj1" fmla="val -62272"/>
            <a:gd name="adj2" fmla="val -357"/>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483577</xdr:colOff>
      <xdr:row>53</xdr:row>
      <xdr:rowOff>146542</xdr:rowOff>
    </xdr:from>
    <xdr:to>
      <xdr:col>9</xdr:col>
      <xdr:colOff>549518</xdr:colOff>
      <xdr:row>57</xdr:row>
      <xdr:rowOff>146543</xdr:rowOff>
    </xdr:to>
    <xdr:sp macro="" textlink="">
      <xdr:nvSpPr>
        <xdr:cNvPr id="84" name="TextBox 83">
          <a:extLst>
            <a:ext uri="{FF2B5EF4-FFF2-40B4-BE49-F238E27FC236}">
              <a16:creationId xmlns:a16="http://schemas.microsoft.com/office/drawing/2014/main" id="{00000000-0008-0000-1500-000054000000}"/>
            </a:ext>
          </a:extLst>
        </xdr:cNvPr>
        <xdr:cNvSpPr txBox="1"/>
      </xdr:nvSpPr>
      <xdr:spPr>
        <a:xfrm>
          <a:off x="3579202" y="10243042"/>
          <a:ext cx="2713891"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950" b="0" i="1">
              <a:solidFill>
                <a:schemeClr val="dk1"/>
              </a:solidFill>
              <a:effectLst/>
              <a:latin typeface="Arial" panose="020B0604020202020204" pitchFamily="34" charset="0"/>
              <a:ea typeface="+mn-ea"/>
              <a:cs typeface="Arial" panose="020B0604020202020204" pitchFamily="34" charset="0"/>
            </a:rPr>
            <a:t>Los datos incluidos en el apartado "Resultados" del presente informe, están vinculados con la edad de acceso a la jubilación que hayas seleccionado en KPMG Predict.</a:t>
          </a:r>
          <a:endParaRPr lang="en-US" sz="950" b="0" i="1">
            <a:effectLst/>
            <a:latin typeface="Arial" panose="020B0604020202020204" pitchFamily="34" charset="0"/>
            <a:cs typeface="Arial" panose="020B0604020202020204" pitchFamily="34" charset="0"/>
          </a:endParaRPr>
        </a:p>
        <a:p>
          <a:endParaRPr lang="en-US" sz="950" b="0" i="1"/>
        </a:p>
      </xdr:txBody>
    </xdr:sp>
    <xdr:clientData/>
  </xdr:twoCellAnchor>
  <xdr:twoCellAnchor>
    <xdr:from>
      <xdr:col>3</xdr:col>
      <xdr:colOff>205152</xdr:colOff>
      <xdr:row>68</xdr:row>
      <xdr:rowOff>51289</xdr:rowOff>
    </xdr:from>
    <xdr:to>
      <xdr:col>9</xdr:col>
      <xdr:colOff>464769</xdr:colOff>
      <xdr:row>71</xdr:row>
      <xdr:rowOff>36634</xdr:rowOff>
    </xdr:to>
    <xdr:sp macro="" textlink="">
      <xdr:nvSpPr>
        <xdr:cNvPr id="85" name="Rectangular Callout 10">
          <a:extLst>
            <a:ext uri="{FF2B5EF4-FFF2-40B4-BE49-F238E27FC236}">
              <a16:creationId xmlns:a16="http://schemas.microsoft.com/office/drawing/2014/main" id="{00000000-0008-0000-1500-000055000000}"/>
            </a:ext>
          </a:extLst>
        </xdr:cNvPr>
        <xdr:cNvSpPr/>
      </xdr:nvSpPr>
      <xdr:spPr>
        <a:xfrm>
          <a:off x="2161440" y="12507058"/>
          <a:ext cx="4318733" cy="534864"/>
        </a:xfrm>
        <a:prstGeom prst="wedgeRectCallout">
          <a:avLst>
            <a:gd name="adj1" fmla="val -61011"/>
            <a:gd name="adj2" fmla="val -60294"/>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179021</xdr:colOff>
      <xdr:row>68</xdr:row>
      <xdr:rowOff>35658</xdr:rowOff>
    </xdr:from>
    <xdr:to>
      <xdr:col>9</xdr:col>
      <xdr:colOff>503360</xdr:colOff>
      <xdr:row>71</xdr:row>
      <xdr:rowOff>29308</xdr:rowOff>
    </xdr:to>
    <xdr:sp macro="" textlink="">
      <xdr:nvSpPr>
        <xdr:cNvPr id="86" name="TextBox 85">
          <a:extLst>
            <a:ext uri="{FF2B5EF4-FFF2-40B4-BE49-F238E27FC236}">
              <a16:creationId xmlns:a16="http://schemas.microsoft.com/office/drawing/2014/main" id="{00000000-0008-0000-1500-000056000000}"/>
            </a:ext>
          </a:extLst>
        </xdr:cNvPr>
        <xdr:cNvSpPr txBox="1"/>
      </xdr:nvSpPr>
      <xdr:spPr>
        <a:xfrm>
          <a:off x="2135309" y="12491427"/>
          <a:ext cx="4383455" cy="543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el apartado "Resultados" del presente informe se incluye la edad y fecha de acceso a la </a:t>
          </a:r>
          <a:r>
            <a:rPr lang="en-US" sz="950" b="1" i="1">
              <a:latin typeface="Arial" panose="020B0604020202020204" pitchFamily="34" charset="0"/>
              <a:cs typeface="Arial" panose="020B0604020202020204" pitchFamily="34" charset="0"/>
            </a:rPr>
            <a:t>jubilación ordinaria</a:t>
          </a:r>
          <a:r>
            <a:rPr lang="en-US" sz="950" b="0" i="1">
              <a:latin typeface="Arial" panose="020B0604020202020204" pitchFamily="34" charset="0"/>
              <a:cs typeface="Arial" panose="020B0604020202020204" pitchFamily="34" charset="0"/>
            </a:rPr>
            <a:t> en función de los años cotizados que hayas introducido en el apartado “Datos personales”.</a:t>
          </a:r>
        </a:p>
        <a:p>
          <a:endParaRPr lang="en-US" sz="950" b="0" i="1"/>
        </a:p>
      </xdr:txBody>
    </xdr:sp>
    <xdr:clientData/>
  </xdr:twoCellAnchor>
  <xdr:twoCellAnchor>
    <xdr:from>
      <xdr:col>3</xdr:col>
      <xdr:colOff>191604</xdr:colOff>
      <xdr:row>87</xdr:row>
      <xdr:rowOff>36829</xdr:rowOff>
    </xdr:from>
    <xdr:to>
      <xdr:col>9</xdr:col>
      <xdr:colOff>505854</xdr:colOff>
      <xdr:row>90</xdr:row>
      <xdr:rowOff>73269</xdr:rowOff>
    </xdr:to>
    <xdr:sp macro="" textlink="">
      <xdr:nvSpPr>
        <xdr:cNvPr id="87" name="Rectangular Callout 12">
          <a:extLst>
            <a:ext uri="{FF2B5EF4-FFF2-40B4-BE49-F238E27FC236}">
              <a16:creationId xmlns:a16="http://schemas.microsoft.com/office/drawing/2014/main" id="{00000000-0008-0000-1500-000057000000}"/>
            </a:ext>
          </a:extLst>
        </xdr:cNvPr>
        <xdr:cNvSpPr/>
      </xdr:nvSpPr>
      <xdr:spPr>
        <a:xfrm>
          <a:off x="2147892" y="15972887"/>
          <a:ext cx="4373366" cy="585959"/>
        </a:xfrm>
        <a:prstGeom prst="wedgeRectCallout">
          <a:avLst>
            <a:gd name="adj1" fmla="val -60305"/>
            <a:gd name="adj2" fmla="val -54485"/>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229461</xdr:colOff>
      <xdr:row>86</xdr:row>
      <xdr:rowOff>183172</xdr:rowOff>
    </xdr:from>
    <xdr:to>
      <xdr:col>9</xdr:col>
      <xdr:colOff>562760</xdr:colOff>
      <xdr:row>90</xdr:row>
      <xdr:rowOff>102578</xdr:rowOff>
    </xdr:to>
    <xdr:sp macro="" textlink="">
      <xdr:nvSpPr>
        <xdr:cNvPr id="88" name="TextBox 87">
          <a:extLst>
            <a:ext uri="{FF2B5EF4-FFF2-40B4-BE49-F238E27FC236}">
              <a16:creationId xmlns:a16="http://schemas.microsoft.com/office/drawing/2014/main" id="{00000000-0008-0000-1500-000058000000}"/>
            </a:ext>
          </a:extLst>
        </xdr:cNvPr>
        <xdr:cNvSpPr txBox="1"/>
      </xdr:nvSpPr>
      <xdr:spPr>
        <a:xfrm>
          <a:off x="2185749" y="15936057"/>
          <a:ext cx="4392415" cy="652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50" b="0" i="1">
              <a:latin typeface="Arial" panose="020B0604020202020204" pitchFamily="34" charset="0"/>
              <a:cs typeface="Arial" panose="020B0604020202020204" pitchFamily="34" charset="0"/>
            </a:rPr>
            <a:t>En caso de que hayas seleccionado la opción de </a:t>
          </a:r>
          <a:r>
            <a:rPr lang="en-US" sz="950" b="1" i="1">
              <a:latin typeface="Arial" panose="020B0604020202020204" pitchFamily="34" charset="0"/>
              <a:cs typeface="Arial" panose="020B0604020202020204" pitchFamily="34" charset="0"/>
            </a:rPr>
            <a:t>jubilación anticipada</a:t>
          </a:r>
          <a:r>
            <a:rPr lang="en-US" sz="950" b="0" i="1">
              <a:latin typeface="Arial" panose="020B0604020202020204" pitchFamily="34" charset="0"/>
              <a:cs typeface="Arial" panose="020B0604020202020204" pitchFamily="34" charset="0"/>
            </a:rPr>
            <a:t>, en el apartado "Resultados" del presente informe puedes encontrar el detalle del coeficiente reductor que sería de aplicación en el cálculo de tu pensión pública.</a:t>
          </a:r>
        </a:p>
      </xdr:txBody>
    </xdr:sp>
    <xdr:clientData/>
  </xdr:twoCellAnchor>
  <xdr:twoCellAnchor>
    <xdr:from>
      <xdr:col>0</xdr:col>
      <xdr:colOff>610915</xdr:colOff>
      <xdr:row>101</xdr:row>
      <xdr:rowOff>43512</xdr:rowOff>
    </xdr:from>
    <xdr:to>
      <xdr:col>10</xdr:col>
      <xdr:colOff>813</xdr:colOff>
      <xdr:row>127</xdr:row>
      <xdr:rowOff>9150</xdr:rowOff>
    </xdr:to>
    <xdr:sp macro="" textlink="">
      <xdr:nvSpPr>
        <xdr:cNvPr id="89" name="TextBox 88">
          <a:extLst>
            <a:ext uri="{FF2B5EF4-FFF2-40B4-BE49-F238E27FC236}">
              <a16:creationId xmlns:a16="http://schemas.microsoft.com/office/drawing/2014/main" id="{00000000-0008-0000-1500-000059000000}"/>
            </a:ext>
          </a:extLst>
        </xdr:cNvPr>
        <xdr:cNvSpPr txBox="1"/>
      </xdr:nvSpPr>
      <xdr:spPr>
        <a:xfrm>
          <a:off x="610915" y="18906747"/>
          <a:ext cx="6098486" cy="48215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b) Una cantidad a tanto alzado por cada año completo cotizado entre la fecha en que cumplió dicha edad y la fecha de jubilación. La cuantía se determina en función de los años cotizados:</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Cotizaciones inferiores a 44 años y 6 meses: </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	        Pago único = 800 x  </a:t>
          </a:r>
          <a:r>
            <a:rPr lang="es-ES" sz="1000" b="0" i="0" u="none" baseline="0">
              <a:solidFill>
                <a:sysClr val="windowText" lastClr="000000"/>
              </a:solidFill>
              <a:effectLst/>
              <a:latin typeface="Arial" panose="020B0604020202020204" pitchFamily="34" charset="0"/>
              <a:ea typeface="+mn-ea"/>
              <a:cs typeface="Arial" panose="020B0604020202020204" pitchFamily="34" charset="0"/>
            </a:rPr>
            <a:t>(Pensión inicial anual / 500)^(1/1,65)</a:t>
          </a: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Cotizaciones superiores a 44 años y 6 meses: </a:t>
          </a:r>
          <a:endParaRPr lang="es-ES" sz="1000">
            <a:solidFill>
              <a:sysClr val="windowText" lastClr="000000"/>
            </a:solidFill>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       	        Pago único = 880 x  (Pensión inicial anual / 500)^(1/1,65)</a:t>
          </a:r>
          <a:endParaRPr lang="es-ES" sz="1000">
            <a:solidFill>
              <a:sysClr val="windowText" lastClr="000000"/>
            </a:solidFill>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c) Una combinación de las dos alternativas anteriores.</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El acceso a la jubilación de manera posterior a la edad ordinaria se regula en el artículo 163 de la Ley 27/2011.</a:t>
          </a: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r>
            <a:rPr kumimoji="0" lang="es-E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rPr>
            <a:t>¿Cómo se calcula la prestación de jubilación que voy a percibir de la Seguridad Social?</a:t>
          </a:r>
          <a:endParaRPr kumimoji="0" lang="en-U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La pensión de jubilación se calcula sobre una base reguladora calculada a partir de las bases de cotización durante un cierto número de años. A esta base reguladora se le aplica un porcentaje que se determina en función de los años de cotización. La pensión obtenida se corrige mediante la aplicación del factor de sostenibilidad y del complemento para la reducción de la brecha de género.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76217</xdr:colOff>
      <xdr:row>128</xdr:row>
      <xdr:rowOff>3421</xdr:rowOff>
    </xdr:from>
    <xdr:to>
      <xdr:col>9</xdr:col>
      <xdr:colOff>622868</xdr:colOff>
      <xdr:row>129</xdr:row>
      <xdr:rowOff>115641</xdr:rowOff>
    </xdr:to>
    <xdr:sp macro="" textlink="">
      <xdr:nvSpPr>
        <xdr:cNvPr id="90" name="TextBox 89">
          <a:extLst>
            <a:ext uri="{FF2B5EF4-FFF2-40B4-BE49-F238E27FC236}">
              <a16:creationId xmlns:a16="http://schemas.microsoft.com/office/drawing/2014/main" id="{00000000-0008-0000-1500-00005A000000}"/>
            </a:ext>
          </a:extLst>
        </xdr:cNvPr>
        <xdr:cNvSpPr txBox="1"/>
      </xdr:nvSpPr>
      <xdr:spPr>
        <a:xfrm>
          <a:off x="688805" y="23909303"/>
          <a:ext cx="5962828" cy="298985"/>
        </a:xfrm>
        <a:prstGeom prst="rect">
          <a:avLst/>
        </a:prstGeom>
        <a:solidFill>
          <a:srgbClr val="470A6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7000"/>
            </a:lnSpc>
            <a:spcBef>
              <a:spcPts val="0"/>
            </a:spcBef>
            <a:spcAft>
              <a:spcPts val="800"/>
            </a:spcAft>
            <a:buClrTx/>
            <a:buSzTx/>
            <a:buFontTx/>
            <a:buNone/>
            <a:tabLst/>
            <a:defRPr/>
          </a:pPr>
          <a:r>
            <a:rPr kumimoji="0" lang="es-ES" sz="1100" b="0" i="1"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Times New Roman" panose="02020603050405020304" pitchFamily="18" charset="0"/>
            </a:rPr>
            <a:t>Conceptos clave que intervienen en el cálculo de mi pensión pública</a:t>
          </a:r>
          <a:endParaRPr kumimoji="0" lang="en-US" sz="1400" b="0" i="0" u="none" strike="noStrike" kern="0" cap="none" spc="0" normalizeH="0" baseline="0" noProof="0">
            <a:ln>
              <a:noFill/>
            </a:ln>
            <a:solidFill>
              <a:schemeClr val="bg1"/>
            </a:solidFill>
            <a:effectLst/>
            <a:uLnTx/>
            <a:uFillTx/>
            <a:latin typeface="Calibri" panose="020F0502020204030204" pitchFamily="34" charset="0"/>
            <a:ea typeface="Calibri" panose="020F0502020204030204" pitchFamily="34" charset="0"/>
            <a:cs typeface="Times New Roman" panose="02020603050405020304" pitchFamily="18" charset="0"/>
          </a:endParaRPr>
        </a:p>
        <a:p>
          <a:endParaRPr lang="en-US" sz="1100">
            <a:solidFill>
              <a:schemeClr val="bg1"/>
            </a:solidFill>
          </a:endParaRPr>
        </a:p>
      </xdr:txBody>
    </xdr:sp>
    <xdr:clientData/>
  </xdr:twoCellAnchor>
  <xdr:twoCellAnchor>
    <xdr:from>
      <xdr:col>1</xdr:col>
      <xdr:colOff>104378</xdr:colOff>
      <xdr:row>140</xdr:row>
      <xdr:rowOff>49526</xdr:rowOff>
    </xdr:from>
    <xdr:to>
      <xdr:col>9</xdr:col>
      <xdr:colOff>587945</xdr:colOff>
      <xdr:row>149</xdr:row>
      <xdr:rowOff>109615</xdr:rowOff>
    </xdr:to>
    <xdr:sp macro="" textlink="">
      <xdr:nvSpPr>
        <xdr:cNvPr id="92" name="TextBox 91">
          <a:extLst>
            <a:ext uri="{FF2B5EF4-FFF2-40B4-BE49-F238E27FC236}">
              <a16:creationId xmlns:a16="http://schemas.microsoft.com/office/drawing/2014/main" id="{00000000-0008-0000-1500-00005C000000}"/>
            </a:ext>
          </a:extLst>
        </xdr:cNvPr>
        <xdr:cNvSpPr txBox="1"/>
      </xdr:nvSpPr>
      <xdr:spPr>
        <a:xfrm>
          <a:off x="716966" y="26196585"/>
          <a:ext cx="5899744" cy="1740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Requisitos de años cotizados</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tener derecho a recibir una pensión de jubilación de la modalidad contributiva, es necesario que cuentes con un mínimo de 15 años de cotizaciones, 2 de los cuales deben estar dentro de los 15 años previos a la fecha de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Durante el periodo transitorio, y hasta el año 2027, se incrementan progresivamente los años </a:t>
          </a: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de cotización requeridos para el cobro del 100% de la pensión.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En el año 2022 para tener derecho al 100% es necesario que tengas acreditado un periodo cotizado de al menos 36 años.</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94421</xdr:colOff>
      <xdr:row>130</xdr:row>
      <xdr:rowOff>105945</xdr:rowOff>
    </xdr:from>
    <xdr:to>
      <xdr:col>9</xdr:col>
      <xdr:colOff>560042</xdr:colOff>
      <xdr:row>138</xdr:row>
      <xdr:rowOff>178862</xdr:rowOff>
    </xdr:to>
    <xdr:sp macro="" textlink="">
      <xdr:nvSpPr>
        <xdr:cNvPr id="94" name="TextBox 93">
          <a:extLst>
            <a:ext uri="{FF2B5EF4-FFF2-40B4-BE49-F238E27FC236}">
              <a16:creationId xmlns:a16="http://schemas.microsoft.com/office/drawing/2014/main" id="{00000000-0008-0000-1500-00005E000000}"/>
            </a:ext>
          </a:extLst>
        </xdr:cNvPr>
        <xdr:cNvSpPr txBox="1"/>
      </xdr:nvSpPr>
      <xdr:spPr>
        <a:xfrm>
          <a:off x="707009" y="24385357"/>
          <a:ext cx="5881798" cy="1567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Base reguladora</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La base reguladora sobre la que se calcula la pensión considera el promedio de tus últimas bases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A partir del año 2022, año de finalización del periodo transitorio de adaptación a las reformas legislativas, se considera el promedio de las bases de cotización</a:t>
          </a:r>
          <a:r>
            <a:rPr lang="es-ES" sz="1000" baseline="0">
              <a:effectLst/>
              <a:latin typeface="Arial" panose="020B0604020202020204" pitchFamily="34" charset="0"/>
              <a:ea typeface="Calibri" panose="020F0502020204030204" pitchFamily="34" charset="0"/>
              <a:cs typeface="Times New Roman" panose="02020603050405020304" pitchFamily="18" charset="0"/>
            </a:rPr>
            <a:t> de los últimos 25 años previos al acceso a la jubilación. </a:t>
          </a:r>
        </a:p>
        <a:p>
          <a:pPr>
            <a:lnSpc>
              <a:spcPct val="107000"/>
            </a:lnSpc>
            <a:spcAft>
              <a:spcPts val="800"/>
            </a:spcAft>
          </a:pPr>
          <a:r>
            <a:rPr lang="es-ES" sz="1000">
              <a:solidFill>
                <a:schemeClr val="dk1"/>
              </a:solidFill>
              <a:effectLst/>
              <a:latin typeface="Arial" panose="020B0604020202020204" pitchFamily="34" charset="0"/>
              <a:ea typeface="Calibri" panose="020F0502020204030204" pitchFamily="34" charset="0"/>
              <a:cs typeface="Times New Roman" panose="02020603050405020304" pitchFamily="18" charset="0"/>
            </a:rPr>
            <a:t>La base reguladora mensual está sujeta a los límites máximo de 4.139,40 € en 2022.</a:t>
          </a:r>
          <a:endParaRPr lang="en-US" sz="1000">
            <a:solidFill>
              <a:schemeClr val="dk1"/>
            </a:solidFill>
            <a:effectLst/>
            <a:latin typeface="Arial" panose="020B060402020202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87007</xdr:colOff>
      <xdr:row>151</xdr:row>
      <xdr:rowOff>64905</xdr:rowOff>
    </xdr:from>
    <xdr:to>
      <xdr:col>9</xdr:col>
      <xdr:colOff>600530</xdr:colOff>
      <xdr:row>162</xdr:row>
      <xdr:rowOff>86019</xdr:rowOff>
    </xdr:to>
    <xdr:sp macro="" textlink="">
      <xdr:nvSpPr>
        <xdr:cNvPr id="95" name="Rectangle 94">
          <a:extLst>
            <a:ext uri="{FF2B5EF4-FFF2-40B4-BE49-F238E27FC236}">
              <a16:creationId xmlns:a16="http://schemas.microsoft.com/office/drawing/2014/main" id="{00000000-0008-0000-1500-00005F000000}"/>
            </a:ext>
          </a:extLst>
        </xdr:cNvPr>
        <xdr:cNvSpPr/>
      </xdr:nvSpPr>
      <xdr:spPr>
        <a:xfrm>
          <a:off x="696607" y="28008534"/>
          <a:ext cx="5930980" cy="2056742"/>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83800</xdr:colOff>
      <xdr:row>176</xdr:row>
      <xdr:rowOff>99771</xdr:rowOff>
    </xdr:from>
    <xdr:to>
      <xdr:col>9</xdr:col>
      <xdr:colOff>597323</xdr:colOff>
      <xdr:row>181</xdr:row>
      <xdr:rowOff>33</xdr:rowOff>
    </xdr:to>
    <xdr:sp macro="" textlink="">
      <xdr:nvSpPr>
        <xdr:cNvPr id="99" name="Rectangle 98">
          <a:extLst>
            <a:ext uri="{FF2B5EF4-FFF2-40B4-BE49-F238E27FC236}">
              <a16:creationId xmlns:a16="http://schemas.microsoft.com/office/drawing/2014/main" id="{00000000-0008-0000-1500-000063000000}"/>
            </a:ext>
          </a:extLst>
        </xdr:cNvPr>
        <xdr:cNvSpPr/>
      </xdr:nvSpPr>
      <xdr:spPr>
        <a:xfrm>
          <a:off x="691935" y="32338233"/>
          <a:ext cx="5920792" cy="816127"/>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47175</xdr:colOff>
      <xdr:row>177</xdr:row>
      <xdr:rowOff>11404</xdr:rowOff>
    </xdr:from>
    <xdr:to>
      <xdr:col>9</xdr:col>
      <xdr:colOff>569008</xdr:colOff>
      <xdr:row>181</xdr:row>
      <xdr:rowOff>51001</xdr:rowOff>
    </xdr:to>
    <xdr:sp macro="" textlink="">
      <xdr:nvSpPr>
        <xdr:cNvPr id="100" name="TextBox 99">
          <a:extLst>
            <a:ext uri="{FF2B5EF4-FFF2-40B4-BE49-F238E27FC236}">
              <a16:creationId xmlns:a16="http://schemas.microsoft.com/office/drawing/2014/main" id="{00000000-0008-0000-1500-000064000000}"/>
            </a:ext>
          </a:extLst>
        </xdr:cNvPr>
        <xdr:cNvSpPr txBox="1"/>
      </xdr:nvSpPr>
      <xdr:spPr>
        <a:xfrm>
          <a:off x="659763" y="33068757"/>
          <a:ext cx="5938010" cy="786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_tradnl" sz="1000" b="1">
              <a:solidFill>
                <a:srgbClr val="7030A0"/>
              </a:solidFill>
              <a:effectLst/>
              <a:latin typeface="Arial" panose="020B0604020202020204" pitchFamily="34" charset="0"/>
              <a:ea typeface="Calibri" panose="020F0502020204030204" pitchFamily="34" charset="0"/>
              <a:cs typeface="Times New Roman" panose="02020603050405020304" pitchFamily="18" charset="0"/>
            </a:rPr>
            <a:t>Pensión máxima de la Seguridad Social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r>
            <a:rPr lang="es-ES" sz="1000">
              <a:effectLst/>
              <a:latin typeface="Arial" panose="020B0604020202020204" pitchFamily="34" charset="0"/>
              <a:ea typeface="Calibri" panose="020F0502020204030204" pitchFamily="34" charset="0"/>
            </a:rPr>
            <a:t>La pensión de la Seguridad Social está sujeta al</a:t>
          </a:r>
          <a:r>
            <a:rPr lang="es-ES_tradnl" sz="1000">
              <a:effectLst/>
              <a:latin typeface="Arial" panose="020B0604020202020204" pitchFamily="34" charset="0"/>
              <a:ea typeface="Calibri" panose="020F0502020204030204" pitchFamily="34" charset="0"/>
            </a:rPr>
            <a:t> límite de máximo que </a:t>
          </a:r>
          <a:r>
            <a:rPr lang="es-ES_tradnl" sz="1000">
              <a:solidFill>
                <a:sysClr val="windowText" lastClr="000000"/>
              </a:solidFill>
              <a:effectLst/>
              <a:latin typeface="Arial" panose="020B0604020202020204" pitchFamily="34" charset="0"/>
              <a:ea typeface="Calibri" panose="020F0502020204030204" pitchFamily="34" charset="0"/>
            </a:rPr>
            <a:t>en 2022 se sitúa en </a:t>
          </a:r>
          <a:r>
            <a:rPr lang="es-ES" sz="1000" b="0" i="0" u="none" strike="noStrike">
              <a:solidFill>
                <a:sysClr val="windowText" lastClr="000000"/>
              </a:solidFill>
              <a:effectLst/>
              <a:latin typeface="Arial" panose="020B0604020202020204" pitchFamily="34" charset="0"/>
              <a:ea typeface="+mn-ea"/>
              <a:cs typeface="Arial" panose="020B0604020202020204" pitchFamily="34" charset="0"/>
            </a:rPr>
            <a:t>39.468,52</a:t>
          </a:r>
          <a:r>
            <a:rPr lang="es-ES" sz="1000" b="0" i="0" u="none" strike="noStrike">
              <a:solidFill>
                <a:sysClr val="windowText" lastClr="000000"/>
              </a:solidFill>
              <a:effectLst/>
              <a:latin typeface="+mn-lt"/>
              <a:ea typeface="+mn-ea"/>
              <a:cs typeface="+mn-cs"/>
            </a:rPr>
            <a:t> </a:t>
          </a:r>
          <a:r>
            <a:rPr lang="es-ES_tradnl" sz="1000">
              <a:solidFill>
                <a:sysClr val="windowText" lastClr="000000"/>
              </a:solidFill>
              <a:effectLst/>
              <a:latin typeface="Arial" panose="020B0604020202020204" pitchFamily="34" charset="0"/>
              <a:ea typeface="Calibri" panose="020F0502020204030204" pitchFamily="34" charset="0"/>
            </a:rPr>
            <a:t>Euros al año.</a:t>
          </a:r>
          <a:endParaRPr lang="en-US" sz="10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37992</xdr:colOff>
      <xdr:row>297</xdr:row>
      <xdr:rowOff>97118</xdr:rowOff>
    </xdr:from>
    <xdr:to>
      <xdr:col>10</xdr:col>
      <xdr:colOff>42144</xdr:colOff>
      <xdr:row>343</xdr:row>
      <xdr:rowOff>7286</xdr:rowOff>
    </xdr:to>
    <xdr:sp macro="" textlink="">
      <xdr:nvSpPr>
        <xdr:cNvPr id="101" name="TextBox 100">
          <a:extLst>
            <a:ext uri="{FF2B5EF4-FFF2-40B4-BE49-F238E27FC236}">
              <a16:creationId xmlns:a16="http://schemas.microsoft.com/office/drawing/2014/main" id="{00000000-0008-0000-1500-000065000000}"/>
            </a:ext>
          </a:extLst>
        </xdr:cNvPr>
        <xdr:cNvSpPr txBox="1"/>
      </xdr:nvSpPr>
      <xdr:spPr>
        <a:xfrm>
          <a:off x="648906" y="54724635"/>
          <a:ext cx="6087014" cy="88176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indent="0" algn="ctr">
            <a:lnSpc>
              <a:spcPct val="107000"/>
            </a:lnSpc>
            <a:spcBef>
              <a:spcPts val="200"/>
            </a:spcBef>
            <a:spcAft>
              <a:spcPts val="0"/>
            </a:spcAft>
          </a:pPr>
          <a:r>
            <a:rPr lang="es-E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rPr>
            <a:t>Tercer Pilar de la Previsión Social: El</a:t>
          </a:r>
          <a:r>
            <a:rPr lang="es-ES" sz="1600" b="1" i="1" baseline="0">
              <a:solidFill>
                <a:srgbClr val="00A3A1"/>
              </a:solidFill>
              <a:effectLst/>
              <a:latin typeface="Arial" panose="020B0604020202020204" pitchFamily="34" charset="0"/>
              <a:ea typeface="Times New Roman" panose="02020603050405020304" pitchFamily="18" charset="0"/>
              <a:cs typeface="Arial" panose="020B0604020202020204" pitchFamily="34" charset="0"/>
            </a:rPr>
            <a:t> a</a:t>
          </a:r>
          <a:r>
            <a:rPr lang="es-E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rPr>
            <a:t>horro individual</a:t>
          </a:r>
          <a:endParaRPr lang="en-U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endParaRPr>
        </a:p>
        <a:p>
          <a:pPr marL="0" indent="0" algn="ctr">
            <a:lnSpc>
              <a:spcPct val="107000"/>
            </a:lnSpc>
            <a:spcBef>
              <a:spcPts val="1200"/>
            </a:spcBef>
            <a:spcAft>
              <a:spcPts val="800"/>
            </a:spcAft>
          </a:pPr>
          <a:r>
            <a:rPr kumimoji="0" lang="es-ES" sz="1400" b="1" i="1" u="none" strike="noStrike" kern="0" cap="none" spc="0" normalizeH="0" baseline="0">
              <a:ln>
                <a:noFill/>
              </a:ln>
              <a:solidFill>
                <a:srgbClr val="00A3A1"/>
              </a:solidFill>
              <a:effectLst/>
              <a:uLnTx/>
              <a:uFillTx/>
              <a:latin typeface="Arial" panose="020B0604020202020204" pitchFamily="34" charset="0"/>
              <a:ea typeface="Times New Roman" panose="02020603050405020304" pitchFamily="18" charset="0"/>
              <a:cs typeface="Arial" panose="020B0604020202020204" pitchFamily="34" charset="0"/>
            </a:rPr>
            <a:t>¿Qué he de hacer a nivel individual para planificar mi jubilación correctamente?</a:t>
          </a:r>
          <a:endParaRPr kumimoji="0" lang="en-US" sz="1400" b="1" i="1" u="none" strike="noStrike" kern="0" cap="none" spc="0" normalizeH="0" baseline="0">
            <a:ln>
              <a:noFill/>
            </a:ln>
            <a:solidFill>
              <a:srgbClr val="00A3A1"/>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Guía para la planificación de la jubilación: a continuación se detallan las distintas fases en la toma de decisiones relativas al acceso a tu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la correcta planificación de la jubilación, el punto de partida es la información. Disponer de información transparente sobre el importe de prestación que la Seguridad Social va a otorgar, llegado el momento de la jubilación, sería el punto de partida para iniciar mi planificación de la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acceder a la jubilación con un poder adquisitivo que garantice el nivel de recursos suficiente para afrontar el periodo de retiro, es necesario plantearse qué objetivo de ahorro he de alcanzar para ese propósito.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r>
            <a:rPr lang="es-ES" sz="1000">
              <a:effectLst/>
              <a:latin typeface="Arial" panose="020B0604020202020204" pitchFamily="34" charset="0"/>
              <a:ea typeface="Calibri" panose="020F0502020204030204" pitchFamily="34" charset="0"/>
              <a:cs typeface="Arial" panose="020B0604020202020204" pitchFamily="34" charset="0"/>
            </a:rPr>
            <a:t>De igual modo, la información de la cobertura ofrecida por los distintos vehículos que la empresa ha contratado a favor de los empleados, llegado el momento de acceso a la jubilación, forma parte, junto con la pensión de la Seguridad Social, de la foto de prestaciones a percibir llegada la jubilación y sobre la cual construir el posible ahorro complementario.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Una vez conocida la cobertura que van a proporcionar el ahorro derivado del primer pilar (Seguridad Social) y segundo pilar (ahorro de la empresa), ya es posible comparar el nivel de ingresos esperado en la jubilación con mi objetivo de ingreso en la jubilación. A partir de ahí, y en función de la diferencia que haya entre mis ahorros de jubilación y el mencionado objetivo, podré hacer simulaciones para conocer las cantidades a destinar para el ahorro, así como el momento más adecuado para empezar a ahorrar, tal y como se explica en el siguiente apartado.</a:t>
          </a:r>
        </a:p>
        <a:p>
          <a:pPr>
            <a:lnSpc>
              <a:spcPct val="107000"/>
            </a:lnSpc>
            <a:spcAft>
              <a:spcPts val="6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spcAft>
              <a:spcPts val="800"/>
            </a:spcAf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Si con la cobertura que van a proporcionar la Seguridad Social y el ahorro de la empresa no es suficiente para alcanzar mi objetivo de cobertura propuesto, es conveniente analizar otras vías que complementen dicho ahorro.</a:t>
          </a:r>
        </a:p>
        <a:p>
          <a:pPr eaLnBrk="1" fontAlgn="auto" latinLnBrk="0" hangingPunct="1">
            <a:spcAft>
              <a:spcPts val="800"/>
            </a:spcAf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Además, hay que tener en cuenta que el importe de la pensión pública podría reducirse por la implementación de reformas futuras y es una tarea a abordar, no solo por parte del Estado y de la empresa, sino a nivel individual, el garantizar el acceso a la jubilación con recursos suficientes. En este sentido, es posible contratar un vehículo de ahorro individual en el que realizar las aportaciones necesarias para alcanzar la cobertura deseada.</a:t>
          </a:r>
        </a:p>
        <a:p>
          <a:pPr>
            <a:lnSpc>
              <a:spcPct val="107000"/>
            </a:lnSpc>
            <a:spcAft>
              <a:spcPts val="600"/>
            </a:spcAft>
          </a:pPr>
          <a:endParaRPr lang="en-US" sz="1000">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53640</xdr:colOff>
      <xdr:row>304</xdr:row>
      <xdr:rowOff>94247</xdr:rowOff>
    </xdr:from>
    <xdr:to>
      <xdr:col>9</xdr:col>
      <xdr:colOff>71470</xdr:colOff>
      <xdr:row>305</xdr:row>
      <xdr:rowOff>105726</xdr:rowOff>
    </xdr:to>
    <xdr:sp macro="" textlink="">
      <xdr:nvSpPr>
        <xdr:cNvPr id="102" name="Rectangle 101">
          <a:extLst>
            <a:ext uri="{FF2B5EF4-FFF2-40B4-BE49-F238E27FC236}">
              <a16:creationId xmlns:a16="http://schemas.microsoft.com/office/drawing/2014/main" id="{00000000-0008-0000-1500-000066000000}"/>
            </a:ext>
          </a:extLst>
        </xdr:cNvPr>
        <xdr:cNvSpPr/>
      </xdr:nvSpPr>
      <xdr:spPr>
        <a:xfrm>
          <a:off x="664554" y="56455971"/>
          <a:ext cx="5424088" cy="195410"/>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sistema</a:t>
          </a:r>
          <a:r>
            <a:rPr lang="en-US" sz="1000" baseline="0">
              <a:latin typeface="Arial" panose="020B0604020202020204" pitchFamily="34" charset="0"/>
              <a:cs typeface="Arial" panose="020B0604020202020204" pitchFamily="34" charset="0"/>
            </a:rPr>
            <a:t> público</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46431</xdr:colOff>
      <xdr:row>309</xdr:row>
      <xdr:rowOff>97692</xdr:rowOff>
    </xdr:from>
    <xdr:to>
      <xdr:col>9</xdr:col>
      <xdr:colOff>54736</xdr:colOff>
      <xdr:row>310</xdr:row>
      <xdr:rowOff>125047</xdr:rowOff>
    </xdr:to>
    <xdr:sp macro="" textlink="">
      <xdr:nvSpPr>
        <xdr:cNvPr id="103" name="Rectangle 102">
          <a:extLst>
            <a:ext uri="{FF2B5EF4-FFF2-40B4-BE49-F238E27FC236}">
              <a16:creationId xmlns:a16="http://schemas.microsoft.com/office/drawing/2014/main" id="{00000000-0008-0000-1500-000067000000}"/>
            </a:ext>
          </a:extLst>
        </xdr:cNvPr>
        <xdr:cNvSpPr/>
      </xdr:nvSpPr>
      <xdr:spPr>
        <a:xfrm>
          <a:off x="657345" y="57379071"/>
          <a:ext cx="5414563" cy="211286"/>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Plantearse un objetivo</a:t>
          </a:r>
        </a:p>
      </xdr:txBody>
    </xdr:sp>
    <xdr:clientData/>
  </xdr:twoCellAnchor>
  <xdr:twoCellAnchor>
    <xdr:from>
      <xdr:col>1</xdr:col>
      <xdr:colOff>53222</xdr:colOff>
      <xdr:row>314</xdr:row>
      <xdr:rowOff>72631</xdr:rowOff>
    </xdr:from>
    <xdr:to>
      <xdr:col>9</xdr:col>
      <xdr:colOff>80577</xdr:colOff>
      <xdr:row>315</xdr:row>
      <xdr:rowOff>90458</xdr:rowOff>
    </xdr:to>
    <xdr:sp macro="" textlink="">
      <xdr:nvSpPr>
        <xdr:cNvPr id="104" name="Rectangle 103">
          <a:extLst>
            <a:ext uri="{FF2B5EF4-FFF2-40B4-BE49-F238E27FC236}">
              <a16:creationId xmlns:a16="http://schemas.microsoft.com/office/drawing/2014/main" id="{00000000-0008-0000-1500-000068000000}"/>
            </a:ext>
          </a:extLst>
        </xdr:cNvPr>
        <xdr:cNvSpPr/>
      </xdr:nvSpPr>
      <xdr:spPr>
        <a:xfrm>
          <a:off x="664136" y="58273665"/>
          <a:ext cx="5433613" cy="201759"/>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ahorro privado</a:t>
          </a:r>
        </a:p>
      </xdr:txBody>
    </xdr:sp>
    <xdr:clientData/>
  </xdr:twoCellAnchor>
  <xdr:twoCellAnchor>
    <xdr:from>
      <xdr:col>1</xdr:col>
      <xdr:colOff>47430</xdr:colOff>
      <xdr:row>320</xdr:row>
      <xdr:rowOff>34632</xdr:rowOff>
    </xdr:from>
    <xdr:to>
      <xdr:col>9</xdr:col>
      <xdr:colOff>62085</xdr:colOff>
      <xdr:row>321</xdr:row>
      <xdr:rowOff>55185</xdr:rowOff>
    </xdr:to>
    <xdr:sp macro="" textlink="">
      <xdr:nvSpPr>
        <xdr:cNvPr id="105" name="Rectangle 104">
          <a:extLst>
            <a:ext uri="{FF2B5EF4-FFF2-40B4-BE49-F238E27FC236}">
              <a16:creationId xmlns:a16="http://schemas.microsoft.com/office/drawing/2014/main" id="{00000000-0008-0000-1500-000069000000}"/>
            </a:ext>
          </a:extLst>
        </xdr:cNvPr>
        <xdr:cNvSpPr/>
      </xdr:nvSpPr>
      <xdr:spPr>
        <a:xfrm>
          <a:off x="658344" y="59339253"/>
          <a:ext cx="5420913" cy="20448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Analizar el grado de cumplimiento del objetivo</a:t>
          </a:r>
        </a:p>
      </xdr:txBody>
    </xdr:sp>
    <xdr:clientData/>
  </xdr:twoCellAnchor>
  <xdr:twoCellAnchor>
    <xdr:from>
      <xdr:col>2</xdr:col>
      <xdr:colOff>9775</xdr:colOff>
      <xdr:row>355</xdr:row>
      <xdr:rowOff>71682</xdr:rowOff>
    </xdr:from>
    <xdr:to>
      <xdr:col>9</xdr:col>
      <xdr:colOff>437412</xdr:colOff>
      <xdr:row>359</xdr:row>
      <xdr:rowOff>55958</xdr:rowOff>
    </xdr:to>
    <xdr:sp macro="" textlink="">
      <xdr:nvSpPr>
        <xdr:cNvPr id="107" name="Rectangular Callout 66">
          <a:extLst>
            <a:ext uri="{FF2B5EF4-FFF2-40B4-BE49-F238E27FC236}">
              <a16:creationId xmlns:a16="http://schemas.microsoft.com/office/drawing/2014/main" id="{00000000-0008-0000-1500-00006B000000}"/>
            </a:ext>
          </a:extLst>
        </xdr:cNvPr>
        <xdr:cNvSpPr/>
      </xdr:nvSpPr>
      <xdr:spPr>
        <a:xfrm>
          <a:off x="1291987" y="65698932"/>
          <a:ext cx="5160829" cy="716968"/>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7550</xdr:colOff>
      <xdr:row>373</xdr:row>
      <xdr:rowOff>108754</xdr:rowOff>
    </xdr:from>
    <xdr:to>
      <xdr:col>9</xdr:col>
      <xdr:colOff>438362</xdr:colOff>
      <xdr:row>378</xdr:row>
      <xdr:rowOff>72978</xdr:rowOff>
    </xdr:to>
    <xdr:sp macro="" textlink="">
      <xdr:nvSpPr>
        <xdr:cNvPr id="109" name="Rectangular Callout 68">
          <a:extLst>
            <a:ext uri="{FF2B5EF4-FFF2-40B4-BE49-F238E27FC236}">
              <a16:creationId xmlns:a16="http://schemas.microsoft.com/office/drawing/2014/main" id="{00000000-0008-0000-1500-00006D000000}"/>
            </a:ext>
          </a:extLst>
        </xdr:cNvPr>
        <xdr:cNvSpPr/>
      </xdr:nvSpPr>
      <xdr:spPr>
        <a:xfrm>
          <a:off x="1294587" y="68298461"/>
          <a:ext cx="5174726" cy="870261"/>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53487</xdr:colOff>
      <xdr:row>327</xdr:row>
      <xdr:rowOff>48113</xdr:rowOff>
    </xdr:from>
    <xdr:to>
      <xdr:col>9</xdr:col>
      <xdr:colOff>71317</xdr:colOff>
      <xdr:row>328</xdr:row>
      <xdr:rowOff>50066</xdr:rowOff>
    </xdr:to>
    <xdr:sp macro="" textlink="">
      <xdr:nvSpPr>
        <xdr:cNvPr id="111" name="Rectangle 110">
          <a:extLst>
            <a:ext uri="{FF2B5EF4-FFF2-40B4-BE49-F238E27FC236}">
              <a16:creationId xmlns:a16="http://schemas.microsoft.com/office/drawing/2014/main" id="{00000000-0008-0000-1500-00006F000000}"/>
            </a:ext>
          </a:extLst>
        </xdr:cNvPr>
        <xdr:cNvSpPr/>
      </xdr:nvSpPr>
      <xdr:spPr>
        <a:xfrm>
          <a:off x="664401" y="60640251"/>
          <a:ext cx="5424088" cy="18588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El ahorro individual</a:t>
          </a:r>
        </a:p>
      </xdr:txBody>
    </xdr:sp>
    <xdr:clientData/>
  </xdr:twoCellAnchor>
  <xdr:twoCellAnchor>
    <xdr:from>
      <xdr:col>1</xdr:col>
      <xdr:colOff>224204</xdr:colOff>
      <xdr:row>1</xdr:row>
      <xdr:rowOff>29309</xdr:rowOff>
    </xdr:from>
    <xdr:to>
      <xdr:col>2</xdr:col>
      <xdr:colOff>197827</xdr:colOff>
      <xdr:row>2</xdr:row>
      <xdr:rowOff>88199</xdr:rowOff>
    </xdr:to>
    <xdr:sp macro="" textlink="">
      <xdr:nvSpPr>
        <xdr:cNvPr id="112" name="Freeform 71">
          <a:extLst>
            <a:ext uri="{FF2B5EF4-FFF2-40B4-BE49-F238E27FC236}">
              <a16:creationId xmlns:a16="http://schemas.microsoft.com/office/drawing/2014/main" id="{00000000-0008-0000-1500-000070000000}"/>
            </a:ext>
          </a:extLst>
        </xdr:cNvPr>
        <xdr:cNvSpPr>
          <a:spLocks noEditPoints="1"/>
        </xdr:cNvSpPr>
      </xdr:nvSpPr>
      <xdr:spPr bwMode="auto">
        <a:xfrm>
          <a:off x="805229" y="219809"/>
          <a:ext cx="621323" cy="249390"/>
        </a:xfrm>
        <a:custGeom>
          <a:avLst/>
          <a:gdLst>
            <a:gd name="T0" fmla="*/ 269 w 283"/>
            <a:gd name="T1" fmla="*/ 77 h 114"/>
            <a:gd name="T2" fmla="*/ 222 w 283"/>
            <a:gd name="T3" fmla="*/ 87 h 114"/>
            <a:gd name="T4" fmla="*/ 244 w 283"/>
            <a:gd name="T5" fmla="*/ 60 h 114"/>
            <a:gd name="T6" fmla="*/ 269 w 283"/>
            <a:gd name="T7" fmla="*/ 56 h 114"/>
            <a:gd name="T8" fmla="*/ 222 w 283"/>
            <a:gd name="T9" fmla="*/ 2 h 114"/>
            <a:gd name="T10" fmla="*/ 281 w 283"/>
            <a:gd name="T11" fmla="*/ 87 h 114"/>
            <a:gd name="T12" fmla="*/ 222 w 283"/>
            <a:gd name="T13" fmla="*/ 89 h 114"/>
            <a:gd name="T14" fmla="*/ 246 w 283"/>
            <a:gd name="T15" fmla="*/ 101 h 114"/>
            <a:gd name="T16" fmla="*/ 205 w 283"/>
            <a:gd name="T17" fmla="*/ 82 h 114"/>
            <a:gd name="T18" fmla="*/ 203 w 283"/>
            <a:gd name="T19" fmla="*/ 52 h 114"/>
            <a:gd name="T20" fmla="*/ 154 w 283"/>
            <a:gd name="T21" fmla="*/ 87 h 114"/>
            <a:gd name="T22" fmla="*/ 213 w 283"/>
            <a:gd name="T23" fmla="*/ 53 h 114"/>
            <a:gd name="T24" fmla="*/ 171 w 283"/>
            <a:gd name="T25" fmla="*/ 87 h 114"/>
            <a:gd name="T26" fmla="*/ 180 w 283"/>
            <a:gd name="T27" fmla="*/ 87 h 114"/>
            <a:gd name="T28" fmla="*/ 120 w 283"/>
            <a:gd name="T29" fmla="*/ 87 h 114"/>
            <a:gd name="T30" fmla="*/ 117 w 283"/>
            <a:gd name="T31" fmla="*/ 56 h 114"/>
            <a:gd name="T32" fmla="*/ 86 w 283"/>
            <a:gd name="T33" fmla="*/ 2 h 114"/>
            <a:gd name="T34" fmla="*/ 145 w 283"/>
            <a:gd name="T35" fmla="*/ 52 h 114"/>
            <a:gd name="T36" fmla="*/ 142 w 283"/>
            <a:gd name="T37" fmla="*/ 87 h 114"/>
            <a:gd name="T38" fmla="*/ 93 w 283"/>
            <a:gd name="T39" fmla="*/ 79 h 114"/>
            <a:gd name="T40" fmla="*/ 89 w 283"/>
            <a:gd name="T41" fmla="*/ 79 h 114"/>
            <a:gd name="T42" fmla="*/ 87 w 283"/>
            <a:gd name="T43" fmla="*/ 69 h 114"/>
            <a:gd name="T44" fmla="*/ 95 w 283"/>
            <a:gd name="T45" fmla="*/ 62 h 114"/>
            <a:gd name="T46" fmla="*/ 93 w 283"/>
            <a:gd name="T47" fmla="*/ 79 h 114"/>
            <a:gd name="T48" fmla="*/ 67 w 283"/>
            <a:gd name="T49" fmla="*/ 86 h 114"/>
            <a:gd name="T50" fmla="*/ 37 w 283"/>
            <a:gd name="T51" fmla="*/ 82 h 114"/>
            <a:gd name="T52" fmla="*/ 25 w 283"/>
            <a:gd name="T53" fmla="*/ 77 h 114"/>
            <a:gd name="T54" fmla="*/ 18 w 283"/>
            <a:gd name="T55" fmla="*/ 2 h 114"/>
            <a:gd name="T56" fmla="*/ 76 w 283"/>
            <a:gd name="T57" fmla="*/ 55 h 114"/>
            <a:gd name="T58" fmla="*/ 22 w 283"/>
            <a:gd name="T59" fmla="*/ 87 h 114"/>
            <a:gd name="T60" fmla="*/ 220 w 283"/>
            <a:gd name="T61" fmla="*/ 0 h 114"/>
            <a:gd name="T62" fmla="*/ 215 w 283"/>
            <a:gd name="T63" fmla="*/ 0 h 114"/>
            <a:gd name="T64" fmla="*/ 147 w 283"/>
            <a:gd name="T65" fmla="*/ 52 h 114"/>
            <a:gd name="T66" fmla="*/ 84 w 283"/>
            <a:gd name="T67" fmla="*/ 52 h 114"/>
            <a:gd name="T68" fmla="*/ 16 w 283"/>
            <a:gd name="T69" fmla="*/ 0 h 114"/>
            <a:gd name="T70" fmla="*/ 14 w 283"/>
            <a:gd name="T71" fmla="*/ 113 h 114"/>
            <a:gd name="T72" fmla="*/ 35 w 283"/>
            <a:gd name="T73" fmla="*/ 113 h 114"/>
            <a:gd name="T74" fmla="*/ 66 w 283"/>
            <a:gd name="T75" fmla="*/ 89 h 114"/>
            <a:gd name="T76" fmla="*/ 81 w 283"/>
            <a:gd name="T77" fmla="*/ 89 h 114"/>
            <a:gd name="T78" fmla="*/ 90 w 283"/>
            <a:gd name="T79" fmla="*/ 89 h 114"/>
            <a:gd name="T80" fmla="*/ 112 w 283"/>
            <a:gd name="T81" fmla="*/ 113 h 114"/>
            <a:gd name="T82" fmla="*/ 142 w 283"/>
            <a:gd name="T83" fmla="*/ 89 h 114"/>
            <a:gd name="T84" fmla="*/ 170 w 283"/>
            <a:gd name="T85" fmla="*/ 89 h 114"/>
            <a:gd name="T86" fmla="*/ 190 w 283"/>
            <a:gd name="T87" fmla="*/ 113 h 114"/>
            <a:gd name="T88" fmla="*/ 210 w 283"/>
            <a:gd name="T89" fmla="*/ 108 h 114"/>
            <a:gd name="T90" fmla="*/ 266 w 283"/>
            <a:gd name="T91" fmla="*/ 89 h 114"/>
            <a:gd name="T92" fmla="*/ 220 w 283"/>
            <a:gd name="T93" fmla="*/ 0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83" h="114">
              <a:moveTo>
                <a:pt x="281" y="87"/>
              </a:moveTo>
              <a:cubicBezTo>
                <a:pt x="266" y="87"/>
                <a:pt x="266" y="87"/>
                <a:pt x="266" y="87"/>
              </a:cubicBezTo>
              <a:cubicBezTo>
                <a:pt x="269" y="77"/>
                <a:pt x="269" y="77"/>
                <a:pt x="269" y="77"/>
              </a:cubicBezTo>
              <a:cubicBezTo>
                <a:pt x="239" y="77"/>
                <a:pt x="239" y="77"/>
                <a:pt x="239" y="77"/>
              </a:cubicBezTo>
              <a:cubicBezTo>
                <a:pt x="237" y="87"/>
                <a:pt x="237" y="87"/>
                <a:pt x="237" y="87"/>
              </a:cubicBezTo>
              <a:cubicBezTo>
                <a:pt x="222" y="87"/>
                <a:pt x="222" y="87"/>
                <a:pt x="222" y="87"/>
              </a:cubicBezTo>
              <a:cubicBezTo>
                <a:pt x="222" y="85"/>
                <a:pt x="222" y="85"/>
                <a:pt x="222" y="85"/>
              </a:cubicBezTo>
              <a:cubicBezTo>
                <a:pt x="223" y="84"/>
                <a:pt x="223" y="83"/>
                <a:pt x="223" y="81"/>
              </a:cubicBezTo>
              <a:cubicBezTo>
                <a:pt x="226" y="71"/>
                <a:pt x="233" y="60"/>
                <a:pt x="244" y="60"/>
              </a:cubicBezTo>
              <a:cubicBezTo>
                <a:pt x="249" y="60"/>
                <a:pt x="254" y="62"/>
                <a:pt x="253" y="69"/>
              </a:cubicBezTo>
              <a:cubicBezTo>
                <a:pt x="271" y="69"/>
                <a:pt x="271" y="69"/>
                <a:pt x="271" y="69"/>
              </a:cubicBezTo>
              <a:cubicBezTo>
                <a:pt x="272" y="66"/>
                <a:pt x="273" y="61"/>
                <a:pt x="269" y="56"/>
              </a:cubicBezTo>
              <a:cubicBezTo>
                <a:pt x="266" y="51"/>
                <a:pt x="258" y="48"/>
                <a:pt x="248" y="48"/>
              </a:cubicBezTo>
              <a:cubicBezTo>
                <a:pt x="241" y="48"/>
                <a:pt x="231" y="50"/>
                <a:pt x="222" y="55"/>
              </a:cubicBezTo>
              <a:cubicBezTo>
                <a:pt x="222" y="2"/>
                <a:pt x="222" y="2"/>
                <a:pt x="222" y="2"/>
              </a:cubicBezTo>
              <a:cubicBezTo>
                <a:pt x="281" y="2"/>
                <a:pt x="281" y="2"/>
                <a:pt x="281" y="2"/>
              </a:cubicBezTo>
              <a:cubicBezTo>
                <a:pt x="281" y="87"/>
                <a:pt x="281" y="87"/>
                <a:pt x="281" y="87"/>
              </a:cubicBezTo>
              <a:cubicBezTo>
                <a:pt x="281" y="87"/>
                <a:pt x="281" y="87"/>
                <a:pt x="281" y="87"/>
              </a:cubicBezTo>
              <a:close/>
              <a:moveTo>
                <a:pt x="246" y="101"/>
              </a:moveTo>
              <a:cubicBezTo>
                <a:pt x="243" y="102"/>
                <a:pt x="240" y="102"/>
                <a:pt x="237" y="102"/>
              </a:cubicBezTo>
              <a:cubicBezTo>
                <a:pt x="228" y="102"/>
                <a:pt x="222" y="98"/>
                <a:pt x="222" y="89"/>
              </a:cubicBezTo>
              <a:cubicBezTo>
                <a:pt x="249" y="89"/>
                <a:pt x="249" y="89"/>
                <a:pt x="249" y="89"/>
              </a:cubicBezTo>
              <a:cubicBezTo>
                <a:pt x="246" y="101"/>
                <a:pt x="246" y="101"/>
                <a:pt x="246" y="101"/>
              </a:cubicBezTo>
              <a:cubicBezTo>
                <a:pt x="246" y="101"/>
                <a:pt x="246" y="101"/>
                <a:pt x="246" y="101"/>
              </a:cubicBezTo>
              <a:close/>
              <a:moveTo>
                <a:pt x="213" y="53"/>
              </a:moveTo>
              <a:cubicBezTo>
                <a:pt x="213" y="65"/>
                <a:pt x="213" y="65"/>
                <a:pt x="213" y="65"/>
              </a:cubicBezTo>
              <a:cubicBezTo>
                <a:pt x="209" y="71"/>
                <a:pt x="206" y="77"/>
                <a:pt x="205" y="82"/>
              </a:cubicBezTo>
              <a:cubicBezTo>
                <a:pt x="204" y="83"/>
                <a:pt x="204" y="85"/>
                <a:pt x="204" y="87"/>
              </a:cubicBezTo>
              <a:cubicBezTo>
                <a:pt x="195" y="87"/>
                <a:pt x="195" y="87"/>
                <a:pt x="195" y="87"/>
              </a:cubicBezTo>
              <a:cubicBezTo>
                <a:pt x="203" y="52"/>
                <a:pt x="203" y="52"/>
                <a:pt x="203" y="52"/>
              </a:cubicBezTo>
              <a:cubicBezTo>
                <a:pt x="178" y="52"/>
                <a:pt x="178" y="52"/>
                <a:pt x="178" y="52"/>
              </a:cubicBezTo>
              <a:cubicBezTo>
                <a:pt x="156" y="87"/>
                <a:pt x="156" y="87"/>
                <a:pt x="156" y="87"/>
              </a:cubicBezTo>
              <a:cubicBezTo>
                <a:pt x="154" y="87"/>
                <a:pt x="154" y="87"/>
                <a:pt x="154" y="87"/>
              </a:cubicBezTo>
              <a:cubicBezTo>
                <a:pt x="154" y="2"/>
                <a:pt x="154" y="2"/>
                <a:pt x="154" y="2"/>
              </a:cubicBezTo>
              <a:cubicBezTo>
                <a:pt x="213" y="2"/>
                <a:pt x="213" y="2"/>
                <a:pt x="213" y="2"/>
              </a:cubicBezTo>
              <a:cubicBezTo>
                <a:pt x="213" y="53"/>
                <a:pt x="213" y="53"/>
                <a:pt x="213" y="53"/>
              </a:cubicBezTo>
              <a:cubicBezTo>
                <a:pt x="213" y="53"/>
                <a:pt x="213" y="53"/>
                <a:pt x="213" y="53"/>
              </a:cubicBezTo>
              <a:close/>
              <a:moveTo>
                <a:pt x="180" y="87"/>
              </a:moveTo>
              <a:cubicBezTo>
                <a:pt x="171" y="87"/>
                <a:pt x="171" y="87"/>
                <a:pt x="171" y="87"/>
              </a:cubicBezTo>
              <a:cubicBezTo>
                <a:pt x="185" y="66"/>
                <a:pt x="185" y="66"/>
                <a:pt x="185" y="66"/>
              </a:cubicBezTo>
              <a:cubicBezTo>
                <a:pt x="180" y="87"/>
                <a:pt x="180" y="87"/>
                <a:pt x="180" y="87"/>
              </a:cubicBezTo>
              <a:cubicBezTo>
                <a:pt x="180" y="87"/>
                <a:pt x="180" y="87"/>
                <a:pt x="180" y="87"/>
              </a:cubicBezTo>
              <a:close/>
              <a:moveTo>
                <a:pt x="145" y="52"/>
              </a:moveTo>
              <a:cubicBezTo>
                <a:pt x="130" y="52"/>
                <a:pt x="130" y="52"/>
                <a:pt x="130" y="52"/>
              </a:cubicBezTo>
              <a:cubicBezTo>
                <a:pt x="120" y="87"/>
                <a:pt x="120" y="87"/>
                <a:pt x="120" y="87"/>
              </a:cubicBezTo>
              <a:cubicBezTo>
                <a:pt x="104" y="87"/>
                <a:pt x="104" y="87"/>
                <a:pt x="104" y="87"/>
              </a:cubicBezTo>
              <a:cubicBezTo>
                <a:pt x="112" y="84"/>
                <a:pt x="117" y="78"/>
                <a:pt x="119" y="70"/>
              </a:cubicBezTo>
              <a:cubicBezTo>
                <a:pt x="120" y="64"/>
                <a:pt x="119" y="59"/>
                <a:pt x="117" y="56"/>
              </a:cubicBezTo>
              <a:cubicBezTo>
                <a:pt x="113" y="51"/>
                <a:pt x="105" y="52"/>
                <a:pt x="98" y="52"/>
              </a:cubicBezTo>
              <a:cubicBezTo>
                <a:pt x="97" y="52"/>
                <a:pt x="86" y="52"/>
                <a:pt x="86" y="52"/>
              </a:cubicBezTo>
              <a:cubicBezTo>
                <a:pt x="86" y="2"/>
                <a:pt x="86" y="2"/>
                <a:pt x="86" y="2"/>
              </a:cubicBezTo>
              <a:cubicBezTo>
                <a:pt x="145" y="2"/>
                <a:pt x="145" y="2"/>
                <a:pt x="145" y="2"/>
              </a:cubicBezTo>
              <a:cubicBezTo>
                <a:pt x="145" y="52"/>
                <a:pt x="145" y="52"/>
                <a:pt x="145" y="52"/>
              </a:cubicBezTo>
              <a:cubicBezTo>
                <a:pt x="145" y="52"/>
                <a:pt x="145" y="52"/>
                <a:pt x="145" y="52"/>
              </a:cubicBezTo>
              <a:close/>
              <a:moveTo>
                <a:pt x="135" y="87"/>
              </a:moveTo>
              <a:cubicBezTo>
                <a:pt x="141" y="65"/>
                <a:pt x="141" y="65"/>
                <a:pt x="141" y="65"/>
              </a:cubicBezTo>
              <a:cubicBezTo>
                <a:pt x="142" y="87"/>
                <a:pt x="142" y="87"/>
                <a:pt x="142" y="87"/>
              </a:cubicBezTo>
              <a:cubicBezTo>
                <a:pt x="135" y="87"/>
                <a:pt x="135" y="87"/>
                <a:pt x="135" y="87"/>
              </a:cubicBezTo>
              <a:cubicBezTo>
                <a:pt x="135" y="87"/>
                <a:pt x="135" y="87"/>
                <a:pt x="135" y="87"/>
              </a:cubicBezTo>
              <a:close/>
              <a:moveTo>
                <a:pt x="93" y="79"/>
              </a:moveTo>
              <a:cubicBezTo>
                <a:pt x="93" y="79"/>
                <a:pt x="93" y="79"/>
                <a:pt x="93" y="79"/>
              </a:cubicBezTo>
              <a:cubicBezTo>
                <a:pt x="92" y="79"/>
                <a:pt x="91" y="79"/>
                <a:pt x="91" y="79"/>
              </a:cubicBezTo>
              <a:cubicBezTo>
                <a:pt x="90" y="79"/>
                <a:pt x="89" y="79"/>
                <a:pt x="89" y="79"/>
              </a:cubicBezTo>
              <a:cubicBezTo>
                <a:pt x="85" y="79"/>
                <a:pt x="85" y="79"/>
                <a:pt x="85" y="79"/>
              </a:cubicBezTo>
              <a:cubicBezTo>
                <a:pt x="87" y="72"/>
                <a:pt x="87" y="72"/>
                <a:pt x="87" y="72"/>
              </a:cubicBezTo>
              <a:cubicBezTo>
                <a:pt x="87" y="69"/>
                <a:pt x="87" y="69"/>
                <a:pt x="87" y="69"/>
              </a:cubicBezTo>
              <a:cubicBezTo>
                <a:pt x="89" y="62"/>
                <a:pt x="89" y="62"/>
                <a:pt x="89" y="62"/>
              </a:cubicBezTo>
              <a:cubicBezTo>
                <a:pt x="90" y="62"/>
                <a:pt x="91" y="62"/>
                <a:pt x="92" y="62"/>
              </a:cubicBezTo>
              <a:cubicBezTo>
                <a:pt x="95" y="62"/>
                <a:pt x="95" y="62"/>
                <a:pt x="95" y="62"/>
              </a:cubicBezTo>
              <a:cubicBezTo>
                <a:pt x="100" y="62"/>
                <a:pt x="103" y="62"/>
                <a:pt x="104" y="63"/>
              </a:cubicBezTo>
              <a:cubicBezTo>
                <a:pt x="105" y="65"/>
                <a:pt x="105" y="67"/>
                <a:pt x="104" y="70"/>
              </a:cubicBezTo>
              <a:cubicBezTo>
                <a:pt x="102" y="75"/>
                <a:pt x="100" y="78"/>
                <a:pt x="93" y="79"/>
              </a:cubicBezTo>
              <a:moveTo>
                <a:pt x="76" y="55"/>
              </a:moveTo>
              <a:cubicBezTo>
                <a:pt x="75" y="58"/>
                <a:pt x="75" y="58"/>
                <a:pt x="75" y="58"/>
              </a:cubicBezTo>
              <a:cubicBezTo>
                <a:pt x="67" y="86"/>
                <a:pt x="67" y="86"/>
                <a:pt x="67" y="86"/>
              </a:cubicBezTo>
              <a:cubicBezTo>
                <a:pt x="67" y="87"/>
                <a:pt x="67" y="87"/>
                <a:pt x="67" y="87"/>
              </a:cubicBezTo>
              <a:cubicBezTo>
                <a:pt x="39" y="87"/>
                <a:pt x="39" y="87"/>
                <a:pt x="39" y="87"/>
              </a:cubicBezTo>
              <a:cubicBezTo>
                <a:pt x="37" y="82"/>
                <a:pt x="37" y="82"/>
                <a:pt x="37" y="82"/>
              </a:cubicBezTo>
              <a:cubicBezTo>
                <a:pt x="67" y="52"/>
                <a:pt x="67" y="52"/>
                <a:pt x="67" y="52"/>
              </a:cubicBezTo>
              <a:cubicBezTo>
                <a:pt x="48" y="52"/>
                <a:pt x="48" y="52"/>
                <a:pt x="48" y="52"/>
              </a:cubicBezTo>
              <a:cubicBezTo>
                <a:pt x="25" y="77"/>
                <a:pt x="25" y="77"/>
                <a:pt x="25" y="77"/>
              </a:cubicBezTo>
              <a:cubicBezTo>
                <a:pt x="32" y="52"/>
                <a:pt x="32" y="52"/>
                <a:pt x="32" y="52"/>
              </a:cubicBezTo>
              <a:cubicBezTo>
                <a:pt x="18" y="52"/>
                <a:pt x="18" y="52"/>
                <a:pt x="18" y="52"/>
              </a:cubicBezTo>
              <a:cubicBezTo>
                <a:pt x="18" y="2"/>
                <a:pt x="18" y="2"/>
                <a:pt x="18" y="2"/>
              </a:cubicBezTo>
              <a:cubicBezTo>
                <a:pt x="76" y="2"/>
                <a:pt x="76" y="2"/>
                <a:pt x="76" y="2"/>
              </a:cubicBezTo>
              <a:cubicBezTo>
                <a:pt x="76" y="55"/>
                <a:pt x="76" y="55"/>
                <a:pt x="76" y="55"/>
              </a:cubicBezTo>
              <a:cubicBezTo>
                <a:pt x="76" y="55"/>
                <a:pt x="76" y="55"/>
                <a:pt x="76" y="55"/>
              </a:cubicBezTo>
              <a:close/>
              <a:moveTo>
                <a:pt x="22" y="87"/>
              </a:moveTo>
              <a:cubicBezTo>
                <a:pt x="22" y="87"/>
                <a:pt x="22" y="87"/>
                <a:pt x="22" y="87"/>
              </a:cubicBezTo>
              <a:cubicBezTo>
                <a:pt x="22" y="87"/>
                <a:pt x="22" y="87"/>
                <a:pt x="22" y="87"/>
              </a:cubicBezTo>
              <a:cubicBezTo>
                <a:pt x="22" y="87"/>
                <a:pt x="22" y="87"/>
                <a:pt x="22" y="87"/>
              </a:cubicBezTo>
              <a:cubicBezTo>
                <a:pt x="22" y="87"/>
                <a:pt x="22" y="87"/>
                <a:pt x="22" y="87"/>
              </a:cubicBezTo>
              <a:close/>
              <a:moveTo>
                <a:pt x="220" y="0"/>
              </a:moveTo>
              <a:cubicBezTo>
                <a:pt x="220" y="57"/>
                <a:pt x="220" y="57"/>
                <a:pt x="220" y="57"/>
              </a:cubicBezTo>
              <a:cubicBezTo>
                <a:pt x="218" y="59"/>
                <a:pt x="216" y="60"/>
                <a:pt x="215" y="62"/>
              </a:cubicBezTo>
              <a:cubicBezTo>
                <a:pt x="215" y="0"/>
                <a:pt x="215" y="0"/>
                <a:pt x="215" y="0"/>
              </a:cubicBezTo>
              <a:cubicBezTo>
                <a:pt x="152" y="0"/>
                <a:pt x="152" y="0"/>
                <a:pt x="152" y="0"/>
              </a:cubicBezTo>
              <a:cubicBezTo>
                <a:pt x="152" y="52"/>
                <a:pt x="152" y="52"/>
                <a:pt x="152" y="52"/>
              </a:cubicBezTo>
              <a:cubicBezTo>
                <a:pt x="147" y="52"/>
                <a:pt x="147" y="52"/>
                <a:pt x="147" y="52"/>
              </a:cubicBezTo>
              <a:cubicBezTo>
                <a:pt x="147" y="0"/>
                <a:pt x="147" y="0"/>
                <a:pt x="147" y="0"/>
              </a:cubicBezTo>
              <a:cubicBezTo>
                <a:pt x="84" y="0"/>
                <a:pt x="84" y="0"/>
                <a:pt x="84" y="0"/>
              </a:cubicBezTo>
              <a:cubicBezTo>
                <a:pt x="84" y="52"/>
                <a:pt x="84" y="52"/>
                <a:pt x="84" y="52"/>
              </a:cubicBezTo>
              <a:cubicBezTo>
                <a:pt x="79" y="52"/>
                <a:pt x="79" y="52"/>
                <a:pt x="79" y="52"/>
              </a:cubicBezTo>
              <a:cubicBezTo>
                <a:pt x="79" y="0"/>
                <a:pt x="79" y="0"/>
                <a:pt x="79" y="0"/>
              </a:cubicBezTo>
              <a:cubicBezTo>
                <a:pt x="16" y="0"/>
                <a:pt x="16" y="0"/>
                <a:pt x="16" y="0"/>
              </a:cubicBezTo>
              <a:cubicBezTo>
                <a:pt x="16" y="59"/>
                <a:pt x="16" y="59"/>
                <a:pt x="16" y="59"/>
              </a:cubicBezTo>
              <a:cubicBezTo>
                <a:pt x="0" y="113"/>
                <a:pt x="0" y="113"/>
                <a:pt x="0" y="113"/>
              </a:cubicBezTo>
              <a:cubicBezTo>
                <a:pt x="14" y="113"/>
                <a:pt x="14" y="113"/>
                <a:pt x="14" y="113"/>
              </a:cubicBezTo>
              <a:cubicBezTo>
                <a:pt x="21" y="89"/>
                <a:pt x="21" y="89"/>
                <a:pt x="21" y="89"/>
              </a:cubicBezTo>
              <a:cubicBezTo>
                <a:pt x="23" y="89"/>
                <a:pt x="23" y="89"/>
                <a:pt x="23" y="89"/>
              </a:cubicBezTo>
              <a:cubicBezTo>
                <a:pt x="35" y="113"/>
                <a:pt x="35" y="113"/>
                <a:pt x="35" y="113"/>
              </a:cubicBezTo>
              <a:cubicBezTo>
                <a:pt x="52" y="113"/>
                <a:pt x="52" y="113"/>
                <a:pt x="52" y="113"/>
              </a:cubicBezTo>
              <a:cubicBezTo>
                <a:pt x="40" y="89"/>
                <a:pt x="40" y="89"/>
                <a:pt x="40" y="89"/>
              </a:cubicBezTo>
              <a:cubicBezTo>
                <a:pt x="66" y="89"/>
                <a:pt x="66" y="89"/>
                <a:pt x="66" y="89"/>
              </a:cubicBezTo>
              <a:cubicBezTo>
                <a:pt x="59" y="113"/>
                <a:pt x="59" y="113"/>
                <a:pt x="59" y="113"/>
              </a:cubicBezTo>
              <a:cubicBezTo>
                <a:pt x="74" y="113"/>
                <a:pt x="74" y="113"/>
                <a:pt x="74" y="113"/>
              </a:cubicBezTo>
              <a:cubicBezTo>
                <a:pt x="81" y="89"/>
                <a:pt x="81" y="89"/>
                <a:pt x="81" y="89"/>
              </a:cubicBezTo>
              <a:cubicBezTo>
                <a:pt x="85" y="89"/>
                <a:pt x="85" y="89"/>
                <a:pt x="85" y="89"/>
              </a:cubicBezTo>
              <a:cubicBezTo>
                <a:pt x="85" y="89"/>
                <a:pt x="85" y="89"/>
                <a:pt x="85" y="89"/>
              </a:cubicBezTo>
              <a:cubicBezTo>
                <a:pt x="90" y="89"/>
                <a:pt x="90" y="89"/>
                <a:pt x="90" y="89"/>
              </a:cubicBezTo>
              <a:cubicBezTo>
                <a:pt x="90" y="89"/>
                <a:pt x="90" y="89"/>
                <a:pt x="90" y="89"/>
              </a:cubicBezTo>
              <a:cubicBezTo>
                <a:pt x="119" y="89"/>
                <a:pt x="119" y="89"/>
                <a:pt x="119" y="89"/>
              </a:cubicBezTo>
              <a:cubicBezTo>
                <a:pt x="112" y="113"/>
                <a:pt x="112" y="113"/>
                <a:pt x="112" y="113"/>
              </a:cubicBezTo>
              <a:cubicBezTo>
                <a:pt x="128" y="113"/>
                <a:pt x="128" y="113"/>
                <a:pt x="128" y="113"/>
              </a:cubicBezTo>
              <a:cubicBezTo>
                <a:pt x="135" y="89"/>
                <a:pt x="135" y="89"/>
                <a:pt x="135" y="89"/>
              </a:cubicBezTo>
              <a:cubicBezTo>
                <a:pt x="142" y="89"/>
                <a:pt x="142" y="89"/>
                <a:pt x="142" y="89"/>
              </a:cubicBezTo>
              <a:cubicBezTo>
                <a:pt x="142" y="113"/>
                <a:pt x="142" y="113"/>
                <a:pt x="142" y="113"/>
              </a:cubicBezTo>
              <a:cubicBezTo>
                <a:pt x="155" y="113"/>
                <a:pt x="155" y="113"/>
                <a:pt x="155" y="113"/>
              </a:cubicBezTo>
              <a:cubicBezTo>
                <a:pt x="170" y="89"/>
                <a:pt x="170" y="89"/>
                <a:pt x="170" y="89"/>
              </a:cubicBezTo>
              <a:cubicBezTo>
                <a:pt x="180" y="89"/>
                <a:pt x="180" y="89"/>
                <a:pt x="180" y="89"/>
              </a:cubicBezTo>
              <a:cubicBezTo>
                <a:pt x="175" y="113"/>
                <a:pt x="175" y="113"/>
                <a:pt x="175" y="113"/>
              </a:cubicBezTo>
              <a:cubicBezTo>
                <a:pt x="190" y="113"/>
                <a:pt x="190" y="113"/>
                <a:pt x="190" y="113"/>
              </a:cubicBezTo>
              <a:cubicBezTo>
                <a:pt x="195" y="89"/>
                <a:pt x="195" y="89"/>
                <a:pt x="195" y="89"/>
              </a:cubicBezTo>
              <a:cubicBezTo>
                <a:pt x="204" y="89"/>
                <a:pt x="204" y="89"/>
                <a:pt x="204" y="89"/>
              </a:cubicBezTo>
              <a:cubicBezTo>
                <a:pt x="203" y="96"/>
                <a:pt x="205" y="103"/>
                <a:pt x="210" y="108"/>
              </a:cubicBezTo>
              <a:cubicBezTo>
                <a:pt x="216" y="113"/>
                <a:pt x="225" y="114"/>
                <a:pt x="232" y="114"/>
              </a:cubicBezTo>
              <a:cubicBezTo>
                <a:pt x="241" y="114"/>
                <a:pt x="251" y="113"/>
                <a:pt x="260" y="111"/>
              </a:cubicBezTo>
              <a:cubicBezTo>
                <a:pt x="266" y="89"/>
                <a:pt x="266" y="89"/>
                <a:pt x="266" y="89"/>
              </a:cubicBezTo>
              <a:cubicBezTo>
                <a:pt x="283" y="89"/>
                <a:pt x="283" y="89"/>
                <a:pt x="283" y="89"/>
              </a:cubicBezTo>
              <a:cubicBezTo>
                <a:pt x="283" y="0"/>
                <a:pt x="283" y="0"/>
                <a:pt x="283" y="0"/>
              </a:cubicBezTo>
              <a:cubicBezTo>
                <a:pt x="220" y="0"/>
                <a:pt x="220" y="0"/>
                <a:pt x="220" y="0"/>
              </a:cubicBezTo>
              <a:cubicBezTo>
                <a:pt x="220" y="0"/>
                <a:pt x="220" y="0"/>
                <a:pt x="220" y="0"/>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GB">
            <a:solidFill>
              <a:srgbClr val="000000"/>
            </a:solidFill>
            <a:latin typeface="Univers 45 Light" pitchFamily="2" charset="0"/>
          </a:endParaRPr>
        </a:p>
      </xdr:txBody>
    </xdr:sp>
    <xdr:clientData/>
  </xdr:twoCellAnchor>
  <xdr:twoCellAnchor>
    <xdr:from>
      <xdr:col>1</xdr:col>
      <xdr:colOff>9525</xdr:colOff>
      <xdr:row>518</xdr:row>
      <xdr:rowOff>9525</xdr:rowOff>
    </xdr:from>
    <xdr:to>
      <xdr:col>9</xdr:col>
      <xdr:colOff>600075</xdr:colOff>
      <xdr:row>525</xdr:row>
      <xdr:rowOff>117231</xdr:rowOff>
    </xdr:to>
    <xdr:sp macro="" textlink="">
      <xdr:nvSpPr>
        <xdr:cNvPr id="115" name="TextBox 114">
          <a:extLst>
            <a:ext uri="{FF2B5EF4-FFF2-40B4-BE49-F238E27FC236}">
              <a16:creationId xmlns:a16="http://schemas.microsoft.com/office/drawing/2014/main" id="{00000000-0008-0000-1500-000073000000}"/>
            </a:ext>
          </a:extLst>
        </xdr:cNvPr>
        <xdr:cNvSpPr txBox="1"/>
      </xdr:nvSpPr>
      <xdr:spPr>
        <a:xfrm>
          <a:off x="617660" y="99179429"/>
          <a:ext cx="5997819" cy="13899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Disclaimers:</a:t>
          </a:r>
          <a:endParaRPr lang="en-US" sz="14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El presente informe contiene datos personales y confidenciales. </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Las cifras contenidas en este informe son datos estimados calculados conforme a las hipótesis anteriormente descritas. Cualquier cambio en las hipótesis implicará una desviación en los resultados reportados.</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Los importes de prestaciones contenidos en este informe se presentan en términos brutos.</a:t>
          </a:r>
          <a:endParaRPr lang="en-US" sz="1000" i="1">
            <a:effectLst/>
            <a:latin typeface="Arial" panose="020B0604020202020204" pitchFamily="34" charset="0"/>
            <a:ea typeface="Calibri" panose="020F0502020204030204" pitchFamily="34" charset="0"/>
            <a:cs typeface="Arial" panose="020B0604020202020204" pitchFamily="34" charset="0"/>
          </a:endParaRPr>
        </a:p>
        <a:p>
          <a:endParaRPr lang="en-US" sz="1100"/>
        </a:p>
      </xdr:txBody>
    </xdr:sp>
    <xdr:clientData/>
  </xdr:twoCellAnchor>
  <xdr:twoCellAnchor>
    <xdr:from>
      <xdr:col>1</xdr:col>
      <xdr:colOff>138</xdr:colOff>
      <xdr:row>444</xdr:row>
      <xdr:rowOff>156501</xdr:rowOff>
    </xdr:from>
    <xdr:to>
      <xdr:col>9</xdr:col>
      <xdr:colOff>636933</xdr:colOff>
      <xdr:row>449</xdr:row>
      <xdr:rowOff>4276</xdr:rowOff>
    </xdr:to>
    <xdr:sp macro="" textlink="">
      <xdr:nvSpPr>
        <xdr:cNvPr id="116" name="TextBox 115">
          <a:extLst>
            <a:ext uri="{FF2B5EF4-FFF2-40B4-BE49-F238E27FC236}">
              <a16:creationId xmlns:a16="http://schemas.microsoft.com/office/drawing/2014/main" id="{00000000-0008-0000-1500-000074000000}"/>
            </a:ext>
          </a:extLst>
        </xdr:cNvPr>
        <xdr:cNvSpPr txBox="1"/>
      </xdr:nvSpPr>
      <xdr:spPr>
        <a:xfrm>
          <a:off x="608273" y="82804193"/>
          <a:ext cx="6044064" cy="9101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Resultados</a:t>
          </a:r>
          <a:endParaRPr lang="en-U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endParaRPr>
        </a:p>
        <a:p>
          <a:pPr marL="0" indent="0">
            <a:lnSpc>
              <a:spcPct val="107000"/>
            </a:lnSpc>
            <a:spcAft>
              <a:spcPts val="1200"/>
            </a:spcAft>
          </a:pPr>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detalla la pensión de jubilación total resultante de los distintos vehículos de previsión social en base a las decisiones de ahorro individual y empresarial que has determinado:</a:t>
          </a:r>
          <a:endParaRPr lang="en-U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1</xdr:col>
      <xdr:colOff>120746</xdr:colOff>
      <xdr:row>200</xdr:row>
      <xdr:rowOff>141082</xdr:rowOff>
    </xdr:from>
    <xdr:to>
      <xdr:col>9</xdr:col>
      <xdr:colOff>643035</xdr:colOff>
      <xdr:row>248</xdr:row>
      <xdr:rowOff>151038</xdr:rowOff>
    </xdr:to>
    <xdr:sp macro="" textlink="">
      <xdr:nvSpPr>
        <xdr:cNvPr id="117" name="TextBox 30">
          <a:extLst>
            <a:ext uri="{FF2B5EF4-FFF2-40B4-BE49-F238E27FC236}">
              <a16:creationId xmlns:a16="http://schemas.microsoft.com/office/drawing/2014/main" id="{00000000-0008-0000-1500-000075000000}"/>
            </a:ext>
          </a:extLst>
        </xdr:cNvPr>
        <xdr:cNvSpPr txBox="1"/>
      </xdr:nvSpPr>
      <xdr:spPr>
        <a:xfrm>
          <a:off x="728532" y="36426796"/>
          <a:ext cx="5956074" cy="87185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1500" b="1" i="1">
              <a:solidFill>
                <a:srgbClr val="005EB8"/>
              </a:solidFill>
              <a:effectLst/>
              <a:latin typeface="Arial" panose="020B0604020202020204" pitchFamily="34" charset="0"/>
              <a:ea typeface="Times New Roman" panose="02020603050405020304" pitchFamily="18" charset="0"/>
              <a:cs typeface="Arial" panose="020B0604020202020204" pitchFamily="34" charset="0"/>
            </a:rPr>
            <a:t>Segundo Pilar de la previsión social: el ahorro de la empresa</a:t>
          </a:r>
          <a:endParaRPr lang="en-US" sz="1500" b="1" i="1">
            <a:solidFill>
              <a:srgbClr val="005EB8"/>
            </a:solidFill>
            <a:effectLst/>
            <a:latin typeface="Arial" panose="020B0604020202020204" pitchFamily="34" charset="0"/>
            <a:ea typeface="Times New Roman" panose="02020603050405020304" pitchFamily="18" charset="0"/>
            <a:cs typeface="Arial" panose="020B0604020202020204" pitchFamily="34" charset="0"/>
          </a:endParaRPr>
        </a:p>
        <a:p>
          <a:pPr marL="0" indent="0" algn="ctr">
            <a:lnSpc>
              <a:spcPct val="107000"/>
            </a:lnSpc>
            <a:spcBef>
              <a:spcPts val="1200"/>
            </a:spcBef>
            <a:spcAft>
              <a:spcPts val="800"/>
            </a:spcAft>
          </a:pPr>
          <a:r>
            <a:rPr kumimoji="0" lang="es-ES" sz="1400" b="1" i="1" u="none" strike="noStrike" kern="0" cap="none" spc="0" normalizeH="0" baseline="0">
              <a:ln>
                <a:noFill/>
              </a:ln>
              <a:solidFill>
                <a:srgbClr val="005EB8"/>
              </a:solidFill>
              <a:effectLst/>
              <a:uLnTx/>
              <a:uFillTx/>
              <a:latin typeface="Arial" panose="020B0604020202020204" pitchFamily="34" charset="0"/>
              <a:ea typeface="Times New Roman" panose="02020603050405020304" pitchFamily="18" charset="0"/>
              <a:cs typeface="Arial" panose="020B0604020202020204" pitchFamily="34" charset="0"/>
            </a:rPr>
            <a:t>¿Cómo la empresa colabora en la planificación de mi jubilación?</a:t>
          </a:r>
          <a:endParaRPr kumimoji="0" lang="en-US" sz="1400" b="1" i="1" u="none" strike="noStrike" kern="0" cap="none" spc="0" normalizeH="0" baseline="0">
            <a:ln>
              <a:noFill/>
            </a:ln>
            <a:solidFill>
              <a:srgbClr val="005EB8"/>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instrumento de previsión social que promueve la empresa para el ahorro destinado a tu jubilación es el siguiente:</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Este</a:t>
          </a:r>
          <a:r>
            <a:rPr lang="es-ES" sz="1000" baseline="0">
              <a:effectLst/>
              <a:latin typeface="Arial" panose="020B0604020202020204" pitchFamily="34" charset="0"/>
              <a:ea typeface="Calibri" panose="020F0502020204030204" pitchFamily="34" charset="0"/>
              <a:cs typeface="Arial" panose="020B0604020202020204" pitchFamily="34" charset="0"/>
            </a:rPr>
            <a:t> vehículo es</a:t>
          </a:r>
          <a:r>
            <a:rPr lang="es-ES" sz="1000">
              <a:effectLst/>
              <a:latin typeface="Arial" panose="020B0604020202020204" pitchFamily="34" charset="0"/>
              <a:ea typeface="Calibri" panose="020F0502020204030204" pitchFamily="34" charset="0"/>
              <a:cs typeface="Arial" panose="020B0604020202020204" pitchFamily="34" charset="0"/>
            </a:rPr>
            <a:t> un sistema de ahorro promovido por la empresa y que tiene como objetivo complementar las prestaciones que van a percibir los empleados de la compañía por parte de la Seguridad Social. El</a:t>
          </a:r>
          <a:r>
            <a:rPr lang="es-ES" sz="1000" baseline="0">
              <a:effectLst/>
              <a:latin typeface="Arial" panose="020B0604020202020204" pitchFamily="34" charset="0"/>
              <a:ea typeface="Calibri" panose="020F0502020204030204" pitchFamily="34" charset="0"/>
              <a:cs typeface="Arial" panose="020B0604020202020204" pitchFamily="34" charset="0"/>
            </a:rPr>
            <a:t> plan es de aportación definida y se financia únicamente con aportaciones voluntarias de los empleados vía retribución flexible.</a:t>
          </a: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0" i="0">
              <a:solidFill>
                <a:schemeClr val="dk1"/>
              </a:solidFill>
              <a:effectLst/>
              <a:latin typeface="Arial" panose="020B0604020202020204" pitchFamily="34" charset="0"/>
              <a:ea typeface="Calibri" panose="020F0502020204030204" pitchFamily="34" charset="0"/>
              <a:cs typeface="Arial" panose="020B0604020202020204" pitchFamily="34" charset="0"/>
            </a:rPr>
            <a:t>Las</a:t>
          </a:r>
          <a:r>
            <a:rPr lang="es-ES" sz="1000" b="0" i="0" baseline="0">
              <a:solidFill>
                <a:schemeClr val="dk1"/>
              </a:solidFill>
              <a:effectLst/>
              <a:latin typeface="Arial" panose="020B0604020202020204" pitchFamily="34" charset="0"/>
              <a:ea typeface="Calibri" panose="020F0502020204030204" pitchFamily="34" charset="0"/>
              <a:cs typeface="Arial" panose="020B0604020202020204" pitchFamily="34" charset="0"/>
            </a:rPr>
            <a:t> características principales son las siguientes:</a:t>
          </a:r>
          <a:endParaRPr lang="en-US" sz="1000" b="0" i="0">
            <a:solidFill>
              <a:schemeClr val="dk1"/>
            </a:solidFill>
            <a:effectLst/>
            <a:latin typeface="Arial" panose="020B0604020202020204" pitchFamily="34" charset="0"/>
            <a:ea typeface="Calibri" panose="020F0502020204030204" pitchFamily="34" charset="0"/>
            <a:cs typeface="Arial" panose="020B0604020202020204" pitchFamily="34" charset="0"/>
          </a:endParaRP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Contingencias cubiertas</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Las contingencias cubiertas por el plan son la jubilación en cualquiera de sus modalidades, la incapacidad permanente en cualquiera de sus grados y el fallecimiento.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Existen los supuestos extraordinarios de liquidez por enfermedad grave o desempleo de larga duración.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Solo si se da alguna de las circunstancias anteriormente mencionadas podrás hacer líquido el valor de la póliza.</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Elementos</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aportaciones realizadas se canalizan mediante un seguro colectivo de vida que instrumenta compromisos por pensiones, siendo un instrumento más del plan de retribución flexible de la compañía.</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En un plan de previsión, la empresa lo pone en marcha</a:t>
          </a:r>
          <a:r>
            <a:rPr lang="es-ES" sz="1000" baseline="0">
              <a:effectLst/>
              <a:latin typeface="Arial" panose="020B0604020202020204" pitchFamily="34" charset="0"/>
              <a:ea typeface="Calibri" panose="020F0502020204030204" pitchFamily="34" charset="0"/>
              <a:cs typeface="Arial" panose="020B0604020202020204" pitchFamily="34" charset="0"/>
            </a:rPr>
            <a:t> y los empleados que deseen adherirse al mismo pasan a denominarse participantes del plan.</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baseline="0">
              <a:effectLst/>
              <a:latin typeface="Arial" panose="020B0604020202020204" pitchFamily="34" charset="0"/>
              <a:ea typeface="Calibri" panose="020F0502020204030204" pitchFamily="34" charset="0"/>
              <a:cs typeface="Arial" panose="020B0604020202020204" pitchFamily="34" charset="0"/>
            </a:rPr>
            <a:t>En caso de que un participante deje de realizar aportaciones o cause baja en la empresa y mantenga el valor de su póliza en el plan pasará a denominarse participante en suspenso y no podrá realizar aportaciones al plan. </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baseline="0">
              <a:effectLst/>
              <a:latin typeface="Arial" panose="020B0604020202020204" pitchFamily="34" charset="0"/>
              <a:ea typeface="Calibri" panose="020F0502020204030204" pitchFamily="34" charset="0"/>
              <a:cs typeface="Arial" panose="020B0604020202020204" pitchFamily="34" charset="0"/>
            </a:rPr>
            <a:t>Cuando se cause cualquiera de las contingencias cubiertas por el plan así como cuando acontezcan alguno de los supuestos excepcionales de liquidez, aparecerá la figura del beneficiario que puede ser; o bien el propio participante o bien uno o varios beneficiarios del participante en caso de fallecimiento. </a:t>
          </a: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Elegibilidad</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Para ser</a:t>
          </a:r>
          <a:r>
            <a:rPr lang="es-ES" sz="1000" baseline="0">
              <a:effectLst/>
              <a:latin typeface="Arial" panose="020B0604020202020204" pitchFamily="34" charset="0"/>
              <a:ea typeface="Calibri" panose="020F0502020204030204" pitchFamily="34" charset="0"/>
              <a:cs typeface="Arial" panose="020B0604020202020204" pitchFamily="34" charset="0"/>
            </a:rPr>
            <a:t> elegible para el plan deberás tener contrato indefinido con la empresa. </a:t>
          </a:r>
        </a:p>
        <a:p>
          <a:pPr marL="342900" lvl="0" indent="-342900">
            <a:lnSpc>
              <a:spcPct val="107000"/>
            </a:lnSpc>
            <a:spcAft>
              <a:spcPts val="0"/>
            </a:spcAft>
            <a:buClr>
              <a:srgbClr val="EAAA00"/>
            </a:buClr>
            <a:buSzPts val="900"/>
            <a:buFont typeface="Symbol" panose="05050102010706020507" pitchFamily="18" charset="2"/>
            <a:buChar char=""/>
            <a:tabLst>
              <a:tab pos="215900" algn="l"/>
            </a:tabLst>
          </a:pPr>
          <a:endParaRPr lang="es-ES" sz="1000" baseline="0">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xdr:col>
      <xdr:colOff>130176</xdr:colOff>
      <xdr:row>208</xdr:row>
      <xdr:rowOff>141743</xdr:rowOff>
    </xdr:from>
    <xdr:to>
      <xdr:col>9</xdr:col>
      <xdr:colOff>89632</xdr:colOff>
      <xdr:row>210</xdr:row>
      <xdr:rowOff>152493</xdr:rowOff>
    </xdr:to>
    <xdr:sp macro="" textlink="">
      <xdr:nvSpPr>
        <xdr:cNvPr id="118" name="Rectángulo 2">
          <a:extLst>
            <a:ext uri="{FF2B5EF4-FFF2-40B4-BE49-F238E27FC236}">
              <a16:creationId xmlns:a16="http://schemas.microsoft.com/office/drawing/2014/main" id="{00000000-0008-0000-1500-000076000000}"/>
            </a:ext>
          </a:extLst>
        </xdr:cNvPr>
        <xdr:cNvSpPr/>
      </xdr:nvSpPr>
      <xdr:spPr>
        <a:xfrm>
          <a:off x="1418319" y="37878886"/>
          <a:ext cx="4712884" cy="373607"/>
        </a:xfrm>
        <a:prstGeom prst="rect">
          <a:avLst/>
        </a:prstGeom>
        <a:solidFill>
          <a:srgbClr val="009CDC"/>
        </a:solidFill>
        <a:ln w="12700">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ES_tradnl" sz="1400" b="1">
              <a:solidFill>
                <a:schemeClr val="bg1"/>
              </a:solidFill>
              <a:latin typeface="Univers for KPMG" panose="020B0603020202020204" pitchFamily="34" charset="0"/>
            </a:rPr>
            <a:t>  </a:t>
          </a:r>
          <a:r>
            <a:rPr lang="es-ES_tradnl" sz="1100" b="1">
              <a:solidFill>
                <a:schemeClr val="bg1"/>
              </a:solidFill>
              <a:latin typeface="Arial" panose="020B0604020202020204" pitchFamily="34" charset="0"/>
              <a:cs typeface="Arial" panose="020B0604020202020204" pitchFamily="34" charset="0"/>
            </a:rPr>
            <a:t>Plan de Previsión</a:t>
          </a:r>
          <a:r>
            <a:rPr lang="es-ES_tradnl" sz="1100" b="1" baseline="0">
              <a:solidFill>
                <a:schemeClr val="bg1"/>
              </a:solidFill>
              <a:latin typeface="Arial" panose="020B0604020202020204" pitchFamily="34" charset="0"/>
              <a:cs typeface="Arial" panose="020B0604020202020204" pitchFamily="34" charset="0"/>
            </a:rPr>
            <a:t> </a:t>
          </a:r>
          <a:endParaRPr lang="es-ES_tradnl"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256042</xdr:colOff>
      <xdr:row>208</xdr:row>
      <xdr:rowOff>158750</xdr:rowOff>
    </xdr:from>
    <xdr:to>
      <xdr:col>2</xdr:col>
      <xdr:colOff>65541</xdr:colOff>
      <xdr:row>210</xdr:row>
      <xdr:rowOff>150812</xdr:rowOff>
    </xdr:to>
    <xdr:sp macro="" textlink="">
      <xdr:nvSpPr>
        <xdr:cNvPr id="119" name="Rectángulo 61">
          <a:extLst>
            <a:ext uri="{FF2B5EF4-FFF2-40B4-BE49-F238E27FC236}">
              <a16:creationId xmlns:a16="http://schemas.microsoft.com/office/drawing/2014/main" id="{00000000-0008-0000-1500-000077000000}"/>
            </a:ext>
          </a:extLst>
        </xdr:cNvPr>
        <xdr:cNvSpPr/>
      </xdr:nvSpPr>
      <xdr:spPr>
        <a:xfrm>
          <a:off x="863828" y="37895893"/>
          <a:ext cx="489856" cy="354919"/>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ES_tradnl" sz="1600" b="1">
            <a:solidFill>
              <a:schemeClr val="bg1"/>
            </a:solidFill>
            <a:latin typeface="Univers for KPMG" panose="020B0603020202020204" pitchFamily="34" charset="0"/>
          </a:endParaRPr>
        </a:p>
      </xdr:txBody>
    </xdr:sp>
    <xdr:clientData/>
  </xdr:twoCellAnchor>
  <xdr:oneCellAnchor>
    <xdr:from>
      <xdr:col>1</xdr:col>
      <xdr:colOff>353559</xdr:colOff>
      <xdr:row>209</xdr:row>
      <xdr:rowOff>1</xdr:rowOff>
    </xdr:from>
    <xdr:ext cx="324930" cy="317650"/>
    <xdr:pic>
      <xdr:nvPicPr>
        <xdr:cNvPr id="120" name="Picture 33">
          <a:extLst>
            <a:ext uri="{FF2B5EF4-FFF2-40B4-BE49-F238E27FC236}">
              <a16:creationId xmlns:a16="http://schemas.microsoft.com/office/drawing/2014/main" id="{00000000-0008-0000-1500-00007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61345" y="37918572"/>
          <a:ext cx="324930" cy="317650"/>
        </a:xfrm>
        <a:prstGeom prst="rect">
          <a:avLst/>
        </a:prstGeom>
      </xdr:spPr>
    </xdr:pic>
    <xdr:clientData/>
  </xdr:oneCellAnchor>
  <xdr:twoCellAnchor>
    <xdr:from>
      <xdr:col>1</xdr:col>
      <xdr:colOff>53365</xdr:colOff>
      <xdr:row>252</xdr:row>
      <xdr:rowOff>35781</xdr:rowOff>
    </xdr:from>
    <xdr:to>
      <xdr:col>9</xdr:col>
      <xdr:colOff>578829</xdr:colOff>
      <xdr:row>299</xdr:row>
      <xdr:rowOff>13632</xdr:rowOff>
    </xdr:to>
    <xdr:sp macro="" textlink="">
      <xdr:nvSpPr>
        <xdr:cNvPr id="121" name="TextBox 30">
          <a:extLst>
            <a:ext uri="{FF2B5EF4-FFF2-40B4-BE49-F238E27FC236}">
              <a16:creationId xmlns:a16="http://schemas.microsoft.com/office/drawing/2014/main" id="{00000000-0008-0000-1500-000079000000}"/>
            </a:ext>
          </a:extLst>
        </xdr:cNvPr>
        <xdr:cNvSpPr txBox="1"/>
      </xdr:nvSpPr>
      <xdr:spPr>
        <a:xfrm>
          <a:off x="661500" y="46195396"/>
          <a:ext cx="5932733" cy="85869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Derechos en caso de cese de la relación laboral</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En caso de cese de la relación laboral, tienes derecho al 100% del valor de la póliza pero no podrás hacer líquido su valor hasta que no suceda alguna de las contingencias cubiertas por el mismo.</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Existe la posibilidad de movilizarlo a otro seguro colectivo de similares </a:t>
          </a:r>
          <a:r>
            <a:rPr lang="es-ES" sz="1000" b="0" i="0" baseline="0">
              <a:solidFill>
                <a:schemeClr val="dk1"/>
              </a:solidFill>
              <a:effectLst/>
              <a:latin typeface="Arial" panose="020B0604020202020204" pitchFamily="34" charset="0"/>
              <a:ea typeface="+mn-ea"/>
              <a:cs typeface="Arial" panose="020B0604020202020204" pitchFamily="34" charset="0"/>
            </a:rPr>
            <a:t>características pero no a un plan de pensiones individual al tener una fiscalidad distinta </a:t>
          </a:r>
          <a:endParaRPr lang="es-ES" sz="1000">
            <a:effectLst/>
            <a:latin typeface="Arial" panose="020B0604020202020204" pitchFamily="34" charset="0"/>
            <a:cs typeface="Arial" panose="020B0604020202020204" pitchFamily="34" charset="0"/>
          </a:endParaRP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Fiscalidad</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aportaciones realizadas al plan se retraen de tu salario bruto al hacerlas mediante un sistema de retribución flexible. Esto quiere decir que no tributan por IRPF y por tanto tu base imponible sujeta al impuesto se ve reducida y con ella el pago de impuestos. </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prestaciones de la póliza tributan como rendimientos del trabajo en el Impuesto de la Renta de las Personas Físicas al tipo impositivo del beneficiario en el momento de la percepción de la prestación en caso de que sean derivadas de jubilación, incapacidad, enfermedad grave o desempleo de larga duración. En caso de prestaciones derivadas de fallecimiento, la tributación es la del Impuesto de Sucesiones y Donaciones.</a:t>
          </a: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Limitaciones</a:t>
          </a:r>
        </a:p>
        <a:p>
          <a:pPr marL="342900" marR="0" lvl="0" indent="-342900" defTabSz="914400" eaLnBrk="1" fontAlgn="auto" latinLnBrk="0" hangingPunct="1">
            <a:lnSpc>
              <a:spcPct val="107000"/>
            </a:lnSpc>
            <a:spcBef>
              <a:spcPts val="0"/>
            </a:spcBef>
            <a:spcAft>
              <a:spcPts val="3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El reglamento del plan establece un límite máximo de aportaciones de 15.000 euros anuales. Además de este límite, el conjunto de aportaciones realizadas al plan, junto con las retribuciones en especie que reciba el empleado, no podrán superar el 30% del salario bruto. </a:t>
          </a:r>
          <a:endParaRPr lang="es-ES">
            <a:effectLst/>
          </a:endParaRP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Aportaciones </a:t>
          </a:r>
        </a:p>
        <a:p>
          <a:pPr marL="342900" lvl="0" indent="-342900">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Aportaciones ordinarias: podrán ser o bien un porcentaje del salario bruto o bien una cuantía fija. La decisión de realizar o no aportaciones se debe tomar durante los primeros 15 días del mes de diciembre. Las aportaciones se harán de forma mensual y permanecerán invariables a lo largo del año natural. Excepcionalmente y previo consentimiento de la compañía siempre y cuando la situación económica o personal del trabajador haya cambiado a lo largo del año, se permite interrumpir el régimen de aportaciones ordinarias.</a:t>
          </a:r>
        </a:p>
        <a:p>
          <a:pPr marL="342900" lvl="0" indent="-342900">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Aportación extraordinaria de diciembre: consiste en una aportación única de cuantía fija cuya decisión se deberá tomar durante los primeros 15 días del mes de diciembre.</a:t>
          </a:r>
        </a:p>
        <a:p>
          <a:pPr marL="342900" marR="0" lvl="0" indent="-342900" defTabSz="914400" eaLnBrk="1" fontAlgn="auto" latinLnBrk="0" hangingPunct="1">
            <a:lnSpc>
              <a:spcPct val="107000"/>
            </a:lnSpc>
            <a:spcBef>
              <a:spcPts val="0"/>
            </a:spcBef>
            <a:spcAft>
              <a:spcPts val="8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Aportación extraordinaria por retribución variable: consiste en una aportación única de cuantía fija cuya decisión se deberá tomar durante los primeros 15 días del mes en el que el empleado reciba la retribución variable.</a:t>
          </a: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Inversiones</a:t>
          </a:r>
        </a:p>
        <a:p>
          <a:pPr marL="342900" marR="0" lvl="0" indent="-342900" defTabSz="914400" eaLnBrk="1" fontAlgn="auto" latinLnBrk="0" hangingPunct="1">
            <a:lnSpc>
              <a:spcPct val="107000"/>
            </a:lnSpc>
            <a:spcBef>
              <a:spcPts val="0"/>
            </a:spcBef>
            <a:spcAft>
              <a:spcPts val="8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 estrategia de inversión ha sido decidida por la compañía y actualmente consiste en la inversión en una cartera internacional compuesta por un 80% de renta fija y un 20% de renta variable. </a:t>
          </a:r>
        </a:p>
        <a:p>
          <a:pPr marL="800100" marR="0" lvl="1" indent="-342900" algn="l" defTabSz="914400" eaLnBrk="1" fontAlgn="auto" latinLnBrk="0" hangingPunct="1">
            <a:lnSpc>
              <a:spcPct val="107000"/>
            </a:lnSpc>
            <a:spcBef>
              <a:spcPts val="1200"/>
            </a:spcBef>
            <a:spcAft>
              <a:spcPts val="600"/>
            </a:spcAft>
            <a:buClr>
              <a:srgbClr val="EAAA00"/>
            </a:buClr>
            <a:buSzPts val="1400"/>
            <a:buFont typeface="Symbol" panose="05050102010706020507" pitchFamily="18" charset="2"/>
            <a:buChar char=""/>
            <a:tabLst>
              <a:tab pos="215900" algn="l"/>
            </a:tabLst>
            <a:defRPr/>
          </a:pPr>
          <a:endPar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endParaRPr lang="es-ES">
            <a:effectLst/>
          </a:endParaRPr>
        </a:p>
        <a:p>
          <a:pPr eaLnBrk="1" fontAlgn="auto" latinLnBrk="0" hangingPunct="1"/>
          <a:endParaRPr lang="es-ES">
            <a:effectLst/>
          </a:endParaRPr>
        </a:p>
      </xdr:txBody>
    </xdr:sp>
    <xdr:clientData/>
  </xdr:twoCellAnchor>
  <xdr:twoCellAnchor>
    <xdr:from>
      <xdr:col>2</xdr:col>
      <xdr:colOff>205716</xdr:colOff>
      <xdr:row>211</xdr:row>
      <xdr:rowOff>67602</xdr:rowOff>
    </xdr:from>
    <xdr:to>
      <xdr:col>9</xdr:col>
      <xdr:colOff>21476</xdr:colOff>
      <xdr:row>215</xdr:row>
      <xdr:rowOff>154215</xdr:rowOff>
    </xdr:to>
    <xdr:sp macro="" textlink="">
      <xdr:nvSpPr>
        <xdr:cNvPr id="122" name="Rectangular Callout 53">
          <a:extLst>
            <a:ext uri="{FF2B5EF4-FFF2-40B4-BE49-F238E27FC236}">
              <a16:creationId xmlns:a16="http://schemas.microsoft.com/office/drawing/2014/main" id="{00000000-0008-0000-1500-00007A000000}"/>
            </a:ext>
          </a:extLst>
        </xdr:cNvPr>
        <xdr:cNvSpPr/>
      </xdr:nvSpPr>
      <xdr:spPr>
        <a:xfrm>
          <a:off x="1492753" y="38302346"/>
          <a:ext cx="4559674" cy="811442"/>
        </a:xfrm>
        <a:prstGeom prst="wedgeRectCallout">
          <a:avLst>
            <a:gd name="adj1" fmla="val -58429"/>
            <a:gd name="adj2" fmla="val -57963"/>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235935</xdr:colOff>
      <xdr:row>211</xdr:row>
      <xdr:rowOff>63747</xdr:rowOff>
    </xdr:from>
    <xdr:to>
      <xdr:col>9</xdr:col>
      <xdr:colOff>71688</xdr:colOff>
      <xdr:row>215</xdr:row>
      <xdr:rowOff>155278</xdr:rowOff>
    </xdr:to>
    <xdr:sp macro="" textlink="">
      <xdr:nvSpPr>
        <xdr:cNvPr id="123" name="TextBox 54">
          <a:extLst>
            <a:ext uri="{FF2B5EF4-FFF2-40B4-BE49-F238E27FC236}">
              <a16:creationId xmlns:a16="http://schemas.microsoft.com/office/drawing/2014/main" id="{00000000-0008-0000-1500-00007B000000}"/>
            </a:ext>
          </a:extLst>
        </xdr:cNvPr>
        <xdr:cNvSpPr txBox="1"/>
      </xdr:nvSpPr>
      <xdr:spPr>
        <a:xfrm>
          <a:off x="1522972" y="38298491"/>
          <a:ext cx="4579667" cy="816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caso de que hayas introducido el importe anual de aportaciones que deseas realizar a partir de este momento, en el apartado "Resultados" del presente informe, se incluye el fondo acumulado a la fecha de jubilación por dichas aportaciones así como la prestación que vas a percibir por esta póliza a la fecha de jubilación.</a:t>
          </a:r>
        </a:p>
      </xdr:txBody>
    </xdr:sp>
    <xdr:clientData/>
  </xdr:twoCellAnchor>
  <xdr:twoCellAnchor>
    <xdr:from>
      <xdr:col>1</xdr:col>
      <xdr:colOff>23812</xdr:colOff>
      <xdr:row>452</xdr:row>
      <xdr:rowOff>111125</xdr:rowOff>
    </xdr:from>
    <xdr:to>
      <xdr:col>9</xdr:col>
      <xdr:colOff>673307</xdr:colOff>
      <xdr:row>458</xdr:row>
      <xdr:rowOff>119061</xdr:rowOff>
    </xdr:to>
    <xdr:sp macro="" textlink="">
      <xdr:nvSpPr>
        <xdr:cNvPr id="124" name="TextBox 77">
          <a:extLst>
            <a:ext uri="{FF2B5EF4-FFF2-40B4-BE49-F238E27FC236}">
              <a16:creationId xmlns:a16="http://schemas.microsoft.com/office/drawing/2014/main" id="{00000000-0008-0000-1500-00007C000000}"/>
            </a:ext>
          </a:extLst>
        </xdr:cNvPr>
        <xdr:cNvSpPr txBox="1"/>
      </xdr:nvSpPr>
      <xdr:spPr>
        <a:xfrm>
          <a:off x="604837" y="87369650"/>
          <a:ext cx="5783470" cy="11604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Por otro lado y a modo de resumen,</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siguiente gráfico se muestra el porcentaje que representa la pensión, de cada pilar que compone la previsión social complementaria, respecto del salario estimado en la fecha de jubilación.</a:t>
          </a:r>
        </a:p>
        <a:p>
          <a:endParaRPr lang="es-ES" sz="1000" b="0" baseline="0">
            <a:solidFill>
              <a:sysClr val="windowText" lastClr="000000"/>
            </a:solidFill>
            <a:effectLst/>
            <a:latin typeface="Arial" panose="020B0604020202020204" pitchFamily="34" charset="0"/>
            <a:ea typeface="+mn-ea"/>
            <a:cs typeface="Arial" panose="020B0604020202020204" pitchFamily="34" charset="0"/>
          </a:endParaRPr>
        </a:p>
        <a:p>
          <a:r>
            <a:rPr lang="es-ES" sz="1000" b="0" baseline="0">
              <a:solidFill>
                <a:sysClr val="windowText" lastClr="000000"/>
              </a:solidFill>
              <a:effectLst/>
              <a:latin typeface="Arial" panose="020B0604020202020204" pitchFamily="34" charset="0"/>
              <a:ea typeface="+mn-ea"/>
              <a:cs typeface="Arial" panose="020B0604020202020204" pitchFamily="34" charset="0"/>
            </a:rPr>
            <a:t>El ratio de sustitución de ingresos determina la parte proporcional del salario que quedaría cubierto por la pensión en la fecha de jubilación. </a:t>
          </a:r>
          <a:endParaRPr lang="en-US" sz="1100">
            <a:latin typeface="Arial" panose="020B0604020202020204" pitchFamily="34" charset="0"/>
            <a:cs typeface="Arial" panose="020B0604020202020204" pitchFamily="34" charset="0"/>
          </a:endParaRPr>
        </a:p>
      </xdr:txBody>
    </xdr:sp>
    <xdr:clientData/>
  </xdr:twoCellAnchor>
  <xdr:twoCellAnchor>
    <xdr:from>
      <xdr:col>2</xdr:col>
      <xdr:colOff>295385</xdr:colOff>
      <xdr:row>460</xdr:row>
      <xdr:rowOff>3236</xdr:rowOff>
    </xdr:from>
    <xdr:to>
      <xdr:col>8</xdr:col>
      <xdr:colOff>348155</xdr:colOff>
      <xdr:row>488</xdr:row>
      <xdr:rowOff>76245</xdr:rowOff>
    </xdr:to>
    <xdr:graphicFrame macro="">
      <xdr:nvGraphicFramePr>
        <xdr:cNvPr id="125" name="Chart 17">
          <a:extLst>
            <a:ext uri="{FF2B5EF4-FFF2-40B4-BE49-F238E27FC236}">
              <a16:creationId xmlns:a16="http://schemas.microsoft.com/office/drawing/2014/main" id="{00000000-0008-0000-15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237021</xdr:colOff>
      <xdr:row>111</xdr:row>
      <xdr:rowOff>163574</xdr:rowOff>
    </xdr:from>
    <xdr:to>
      <xdr:col>9</xdr:col>
      <xdr:colOff>526508</xdr:colOff>
      <xdr:row>116</xdr:row>
      <xdr:rowOff>168519</xdr:rowOff>
    </xdr:to>
    <xdr:sp macro="" textlink="">
      <xdr:nvSpPr>
        <xdr:cNvPr id="126" name="Rectangular Callout 14">
          <a:extLst>
            <a:ext uri="{FF2B5EF4-FFF2-40B4-BE49-F238E27FC236}">
              <a16:creationId xmlns:a16="http://schemas.microsoft.com/office/drawing/2014/main" id="{00000000-0008-0000-1500-00007E000000}"/>
            </a:ext>
          </a:extLst>
        </xdr:cNvPr>
        <xdr:cNvSpPr/>
      </xdr:nvSpPr>
      <xdr:spPr>
        <a:xfrm>
          <a:off x="2193309" y="20495786"/>
          <a:ext cx="4348603" cy="920810"/>
        </a:xfrm>
        <a:prstGeom prst="wedgeRectCallout">
          <a:avLst>
            <a:gd name="adj1" fmla="val -58880"/>
            <a:gd name="adj2" fmla="val -56920"/>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273797</xdr:colOff>
      <xdr:row>111</xdr:row>
      <xdr:rowOff>153527</xdr:rowOff>
    </xdr:from>
    <xdr:to>
      <xdr:col>9</xdr:col>
      <xdr:colOff>512883</xdr:colOff>
      <xdr:row>117</xdr:row>
      <xdr:rowOff>0</xdr:rowOff>
    </xdr:to>
    <xdr:sp macro="" textlink="">
      <xdr:nvSpPr>
        <xdr:cNvPr id="127" name="TextBox 126">
          <a:extLst>
            <a:ext uri="{FF2B5EF4-FFF2-40B4-BE49-F238E27FC236}">
              <a16:creationId xmlns:a16="http://schemas.microsoft.com/office/drawing/2014/main" id="{00000000-0008-0000-1500-00007F000000}"/>
            </a:ext>
          </a:extLst>
        </xdr:cNvPr>
        <xdr:cNvSpPr txBox="1"/>
      </xdr:nvSpPr>
      <xdr:spPr>
        <a:xfrm>
          <a:off x="2230085" y="20485739"/>
          <a:ext cx="4298202" cy="945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caso de que hayas seleccionado la opción de </a:t>
          </a:r>
          <a:r>
            <a:rPr lang="en-US" sz="950" b="1" i="1">
              <a:latin typeface="Arial" panose="020B0604020202020204" pitchFamily="34" charset="0"/>
              <a:cs typeface="Arial" panose="020B0604020202020204" pitchFamily="34" charset="0"/>
            </a:rPr>
            <a:t>jubilación prolongada, podrás elegir entre el complemento en forma de porcentaje adicional</a:t>
          </a:r>
          <a:r>
            <a:rPr lang="en-US" sz="950" b="1" i="1" baseline="0">
              <a:latin typeface="Arial" panose="020B0604020202020204" pitchFamily="34" charset="0"/>
              <a:cs typeface="Arial" panose="020B0604020202020204" pitchFamily="34" charset="0"/>
            </a:rPr>
            <a:t> o en forma de capital único.</a:t>
          </a:r>
          <a:r>
            <a:rPr lang="en-US" sz="950" b="0" i="1">
              <a:latin typeface="Arial" panose="020B0604020202020204" pitchFamily="34" charset="0"/>
              <a:cs typeface="Arial" panose="020B0604020202020204" pitchFamily="34" charset="0"/>
            </a:rPr>
            <a:t> En el apartado "Resultados" del presente informe puedes encontrar el detalle del porcentaje adicional que sería de aplicación en el cálculo de tu pensión pública o del capital a percibir en un único pago.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C1:T34"/>
  <sheetViews>
    <sheetView topLeftCell="D1" zoomScale="115" zoomScaleNormal="115" workbookViewId="0">
      <selection activeCell="I15" sqref="I15"/>
    </sheetView>
  </sheetViews>
  <sheetFormatPr defaultColWidth="8.6640625" defaultRowHeight="14.4"/>
  <cols>
    <col min="1" max="1" width="11.88671875" bestFit="1" customWidth="1"/>
    <col min="2" max="2" width="33" bestFit="1" customWidth="1"/>
    <col min="3" max="3" width="12.44140625" bestFit="1" customWidth="1"/>
    <col min="5" max="5" width="19.5546875" bestFit="1" customWidth="1"/>
    <col min="7" max="7" width="11" customWidth="1"/>
    <col min="8" max="8" width="14.44140625" bestFit="1" customWidth="1"/>
    <col min="9" max="10" width="11.109375" bestFit="1" customWidth="1"/>
    <col min="11" max="11" width="17.6640625" customWidth="1"/>
    <col min="13" max="13" width="26.6640625" customWidth="1"/>
    <col min="14" max="14" width="10.88671875" customWidth="1"/>
    <col min="15" max="15" width="11.33203125" customWidth="1"/>
    <col min="16" max="16" width="24.5546875" bestFit="1" customWidth="1"/>
    <col min="18" max="18" width="12.33203125" customWidth="1"/>
    <col min="19" max="19" width="13.5546875" bestFit="1" customWidth="1"/>
  </cols>
  <sheetData>
    <row r="1" spans="3:20">
      <c r="E1" s="55"/>
    </row>
    <row r="2" spans="3:20">
      <c r="E2" s="55"/>
    </row>
    <row r="3" spans="3:20">
      <c r="C3" t="s">
        <v>43</v>
      </c>
      <c r="D3">
        <v>0</v>
      </c>
      <c r="E3">
        <v>0</v>
      </c>
      <c r="F3">
        <v>0</v>
      </c>
      <c r="G3">
        <v>0</v>
      </c>
      <c r="H3">
        <v>0</v>
      </c>
      <c r="I3">
        <v>0</v>
      </c>
      <c r="J3">
        <v>0</v>
      </c>
      <c r="K3">
        <v>0</v>
      </c>
      <c r="L3">
        <v>0</v>
      </c>
      <c r="N3" t="s">
        <v>43</v>
      </c>
      <c r="O3">
        <v>0</v>
      </c>
      <c r="P3">
        <v>0</v>
      </c>
      <c r="Q3">
        <v>0</v>
      </c>
      <c r="R3">
        <v>0</v>
      </c>
      <c r="S3">
        <v>0</v>
      </c>
      <c r="T3">
        <v>0</v>
      </c>
    </row>
    <row r="4" spans="3:20">
      <c r="C4" s="186" t="s">
        <v>555</v>
      </c>
      <c r="D4" s="186" t="s">
        <v>269</v>
      </c>
      <c r="E4" s="186" t="s">
        <v>268</v>
      </c>
      <c r="F4" s="186" t="s">
        <v>186</v>
      </c>
      <c r="G4" s="186" t="s">
        <v>267</v>
      </c>
      <c r="H4" s="186" t="s">
        <v>266</v>
      </c>
      <c r="I4" s="186" t="s">
        <v>265</v>
      </c>
      <c r="J4" s="186" t="s">
        <v>264</v>
      </c>
      <c r="K4" s="186" t="s">
        <v>263</v>
      </c>
      <c r="L4" s="186" t="s">
        <v>262</v>
      </c>
      <c r="M4" s="231" t="s">
        <v>338</v>
      </c>
      <c r="N4" s="775" t="s">
        <v>555</v>
      </c>
      <c r="O4" s="868" t="s">
        <v>474</v>
      </c>
      <c r="P4" s="868"/>
      <c r="R4" s="644" t="s">
        <v>545</v>
      </c>
      <c r="S4" s="644" t="s">
        <v>546</v>
      </c>
    </row>
    <row r="5" spans="3:20">
      <c r="C5" s="776">
        <v>1</v>
      </c>
      <c r="D5" s="185">
        <v>1</v>
      </c>
      <c r="E5" s="156">
        <v>23789</v>
      </c>
      <c r="F5" s="643" t="s">
        <v>620</v>
      </c>
      <c r="G5" s="855">
        <v>1000</v>
      </c>
      <c r="H5" s="855">
        <v>500</v>
      </c>
      <c r="I5" s="855">
        <v>2400</v>
      </c>
      <c r="J5" s="855">
        <v>1000</v>
      </c>
      <c r="K5" s="689">
        <v>0.05</v>
      </c>
      <c r="L5" s="689">
        <v>0.04</v>
      </c>
      <c r="M5" s="4"/>
      <c r="N5" t="s">
        <v>1233</v>
      </c>
      <c r="O5" s="185">
        <v>1</v>
      </c>
      <c r="P5" s="4" t="s">
        <v>260</v>
      </c>
      <c r="R5" s="126">
        <v>33000</v>
      </c>
      <c r="S5" s="126">
        <v>20000</v>
      </c>
    </row>
    <row r="6" spans="3:20">
      <c r="C6" s="776">
        <v>2</v>
      </c>
      <c r="D6" s="643">
        <v>2</v>
      </c>
      <c r="E6" s="156">
        <v>24724</v>
      </c>
      <c r="F6" s="185" t="s">
        <v>621</v>
      </c>
      <c r="G6" s="856">
        <v>50000</v>
      </c>
      <c r="H6" s="856">
        <v>1000</v>
      </c>
      <c r="I6" s="855">
        <v>1000</v>
      </c>
      <c r="J6" s="855">
        <v>1000</v>
      </c>
      <c r="K6" s="689">
        <v>0.05</v>
      </c>
      <c r="L6" s="689">
        <v>0.04</v>
      </c>
      <c r="M6" s="4"/>
      <c r="N6" t="s">
        <v>1234</v>
      </c>
      <c r="O6" s="185">
        <v>2</v>
      </c>
      <c r="P6" s="4" t="s">
        <v>259</v>
      </c>
      <c r="R6" s="126">
        <v>60000</v>
      </c>
      <c r="S6" s="126">
        <v>10000</v>
      </c>
    </row>
    <row r="7" spans="3:20">
      <c r="C7" s="776">
        <v>3</v>
      </c>
      <c r="D7" s="774">
        <v>3</v>
      </c>
      <c r="E7" s="156">
        <v>26414</v>
      </c>
      <c r="F7" s="185" t="s">
        <v>621</v>
      </c>
      <c r="G7" s="856">
        <v>70000</v>
      </c>
      <c r="H7" s="856">
        <v>30000</v>
      </c>
      <c r="I7" s="855">
        <v>90000</v>
      </c>
      <c r="J7" s="855">
        <v>1000</v>
      </c>
      <c r="K7" s="689">
        <v>0.05</v>
      </c>
      <c r="L7" s="689">
        <v>0.04</v>
      </c>
      <c r="M7" s="4"/>
      <c r="N7" t="s">
        <v>1235</v>
      </c>
      <c r="O7" s="778">
        <v>3</v>
      </c>
      <c r="P7" s="4" t="s">
        <v>258</v>
      </c>
      <c r="R7" s="126">
        <v>100000</v>
      </c>
      <c r="S7" s="126">
        <v>1000</v>
      </c>
    </row>
    <row r="8" spans="3:20">
      <c r="C8" s="776">
        <v>4</v>
      </c>
      <c r="D8" s="643">
        <v>4</v>
      </c>
      <c r="E8" s="156">
        <v>29250</v>
      </c>
      <c r="F8" s="622" t="s">
        <v>621</v>
      </c>
      <c r="G8" s="856">
        <v>80000</v>
      </c>
      <c r="H8" s="856">
        <v>5000</v>
      </c>
      <c r="I8" s="855">
        <v>11000</v>
      </c>
      <c r="J8" s="855">
        <v>1000</v>
      </c>
      <c r="K8" s="689">
        <v>0.05</v>
      </c>
      <c r="L8" s="689">
        <v>0.04</v>
      </c>
      <c r="M8" s="4"/>
      <c r="N8" s="844" t="s">
        <v>1236</v>
      </c>
      <c r="O8" s="778">
        <v>4</v>
      </c>
      <c r="P8" s="4" t="s">
        <v>619</v>
      </c>
      <c r="R8" s="126">
        <v>80000</v>
      </c>
      <c r="S8" s="126">
        <v>0</v>
      </c>
    </row>
    <row r="9" spans="3:20">
      <c r="C9" s="776">
        <v>5</v>
      </c>
      <c r="D9" s="643">
        <v>2</v>
      </c>
      <c r="E9" s="156">
        <v>30025</v>
      </c>
      <c r="F9" s="185" t="s">
        <v>621</v>
      </c>
      <c r="G9" s="856">
        <v>2000</v>
      </c>
      <c r="H9" s="856">
        <v>700</v>
      </c>
      <c r="I9" s="856">
        <v>4000</v>
      </c>
      <c r="J9" s="856"/>
      <c r="K9" s="689">
        <v>0.05</v>
      </c>
      <c r="L9" s="192"/>
      <c r="M9" s="4"/>
      <c r="N9" s="844" t="s">
        <v>1245</v>
      </c>
      <c r="O9" s="836">
        <v>5</v>
      </c>
      <c r="P9" s="4" t="s">
        <v>325</v>
      </c>
      <c r="R9" s="126">
        <v>200000</v>
      </c>
      <c r="S9" s="126">
        <v>15000</v>
      </c>
    </row>
    <row r="10" spans="3:20">
      <c r="C10" s="776">
        <v>6</v>
      </c>
      <c r="D10" s="643">
        <v>2</v>
      </c>
      <c r="E10" s="156">
        <v>28309</v>
      </c>
      <c r="F10" s="185" t="s">
        <v>621</v>
      </c>
      <c r="G10" s="643">
        <v>3000</v>
      </c>
      <c r="H10" s="643">
        <v>900</v>
      </c>
      <c r="I10" s="856">
        <v>3200</v>
      </c>
      <c r="J10" s="643"/>
      <c r="K10" s="689">
        <v>0.05</v>
      </c>
      <c r="L10" s="192"/>
      <c r="M10" s="4"/>
      <c r="N10" s="844" t="s">
        <v>1246</v>
      </c>
      <c r="R10" s="126">
        <v>210000</v>
      </c>
      <c r="S10" s="126">
        <v>10000</v>
      </c>
    </row>
    <row r="11" spans="3:20">
      <c r="C11" s="776">
        <v>7</v>
      </c>
      <c r="D11" s="865">
        <v>5</v>
      </c>
      <c r="E11" s="156">
        <v>27538</v>
      </c>
      <c r="F11" s="865" t="s">
        <v>621</v>
      </c>
      <c r="G11" s="865"/>
      <c r="H11" s="865"/>
      <c r="I11" s="856">
        <v>12000</v>
      </c>
      <c r="J11" s="865"/>
      <c r="K11" s="689"/>
      <c r="L11" s="192"/>
      <c r="M11" s="4"/>
      <c r="N11" s="844" t="s">
        <v>1247</v>
      </c>
      <c r="R11" s="126">
        <v>75000</v>
      </c>
      <c r="S11" s="126">
        <v>3560</v>
      </c>
    </row>
    <row r="12" spans="3:20">
      <c r="C12" s="776">
        <v>8</v>
      </c>
      <c r="D12" s="866">
        <v>5</v>
      </c>
      <c r="E12" s="156">
        <v>32568</v>
      </c>
      <c r="F12" s="866" t="s">
        <v>1248</v>
      </c>
      <c r="G12" s="643"/>
      <c r="H12" s="643"/>
      <c r="I12" s="856">
        <v>0</v>
      </c>
      <c r="J12" s="643"/>
      <c r="K12" s="192"/>
      <c r="L12" s="192"/>
      <c r="M12" s="4"/>
      <c r="N12" s="867" t="s">
        <v>1249</v>
      </c>
      <c r="R12" s="126">
        <v>45000</v>
      </c>
      <c r="S12" s="126">
        <v>6750</v>
      </c>
    </row>
    <row r="13" spans="3:20">
      <c r="C13" s="776">
        <v>9</v>
      </c>
      <c r="D13" s="866">
        <v>5</v>
      </c>
      <c r="E13" s="156">
        <v>29039</v>
      </c>
      <c r="F13" s="866" t="s">
        <v>1248</v>
      </c>
      <c r="G13" s="643"/>
      <c r="H13" s="643"/>
      <c r="I13" s="856">
        <v>0</v>
      </c>
      <c r="J13" s="643"/>
      <c r="K13" s="192"/>
      <c r="L13" s="192"/>
      <c r="M13" s="4"/>
      <c r="N13" s="867" t="s">
        <v>1250</v>
      </c>
      <c r="R13" s="126">
        <v>65000</v>
      </c>
      <c r="S13" s="126">
        <v>9750</v>
      </c>
    </row>
    <row r="14" spans="3:20">
      <c r="C14" s="776">
        <v>10</v>
      </c>
      <c r="D14" s="866">
        <v>5</v>
      </c>
      <c r="E14" s="156">
        <v>27068</v>
      </c>
      <c r="F14" s="866" t="s">
        <v>1248</v>
      </c>
      <c r="G14" s="643"/>
      <c r="H14" s="643"/>
      <c r="I14" s="856">
        <v>0</v>
      </c>
      <c r="J14" s="643"/>
      <c r="K14" s="192"/>
      <c r="L14" s="192"/>
      <c r="M14" s="4"/>
      <c r="N14" s="867" t="s">
        <v>1251</v>
      </c>
      <c r="R14" s="126">
        <v>83000</v>
      </c>
      <c r="S14" s="126">
        <v>12450</v>
      </c>
    </row>
    <row r="15" spans="3:20">
      <c r="C15" s="185"/>
      <c r="D15" s="643"/>
      <c r="E15" s="856"/>
      <c r="F15" s="643"/>
      <c r="G15" s="643"/>
      <c r="H15" s="643"/>
      <c r="I15" s="643"/>
      <c r="J15" s="643"/>
      <c r="K15" s="192"/>
      <c r="L15" s="192"/>
      <c r="M15" s="4"/>
    </row>
    <row r="16" spans="3:20">
      <c r="C16" s="185"/>
      <c r="D16" s="643"/>
      <c r="E16" s="156"/>
      <c r="F16" s="185"/>
      <c r="G16" s="643"/>
      <c r="H16" s="643"/>
      <c r="I16" s="643"/>
      <c r="J16" s="643"/>
      <c r="K16" s="192"/>
      <c r="L16" s="192"/>
      <c r="M16" s="4"/>
    </row>
    <row r="17" spans="3:13">
      <c r="C17" s="185"/>
      <c r="D17" s="643"/>
      <c r="E17" s="156"/>
      <c r="F17" s="185"/>
      <c r="G17" s="643"/>
      <c r="H17" s="643"/>
      <c r="I17" s="643"/>
      <c r="J17" s="643"/>
      <c r="K17" s="192"/>
      <c r="L17" s="192"/>
      <c r="M17" s="4"/>
    </row>
    <row r="18" spans="3:13">
      <c r="C18" s="185"/>
      <c r="D18" s="643"/>
      <c r="E18" s="156"/>
      <c r="F18" s="185"/>
      <c r="G18" s="643"/>
      <c r="H18" s="643"/>
      <c r="I18" s="643"/>
      <c r="J18" s="643"/>
      <c r="K18" s="192"/>
      <c r="L18" s="192"/>
      <c r="M18" s="4"/>
    </row>
    <row r="19" spans="3:13">
      <c r="C19" s="185"/>
      <c r="D19" s="643"/>
      <c r="E19" s="156"/>
      <c r="F19" s="185"/>
      <c r="G19" s="643"/>
      <c r="H19" s="643"/>
      <c r="I19" s="643"/>
      <c r="J19" s="643"/>
      <c r="K19" s="192"/>
      <c r="L19" s="192"/>
      <c r="M19" s="4"/>
    </row>
    <row r="20" spans="3:13">
      <c r="C20" s="185"/>
      <c r="D20" s="643"/>
      <c r="E20" s="156"/>
      <c r="F20" s="643"/>
      <c r="G20" s="643"/>
      <c r="H20" s="643"/>
      <c r="I20" s="643"/>
      <c r="J20" s="643"/>
      <c r="K20" s="192"/>
      <c r="L20" s="192"/>
      <c r="M20" s="4"/>
    </row>
    <row r="21" spans="3:13">
      <c r="C21" s="185"/>
      <c r="D21" s="643"/>
      <c r="E21" s="156"/>
      <c r="F21" s="643"/>
      <c r="G21" s="643"/>
      <c r="H21" s="643"/>
      <c r="I21" s="643"/>
      <c r="J21" s="643"/>
      <c r="K21" s="192"/>
      <c r="L21" s="192"/>
      <c r="M21" s="4"/>
    </row>
    <row r="22" spans="3:13">
      <c r="C22" s="185"/>
      <c r="D22" s="643"/>
      <c r="E22" s="156"/>
      <c r="F22" s="643"/>
      <c r="G22" s="643"/>
      <c r="H22" s="643"/>
      <c r="I22" s="643"/>
      <c r="J22" s="643"/>
      <c r="K22" s="192"/>
      <c r="L22" s="192"/>
      <c r="M22" s="4"/>
    </row>
    <row r="23" spans="3:13">
      <c r="C23" s="185"/>
      <c r="D23" s="643"/>
      <c r="E23" s="156"/>
      <c r="F23" s="643"/>
      <c r="G23" s="643"/>
      <c r="H23" s="643"/>
      <c r="I23" s="643"/>
      <c r="J23" s="643"/>
      <c r="K23" s="192"/>
      <c r="L23" s="192"/>
      <c r="M23" s="4"/>
    </row>
    <row r="24" spans="3:13">
      <c r="C24" s="185"/>
      <c r="D24" s="643"/>
      <c r="E24" s="156"/>
      <c r="F24" s="643"/>
      <c r="G24" s="643"/>
      <c r="H24" s="643"/>
      <c r="I24" s="643"/>
      <c r="J24" s="643"/>
      <c r="K24" s="192"/>
      <c r="L24" s="192"/>
      <c r="M24" s="4"/>
    </row>
    <row r="25" spans="3:13">
      <c r="C25" s="185"/>
      <c r="D25" s="271"/>
      <c r="E25" s="156"/>
      <c r="F25" s="185"/>
      <c r="G25" s="185"/>
      <c r="H25" s="185"/>
      <c r="I25" s="185"/>
      <c r="J25" s="185"/>
      <c r="K25" s="193"/>
      <c r="L25" s="192"/>
      <c r="M25" s="234"/>
    </row>
    <row r="26" spans="3:13">
      <c r="C26" s="185"/>
      <c r="D26" s="271"/>
      <c r="E26" s="156"/>
      <c r="F26" s="185"/>
      <c r="G26" s="185"/>
      <c r="H26" s="185"/>
      <c r="I26" s="185"/>
      <c r="J26" s="185"/>
      <c r="K26" s="193"/>
      <c r="L26" s="192"/>
      <c r="M26" s="234"/>
    </row>
    <row r="27" spans="3:13">
      <c r="C27" s="185"/>
      <c r="D27" s="271"/>
      <c r="E27" s="156"/>
      <c r="F27" s="185"/>
      <c r="G27" s="185"/>
      <c r="H27" s="185"/>
      <c r="I27" s="185"/>
      <c r="J27" s="185"/>
      <c r="K27" s="193"/>
      <c r="L27" s="192"/>
      <c r="M27" s="234"/>
    </row>
    <row r="28" spans="3:13">
      <c r="C28" s="185"/>
      <c r="D28" s="271"/>
      <c r="E28" s="156"/>
      <c r="F28" s="185"/>
      <c r="G28" s="185"/>
      <c r="H28" s="185"/>
      <c r="I28" s="185"/>
      <c r="J28" s="185"/>
      <c r="K28" s="193"/>
      <c r="L28" s="192"/>
      <c r="M28" s="4"/>
    </row>
    <row r="29" spans="3:13">
      <c r="C29" s="185"/>
      <c r="D29" s="271"/>
      <c r="E29" s="156"/>
      <c r="F29" s="185"/>
      <c r="G29" s="185"/>
      <c r="H29" s="185"/>
      <c r="I29" s="185"/>
      <c r="J29" s="196"/>
      <c r="K29" s="193"/>
      <c r="L29" s="192"/>
      <c r="M29" s="4"/>
    </row>
    <row r="30" spans="3:13">
      <c r="C30" s="185"/>
      <c r="D30" s="271"/>
      <c r="E30" s="156"/>
      <c r="F30" s="185"/>
      <c r="G30" s="185"/>
      <c r="H30" s="185"/>
      <c r="I30" s="185"/>
      <c r="J30" s="196"/>
      <c r="K30" s="193"/>
      <c r="L30" s="192"/>
      <c r="M30" s="4"/>
    </row>
    <row r="31" spans="3:13">
      <c r="C31" s="185"/>
      <c r="D31" s="271"/>
      <c r="E31" s="156"/>
      <c r="F31" s="185"/>
      <c r="G31" s="185"/>
      <c r="H31" s="185"/>
      <c r="I31" s="185"/>
      <c r="J31" s="196"/>
      <c r="K31" s="193"/>
      <c r="L31" s="192"/>
      <c r="M31" s="4"/>
    </row>
    <row r="32" spans="3:13">
      <c r="C32" s="185"/>
      <c r="D32" s="271"/>
      <c r="E32" s="156"/>
      <c r="F32" s="185"/>
      <c r="G32" s="185"/>
      <c r="H32" s="185"/>
      <c r="I32" s="185"/>
      <c r="J32" s="196"/>
      <c r="K32" s="193"/>
      <c r="L32" s="192"/>
      <c r="M32" s="4"/>
    </row>
    <row r="33" spans="3:13">
      <c r="C33" s="185"/>
      <c r="D33" s="271"/>
      <c r="E33" s="156"/>
      <c r="F33" s="185"/>
      <c r="G33" s="185"/>
      <c r="H33" s="185"/>
      <c r="I33" s="185"/>
      <c r="J33" s="196"/>
      <c r="K33" s="193"/>
      <c r="L33" s="192"/>
      <c r="M33" s="4"/>
    </row>
    <row r="34" spans="3:13">
      <c r="C34" s="185"/>
      <c r="D34" s="271"/>
      <c r="E34" s="156"/>
      <c r="F34" s="185"/>
      <c r="G34" s="185"/>
      <c r="H34" s="185"/>
      <c r="I34" s="185"/>
      <c r="J34" s="196"/>
      <c r="K34" s="193"/>
      <c r="L34" s="192"/>
      <c r="M34" s="4"/>
    </row>
  </sheetData>
  <mergeCells count="1">
    <mergeCell ref="O4:P4"/>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29"/>
  <sheetViews>
    <sheetView zoomScaleNormal="100" workbookViewId="0">
      <selection activeCell="B13" sqref="B13"/>
    </sheetView>
  </sheetViews>
  <sheetFormatPr defaultColWidth="10.88671875" defaultRowHeight="14.4"/>
  <cols>
    <col min="1" max="1" width="12" customWidth="1"/>
    <col min="2" max="2" width="10.6640625" bestFit="1" customWidth="1"/>
    <col min="3" max="3" width="12" bestFit="1" customWidth="1"/>
    <col min="4" max="4" width="9.6640625" bestFit="1" customWidth="1"/>
    <col min="5" max="5" width="9.109375" bestFit="1" customWidth="1"/>
    <col min="6" max="6" width="14.109375" bestFit="1" customWidth="1"/>
    <col min="7" max="7" width="8.33203125" bestFit="1" customWidth="1"/>
    <col min="9" max="9" width="15.33203125" customWidth="1"/>
    <col min="10" max="10" width="10.6640625" bestFit="1" customWidth="1"/>
    <col min="11" max="11" width="15.88671875" customWidth="1"/>
    <col min="12" max="12" width="16.109375" customWidth="1"/>
    <col min="13" max="13" width="11.109375" bestFit="1" customWidth="1"/>
    <col min="14" max="14" width="10.6640625" bestFit="1" customWidth="1"/>
    <col min="15" max="15" width="15.44140625" bestFit="1" customWidth="1"/>
    <col min="28" max="28" width="13.44140625" bestFit="1" customWidth="1"/>
    <col min="32" max="32" width="13.44140625" bestFit="1" customWidth="1"/>
  </cols>
  <sheetData>
    <row r="1" spans="1:15" ht="25.8">
      <c r="A1" s="873" t="s">
        <v>532</v>
      </c>
      <c r="B1" s="873"/>
      <c r="C1" s="873"/>
      <c r="D1" s="873"/>
      <c r="E1" s="873"/>
      <c r="F1" s="873"/>
      <c r="G1" s="873"/>
      <c r="H1" s="873"/>
      <c r="I1" s="873"/>
      <c r="J1" s="873"/>
      <c r="K1" s="873"/>
      <c r="L1" s="873"/>
      <c r="M1" s="873"/>
      <c r="N1" s="873"/>
      <c r="O1" s="873"/>
    </row>
    <row r="2" spans="1:15" ht="60" customHeight="1">
      <c r="C2" s="118" t="s">
        <v>159</v>
      </c>
    </row>
    <row r="3" spans="1:15" ht="15.75" customHeight="1">
      <c r="A3" s="869" t="s">
        <v>156</v>
      </c>
      <c r="B3" s="870"/>
      <c r="C3" s="130">
        <f>YEAR(PJSS!B6)</f>
        <v>1977</v>
      </c>
      <c r="G3" s="881" t="s">
        <v>158</v>
      </c>
      <c r="H3" s="881"/>
      <c r="I3" s="881"/>
      <c r="J3" s="881"/>
      <c r="K3" s="882"/>
      <c r="L3" s="883" t="s">
        <v>157</v>
      </c>
      <c r="M3" s="881"/>
      <c r="N3" s="881"/>
      <c r="O3" s="882"/>
    </row>
    <row r="4" spans="1:15" ht="15.75" customHeight="1" thickBot="1">
      <c r="A4" s="871" t="s">
        <v>134</v>
      </c>
      <c r="B4" s="872"/>
      <c r="C4" s="117">
        <f ca="1">PJSS!B10</f>
        <v>67</v>
      </c>
      <c r="G4" s="881"/>
      <c r="H4" s="881"/>
      <c r="I4" s="881"/>
      <c r="J4" s="881"/>
      <c r="K4" s="882"/>
      <c r="L4" s="884"/>
      <c r="M4" s="885"/>
      <c r="N4" s="885"/>
      <c r="O4" s="886"/>
    </row>
    <row r="5" spans="1:15" ht="31.8" thickBot="1">
      <c r="A5" s="874" t="s">
        <v>156</v>
      </c>
      <c r="B5" s="876" t="s">
        <v>155</v>
      </c>
      <c r="C5" s="877"/>
      <c r="D5" s="876" t="s">
        <v>154</v>
      </c>
      <c r="E5" s="877"/>
      <c r="G5" s="116" t="s">
        <v>134</v>
      </c>
      <c r="H5" s="116" t="s">
        <v>153</v>
      </c>
      <c r="I5" s="116" t="s">
        <v>509</v>
      </c>
      <c r="J5" s="116" t="s">
        <v>511</v>
      </c>
      <c r="K5" s="116" t="s">
        <v>152</v>
      </c>
      <c r="L5" s="116" t="s">
        <v>153</v>
      </c>
      <c r="M5" s="116" t="s">
        <v>509</v>
      </c>
      <c r="N5" s="116" t="s">
        <v>511</v>
      </c>
      <c r="O5" s="116" t="s">
        <v>152</v>
      </c>
    </row>
    <row r="6" spans="1:15" ht="15" thickBot="1">
      <c r="A6" s="875"/>
      <c r="B6" s="878"/>
      <c r="C6" s="879"/>
      <c r="D6" s="878"/>
      <c r="E6" s="879"/>
      <c r="G6" s="880">
        <v>2012</v>
      </c>
      <c r="I6" t="s">
        <v>510</v>
      </c>
    </row>
    <row r="7" spans="1:15" ht="16.2" thickBot="1">
      <c r="A7" s="115" t="s">
        <v>151</v>
      </c>
      <c r="B7" s="114" t="s">
        <v>150</v>
      </c>
      <c r="C7" s="114" t="s">
        <v>41</v>
      </c>
      <c r="D7" s="114" t="s">
        <v>150</v>
      </c>
      <c r="E7" s="114" t="s">
        <v>41</v>
      </c>
      <c r="G7" s="880"/>
      <c r="I7" s="55">
        <f>+$G$6-C3</f>
        <v>35</v>
      </c>
    </row>
    <row r="8" spans="1:15" ht="16.2" thickBot="1">
      <c r="A8" s="113"/>
      <c r="B8" s="112"/>
      <c r="C8" s="112"/>
      <c r="D8" s="112"/>
      <c r="E8" s="112"/>
    </row>
    <row r="9" spans="1:15" ht="16.2" thickBot="1">
      <c r="A9" s="110">
        <v>1892</v>
      </c>
      <c r="B9" s="109">
        <v>1000</v>
      </c>
      <c r="C9" s="109">
        <v>1000</v>
      </c>
      <c r="D9" s="111">
        <v>0</v>
      </c>
      <c r="E9" s="109">
        <v>0</v>
      </c>
      <c r="G9" s="582">
        <v>0</v>
      </c>
      <c r="H9" s="583">
        <f t="shared" ref="H9:H40" si="0">VLOOKUP($G$6-G9,$A$9:$F$1330,2,0)/1000</f>
        <v>1.9791825000000001E-3</v>
      </c>
      <c r="I9" s="583">
        <f>EXP(-VLOOKUP($G$6-G9,$A$9:$E$1250,4,0)*(G9-$I$7))</f>
        <v>4.0551999668446754</v>
      </c>
      <c r="J9" s="583">
        <f>+H9*I9</f>
        <v>8.0259808083795615E-3</v>
      </c>
      <c r="K9" s="585">
        <v>1000000</v>
      </c>
      <c r="L9" s="583">
        <f>VLOOKUP($G$6-G9,$A$9:$F$1330,3,0)/1000</f>
        <v>1.9638400000000001E-3</v>
      </c>
      <c r="M9" s="584">
        <f>EXP(-VLOOKUP($G$6-G9,$A$9:$E$1250,5,0)*(G9-$I$7))</f>
        <v>4.0551999668446754</v>
      </c>
      <c r="N9" s="583">
        <f>+L9*M9</f>
        <v>7.9637639028882472E-3</v>
      </c>
      <c r="O9" s="585">
        <v>1000000</v>
      </c>
    </row>
    <row r="10" spans="1:15" ht="16.2" thickBot="1">
      <c r="A10" s="110">
        <v>1893</v>
      </c>
      <c r="B10" s="109">
        <v>1000</v>
      </c>
      <c r="C10" s="109">
        <v>1000</v>
      </c>
      <c r="D10" s="108">
        <v>0</v>
      </c>
      <c r="E10" s="109">
        <v>0</v>
      </c>
      <c r="G10" s="582">
        <v>1</v>
      </c>
      <c r="H10" s="583">
        <f t="shared" si="0"/>
        <v>1.254475E-4</v>
      </c>
      <c r="I10" s="583">
        <f t="shared" ref="I10:I73" si="1">EXP(-VLOOKUP($G$6-G10,$A$9:$E$1250,4,0)*(G10-$I$7))</f>
        <v>3.8961933017952148</v>
      </c>
      <c r="J10" s="583">
        <f t="shared" ref="J10:J73" si="2">+H10*I10</f>
        <v>4.8876770922695525E-4</v>
      </c>
      <c r="K10" s="585">
        <f t="shared" ref="K10:K73" si="3">K9-(K9*J9)</f>
        <v>991974.01919162041</v>
      </c>
      <c r="L10" s="583">
        <f t="shared" ref="L10:L73" si="4">VLOOKUP($G$6-G10,$A$9:$F$1330,3,0)/1000</f>
        <v>1.3086249999999999E-4</v>
      </c>
      <c r="M10" s="584">
        <f t="shared" ref="M10:M73" si="5">EXP(-VLOOKUP($G$6-G10,$A$9:$E$1250,5,0)*(G10-$I$7))</f>
        <v>3.8961933017952148</v>
      </c>
      <c r="N10" s="583">
        <f t="shared" ref="N10:N73" si="6">+L10*M10</f>
        <v>5.0986559595617631E-4</v>
      </c>
      <c r="O10" s="585">
        <f t="shared" ref="O10:O73" si="7">O9-(O9*N9)</f>
        <v>992036.23609711172</v>
      </c>
    </row>
    <row r="11" spans="1:15" ht="16.2" thickBot="1">
      <c r="A11" s="110">
        <v>1894</v>
      </c>
      <c r="B11" s="109">
        <v>929.99999999999989</v>
      </c>
      <c r="C11" s="109">
        <v>935</v>
      </c>
      <c r="D11" s="108">
        <v>0</v>
      </c>
      <c r="E11" s="109">
        <v>0</v>
      </c>
      <c r="G11" s="582">
        <v>2</v>
      </c>
      <c r="H11" s="583">
        <f t="shared" si="0"/>
        <v>1.083E-4</v>
      </c>
      <c r="I11" s="583">
        <f t="shared" si="1"/>
        <v>3.7434213772608627</v>
      </c>
      <c r="J11" s="583">
        <f t="shared" si="2"/>
        <v>4.0541253515735144E-4</v>
      </c>
      <c r="K11" s="585">
        <f t="shared" si="3"/>
        <v>991489.17432264751</v>
      </c>
      <c r="L11" s="583">
        <f t="shared" si="4"/>
        <v>1.1190999999999999E-4</v>
      </c>
      <c r="M11" s="584">
        <f t="shared" si="5"/>
        <v>3.7434213772608627</v>
      </c>
      <c r="N11" s="583">
        <f t="shared" si="6"/>
        <v>4.1892628632926311E-4</v>
      </c>
      <c r="O11" s="585">
        <f t="shared" si="7"/>
        <v>991530.43095038389</v>
      </c>
    </row>
    <row r="12" spans="1:15" ht="16.2" thickBot="1">
      <c r="A12" s="110">
        <v>1895</v>
      </c>
      <c r="B12" s="109">
        <v>922.01037920932674</v>
      </c>
      <c r="C12" s="109">
        <v>864.57444467792027</v>
      </c>
      <c r="D12" s="108">
        <v>0</v>
      </c>
      <c r="E12" s="109">
        <v>0</v>
      </c>
      <c r="G12" s="582">
        <v>3</v>
      </c>
      <c r="H12" s="583">
        <f t="shared" si="0"/>
        <v>9.2957499999999992E-5</v>
      </c>
      <c r="I12" s="583">
        <f t="shared" si="1"/>
        <v>3.5966397255692817</v>
      </c>
      <c r="J12" s="583">
        <f t="shared" si="2"/>
        <v>3.3433463728960649E-4</v>
      </c>
      <c r="K12" s="585">
        <f t="shared" si="3"/>
        <v>991087.21218290424</v>
      </c>
      <c r="L12" s="583">
        <f t="shared" si="4"/>
        <v>9.3859999999999999E-5</v>
      </c>
      <c r="M12" s="584">
        <f t="shared" si="5"/>
        <v>3.5966397255692817</v>
      </c>
      <c r="N12" s="583">
        <f t="shared" si="6"/>
        <v>3.375806046419328E-4</v>
      </c>
      <c r="O12" s="585">
        <f t="shared" si="7"/>
        <v>991115.05278916343</v>
      </c>
    </row>
    <row r="13" spans="1:15" ht="16.2" thickBot="1">
      <c r="A13" s="110">
        <v>1896</v>
      </c>
      <c r="B13" s="109">
        <v>884.57993346106321</v>
      </c>
      <c r="C13" s="109">
        <v>800.90658646850409</v>
      </c>
      <c r="D13" s="108">
        <v>0</v>
      </c>
      <c r="E13" s="109">
        <v>0</v>
      </c>
      <c r="G13" s="582">
        <v>4</v>
      </c>
      <c r="H13" s="583">
        <f t="shared" si="0"/>
        <v>7.9419999999999995E-5</v>
      </c>
      <c r="I13" s="583">
        <f t="shared" si="1"/>
        <v>3.4556134647626755</v>
      </c>
      <c r="J13" s="583">
        <f t="shared" si="2"/>
        <v>2.7444482137145169E-4</v>
      </c>
      <c r="K13" s="585">
        <f t="shared" si="3"/>
        <v>990755.85739929671</v>
      </c>
      <c r="L13" s="583">
        <f t="shared" si="4"/>
        <v>7.8517499999999988E-5</v>
      </c>
      <c r="M13" s="584">
        <f t="shared" si="5"/>
        <v>3.4556134647626755</v>
      </c>
      <c r="N13" s="583">
        <f t="shared" si="6"/>
        <v>2.7132613021950332E-4</v>
      </c>
      <c r="O13" s="585">
        <f t="shared" si="7"/>
        <v>990780.47157037316</v>
      </c>
    </row>
    <row r="14" spans="1:15" ht="16.2" thickBot="1">
      <c r="A14" s="110">
        <v>1897</v>
      </c>
      <c r="B14" s="109">
        <v>825.40879026072639</v>
      </c>
      <c r="C14" s="109">
        <v>734.35132239804955</v>
      </c>
      <c r="D14" s="108">
        <v>0</v>
      </c>
      <c r="E14" s="109">
        <v>0</v>
      </c>
      <c r="G14" s="582">
        <v>5</v>
      </c>
      <c r="H14" s="583">
        <f t="shared" si="0"/>
        <v>6.8589999999999992E-5</v>
      </c>
      <c r="I14" s="583">
        <f t="shared" si="1"/>
        <v>3.3201169227365472</v>
      </c>
      <c r="J14" s="583">
        <f t="shared" si="2"/>
        <v>2.2772681973049974E-4</v>
      </c>
      <c r="K14" s="585">
        <f t="shared" si="3"/>
        <v>990483.94958499004</v>
      </c>
      <c r="L14" s="583">
        <f t="shared" si="4"/>
        <v>6.5882499999999998E-5</v>
      </c>
      <c r="M14" s="584">
        <f t="shared" si="5"/>
        <v>3.3201169227365472</v>
      </c>
      <c r="N14" s="583">
        <f t="shared" si="6"/>
        <v>2.1873760316219057E-4</v>
      </c>
      <c r="O14" s="585">
        <f t="shared" si="7"/>
        <v>990511.64693912491</v>
      </c>
    </row>
    <row r="15" spans="1:15" ht="16.2" thickBot="1">
      <c r="A15" s="110">
        <v>1898</v>
      </c>
      <c r="B15" s="109">
        <v>759.3062472385152</v>
      </c>
      <c r="C15" s="109">
        <v>670.58876892375599</v>
      </c>
      <c r="D15" s="108">
        <v>0</v>
      </c>
      <c r="E15" s="109">
        <v>0</v>
      </c>
      <c r="G15" s="582">
        <v>6</v>
      </c>
      <c r="H15" s="583">
        <f t="shared" si="0"/>
        <v>6.0467500000000003E-5</v>
      </c>
      <c r="I15" s="583">
        <f t="shared" si="1"/>
        <v>3.1899332761161845</v>
      </c>
      <c r="J15" s="583">
        <f t="shared" si="2"/>
        <v>1.928872903735554E-4</v>
      </c>
      <c r="K15" s="585">
        <f t="shared" si="3"/>
        <v>990258.38982515689</v>
      </c>
      <c r="L15" s="583">
        <f t="shared" si="4"/>
        <v>5.6857499999999996E-5</v>
      </c>
      <c r="M15" s="584">
        <f t="shared" si="5"/>
        <v>3.1899332761161845</v>
      </c>
      <c r="N15" s="583">
        <f t="shared" si="6"/>
        <v>1.8137163124677596E-4</v>
      </c>
      <c r="O15" s="585">
        <f t="shared" si="7"/>
        <v>990294.98479556921</v>
      </c>
    </row>
    <row r="16" spans="1:15" ht="16.2" thickBot="1">
      <c r="A16" s="110">
        <v>1899</v>
      </c>
      <c r="B16" s="109">
        <v>694.41798404206384</v>
      </c>
      <c r="C16" s="109">
        <v>611.79962765394748</v>
      </c>
      <c r="D16" s="108">
        <v>0</v>
      </c>
      <c r="E16" s="109">
        <v>0</v>
      </c>
      <c r="G16" s="582">
        <v>7</v>
      </c>
      <c r="H16" s="583">
        <f t="shared" si="0"/>
        <v>5.5954999999999995E-5</v>
      </c>
      <c r="I16" s="583">
        <f t="shared" si="1"/>
        <v>3.0648542032930024</v>
      </c>
      <c r="J16" s="583">
        <f t="shared" si="2"/>
        <v>1.7149391694525995E-4</v>
      </c>
      <c r="K16" s="585">
        <f t="shared" si="3"/>
        <v>990067.38156757387</v>
      </c>
      <c r="L16" s="583">
        <f t="shared" si="4"/>
        <v>5.1442500000000001E-5</v>
      </c>
      <c r="M16" s="584">
        <f t="shared" si="5"/>
        <v>3.0648542032930024</v>
      </c>
      <c r="N16" s="583">
        <f t="shared" si="6"/>
        <v>1.5766376235290029E-4</v>
      </c>
      <c r="O16" s="585">
        <f t="shared" si="7"/>
        <v>990115.37337876135</v>
      </c>
    </row>
    <row r="17" spans="1:15" ht="16.2" thickBot="1">
      <c r="A17" s="110">
        <v>1900</v>
      </c>
      <c r="B17" s="109">
        <v>634.08436757490722</v>
      </c>
      <c r="C17" s="109">
        <v>558.51521060955088</v>
      </c>
      <c r="D17" s="108">
        <v>0</v>
      </c>
      <c r="E17" s="109">
        <v>0</v>
      </c>
      <c r="G17" s="582">
        <v>8</v>
      </c>
      <c r="H17" s="583">
        <f t="shared" si="0"/>
        <v>5.3247499999999995E-5</v>
      </c>
      <c r="I17" s="583">
        <f t="shared" si="1"/>
        <v>2.9446795510655241</v>
      </c>
      <c r="J17" s="583">
        <f t="shared" si="2"/>
        <v>1.5679682439536147E-4</v>
      </c>
      <c r="K17" s="585">
        <f t="shared" si="3"/>
        <v>989897.59103426908</v>
      </c>
      <c r="L17" s="583">
        <f t="shared" si="4"/>
        <v>4.78325E-5</v>
      </c>
      <c r="M17" s="584">
        <f t="shared" si="5"/>
        <v>2.9068554588182218</v>
      </c>
      <c r="N17" s="583">
        <f t="shared" si="6"/>
        <v>1.3904216373392261E-4</v>
      </c>
      <c r="O17" s="585">
        <f t="shared" si="7"/>
        <v>989959.26806383103</v>
      </c>
    </row>
    <row r="18" spans="1:15" ht="16.2" thickBot="1">
      <c r="A18" s="110">
        <v>1901</v>
      </c>
      <c r="B18" s="109">
        <v>579.30282354788574</v>
      </c>
      <c r="C18" s="109">
        <v>510.55648616832008</v>
      </c>
      <c r="D18" s="108">
        <v>0</v>
      </c>
      <c r="E18" s="109">
        <v>0</v>
      </c>
      <c r="G18" s="582">
        <v>9</v>
      </c>
      <c r="H18" s="583">
        <f t="shared" si="0"/>
        <v>5.3247499999999995E-5</v>
      </c>
      <c r="I18" s="583">
        <f t="shared" si="1"/>
        <v>2.8292170143515598</v>
      </c>
      <c r="J18" s="583">
        <f t="shared" si="2"/>
        <v>1.5064873297168467E-4</v>
      </c>
      <c r="K18" s="585">
        <f t="shared" si="3"/>
        <v>989742.37823551823</v>
      </c>
      <c r="L18" s="583">
        <f t="shared" si="4"/>
        <v>4.78325E-5</v>
      </c>
      <c r="M18" s="584">
        <f t="shared" si="5"/>
        <v>2.7621315842634884</v>
      </c>
      <c r="N18" s="583">
        <f t="shared" si="6"/>
        <v>1.3211965900428331E-4</v>
      </c>
      <c r="O18" s="585">
        <f t="shared" si="7"/>
        <v>989821.62198519101</v>
      </c>
    </row>
    <row r="19" spans="1:15" ht="16.2" thickBot="1">
      <c r="A19" s="110">
        <v>1902</v>
      </c>
      <c r="B19" s="109">
        <v>530.05347803050017</v>
      </c>
      <c r="C19" s="109">
        <v>467.47237476630221</v>
      </c>
      <c r="D19" s="108">
        <v>0</v>
      </c>
      <c r="E19" s="109">
        <v>0</v>
      </c>
      <c r="G19" s="582">
        <v>10</v>
      </c>
      <c r="H19" s="583">
        <f t="shared" si="0"/>
        <v>5.5954999999999995E-5</v>
      </c>
      <c r="I19" s="583">
        <f t="shared" si="1"/>
        <v>2.7182818284590451</v>
      </c>
      <c r="J19" s="583">
        <f t="shared" si="2"/>
        <v>1.5210145971142585E-4</v>
      </c>
      <c r="K19" s="585">
        <f t="shared" si="3"/>
        <v>989593.2748002687</v>
      </c>
      <c r="L19" s="583">
        <f t="shared" si="4"/>
        <v>4.8735E-5</v>
      </c>
      <c r="M19" s="584">
        <f t="shared" si="5"/>
        <v>2.6400746085134807</v>
      </c>
      <c r="N19" s="583">
        <f t="shared" si="6"/>
        <v>1.2866403604590447E-4</v>
      </c>
      <c r="O19" s="585">
        <f t="shared" si="7"/>
        <v>989690.84709001926</v>
      </c>
    </row>
    <row r="20" spans="1:15" ht="16.2" thickBot="1">
      <c r="A20" s="110">
        <v>1903</v>
      </c>
      <c r="B20" s="109">
        <v>485.91772935851492</v>
      </c>
      <c r="C20" s="109">
        <v>428.7373040703738</v>
      </c>
      <c r="D20" s="108">
        <v>0</v>
      </c>
      <c r="E20" s="109">
        <v>1.4416538605618694E-4</v>
      </c>
      <c r="G20" s="582">
        <v>11</v>
      </c>
      <c r="H20" s="583">
        <f t="shared" si="0"/>
        <v>6.1370000000000004E-5</v>
      </c>
      <c r="I20" s="583">
        <f t="shared" si="1"/>
        <v>2.6116964734231178</v>
      </c>
      <c r="J20" s="583">
        <f t="shared" si="2"/>
        <v>1.6027981257397676E-4</v>
      </c>
      <c r="K20" s="585">
        <f t="shared" si="3"/>
        <v>989442.75621865096</v>
      </c>
      <c r="L20" s="583">
        <f t="shared" si="4"/>
        <v>5.2345000000000001E-5</v>
      </c>
      <c r="M20" s="584">
        <f t="shared" si="5"/>
        <v>2.5322676171313745</v>
      </c>
      <c r="N20" s="583">
        <f t="shared" si="6"/>
        <v>1.325515484187418E-4</v>
      </c>
      <c r="O20" s="585">
        <f t="shared" si="7"/>
        <v>989563.50947119494</v>
      </c>
    </row>
    <row r="21" spans="1:15" ht="16.2" thickBot="1">
      <c r="A21" s="110">
        <v>1904</v>
      </c>
      <c r="B21" s="109">
        <v>446.35410523896769</v>
      </c>
      <c r="C21" s="109">
        <v>393.83660717945298</v>
      </c>
      <c r="D21" s="108">
        <v>0</v>
      </c>
      <c r="E21" s="109">
        <v>6.4416538605618695E-4</v>
      </c>
      <c r="G21" s="582">
        <v>12</v>
      </c>
      <c r="H21" s="583">
        <f t="shared" si="0"/>
        <v>6.9492499999999999E-5</v>
      </c>
      <c r="I21" s="583">
        <f t="shared" si="1"/>
        <v>2.5092903899362979</v>
      </c>
      <c r="J21" s="583">
        <f t="shared" si="2"/>
        <v>1.7437686242264817E-4</v>
      </c>
      <c r="K21" s="585">
        <f t="shared" si="3"/>
        <v>989284.16851913161</v>
      </c>
      <c r="L21" s="583">
        <f t="shared" si="4"/>
        <v>5.7759999999999996E-5</v>
      </c>
      <c r="M21" s="584">
        <f t="shared" si="5"/>
        <v>2.4318102786530749</v>
      </c>
      <c r="N21" s="583">
        <f t="shared" si="6"/>
        <v>1.404613616950016E-4</v>
      </c>
      <c r="O21" s="585">
        <f t="shared" si="7"/>
        <v>989432.34129575582</v>
      </c>
    </row>
    <row r="22" spans="1:15" ht="16.2" thickBot="1">
      <c r="A22" s="110">
        <v>1905</v>
      </c>
      <c r="B22" s="109">
        <v>410.81668324333242</v>
      </c>
      <c r="C22" s="109">
        <v>362.3001402314847</v>
      </c>
      <c r="D22" s="108">
        <v>0</v>
      </c>
      <c r="E22" s="109">
        <v>1.144165386056187E-3</v>
      </c>
      <c r="G22" s="582">
        <v>13</v>
      </c>
      <c r="H22" s="583">
        <f t="shared" si="0"/>
        <v>8.2127499999999989E-5</v>
      </c>
      <c r="I22" s="583">
        <f t="shared" si="1"/>
        <v>2.4108997064172097</v>
      </c>
      <c r="J22" s="583">
        <f t="shared" si="2"/>
        <v>1.9800116563877936E-4</v>
      </c>
      <c r="K22" s="585">
        <f t="shared" si="3"/>
        <v>989111.66024978086</v>
      </c>
      <c r="L22" s="583">
        <f t="shared" si="4"/>
        <v>6.3174999999999991E-5</v>
      </c>
      <c r="M22" s="584">
        <f t="shared" si="5"/>
        <v>2.3343631136538416</v>
      </c>
      <c r="N22" s="583">
        <f t="shared" si="6"/>
        <v>1.4747338970508143E-4</v>
      </c>
      <c r="O22" s="585">
        <f t="shared" si="7"/>
        <v>989293.36428179231</v>
      </c>
    </row>
    <row r="23" spans="1:15" ht="16.2" thickBot="1">
      <c r="A23" s="110">
        <v>1906</v>
      </c>
      <c r="B23" s="109">
        <v>378.80212512225955</v>
      </c>
      <c r="C23" s="109">
        <v>333.71228820959283</v>
      </c>
      <c r="D23" s="108">
        <v>4.8134142838810552E-4</v>
      </c>
      <c r="E23" s="109">
        <v>1.644165386056187E-3</v>
      </c>
      <c r="G23" s="582">
        <v>14</v>
      </c>
      <c r="H23" s="583">
        <f t="shared" si="0"/>
        <v>9.747E-5</v>
      </c>
      <c r="I23" s="583">
        <f t="shared" si="1"/>
        <v>2.3163669767810915</v>
      </c>
      <c r="J23" s="583">
        <f t="shared" si="2"/>
        <v>2.2577628922685299E-4</v>
      </c>
      <c r="K23" s="585">
        <f t="shared" si="3"/>
        <v>988915.81498810451</v>
      </c>
      <c r="L23" s="583">
        <f t="shared" si="4"/>
        <v>6.9492499999999999E-5</v>
      </c>
      <c r="M23" s="584">
        <f t="shared" si="5"/>
        <v>2.2382526010865487</v>
      </c>
      <c r="N23" s="583">
        <f t="shared" si="6"/>
        <v>1.5554176888100699E-4</v>
      </c>
      <c r="O23" s="585">
        <f t="shared" si="7"/>
        <v>989147.4698359489</v>
      </c>
    </row>
    <row r="24" spans="1:15" ht="16.2" thickBot="1">
      <c r="A24" s="110">
        <v>1907</v>
      </c>
      <c r="B24" s="109">
        <v>349.86468393750118</v>
      </c>
      <c r="C24" s="109">
        <v>307.71155713911293</v>
      </c>
      <c r="D24" s="108">
        <v>9.8134142838810553E-4</v>
      </c>
      <c r="E24" s="109">
        <v>2.144165386056187E-3</v>
      </c>
      <c r="G24" s="582">
        <v>15</v>
      </c>
      <c r="H24" s="583">
        <f t="shared" si="0"/>
        <v>1.1551999999999999E-4</v>
      </c>
      <c r="I24" s="583">
        <f t="shared" si="1"/>
        <v>2.2255409284924679</v>
      </c>
      <c r="J24" s="583">
        <f t="shared" si="2"/>
        <v>2.5709448805944987E-4</v>
      </c>
      <c r="K24" s="585">
        <f t="shared" si="3"/>
        <v>988692.54124503874</v>
      </c>
      <c r="L24" s="583">
        <f t="shared" si="4"/>
        <v>7.6712500000000001E-5</v>
      </c>
      <c r="M24" s="584">
        <f t="shared" si="5"/>
        <v>2.1438127720003264</v>
      </c>
      <c r="N24" s="583">
        <f t="shared" si="6"/>
        <v>1.6445723727207505E-4</v>
      </c>
      <c r="O24" s="585">
        <f t="shared" si="7"/>
        <v>988993.61608880642</v>
      </c>
    </row>
    <row r="25" spans="1:15" ht="16.2" thickBot="1">
      <c r="A25" s="110">
        <v>1908</v>
      </c>
      <c r="B25" s="109">
        <v>323.61724244489324</v>
      </c>
      <c r="C25" s="109">
        <v>283.98594706083139</v>
      </c>
      <c r="D25" s="108">
        <v>1.4813414283881055E-3</v>
      </c>
      <c r="E25" s="109">
        <v>2.644165386056187E-3</v>
      </c>
      <c r="G25" s="582">
        <v>16</v>
      </c>
      <c r="H25" s="583">
        <f t="shared" si="0"/>
        <v>1.35375E-4</v>
      </c>
      <c r="I25" s="583">
        <f t="shared" si="1"/>
        <v>2.1382762204968184</v>
      </c>
      <c r="J25" s="583">
        <f t="shared" si="2"/>
        <v>2.894691433497568E-4</v>
      </c>
      <c r="K25" s="585">
        <f t="shared" si="3"/>
        <v>988438.3538422992</v>
      </c>
      <c r="L25" s="583">
        <f t="shared" si="4"/>
        <v>8.393249999999999E-5</v>
      </c>
      <c r="M25" s="584">
        <f t="shared" si="5"/>
        <v>2.052394150643456</v>
      </c>
      <c r="N25" s="583">
        <f t="shared" si="6"/>
        <v>1.7226257204888185E-4</v>
      </c>
      <c r="O25" s="585">
        <f t="shared" si="7"/>
        <v>988830.96893102478</v>
      </c>
    </row>
    <row r="26" spans="1:15" ht="16.2" thickBot="1">
      <c r="A26" s="110">
        <v>1909</v>
      </c>
      <c r="B26" s="109">
        <v>299.72669377329083</v>
      </c>
      <c r="C26" s="109">
        <v>262.26698565985396</v>
      </c>
      <c r="D26" s="108">
        <v>1.9813414283881055E-3</v>
      </c>
      <c r="E26" s="109">
        <v>3.144165386056187E-3</v>
      </c>
      <c r="G26" s="582">
        <v>17</v>
      </c>
      <c r="H26" s="583">
        <f t="shared" si="0"/>
        <v>1.5793749999999998E-4</v>
      </c>
      <c r="I26" s="583">
        <f t="shared" si="1"/>
        <v>2.0544332106438876</v>
      </c>
      <c r="J26" s="583">
        <f t="shared" si="2"/>
        <v>3.2447204520606894E-4</v>
      </c>
      <c r="K26" s="585">
        <f t="shared" si="3"/>
        <v>988152.23143875843</v>
      </c>
      <c r="L26" s="583">
        <f t="shared" si="4"/>
        <v>9.2054999999999985E-5</v>
      </c>
      <c r="M26" s="584">
        <f t="shared" si="5"/>
        <v>1.9654859050431808</v>
      </c>
      <c r="N26" s="583">
        <f t="shared" si="6"/>
        <v>1.8093280498874997E-4</v>
      </c>
      <c r="O26" s="585">
        <f t="shared" si="7"/>
        <v>988660.6303649951</v>
      </c>
    </row>
    <row r="27" spans="1:15" ht="16.2" thickBot="1">
      <c r="A27" s="110">
        <v>1910</v>
      </c>
      <c r="B27" s="109">
        <v>277.90746270741806</v>
      </c>
      <c r="C27" s="109">
        <v>242.32371943687195</v>
      </c>
      <c r="D27" s="108">
        <v>2.4813414283881056E-3</v>
      </c>
      <c r="E27" s="109">
        <v>3.644165386056187E-3</v>
      </c>
      <c r="G27" s="582">
        <v>18</v>
      </c>
      <c r="H27" s="583">
        <f t="shared" si="0"/>
        <v>1.805E-4</v>
      </c>
      <c r="I27" s="583">
        <f t="shared" si="1"/>
        <v>1.9738777322304477</v>
      </c>
      <c r="J27" s="583">
        <f t="shared" si="2"/>
        <v>3.5628493066759578E-4</v>
      </c>
      <c r="K27" s="585">
        <f t="shared" si="3"/>
        <v>987831.60366324859</v>
      </c>
      <c r="L27" s="583">
        <f t="shared" si="4"/>
        <v>9.8372500000000021E-5</v>
      </c>
      <c r="M27" s="584">
        <f t="shared" si="5"/>
        <v>1.8841758932805437</v>
      </c>
      <c r="N27" s="583">
        <f t="shared" si="6"/>
        <v>1.8535109306174033E-4</v>
      </c>
      <c r="O27" s="585">
        <f t="shared" si="7"/>
        <v>988481.74922396126</v>
      </c>
    </row>
    <row r="28" spans="1:15" ht="16.2" thickBot="1">
      <c r="A28" s="110">
        <v>1911</v>
      </c>
      <c r="B28" s="109">
        <v>257.91485471129261</v>
      </c>
      <c r="C28" s="109">
        <v>223.95720168764581</v>
      </c>
      <c r="D28" s="108">
        <v>2.9813414283881056E-3</v>
      </c>
      <c r="E28" s="109">
        <v>4.144165386056187E-3</v>
      </c>
      <c r="G28" s="582">
        <v>19</v>
      </c>
      <c r="H28" s="583">
        <f t="shared" si="0"/>
        <v>2.012575E-4</v>
      </c>
      <c r="I28" s="583">
        <f t="shared" si="1"/>
        <v>1.8964808793049515</v>
      </c>
      <c r="J28" s="583">
        <f t="shared" si="2"/>
        <v>3.8168100056671625E-4</v>
      </c>
      <c r="K28" s="585">
        <f t="shared" si="3"/>
        <v>987479.65414882614</v>
      </c>
      <c r="L28" s="583">
        <f t="shared" si="4"/>
        <v>1.02885E-4</v>
      </c>
      <c r="M28" s="584">
        <f t="shared" si="5"/>
        <v>1.8089216440293236</v>
      </c>
      <c r="N28" s="583">
        <f t="shared" si="6"/>
        <v>1.8611090334595698E-4</v>
      </c>
      <c r="O28" s="585">
        <f t="shared" si="7"/>
        <v>988298.53305127099</v>
      </c>
    </row>
    <row r="29" spans="1:15" ht="16.2" thickBot="1">
      <c r="A29" s="110">
        <v>1912</v>
      </c>
      <c r="B29" s="109">
        <v>239.53892853147232</v>
      </c>
      <c r="C29" s="109">
        <v>206.99565764026374</v>
      </c>
      <c r="D29" s="108">
        <v>3.4813414283881056E-3</v>
      </c>
      <c r="E29" s="109">
        <v>4.6441653860561875E-3</v>
      </c>
      <c r="G29" s="582">
        <v>20</v>
      </c>
      <c r="H29" s="583">
        <f t="shared" si="0"/>
        <v>2.193075E-4</v>
      </c>
      <c r="I29" s="583">
        <f t="shared" si="1"/>
        <v>1.8221188003905089</v>
      </c>
      <c r="J29" s="583">
        <f t="shared" si="2"/>
        <v>3.9960431881664151E-4</v>
      </c>
      <c r="K29" s="585">
        <f t="shared" si="3"/>
        <v>987102.75192639139</v>
      </c>
      <c r="L29" s="583">
        <f t="shared" si="4"/>
        <v>1.0649499999999999E-4</v>
      </c>
      <c r="M29" s="584">
        <f t="shared" si="5"/>
        <v>1.7395260971999573</v>
      </c>
      <c r="N29" s="583">
        <f t="shared" si="6"/>
        <v>1.8525083172130945E-4</v>
      </c>
      <c r="O29" s="585">
        <f t="shared" si="7"/>
        <v>988114.59991850937</v>
      </c>
    </row>
    <row r="30" spans="1:15" ht="16.2" thickBot="1">
      <c r="A30" s="110">
        <v>1913</v>
      </c>
      <c r="B30" s="109">
        <v>222.59912677267934</v>
      </c>
      <c r="C30" s="109">
        <v>191.29034238742327</v>
      </c>
      <c r="D30" s="108">
        <v>4.1813414283881052E-3</v>
      </c>
      <c r="E30" s="109">
        <v>5.3441653860561876E-3</v>
      </c>
      <c r="G30" s="582">
        <v>21</v>
      </c>
      <c r="H30" s="583">
        <f t="shared" si="0"/>
        <v>2.32845E-4</v>
      </c>
      <c r="I30" s="583">
        <f t="shared" si="1"/>
        <v>1.7506725002961012</v>
      </c>
      <c r="J30" s="583">
        <f t="shared" si="2"/>
        <v>4.076353383314457E-4</v>
      </c>
      <c r="K30" s="585">
        <f t="shared" si="3"/>
        <v>986708.30140360584</v>
      </c>
      <c r="L30" s="583">
        <f t="shared" si="4"/>
        <v>1.092025E-4</v>
      </c>
      <c r="M30" s="584">
        <f t="shared" si="5"/>
        <v>1.6752501003054301</v>
      </c>
      <c r="N30" s="583">
        <f t="shared" si="6"/>
        <v>1.8294149907860372E-4</v>
      </c>
      <c r="O30" s="585">
        <f t="shared" si="7"/>
        <v>987931.55086703855</v>
      </c>
    </row>
    <row r="31" spans="1:15" ht="16.2" thickBot="1">
      <c r="A31" s="110">
        <v>1914</v>
      </c>
      <c r="B31" s="109">
        <v>206.93969047949903</v>
      </c>
      <c r="C31" s="109">
        <v>176.71203717982615</v>
      </c>
      <c r="D31" s="108">
        <v>4.8813414283881062E-3</v>
      </c>
      <c r="E31" s="109">
        <v>6.0441653860561877E-3</v>
      </c>
      <c r="G31" s="582">
        <v>22</v>
      </c>
      <c r="H31" s="583">
        <f t="shared" si="0"/>
        <v>2.43675E-4</v>
      </c>
      <c r="I31" s="583">
        <f t="shared" si="1"/>
        <v>1.6820276496988864</v>
      </c>
      <c r="J31" s="583">
        <f t="shared" si="2"/>
        <v>4.0986808754037613E-4</v>
      </c>
      <c r="K31" s="585">
        <f t="shared" si="3"/>
        <v>986306.08423132868</v>
      </c>
      <c r="L31" s="583">
        <f t="shared" si="4"/>
        <v>1.1100750000000001E-4</v>
      </c>
      <c r="M31" s="584">
        <f t="shared" si="5"/>
        <v>1.6150307488636388</v>
      </c>
      <c r="N31" s="583">
        <f t="shared" si="6"/>
        <v>1.7928052585448041E-4</v>
      </c>
      <c r="O31" s="585">
        <f t="shared" si="7"/>
        <v>987750.81718813593</v>
      </c>
    </row>
    <row r="32" spans="1:15" ht="16.2" thickBot="1">
      <c r="A32" s="110">
        <v>1915</v>
      </c>
      <c r="B32" s="109">
        <v>192.42579646326848</v>
      </c>
      <c r="C32" s="109">
        <v>163.14810516774682</v>
      </c>
      <c r="D32" s="108">
        <v>5.5813414283881063E-3</v>
      </c>
      <c r="E32" s="109">
        <v>7.0392502755504405E-3</v>
      </c>
      <c r="G32" s="582">
        <v>23</v>
      </c>
      <c r="H32" s="583">
        <f t="shared" si="0"/>
        <v>2.50895E-4</v>
      </c>
      <c r="I32" s="583">
        <f t="shared" si="1"/>
        <v>1.6160744021928934</v>
      </c>
      <c r="J32" s="583">
        <f t="shared" si="2"/>
        <v>4.0546498713818599E-4</v>
      </c>
      <c r="K32" s="585">
        <f t="shared" si="3"/>
        <v>985901.82884285541</v>
      </c>
      <c r="L32" s="583">
        <f t="shared" si="4"/>
        <v>1.1371499999999999E-4</v>
      </c>
      <c r="M32" s="584">
        <f t="shared" si="5"/>
        <v>1.5577551063781274</v>
      </c>
      <c r="N32" s="583">
        <f t="shared" si="6"/>
        <v>1.7714012192178875E-4</v>
      </c>
      <c r="O32" s="585">
        <f t="shared" si="7"/>
        <v>987573.7327022173</v>
      </c>
    </row>
    <row r="33" spans="1:15" ht="16.2" thickBot="1">
      <c r="A33" s="110">
        <v>1916</v>
      </c>
      <c r="B33" s="109">
        <v>179.03653056605535</v>
      </c>
      <c r="C33" s="109">
        <v>150.53221699215328</v>
      </c>
      <c r="D33" s="108">
        <v>6.2813414283881064E-3</v>
      </c>
      <c r="E33" s="109">
        <v>8.057359792756057E-3</v>
      </c>
      <c r="G33" s="582">
        <v>24</v>
      </c>
      <c r="H33" s="583">
        <f t="shared" si="0"/>
        <v>2.5631000000000004E-4</v>
      </c>
      <c r="I33" s="583">
        <f t="shared" si="1"/>
        <v>1.552707218511336</v>
      </c>
      <c r="J33" s="583">
        <f t="shared" si="2"/>
        <v>3.9797438717664057E-4</v>
      </c>
      <c r="K33" s="585">
        <f t="shared" si="3"/>
        <v>985502.08017050417</v>
      </c>
      <c r="L33" s="583">
        <f t="shared" si="4"/>
        <v>1.164225E-4</v>
      </c>
      <c r="M33" s="584">
        <f t="shared" si="5"/>
        <v>1.5025133152100709</v>
      </c>
      <c r="N33" s="583">
        <f t="shared" si="6"/>
        <v>1.7492635644004447E-4</v>
      </c>
      <c r="O33" s="585">
        <f t="shared" si="7"/>
        <v>987398.79377079965</v>
      </c>
    </row>
    <row r="34" spans="1:15" ht="16.2" thickBot="1">
      <c r="A34" s="110">
        <v>1917</v>
      </c>
      <c r="B34" s="109">
        <v>166.56007493070703</v>
      </c>
      <c r="C34" s="109">
        <v>138.75548364312485</v>
      </c>
      <c r="D34" s="108">
        <v>7.2087224657291843E-3</v>
      </c>
      <c r="E34" s="109">
        <v>9.1036986223642508E-3</v>
      </c>
      <c r="G34" s="582">
        <v>25</v>
      </c>
      <c r="H34" s="583">
        <f t="shared" si="0"/>
        <v>2.6172499999999998E-4</v>
      </c>
      <c r="I34" s="583">
        <f t="shared" si="1"/>
        <v>1.4918246976412703</v>
      </c>
      <c r="J34" s="583">
        <f t="shared" si="2"/>
        <v>3.9044781899016143E-4</v>
      </c>
      <c r="K34" s="585">
        <f t="shared" si="3"/>
        <v>985109.87558408699</v>
      </c>
      <c r="L34" s="583">
        <f t="shared" si="4"/>
        <v>1.200325E-4</v>
      </c>
      <c r="M34" s="584">
        <f t="shared" si="5"/>
        <v>1.4487529477590451</v>
      </c>
      <c r="N34" s="583">
        <f t="shared" si="6"/>
        <v>1.7389743820188757E-4</v>
      </c>
      <c r="O34" s="585">
        <f t="shared" si="7"/>
        <v>987226.07169745199</v>
      </c>
    </row>
    <row r="35" spans="1:15" ht="16.2" thickBot="1">
      <c r="A35" s="110">
        <v>1918</v>
      </c>
      <c r="B35" s="109">
        <v>154.95832412068705</v>
      </c>
      <c r="C35" s="109">
        <v>127.7386836040297</v>
      </c>
      <c r="D35" s="108">
        <v>8.176969819352807E-3</v>
      </c>
      <c r="E35" s="109">
        <v>1.0185897434072333E-2</v>
      </c>
      <c r="G35" s="582">
        <v>26</v>
      </c>
      <c r="H35" s="583">
        <f t="shared" si="0"/>
        <v>2.6804249999999997E-4</v>
      </c>
      <c r="I35" s="583">
        <f t="shared" si="1"/>
        <v>1.4333294145603401</v>
      </c>
      <c r="J35" s="583">
        <f t="shared" si="2"/>
        <v>3.8419319960228995E-4</v>
      </c>
      <c r="K35" s="585">
        <f t="shared" si="3"/>
        <v>984725.24158169946</v>
      </c>
      <c r="L35" s="583">
        <f t="shared" si="4"/>
        <v>1.2454499999999997E-4</v>
      </c>
      <c r="M35" s="584">
        <f t="shared" si="5"/>
        <v>1.3962913493367646</v>
      </c>
      <c r="N35" s="583">
        <f t="shared" si="6"/>
        <v>1.7390110610314731E-4</v>
      </c>
      <c r="O35" s="585">
        <f t="shared" si="7"/>
        <v>987054.39561265765</v>
      </c>
    </row>
    <row r="36" spans="1:15" ht="16.2" thickBot="1">
      <c r="A36" s="110">
        <v>1919</v>
      </c>
      <c r="B36" s="109">
        <v>142.68593479999998</v>
      </c>
      <c r="C36" s="109">
        <v>115.6873039304018</v>
      </c>
      <c r="D36" s="108">
        <v>9.1876340503034021E-3</v>
      </c>
      <c r="E36" s="109">
        <v>1.1313183101112024E-2</v>
      </c>
      <c r="G36" s="582">
        <v>27</v>
      </c>
      <c r="H36" s="583">
        <f t="shared" si="0"/>
        <v>2.7435999999999997E-4</v>
      </c>
      <c r="I36" s="583">
        <f t="shared" si="1"/>
        <v>1.3771277643359572</v>
      </c>
      <c r="J36" s="583">
        <f t="shared" si="2"/>
        <v>3.7782877342321314E-4</v>
      </c>
      <c r="K36" s="585">
        <f t="shared" si="3"/>
        <v>984346.91684040707</v>
      </c>
      <c r="L36" s="583">
        <f t="shared" si="4"/>
        <v>1.3086249999999999E-4</v>
      </c>
      <c r="M36" s="584">
        <f t="shared" si="5"/>
        <v>1.3452067153481491</v>
      </c>
      <c r="N36" s="583">
        <f t="shared" si="6"/>
        <v>1.7603711378724713E-4</v>
      </c>
      <c r="O36" s="585">
        <f t="shared" si="7"/>
        <v>986882.74576147669</v>
      </c>
    </row>
    <row r="37" spans="1:15" ht="16.2" thickBot="1">
      <c r="A37" s="110">
        <v>1920</v>
      </c>
      <c r="B37" s="109">
        <v>133.09749650000001</v>
      </c>
      <c r="C37" s="109">
        <v>107.45958399842543</v>
      </c>
      <c r="D37" s="108">
        <v>1.0237659348873416E-2</v>
      </c>
      <c r="E37" s="109">
        <v>1.2494932137849345E-2</v>
      </c>
      <c r="G37" s="582">
        <v>28</v>
      </c>
      <c r="H37" s="583">
        <f t="shared" si="0"/>
        <v>2.8338499999999998E-4</v>
      </c>
      <c r="I37" s="583">
        <f t="shared" si="1"/>
        <v>1.3231298123374369</v>
      </c>
      <c r="J37" s="583">
        <f t="shared" si="2"/>
        <v>3.7495514186924455E-4</v>
      </c>
      <c r="K37" s="585">
        <f t="shared" si="3"/>
        <v>983975.00225219433</v>
      </c>
      <c r="L37" s="583">
        <f t="shared" si="4"/>
        <v>1.3808249999999999E-4</v>
      </c>
      <c r="M37" s="584">
        <f t="shared" si="5"/>
        <v>1.2956744821243855</v>
      </c>
      <c r="N37" s="583">
        <f t="shared" si="6"/>
        <v>1.7890997167794047E-4</v>
      </c>
      <c r="O37" s="585">
        <f t="shared" si="7"/>
        <v>986709.0177712664</v>
      </c>
    </row>
    <row r="38" spans="1:15" ht="16.2" thickBot="1">
      <c r="A38" s="110">
        <v>1921</v>
      </c>
      <c r="B38" s="109">
        <v>124.39554840030563</v>
      </c>
      <c r="C38" s="109">
        <v>99.28453305588765</v>
      </c>
      <c r="D38" s="108">
        <v>1.1325564124636577E-2</v>
      </c>
      <c r="E38" s="109">
        <v>1.3738939728117086E-2</v>
      </c>
      <c r="G38" s="582">
        <v>29</v>
      </c>
      <c r="H38" s="583">
        <f t="shared" si="0"/>
        <v>2.9421500000000001E-4</v>
      </c>
      <c r="I38" s="583">
        <f t="shared" si="1"/>
        <v>1.2712491503214047</v>
      </c>
      <c r="J38" s="583">
        <f t="shared" si="2"/>
        <v>3.7402056876181209E-4</v>
      </c>
      <c r="K38" s="585">
        <f t="shared" si="3"/>
        <v>983606.05576562905</v>
      </c>
      <c r="L38" s="583">
        <f t="shared" si="4"/>
        <v>1.4710750000000001E-4</v>
      </c>
      <c r="M38" s="584">
        <f t="shared" si="5"/>
        <v>1.2478299571983533</v>
      </c>
      <c r="N38" s="583">
        <f t="shared" si="6"/>
        <v>1.8356514542855677E-4</v>
      </c>
      <c r="O38" s="585">
        <f t="shared" si="7"/>
        <v>986532.4856888426</v>
      </c>
    </row>
    <row r="39" spans="1:15" ht="16.2" thickBot="1">
      <c r="A39" s="110">
        <v>1922</v>
      </c>
      <c r="B39" s="109">
        <v>117.56830231586662</v>
      </c>
      <c r="C39" s="109">
        <v>91.000557766220993</v>
      </c>
      <c r="D39" s="108">
        <v>1.2453932408480688E-2</v>
      </c>
      <c r="E39" s="109">
        <v>1.5049792809158828E-2</v>
      </c>
      <c r="G39" s="582">
        <v>30</v>
      </c>
      <c r="H39" s="583">
        <f t="shared" si="0"/>
        <v>3.0685E-4</v>
      </c>
      <c r="I39" s="583">
        <f t="shared" si="1"/>
        <v>1.2214027581601699</v>
      </c>
      <c r="J39" s="583">
        <f t="shared" si="2"/>
        <v>3.7478743634144812E-4</v>
      </c>
      <c r="K39" s="585">
        <f t="shared" si="3"/>
        <v>983238.16686921404</v>
      </c>
      <c r="L39" s="583">
        <f t="shared" si="4"/>
        <v>1.5793749999999998E-4</v>
      </c>
      <c r="M39" s="584">
        <f t="shared" si="5"/>
        <v>1.2017177684648082</v>
      </c>
      <c r="N39" s="583">
        <f t="shared" si="6"/>
        <v>1.8979630005691063E-4</v>
      </c>
      <c r="O39" s="585">
        <f t="shared" si="7"/>
        <v>986351.39270963718</v>
      </c>
    </row>
    <row r="40" spans="1:15" ht="16.2" thickBot="1">
      <c r="A40" s="110">
        <v>1923</v>
      </c>
      <c r="B40" s="109">
        <v>110.39915758622448</v>
      </c>
      <c r="C40" s="109">
        <v>82.715295868955522</v>
      </c>
      <c r="D40" s="108">
        <v>1.342443689404977E-2</v>
      </c>
      <c r="E40" s="109">
        <v>1.6227661793108219E-2</v>
      </c>
      <c r="G40" s="582">
        <v>31</v>
      </c>
      <c r="H40" s="583">
        <f t="shared" si="0"/>
        <v>3.2219250000000002E-4</v>
      </c>
      <c r="I40" s="583">
        <f t="shared" si="1"/>
        <v>1.1735108709918103</v>
      </c>
      <c r="J40" s="583">
        <f t="shared" si="2"/>
        <v>3.7809640130202885E-4</v>
      </c>
      <c r="K40" s="585">
        <f t="shared" si="3"/>
        <v>982869.66155734006</v>
      </c>
      <c r="L40" s="583">
        <f t="shared" si="4"/>
        <v>1.6966999999999999E-4</v>
      </c>
      <c r="M40" s="584">
        <f t="shared" si="5"/>
        <v>1.1573388393761967</v>
      </c>
      <c r="N40" s="583">
        <f t="shared" si="6"/>
        <v>1.963656808769593E-4</v>
      </c>
      <c r="O40" s="585">
        <f t="shared" si="7"/>
        <v>986164.18686474487</v>
      </c>
    </row>
    <row r="41" spans="1:15" ht="16.2" thickBot="1">
      <c r="A41" s="110">
        <v>1924</v>
      </c>
      <c r="B41" s="109">
        <v>102.83144273600732</v>
      </c>
      <c r="C41" s="109">
        <v>74.706114834415246</v>
      </c>
      <c r="D41" s="108">
        <v>1.4431812125564176E-2</v>
      </c>
      <c r="E41" s="109">
        <v>1.7467606897420974E-2</v>
      </c>
      <c r="G41" s="582">
        <v>32</v>
      </c>
      <c r="H41" s="583">
        <f t="shared" ref="H41:H72" si="8">VLOOKUP($G$6-G41,$A$9:$F$1330,2,0)/1000</f>
        <v>3.3933999999999999E-4</v>
      </c>
      <c r="I41" s="583">
        <f t="shared" si="1"/>
        <v>1.1274968515793757</v>
      </c>
      <c r="J41" s="583">
        <f t="shared" si="2"/>
        <v>3.8260478161494533E-4</v>
      </c>
      <c r="K41" s="585">
        <f t="shared" si="3"/>
        <v>982498.04207535624</v>
      </c>
      <c r="L41" s="583">
        <f t="shared" si="4"/>
        <v>1.8410999999999997E-4</v>
      </c>
      <c r="M41" s="584">
        <f t="shared" si="5"/>
        <v>1.1147485585132459</v>
      </c>
      <c r="N41" s="583">
        <f t="shared" si="6"/>
        <v>2.0523635710787368E-4</v>
      </c>
      <c r="O41" s="585">
        <f t="shared" si="7"/>
        <v>985970.53806273465</v>
      </c>
    </row>
    <row r="42" spans="1:15" ht="16.2" thickBot="1">
      <c r="A42" s="110">
        <v>1925</v>
      </c>
      <c r="B42" s="109">
        <v>94.977876306922326</v>
      </c>
      <c r="C42" s="109">
        <v>66.993881207914853</v>
      </c>
      <c r="D42" s="108">
        <v>1.5464667793020309E-2</v>
      </c>
      <c r="E42" s="109">
        <v>1.8759261528582274E-2</v>
      </c>
      <c r="G42" s="582">
        <v>33</v>
      </c>
      <c r="H42" s="583">
        <f t="shared" si="8"/>
        <v>3.5919499999999998E-4</v>
      </c>
      <c r="I42" s="583">
        <f t="shared" si="1"/>
        <v>1.0832870676749586</v>
      </c>
      <c r="J42" s="583">
        <f t="shared" si="2"/>
        <v>3.8911129827350673E-4</v>
      </c>
      <c r="K42" s="585">
        <f t="shared" si="3"/>
        <v>982122.13362653088</v>
      </c>
      <c r="L42" s="583">
        <f t="shared" si="4"/>
        <v>2.012575E-4</v>
      </c>
      <c r="M42" s="584">
        <f t="shared" si="5"/>
        <v>1.0741280118743628</v>
      </c>
      <c r="N42" s="583">
        <f t="shared" si="6"/>
        <v>2.1617631834980458E-4</v>
      </c>
      <c r="O42" s="585">
        <f t="shared" si="7"/>
        <v>985768.18106128694</v>
      </c>
    </row>
    <row r="43" spans="1:15" ht="16.2" thickBot="1">
      <c r="A43" s="110">
        <v>1926</v>
      </c>
      <c r="B43" s="109">
        <v>86.964537055071375</v>
      </c>
      <c r="C43" s="109">
        <v>59.526962702084653</v>
      </c>
      <c r="D43" s="108">
        <v>1.6510957568569705E-2</v>
      </c>
      <c r="E43" s="109">
        <v>2.0086680503462365E-2</v>
      </c>
      <c r="G43" s="582">
        <v>34</v>
      </c>
      <c r="H43" s="583">
        <f t="shared" si="8"/>
        <v>3.8356249999999995E-4</v>
      </c>
      <c r="I43" s="583">
        <f t="shared" si="1"/>
        <v>1.0408107741923882</v>
      </c>
      <c r="J43" s="583">
        <f t="shared" si="2"/>
        <v>3.9921598257616786E-4</v>
      </c>
      <c r="K43" s="585">
        <f t="shared" si="3"/>
        <v>981739.97880805226</v>
      </c>
      <c r="L43" s="583">
        <f t="shared" si="4"/>
        <v>2.2201500000000002E-4</v>
      </c>
      <c r="M43" s="584">
        <f t="shared" si="5"/>
        <v>1.035772599051457</v>
      </c>
      <c r="N43" s="583">
        <f t="shared" si="6"/>
        <v>2.2995705357840924E-4</v>
      </c>
      <c r="O43" s="585">
        <f t="shared" si="7"/>
        <v>985555.08132515871</v>
      </c>
    </row>
    <row r="44" spans="1:15" ht="16.2" thickBot="1">
      <c r="A44" s="110">
        <v>1927</v>
      </c>
      <c r="B44" s="109">
        <v>78.93344155327533</v>
      </c>
      <c r="C44" s="109">
        <v>52.373056146535852</v>
      </c>
      <c r="D44" s="108">
        <v>1.7557735030531575E-2</v>
      </c>
      <c r="E44" s="109">
        <v>2.1428267142300693E-2</v>
      </c>
      <c r="G44" s="582">
        <v>35</v>
      </c>
      <c r="H44" s="583">
        <f t="shared" si="8"/>
        <v>4.1244250000000001E-4</v>
      </c>
      <c r="I44" s="583">
        <f t="shared" si="1"/>
        <v>1</v>
      </c>
      <c r="J44" s="583">
        <f t="shared" si="2"/>
        <v>4.1244250000000001E-4</v>
      </c>
      <c r="K44" s="585">
        <f t="shared" si="3"/>
        <v>981348.05251777812</v>
      </c>
      <c r="L44" s="583">
        <f t="shared" si="4"/>
        <v>2.4638250000000002E-4</v>
      </c>
      <c r="M44" s="584">
        <f t="shared" si="5"/>
        <v>1</v>
      </c>
      <c r="N44" s="583">
        <f t="shared" si="6"/>
        <v>2.4638250000000002E-4</v>
      </c>
      <c r="O44" s="585">
        <f t="shared" si="7"/>
        <v>985328.44598251791</v>
      </c>
    </row>
    <row r="45" spans="1:15" ht="16.2" thickBot="1">
      <c r="A45" s="110">
        <v>1928</v>
      </c>
      <c r="B45" s="109">
        <v>71.016517739174915</v>
      </c>
      <c r="C45" s="109">
        <v>45.76252662878376</v>
      </c>
      <c r="D45" s="108">
        <v>1.8581927693542777E-2</v>
      </c>
      <c r="E45" s="109">
        <v>2.275695764844167E-2</v>
      </c>
      <c r="G45" s="582">
        <v>36</v>
      </c>
      <c r="H45" s="583">
        <f t="shared" si="8"/>
        <v>4.4763999999999996E-4</v>
      </c>
      <c r="I45" s="583">
        <f t="shared" si="1"/>
        <v>0.96078943915232318</v>
      </c>
      <c r="J45" s="583">
        <f t="shared" si="2"/>
        <v>4.3008778454214593E-4</v>
      </c>
      <c r="K45" s="585">
        <f t="shared" si="3"/>
        <v>980943.30287362752</v>
      </c>
      <c r="L45" s="583">
        <f t="shared" si="4"/>
        <v>2.7435999999999997E-4</v>
      </c>
      <c r="M45" s="584">
        <f t="shared" si="5"/>
        <v>0.96702782001876553</v>
      </c>
      <c r="N45" s="583">
        <f t="shared" si="6"/>
        <v>2.6531375270034849E-4</v>
      </c>
      <c r="O45" s="585">
        <f t="shared" si="7"/>
        <v>985085.67829667567</v>
      </c>
    </row>
    <row r="46" spans="1:15" ht="16.2" thickBot="1">
      <c r="A46" s="110">
        <v>1929</v>
      </c>
      <c r="B46" s="109">
        <v>63.327212745184241</v>
      </c>
      <c r="C46" s="109">
        <v>39.789127417402177</v>
      </c>
      <c r="D46" s="108">
        <v>1.9544560517619845E-2</v>
      </c>
      <c r="E46" s="109">
        <v>2.4041028128084299E-2</v>
      </c>
      <c r="G46" s="582">
        <v>37</v>
      </c>
      <c r="H46" s="583">
        <f t="shared" si="8"/>
        <v>4.9096000000000003E-4</v>
      </c>
      <c r="I46" s="583">
        <f t="shared" si="1"/>
        <v>0.92311634638663576</v>
      </c>
      <c r="J46" s="583">
        <f t="shared" si="2"/>
        <v>4.5321320142198272E-4</v>
      </c>
      <c r="K46" s="585">
        <f t="shared" si="3"/>
        <v>980521.41114173317</v>
      </c>
      <c r="L46" s="583">
        <f t="shared" si="4"/>
        <v>3.0685E-4</v>
      </c>
      <c r="M46" s="584">
        <f t="shared" si="5"/>
        <v>0.93688144207260127</v>
      </c>
      <c r="N46" s="583">
        <f t="shared" si="6"/>
        <v>2.8748207049997769E-4</v>
      </c>
      <c r="O46" s="585">
        <f t="shared" si="7"/>
        <v>984824.32151863538</v>
      </c>
    </row>
    <row r="47" spans="1:15" ht="16.2" thickBot="1">
      <c r="A47" s="110">
        <v>1930</v>
      </c>
      <c r="B47" s="109">
        <v>56.047807887958832</v>
      </c>
      <c r="C47" s="109">
        <v>34.432916643775137</v>
      </c>
      <c r="D47" s="108">
        <v>2.0504463115919819E-2</v>
      </c>
      <c r="E47" s="109">
        <v>2.5345850515601016E-2</v>
      </c>
      <c r="G47" s="582">
        <v>38</v>
      </c>
      <c r="H47" s="583">
        <f t="shared" si="8"/>
        <v>5.4511000000000013E-4</v>
      </c>
      <c r="I47" s="583">
        <f t="shared" si="1"/>
        <v>0.88692043671715748</v>
      </c>
      <c r="J47" s="583">
        <f t="shared" si="2"/>
        <v>4.8346919925888981E-4</v>
      </c>
      <c r="K47" s="585">
        <f t="shared" si="3"/>
        <v>980077.02589392685</v>
      </c>
      <c r="L47" s="583">
        <f t="shared" si="4"/>
        <v>3.4294999999999996E-4</v>
      </c>
      <c r="M47" s="584">
        <f t="shared" si="5"/>
        <v>0.90937142667055437</v>
      </c>
      <c r="N47" s="583">
        <f t="shared" si="6"/>
        <v>3.118689307766666E-4</v>
      </c>
      <c r="O47" s="585">
        <f t="shared" si="7"/>
        <v>984541.20218360645</v>
      </c>
    </row>
    <row r="48" spans="1:15" ht="16.2" thickBot="1">
      <c r="A48" s="110">
        <v>1931</v>
      </c>
      <c r="B48" s="109">
        <v>49.294280805831406</v>
      </c>
      <c r="C48" s="109">
        <v>29.761793783299026</v>
      </c>
      <c r="D48" s="108">
        <v>2.1235488216583411E-2</v>
      </c>
      <c r="E48" s="109">
        <v>2.643661692369851E-2</v>
      </c>
      <c r="G48" s="582">
        <v>39</v>
      </c>
      <c r="H48" s="583">
        <f t="shared" si="8"/>
        <v>6.1008999999999987E-4</v>
      </c>
      <c r="I48" s="583">
        <f t="shared" si="1"/>
        <v>0.85214378896621135</v>
      </c>
      <c r="J48" s="583">
        <f t="shared" si="2"/>
        <v>5.1988440421039581E-4</v>
      </c>
      <c r="K48" s="585">
        <f t="shared" si="3"/>
        <v>979603.18883900589</v>
      </c>
      <c r="L48" s="583">
        <f t="shared" si="4"/>
        <v>3.8356249999999995E-4</v>
      </c>
      <c r="M48" s="584">
        <f t="shared" si="5"/>
        <v>0.88414907888192906</v>
      </c>
      <c r="N48" s="583">
        <f t="shared" si="6"/>
        <v>3.3912643106864988E-4</v>
      </c>
      <c r="O48" s="585">
        <f t="shared" si="7"/>
        <v>984234.15437157592</v>
      </c>
    </row>
    <row r="49" spans="1:15" ht="16.2" thickBot="1">
      <c r="A49" s="110">
        <v>1932</v>
      </c>
      <c r="B49" s="109">
        <v>43.125512059111124</v>
      </c>
      <c r="C49" s="109">
        <v>25.657983623131468</v>
      </c>
      <c r="D49" s="108">
        <v>2.2024227155786162E-2</v>
      </c>
      <c r="E49" s="109">
        <v>2.758161258418524E-2</v>
      </c>
      <c r="G49" s="582">
        <v>40</v>
      </c>
      <c r="H49" s="583">
        <f t="shared" si="8"/>
        <v>6.8770500000000004E-4</v>
      </c>
      <c r="I49" s="583">
        <f t="shared" si="1"/>
        <v>0.81873075307798182</v>
      </c>
      <c r="J49" s="583">
        <f t="shared" si="2"/>
        <v>5.6304523254549358E-4</v>
      </c>
      <c r="K49" s="585">
        <f t="shared" si="3"/>
        <v>979093.90841881372</v>
      </c>
      <c r="L49" s="583">
        <f t="shared" si="4"/>
        <v>4.2868749999999992E-4</v>
      </c>
      <c r="M49" s="584">
        <f t="shared" si="5"/>
        <v>0.86082051262860282</v>
      </c>
      <c r="N49" s="583">
        <f t="shared" si="6"/>
        <v>3.6902299350747409E-4</v>
      </c>
      <c r="O49" s="585">
        <f t="shared" si="7"/>
        <v>983900.37455546798</v>
      </c>
    </row>
    <row r="50" spans="1:15" ht="16.2" thickBot="1">
      <c r="A50" s="110">
        <v>1933</v>
      </c>
      <c r="B50" s="109">
        <v>37.568048964607989</v>
      </c>
      <c r="C50" s="109">
        <v>22.101245416391354</v>
      </c>
      <c r="D50" s="108">
        <v>2.2572837256448378E-2</v>
      </c>
      <c r="E50" s="109">
        <v>2.8455262612435993E-2</v>
      </c>
      <c r="G50" s="582">
        <v>41</v>
      </c>
      <c r="H50" s="583">
        <f t="shared" si="8"/>
        <v>7.7705249999999993E-4</v>
      </c>
      <c r="I50" s="583">
        <f t="shared" si="1"/>
        <v>0.79047308285352613</v>
      </c>
      <c r="J50" s="583">
        <f t="shared" si="2"/>
        <v>6.1423908521403953E-4</v>
      </c>
      <c r="K50" s="585">
        <f t="shared" si="3"/>
        <v>978542.63426146412</v>
      </c>
      <c r="L50" s="583">
        <f t="shared" si="4"/>
        <v>4.8013E-4</v>
      </c>
      <c r="M50" s="584">
        <f t="shared" si="5"/>
        <v>0.83907929351616872</v>
      </c>
      <c r="N50" s="583">
        <f t="shared" si="6"/>
        <v>4.0286714119591808E-4</v>
      </c>
      <c r="O50" s="585">
        <f t="shared" si="7"/>
        <v>983537.29269393638</v>
      </c>
    </row>
    <row r="51" spans="1:15" ht="16.2" thickBot="1">
      <c r="A51" s="110">
        <v>1934</v>
      </c>
      <c r="B51" s="109">
        <v>32.611855848466334</v>
      </c>
      <c r="C51" s="109">
        <v>18.997594110209395</v>
      </c>
      <c r="D51" s="108">
        <v>2.3099440006120221E-2</v>
      </c>
      <c r="E51" s="109">
        <v>2.9240132382061142E-2</v>
      </c>
      <c r="G51" s="582">
        <v>42</v>
      </c>
      <c r="H51" s="583">
        <f t="shared" si="8"/>
        <v>8.8083999999999992E-4</v>
      </c>
      <c r="I51" s="583">
        <f t="shared" si="1"/>
        <v>0.76511455634726566</v>
      </c>
      <c r="J51" s="583">
        <f t="shared" si="2"/>
        <v>6.7394350581292538E-4</v>
      </c>
      <c r="K51" s="585">
        <f t="shared" si="3"/>
        <v>977941.57512895239</v>
      </c>
      <c r="L51" s="583">
        <f t="shared" si="4"/>
        <v>5.3788999999999996E-4</v>
      </c>
      <c r="M51" s="584">
        <f t="shared" si="5"/>
        <v>0.81880925345982303</v>
      </c>
      <c r="N51" s="583">
        <f t="shared" si="6"/>
        <v>4.404293093435042E-4</v>
      </c>
      <c r="O51" s="585">
        <f t="shared" si="7"/>
        <v>983141.05783656915</v>
      </c>
    </row>
    <row r="52" spans="1:15" ht="16.2" thickBot="1">
      <c r="A52" s="110">
        <v>1935</v>
      </c>
      <c r="B52" s="109">
        <v>28.331717557011363</v>
      </c>
      <c r="C52" s="109">
        <v>16.34037855546773</v>
      </c>
      <c r="D52" s="108">
        <v>2.3523311793608271E-2</v>
      </c>
      <c r="E52" s="109">
        <v>2.9827382925004878E-2</v>
      </c>
      <c r="G52" s="582">
        <v>43</v>
      </c>
      <c r="H52" s="583">
        <f t="shared" si="8"/>
        <v>9.9726250000000002E-4</v>
      </c>
      <c r="I52" s="583">
        <f t="shared" si="1"/>
        <v>0.74281076973569948</v>
      </c>
      <c r="J52" s="583">
        <f t="shared" si="2"/>
        <v>7.4077732525354802E-4</v>
      </c>
      <c r="K52" s="585">
        <f t="shared" si="3"/>
        <v>977282.49775532982</v>
      </c>
      <c r="L52" s="583">
        <f t="shared" si="4"/>
        <v>6.0106499999999991E-4</v>
      </c>
      <c r="M52" s="584">
        <f t="shared" si="5"/>
        <v>0.8001181274239666</v>
      </c>
      <c r="N52" s="583">
        <f t="shared" si="6"/>
        <v>4.8092300226008639E-4</v>
      </c>
      <c r="O52" s="585">
        <f t="shared" si="7"/>
        <v>982708.05369947897</v>
      </c>
    </row>
    <row r="53" spans="1:15" ht="16.2" thickBot="1">
      <c r="A53" s="110">
        <v>1936</v>
      </c>
      <c r="B53" s="109">
        <v>24.661751033025812</v>
      </c>
      <c r="C53" s="109">
        <v>14.072478498379615</v>
      </c>
      <c r="D53" s="108">
        <v>2.3864577125384444E-2</v>
      </c>
      <c r="E53" s="109">
        <v>3.0215747393402295E-2</v>
      </c>
      <c r="G53" s="582">
        <v>44</v>
      </c>
      <c r="H53" s="583">
        <f t="shared" si="8"/>
        <v>1.1290274999999998E-3</v>
      </c>
      <c r="I53" s="583">
        <f t="shared" si="1"/>
        <v>0.7237826291514744</v>
      </c>
      <c r="J53" s="583">
        <f t="shared" si="2"/>
        <v>8.171704923343162E-4</v>
      </c>
      <c r="K53" s="585">
        <f t="shared" si="3"/>
        <v>976558.54904062557</v>
      </c>
      <c r="L53" s="583">
        <f t="shared" si="4"/>
        <v>6.7145999999999992E-4</v>
      </c>
      <c r="M53" s="584">
        <f t="shared" si="5"/>
        <v>0.78328945144388773</v>
      </c>
      <c r="N53" s="583">
        <f t="shared" si="6"/>
        <v>5.2594753506651282E-4</v>
      </c>
      <c r="O53" s="585">
        <f t="shared" si="7"/>
        <v>982235.44679194863</v>
      </c>
    </row>
    <row r="54" spans="1:15" ht="16.2" thickBot="1">
      <c r="A54" s="110">
        <v>1937</v>
      </c>
      <c r="B54" s="109">
        <v>21.50499955287987</v>
      </c>
      <c r="C54" s="109">
        <v>12.179335306522296</v>
      </c>
      <c r="D54" s="108">
        <v>2.4238863926935025E-2</v>
      </c>
      <c r="E54" s="109">
        <v>3.0509561986730219E-2</v>
      </c>
      <c r="G54" s="582">
        <v>45</v>
      </c>
      <c r="H54" s="583">
        <f t="shared" si="8"/>
        <v>1.2752325E-3</v>
      </c>
      <c r="I54" s="583">
        <f t="shared" si="1"/>
        <v>0.70824974839516275</v>
      </c>
      <c r="J54" s="583">
        <f t="shared" si="2"/>
        <v>9.0318309727033437E-4</v>
      </c>
      <c r="K54" s="585">
        <f t="shared" si="3"/>
        <v>975760.53421031276</v>
      </c>
      <c r="L54" s="583">
        <f t="shared" si="4"/>
        <v>7.4726999999999997E-4</v>
      </c>
      <c r="M54" s="584">
        <f t="shared" si="5"/>
        <v>0.7686727858843968</v>
      </c>
      <c r="N54" s="583">
        <f t="shared" si="6"/>
        <v>5.7440611270783315E-4</v>
      </c>
      <c r="O54" s="585">
        <f t="shared" si="7"/>
        <v>981718.84247985343</v>
      </c>
    </row>
    <row r="55" spans="1:15" ht="16.2" thickBot="1">
      <c r="A55" s="110">
        <v>1938</v>
      </c>
      <c r="B55" s="109">
        <v>18.744852916546243</v>
      </c>
      <c r="C55" s="109">
        <v>10.618037274717382</v>
      </c>
      <c r="D55" s="108">
        <v>2.4451589248574428E-2</v>
      </c>
      <c r="E55" s="109">
        <v>3.0516648426605474E-2</v>
      </c>
      <c r="G55" s="582">
        <v>46</v>
      </c>
      <c r="H55" s="583">
        <f t="shared" si="8"/>
        <v>1.4367799999999999E-3</v>
      </c>
      <c r="I55" s="583">
        <f t="shared" si="1"/>
        <v>0.69636450748321443</v>
      </c>
      <c r="J55" s="583">
        <f t="shared" si="2"/>
        <v>1.0005225970617327E-3</v>
      </c>
      <c r="K55" s="585">
        <f t="shared" si="3"/>
        <v>974879.24378883059</v>
      </c>
      <c r="L55" s="583">
        <f t="shared" si="4"/>
        <v>8.2849499999999984E-4</v>
      </c>
      <c r="M55" s="584">
        <f t="shared" si="5"/>
        <v>0.75655180067979022</v>
      </c>
      <c r="N55" s="583">
        <f t="shared" si="6"/>
        <v>6.267993841042027E-4</v>
      </c>
      <c r="O55" s="585">
        <f t="shared" si="7"/>
        <v>981154.9371757725</v>
      </c>
    </row>
    <row r="56" spans="1:15" ht="16.2" thickBot="1">
      <c r="A56" s="110">
        <v>1939</v>
      </c>
      <c r="B56" s="109">
        <v>16.355765628721812</v>
      </c>
      <c r="C56" s="109">
        <v>9.3272986210318134</v>
      </c>
      <c r="D56" s="108">
        <v>2.459812660226296E-2</v>
      </c>
      <c r="E56" s="109">
        <v>3.0346828606350233E-2</v>
      </c>
      <c r="G56" s="582">
        <v>47</v>
      </c>
      <c r="H56" s="583">
        <f t="shared" si="8"/>
        <v>1.61367E-3</v>
      </c>
      <c r="I56" s="583">
        <f t="shared" si="1"/>
        <v>0.6880151454047263</v>
      </c>
      <c r="J56" s="583">
        <f t="shared" si="2"/>
        <v>1.1102293996852447E-3</v>
      </c>
      <c r="K56" s="585">
        <f t="shared" si="3"/>
        <v>973903.85507601337</v>
      </c>
      <c r="L56" s="583">
        <f t="shared" si="4"/>
        <v>9.1693999999999999E-4</v>
      </c>
      <c r="M56" s="584">
        <f t="shared" si="5"/>
        <v>0.74702695938138519</v>
      </c>
      <c r="N56" s="583">
        <f t="shared" si="6"/>
        <v>6.8497890013516729E-4</v>
      </c>
      <c r="O56" s="585">
        <f t="shared" si="7"/>
        <v>980539.94986543991</v>
      </c>
    </row>
    <row r="57" spans="1:15" ht="16.2" thickBot="1">
      <c r="A57" s="110">
        <v>1940</v>
      </c>
      <c r="B57" s="109">
        <v>14.348003972292179</v>
      </c>
      <c r="C57" s="109">
        <v>8.2570768234511629</v>
      </c>
      <c r="D57" s="108">
        <v>2.4665998387339353E-2</v>
      </c>
      <c r="E57" s="109">
        <v>3.0011635848764411E-2</v>
      </c>
      <c r="G57" s="582">
        <v>48</v>
      </c>
      <c r="H57" s="583">
        <f t="shared" si="8"/>
        <v>1.8077074999999999E-3</v>
      </c>
      <c r="I57" s="583">
        <f t="shared" si="1"/>
        <v>0.68247993155529807</v>
      </c>
      <c r="J57" s="583">
        <f t="shared" si="2"/>
        <v>1.233724090871999E-3</v>
      </c>
      <c r="K57" s="585">
        <f t="shared" si="3"/>
        <v>972822.59838364122</v>
      </c>
      <c r="L57" s="583">
        <f t="shared" si="4"/>
        <v>1.0107999999999998E-3</v>
      </c>
      <c r="M57" s="584">
        <f t="shared" si="5"/>
        <v>0.73993465478151821</v>
      </c>
      <c r="N57" s="583">
        <f t="shared" si="6"/>
        <v>7.4792594905315852E-4</v>
      </c>
      <c r="O57" s="585">
        <f t="shared" si="7"/>
        <v>979868.30068904243</v>
      </c>
    </row>
    <row r="58" spans="1:15" ht="16.2" thickBot="1">
      <c r="A58" s="110">
        <v>1941</v>
      </c>
      <c r="B58" s="109">
        <v>12.765520762680989</v>
      </c>
      <c r="C58" s="109">
        <v>7.3839543948326174</v>
      </c>
      <c r="D58" s="108">
        <v>2.474094370087631E-2</v>
      </c>
      <c r="E58" s="109">
        <v>2.9625281427025925E-2</v>
      </c>
      <c r="G58" s="582">
        <v>49</v>
      </c>
      <c r="H58" s="583">
        <f t="shared" si="8"/>
        <v>2.0170874999999996E-3</v>
      </c>
      <c r="I58" s="583">
        <f t="shared" si="1"/>
        <v>0.67859843468982695</v>
      </c>
      <c r="J58" s="583">
        <f t="shared" si="2"/>
        <v>1.368792420132416E-3</v>
      </c>
      <c r="K58" s="585">
        <f t="shared" si="3"/>
        <v>971622.40370787063</v>
      </c>
      <c r="L58" s="583">
        <f t="shared" si="4"/>
        <v>1.1100749999999999E-3</v>
      </c>
      <c r="M58" s="584">
        <f t="shared" si="5"/>
        <v>0.73481232433458943</v>
      </c>
      <c r="N58" s="583">
        <f t="shared" si="6"/>
        <v>8.1569679093571924E-4</v>
      </c>
      <c r="O58" s="585">
        <f t="shared" si="7"/>
        <v>979135.43176030251</v>
      </c>
    </row>
    <row r="59" spans="1:15" ht="16.2" thickBot="1">
      <c r="A59" s="110">
        <v>1942</v>
      </c>
      <c r="B59" s="109">
        <v>11.593273342537261</v>
      </c>
      <c r="C59" s="109">
        <v>6.6699496791264696</v>
      </c>
      <c r="D59" s="108">
        <v>2.4514946845656735E-2</v>
      </c>
      <c r="E59" s="109">
        <v>2.8906337276231028E-2</v>
      </c>
      <c r="G59" s="582">
        <v>50</v>
      </c>
      <c r="H59" s="583">
        <f t="shared" si="8"/>
        <v>2.2436149999999996E-3</v>
      </c>
      <c r="I59" s="583">
        <f t="shared" si="1"/>
        <v>0.67520959183355</v>
      </c>
      <c r="J59" s="583">
        <f t="shared" si="2"/>
        <v>1.5149103683816301E-3</v>
      </c>
      <c r="K59" s="585">
        <f t="shared" si="3"/>
        <v>970292.45432644442</v>
      </c>
      <c r="L59" s="583">
        <f t="shared" si="4"/>
        <v>1.214765E-3</v>
      </c>
      <c r="M59" s="584">
        <f t="shared" si="5"/>
        <v>0.73091439707021733</v>
      </c>
      <c r="N59" s="583">
        <f t="shared" si="6"/>
        <v>8.8788922755700253E-4</v>
      </c>
      <c r="O59" s="585">
        <f t="shared" si="7"/>
        <v>978336.75413072412</v>
      </c>
    </row>
    <row r="60" spans="1:15" ht="16.2" thickBot="1">
      <c r="A60" s="110">
        <v>1943</v>
      </c>
      <c r="B60" s="109">
        <v>10.754609182490258</v>
      </c>
      <c r="C60" s="109">
        <v>6.0515512944129384</v>
      </c>
      <c r="D60" s="108">
        <v>2.4288094549765635E-2</v>
      </c>
      <c r="E60" s="109">
        <v>2.817922395723747E-2</v>
      </c>
      <c r="G60" s="582">
        <v>51</v>
      </c>
      <c r="H60" s="583">
        <f t="shared" si="8"/>
        <v>2.4863874999999998E-3</v>
      </c>
      <c r="I60" s="583">
        <f t="shared" si="1"/>
        <v>0.67119920526966403</v>
      </c>
      <c r="J60" s="583">
        <f t="shared" si="2"/>
        <v>1.6688613139924267E-3</v>
      </c>
      <c r="K60" s="585">
        <f t="shared" si="3"/>
        <v>968822.54822702287</v>
      </c>
      <c r="L60" s="583">
        <f t="shared" si="4"/>
        <v>1.323065E-3</v>
      </c>
      <c r="M60" s="584">
        <f t="shared" si="5"/>
        <v>0.72728315965554913</v>
      </c>
      <c r="N60" s="583">
        <f t="shared" si="6"/>
        <v>9.6224289362966916E-4</v>
      </c>
      <c r="O60" s="585">
        <f t="shared" si="7"/>
        <v>977468.09946580837</v>
      </c>
    </row>
    <row r="61" spans="1:15" ht="16.2" thickBot="1">
      <c r="A61" s="110">
        <v>1944</v>
      </c>
      <c r="B61" s="109">
        <v>10.149810378672738</v>
      </c>
      <c r="C61" s="109">
        <v>5.5079874830953894</v>
      </c>
      <c r="D61" s="108">
        <v>2.3982792994846455E-2</v>
      </c>
      <c r="E61" s="109">
        <v>2.7374480324136759E-2</v>
      </c>
      <c r="G61" s="582">
        <v>52</v>
      </c>
      <c r="H61" s="583">
        <f t="shared" si="8"/>
        <v>2.7454049999999998E-3</v>
      </c>
      <c r="I61" s="583">
        <f t="shared" si="1"/>
        <v>0.66565633000056645</v>
      </c>
      <c r="J61" s="583">
        <f t="shared" si="2"/>
        <v>1.8274962166652049E-3</v>
      </c>
      <c r="K61" s="585">
        <f t="shared" si="3"/>
        <v>967205.71775616321</v>
      </c>
      <c r="L61" s="583">
        <f t="shared" si="4"/>
        <v>1.4358774999999999E-3</v>
      </c>
      <c r="M61" s="584">
        <f t="shared" si="5"/>
        <v>0.72287370472948342</v>
      </c>
      <c r="N61" s="583">
        <f t="shared" si="6"/>
        <v>1.0379580879627088E-3</v>
      </c>
      <c r="O61" s="585">
        <f t="shared" si="7"/>
        <v>976527.53773334774</v>
      </c>
    </row>
    <row r="62" spans="1:15" ht="16.2" thickBot="1">
      <c r="A62" s="110">
        <v>1945</v>
      </c>
      <c r="B62" s="109">
        <v>9.6478746156608963</v>
      </c>
      <c r="C62" s="109">
        <v>5.0494891717099337</v>
      </c>
      <c r="D62" s="108">
        <v>2.353176742128053E-2</v>
      </c>
      <c r="E62" s="109">
        <v>2.6427065509909142E-2</v>
      </c>
      <c r="G62" s="582">
        <v>53</v>
      </c>
      <c r="H62" s="583">
        <f t="shared" si="8"/>
        <v>3.0188624999999995E-3</v>
      </c>
      <c r="I62" s="583">
        <f t="shared" si="1"/>
        <v>0.65812727586090669</v>
      </c>
      <c r="J62" s="583">
        <f t="shared" si="2"/>
        <v>1.9867957533236461E-3</v>
      </c>
      <c r="K62" s="585">
        <f t="shared" si="3"/>
        <v>965438.15296622692</v>
      </c>
      <c r="L62" s="583">
        <f t="shared" si="4"/>
        <v>1.5513974999999999E-3</v>
      </c>
      <c r="M62" s="584">
        <f t="shared" si="5"/>
        <v>0.71671468856083165</v>
      </c>
      <c r="N62" s="583">
        <f t="shared" si="6"/>
        <v>1.1119093760465527E-3</v>
      </c>
      <c r="O62" s="585">
        <f t="shared" si="7"/>
        <v>975513.94307743909</v>
      </c>
    </row>
    <row r="63" spans="1:15" ht="16.2" thickBot="1">
      <c r="A63" s="110">
        <v>1946</v>
      </c>
      <c r="B63" s="109">
        <v>9.1785200714068296</v>
      </c>
      <c r="C63" s="109">
        <v>4.6598644513094962</v>
      </c>
      <c r="D63" s="108">
        <v>2.3065429036596946E-2</v>
      </c>
      <c r="E63" s="109">
        <v>2.5472708033094808E-2</v>
      </c>
      <c r="G63" s="582">
        <v>54</v>
      </c>
      <c r="H63" s="583">
        <f t="shared" si="8"/>
        <v>3.3076624999999996E-3</v>
      </c>
      <c r="I63" s="583">
        <f t="shared" si="1"/>
        <v>0.64878302685483358</v>
      </c>
      <c r="J63" s="583">
        <f t="shared" si="2"/>
        <v>2.1459552885642256E-3</v>
      </c>
      <c r="K63" s="585">
        <f t="shared" si="3"/>
        <v>963520.02454381704</v>
      </c>
      <c r="L63" s="583">
        <f t="shared" si="4"/>
        <v>1.6687224999999998E-3</v>
      </c>
      <c r="M63" s="584">
        <f t="shared" si="5"/>
        <v>0.70806631269493814</v>
      </c>
      <c r="N63" s="583">
        <f t="shared" si="6"/>
        <v>1.1815661874860787E-3</v>
      </c>
      <c r="O63" s="585">
        <f t="shared" si="7"/>
        <v>974429.25997766713</v>
      </c>
    </row>
    <row r="64" spans="1:15" ht="16.2" thickBot="1">
      <c r="A64" s="110">
        <v>1947</v>
      </c>
      <c r="B64" s="109">
        <v>8.6751084073549745</v>
      </c>
      <c r="C64" s="109">
        <v>4.3266578048094244</v>
      </c>
      <c r="D64" s="108">
        <v>2.2631595995343846E-2</v>
      </c>
      <c r="E64" s="109">
        <v>2.4543182412985691E-2</v>
      </c>
      <c r="G64" s="582">
        <v>55</v>
      </c>
      <c r="H64" s="583">
        <f t="shared" si="8"/>
        <v>3.6099999999999999E-3</v>
      </c>
      <c r="I64" s="583">
        <f t="shared" si="1"/>
        <v>0.63822223225199692</v>
      </c>
      <c r="J64" s="583">
        <f t="shared" si="2"/>
        <v>2.303982258429709E-3</v>
      </c>
      <c r="K64" s="585">
        <f t="shared" si="3"/>
        <v>961452.35365150974</v>
      </c>
      <c r="L64" s="583">
        <f t="shared" si="4"/>
        <v>1.7878525000000001E-3</v>
      </c>
      <c r="M64" s="584">
        <f t="shared" si="5"/>
        <v>0.6965292795367175</v>
      </c>
      <c r="N64" s="583">
        <f t="shared" si="6"/>
        <v>1.2452916137429193E-3</v>
      </c>
      <c r="O64" s="585">
        <f t="shared" si="7"/>
        <v>973277.90731198038</v>
      </c>
    </row>
    <row r="65" spans="1:15" ht="16.2" thickBot="1">
      <c r="A65" s="110">
        <v>1948</v>
      </c>
      <c r="B65" s="109">
        <v>8.0919771236003246</v>
      </c>
      <c r="C65" s="109">
        <v>3.9920170909516712</v>
      </c>
      <c r="D65" s="108">
        <v>2.217724810311596E-2</v>
      </c>
      <c r="E65" s="109">
        <v>2.3562040012148799E-2</v>
      </c>
      <c r="G65" s="582">
        <v>56</v>
      </c>
      <c r="H65" s="583">
        <f t="shared" si="8"/>
        <v>3.9231675000000006E-3</v>
      </c>
      <c r="I65" s="583">
        <f t="shared" si="1"/>
        <v>0.62716566353917069</v>
      </c>
      <c r="J65" s="583">
        <f t="shared" si="2"/>
        <v>2.46047594831281E-3</v>
      </c>
      <c r="K65" s="585">
        <f t="shared" si="3"/>
        <v>959237.18448637112</v>
      </c>
      <c r="L65" s="583">
        <f t="shared" si="4"/>
        <v>1.9069824999999999E-3</v>
      </c>
      <c r="M65" s="584">
        <f t="shared" si="5"/>
        <v>0.68207180604135531</v>
      </c>
      <c r="N65" s="583">
        <f t="shared" si="6"/>
        <v>1.3006989978642588E-3</v>
      </c>
      <c r="O65" s="585">
        <f t="shared" si="7"/>
        <v>972065.89249616349</v>
      </c>
    </row>
    <row r="66" spans="1:15" ht="16.2" thickBot="1">
      <c r="A66" s="110">
        <v>1949</v>
      </c>
      <c r="B66" s="109">
        <v>7.4257961353978148</v>
      </c>
      <c r="C66" s="109">
        <v>3.612342303619211</v>
      </c>
      <c r="D66" s="108">
        <v>2.1839272510743035E-2</v>
      </c>
      <c r="E66" s="109">
        <v>2.2642394909694351E-2</v>
      </c>
      <c r="G66" s="582">
        <v>57</v>
      </c>
      <c r="H66" s="583">
        <f t="shared" si="8"/>
        <v>4.2435549999999995E-3</v>
      </c>
      <c r="I66" s="583">
        <f t="shared" si="1"/>
        <v>0.61605135710190051</v>
      </c>
      <c r="J66" s="583">
        <f t="shared" si="2"/>
        <v>2.6142478166865553E-3</v>
      </c>
      <c r="K66" s="585">
        <f t="shared" si="3"/>
        <v>956877.00446521514</v>
      </c>
      <c r="L66" s="583">
        <f t="shared" si="4"/>
        <v>2.0243075000000005E-3</v>
      </c>
      <c r="M66" s="584">
        <f t="shared" si="5"/>
        <v>0.66497033047199672</v>
      </c>
      <c r="N66" s="583">
        <f t="shared" si="6"/>
        <v>1.3461044272519418E-3</v>
      </c>
      <c r="O66" s="585">
        <f t="shared" si="7"/>
        <v>970801.52736393572</v>
      </c>
    </row>
    <row r="67" spans="1:15" ht="16.2" thickBot="1">
      <c r="A67" s="110">
        <v>1950</v>
      </c>
      <c r="B67" s="109">
        <v>6.7026201313270857</v>
      </c>
      <c r="C67" s="109">
        <v>3.1777246759411755</v>
      </c>
      <c r="D67" s="108">
        <v>2.1633911393163202E-2</v>
      </c>
      <c r="E67" s="109">
        <v>2.1787804747391008E-2</v>
      </c>
      <c r="G67" s="582">
        <v>58</v>
      </c>
      <c r="H67" s="583">
        <f t="shared" si="8"/>
        <v>4.5648449999999997E-3</v>
      </c>
      <c r="I67" s="583">
        <f t="shared" si="1"/>
        <v>0.60508214331240595</v>
      </c>
      <c r="J67" s="583">
        <f t="shared" si="2"/>
        <v>2.7621061964889196E-3</v>
      </c>
      <c r="K67" s="585">
        <f t="shared" si="3"/>
        <v>954375.49084545439</v>
      </c>
      <c r="L67" s="583">
        <f t="shared" si="4"/>
        <v>2.1398275000000001E-3</v>
      </c>
      <c r="M67" s="584">
        <f t="shared" si="5"/>
        <v>0.64568719813831943</v>
      </c>
      <c r="N67" s="583">
        <f t="shared" si="6"/>
        <v>1.3816592229743249E-3</v>
      </c>
      <c r="O67" s="585">
        <f t="shared" si="7"/>
        <v>969494.72712996823</v>
      </c>
    </row>
    <row r="68" spans="1:15" ht="16.2" thickBot="1">
      <c r="A68" s="110">
        <v>1951</v>
      </c>
      <c r="B68" s="109">
        <v>5.9639650761380647</v>
      </c>
      <c r="C68" s="109">
        <v>2.7192736810466847</v>
      </c>
      <c r="D68" s="108">
        <v>2.1552720452502405E-2</v>
      </c>
      <c r="E68" s="109">
        <v>2.0996237150702451E-2</v>
      </c>
      <c r="G68" s="582">
        <v>59</v>
      </c>
      <c r="H68" s="583">
        <f t="shared" si="8"/>
        <v>4.8879399999999995E-3</v>
      </c>
      <c r="I68" s="583">
        <f t="shared" si="1"/>
        <v>0.59419006076412773</v>
      </c>
      <c r="J68" s="583">
        <f t="shared" si="2"/>
        <v>2.90436536561141E-3</v>
      </c>
      <c r="K68" s="585">
        <f t="shared" si="3"/>
        <v>951739.40438841295</v>
      </c>
      <c r="L68" s="583">
        <f t="shared" si="4"/>
        <v>2.2526399999999998E-3</v>
      </c>
      <c r="M68" s="584">
        <f t="shared" si="5"/>
        <v>0.62472626401795983</v>
      </c>
      <c r="N68" s="583">
        <f t="shared" si="6"/>
        <v>1.4072833713774169E-3</v>
      </c>
      <c r="O68" s="585">
        <f t="shared" si="7"/>
        <v>968155.21579860419</v>
      </c>
    </row>
    <row r="69" spans="1:15" ht="16.2" thickBot="1">
      <c r="A69" s="110">
        <v>1952</v>
      </c>
      <c r="B69" s="109">
        <v>5.2144926265484024</v>
      </c>
      <c r="C69" s="109">
        <v>2.2715744900780468</v>
      </c>
      <c r="D69" s="108">
        <v>2.1581742366949593E-2</v>
      </c>
      <c r="E69" s="109">
        <v>2.0265978288058401E-2</v>
      </c>
      <c r="G69" s="582">
        <v>60</v>
      </c>
      <c r="H69" s="583">
        <f t="shared" si="8"/>
        <v>5.2144926265484028E-3</v>
      </c>
      <c r="I69" s="583">
        <f t="shared" si="1"/>
        <v>0.58301430318141101</v>
      </c>
      <c r="J69" s="583">
        <f t="shared" si="2"/>
        <v>3.0401237851117226E-3</v>
      </c>
      <c r="K69" s="585">
        <f t="shared" si="3"/>
        <v>948975.20542521961</v>
      </c>
      <c r="L69" s="583">
        <f t="shared" si="4"/>
        <v>2.2715744900780469E-3</v>
      </c>
      <c r="M69" s="584">
        <f t="shared" si="5"/>
        <v>0.6025109393398691</v>
      </c>
      <c r="N69" s="583">
        <f t="shared" si="6"/>
        <v>1.3686484797974083E-3</v>
      </c>
      <c r="O69" s="585">
        <f t="shared" si="7"/>
        <v>966792.74706249847</v>
      </c>
    </row>
    <row r="70" spans="1:15" ht="16.2" thickBot="1">
      <c r="A70" s="110">
        <v>1953</v>
      </c>
      <c r="B70" s="109">
        <v>4.8879399999999995</v>
      </c>
      <c r="C70" s="109">
        <v>2.25264</v>
      </c>
      <c r="D70" s="108">
        <v>2.1689835132576524E-2</v>
      </c>
      <c r="E70" s="109">
        <v>1.9601737614882937E-2</v>
      </c>
      <c r="G70" s="582">
        <v>61</v>
      </c>
      <c r="H70" s="583">
        <f t="shared" si="8"/>
        <v>5.9639650761380645E-3</v>
      </c>
      <c r="I70" s="583">
        <f t="shared" si="1"/>
        <v>0.57099733775357409</v>
      </c>
      <c r="J70" s="583">
        <f t="shared" si="2"/>
        <v>3.4054081809301267E-3</v>
      </c>
      <c r="K70" s="585">
        <f t="shared" si="3"/>
        <v>946090.20333172509</v>
      </c>
      <c r="L70" s="583">
        <f t="shared" si="4"/>
        <v>2.7192736810466847E-3</v>
      </c>
      <c r="M70" s="584">
        <f t="shared" si="5"/>
        <v>0.57931890574157052</v>
      </c>
      <c r="N70" s="583">
        <f t="shared" si="6"/>
        <v>1.5753266533158178E-3</v>
      </c>
      <c r="O70" s="585">
        <f t="shared" si="7"/>
        <v>965469.54763895227</v>
      </c>
    </row>
    <row r="71" spans="1:15" ht="16.2" thickBot="1">
      <c r="A71" s="110">
        <v>1954</v>
      </c>
      <c r="B71" s="109">
        <v>4.564845</v>
      </c>
      <c r="C71" s="109">
        <v>2.1398275</v>
      </c>
      <c r="D71" s="108">
        <v>2.1843089395550776E-2</v>
      </c>
      <c r="E71" s="109">
        <v>1.9019135038125169E-2</v>
      </c>
      <c r="G71" s="582">
        <v>62</v>
      </c>
      <c r="H71" s="583">
        <f t="shared" si="8"/>
        <v>6.7026201313270858E-3</v>
      </c>
      <c r="I71" s="583">
        <f t="shared" si="1"/>
        <v>0.55759877992815898</v>
      </c>
      <c r="J71" s="583">
        <f t="shared" si="2"/>
        <v>3.7373728075498999E-3</v>
      </c>
      <c r="K71" s="585">
        <f t="shared" si="3"/>
        <v>942868.38001340139</v>
      </c>
      <c r="L71" s="583">
        <f t="shared" si="4"/>
        <v>3.1777246759411753E-3</v>
      </c>
      <c r="M71" s="584">
        <f t="shared" si="5"/>
        <v>0.55528669659016017</v>
      </c>
      <c r="N71" s="583">
        <f t="shared" si="6"/>
        <v>1.7645482379764123E-3</v>
      </c>
      <c r="O71" s="585">
        <f t="shared" si="7"/>
        <v>963948.61772759189</v>
      </c>
    </row>
    <row r="72" spans="1:15" ht="16.2" thickBot="1">
      <c r="A72" s="110">
        <v>1955</v>
      </c>
      <c r="B72" s="109">
        <v>4.2435549999999997</v>
      </c>
      <c r="C72" s="109">
        <v>2.0243075000000004</v>
      </c>
      <c r="D72" s="108">
        <v>2.2019315772963316E-2</v>
      </c>
      <c r="E72" s="109">
        <v>1.8546038870599212E-2</v>
      </c>
      <c r="G72" s="582">
        <v>63</v>
      </c>
      <c r="H72" s="583">
        <f t="shared" si="8"/>
        <v>7.4257961353978146E-3</v>
      </c>
      <c r="I72" s="583">
        <f t="shared" si="1"/>
        <v>0.54253665431042275</v>
      </c>
      <c r="J72" s="583">
        <f t="shared" si="2"/>
        <v>4.0287665908899971E-3</v>
      </c>
      <c r="K72" s="585">
        <f t="shared" si="3"/>
        <v>939344.52936884062</v>
      </c>
      <c r="L72" s="583">
        <f t="shared" si="4"/>
        <v>3.6123423036192111E-3</v>
      </c>
      <c r="M72" s="584">
        <f t="shared" si="5"/>
        <v>0.53047255447373121</v>
      </c>
      <c r="N72" s="583">
        <f t="shared" si="6"/>
        <v>1.9162484494344057E-3</v>
      </c>
      <c r="O72" s="585">
        <f t="shared" si="7"/>
        <v>962247.68389268091</v>
      </c>
    </row>
    <row r="73" spans="1:15" ht="16.2" thickBot="1">
      <c r="A73" s="110">
        <v>1956</v>
      </c>
      <c r="B73" s="109">
        <v>3.9231675000000004</v>
      </c>
      <c r="C73" s="109">
        <v>1.9069825</v>
      </c>
      <c r="D73" s="108">
        <v>2.2216407479868364E-2</v>
      </c>
      <c r="E73" s="109">
        <v>1.8220016153825808E-2</v>
      </c>
      <c r="G73" s="582">
        <v>64</v>
      </c>
      <c r="H73" s="583">
        <f t="shared" ref="H73:H104" si="9">VLOOKUP($G$6-G73,$A$9:$F$1330,2,0)/1000</f>
        <v>8.0919771236003246E-3</v>
      </c>
      <c r="I73" s="583">
        <f t="shared" si="1"/>
        <v>0.5256392200645339</v>
      </c>
      <c r="J73" s="583">
        <f t="shared" si="2"/>
        <v>4.2534605440293248E-3</v>
      </c>
      <c r="K73" s="585">
        <f t="shared" si="3"/>
        <v>935560.12951158418</v>
      </c>
      <c r="L73" s="583">
        <f t="shared" si="4"/>
        <v>3.9920170909516712E-3</v>
      </c>
      <c r="M73" s="584">
        <f t="shared" si="5"/>
        <v>0.50494833576694886</v>
      </c>
      <c r="N73" s="583">
        <f t="shared" si="6"/>
        <v>2.0157623864292631E-3</v>
      </c>
      <c r="O73" s="585">
        <f t="shared" si="7"/>
        <v>960403.77826044976</v>
      </c>
    </row>
    <row r="74" spans="1:15" ht="16.2" thickBot="1">
      <c r="A74" s="110">
        <v>1957</v>
      </c>
      <c r="B74" s="109">
        <v>3.61</v>
      </c>
      <c r="C74" s="109">
        <v>1.7878525000000001</v>
      </c>
      <c r="D74" s="108">
        <v>2.2453436493756009E-2</v>
      </c>
      <c r="E74" s="109">
        <v>1.8082272427287799E-2</v>
      </c>
      <c r="G74" s="582">
        <v>65</v>
      </c>
      <c r="H74" s="583">
        <f t="shared" si="9"/>
        <v>8.6751084073549752E-3</v>
      </c>
      <c r="I74" s="583">
        <f t="shared" ref="I74:I129" si="10">EXP(-VLOOKUP($G$6-G74,$A$9:$E$1250,4,0)*(G74-$I$7))</f>
        <v>0.50715029480628793</v>
      </c>
      <c r="J74" s="583">
        <f t="shared" ref="J74:J129" si="11">+H74*I74</f>
        <v>4.3995837862665825E-3</v>
      </c>
      <c r="K74" s="585">
        <f t="shared" ref="K74:K129" si="12">K73-(K73*J73)</f>
        <v>931580.76141413965</v>
      </c>
      <c r="L74" s="583">
        <f t="shared" ref="L74:L129" si="13">VLOOKUP($G$6-G74,$A$9:$F$1330,3,0)/1000</f>
        <v>4.3266578048094242E-3</v>
      </c>
      <c r="M74" s="584">
        <f t="shared" ref="M74:M129" si="14">EXP(-VLOOKUP($G$6-G74,$A$9:$E$1250,5,0)*(G74-$I$7))</f>
        <v>0.47888467508315863</v>
      </c>
      <c r="N74" s="583">
        <f t="shared" ref="N74:N129" si="15">+L74*M74</f>
        <v>2.0719701170521733E-3</v>
      </c>
      <c r="O74" s="585">
        <f t="shared" ref="O74:O129" si="16">O73-(O73*N73)</f>
        <v>958467.83244844782</v>
      </c>
    </row>
    <row r="75" spans="1:15" ht="16.2" thickBot="1">
      <c r="A75" s="110">
        <v>1958</v>
      </c>
      <c r="B75" s="109">
        <v>3.3076624999999997</v>
      </c>
      <c r="C75" s="109">
        <v>1.6687224999999999</v>
      </c>
      <c r="D75" s="108">
        <v>2.2771417755319615E-2</v>
      </c>
      <c r="E75" s="109">
        <v>1.8169343561890955E-2</v>
      </c>
      <c r="G75" s="582">
        <v>66</v>
      </c>
      <c r="H75" s="583">
        <f t="shared" si="9"/>
        <v>9.1785200714068291E-3</v>
      </c>
      <c r="I75" s="583">
        <f t="shared" si="10"/>
        <v>0.48917826778966328</v>
      </c>
      <c r="J75" s="583">
        <f t="shared" si="11"/>
        <v>4.4899325494034492E-3</v>
      </c>
      <c r="K75" s="585">
        <f t="shared" si="12"/>
        <v>927482.19380062411</v>
      </c>
      <c r="L75" s="583">
        <f t="shared" si="13"/>
        <v>4.6598644513094964E-3</v>
      </c>
      <c r="M75" s="584">
        <f t="shared" si="14"/>
        <v>0.45400187589321739</v>
      </c>
      <c r="N75" s="583">
        <f t="shared" si="15"/>
        <v>2.1155872023026294E-3</v>
      </c>
      <c r="O75" s="585">
        <f t="shared" si="16"/>
        <v>956481.91574145888</v>
      </c>
    </row>
    <row r="76" spans="1:15" ht="16.2" thickBot="1">
      <c r="A76" s="110">
        <v>1959</v>
      </c>
      <c r="B76" s="109">
        <v>3.0188624999999996</v>
      </c>
      <c r="C76" s="109">
        <v>1.5513975</v>
      </c>
      <c r="D76" s="108">
        <v>2.3242052111201804E-2</v>
      </c>
      <c r="E76" s="109">
        <v>1.8504302304402392E-2</v>
      </c>
      <c r="G76" s="582">
        <v>67</v>
      </c>
      <c r="H76" s="583">
        <f t="shared" si="9"/>
        <v>9.6478746156608963E-3</v>
      </c>
      <c r="I76" s="583">
        <f t="shared" si="10"/>
        <v>0.47094377890100741</v>
      </c>
      <c r="J76" s="583">
        <f t="shared" si="11"/>
        <v>4.5436065298624468E-3</v>
      </c>
      <c r="K76" s="585">
        <f t="shared" si="12"/>
        <v>923317.86130968656</v>
      </c>
      <c r="L76" s="583">
        <f t="shared" si="13"/>
        <v>5.0494891717099335E-3</v>
      </c>
      <c r="M76" s="584">
        <f t="shared" si="14"/>
        <v>0.42927132690922887</v>
      </c>
      <c r="N76" s="583">
        <f t="shared" si="15"/>
        <v>2.1676009169537061E-3</v>
      </c>
      <c r="O76" s="585">
        <f t="shared" si="16"/>
        <v>954458.3948412824</v>
      </c>
    </row>
    <row r="77" spans="1:15" ht="16.2" thickBot="1">
      <c r="A77" s="110">
        <v>1960</v>
      </c>
      <c r="B77" s="109">
        <v>2.7454049999999999</v>
      </c>
      <c r="C77" s="109">
        <v>1.4358774999999999</v>
      </c>
      <c r="D77" s="108">
        <v>2.3940103685093202E-2</v>
      </c>
      <c r="E77" s="109">
        <v>1.9089456137488484E-2</v>
      </c>
      <c r="G77" s="582">
        <v>68</v>
      </c>
      <c r="H77" s="583">
        <f t="shared" si="9"/>
        <v>1.0149810378672738E-2</v>
      </c>
      <c r="I77" s="583">
        <f t="shared" si="10"/>
        <v>0.4531952781330521</v>
      </c>
      <c r="J77" s="583">
        <f t="shared" si="11"/>
        <v>4.5998461375603306E-3</v>
      </c>
      <c r="K77" s="585">
        <f t="shared" si="12"/>
        <v>919122.66824590124</v>
      </c>
      <c r="L77" s="583">
        <f t="shared" si="13"/>
        <v>5.5079874830953899E-3</v>
      </c>
      <c r="M77" s="584">
        <f t="shared" si="14"/>
        <v>0.40520674903138143</v>
      </c>
      <c r="N77" s="583">
        <f t="shared" si="15"/>
        <v>2.2318737017306238E-3</v>
      </c>
      <c r="O77" s="585">
        <f t="shared" si="16"/>
        <v>952389.50994943024</v>
      </c>
    </row>
    <row r="78" spans="1:15" ht="16.2" thickBot="1">
      <c r="A78" s="110">
        <v>1961</v>
      </c>
      <c r="B78" s="109">
        <v>2.4863874999999998</v>
      </c>
      <c r="C78" s="109">
        <v>1.3230649999999999</v>
      </c>
      <c r="D78" s="108">
        <v>2.4918081742115399E-2</v>
      </c>
      <c r="E78" s="109">
        <v>1.9902461668439769E-2</v>
      </c>
      <c r="G78" s="582">
        <v>69</v>
      </c>
      <c r="H78" s="583">
        <f t="shared" si="9"/>
        <v>1.0754609182490257E-2</v>
      </c>
      <c r="I78" s="583">
        <f t="shared" si="10"/>
        <v>0.43788664008620071</v>
      </c>
      <c r="J78" s="583">
        <f t="shared" si="11"/>
        <v>4.7092996803608607E-3</v>
      </c>
      <c r="K78" s="585">
        <f t="shared" si="12"/>
        <v>914894.84539042623</v>
      </c>
      <c r="L78" s="583">
        <f t="shared" si="13"/>
        <v>6.0515512944129381E-3</v>
      </c>
      <c r="M78" s="584">
        <f t="shared" si="14"/>
        <v>0.38362352362055641</v>
      </c>
      <c r="N78" s="583">
        <f t="shared" si="15"/>
        <v>2.3215174309332304E-3</v>
      </c>
      <c r="O78" s="585">
        <f t="shared" si="16"/>
        <v>950263.89684836997</v>
      </c>
    </row>
    <row r="79" spans="1:15" ht="16.2" thickBot="1">
      <c r="A79" s="110">
        <v>1962</v>
      </c>
      <c r="B79" s="109">
        <v>2.2436149999999997</v>
      </c>
      <c r="C79" s="109">
        <v>1.2147650000000001</v>
      </c>
      <c r="D79" s="108">
        <v>2.6182141992444986E-2</v>
      </c>
      <c r="E79" s="109">
        <v>2.0897261997377594E-2</v>
      </c>
      <c r="G79" s="582">
        <v>70</v>
      </c>
      <c r="H79" s="583">
        <f t="shared" si="9"/>
        <v>1.159327334253726E-2</v>
      </c>
      <c r="I79" s="583">
        <f t="shared" si="10"/>
        <v>0.42399944208089713</v>
      </c>
      <c r="J79" s="583">
        <f t="shared" si="11"/>
        <v>4.9155414291271356E-3</v>
      </c>
      <c r="K79" s="585">
        <f t="shared" si="12"/>
        <v>910586.33138746524</v>
      </c>
      <c r="L79" s="583">
        <f t="shared" si="13"/>
        <v>6.66994967912647E-3</v>
      </c>
      <c r="M79" s="584">
        <f t="shared" si="14"/>
        <v>0.36359240520642067</v>
      </c>
      <c r="N79" s="583">
        <f t="shared" si="15"/>
        <v>2.4251430464393869E-3</v>
      </c>
      <c r="O79" s="585">
        <f t="shared" si="16"/>
        <v>948057.84264784993</v>
      </c>
    </row>
    <row r="80" spans="1:15" ht="16.2" thickBot="1">
      <c r="A80" s="110">
        <v>1963</v>
      </c>
      <c r="B80" s="109">
        <v>2.0170874999999997</v>
      </c>
      <c r="C80" s="109">
        <v>1.1100749999999999</v>
      </c>
      <c r="D80" s="108">
        <v>2.7694695236459368E-2</v>
      </c>
      <c r="E80" s="109">
        <v>2.2010010958267812E-2</v>
      </c>
      <c r="G80" s="582">
        <v>71</v>
      </c>
      <c r="H80" s="583">
        <f t="shared" si="9"/>
        <v>1.2765520762680988E-2</v>
      </c>
      <c r="I80" s="583">
        <f t="shared" si="10"/>
        <v>0.41037907501477716</v>
      </c>
      <c r="J80" s="583">
        <f t="shared" si="11"/>
        <v>5.238702602670957E-3</v>
      </c>
      <c r="K80" s="585">
        <f t="shared" si="12"/>
        <v>906110.30655073328</v>
      </c>
      <c r="L80" s="583">
        <f t="shared" si="13"/>
        <v>7.383954394832617E-3</v>
      </c>
      <c r="M80" s="584">
        <f t="shared" si="14"/>
        <v>0.34420766329620028</v>
      </c>
      <c r="N80" s="583">
        <f t="shared" si="15"/>
        <v>2.5416136881310438E-3</v>
      </c>
      <c r="O80" s="585">
        <f t="shared" si="16"/>
        <v>945758.66676313023</v>
      </c>
    </row>
    <row r="81" spans="1:15" ht="16.2" thickBot="1">
      <c r="A81" s="110">
        <v>1964</v>
      </c>
      <c r="B81" s="109">
        <v>1.8077075</v>
      </c>
      <c r="C81" s="109">
        <v>1.0107999999999999</v>
      </c>
      <c r="D81" s="108">
        <v>2.9386319743839932E-2</v>
      </c>
      <c r="E81" s="109">
        <v>2.3168723156329219E-2</v>
      </c>
      <c r="G81" s="582">
        <v>72</v>
      </c>
      <c r="H81" s="583">
        <f t="shared" si="9"/>
        <v>1.4348003972292179E-2</v>
      </c>
      <c r="I81" s="583">
        <f t="shared" si="10"/>
        <v>0.4014621825945297</v>
      </c>
      <c r="J81" s="583">
        <f t="shared" si="11"/>
        <v>5.7601809905913999E-3</v>
      </c>
      <c r="K81" s="585">
        <f t="shared" si="12"/>
        <v>901363.46412949893</v>
      </c>
      <c r="L81" s="583">
        <f t="shared" si="13"/>
        <v>8.2570768234511635E-3</v>
      </c>
      <c r="M81" s="584">
        <f t="shared" si="14"/>
        <v>0.32941710777866395</v>
      </c>
      <c r="N81" s="583">
        <f t="shared" si="15"/>
        <v>2.7200223658875203E-3</v>
      </c>
      <c r="O81" s="585">
        <f t="shared" si="16"/>
        <v>943354.91359001654</v>
      </c>
    </row>
    <row r="82" spans="1:15" ht="16.2" thickBot="1">
      <c r="A82" s="110">
        <v>1965</v>
      </c>
      <c r="B82" s="109">
        <v>1.6136699999999999</v>
      </c>
      <c r="C82" s="109">
        <v>0.91693999999999998</v>
      </c>
      <c r="D82" s="108">
        <v>3.1162035635119191E-2</v>
      </c>
      <c r="E82" s="109">
        <v>2.4304500358158159E-2</v>
      </c>
      <c r="G82" s="582">
        <v>73</v>
      </c>
      <c r="H82" s="583">
        <f t="shared" si="9"/>
        <v>1.6355765628721812E-2</v>
      </c>
      <c r="I82" s="583">
        <f t="shared" si="10"/>
        <v>0.39269234498194511</v>
      </c>
      <c r="J82" s="583">
        <f t="shared" si="11"/>
        <v>6.422783958717866E-3</v>
      </c>
      <c r="K82" s="585">
        <f t="shared" si="12"/>
        <v>896171.44743780652</v>
      </c>
      <c r="L82" s="583">
        <f t="shared" si="13"/>
        <v>9.327298621031814E-3</v>
      </c>
      <c r="M82" s="584">
        <f t="shared" si="14"/>
        <v>0.31563162564151598</v>
      </c>
      <c r="N82" s="583">
        <f t="shared" si="15"/>
        <v>2.9439904266001416E-3</v>
      </c>
      <c r="O82" s="585">
        <f t="shared" si="16"/>
        <v>940788.96712608181</v>
      </c>
    </row>
    <row r="83" spans="1:15" ht="16.2" thickBot="1">
      <c r="A83" s="110">
        <v>1966</v>
      </c>
      <c r="B83" s="109">
        <v>1.4367799999999999</v>
      </c>
      <c r="C83" s="109">
        <v>0.82849499999999987</v>
      </c>
      <c r="D83" s="108">
        <v>3.2898367099240496E-2</v>
      </c>
      <c r="E83" s="109">
        <v>2.536220672430765E-2</v>
      </c>
      <c r="G83" s="582">
        <v>74</v>
      </c>
      <c r="H83" s="583">
        <f t="shared" si="9"/>
        <v>1.8744852916546244E-2</v>
      </c>
      <c r="I83" s="583">
        <f t="shared" si="10"/>
        <v>0.38534664209928943</v>
      </c>
      <c r="J83" s="583">
        <f t="shared" si="11"/>
        <v>7.2232661280361675E-3</v>
      </c>
      <c r="K83" s="585">
        <f t="shared" si="12"/>
        <v>890415.53184094199</v>
      </c>
      <c r="L83" s="583">
        <f t="shared" si="13"/>
        <v>1.0618037274717383E-2</v>
      </c>
      <c r="M83" s="584">
        <f t="shared" si="14"/>
        <v>0.30417585067859426</v>
      </c>
      <c r="N83" s="583">
        <f t="shared" si="15"/>
        <v>3.2297505205741827E-3</v>
      </c>
      <c r="O83" s="585">
        <f t="shared" si="16"/>
        <v>938019.29341341159</v>
      </c>
    </row>
    <row r="84" spans="1:15" ht="16.2" thickBot="1">
      <c r="A84" s="110">
        <v>1967</v>
      </c>
      <c r="B84" s="109">
        <v>1.2752325</v>
      </c>
      <c r="C84" s="109">
        <v>0.74726999999999999</v>
      </c>
      <c r="D84" s="108">
        <v>3.4495849552019731E-2</v>
      </c>
      <c r="E84" s="109">
        <v>2.6308990603194499E-2</v>
      </c>
      <c r="G84" s="582">
        <v>75</v>
      </c>
      <c r="H84" s="583">
        <f t="shared" si="9"/>
        <v>2.1504999552879871E-2</v>
      </c>
      <c r="I84" s="583">
        <f t="shared" si="10"/>
        <v>0.37925193557409809</v>
      </c>
      <c r="J84" s="583">
        <f t="shared" si="11"/>
        <v>8.1558127049498053E-3</v>
      </c>
      <c r="K84" s="585">
        <f t="shared" si="12"/>
        <v>883983.82348991802</v>
      </c>
      <c r="L84" s="583">
        <f t="shared" si="13"/>
        <v>1.2179335306522295E-2</v>
      </c>
      <c r="M84" s="584">
        <f t="shared" si="14"/>
        <v>0.29511726903841268</v>
      </c>
      <c r="N84" s="583">
        <f t="shared" si="15"/>
        <v>3.5943321743639785E-3</v>
      </c>
      <c r="O84" s="585">
        <f t="shared" si="16"/>
        <v>934989.72511220095</v>
      </c>
    </row>
    <row r="85" spans="1:15" ht="16.2" thickBot="1">
      <c r="A85" s="110">
        <v>1968</v>
      </c>
      <c r="B85" s="109">
        <v>1.1290274999999999</v>
      </c>
      <c r="C85" s="109">
        <v>0.67145999999999995</v>
      </c>
      <c r="D85" s="108">
        <v>3.5918240850543549E-2</v>
      </c>
      <c r="E85" s="109">
        <v>2.713922016828044E-2</v>
      </c>
      <c r="G85" s="582">
        <v>76</v>
      </c>
      <c r="H85" s="583">
        <f t="shared" si="9"/>
        <v>2.466175103302581E-2</v>
      </c>
      <c r="I85" s="583">
        <f t="shared" si="10"/>
        <v>0.37589416091671157</v>
      </c>
      <c r="J85" s="583">
        <f t="shared" si="11"/>
        <v>9.2702082112960816E-3</v>
      </c>
      <c r="K85" s="585">
        <f t="shared" si="12"/>
        <v>876774.21699132887</v>
      </c>
      <c r="L85" s="583">
        <f t="shared" si="13"/>
        <v>1.4072478498379615E-2</v>
      </c>
      <c r="M85" s="584">
        <f t="shared" si="14"/>
        <v>0.28971846348144742</v>
      </c>
      <c r="N85" s="583">
        <f t="shared" si="15"/>
        <v>4.0770568479262482E-3</v>
      </c>
      <c r="O85" s="585">
        <f t="shared" si="16"/>
        <v>931629.06146053039</v>
      </c>
    </row>
    <row r="86" spans="1:15" ht="16.2" thickBot="1">
      <c r="A86" s="110">
        <v>1969</v>
      </c>
      <c r="B86" s="109">
        <v>0.99726249999999994</v>
      </c>
      <c r="C86" s="109">
        <v>0.60106499999999996</v>
      </c>
      <c r="D86" s="108">
        <v>3.7164243846533052E-2</v>
      </c>
      <c r="E86" s="109">
        <v>2.7874487866851247E-2</v>
      </c>
      <c r="G86" s="582">
        <v>77</v>
      </c>
      <c r="H86" s="583">
        <f t="shared" si="9"/>
        <v>2.8331717557011363E-2</v>
      </c>
      <c r="I86" s="583">
        <f t="shared" si="10"/>
        <v>0.37232837137296015</v>
      </c>
      <c r="J86" s="583">
        <f t="shared" si="11"/>
        <v>1.0548702256200743E-2</v>
      </c>
      <c r="K86" s="585">
        <f t="shared" si="12"/>
        <v>868646.33744552312</v>
      </c>
      <c r="L86" s="583">
        <f t="shared" si="13"/>
        <v>1.634037855546773E-2</v>
      </c>
      <c r="M86" s="584">
        <f t="shared" si="14"/>
        <v>0.28571796735090954</v>
      </c>
      <c r="N86" s="583">
        <f t="shared" si="15"/>
        <v>4.668739746612631E-3</v>
      </c>
      <c r="O86" s="585">
        <f t="shared" si="16"/>
        <v>927830.75681577565</v>
      </c>
    </row>
    <row r="87" spans="1:15" ht="16.2" thickBot="1">
      <c r="A87" s="110">
        <v>1970</v>
      </c>
      <c r="B87" s="109">
        <v>0.88083999999999996</v>
      </c>
      <c r="C87" s="109">
        <v>0.53788999999999998</v>
      </c>
      <c r="D87" s="108">
        <v>3.824710135819602E-2</v>
      </c>
      <c r="E87" s="109">
        <v>2.8557732001907407E-2</v>
      </c>
      <c r="G87" s="582">
        <v>78</v>
      </c>
      <c r="H87" s="583">
        <f t="shared" si="9"/>
        <v>3.2611855848466334E-2</v>
      </c>
      <c r="I87" s="583">
        <f t="shared" si="10"/>
        <v>0.37036142705135427</v>
      </c>
      <c r="J87" s="583">
        <f t="shared" si="11"/>
        <v>1.2078173470831045E-2</v>
      </c>
      <c r="K87" s="585">
        <f t="shared" si="12"/>
        <v>859483.24586587097</v>
      </c>
      <c r="L87" s="583">
        <f t="shared" si="13"/>
        <v>1.8997594110209393E-2</v>
      </c>
      <c r="M87" s="584">
        <f t="shared" si="14"/>
        <v>0.28441361985090102</v>
      </c>
      <c r="N87" s="583">
        <f t="shared" si="15"/>
        <v>5.4031745093428103E-3</v>
      </c>
      <c r="O87" s="585">
        <f t="shared" si="16"/>
        <v>923498.95648330019</v>
      </c>
    </row>
    <row r="88" spans="1:15" ht="16.2" thickBot="1">
      <c r="A88" s="110">
        <v>1971</v>
      </c>
      <c r="B88" s="109">
        <v>0.77705249999999992</v>
      </c>
      <c r="C88" s="109">
        <v>0.48013</v>
      </c>
      <c r="D88" s="108">
        <v>3.9187278949754947E-2</v>
      </c>
      <c r="E88" s="109">
        <v>2.9241677904374194E-2</v>
      </c>
      <c r="G88" s="582">
        <v>79</v>
      </c>
      <c r="H88" s="583">
        <f t="shared" si="9"/>
        <v>3.756804896460799E-2</v>
      </c>
      <c r="I88" s="583">
        <f t="shared" si="10"/>
        <v>0.37038775363998494</v>
      </c>
      <c r="J88" s="583">
        <f t="shared" si="11"/>
        <v>1.3914745264638116E-2</v>
      </c>
      <c r="K88" s="585">
        <f t="shared" si="12"/>
        <v>849102.2581270301</v>
      </c>
      <c r="L88" s="583">
        <f t="shared" si="13"/>
        <v>2.2101245416391354E-2</v>
      </c>
      <c r="M88" s="584">
        <f t="shared" si="14"/>
        <v>0.28592333745608545</v>
      </c>
      <c r="N88" s="583">
        <f t="shared" si="15"/>
        <v>6.3192618513906269E-3</v>
      </c>
      <c r="O88" s="585">
        <f t="shared" si="16"/>
        <v>918509.13046222494</v>
      </c>
    </row>
    <row r="89" spans="1:15" ht="16.2" thickBot="1">
      <c r="A89" s="110">
        <v>1972</v>
      </c>
      <c r="B89" s="109">
        <v>0.68770500000000001</v>
      </c>
      <c r="C89" s="109">
        <v>0.42868749999999994</v>
      </c>
      <c r="D89" s="108">
        <v>0.04</v>
      </c>
      <c r="E89" s="109">
        <v>2.9973852026400762E-2</v>
      </c>
      <c r="G89" s="582">
        <v>80</v>
      </c>
      <c r="H89" s="583">
        <f t="shared" si="9"/>
        <v>4.3125512059111124E-2</v>
      </c>
      <c r="I89" s="583">
        <f t="shared" si="10"/>
        <v>0.3711718106797835</v>
      </c>
      <c r="J89" s="583">
        <f t="shared" si="11"/>
        <v>1.6006974397473114E-2</v>
      </c>
      <c r="K89" s="585">
        <f t="shared" si="12"/>
        <v>837287.21650156344</v>
      </c>
      <c r="L89" s="583">
        <f t="shared" si="13"/>
        <v>2.5657983623131469E-2</v>
      </c>
      <c r="M89" s="584">
        <f t="shared" si="14"/>
        <v>0.28904509462185896</v>
      </c>
      <c r="N89" s="583">
        <f t="shared" si="15"/>
        <v>7.4163143041541431E-3</v>
      </c>
      <c r="O89" s="585">
        <f t="shared" si="16"/>
        <v>912704.83075394097</v>
      </c>
    </row>
    <row r="90" spans="1:15" ht="16.2" thickBot="1">
      <c r="A90" s="110">
        <v>1973</v>
      </c>
      <c r="B90" s="109">
        <v>0.61008999999999991</v>
      </c>
      <c r="C90" s="109">
        <v>0.38356249999999997</v>
      </c>
      <c r="D90" s="108">
        <v>0.04</v>
      </c>
      <c r="E90" s="109">
        <v>3.0782397323420852E-2</v>
      </c>
      <c r="G90" s="582">
        <v>81</v>
      </c>
      <c r="H90" s="583">
        <f t="shared" si="9"/>
        <v>4.9294280805831404E-2</v>
      </c>
      <c r="I90" s="583">
        <f t="shared" si="10"/>
        <v>0.376501797332216</v>
      </c>
      <c r="J90" s="583">
        <f t="shared" si="11"/>
        <v>1.8559385321594481E-2</v>
      </c>
      <c r="K90" s="585">
        <f t="shared" si="12"/>
        <v>823884.78146369138</v>
      </c>
      <c r="L90" s="583">
        <f t="shared" si="13"/>
        <v>2.9761793783299028E-2</v>
      </c>
      <c r="M90" s="584">
        <f t="shared" si="14"/>
        <v>0.29638844272089743</v>
      </c>
      <c r="N90" s="583">
        <f t="shared" si="15"/>
        <v>8.8210517120124853E-3</v>
      </c>
      <c r="O90" s="585">
        <f t="shared" si="16"/>
        <v>905935.92486214999</v>
      </c>
    </row>
    <row r="91" spans="1:15" ht="16.2" thickBot="1">
      <c r="A91" s="110">
        <v>1974</v>
      </c>
      <c r="B91" s="109">
        <v>0.54511000000000009</v>
      </c>
      <c r="C91" s="109">
        <v>0.34294999999999998</v>
      </c>
      <c r="D91" s="108">
        <v>0.04</v>
      </c>
      <c r="E91" s="109">
        <v>3.1667219354813973E-2</v>
      </c>
      <c r="G91" s="582">
        <v>82</v>
      </c>
      <c r="H91" s="583">
        <f t="shared" si="9"/>
        <v>5.604780788795883E-2</v>
      </c>
      <c r="I91" s="583">
        <f t="shared" si="10"/>
        <v>0.38147507429459288</v>
      </c>
      <c r="J91" s="583">
        <f t="shared" si="11"/>
        <v>2.1380841678108164E-2</v>
      </c>
      <c r="K91" s="585">
        <f t="shared" si="12"/>
        <v>808593.98634390905</v>
      </c>
      <c r="L91" s="583">
        <f t="shared" si="13"/>
        <v>3.4432916643775138E-2</v>
      </c>
      <c r="M91" s="584">
        <f t="shared" si="14"/>
        <v>0.30383971368711904</v>
      </c>
      <c r="N91" s="583">
        <f t="shared" si="15"/>
        <v>1.0462087534457074E-2</v>
      </c>
      <c r="O91" s="585">
        <f t="shared" si="16"/>
        <v>897944.61722117115</v>
      </c>
    </row>
    <row r="92" spans="1:15" ht="16.2" thickBot="1">
      <c r="A92" s="110">
        <v>1975</v>
      </c>
      <c r="B92" s="109">
        <v>0.49096000000000001</v>
      </c>
      <c r="C92" s="109">
        <v>0.30685000000000001</v>
      </c>
      <c r="D92" s="108">
        <v>0.04</v>
      </c>
      <c r="E92" s="109">
        <v>3.2599267010360963E-2</v>
      </c>
      <c r="G92" s="582">
        <v>83</v>
      </c>
      <c r="H92" s="583">
        <f t="shared" si="9"/>
        <v>6.3327212745184241E-2</v>
      </c>
      <c r="I92" s="583">
        <f t="shared" si="10"/>
        <v>0.39135550785386342</v>
      </c>
      <c r="J92" s="583">
        <f t="shared" si="11"/>
        <v>2.478345350486123E-2</v>
      </c>
      <c r="K92" s="585">
        <f t="shared" si="12"/>
        <v>791305.56634001958</v>
      </c>
      <c r="L92" s="583">
        <f t="shared" si="13"/>
        <v>3.9789127417402176E-2</v>
      </c>
      <c r="M92" s="584">
        <f t="shared" si="14"/>
        <v>0.31538241829790181</v>
      </c>
      <c r="N92" s="583">
        <f t="shared" si="15"/>
        <v>1.2548791226863646E-2</v>
      </c>
      <c r="O92" s="585">
        <f t="shared" si="16"/>
        <v>888550.24203470873</v>
      </c>
    </row>
    <row r="93" spans="1:15" ht="16.2" thickBot="1">
      <c r="A93" s="110">
        <v>1976</v>
      </c>
      <c r="B93" s="109">
        <v>0.44763999999999998</v>
      </c>
      <c r="C93" s="109">
        <v>0.27435999999999999</v>
      </c>
      <c r="D93" s="108">
        <v>0.04</v>
      </c>
      <c r="E93" s="109">
        <v>3.3528014533402713E-2</v>
      </c>
      <c r="G93" s="582">
        <v>84</v>
      </c>
      <c r="H93" s="583">
        <f t="shared" si="9"/>
        <v>7.1016517739174917E-2</v>
      </c>
      <c r="I93" s="583">
        <f t="shared" si="10"/>
        <v>0.40231719589361759</v>
      </c>
      <c r="J93" s="583">
        <f t="shared" si="11"/>
        <v>2.8571166278954202E-2</v>
      </c>
      <c r="K93" s="585">
        <f t="shared" si="12"/>
        <v>771694.2816284938</v>
      </c>
      <c r="L93" s="583">
        <f t="shared" si="13"/>
        <v>4.5762526628783759E-2</v>
      </c>
      <c r="M93" s="584">
        <f t="shared" si="14"/>
        <v>0.32788546463252921</v>
      </c>
      <c r="N93" s="583">
        <f t="shared" si="15"/>
        <v>1.5004867306437254E-2</v>
      </c>
      <c r="O93" s="585">
        <f t="shared" si="16"/>
        <v>877400.010552836</v>
      </c>
    </row>
    <row r="94" spans="1:15" ht="16.2" thickBot="1">
      <c r="A94" s="110">
        <v>1977</v>
      </c>
      <c r="B94" s="109">
        <v>0.41244249999999999</v>
      </c>
      <c r="C94" s="109">
        <v>0.2463825</v>
      </c>
      <c r="D94" s="108">
        <v>0.04</v>
      </c>
      <c r="E94" s="109">
        <v>3.4394722483079065E-2</v>
      </c>
      <c r="G94" s="582">
        <v>85</v>
      </c>
      <c r="H94" s="583">
        <f t="shared" si="9"/>
        <v>7.8933441553275335E-2</v>
      </c>
      <c r="I94" s="583">
        <f t="shared" si="10"/>
        <v>0.41566037786197635</v>
      </c>
      <c r="J94" s="583">
        <f t="shared" si="11"/>
        <v>3.2809504141980653E-2</v>
      </c>
      <c r="K94" s="585">
        <f t="shared" si="12"/>
        <v>749646.07599156804</v>
      </c>
      <c r="L94" s="583">
        <f t="shared" si="13"/>
        <v>5.2373056146535854E-2</v>
      </c>
      <c r="M94" s="584">
        <f t="shared" si="14"/>
        <v>0.34252406632194182</v>
      </c>
      <c r="N94" s="583">
        <f t="shared" si="15"/>
        <v>1.7939032157018829E-2</v>
      </c>
      <c r="O94" s="585">
        <f t="shared" si="16"/>
        <v>864234.739819824</v>
      </c>
    </row>
    <row r="95" spans="1:15" ht="16.2" thickBot="1">
      <c r="A95" s="110">
        <v>1978</v>
      </c>
      <c r="B95" s="109">
        <v>0.38356249999999997</v>
      </c>
      <c r="C95" s="109">
        <v>0.22201500000000002</v>
      </c>
      <c r="D95" s="108">
        <v>0.04</v>
      </c>
      <c r="E95" s="109">
        <v>3.5147620758783325E-2</v>
      </c>
      <c r="G95" s="582">
        <v>86</v>
      </c>
      <c r="H95" s="583">
        <f t="shared" si="9"/>
        <v>8.6964537055071373E-2</v>
      </c>
      <c r="I95" s="583">
        <f t="shared" si="10"/>
        <v>0.43082261660404186</v>
      </c>
      <c r="J95" s="583">
        <f t="shared" si="11"/>
        <v>3.7466289405825005E-2</v>
      </c>
      <c r="K95" s="585">
        <f t="shared" si="12"/>
        <v>725050.5599563031</v>
      </c>
      <c r="L95" s="583">
        <f t="shared" si="13"/>
        <v>5.952696270208465E-2</v>
      </c>
      <c r="M95" s="584">
        <f t="shared" si="14"/>
        <v>0.35900437437605309</v>
      </c>
      <c r="N95" s="583">
        <f t="shared" si="15"/>
        <v>2.1370440003368546E-2</v>
      </c>
      <c r="O95" s="585">
        <f t="shared" si="16"/>
        <v>848731.20503098343</v>
      </c>
    </row>
    <row r="96" spans="1:15" ht="16.2" thickBot="1">
      <c r="A96" s="110">
        <v>1979</v>
      </c>
      <c r="B96" s="109">
        <v>0.35919499999999999</v>
      </c>
      <c r="C96" s="109">
        <v>0.20125750000000001</v>
      </c>
      <c r="D96" s="108">
        <v>0.04</v>
      </c>
      <c r="E96" s="109">
        <v>3.5754590336629401E-2</v>
      </c>
      <c r="G96" s="582">
        <v>87</v>
      </c>
      <c r="H96" s="583">
        <f t="shared" si="9"/>
        <v>9.4977876306922324E-2</v>
      </c>
      <c r="I96" s="583">
        <f t="shared" si="10"/>
        <v>0.44746241875163484</v>
      </c>
      <c r="J96" s="583">
        <f t="shared" si="11"/>
        <v>4.2499030260189051E-2</v>
      </c>
      <c r="K96" s="585">
        <f t="shared" si="12"/>
        <v>697885.60584312479</v>
      </c>
      <c r="L96" s="583">
        <f t="shared" si="13"/>
        <v>6.6993881207914857E-2</v>
      </c>
      <c r="M96" s="584">
        <f t="shared" si="14"/>
        <v>0.37701074165506387</v>
      </c>
      <c r="N96" s="583">
        <f t="shared" si="15"/>
        <v>2.5257412840547225E-2</v>
      </c>
      <c r="O96" s="585">
        <f t="shared" si="16"/>
        <v>830593.44573488215</v>
      </c>
    </row>
    <row r="97" spans="1:15" ht="16.2" thickBot="1">
      <c r="A97" s="110">
        <v>1980</v>
      </c>
      <c r="B97" s="109">
        <v>0.33933999999999997</v>
      </c>
      <c r="C97" s="109">
        <v>0.18410999999999997</v>
      </c>
      <c r="D97" s="108">
        <v>0.04</v>
      </c>
      <c r="E97" s="109">
        <v>3.6209623807149038E-2</v>
      </c>
      <c r="G97" s="582">
        <v>88</v>
      </c>
      <c r="H97" s="583">
        <f t="shared" si="9"/>
        <v>0.10283144273600732</v>
      </c>
      <c r="I97" s="583">
        <f t="shared" si="10"/>
        <v>0.46538696221526388</v>
      </c>
      <c r="J97" s="583">
        <f t="shared" si="11"/>
        <v>4.7856412755123312E-2</v>
      </c>
      <c r="K97" s="585">
        <f t="shared" si="12"/>
        <v>668226.14436224743</v>
      </c>
      <c r="L97" s="583">
        <f t="shared" si="13"/>
        <v>7.4706114834415249E-2</v>
      </c>
      <c r="M97" s="584">
        <f t="shared" si="14"/>
        <v>0.39622099089699842</v>
      </c>
      <c r="N97" s="583">
        <f t="shared" si="15"/>
        <v>2.9600130845756963E-2</v>
      </c>
      <c r="O97" s="585">
        <f t="shared" si="16"/>
        <v>809614.80417330354</v>
      </c>
    </row>
    <row r="98" spans="1:15" ht="16.2" thickBot="1">
      <c r="A98" s="110">
        <v>1981</v>
      </c>
      <c r="B98" s="109">
        <v>0.32219249999999999</v>
      </c>
      <c r="C98" s="109">
        <v>0.16966999999999999</v>
      </c>
      <c r="D98" s="108">
        <v>0.04</v>
      </c>
      <c r="E98" s="109">
        <v>3.6530816411048168E-2</v>
      </c>
      <c r="G98" s="582">
        <v>89</v>
      </c>
      <c r="H98" s="583">
        <f t="shared" si="9"/>
        <v>0.11039915758622447</v>
      </c>
      <c r="I98" s="583">
        <f t="shared" si="10"/>
        <v>0.48436351395604621</v>
      </c>
      <c r="J98" s="583">
        <f t="shared" si="11"/>
        <v>5.347332390625098E-2</v>
      </c>
      <c r="K98" s="585">
        <f t="shared" si="12"/>
        <v>636247.23818388314</v>
      </c>
      <c r="L98" s="583">
        <f t="shared" si="13"/>
        <v>8.2715295868955527E-2</v>
      </c>
      <c r="M98" s="584">
        <f t="shared" si="14"/>
        <v>0.41632305864356484</v>
      </c>
      <c r="N98" s="583">
        <f t="shared" si="15"/>
        <v>3.4436284972770986E-2</v>
      </c>
      <c r="O98" s="585">
        <f t="shared" si="16"/>
        <v>785650.10003511189</v>
      </c>
    </row>
    <row r="99" spans="1:15" ht="16.2" thickBot="1">
      <c r="A99" s="110">
        <v>1982</v>
      </c>
      <c r="B99" s="109">
        <v>0.30685000000000001</v>
      </c>
      <c r="C99" s="109">
        <v>0.15793749999999998</v>
      </c>
      <c r="D99" s="108">
        <v>0.04</v>
      </c>
      <c r="E99" s="109">
        <v>3.6750401386565081E-2</v>
      </c>
      <c r="G99" s="582">
        <v>90</v>
      </c>
      <c r="H99" s="583">
        <f t="shared" si="9"/>
        <v>0.11756830231586662</v>
      </c>
      <c r="I99" s="583">
        <f t="shared" si="10"/>
        <v>0.5041072265406058</v>
      </c>
      <c r="J99" s="583">
        <f t="shared" si="11"/>
        <v>5.9267030809539004E-2</v>
      </c>
      <c r="K99" s="585">
        <f t="shared" si="12"/>
        <v>602224.98353201873</v>
      </c>
      <c r="L99" s="583">
        <f t="shared" si="13"/>
        <v>9.1000557766220999E-2</v>
      </c>
      <c r="M99" s="584">
        <f t="shared" si="14"/>
        <v>0.43703648201301537</v>
      </c>
      <c r="N99" s="583">
        <f t="shared" si="15"/>
        <v>3.9770563627371407E-2</v>
      </c>
      <c r="O99" s="585">
        <f t="shared" si="16"/>
        <v>758595.22930141678</v>
      </c>
    </row>
    <row r="100" spans="1:15" ht="16.2" thickBot="1">
      <c r="A100" s="110">
        <v>1983</v>
      </c>
      <c r="B100" s="109">
        <v>0.294215</v>
      </c>
      <c r="C100" s="109">
        <v>0.1471075</v>
      </c>
      <c r="D100" s="108">
        <v>0.04</v>
      </c>
      <c r="E100" s="109">
        <v>3.6901001403191074E-2</v>
      </c>
      <c r="G100" s="582">
        <v>91</v>
      </c>
      <c r="H100" s="583">
        <f t="shared" si="9"/>
        <v>0.12439554840030563</v>
      </c>
      <c r="I100" s="583">
        <f t="shared" si="10"/>
        <v>0.53034285201792308</v>
      </c>
      <c r="J100" s="583">
        <f t="shared" si="11"/>
        <v>6.5972289916951671E-2</v>
      </c>
      <c r="K100" s="585">
        <f t="shared" si="12"/>
        <v>566532.89687875251</v>
      </c>
      <c r="L100" s="583">
        <f t="shared" si="13"/>
        <v>9.928453305588765E-2</v>
      </c>
      <c r="M100" s="584">
        <f t="shared" si="14"/>
        <v>0.46329993596498453</v>
      </c>
      <c r="N100" s="583">
        <f t="shared" si="15"/>
        <v>4.5998517807106142E-2</v>
      </c>
      <c r="O100" s="585">
        <f t="shared" si="16"/>
        <v>728425.46946706437</v>
      </c>
    </row>
    <row r="101" spans="1:15" ht="16.2" thickBot="1">
      <c r="A101" s="110">
        <v>1984</v>
      </c>
      <c r="B101" s="109">
        <v>0.283385</v>
      </c>
      <c r="C101" s="109">
        <v>0.1380825</v>
      </c>
      <c r="D101" s="108">
        <v>0.04</v>
      </c>
      <c r="E101" s="109">
        <v>3.7004485025856342E-2</v>
      </c>
      <c r="G101" s="582">
        <v>92</v>
      </c>
      <c r="H101" s="583">
        <f t="shared" si="9"/>
        <v>0.1330974965</v>
      </c>
      <c r="I101" s="583">
        <f t="shared" si="10"/>
        <v>0.55791615771248537</v>
      </c>
      <c r="J101" s="583">
        <f t="shared" si="11"/>
        <v>7.4257243848430965E-2</v>
      </c>
      <c r="K101" s="585">
        <f t="shared" si="12"/>
        <v>529157.424358377</v>
      </c>
      <c r="L101" s="583">
        <f t="shared" si="13"/>
        <v>0.10745958399842542</v>
      </c>
      <c r="M101" s="584">
        <f t="shared" si="14"/>
        <v>0.49055830827794888</v>
      </c>
      <c r="N101" s="583">
        <f t="shared" si="15"/>
        <v>5.2715191734519724E-2</v>
      </c>
      <c r="O101" s="585">
        <f t="shared" si="16"/>
        <v>694918.97753863398</v>
      </c>
    </row>
    <row r="102" spans="1:15" ht="16.2" thickBot="1">
      <c r="A102" s="110">
        <v>1985</v>
      </c>
      <c r="B102" s="109">
        <v>0.27435999999999999</v>
      </c>
      <c r="C102" s="109">
        <v>0.13086249999999999</v>
      </c>
      <c r="D102" s="108">
        <v>0.04</v>
      </c>
      <c r="E102" s="109">
        <v>3.7068461619137849E-2</v>
      </c>
      <c r="G102" s="582">
        <v>93</v>
      </c>
      <c r="H102" s="583">
        <f t="shared" si="9"/>
        <v>0.1426859348</v>
      </c>
      <c r="I102" s="583">
        <f t="shared" si="10"/>
        <v>0.58691059745567353</v>
      </c>
      <c r="J102" s="583">
        <f t="shared" si="11"/>
        <v>8.3743887241989279E-2</v>
      </c>
      <c r="K102" s="585">
        <f t="shared" si="12"/>
        <v>489863.65246358933</v>
      </c>
      <c r="L102" s="583">
        <f t="shared" si="13"/>
        <v>0.1156873039304018</v>
      </c>
      <c r="M102" s="584">
        <f t="shared" si="14"/>
        <v>0.51883746217566529</v>
      </c>
      <c r="N102" s="583">
        <f t="shared" si="15"/>
        <v>6.0022907177194537E-2</v>
      </c>
      <c r="O102" s="585">
        <f t="shared" si="16"/>
        <v>658286.19039772847</v>
      </c>
    </row>
    <row r="103" spans="1:15" ht="16.2" thickBot="1">
      <c r="A103" s="110">
        <v>1986</v>
      </c>
      <c r="B103" s="109">
        <v>0.26804249999999996</v>
      </c>
      <c r="C103" s="109">
        <v>0.12454499999999998</v>
      </c>
      <c r="D103" s="108">
        <v>0.04</v>
      </c>
      <c r="E103" s="109">
        <v>3.7091076169782827E-2</v>
      </c>
      <c r="G103" s="582">
        <v>94</v>
      </c>
      <c r="H103" s="583">
        <f t="shared" si="9"/>
        <v>0.15495832412068705</v>
      </c>
      <c r="I103" s="583">
        <f t="shared" si="10"/>
        <v>0.61727464815804345</v>
      </c>
      <c r="J103" s="583">
        <f t="shared" si="11"/>
        <v>9.5651845000757157E-2</v>
      </c>
      <c r="K103" s="585">
        <f t="shared" si="12"/>
        <v>448840.56598772947</v>
      </c>
      <c r="L103" s="583">
        <f t="shared" si="13"/>
        <v>0.12773868360402971</v>
      </c>
      <c r="M103" s="584">
        <f t="shared" si="14"/>
        <v>0.54828067164817529</v>
      </c>
      <c r="N103" s="583">
        <f t="shared" si="15"/>
        <v>7.0036651241871167E-2</v>
      </c>
      <c r="O103" s="585">
        <f t="shared" si="16"/>
        <v>618773.93949545664</v>
      </c>
    </row>
    <row r="104" spans="1:15" ht="16.2" thickBot="1">
      <c r="A104" s="110">
        <v>1987</v>
      </c>
      <c r="B104" s="109">
        <v>0.26172499999999999</v>
      </c>
      <c r="C104" s="109">
        <v>0.1200325</v>
      </c>
      <c r="D104" s="108">
        <v>0.04</v>
      </c>
      <c r="E104" s="109">
        <v>3.707031503610711E-2</v>
      </c>
      <c r="G104" s="582">
        <v>95</v>
      </c>
      <c r="H104" s="583">
        <f t="shared" si="9"/>
        <v>0.16656007493070704</v>
      </c>
      <c r="I104" s="583">
        <f t="shared" si="10"/>
        <v>0.64886970318426229</v>
      </c>
      <c r="J104" s="583">
        <f t="shared" si="11"/>
        <v>0.10807578638263636</v>
      </c>
      <c r="K104" s="585">
        <f t="shared" si="12"/>
        <v>405908.13773981907</v>
      </c>
      <c r="L104" s="583">
        <f t="shared" si="13"/>
        <v>0.13875548364312484</v>
      </c>
      <c r="M104" s="584">
        <f t="shared" si="14"/>
        <v>0.57913369730865438</v>
      </c>
      <c r="N104" s="583">
        <f t="shared" si="15"/>
        <v>8.0357976264093411E-2</v>
      </c>
      <c r="O104" s="585">
        <f t="shared" si="16"/>
        <v>575437.0848974546</v>
      </c>
    </row>
    <row r="105" spans="1:15" ht="16.2" thickBot="1">
      <c r="A105" s="110">
        <v>1988</v>
      </c>
      <c r="B105" s="109">
        <v>0.25631000000000004</v>
      </c>
      <c r="C105" s="109">
        <v>0.1164225</v>
      </c>
      <c r="D105" s="108">
        <v>0.04</v>
      </c>
      <c r="E105" s="109">
        <v>3.7012659038600987E-2</v>
      </c>
      <c r="G105" s="582">
        <v>96</v>
      </c>
      <c r="H105" s="583">
        <f t="shared" ref="H105:H129" si="17">VLOOKUP($G$6-G105,$A$9:$F$1330,2,0)/1000</f>
        <v>0.17903653056605534</v>
      </c>
      <c r="I105" s="583">
        <f t="shared" si="10"/>
        <v>0.681702572387344</v>
      </c>
      <c r="J105" s="583">
        <f t="shared" si="11"/>
        <v>0.12204966343818527</v>
      </c>
      <c r="K105" s="585">
        <f t="shared" si="12"/>
        <v>362039.29655447666</v>
      </c>
      <c r="L105" s="583">
        <f t="shared" si="13"/>
        <v>0.15053221699215327</v>
      </c>
      <c r="M105" s="584">
        <f t="shared" si="14"/>
        <v>0.61170878736330914</v>
      </c>
      <c r="N105" s="583">
        <f t="shared" si="15"/>
        <v>9.2081879915380596E-2</v>
      </c>
      <c r="O105" s="585">
        <f t="shared" si="16"/>
        <v>529196.12528778589</v>
      </c>
    </row>
    <row r="106" spans="1:15" ht="16.2" thickBot="1">
      <c r="A106" s="110">
        <v>1989</v>
      </c>
      <c r="B106" s="109">
        <v>0.25089499999999998</v>
      </c>
      <c r="C106" s="109">
        <v>0.113715</v>
      </c>
      <c r="D106" s="108">
        <v>0.04</v>
      </c>
      <c r="E106" s="109">
        <v>3.6937145873673902E-2</v>
      </c>
      <c r="G106" s="582">
        <v>97</v>
      </c>
      <c r="H106" s="583">
        <f t="shared" si="17"/>
        <v>0.19242579646326849</v>
      </c>
      <c r="I106" s="583">
        <f t="shared" si="10"/>
        <v>0.70748194547043097</v>
      </c>
      <c r="J106" s="583">
        <f t="shared" si="11"/>
        <v>0.13613777684053036</v>
      </c>
      <c r="K106" s="585">
        <f t="shared" si="12"/>
        <v>317852.52225860546</v>
      </c>
      <c r="L106" s="583">
        <f t="shared" si="13"/>
        <v>0.16314810516774683</v>
      </c>
      <c r="M106" s="584">
        <f t="shared" si="14"/>
        <v>0.64633746685728555</v>
      </c>
      <c r="N106" s="583">
        <f t="shared" si="15"/>
        <v>0.1054487330166875</v>
      </c>
      <c r="O106" s="585">
        <f t="shared" si="16"/>
        <v>480466.75122735131</v>
      </c>
    </row>
    <row r="107" spans="1:15" ht="16.2" thickBot="1">
      <c r="A107" s="110">
        <v>1990</v>
      </c>
      <c r="B107" s="109">
        <v>0.243675</v>
      </c>
      <c r="C107" s="109">
        <v>0.11100750000000001</v>
      </c>
      <c r="D107" s="108">
        <v>0.04</v>
      </c>
      <c r="E107" s="109">
        <v>3.6873384310570682E-2</v>
      </c>
      <c r="G107" s="582">
        <v>98</v>
      </c>
      <c r="H107" s="583">
        <f t="shared" si="17"/>
        <v>0.20693969047949903</v>
      </c>
      <c r="I107" s="583">
        <f t="shared" si="10"/>
        <v>0.73526484599406405</v>
      </c>
      <c r="J107" s="583">
        <f t="shared" si="11"/>
        <v>0.15215547965046813</v>
      </c>
      <c r="K107" s="585">
        <f t="shared" si="12"/>
        <v>274580.78651516372</v>
      </c>
      <c r="L107" s="583">
        <f t="shared" si="13"/>
        <v>0.17671203717982614</v>
      </c>
      <c r="M107" s="584">
        <f t="shared" si="14"/>
        <v>0.68332655210108739</v>
      </c>
      <c r="N107" s="583">
        <f t="shared" si="15"/>
        <v>0.12075202708084976</v>
      </c>
      <c r="O107" s="585">
        <f t="shared" si="16"/>
        <v>429802.14105378313</v>
      </c>
    </row>
    <row r="108" spans="1:15" ht="16.2" thickBot="1">
      <c r="A108" s="110">
        <v>1991</v>
      </c>
      <c r="B108" s="109">
        <v>0.232845</v>
      </c>
      <c r="C108" s="109">
        <v>0.10920249999999999</v>
      </c>
      <c r="D108" s="108">
        <v>0.04</v>
      </c>
      <c r="E108" s="109">
        <v>3.6854461981860258E-2</v>
      </c>
      <c r="G108" s="582">
        <v>99</v>
      </c>
      <c r="H108" s="583">
        <f t="shared" si="17"/>
        <v>0.22259912677267935</v>
      </c>
      <c r="I108" s="583">
        <f t="shared" si="10"/>
        <v>0.76520932784424134</v>
      </c>
      <c r="J108" s="583">
        <f t="shared" si="11"/>
        <v>0.17033492817643703</v>
      </c>
      <c r="K108" s="585">
        <f t="shared" si="12"/>
        <v>232801.81524014618</v>
      </c>
      <c r="L108" s="583">
        <f t="shared" si="13"/>
        <v>0.19129034238742326</v>
      </c>
      <c r="M108" s="584">
        <f t="shared" si="14"/>
        <v>0.71032932056087961</v>
      </c>
      <c r="N108" s="583">
        <f t="shared" si="15"/>
        <v>0.13587913893791639</v>
      </c>
      <c r="O108" s="585">
        <f t="shared" si="16"/>
        <v>377902.66127784952</v>
      </c>
    </row>
    <row r="109" spans="1:15" ht="16.2" thickBot="1">
      <c r="A109" s="110">
        <v>1992</v>
      </c>
      <c r="B109" s="109">
        <v>0.21930749999999999</v>
      </c>
      <c r="C109" s="109">
        <v>0.10649499999999999</v>
      </c>
      <c r="D109" s="108">
        <v>0.04</v>
      </c>
      <c r="E109" s="109">
        <v>3.690751454661477E-2</v>
      </c>
      <c r="G109" s="582">
        <v>100</v>
      </c>
      <c r="H109" s="583">
        <f t="shared" si="17"/>
        <v>0.23953892853147232</v>
      </c>
      <c r="I109" s="583">
        <f t="shared" si="10"/>
        <v>0.79748903562900575</v>
      </c>
      <c r="J109" s="583">
        <f t="shared" si="11"/>
        <v>0.19102966911016919</v>
      </c>
      <c r="K109" s="585">
        <f t="shared" si="12"/>
        <v>193147.53476187174</v>
      </c>
      <c r="L109" s="583">
        <f t="shared" si="13"/>
        <v>0.20699565764026373</v>
      </c>
      <c r="M109" s="584">
        <f t="shared" si="14"/>
        <v>0.73943363044096444</v>
      </c>
      <c r="N109" s="583">
        <f t="shared" si="15"/>
        <v>0.15305955061445517</v>
      </c>
      <c r="O109" s="585">
        <f t="shared" si="16"/>
        <v>326553.57306106825</v>
      </c>
    </row>
    <row r="110" spans="1:15" ht="16.2" thickBot="1">
      <c r="A110" s="110">
        <v>1993</v>
      </c>
      <c r="B110" s="109">
        <v>0.20125750000000001</v>
      </c>
      <c r="C110" s="109">
        <v>0.102885</v>
      </c>
      <c r="D110" s="108">
        <v>0.04</v>
      </c>
      <c r="E110" s="109">
        <v>3.7045680684552995E-2</v>
      </c>
      <c r="G110" s="582">
        <v>101</v>
      </c>
      <c r="H110" s="583">
        <f t="shared" si="17"/>
        <v>0.25791485471129261</v>
      </c>
      <c r="I110" s="583">
        <f t="shared" si="10"/>
        <v>0.82138073279900736</v>
      </c>
      <c r="J110" s="583">
        <f t="shared" si="11"/>
        <v>0.21184629236251104</v>
      </c>
      <c r="K110" s="585">
        <f t="shared" si="12"/>
        <v>156250.62510686647</v>
      </c>
      <c r="L110" s="583">
        <f t="shared" si="13"/>
        <v>0.2239572016876458</v>
      </c>
      <c r="M110" s="584">
        <f t="shared" si="14"/>
        <v>0.76070099005106528</v>
      </c>
      <c r="N110" s="583">
        <f t="shared" si="15"/>
        <v>0.17036446505285827</v>
      </c>
      <c r="O110" s="585">
        <f t="shared" si="16"/>
        <v>276571.42991679651</v>
      </c>
    </row>
    <row r="111" spans="1:15" ht="16.2" thickBot="1">
      <c r="A111" s="110">
        <v>1994</v>
      </c>
      <c r="B111" s="109">
        <v>0.18049999999999999</v>
      </c>
      <c r="C111" s="109">
        <v>9.8372500000000015E-2</v>
      </c>
      <c r="D111" s="108">
        <v>0.04</v>
      </c>
      <c r="E111" s="109">
        <v>3.7264149024124928E-2</v>
      </c>
      <c r="G111" s="582">
        <v>102</v>
      </c>
      <c r="H111" s="583">
        <f t="shared" si="17"/>
        <v>0.27790746270741806</v>
      </c>
      <c r="I111" s="583">
        <f t="shared" si="10"/>
        <v>0.84683460435867997</v>
      </c>
      <c r="J111" s="583">
        <f t="shared" si="11"/>
        <v>0.23534165623016098</v>
      </c>
      <c r="K111" s="585">
        <f t="shared" si="12"/>
        <v>123149.50949865213</v>
      </c>
      <c r="L111" s="583">
        <f t="shared" si="13"/>
        <v>0.24232371943687195</v>
      </c>
      <c r="M111" s="584">
        <f t="shared" si="14"/>
        <v>0.7833630062849144</v>
      </c>
      <c r="N111" s="583">
        <f t="shared" si="15"/>
        <v>0.18982743735221017</v>
      </c>
      <c r="O111" s="585">
        <f t="shared" si="16"/>
        <v>229453.48621011741</v>
      </c>
    </row>
    <row r="112" spans="1:15" ht="16.2" thickBot="1">
      <c r="A112" s="110">
        <v>1995</v>
      </c>
      <c r="B112" s="109">
        <v>0.15793749999999998</v>
      </c>
      <c r="C112" s="109">
        <v>9.2054999999999984E-2</v>
      </c>
      <c r="D112" s="108">
        <v>0.04</v>
      </c>
      <c r="E112" s="109">
        <v>3.7541083037376556E-2</v>
      </c>
      <c r="G112" s="582">
        <v>103</v>
      </c>
      <c r="H112" s="583">
        <f t="shared" si="17"/>
        <v>0.29972669377329081</v>
      </c>
      <c r="I112" s="583">
        <f t="shared" si="10"/>
        <v>0.8739507831212957</v>
      </c>
      <c r="J112" s="583">
        <f t="shared" si="11"/>
        <v>0.26194637874552429</v>
      </c>
      <c r="K112" s="585">
        <f t="shared" si="12"/>
        <v>94167.299969307394</v>
      </c>
      <c r="L112" s="583">
        <f t="shared" si="13"/>
        <v>0.26226698565985396</v>
      </c>
      <c r="M112" s="584">
        <f t="shared" si="14"/>
        <v>0.80750724947159658</v>
      </c>
      <c r="N112" s="583">
        <f t="shared" si="15"/>
        <v>0.21178249221739534</v>
      </c>
      <c r="O112" s="585">
        <f t="shared" si="16"/>
        <v>185896.91893132014</v>
      </c>
    </row>
    <row r="113" spans="1:15" ht="16.2" thickBot="1">
      <c r="A113" s="110">
        <v>1996</v>
      </c>
      <c r="B113" s="109">
        <v>0.135375</v>
      </c>
      <c r="C113" s="109">
        <v>8.3932499999999993E-2</v>
      </c>
      <c r="D113" s="108">
        <v>0.04</v>
      </c>
      <c r="E113" s="109">
        <v>3.7842473161765824E-2</v>
      </c>
      <c r="G113" s="582">
        <v>104</v>
      </c>
      <c r="H113" s="583">
        <f t="shared" si="17"/>
        <v>0.32361724244489326</v>
      </c>
      <c r="I113" s="583">
        <f t="shared" si="10"/>
        <v>0.90283762540734636</v>
      </c>
      <c r="J113" s="583">
        <f t="shared" si="11"/>
        <v>0.29217382270982095</v>
      </c>
      <c r="K113" s="585">
        <f t="shared" si="12"/>
        <v>69500.516746103807</v>
      </c>
      <c r="L113" s="583">
        <f t="shared" si="13"/>
        <v>0.28398594706083141</v>
      </c>
      <c r="M113" s="584">
        <f t="shared" si="14"/>
        <v>0.83322846089622193</v>
      </c>
      <c r="N113" s="583">
        <f t="shared" si="15"/>
        <v>0.23662517358565252</v>
      </c>
      <c r="O113" s="585">
        <f t="shared" si="16"/>
        <v>146527.20614451007</v>
      </c>
    </row>
    <row r="114" spans="1:15" ht="16.2" thickBot="1">
      <c r="A114" s="110">
        <v>1997</v>
      </c>
      <c r="B114" s="109">
        <v>0.11552</v>
      </c>
      <c r="C114" s="109">
        <v>7.6712500000000003E-2</v>
      </c>
      <c r="D114" s="108">
        <v>0.04</v>
      </c>
      <c r="E114" s="109">
        <v>3.8129295645149518E-2</v>
      </c>
      <c r="G114" s="582">
        <v>105</v>
      </c>
      <c r="H114" s="583">
        <f t="shared" si="17"/>
        <v>0.3498646839375012</v>
      </c>
      <c r="I114" s="583">
        <f t="shared" si="10"/>
        <v>0.93361241511646931</v>
      </c>
      <c r="J114" s="583">
        <f t="shared" si="11"/>
        <v>0.3266380125348507</v>
      </c>
      <c r="K114" s="585">
        <f t="shared" si="12"/>
        <v>49194.285088086734</v>
      </c>
      <c r="L114" s="583">
        <f t="shared" si="13"/>
        <v>0.30771155713911291</v>
      </c>
      <c r="M114" s="584">
        <f t="shared" si="14"/>
        <v>0.86062915895909087</v>
      </c>
      <c r="N114" s="583">
        <f t="shared" si="15"/>
        <v>0.26482553862262698</v>
      </c>
      <c r="O114" s="585">
        <f t="shared" si="16"/>
        <v>111855.18055554468</v>
      </c>
    </row>
    <row r="115" spans="1:15" ht="16.2" thickBot="1">
      <c r="A115" s="110">
        <v>1998</v>
      </c>
      <c r="B115" s="109">
        <v>9.7470000000000001E-2</v>
      </c>
      <c r="C115" s="109">
        <v>6.9492499999999999E-2</v>
      </c>
      <c r="D115" s="108">
        <v>0.04</v>
      </c>
      <c r="E115" s="109">
        <v>3.8366451078033402E-2</v>
      </c>
      <c r="G115" s="582">
        <v>106</v>
      </c>
      <c r="H115" s="583">
        <f t="shared" si="17"/>
        <v>0.37880212512225958</v>
      </c>
      <c r="I115" s="583">
        <f t="shared" si="10"/>
        <v>0.96640213611942127</v>
      </c>
      <c r="J115" s="583">
        <f t="shared" si="11"/>
        <v>0.36607518288472796</v>
      </c>
      <c r="K115" s="585">
        <f t="shared" si="12"/>
        <v>33125.56157884124</v>
      </c>
      <c r="L115" s="583">
        <f t="shared" si="13"/>
        <v>0.33371228820959281</v>
      </c>
      <c r="M115" s="584">
        <f t="shared" si="14"/>
        <v>0.8898203038661916</v>
      </c>
      <c r="N115" s="583">
        <f t="shared" si="15"/>
        <v>0.29694396969854198</v>
      </c>
      <c r="O115" s="585">
        <f t="shared" si="16"/>
        <v>82233.072117191361</v>
      </c>
    </row>
    <row r="116" spans="1:15" ht="16.2" thickBot="1">
      <c r="A116" s="110">
        <v>1999</v>
      </c>
      <c r="B116" s="109">
        <v>8.2127499999999992E-2</v>
      </c>
      <c r="C116" s="109">
        <v>6.3174999999999995E-2</v>
      </c>
      <c r="D116" s="108">
        <v>0.04</v>
      </c>
      <c r="E116" s="109">
        <v>3.8533595338676653E-2</v>
      </c>
      <c r="G116" s="582">
        <v>107</v>
      </c>
      <c r="H116" s="583">
        <f t="shared" si="17"/>
        <v>0.41081668324333243</v>
      </c>
      <c r="I116" s="583">
        <f t="shared" si="10"/>
        <v>1</v>
      </c>
      <c r="J116" s="583">
        <f t="shared" si="11"/>
        <v>0.41081668324333243</v>
      </c>
      <c r="K116" s="585">
        <f t="shared" si="12"/>
        <v>20999.115565707616</v>
      </c>
      <c r="L116" s="583">
        <f t="shared" si="13"/>
        <v>0.36230014023148471</v>
      </c>
      <c r="M116" s="584">
        <f t="shared" si="14"/>
        <v>0.92092202677210366</v>
      </c>
      <c r="N116" s="583">
        <f t="shared" si="15"/>
        <v>0.33365017944179626</v>
      </c>
      <c r="O116" s="585">
        <f t="shared" si="16"/>
        <v>57814.457242206074</v>
      </c>
    </row>
    <row r="117" spans="1:15" ht="16.2" thickBot="1">
      <c r="A117" s="110">
        <v>2000</v>
      </c>
      <c r="B117" s="109">
        <v>6.9492499999999999E-2</v>
      </c>
      <c r="C117" s="109">
        <v>5.7759999999999999E-2</v>
      </c>
      <c r="D117" s="108">
        <v>0.04</v>
      </c>
      <c r="E117" s="109">
        <v>3.8636345679943215E-2</v>
      </c>
      <c r="G117" s="582">
        <v>108</v>
      </c>
      <c r="H117" s="583">
        <f t="shared" si="17"/>
        <v>0.44635410523896768</v>
      </c>
      <c r="I117" s="583">
        <f t="shared" si="10"/>
        <v>1</v>
      </c>
      <c r="J117" s="583">
        <f t="shared" si="11"/>
        <v>0.44635410523896768</v>
      </c>
      <c r="K117" s="585">
        <f t="shared" si="12"/>
        <v>12372.32855796018</v>
      </c>
      <c r="L117" s="583">
        <f t="shared" si="13"/>
        <v>0.39383660717945296</v>
      </c>
      <c r="M117" s="584">
        <f t="shared" si="14"/>
        <v>0.95406442994716134</v>
      </c>
      <c r="N117" s="583">
        <f t="shared" si="15"/>
        <v>0.3757454981209889</v>
      </c>
      <c r="O117" s="585">
        <f t="shared" si="16"/>
        <v>38524.653209013959</v>
      </c>
    </row>
    <row r="118" spans="1:15" ht="16.2" thickBot="1">
      <c r="A118" s="110">
        <v>2001</v>
      </c>
      <c r="B118" s="109">
        <v>6.1370000000000001E-2</v>
      </c>
      <c r="C118" s="109">
        <v>5.2345000000000003E-2</v>
      </c>
      <c r="D118" s="108">
        <v>0.04</v>
      </c>
      <c r="E118" s="109">
        <v>3.8713133027768874E-2</v>
      </c>
      <c r="G118" s="582">
        <v>109</v>
      </c>
      <c r="H118" s="583">
        <f t="shared" si="17"/>
        <v>0.4859177293585149</v>
      </c>
      <c r="I118" s="583">
        <f t="shared" si="10"/>
        <v>1</v>
      </c>
      <c r="J118" s="583">
        <f t="shared" si="11"/>
        <v>0.4859177293585149</v>
      </c>
      <c r="K118" s="585">
        <f t="shared" si="12"/>
        <v>6849.8889147493364</v>
      </c>
      <c r="L118" s="583">
        <f t="shared" si="13"/>
        <v>0.4287373040703738</v>
      </c>
      <c r="M118" s="584">
        <f t="shared" si="14"/>
        <v>0.98938846526643331</v>
      </c>
      <c r="N118" s="583">
        <f t="shared" si="15"/>
        <v>0.42418774327665532</v>
      </c>
      <c r="O118" s="585">
        <f t="shared" si="16"/>
        <v>24049.188199054654</v>
      </c>
    </row>
    <row r="119" spans="1:15" ht="16.2" thickBot="1">
      <c r="A119" s="110">
        <v>2002</v>
      </c>
      <c r="B119" s="109">
        <v>5.5954999999999998E-2</v>
      </c>
      <c r="C119" s="109">
        <v>4.8735000000000001E-2</v>
      </c>
      <c r="D119" s="108">
        <v>0.04</v>
      </c>
      <c r="E119" s="109">
        <v>3.8832287102378273E-2</v>
      </c>
      <c r="G119" s="582">
        <v>110</v>
      </c>
      <c r="H119" s="583">
        <f t="shared" si="17"/>
        <v>0.53005347803050018</v>
      </c>
      <c r="I119" s="583">
        <f t="shared" si="10"/>
        <v>1</v>
      </c>
      <c r="J119" s="583">
        <f t="shared" si="11"/>
        <v>0.53005347803050018</v>
      </c>
      <c r="K119" s="585">
        <f t="shared" si="12"/>
        <v>3521.406446936277</v>
      </c>
      <c r="L119" s="583">
        <f t="shared" si="13"/>
        <v>0.46747237476630221</v>
      </c>
      <c r="M119" s="584">
        <f t="shared" si="14"/>
        <v>1</v>
      </c>
      <c r="N119" s="583">
        <f t="shared" si="15"/>
        <v>0.46747237476630221</v>
      </c>
      <c r="O119" s="585">
        <f t="shared" si="16"/>
        <v>13847.81732926209</v>
      </c>
    </row>
    <row r="120" spans="1:15" ht="16.2" thickBot="1">
      <c r="A120" s="110">
        <v>2003</v>
      </c>
      <c r="B120" s="109">
        <v>5.3247499999999996E-2</v>
      </c>
      <c r="C120" s="109">
        <v>4.78325E-2</v>
      </c>
      <c r="D120" s="108">
        <v>0.04</v>
      </c>
      <c r="E120" s="109">
        <v>3.9077026722602909E-2</v>
      </c>
      <c r="G120" s="582">
        <v>111</v>
      </c>
      <c r="H120" s="583">
        <f t="shared" si="17"/>
        <v>0.57930282354788576</v>
      </c>
      <c r="I120" s="583">
        <f t="shared" si="10"/>
        <v>1</v>
      </c>
      <c r="J120" s="583">
        <f t="shared" si="11"/>
        <v>0.57930282354788576</v>
      </c>
      <c r="K120" s="585">
        <f t="shared" si="12"/>
        <v>1654.8727121786774</v>
      </c>
      <c r="L120" s="583">
        <f t="shared" si="13"/>
        <v>0.51055648616832006</v>
      </c>
      <c r="M120" s="584">
        <f t="shared" si="14"/>
        <v>1</v>
      </c>
      <c r="N120" s="583">
        <f t="shared" si="15"/>
        <v>0.51055648616832006</v>
      </c>
      <c r="O120" s="585">
        <f t="shared" si="16"/>
        <v>7374.3452770219883</v>
      </c>
    </row>
    <row r="121" spans="1:15" ht="16.2" thickBot="1">
      <c r="A121" s="110">
        <v>2004</v>
      </c>
      <c r="B121" s="109">
        <v>5.3247499999999996E-2</v>
      </c>
      <c r="C121" s="109">
        <v>4.78325E-2</v>
      </c>
      <c r="D121" s="108">
        <v>0.04</v>
      </c>
      <c r="E121" s="109">
        <v>3.9521181428585676E-2</v>
      </c>
      <c r="G121" s="582">
        <v>112</v>
      </c>
      <c r="H121" s="583">
        <f t="shared" si="17"/>
        <v>0.63408436757490727</v>
      </c>
      <c r="I121" s="583">
        <f t="shared" si="10"/>
        <v>1</v>
      </c>
      <c r="J121" s="583">
        <f t="shared" si="11"/>
        <v>0.63408436757490727</v>
      </c>
      <c r="K121" s="585">
        <f t="shared" si="12"/>
        <v>696.20027740122191</v>
      </c>
      <c r="L121" s="583">
        <f t="shared" si="13"/>
        <v>0.55851521060955089</v>
      </c>
      <c r="M121" s="584">
        <f t="shared" si="14"/>
        <v>1</v>
      </c>
      <c r="N121" s="583">
        <f t="shared" si="15"/>
        <v>0.55851521060955089</v>
      </c>
      <c r="O121" s="585">
        <f t="shared" si="16"/>
        <v>3609.3254645936954</v>
      </c>
    </row>
    <row r="122" spans="1:15" ht="16.2" thickBot="1">
      <c r="A122" s="110">
        <v>2005</v>
      </c>
      <c r="B122" s="109">
        <v>5.5954999999999998E-2</v>
      </c>
      <c r="C122" s="109">
        <v>5.1442500000000002E-2</v>
      </c>
      <c r="D122" s="108">
        <v>0.04</v>
      </c>
      <c r="E122" s="109">
        <v>0.04</v>
      </c>
      <c r="G122" s="582">
        <v>113</v>
      </c>
      <c r="H122" s="583">
        <f t="shared" si="17"/>
        <v>0.69441798404206379</v>
      </c>
      <c r="I122" s="583">
        <f t="shared" si="10"/>
        <v>1</v>
      </c>
      <c r="J122" s="583">
        <f t="shared" si="11"/>
        <v>0.69441798404206379</v>
      </c>
      <c r="K122" s="585">
        <f t="shared" si="12"/>
        <v>254.7505647997931</v>
      </c>
      <c r="L122" s="583">
        <f t="shared" si="13"/>
        <v>0.61179962765394746</v>
      </c>
      <c r="M122" s="584">
        <f t="shared" si="14"/>
        <v>1</v>
      </c>
      <c r="N122" s="583">
        <f t="shared" si="15"/>
        <v>0.61179962765394746</v>
      </c>
      <c r="O122" s="585">
        <f t="shared" si="16"/>
        <v>1593.4622925777326</v>
      </c>
    </row>
    <row r="123" spans="1:15" ht="16.2" thickBot="1">
      <c r="A123" s="110">
        <v>2006</v>
      </c>
      <c r="B123" s="109">
        <v>6.04675E-2</v>
      </c>
      <c r="C123" s="109">
        <v>5.6857499999999998E-2</v>
      </c>
      <c r="D123" s="108">
        <v>0.04</v>
      </c>
      <c r="E123" s="109">
        <v>0.04</v>
      </c>
      <c r="G123" s="582">
        <v>114</v>
      </c>
      <c r="H123" s="583">
        <f t="shared" si="17"/>
        <v>0.75930624723851525</v>
      </c>
      <c r="I123" s="583">
        <f t="shared" si="10"/>
        <v>1</v>
      </c>
      <c r="J123" s="583">
        <f t="shared" si="11"/>
        <v>0.75930624723851525</v>
      </c>
      <c r="K123" s="585">
        <f t="shared" si="12"/>
        <v>77.847191157943627</v>
      </c>
      <c r="L123" s="583">
        <f t="shared" si="13"/>
        <v>0.67058876892375596</v>
      </c>
      <c r="M123" s="584">
        <f t="shared" si="14"/>
        <v>1</v>
      </c>
      <c r="N123" s="583">
        <f t="shared" si="15"/>
        <v>0.67058876892375596</v>
      </c>
      <c r="O123" s="585">
        <f t="shared" si="16"/>
        <v>618.58265529807034</v>
      </c>
    </row>
    <row r="124" spans="1:15" ht="16.2" thickBot="1">
      <c r="A124" s="110">
        <v>2007</v>
      </c>
      <c r="B124" s="109">
        <v>6.8589999999999998E-2</v>
      </c>
      <c r="C124" s="109">
        <v>6.5882499999999997E-2</v>
      </c>
      <c r="D124" s="108">
        <v>0.04</v>
      </c>
      <c r="E124" s="109">
        <v>0.04</v>
      </c>
      <c r="G124" s="582">
        <v>115</v>
      </c>
      <c r="H124" s="583">
        <f t="shared" si="17"/>
        <v>0.82540879026072644</v>
      </c>
      <c r="I124" s="583">
        <f t="shared" si="10"/>
        <v>1</v>
      </c>
      <c r="J124" s="583">
        <f t="shared" si="11"/>
        <v>0.82540879026072644</v>
      </c>
      <c r="K124" s="585">
        <f t="shared" si="12"/>
        <v>18.737332581746124</v>
      </c>
      <c r="L124" s="583">
        <f t="shared" si="13"/>
        <v>0.73435132239804957</v>
      </c>
      <c r="M124" s="584">
        <f t="shared" si="14"/>
        <v>1</v>
      </c>
      <c r="N124" s="583">
        <f t="shared" si="15"/>
        <v>0.73435132239804957</v>
      </c>
      <c r="O124" s="585">
        <f t="shared" si="16"/>
        <v>203.76807400414924</v>
      </c>
    </row>
    <row r="125" spans="1:15" ht="16.2" thickBot="1">
      <c r="A125" s="110">
        <v>2008</v>
      </c>
      <c r="B125" s="109">
        <v>7.9419999999999991E-2</v>
      </c>
      <c r="C125" s="109">
        <v>7.851749999999999E-2</v>
      </c>
      <c r="D125" s="108">
        <v>0.04</v>
      </c>
      <c r="E125" s="109">
        <v>0.04</v>
      </c>
      <c r="G125" s="582">
        <v>116</v>
      </c>
      <c r="H125" s="583">
        <f t="shared" si="17"/>
        <v>0.88457993346106323</v>
      </c>
      <c r="I125" s="583">
        <f t="shared" si="10"/>
        <v>1</v>
      </c>
      <c r="J125" s="583">
        <f t="shared" si="11"/>
        <v>0.88457993346106323</v>
      </c>
      <c r="K125" s="585">
        <f t="shared" si="12"/>
        <v>3.271373562734162</v>
      </c>
      <c r="L125" s="583">
        <f t="shared" si="13"/>
        <v>0.8009065864685041</v>
      </c>
      <c r="M125" s="584">
        <f t="shared" si="14"/>
        <v>1</v>
      </c>
      <c r="N125" s="583">
        <f t="shared" si="15"/>
        <v>0.8009065864685041</v>
      </c>
      <c r="O125" s="585">
        <f t="shared" si="16"/>
        <v>54.130719396698623</v>
      </c>
    </row>
    <row r="126" spans="1:15" ht="16.2" thickBot="1">
      <c r="A126" s="110">
        <v>2009</v>
      </c>
      <c r="B126" s="109">
        <v>9.2957499999999998E-2</v>
      </c>
      <c r="C126" s="109">
        <v>9.3859999999999999E-2</v>
      </c>
      <c r="D126" s="108">
        <v>0.04</v>
      </c>
      <c r="E126" s="109">
        <v>0.04</v>
      </c>
      <c r="G126" s="582">
        <v>117</v>
      </c>
      <c r="H126" s="583">
        <f t="shared" si="17"/>
        <v>0.92201037920932671</v>
      </c>
      <c r="I126" s="583">
        <f t="shared" si="10"/>
        <v>1</v>
      </c>
      <c r="J126" s="583">
        <f t="shared" si="11"/>
        <v>0.92201037920932671</v>
      </c>
      <c r="K126" s="585">
        <f t="shared" si="12"/>
        <v>0.37758215428449571</v>
      </c>
      <c r="L126" s="583">
        <f t="shared" si="13"/>
        <v>0.86457444467792022</v>
      </c>
      <c r="M126" s="584">
        <f t="shared" si="14"/>
        <v>1</v>
      </c>
      <c r="N126" s="583">
        <f t="shared" si="15"/>
        <v>0.86457444467792022</v>
      </c>
      <c r="O126" s="585">
        <f t="shared" si="16"/>
        <v>10.777069701604283</v>
      </c>
    </row>
    <row r="127" spans="1:15" ht="16.2" thickBot="1">
      <c r="A127" s="110">
        <v>2010</v>
      </c>
      <c r="B127" s="109">
        <v>0.10830000000000001</v>
      </c>
      <c r="C127" s="109">
        <v>0.11191</v>
      </c>
      <c r="D127" s="108">
        <v>0.04</v>
      </c>
      <c r="E127" s="109">
        <v>0.04</v>
      </c>
      <c r="G127" s="582">
        <v>118</v>
      </c>
      <c r="H127" s="583">
        <f t="shared" si="17"/>
        <v>0.92999999999999994</v>
      </c>
      <c r="I127" s="583">
        <f t="shared" si="10"/>
        <v>1</v>
      </c>
      <c r="J127" s="583">
        <f t="shared" si="11"/>
        <v>0.92999999999999994</v>
      </c>
      <c r="K127" s="585">
        <f t="shared" si="12"/>
        <v>2.9447489029973295E-2</v>
      </c>
      <c r="L127" s="583">
        <f t="shared" si="13"/>
        <v>0.93500000000000005</v>
      </c>
      <c r="M127" s="584">
        <f t="shared" si="14"/>
        <v>1</v>
      </c>
      <c r="N127" s="583">
        <f t="shared" si="15"/>
        <v>0.93500000000000005</v>
      </c>
      <c r="O127" s="585">
        <f t="shared" si="16"/>
        <v>1.4594906490845201</v>
      </c>
    </row>
    <row r="128" spans="1:15" ht="16.2" thickBot="1">
      <c r="A128" s="110">
        <v>2011</v>
      </c>
      <c r="B128" s="109">
        <v>0.12544749999999999</v>
      </c>
      <c r="C128" s="109">
        <v>0.13086249999999999</v>
      </c>
      <c r="D128" s="108">
        <v>0.04</v>
      </c>
      <c r="E128" s="109">
        <v>0.04</v>
      </c>
      <c r="G128" s="582">
        <v>119</v>
      </c>
      <c r="H128" s="583">
        <f t="shared" si="17"/>
        <v>1</v>
      </c>
      <c r="I128" s="583">
        <f t="shared" si="10"/>
        <v>1</v>
      </c>
      <c r="J128" s="583">
        <f t="shared" si="11"/>
        <v>1</v>
      </c>
      <c r="K128" s="585">
        <f t="shared" si="12"/>
        <v>2.0613242320981322E-3</v>
      </c>
      <c r="L128" s="583">
        <f t="shared" si="13"/>
        <v>1</v>
      </c>
      <c r="M128" s="584">
        <f t="shared" si="14"/>
        <v>1</v>
      </c>
      <c r="N128" s="583">
        <f t="shared" si="15"/>
        <v>1</v>
      </c>
      <c r="O128" s="585">
        <f t="shared" si="16"/>
        <v>9.4866892190493823E-2</v>
      </c>
    </row>
    <row r="129" spans="1:15" ht="16.2" thickBot="1">
      <c r="A129" s="110">
        <v>2012</v>
      </c>
      <c r="B129" s="109">
        <v>1.9791825000000001</v>
      </c>
      <c r="C129" s="109">
        <v>1.96384</v>
      </c>
      <c r="D129" s="108">
        <v>0.04</v>
      </c>
      <c r="E129" s="109">
        <v>0.04</v>
      </c>
      <c r="G129" s="582">
        <v>120</v>
      </c>
      <c r="H129" s="583">
        <f t="shared" si="17"/>
        <v>1</v>
      </c>
      <c r="I129" s="583">
        <f t="shared" si="10"/>
        <v>1</v>
      </c>
      <c r="J129" s="583">
        <f t="shared" si="11"/>
        <v>1</v>
      </c>
      <c r="K129" s="585">
        <f t="shared" si="12"/>
        <v>0</v>
      </c>
      <c r="L129" s="583">
        <f t="shared" si="13"/>
        <v>1</v>
      </c>
      <c r="M129" s="584">
        <f t="shared" si="14"/>
        <v>1</v>
      </c>
      <c r="N129" s="583">
        <f t="shared" si="15"/>
        <v>1</v>
      </c>
      <c r="O129" s="585">
        <f t="shared" si="16"/>
        <v>0</v>
      </c>
    </row>
  </sheetData>
  <mergeCells count="9">
    <mergeCell ref="A3:B3"/>
    <mergeCell ref="A4:B4"/>
    <mergeCell ref="A1:O1"/>
    <mergeCell ref="A5:A6"/>
    <mergeCell ref="B5:C6"/>
    <mergeCell ref="D5:E6"/>
    <mergeCell ref="G6:G7"/>
    <mergeCell ref="G3:K4"/>
    <mergeCell ref="L3:O4"/>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E24"/>
  <sheetViews>
    <sheetView showGridLines="0" topLeftCell="A10" zoomScale="145" zoomScaleNormal="145" workbookViewId="0">
      <selection activeCell="E17" sqref="E17:E18"/>
    </sheetView>
  </sheetViews>
  <sheetFormatPr defaultColWidth="8.6640625" defaultRowHeight="14.4"/>
  <cols>
    <col min="3" max="3" width="22.109375" customWidth="1"/>
    <col min="4" max="4" width="48.44140625" bestFit="1" customWidth="1"/>
    <col min="5" max="5" width="26.88671875" customWidth="1"/>
    <col min="7" max="7" width="9" customWidth="1"/>
  </cols>
  <sheetData>
    <row r="5" spans="3:5" ht="14.4" customHeight="1">
      <c r="C5" s="889" t="s">
        <v>183</v>
      </c>
      <c r="D5" s="888" t="s">
        <v>135</v>
      </c>
      <c r="E5" s="894">
        <f ca="1">TODAY()</f>
        <v>45558</v>
      </c>
    </row>
    <row r="6" spans="3:5" ht="14.4" customHeight="1">
      <c r="C6" s="890"/>
      <c r="D6" s="888"/>
      <c r="E6" s="894"/>
    </row>
    <row r="7" spans="3:5" ht="14.4" customHeight="1">
      <c r="C7" s="890"/>
      <c r="D7" s="888" t="s">
        <v>163</v>
      </c>
      <c r="E7" s="887">
        <v>2.5000000000000001E-2</v>
      </c>
    </row>
    <row r="8" spans="3:5" ht="14.4" customHeight="1">
      <c r="C8" s="890"/>
      <c r="D8" s="888"/>
      <c r="E8" s="887"/>
    </row>
    <row r="9" spans="3:5" ht="14.4" customHeight="1">
      <c r="C9" s="890"/>
      <c r="D9" s="888" t="s">
        <v>182</v>
      </c>
      <c r="E9" s="887">
        <v>2.5000000000000001E-2</v>
      </c>
    </row>
    <row r="10" spans="3:5" ht="14.4" customHeight="1">
      <c r="C10" s="890"/>
      <c r="D10" s="888"/>
      <c r="E10" s="887"/>
    </row>
    <row r="11" spans="3:5" ht="14.4" customHeight="1">
      <c r="C11" s="890"/>
      <c r="D11" s="888" t="s">
        <v>181</v>
      </c>
      <c r="E11" s="887">
        <v>2.5000000000000001E-2</v>
      </c>
    </row>
    <row r="12" spans="3:5" ht="14.4" customHeight="1">
      <c r="C12" s="890"/>
      <c r="D12" s="888"/>
      <c r="E12" s="887"/>
    </row>
    <row r="13" spans="3:5" ht="14.4" customHeight="1">
      <c r="C13" s="890"/>
      <c r="D13" s="888" t="s">
        <v>180</v>
      </c>
      <c r="E13" s="887">
        <v>2.5000000000000001E-2</v>
      </c>
    </row>
    <row r="14" spans="3:5" ht="14.4" customHeight="1">
      <c r="C14" s="890"/>
      <c r="D14" s="888"/>
      <c r="E14" s="887"/>
    </row>
    <row r="15" spans="3:5" ht="14.4" customHeight="1">
      <c r="C15" s="890"/>
      <c r="D15" s="888" t="s">
        <v>179</v>
      </c>
      <c r="E15" s="895">
        <v>0.02</v>
      </c>
    </row>
    <row r="16" spans="3:5" ht="14.4" customHeight="1">
      <c r="C16" s="890"/>
      <c r="D16" s="888"/>
      <c r="E16" s="895"/>
    </row>
    <row r="17" spans="3:5" ht="14.4" customHeight="1">
      <c r="C17" s="890"/>
      <c r="D17" s="888" t="s">
        <v>178</v>
      </c>
      <c r="E17" s="887">
        <v>1.4999999999999999E-2</v>
      </c>
    </row>
    <row r="18" spans="3:5" ht="14.4" customHeight="1">
      <c r="C18" s="890"/>
      <c r="D18" s="888"/>
      <c r="E18" s="887"/>
    </row>
    <row r="19" spans="3:5">
      <c r="C19" s="890"/>
      <c r="D19" s="888" t="s">
        <v>462</v>
      </c>
      <c r="E19" s="887" t="s">
        <v>533</v>
      </c>
    </row>
    <row r="20" spans="3:5">
      <c r="C20" s="890"/>
      <c r="D20" s="888"/>
      <c r="E20" s="887"/>
    </row>
    <row r="22" spans="3:5">
      <c r="C22" s="891" t="s">
        <v>461</v>
      </c>
      <c r="D22" s="508" t="s">
        <v>463</v>
      </c>
      <c r="E22" s="526">
        <v>44531</v>
      </c>
    </row>
    <row r="23" spans="3:5">
      <c r="C23" s="892"/>
      <c r="D23" s="508" t="s">
        <v>464</v>
      </c>
      <c r="E23" s="526">
        <v>44531</v>
      </c>
    </row>
    <row r="24" spans="3:5">
      <c r="C24" s="893"/>
      <c r="D24" s="508" t="s">
        <v>465</v>
      </c>
      <c r="E24" s="526">
        <v>44531</v>
      </c>
    </row>
  </sheetData>
  <mergeCells count="18">
    <mergeCell ref="E15:E16"/>
    <mergeCell ref="D17:D18"/>
    <mergeCell ref="E17:E18"/>
    <mergeCell ref="D19:D20"/>
    <mergeCell ref="C5:C20"/>
    <mergeCell ref="C22:C24"/>
    <mergeCell ref="E19:E20"/>
    <mergeCell ref="D5:D6"/>
    <mergeCell ref="E5:E6"/>
    <mergeCell ref="D7:D8"/>
    <mergeCell ref="E7:E8"/>
    <mergeCell ref="D9:D10"/>
    <mergeCell ref="E9:E10"/>
    <mergeCell ref="D11:D12"/>
    <mergeCell ref="E11:E12"/>
    <mergeCell ref="D13:D14"/>
    <mergeCell ref="E13:E14"/>
    <mergeCell ref="D15:D1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
    <tabColor theme="4" tint="-0.249977111117893"/>
  </sheetPr>
  <dimension ref="U3:AK21"/>
  <sheetViews>
    <sheetView zoomScale="90" zoomScaleNormal="90" workbookViewId="0">
      <selection activeCell="N47" sqref="N47"/>
    </sheetView>
  </sheetViews>
  <sheetFormatPr defaultColWidth="9.109375" defaultRowHeight="14.4"/>
  <cols>
    <col min="1" max="21" width="9.109375" style="286"/>
    <col min="22" max="30" width="0" style="286" hidden="1" customWidth="1"/>
    <col min="31" max="16384" width="9.109375" style="286"/>
  </cols>
  <sheetData>
    <row r="3" spans="21:37">
      <c r="U3" s="645"/>
      <c r="V3" s="645"/>
      <c r="W3" s="645"/>
      <c r="X3" s="645"/>
      <c r="Y3" s="645"/>
      <c r="Z3" s="645"/>
      <c r="AA3" s="645"/>
      <c r="AB3" s="645"/>
      <c r="AC3" s="645"/>
      <c r="AD3" s="645"/>
      <c r="AE3" s="645"/>
      <c r="AF3" s="645"/>
      <c r="AG3" s="645"/>
      <c r="AH3" s="645"/>
      <c r="AI3" s="645"/>
      <c r="AJ3" s="645"/>
      <c r="AK3" s="645"/>
    </row>
    <row r="4" spans="21:37">
      <c r="U4" s="645"/>
      <c r="V4" s="645"/>
      <c r="W4" s="645"/>
      <c r="X4" s="645"/>
      <c r="Y4" s="645"/>
      <c r="Z4" s="645"/>
      <c r="AA4" s="645"/>
      <c r="AB4" s="645"/>
      <c r="AC4" s="645"/>
      <c r="AD4" s="645"/>
      <c r="AE4" s="645"/>
      <c r="AF4" s="645"/>
      <c r="AG4" s="645"/>
      <c r="AH4" s="645"/>
      <c r="AI4" s="645"/>
      <c r="AJ4" s="645"/>
      <c r="AK4" s="645"/>
    </row>
    <row r="5" spans="21:37">
      <c r="U5" s="645"/>
      <c r="V5" s="645"/>
      <c r="W5" s="645"/>
      <c r="X5" s="645"/>
      <c r="Y5" s="645"/>
      <c r="Z5" s="645"/>
      <c r="AA5" s="645"/>
      <c r="AB5" s="645"/>
      <c r="AC5" s="645"/>
      <c r="AD5" s="645"/>
      <c r="AE5" s="645"/>
      <c r="AF5" s="645"/>
      <c r="AG5" s="645"/>
      <c r="AH5" s="645"/>
      <c r="AI5" s="645"/>
      <c r="AJ5" s="645"/>
      <c r="AK5" s="645"/>
    </row>
    <row r="6" spans="21:37">
      <c r="U6" s="645"/>
      <c r="V6" s="645"/>
      <c r="W6" s="645"/>
      <c r="X6" s="645"/>
      <c r="Y6" s="645"/>
      <c r="Z6" s="645"/>
      <c r="AA6" s="645"/>
      <c r="AB6" s="645"/>
      <c r="AC6" s="645"/>
      <c r="AD6" s="645"/>
      <c r="AE6" s="645"/>
      <c r="AF6" s="645"/>
      <c r="AG6" s="645"/>
      <c r="AH6" s="645"/>
      <c r="AI6" s="645"/>
      <c r="AJ6" s="645"/>
      <c r="AK6" s="645"/>
    </row>
    <row r="7" spans="21:37">
      <c r="U7" s="645"/>
      <c r="V7" s="645"/>
      <c r="W7" s="645"/>
      <c r="X7" s="645"/>
      <c r="Y7" s="645"/>
      <c r="Z7" s="645"/>
      <c r="AA7" s="645"/>
      <c r="AB7" s="645"/>
      <c r="AC7" s="645"/>
      <c r="AD7" s="645"/>
      <c r="AE7" s="645"/>
      <c r="AF7" s="645"/>
      <c r="AG7" s="645"/>
      <c r="AH7" s="645"/>
      <c r="AI7" s="645"/>
      <c r="AJ7" s="645"/>
      <c r="AK7" s="645"/>
    </row>
    <row r="8" spans="21:37">
      <c r="U8" s="645"/>
      <c r="V8" s="645"/>
      <c r="W8" s="645"/>
      <c r="X8" s="645"/>
      <c r="Y8" s="645"/>
      <c r="Z8" s="645"/>
      <c r="AA8" s="645"/>
      <c r="AB8" s="645"/>
      <c r="AC8" s="645"/>
      <c r="AD8" s="645"/>
      <c r="AE8" s="645"/>
      <c r="AF8" s="645"/>
      <c r="AG8" s="645"/>
      <c r="AH8" s="645"/>
      <c r="AI8" s="645"/>
      <c r="AJ8" s="645"/>
      <c r="AK8" s="645"/>
    </row>
    <row r="9" spans="21:37">
      <c r="U9" s="645"/>
      <c r="V9" s="645"/>
      <c r="W9" s="645"/>
      <c r="X9" s="645"/>
      <c r="Y9" s="645"/>
      <c r="Z9" s="645"/>
      <c r="AA9" s="645"/>
      <c r="AB9" s="645"/>
      <c r="AC9" s="645"/>
      <c r="AD9" s="645"/>
      <c r="AE9" s="645"/>
      <c r="AF9" s="645"/>
      <c r="AG9" s="645"/>
      <c r="AH9" s="645"/>
      <c r="AI9" s="645"/>
      <c r="AJ9" s="645"/>
      <c r="AK9" s="645"/>
    </row>
    <row r="10" spans="21:37">
      <c r="U10" s="645"/>
      <c r="V10" s="645"/>
      <c r="W10" s="645"/>
      <c r="X10" s="645"/>
      <c r="Y10" s="645"/>
      <c r="Z10" s="645"/>
      <c r="AA10" s="645"/>
      <c r="AB10" s="645"/>
      <c r="AC10" s="645"/>
      <c r="AD10" s="645"/>
      <c r="AE10" s="645"/>
      <c r="AF10" s="645"/>
      <c r="AG10" s="645"/>
      <c r="AH10" s="645"/>
      <c r="AI10" s="645"/>
      <c r="AJ10" s="645"/>
      <c r="AK10" s="645"/>
    </row>
    <row r="11" spans="21:37">
      <c r="U11" s="645"/>
      <c r="V11" s="645"/>
      <c r="W11" s="645"/>
      <c r="X11" s="645"/>
      <c r="Y11" s="645"/>
      <c r="Z11" s="645"/>
      <c r="AA11" s="645"/>
      <c r="AB11" s="645"/>
      <c r="AC11" s="645"/>
      <c r="AD11" s="645"/>
      <c r="AE11" s="645"/>
      <c r="AF11" s="645"/>
      <c r="AG11" s="645"/>
      <c r="AH11" s="645"/>
      <c r="AI11" s="645"/>
      <c r="AJ11" s="645"/>
      <c r="AK11" s="645"/>
    </row>
    <row r="12" spans="21:37">
      <c r="U12" s="645"/>
      <c r="V12" s="645"/>
      <c r="W12" s="645"/>
      <c r="X12" s="645"/>
      <c r="Y12" s="645"/>
      <c r="Z12" s="645"/>
      <c r="AA12" s="645"/>
      <c r="AB12" s="645"/>
      <c r="AC12" s="645"/>
      <c r="AD12" s="645"/>
      <c r="AE12" s="645"/>
      <c r="AF12" s="645"/>
      <c r="AG12" s="645"/>
      <c r="AH12" s="645"/>
      <c r="AI12" s="645"/>
      <c r="AJ12" s="645"/>
      <c r="AK12" s="645"/>
    </row>
    <row r="13" spans="21:37">
      <c r="U13" s="645"/>
      <c r="V13" s="645"/>
      <c r="W13" s="645"/>
      <c r="X13" s="645"/>
      <c r="Y13" s="645"/>
      <c r="Z13" s="645"/>
      <c r="AA13" s="645"/>
      <c r="AB13" s="645"/>
      <c r="AC13" s="645"/>
      <c r="AD13" s="645"/>
      <c r="AE13" s="645"/>
      <c r="AF13" s="645"/>
      <c r="AG13" s="645"/>
      <c r="AH13" s="645"/>
      <c r="AI13" s="645"/>
      <c r="AJ13" s="645"/>
      <c r="AK13" s="645"/>
    </row>
    <row r="14" spans="21:37">
      <c r="U14" s="645"/>
      <c r="V14" s="645"/>
      <c r="W14" s="645"/>
      <c r="X14" s="645"/>
      <c r="Y14" s="645"/>
      <c r="Z14" s="645"/>
      <c r="AA14" s="645"/>
      <c r="AB14" s="645"/>
      <c r="AC14" s="645"/>
      <c r="AD14" s="645"/>
      <c r="AE14" s="645"/>
      <c r="AF14" s="645"/>
      <c r="AG14" s="645"/>
      <c r="AH14" s="645"/>
      <c r="AI14" s="645"/>
      <c r="AJ14" s="645"/>
      <c r="AK14" s="645"/>
    </row>
    <row r="15" spans="21:37">
      <c r="U15" s="645"/>
      <c r="V15" s="645"/>
      <c r="W15" s="645"/>
      <c r="X15" s="645"/>
      <c r="Y15" s="645"/>
      <c r="Z15" s="645"/>
      <c r="AA15" s="645"/>
      <c r="AB15" s="645"/>
      <c r="AC15" s="645"/>
      <c r="AD15" s="645"/>
      <c r="AE15" s="645"/>
      <c r="AF15" s="645"/>
      <c r="AG15" s="645"/>
      <c r="AH15" s="645"/>
      <c r="AI15" s="645"/>
      <c r="AJ15" s="645"/>
      <c r="AK15" s="645"/>
    </row>
    <row r="16" spans="21:37">
      <c r="U16" s="645"/>
      <c r="V16" s="645"/>
      <c r="W16" s="645"/>
      <c r="X16" s="645"/>
      <c r="Y16" s="645"/>
      <c r="Z16" s="645"/>
      <c r="AA16" s="645"/>
      <c r="AB16" s="645"/>
      <c r="AC16" s="645"/>
      <c r="AD16" s="645"/>
      <c r="AE16" s="645"/>
      <c r="AF16" s="645"/>
      <c r="AG16" s="645"/>
      <c r="AH16" s="645"/>
      <c r="AI16" s="645"/>
      <c r="AJ16" s="645"/>
      <c r="AK16" s="645"/>
    </row>
    <row r="17" spans="21:37">
      <c r="U17" s="645"/>
      <c r="V17" s="645"/>
      <c r="W17" s="645"/>
      <c r="X17" s="645"/>
      <c r="Y17" s="645"/>
      <c r="Z17" s="645"/>
      <c r="AA17" s="645"/>
      <c r="AB17" s="645"/>
      <c r="AC17" s="645"/>
      <c r="AD17" s="645"/>
      <c r="AE17" s="645"/>
      <c r="AF17" s="645"/>
      <c r="AG17" s="645"/>
      <c r="AH17" s="645"/>
      <c r="AI17" s="645"/>
      <c r="AJ17" s="645"/>
      <c r="AK17" s="645"/>
    </row>
    <row r="18" spans="21:37">
      <c r="U18" s="645"/>
      <c r="V18" s="645"/>
      <c r="W18" s="645"/>
      <c r="X18" s="645"/>
      <c r="Y18" s="645"/>
      <c r="Z18" s="645"/>
      <c r="AA18" s="645"/>
      <c r="AB18" s="645"/>
      <c r="AC18" s="645"/>
      <c r="AD18" s="645"/>
      <c r="AE18" s="645"/>
      <c r="AF18" s="645"/>
      <c r="AG18" s="645"/>
      <c r="AH18" s="645"/>
      <c r="AI18" s="645"/>
      <c r="AJ18" s="645"/>
      <c r="AK18" s="645"/>
    </row>
    <row r="19" spans="21:37">
      <c r="U19" s="645"/>
      <c r="V19" s="645"/>
      <c r="W19" s="645"/>
      <c r="X19" s="645"/>
      <c r="Y19" s="645"/>
      <c r="Z19" s="645"/>
      <c r="AA19" s="645"/>
      <c r="AB19" s="645"/>
      <c r="AC19" s="645"/>
      <c r="AD19" s="645"/>
      <c r="AE19" s="645"/>
      <c r="AF19" s="645"/>
      <c r="AG19" s="645"/>
      <c r="AH19" s="645"/>
      <c r="AI19" s="645"/>
      <c r="AJ19" s="645"/>
      <c r="AK19" s="645"/>
    </row>
    <row r="20" spans="21:37">
      <c r="U20" s="645"/>
      <c r="V20" s="645"/>
      <c r="W20" s="645"/>
      <c r="X20" s="645"/>
      <c r="Y20" s="645"/>
      <c r="Z20" s="645"/>
      <c r="AA20" s="645"/>
      <c r="AB20" s="645"/>
      <c r="AC20" s="645"/>
      <c r="AD20" s="645"/>
      <c r="AE20" s="645"/>
      <c r="AF20" s="645"/>
      <c r="AG20" s="645"/>
      <c r="AH20" s="645"/>
      <c r="AI20" s="645"/>
      <c r="AJ20" s="645"/>
      <c r="AK20" s="645"/>
    </row>
    <row r="21" spans="21:37">
      <c r="U21" s="645"/>
      <c r="V21" s="645"/>
      <c r="W21" s="645"/>
      <c r="X21" s="645"/>
      <c r="Y21" s="645"/>
      <c r="Z21" s="645"/>
      <c r="AA21" s="645"/>
      <c r="AB21" s="645"/>
      <c r="AC21" s="645"/>
      <c r="AD21" s="645"/>
      <c r="AE21" s="645"/>
      <c r="AF21" s="645"/>
      <c r="AG21" s="645"/>
      <c r="AH21" s="645"/>
      <c r="AI21" s="645"/>
      <c r="AJ21" s="645"/>
      <c r="AK21" s="64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4"/>
  </sheetPr>
  <dimension ref="A1:AO132"/>
  <sheetViews>
    <sheetView showGridLines="0" topLeftCell="B1" zoomScale="115" zoomScaleNormal="115" workbookViewId="0">
      <selection activeCell="E19" sqref="E19:F19"/>
    </sheetView>
  </sheetViews>
  <sheetFormatPr defaultColWidth="9.109375" defaultRowHeight="13.8"/>
  <cols>
    <col min="1" max="1" width="13.6640625" style="172" hidden="1" customWidth="1"/>
    <col min="2" max="2" width="13.6640625" style="172" customWidth="1"/>
    <col min="3" max="3" width="1" style="172" customWidth="1"/>
    <col min="4" max="4" width="56.6640625" style="172" customWidth="1"/>
    <col min="5" max="5" width="6.44140625" style="172" customWidth="1"/>
    <col min="6" max="6" width="16.109375" style="172" customWidth="1"/>
    <col min="7" max="7" width="35" style="172" customWidth="1"/>
    <col min="8" max="8" width="10.33203125" style="172" bestFit="1" customWidth="1"/>
    <col min="9" max="9" width="4.44140625" style="172" customWidth="1"/>
    <col min="10" max="10" width="9.109375" style="172"/>
    <col min="11" max="11" width="26.44140625" style="172" bestFit="1" customWidth="1"/>
    <col min="12" max="12" width="9.109375" style="172"/>
    <col min="13" max="13" width="11.109375" style="172" customWidth="1"/>
    <col min="14" max="14" width="13.88671875" style="172" customWidth="1"/>
    <col min="15" max="15" width="5.33203125" style="172" customWidth="1"/>
    <col min="16" max="16384" width="9.109375" style="172"/>
  </cols>
  <sheetData>
    <row r="1" spans="3:41" ht="14.25" customHeight="1">
      <c r="M1" s="205"/>
    </row>
    <row r="2" spans="3:41" ht="36.6" customHeight="1">
      <c r="C2" s="326"/>
      <c r="D2" s="898" t="s">
        <v>245</v>
      </c>
      <c r="E2" s="898"/>
      <c r="F2" s="898"/>
      <c r="G2" s="238" t="str">
        <f>IFERROR(VLOOKUP(0,0,0,FALSE),"-")</f>
        <v>-</v>
      </c>
      <c r="M2" s="646"/>
      <c r="R2" s="173"/>
      <c r="S2" s="173"/>
      <c r="T2" s="173"/>
      <c r="U2" s="173"/>
      <c r="V2" s="173"/>
      <c r="W2" s="173"/>
      <c r="X2" s="173"/>
      <c r="Y2" s="173"/>
      <c r="Z2" s="174"/>
      <c r="AA2" s="173"/>
      <c r="AB2" s="173"/>
      <c r="AC2" s="173"/>
      <c r="AD2" s="173"/>
      <c r="AE2" s="173"/>
      <c r="AF2" s="173"/>
      <c r="AG2" s="173"/>
      <c r="AH2" s="173"/>
      <c r="AI2" s="173"/>
      <c r="AJ2" s="173"/>
      <c r="AK2" s="173"/>
      <c r="AL2" s="173"/>
      <c r="AM2" s="173"/>
      <c r="AN2" s="173"/>
      <c r="AO2" s="173"/>
    </row>
    <row r="3" spans="3:41" ht="28.5" customHeight="1">
      <c r="D3" s="323" t="s">
        <v>246</v>
      </c>
      <c r="E3" s="323"/>
      <c r="F3" s="288"/>
      <c r="G3" s="288"/>
      <c r="M3" s="646"/>
      <c r="R3" s="173"/>
      <c r="S3" s="173"/>
      <c r="T3" s="173"/>
      <c r="U3" s="173"/>
      <c r="V3" s="173"/>
      <c r="W3" s="173"/>
      <c r="X3" s="173"/>
      <c r="Y3" s="173"/>
      <c r="Z3" s="174"/>
      <c r="AA3" s="173"/>
      <c r="AB3" s="173"/>
      <c r="AC3" s="173"/>
      <c r="AD3" s="173"/>
      <c r="AE3" s="173"/>
      <c r="AF3" s="173"/>
      <c r="AG3" s="173"/>
      <c r="AH3" s="173"/>
      <c r="AI3" s="173"/>
      <c r="AJ3" s="173"/>
      <c r="AK3" s="173"/>
      <c r="AL3" s="173"/>
      <c r="AM3" s="173"/>
      <c r="AN3" s="173"/>
      <c r="AO3" s="173"/>
    </row>
    <row r="4" spans="3:41" s="188" customFormat="1" ht="25.5" customHeight="1" thickBot="1">
      <c r="D4" s="322" t="s">
        <v>339</v>
      </c>
      <c r="E4" s="322"/>
      <c r="F4" s="317"/>
      <c r="G4" s="289"/>
      <c r="H4" s="777"/>
      <c r="M4" s="646"/>
      <c r="R4" s="189"/>
      <c r="S4" s="189"/>
      <c r="T4" s="189"/>
      <c r="U4" s="189"/>
      <c r="V4" s="189"/>
      <c r="W4" s="189"/>
      <c r="X4" s="189"/>
      <c r="Y4" s="189"/>
      <c r="Z4" s="190"/>
      <c r="AA4" s="189"/>
      <c r="AB4" s="189"/>
      <c r="AC4" s="189"/>
      <c r="AD4" s="189"/>
      <c r="AE4" s="189"/>
      <c r="AF4" s="189"/>
      <c r="AG4" s="189"/>
      <c r="AH4" s="189"/>
      <c r="AI4" s="189"/>
      <c r="AJ4" s="189"/>
      <c r="AK4" s="189"/>
      <c r="AL4" s="189"/>
      <c r="AM4" s="189"/>
      <c r="AN4" s="189"/>
      <c r="AO4" s="189"/>
    </row>
    <row r="5" spans="3:41" s="179" customFormat="1" ht="30.9" customHeight="1" thickTop="1" thickBot="1">
      <c r="C5" s="334"/>
      <c r="D5" s="340" t="s">
        <v>391</v>
      </c>
      <c r="E5" s="897">
        <v>6</v>
      </c>
      <c r="F5" s="897"/>
      <c r="M5" s="646"/>
      <c r="Q5" s="180"/>
      <c r="R5" s="180"/>
      <c r="S5" s="180"/>
      <c r="T5" s="180"/>
      <c r="U5" s="180"/>
      <c r="V5" s="180"/>
      <c r="W5" s="180"/>
      <c r="X5" s="180"/>
      <c r="Y5" s="181"/>
      <c r="Z5" s="180"/>
      <c r="AA5" s="180"/>
      <c r="AB5" s="180"/>
      <c r="AC5" s="180"/>
      <c r="AD5" s="180"/>
      <c r="AE5" s="180"/>
      <c r="AF5" s="180"/>
      <c r="AG5" s="180"/>
      <c r="AH5" s="180"/>
      <c r="AI5" s="180"/>
      <c r="AJ5" s="180"/>
      <c r="AK5" s="180"/>
      <c r="AL5" s="180"/>
      <c r="AM5" s="180"/>
      <c r="AN5" s="180"/>
    </row>
    <row r="6" spans="3:41" s="212" customFormat="1" ht="15.75" hidden="1" customHeight="1" thickBot="1">
      <c r="C6" s="327"/>
      <c r="D6" s="341"/>
      <c r="E6" s="328"/>
      <c r="F6" s="329"/>
      <c r="G6" s="215"/>
      <c r="M6" s="646"/>
      <c r="Q6" s="213"/>
      <c r="R6" s="213"/>
      <c r="S6" s="213"/>
      <c r="T6" s="213"/>
      <c r="U6" s="213"/>
      <c r="V6" s="213"/>
      <c r="W6" s="213"/>
      <c r="X6" s="213"/>
      <c r="Y6" s="214"/>
      <c r="Z6" s="213"/>
      <c r="AA6" s="213"/>
      <c r="AB6" s="213"/>
      <c r="AC6" s="213"/>
      <c r="AD6" s="213"/>
      <c r="AE6" s="213"/>
      <c r="AF6" s="213"/>
      <c r="AG6" s="213"/>
      <c r="AH6" s="213"/>
      <c r="AI6" s="213"/>
      <c r="AJ6" s="213"/>
      <c r="AK6" s="213"/>
      <c r="AL6" s="213"/>
      <c r="AM6" s="213"/>
      <c r="AN6" s="213"/>
    </row>
    <row r="7" spans="3:41" s="179" customFormat="1" ht="30.9" customHeight="1" thickTop="1" thickBot="1">
      <c r="C7" s="334"/>
      <c r="D7" s="340" t="s">
        <v>294</v>
      </c>
      <c r="E7" s="901">
        <f>+VLOOKUP(E5,BBDD!C3:S24,3,FALSE)</f>
        <v>28309</v>
      </c>
      <c r="F7" s="901"/>
      <c r="G7" s="180" t="str">
        <f>IF(E7&lt;8000,"Completar fecha con formato dd/mm/aaaa"," ")</f>
        <v xml:space="preserve"> </v>
      </c>
      <c r="H7" s="318"/>
      <c r="M7" s="646"/>
      <c r="Q7" s="180"/>
      <c r="R7" s="180"/>
      <c r="S7" s="180"/>
      <c r="T7" s="180"/>
      <c r="U7" s="180"/>
      <c r="V7" s="180"/>
      <c r="W7" s="180"/>
      <c r="X7" s="180"/>
      <c r="Y7" s="181"/>
      <c r="Z7" s="180"/>
      <c r="AA7" s="180"/>
      <c r="AB7" s="180"/>
      <c r="AC7" s="180"/>
      <c r="AD7" s="180"/>
      <c r="AE7" s="180"/>
      <c r="AF7" s="180"/>
      <c r="AG7" s="180"/>
      <c r="AH7" s="180"/>
      <c r="AI7" s="180"/>
      <c r="AJ7" s="180"/>
      <c r="AK7" s="180"/>
      <c r="AL7" s="180"/>
      <c r="AM7" s="180"/>
      <c r="AN7" s="180"/>
    </row>
    <row r="8" spans="3:41" s="212" customFormat="1" ht="15.75" hidden="1" customHeight="1" thickBot="1">
      <c r="C8" s="327"/>
      <c r="D8" s="341"/>
      <c r="E8" s="328"/>
      <c r="F8" s="330"/>
      <c r="G8" s="215"/>
      <c r="M8" s="646"/>
      <c r="Q8" s="213"/>
      <c r="R8" s="213"/>
      <c r="S8" s="213"/>
      <c r="T8" s="213"/>
      <c r="U8" s="213"/>
      <c r="V8" s="213"/>
      <c r="W8" s="213"/>
      <c r="X8" s="213"/>
      <c r="Y8" s="214"/>
      <c r="Z8" s="213"/>
      <c r="AA8" s="213"/>
      <c r="AB8" s="213"/>
      <c r="AC8" s="213"/>
      <c r="AD8" s="213"/>
      <c r="AE8" s="213"/>
      <c r="AF8" s="213"/>
      <c r="AG8" s="213"/>
      <c r="AH8" s="213"/>
      <c r="AI8" s="213"/>
      <c r="AJ8" s="213"/>
      <c r="AK8" s="213"/>
      <c r="AL8" s="213"/>
      <c r="AM8" s="213"/>
      <c r="AN8" s="213"/>
    </row>
    <row r="9" spans="3:41" s="179" customFormat="1" ht="30.9" customHeight="1" thickTop="1" thickBot="1">
      <c r="C9" s="334"/>
      <c r="D9" s="340" t="s">
        <v>390</v>
      </c>
      <c r="E9" s="336"/>
      <c r="F9" s="335" t="s">
        <v>6</v>
      </c>
      <c r="M9" s="646"/>
      <c r="R9" s="180"/>
      <c r="S9" s="180"/>
      <c r="T9" s="180"/>
      <c r="U9" s="180"/>
      <c r="V9" s="180"/>
      <c r="W9" s="180"/>
      <c r="X9" s="180"/>
      <c r="Y9" s="181"/>
      <c r="Z9" s="180"/>
      <c r="AA9" s="180"/>
      <c r="AB9" s="180"/>
      <c r="AC9" s="180"/>
      <c r="AD9" s="180"/>
      <c r="AE9" s="180"/>
      <c r="AF9" s="180"/>
      <c r="AG9" s="180"/>
      <c r="AH9" s="180"/>
      <c r="AI9" s="180"/>
      <c r="AJ9" s="180"/>
      <c r="AK9" s="180"/>
      <c r="AL9" s="180"/>
      <c r="AM9" s="180"/>
      <c r="AN9" s="180"/>
    </row>
    <row r="10" spans="3:41" s="212" customFormat="1" ht="15.75" hidden="1" customHeight="1" thickBot="1">
      <c r="C10" s="327"/>
      <c r="D10" s="341"/>
      <c r="E10" s="328"/>
      <c r="F10" s="331"/>
      <c r="G10" s="215"/>
      <c r="M10" s="646"/>
      <c r="R10" s="213"/>
      <c r="S10" s="213"/>
      <c r="T10" s="213"/>
      <c r="U10" s="213"/>
      <c r="V10" s="213"/>
      <c r="W10" s="213"/>
      <c r="X10" s="213"/>
      <c r="Y10" s="214"/>
      <c r="Z10" s="213"/>
      <c r="AA10" s="213"/>
      <c r="AB10" s="213"/>
      <c r="AC10" s="213"/>
      <c r="AD10" s="213"/>
      <c r="AE10" s="213"/>
      <c r="AF10" s="213"/>
      <c r="AG10" s="213"/>
      <c r="AH10" s="213"/>
      <c r="AI10" s="213"/>
      <c r="AJ10" s="213"/>
      <c r="AK10" s="213"/>
      <c r="AL10" s="213"/>
      <c r="AM10" s="213"/>
      <c r="AN10" s="213"/>
    </row>
    <row r="11" spans="3:41" s="179" customFormat="1" ht="30.9" customHeight="1" thickTop="1" thickBot="1">
      <c r="C11" s="334"/>
      <c r="D11" s="340" t="s">
        <v>392</v>
      </c>
      <c r="E11" s="897">
        <v>0</v>
      </c>
      <c r="F11" s="897"/>
      <c r="G11" s="180" t="str">
        <f>IF(IFERROR(E11+1,"Formato no válido")="Formato no válido","Formato no válido","")</f>
        <v/>
      </c>
      <c r="H11" s="320"/>
      <c r="J11" s="321"/>
      <c r="M11" s="646"/>
      <c r="Q11" s="180"/>
      <c r="R11" s="180"/>
      <c r="S11" s="180"/>
      <c r="T11" s="180"/>
      <c r="U11" s="180"/>
      <c r="V11" s="180"/>
      <c r="W11" s="180"/>
      <c r="X11" s="180"/>
      <c r="Y11" s="181"/>
      <c r="Z11" s="180"/>
      <c r="AA11" s="180"/>
      <c r="AB11" s="180"/>
      <c r="AC11" s="180"/>
      <c r="AD11" s="180"/>
      <c r="AE11" s="180"/>
      <c r="AF11" s="180"/>
      <c r="AG11" s="180"/>
      <c r="AH11" s="180"/>
      <c r="AI11" s="180"/>
      <c r="AJ11" s="180"/>
      <c r="AK11" s="180"/>
      <c r="AL11" s="180"/>
      <c r="AM11" s="180"/>
      <c r="AN11" s="180"/>
    </row>
    <row r="12" spans="3:41" s="212" customFormat="1" ht="15.75" hidden="1" customHeight="1" thickBot="1">
      <c r="C12" s="327"/>
      <c r="D12" s="341"/>
      <c r="E12" s="328"/>
      <c r="F12" s="329"/>
      <c r="G12" s="215"/>
      <c r="M12" s="646"/>
      <c r="Q12" s="213"/>
      <c r="R12" s="213"/>
      <c r="S12" s="213"/>
      <c r="T12" s="213"/>
      <c r="U12" s="213"/>
      <c r="V12" s="213"/>
      <c r="W12" s="213"/>
      <c r="X12" s="213"/>
      <c r="Y12" s="214"/>
      <c r="Z12" s="213"/>
      <c r="AA12" s="213"/>
      <c r="AB12" s="213"/>
      <c r="AC12" s="213"/>
      <c r="AD12" s="213"/>
      <c r="AE12" s="213"/>
      <c r="AF12" s="213"/>
      <c r="AG12" s="213"/>
      <c r="AH12" s="213"/>
      <c r="AI12" s="213"/>
      <c r="AJ12" s="213"/>
      <c r="AK12" s="213"/>
      <c r="AL12" s="213"/>
      <c r="AM12" s="213"/>
      <c r="AN12" s="213"/>
    </row>
    <row r="13" spans="3:41" s="179" customFormat="1" ht="30.9" customHeight="1" thickTop="1" thickBot="1">
      <c r="C13" s="334"/>
      <c r="D13" s="340" t="s">
        <v>387</v>
      </c>
      <c r="E13" s="902">
        <f>+IFERROR(VLOOKUP(E5,BBDD!C3:S24,16,FALSE)+VLOOKUP(E5,BBDD!C3:S24,17,FALSE),"-")</f>
        <v>220000</v>
      </c>
      <c r="F13" s="902"/>
      <c r="G13" s="180" t="str">
        <f>IF(IFERROR(E13+1,"Formato no válido")="Formato no válido","Formato no válido","")</f>
        <v/>
      </c>
      <c r="H13" s="321"/>
      <c r="M13" s="646"/>
      <c r="Q13" s="180"/>
      <c r="R13" s="180"/>
      <c r="S13" s="180"/>
      <c r="T13" s="180"/>
      <c r="U13" s="180"/>
      <c r="V13" s="180"/>
      <c r="W13" s="180"/>
      <c r="X13" s="180"/>
      <c r="Y13" s="181"/>
      <c r="Z13" s="180"/>
      <c r="AA13" s="180"/>
      <c r="AB13" s="180"/>
      <c r="AC13" s="180"/>
      <c r="AD13" s="180"/>
      <c r="AE13" s="180"/>
      <c r="AF13" s="180"/>
      <c r="AG13" s="180"/>
      <c r="AH13" s="180"/>
      <c r="AI13" s="180"/>
      <c r="AJ13" s="180"/>
      <c r="AK13" s="180"/>
      <c r="AL13" s="180"/>
      <c r="AM13" s="180"/>
      <c r="AN13" s="180"/>
    </row>
    <row r="14" spans="3:41" s="212" customFormat="1" ht="15.75" hidden="1" customHeight="1" thickBot="1">
      <c r="C14" s="327"/>
      <c r="D14" s="341"/>
      <c r="E14" s="328"/>
      <c r="F14" s="332"/>
      <c r="G14" s="215"/>
      <c r="M14" s="646"/>
      <c r="Q14" s="213"/>
      <c r="R14" s="213"/>
      <c r="S14" s="213"/>
      <c r="T14" s="213"/>
      <c r="U14" s="213"/>
      <c r="V14" s="213"/>
      <c r="W14" s="213"/>
      <c r="X14" s="213"/>
      <c r="Y14" s="214"/>
      <c r="Z14" s="213"/>
      <c r="AA14" s="213"/>
      <c r="AB14" s="213"/>
      <c r="AC14" s="213"/>
      <c r="AD14" s="213"/>
      <c r="AE14" s="213"/>
      <c r="AF14" s="213"/>
      <c r="AG14" s="213"/>
      <c r="AH14" s="213"/>
      <c r="AI14" s="213"/>
      <c r="AJ14" s="213"/>
      <c r="AK14" s="213"/>
      <c r="AL14" s="213"/>
      <c r="AM14" s="213"/>
      <c r="AN14" s="213"/>
    </row>
    <row r="15" spans="3:41" s="179" customFormat="1" ht="30.9" customHeight="1" thickTop="1" thickBot="1">
      <c r="C15" s="334"/>
      <c r="D15" s="340" t="s">
        <v>547</v>
      </c>
      <c r="E15" s="902">
        <f>+IFERROR(VLOOKUP(E5,BBDD!C3:S24,16,FALSE),"-")</f>
        <v>210000</v>
      </c>
      <c r="F15" s="902"/>
      <c r="G15" s="180" t="str">
        <f>IF(IFERROR(E15+1,"Formato no válido")="Formato no válido","Formato no válido"," ")</f>
        <v xml:space="preserve"> </v>
      </c>
      <c r="I15" s="345"/>
      <c r="M15" s="646"/>
      <c r="Q15" s="180"/>
      <c r="R15" s="180"/>
      <c r="S15" s="180"/>
      <c r="T15" s="180"/>
      <c r="U15" s="180"/>
      <c r="V15" s="180"/>
      <c r="W15" s="180"/>
      <c r="X15" s="180"/>
      <c r="Y15" s="181"/>
      <c r="Z15" s="180"/>
      <c r="AA15" s="180"/>
      <c r="AB15" s="180"/>
      <c r="AC15" s="180"/>
      <c r="AD15" s="180"/>
      <c r="AE15" s="180"/>
      <c r="AF15" s="180"/>
      <c r="AG15" s="180"/>
      <c r="AH15" s="180"/>
      <c r="AI15" s="180"/>
      <c r="AJ15" s="180"/>
      <c r="AK15" s="180"/>
      <c r="AL15" s="180"/>
      <c r="AM15" s="180"/>
      <c r="AN15" s="180"/>
    </row>
    <row r="16" spans="3:41" s="212" customFormat="1" ht="16.5" hidden="1" customHeight="1" thickBot="1">
      <c r="C16" s="327"/>
      <c r="D16" s="333"/>
      <c r="E16" s="333"/>
      <c r="F16" s="332"/>
      <c r="M16" s="646"/>
      <c r="Q16" s="213"/>
      <c r="R16" s="213"/>
      <c r="S16" s="213"/>
      <c r="T16" s="213"/>
      <c r="U16" s="213"/>
      <c r="V16" s="213"/>
      <c r="W16" s="213"/>
      <c r="X16" s="213"/>
      <c r="Y16" s="214"/>
      <c r="Z16" s="213"/>
      <c r="AA16" s="213"/>
      <c r="AB16" s="213"/>
      <c r="AC16" s="213"/>
      <c r="AD16" s="213"/>
      <c r="AE16" s="213"/>
      <c r="AF16" s="213"/>
      <c r="AG16" s="213"/>
      <c r="AH16" s="213"/>
      <c r="AI16" s="213"/>
      <c r="AJ16" s="213"/>
      <c r="AK16" s="213"/>
      <c r="AL16" s="213"/>
      <c r="AM16" s="213"/>
      <c r="AN16" s="213"/>
    </row>
    <row r="17" spans="2:41" s="179" customFormat="1" ht="20.100000000000001" customHeight="1" thickTop="1" thickBot="1">
      <c r="C17" s="325"/>
      <c r="D17" s="899" t="s">
        <v>388</v>
      </c>
      <c r="E17" s="899"/>
      <c r="F17" s="900"/>
      <c r="G17" s="319"/>
      <c r="I17" s="324"/>
      <c r="M17" s="646"/>
      <c r="Q17" s="180"/>
      <c r="R17" s="180"/>
      <c r="S17" s="180"/>
      <c r="T17" s="180"/>
      <c r="U17" s="180"/>
      <c r="V17" s="180"/>
      <c r="W17" s="180"/>
      <c r="X17" s="180"/>
      <c r="Y17" s="181"/>
      <c r="Z17" s="180"/>
      <c r="AA17" s="180"/>
      <c r="AB17" s="180"/>
      <c r="AC17" s="180"/>
      <c r="AD17" s="180"/>
      <c r="AE17" s="180"/>
      <c r="AF17" s="180"/>
      <c r="AG17" s="180"/>
      <c r="AH17" s="180"/>
      <c r="AI17" s="180"/>
      <c r="AJ17" s="180"/>
      <c r="AK17" s="180"/>
      <c r="AL17" s="180"/>
      <c r="AM17" s="180"/>
      <c r="AN17" s="180"/>
    </row>
    <row r="18" spans="2:41" s="179" customFormat="1" ht="30.9" customHeight="1" thickTop="1" thickBot="1">
      <c r="C18" s="325"/>
      <c r="D18" s="342" t="s">
        <v>308</v>
      </c>
      <c r="E18" s="896">
        <v>0</v>
      </c>
      <c r="F18" s="896"/>
      <c r="G18" s="180" t="str">
        <f>IF(IFERROR(E18+1,"Formato no válido")="Formato no válido","Formato no válido","")</f>
        <v/>
      </c>
      <c r="J18" s="321"/>
      <c r="M18" s="646"/>
      <c r="Q18" s="180"/>
      <c r="R18" s="180"/>
      <c r="S18" s="180"/>
      <c r="T18" s="180"/>
      <c r="U18" s="180"/>
      <c r="V18" s="180"/>
      <c r="W18" s="180"/>
      <c r="X18" s="180"/>
      <c r="Y18" s="181"/>
      <c r="Z18" s="180"/>
      <c r="AA18" s="180"/>
      <c r="AB18" s="180"/>
      <c r="AC18" s="180"/>
      <c r="AD18" s="180"/>
      <c r="AE18" s="180"/>
      <c r="AF18" s="180"/>
      <c r="AG18" s="180"/>
      <c r="AH18" s="180"/>
      <c r="AI18" s="180"/>
      <c r="AJ18" s="180"/>
      <c r="AK18" s="180"/>
      <c r="AL18" s="180"/>
      <c r="AM18" s="180"/>
      <c r="AN18" s="180"/>
    </row>
    <row r="19" spans="2:41" s="179" customFormat="1" ht="30.9" customHeight="1" thickTop="1">
      <c r="C19" s="343"/>
      <c r="D19" s="343" t="s">
        <v>389</v>
      </c>
      <c r="E19" s="897">
        <v>0</v>
      </c>
      <c r="F19" s="897"/>
      <c r="G19" s="180" t="str">
        <f>IF(IFERROR(E19+1,"Formato no válido")="Formato no válido","Formato no válido","")</f>
        <v/>
      </c>
      <c r="M19" s="646"/>
      <c r="Q19" s="180"/>
      <c r="R19" s="180"/>
      <c r="S19" s="180"/>
      <c r="T19" s="180"/>
      <c r="U19" s="180"/>
      <c r="V19" s="180"/>
      <c r="W19" s="180"/>
      <c r="X19" s="180"/>
      <c r="Y19" s="181"/>
      <c r="Z19" s="180"/>
      <c r="AA19" s="180"/>
      <c r="AB19" s="180"/>
      <c r="AC19" s="180"/>
      <c r="AD19" s="180"/>
      <c r="AE19" s="180"/>
      <c r="AF19" s="180"/>
      <c r="AG19" s="180"/>
      <c r="AH19" s="180"/>
      <c r="AI19" s="180"/>
      <c r="AJ19" s="180"/>
      <c r="AK19" s="180"/>
      <c r="AL19" s="180"/>
      <c r="AM19" s="180"/>
      <c r="AN19" s="180"/>
    </row>
    <row r="20" spans="2:41" s="179" customFormat="1" ht="30" customHeight="1">
      <c r="B20" s="344" t="s">
        <v>228</v>
      </c>
      <c r="C20" s="344" t="s">
        <v>228</v>
      </c>
      <c r="D20" s="667" t="s">
        <v>552</v>
      </c>
      <c r="E20" s="344"/>
      <c r="F20" s="667">
        <f>IFERROR(ROUND(INT(E18)+INT(E19)/12,2),"-")</f>
        <v>0</v>
      </c>
      <c r="G20" s="180"/>
      <c r="H20" s="180"/>
      <c r="I20" s="180"/>
      <c r="J20" s="321"/>
      <c r="M20" s="646"/>
      <c r="Q20" s="180"/>
      <c r="R20" s="180"/>
      <c r="S20" s="180"/>
      <c r="T20" s="180"/>
      <c r="U20" s="180"/>
      <c r="V20" s="180"/>
      <c r="W20" s="180"/>
      <c r="X20" s="180"/>
      <c r="Y20" s="181"/>
      <c r="Z20" s="180"/>
      <c r="AA20" s="180"/>
      <c r="AB20" s="180"/>
      <c r="AC20" s="180"/>
      <c r="AD20" s="180"/>
      <c r="AE20" s="180"/>
      <c r="AF20" s="180"/>
      <c r="AG20" s="180"/>
      <c r="AH20" s="180"/>
      <c r="AI20" s="180"/>
      <c r="AJ20" s="180"/>
      <c r="AK20" s="180"/>
      <c r="AL20" s="180"/>
      <c r="AM20" s="180"/>
      <c r="AN20" s="180"/>
    </row>
    <row r="21" spans="2:41" ht="15" customHeight="1">
      <c r="C21" s="294"/>
      <c r="D21" s="190"/>
      <c r="E21" s="190"/>
      <c r="F21" s="190" t="s">
        <v>6</v>
      </c>
      <c r="G21" s="173"/>
      <c r="H21" s="173"/>
      <c r="I21" s="173"/>
      <c r="M21" s="646"/>
      <c r="R21" s="173"/>
      <c r="S21" s="173"/>
      <c r="T21" s="173"/>
      <c r="U21" s="173"/>
      <c r="V21" s="173"/>
      <c r="W21" s="173"/>
      <c r="X21" s="173"/>
      <c r="Y21" s="173"/>
      <c r="Z21" s="174"/>
      <c r="AA21" s="173"/>
      <c r="AB21" s="173"/>
      <c r="AC21" s="173"/>
      <c r="AD21" s="173"/>
      <c r="AE21" s="173"/>
      <c r="AF21" s="173"/>
      <c r="AG21" s="173"/>
      <c r="AH21" s="173"/>
      <c r="AI21" s="173"/>
      <c r="AJ21" s="173"/>
      <c r="AK21" s="173"/>
      <c r="AL21" s="173"/>
      <c r="AM21" s="173"/>
      <c r="AN21" s="173"/>
      <c r="AO21" s="173"/>
    </row>
    <row r="22" spans="2:41" ht="15" customHeight="1">
      <c r="D22" s="190"/>
      <c r="E22" s="190"/>
      <c r="F22" s="190" t="s">
        <v>185</v>
      </c>
      <c r="G22" s="173"/>
      <c r="H22" s="173"/>
      <c r="I22" s="173"/>
      <c r="M22" s="205"/>
      <c r="R22" s="173"/>
      <c r="S22" s="173"/>
      <c r="T22" s="173"/>
      <c r="U22" s="173"/>
      <c r="V22" s="173"/>
      <c r="W22" s="173"/>
      <c r="X22" s="173"/>
      <c r="Y22" s="173"/>
      <c r="Z22" s="174"/>
      <c r="AA22" s="173"/>
      <c r="AB22" s="173"/>
      <c r="AC22" s="173"/>
      <c r="AD22" s="173"/>
      <c r="AE22" s="173"/>
      <c r="AF22" s="173"/>
      <c r="AG22" s="173"/>
      <c r="AH22" s="173"/>
      <c r="AI22" s="173"/>
      <c r="AJ22" s="173"/>
      <c r="AK22" s="173"/>
      <c r="AL22" s="173"/>
      <c r="AM22" s="173"/>
      <c r="AN22" s="173"/>
      <c r="AO22" s="173"/>
    </row>
    <row r="23" spans="2:41" ht="15" customHeight="1">
      <c r="D23" s="510" t="s">
        <v>466</v>
      </c>
      <c r="E23" s="149"/>
      <c r="F23" s="864">
        <f>2%*E15</f>
        <v>4200</v>
      </c>
      <c r="G23" s="149"/>
      <c r="H23" s="173"/>
      <c r="I23" s="173"/>
      <c r="R23" s="173"/>
      <c r="S23" s="173"/>
      <c r="T23" s="173"/>
      <c r="U23" s="173"/>
      <c r="V23" s="173"/>
      <c r="W23" s="173"/>
      <c r="X23" s="173"/>
      <c r="Y23" s="173"/>
      <c r="Z23" s="174"/>
      <c r="AA23" s="173"/>
      <c r="AB23" s="173"/>
      <c r="AC23" s="173"/>
      <c r="AD23" s="173"/>
      <c r="AE23" s="173"/>
      <c r="AF23" s="173"/>
      <c r="AG23" s="173"/>
      <c r="AH23" s="173"/>
      <c r="AI23" s="173"/>
      <c r="AJ23" s="173"/>
      <c r="AK23" s="173"/>
      <c r="AL23" s="173"/>
      <c r="AM23" s="173"/>
      <c r="AN23" s="173"/>
      <c r="AO23" s="173"/>
    </row>
    <row r="24" spans="2:41" ht="15" customHeight="1">
      <c r="D24" s="149"/>
      <c r="E24" s="149"/>
      <c r="F24" s="149"/>
      <c r="G24" s="149"/>
      <c r="H24" s="149"/>
      <c r="I24" s="149"/>
      <c r="J24"/>
      <c r="K24"/>
      <c r="L24"/>
      <c r="M24"/>
      <c r="N24"/>
      <c r="O24"/>
      <c r="P24"/>
      <c r="Q24"/>
      <c r="R24" s="173"/>
      <c r="S24" s="173"/>
      <c r="T24" s="173"/>
      <c r="U24" s="173"/>
      <c r="V24" s="173"/>
      <c r="W24" s="173"/>
      <c r="X24" s="173"/>
      <c r="Y24" s="173"/>
      <c r="Z24" s="174"/>
      <c r="AA24" s="173"/>
      <c r="AB24" s="173"/>
      <c r="AC24" s="173"/>
      <c r="AD24" s="173"/>
      <c r="AE24" s="173"/>
      <c r="AF24" s="173"/>
      <c r="AG24" s="173"/>
      <c r="AH24" s="173"/>
      <c r="AI24" s="173"/>
      <c r="AJ24" s="173"/>
      <c r="AK24" s="173"/>
      <c r="AL24" s="173"/>
      <c r="AM24" s="173"/>
      <c r="AN24" s="173"/>
      <c r="AO24" s="173"/>
    </row>
    <row r="25" spans="2:41" ht="15" customHeight="1">
      <c r="D25" s="509" t="s">
        <v>483</v>
      </c>
      <c r="E25" s="149"/>
      <c r="F25" s="149"/>
      <c r="G25" s="149"/>
      <c r="H25" s="149"/>
      <c r="I25" s="149"/>
      <c r="J25"/>
      <c r="K25"/>
      <c r="L25"/>
      <c r="M25"/>
      <c r="N25"/>
      <c r="O25"/>
      <c r="P25"/>
      <c r="Q25"/>
      <c r="R25" s="173"/>
      <c r="S25" s="173"/>
      <c r="T25" s="173"/>
      <c r="U25" s="173"/>
      <c r="V25" s="173"/>
      <c r="W25" s="173"/>
      <c r="X25" s="173"/>
      <c r="Y25" s="173"/>
      <c r="Z25" s="174"/>
      <c r="AA25" s="173"/>
      <c r="AB25" s="173"/>
      <c r="AC25" s="173"/>
      <c r="AD25" s="173"/>
      <c r="AE25" s="173"/>
      <c r="AF25" s="173"/>
      <c r="AG25" s="173"/>
      <c r="AH25" s="173"/>
      <c r="AI25" s="173"/>
      <c r="AJ25" s="173"/>
      <c r="AK25" s="173"/>
      <c r="AL25" s="173"/>
      <c r="AM25" s="173"/>
      <c r="AN25" s="173"/>
      <c r="AO25" s="173"/>
    </row>
    <row r="26" spans="2:41" ht="15" customHeight="1" thickBot="1">
      <c r="D26" s="511" t="s">
        <v>467</v>
      </c>
      <c r="E26" s="149"/>
      <c r="F26" s="149"/>
      <c r="G26" s="149"/>
      <c r="H26" s="149"/>
      <c r="I26" s="149"/>
      <c r="J26"/>
      <c r="K26"/>
      <c r="L26"/>
      <c r="M26"/>
      <c r="N26"/>
      <c r="O26"/>
      <c r="P26"/>
      <c r="Q26"/>
      <c r="R26" s="173"/>
      <c r="S26" s="173"/>
      <c r="T26" s="173"/>
      <c r="U26" s="173"/>
      <c r="V26" s="173"/>
      <c r="W26" s="173"/>
      <c r="X26" s="173"/>
      <c r="Y26" s="173"/>
      <c r="Z26" s="174"/>
      <c r="AA26" s="173"/>
      <c r="AB26" s="173"/>
      <c r="AC26" s="173"/>
      <c r="AD26" s="173"/>
      <c r="AE26" s="173"/>
      <c r="AF26" s="173"/>
      <c r="AG26" s="173"/>
      <c r="AH26" s="173"/>
      <c r="AI26" s="173"/>
      <c r="AJ26" s="173"/>
      <c r="AK26" s="173"/>
      <c r="AL26" s="173"/>
      <c r="AM26" s="173"/>
      <c r="AN26" s="173"/>
      <c r="AO26" s="173"/>
    </row>
    <row r="27" spans="2:41" ht="15" customHeight="1" thickBot="1">
      <c r="D27" s="647">
        <f>VLOOKUP(E5,BBDD!C3:N24,2,FALSE)</f>
        <v>2</v>
      </c>
      <c r="E27"/>
      <c r="F27" s="518"/>
      <c r="G27" s="149"/>
      <c r="H27" s="149"/>
      <c r="I27" s="149"/>
      <c r="J27"/>
      <c r="K27"/>
      <c r="L27"/>
      <c r="M27"/>
      <c r="N27"/>
      <c r="O27"/>
      <c r="P27"/>
      <c r="Q27"/>
      <c r="R27" s="173"/>
      <c r="S27" s="173"/>
      <c r="T27" s="173"/>
      <c r="U27" s="173"/>
      <c r="V27" s="173"/>
      <c r="W27" s="173"/>
      <c r="X27" s="173"/>
      <c r="Y27" s="173"/>
      <c r="Z27" s="174"/>
      <c r="AA27" s="173"/>
      <c r="AB27" s="173"/>
      <c r="AC27" s="173"/>
      <c r="AD27" s="173"/>
      <c r="AE27" s="173"/>
      <c r="AF27" s="173"/>
      <c r="AG27" s="173"/>
      <c r="AH27" s="173"/>
      <c r="AI27" s="173"/>
      <c r="AJ27" s="173"/>
      <c r="AK27" s="173"/>
      <c r="AL27" s="173"/>
      <c r="AM27" s="173"/>
      <c r="AN27" s="173"/>
      <c r="AO27" s="173"/>
    </row>
    <row r="28" spans="2:41" ht="15" customHeight="1">
      <c r="D28" s="149"/>
      <c r="E28" s="149"/>
      <c r="F28" s="149"/>
      <c r="G28" s="149"/>
      <c r="H28" s="149"/>
      <c r="I28" s="149"/>
      <c r="J28"/>
      <c r="K28"/>
      <c r="L28"/>
      <c r="M28"/>
      <c r="N28"/>
      <c r="O28"/>
      <c r="P28"/>
      <c r="Q28"/>
      <c r="R28" s="173"/>
      <c r="S28" s="173"/>
      <c r="T28" s="173"/>
      <c r="U28" s="173"/>
      <c r="V28" s="173"/>
      <c r="W28" s="173"/>
      <c r="X28" s="173"/>
      <c r="Y28" s="173"/>
      <c r="Z28" s="174"/>
      <c r="AA28" s="173"/>
      <c r="AB28" s="173"/>
      <c r="AC28" s="173"/>
      <c r="AD28" s="173"/>
      <c r="AE28" s="173"/>
      <c r="AF28" s="173"/>
      <c r="AG28" s="173"/>
      <c r="AH28" s="173"/>
      <c r="AI28" s="173"/>
      <c r="AJ28" s="173"/>
      <c r="AK28" s="173"/>
      <c r="AL28" s="173"/>
      <c r="AM28" s="173"/>
      <c r="AN28" s="173"/>
      <c r="AO28" s="173"/>
    </row>
    <row r="29" spans="2:41" ht="14.4" customHeight="1">
      <c r="D29" s="172" t="str">
        <f>IFERROR(VLOOKUP(E5,BBDD!C5:S24000,12,FALSE),"")</f>
        <v>DNI6</v>
      </c>
      <c r="E29" s="149"/>
      <c r="F29" s="149"/>
      <c r="G29" s="149"/>
      <c r="H29" s="149"/>
      <c r="I29" s="149"/>
      <c r="J29"/>
      <c r="K29"/>
      <c r="L29"/>
      <c r="M29"/>
      <c r="N29"/>
      <c r="O29"/>
      <c r="P29"/>
      <c r="Q29"/>
      <c r="R29" s="173"/>
      <c r="S29" s="173"/>
      <c r="T29" s="173"/>
      <c r="U29" s="173"/>
      <c r="V29" s="173"/>
      <c r="W29" s="173"/>
      <c r="X29" s="173"/>
      <c r="Y29" s="173"/>
      <c r="Z29" s="174"/>
      <c r="AA29" s="173"/>
      <c r="AB29" s="173"/>
      <c r="AC29" s="173"/>
      <c r="AD29" s="173"/>
      <c r="AE29" s="173"/>
      <c r="AF29" s="173"/>
      <c r="AG29" s="173"/>
      <c r="AH29" s="173"/>
      <c r="AI29" s="173"/>
      <c r="AJ29" s="173"/>
      <c r="AK29" s="173"/>
      <c r="AL29" s="173"/>
      <c r="AM29" s="173"/>
      <c r="AN29" s="173"/>
      <c r="AO29" s="173"/>
    </row>
    <row r="30" spans="2:41" ht="15" customHeight="1">
      <c r="B30" s="665" t="s">
        <v>187</v>
      </c>
      <c r="D30" s="666" t="str">
        <f>IF(OR(LEN(E18)&gt;2,E18&lt;0),"Importe no válido","")</f>
        <v/>
      </c>
      <c r="E30" s="149"/>
      <c r="F30" s="149"/>
      <c r="G30" s="149"/>
      <c r="H30" s="149"/>
      <c r="I30" s="149"/>
      <c r="J30"/>
      <c r="K30"/>
      <c r="L30"/>
      <c r="M30"/>
      <c r="N30"/>
      <c r="O30"/>
      <c r="P30"/>
      <c r="Q30"/>
      <c r="R30" s="173"/>
      <c r="S30" s="173"/>
      <c r="T30" s="173"/>
      <c r="U30" s="173"/>
      <c r="V30" s="173"/>
      <c r="W30" s="173"/>
      <c r="X30" s="173"/>
      <c r="Y30" s="173"/>
      <c r="Z30" s="174"/>
      <c r="AA30" s="173"/>
      <c r="AB30" s="173"/>
      <c r="AC30" s="173"/>
      <c r="AD30" s="173"/>
      <c r="AE30" s="173"/>
      <c r="AF30" s="173"/>
      <c r="AG30" s="173"/>
      <c r="AH30" s="173"/>
      <c r="AI30" s="173"/>
      <c r="AJ30" s="173"/>
      <c r="AK30" s="173"/>
      <c r="AL30" s="173"/>
      <c r="AM30" s="173"/>
      <c r="AN30" s="173"/>
      <c r="AO30" s="173"/>
    </row>
    <row r="31" spans="2:41" ht="15" customHeight="1">
      <c r="E31" s="149"/>
      <c r="F31" s="149"/>
      <c r="G31" s="149"/>
      <c r="H31" s="149"/>
      <c r="I31" s="149"/>
      <c r="J31"/>
      <c r="K31"/>
      <c r="L31"/>
      <c r="M31"/>
      <c r="N31"/>
      <c r="O31"/>
      <c r="P31"/>
      <c r="Q31"/>
      <c r="R31" s="173"/>
      <c r="S31" s="173"/>
      <c r="T31" s="173"/>
      <c r="U31" s="173"/>
      <c r="V31" s="173"/>
      <c r="W31" s="173"/>
      <c r="X31" s="173"/>
      <c r="Y31" s="173"/>
      <c r="Z31" s="174"/>
      <c r="AA31" s="173"/>
      <c r="AB31" s="173"/>
      <c r="AC31" s="173"/>
      <c r="AD31" s="173"/>
      <c r="AE31" s="173"/>
      <c r="AF31" s="173"/>
      <c r="AG31" s="173"/>
      <c r="AH31" s="173"/>
      <c r="AI31" s="173"/>
      <c r="AJ31" s="173"/>
      <c r="AK31" s="173"/>
      <c r="AL31" s="173"/>
      <c r="AM31" s="173"/>
      <c r="AN31" s="173"/>
      <c r="AO31" s="173"/>
    </row>
    <row r="32" spans="2:41" ht="15" customHeight="1">
      <c r="B32" s="665" t="s">
        <v>553</v>
      </c>
      <c r="D32" s="666" t="str">
        <f>IF(OR(E19&lt;0,E19&gt;12,LEN(E19)&gt;2),"Importe no válido","")</f>
        <v/>
      </c>
      <c r="E32" s="149"/>
      <c r="F32" s="149"/>
      <c r="G32" s="149"/>
      <c r="H32" s="149"/>
      <c r="I32" s="149"/>
      <c r="J32"/>
      <c r="K32"/>
      <c r="L32"/>
      <c r="M32"/>
      <c r="N32"/>
      <c r="O32"/>
      <c r="P32"/>
      <c r="Q32"/>
      <c r="R32" s="173"/>
      <c r="S32" s="173"/>
      <c r="T32" s="173"/>
      <c r="U32" s="173"/>
      <c r="V32" s="173"/>
      <c r="W32" s="173"/>
      <c r="X32" s="173"/>
      <c r="Y32" s="173"/>
      <c r="Z32" s="174"/>
      <c r="AA32" s="173"/>
      <c r="AB32" s="173"/>
      <c r="AC32" s="173"/>
      <c r="AD32" s="173"/>
      <c r="AE32" s="173"/>
      <c r="AF32" s="173"/>
      <c r="AG32" s="173"/>
      <c r="AH32" s="173"/>
      <c r="AI32" s="173"/>
      <c r="AJ32" s="173"/>
      <c r="AK32" s="173"/>
      <c r="AL32" s="173"/>
      <c r="AM32" s="173"/>
      <c r="AN32" s="173"/>
      <c r="AO32" s="173"/>
    </row>
    <row r="33" spans="2:41" ht="15" customHeight="1">
      <c r="E33" s="149"/>
      <c r="F33" s="149"/>
      <c r="G33" s="149"/>
      <c r="H33" s="149"/>
      <c r="I33" s="149"/>
      <c r="J33"/>
      <c r="K33"/>
      <c r="L33"/>
      <c r="M33"/>
      <c r="N33"/>
      <c r="O33"/>
      <c r="P33"/>
      <c r="Q33"/>
      <c r="R33" s="173"/>
      <c r="S33" s="173"/>
      <c r="T33" s="173"/>
      <c r="U33" s="173"/>
      <c r="V33" s="173"/>
      <c r="W33" s="173"/>
      <c r="X33" s="173"/>
      <c r="Y33" s="173"/>
      <c r="Z33" s="174"/>
      <c r="AA33" s="173"/>
      <c r="AB33" s="173"/>
      <c r="AC33" s="173"/>
      <c r="AD33" s="173"/>
      <c r="AE33" s="173"/>
      <c r="AF33" s="173"/>
      <c r="AG33" s="173"/>
      <c r="AH33" s="173"/>
      <c r="AI33" s="173"/>
      <c r="AJ33" s="173"/>
      <c r="AK33" s="173"/>
      <c r="AL33" s="173"/>
      <c r="AM33" s="173"/>
      <c r="AN33" s="173"/>
      <c r="AO33" s="173"/>
    </row>
    <row r="34" spans="2:41" ht="15" customHeight="1">
      <c r="B34" s="665" t="s">
        <v>554</v>
      </c>
      <c r="D34" s="666" t="str">
        <f>IF(OR(E11&lt;0,E11&gt;20),"Importe no válido","")</f>
        <v/>
      </c>
      <c r="E34" s="149"/>
      <c r="F34" s="149"/>
      <c r="G34" s="149"/>
      <c r="H34" s="149"/>
      <c r="I34" s="149"/>
      <c r="J34"/>
      <c r="K34"/>
      <c r="L34"/>
      <c r="M34"/>
      <c r="N34"/>
      <c r="O34"/>
      <c r="P34"/>
      <c r="Q34"/>
      <c r="R34" s="173"/>
      <c r="S34" s="173"/>
      <c r="T34" s="173"/>
      <c r="U34" s="173"/>
      <c r="V34" s="173"/>
      <c r="W34" s="173"/>
      <c r="X34" s="173"/>
      <c r="Y34" s="173"/>
      <c r="Z34" s="174"/>
      <c r="AA34" s="173"/>
      <c r="AB34" s="173"/>
      <c r="AC34" s="173"/>
      <c r="AD34" s="173"/>
      <c r="AE34" s="173"/>
      <c r="AF34" s="173"/>
      <c r="AG34" s="173"/>
      <c r="AH34" s="173"/>
      <c r="AI34" s="173"/>
      <c r="AJ34" s="173"/>
      <c r="AK34" s="173"/>
      <c r="AL34" s="173"/>
      <c r="AM34" s="173"/>
      <c r="AN34" s="173"/>
      <c r="AO34" s="173"/>
    </row>
    <row r="35" spans="2:41" ht="15" customHeight="1">
      <c r="D35"/>
      <c r="E35"/>
      <c r="F35"/>
      <c r="G35"/>
      <c r="H35"/>
      <c r="I35"/>
      <c r="J35"/>
      <c r="K35"/>
      <c r="L35"/>
      <c r="M35"/>
      <c r="N35"/>
      <c r="O35"/>
      <c r="P35"/>
      <c r="Q35"/>
      <c r="R35" s="173"/>
      <c r="S35" s="173"/>
      <c r="T35" s="173"/>
      <c r="U35" s="173"/>
      <c r="V35" s="173"/>
      <c r="W35" s="173"/>
      <c r="X35" s="173"/>
      <c r="Y35" s="173"/>
      <c r="Z35" s="174"/>
      <c r="AA35" s="173"/>
      <c r="AB35" s="173"/>
      <c r="AC35" s="173"/>
      <c r="AD35" s="173"/>
      <c r="AE35" s="173"/>
      <c r="AF35" s="173"/>
      <c r="AG35" s="173"/>
      <c r="AH35" s="173"/>
      <c r="AI35" s="173"/>
      <c r="AJ35" s="173"/>
      <c r="AK35" s="173"/>
      <c r="AL35" s="173"/>
      <c r="AM35" s="173"/>
      <c r="AN35" s="173"/>
      <c r="AO35" s="173"/>
    </row>
    <row r="36" spans="2:41" ht="15" customHeight="1">
      <c r="D36"/>
      <c r="E36"/>
      <c r="F36"/>
      <c r="G36"/>
      <c r="H36"/>
      <c r="I36"/>
      <c r="J36"/>
      <c r="K36"/>
      <c r="L36"/>
      <c r="M36"/>
      <c r="N36"/>
      <c r="O36"/>
      <c r="P36"/>
      <c r="Q36"/>
      <c r="R36" s="173"/>
      <c r="S36" s="173"/>
      <c r="T36" s="173"/>
      <c r="U36" s="173"/>
      <c r="V36" s="173"/>
      <c r="W36" s="173"/>
      <c r="X36" s="173"/>
      <c r="Y36" s="173"/>
      <c r="Z36" s="174"/>
      <c r="AA36" s="173"/>
      <c r="AB36" s="173"/>
      <c r="AC36" s="173"/>
      <c r="AD36" s="173"/>
      <c r="AE36" s="173"/>
      <c r="AF36" s="173"/>
      <c r="AG36" s="173"/>
      <c r="AH36" s="173"/>
      <c r="AI36" s="173"/>
      <c r="AJ36" s="173"/>
      <c r="AK36" s="173"/>
      <c r="AL36" s="173"/>
      <c r="AM36" s="173"/>
      <c r="AN36" s="173"/>
      <c r="AO36" s="173"/>
    </row>
    <row r="37" spans="2:41" ht="15" customHeight="1">
      <c r="D37"/>
      <c r="E37"/>
      <c r="F37"/>
      <c r="G37"/>
      <c r="H37"/>
      <c r="I37"/>
      <c r="J37"/>
      <c r="K37"/>
      <c r="L37"/>
      <c r="M37"/>
      <c r="N37"/>
      <c r="O37"/>
      <c r="P37"/>
      <c r="Q37"/>
      <c r="R37" s="173"/>
      <c r="S37" s="173"/>
      <c r="T37" s="173"/>
      <c r="U37" s="173"/>
      <c r="V37" s="173"/>
      <c r="W37" s="173"/>
      <c r="X37" s="173"/>
      <c r="Y37" s="173"/>
      <c r="Z37" s="174"/>
      <c r="AA37" s="173"/>
      <c r="AB37" s="173"/>
      <c r="AC37" s="173"/>
      <c r="AD37" s="173"/>
      <c r="AE37" s="173"/>
      <c r="AF37" s="173"/>
      <c r="AG37" s="173"/>
      <c r="AH37" s="173"/>
      <c r="AI37" s="173"/>
      <c r="AJ37" s="173"/>
      <c r="AK37" s="173"/>
      <c r="AL37" s="173"/>
      <c r="AM37" s="173"/>
      <c r="AN37" s="173"/>
      <c r="AO37" s="173"/>
    </row>
    <row r="38" spans="2:41" ht="15" customHeight="1">
      <c r="D38"/>
      <c r="E38"/>
      <c r="F38"/>
      <c r="G38"/>
      <c r="H38"/>
      <c r="I38"/>
      <c r="J38"/>
      <c r="K38"/>
      <c r="L38"/>
      <c r="M38"/>
      <c r="N38"/>
      <c r="O38"/>
      <c r="P38"/>
      <c r="Q38"/>
      <c r="R38" s="173"/>
      <c r="S38" s="173"/>
      <c r="T38" s="173"/>
      <c r="U38" s="173"/>
      <c r="V38" s="173"/>
      <c r="W38" s="173"/>
      <c r="X38" s="173"/>
      <c r="Y38" s="173"/>
      <c r="Z38" s="174"/>
      <c r="AA38" s="173"/>
      <c r="AB38" s="173"/>
      <c r="AC38" s="173"/>
      <c r="AD38" s="173"/>
      <c r="AE38" s="173"/>
      <c r="AF38" s="173"/>
      <c r="AG38" s="173"/>
      <c r="AH38" s="173"/>
      <c r="AI38" s="173"/>
      <c r="AJ38" s="173"/>
      <c r="AK38" s="173"/>
      <c r="AL38" s="173"/>
      <c r="AM38" s="173"/>
      <c r="AN38" s="173"/>
      <c r="AO38" s="173"/>
    </row>
    <row r="39" spans="2:41" ht="15" customHeight="1">
      <c r="D39"/>
      <c r="E39"/>
      <c r="F39"/>
      <c r="G39"/>
      <c r="H39"/>
      <c r="I39"/>
      <c r="J39"/>
      <c r="K39"/>
      <c r="L39"/>
      <c r="M39"/>
      <c r="N39"/>
      <c r="O39"/>
      <c r="P39"/>
      <c r="Q39"/>
      <c r="R39" s="173"/>
      <c r="S39" s="173"/>
      <c r="T39" s="173"/>
      <c r="U39" s="173"/>
      <c r="V39" s="173"/>
      <c r="W39" s="173"/>
      <c r="X39" s="173"/>
      <c r="Y39" s="173"/>
      <c r="Z39" s="174"/>
      <c r="AA39" s="173"/>
      <c r="AB39" s="173"/>
      <c r="AC39" s="173"/>
      <c r="AD39" s="173"/>
      <c r="AE39" s="173"/>
      <c r="AF39" s="173"/>
      <c r="AG39" s="173"/>
      <c r="AH39" s="173"/>
      <c r="AI39" s="173"/>
      <c r="AJ39" s="173"/>
      <c r="AK39" s="173"/>
      <c r="AL39" s="173"/>
      <c r="AM39" s="173"/>
      <c r="AN39" s="173"/>
      <c r="AO39" s="173"/>
    </row>
    <row r="40" spans="2:41" ht="15" customHeight="1">
      <c r="D40"/>
      <c r="E40"/>
      <c r="F40"/>
      <c r="G40"/>
      <c r="H40"/>
      <c r="I40"/>
      <c r="J40"/>
      <c r="K40"/>
      <c r="L40"/>
      <c r="M40"/>
      <c r="N40"/>
      <c r="O40"/>
      <c r="P40"/>
      <c r="Q40"/>
      <c r="R40" s="173"/>
      <c r="S40" s="173"/>
      <c r="T40" s="173"/>
      <c r="U40" s="173"/>
      <c r="V40" s="173"/>
      <c r="W40" s="173"/>
      <c r="X40" s="173"/>
      <c r="Y40" s="173"/>
      <c r="Z40" s="174"/>
      <c r="AA40" s="173"/>
      <c r="AB40" s="173"/>
      <c r="AC40" s="173"/>
      <c r="AD40" s="173"/>
      <c r="AE40" s="173"/>
      <c r="AF40" s="173"/>
      <c r="AG40" s="173"/>
      <c r="AH40" s="173"/>
      <c r="AI40" s="173"/>
      <c r="AJ40" s="173"/>
      <c r="AK40" s="173"/>
      <c r="AL40" s="173"/>
      <c r="AM40" s="173"/>
      <c r="AN40" s="173"/>
      <c r="AO40" s="173"/>
    </row>
    <row r="41" spans="2:41" ht="15" customHeight="1">
      <c r="D41"/>
      <c r="E41"/>
      <c r="F41"/>
      <c r="G41"/>
      <c r="H41"/>
      <c r="I41"/>
      <c r="J41"/>
      <c r="K41"/>
      <c r="L41"/>
      <c r="M41"/>
      <c r="N41"/>
      <c r="O41"/>
      <c r="P41"/>
      <c r="Q41"/>
      <c r="R41" s="173"/>
      <c r="S41" s="173"/>
      <c r="T41" s="173"/>
      <c r="U41" s="173"/>
      <c r="V41" s="173"/>
      <c r="W41" s="173"/>
      <c r="X41" s="173"/>
      <c r="Y41" s="173"/>
      <c r="Z41" s="174"/>
      <c r="AA41" s="173"/>
      <c r="AB41" s="173"/>
      <c r="AC41" s="173"/>
      <c r="AD41" s="173"/>
      <c r="AE41" s="173"/>
      <c r="AF41" s="173"/>
      <c r="AG41" s="173"/>
      <c r="AH41" s="173"/>
      <c r="AI41" s="173"/>
      <c r="AJ41" s="173"/>
      <c r="AK41" s="173"/>
      <c r="AL41" s="173"/>
      <c r="AM41" s="173"/>
      <c r="AN41" s="173"/>
      <c r="AO41" s="173"/>
    </row>
    <row r="42" spans="2:41" ht="15" customHeight="1">
      <c r="D42"/>
      <c r="E42"/>
      <c r="F42"/>
      <c r="G42"/>
      <c r="H42"/>
      <c r="I42"/>
      <c r="J42"/>
      <c r="K42"/>
      <c r="L42"/>
      <c r="M42"/>
      <c r="N42"/>
      <c r="O42"/>
      <c r="P42"/>
      <c r="Q42"/>
      <c r="R42" s="173"/>
      <c r="S42" s="173"/>
      <c r="T42" s="173"/>
      <c r="U42" s="173"/>
      <c r="V42" s="173"/>
      <c r="W42" s="173"/>
      <c r="X42" s="173"/>
      <c r="Y42" s="173"/>
      <c r="Z42" s="174"/>
      <c r="AA42" s="173"/>
      <c r="AB42" s="173"/>
      <c r="AC42" s="173"/>
      <c r="AD42" s="173"/>
      <c r="AE42" s="173"/>
      <c r="AF42" s="173"/>
      <c r="AG42" s="173"/>
      <c r="AH42" s="173"/>
      <c r="AI42" s="173"/>
      <c r="AJ42" s="173"/>
      <c r="AK42" s="173"/>
      <c r="AL42" s="173"/>
      <c r="AM42" s="173"/>
      <c r="AN42" s="173"/>
      <c r="AO42" s="173"/>
    </row>
    <row r="43" spans="2:41" ht="15" customHeight="1">
      <c r="D43"/>
      <c r="E43"/>
      <c r="F43"/>
      <c r="G43"/>
      <c r="R43" s="173"/>
      <c r="S43" s="173"/>
      <c r="T43" s="173"/>
      <c r="U43" s="173"/>
      <c r="V43" s="173"/>
      <c r="W43" s="173"/>
      <c r="X43" s="173"/>
      <c r="Y43" s="173"/>
      <c r="Z43" s="174"/>
      <c r="AA43" s="173"/>
      <c r="AB43" s="173"/>
      <c r="AC43" s="173"/>
      <c r="AD43" s="173"/>
      <c r="AE43" s="173"/>
      <c r="AF43" s="173"/>
      <c r="AG43" s="173"/>
      <c r="AH43" s="173"/>
      <c r="AI43" s="173"/>
      <c r="AJ43" s="173"/>
      <c r="AK43" s="173"/>
      <c r="AL43" s="173"/>
      <c r="AM43" s="173"/>
      <c r="AN43" s="173"/>
      <c r="AO43" s="173"/>
    </row>
    <row r="44" spans="2:41" ht="15" customHeight="1">
      <c r="D44"/>
      <c r="E44"/>
      <c r="F44"/>
      <c r="G44"/>
      <c r="H44" s="175"/>
      <c r="R44" s="173"/>
      <c r="S44" s="173"/>
      <c r="T44" s="173"/>
      <c r="U44" s="173"/>
      <c r="V44" s="173"/>
      <c r="W44" s="173"/>
      <c r="X44" s="173"/>
      <c r="Y44" s="173"/>
      <c r="Z44" s="174"/>
      <c r="AA44" s="173"/>
      <c r="AB44" s="173"/>
      <c r="AC44" s="173"/>
      <c r="AD44" s="173"/>
      <c r="AE44" s="173"/>
      <c r="AF44" s="173"/>
      <c r="AG44" s="173"/>
      <c r="AH44" s="173"/>
      <c r="AI44" s="173"/>
      <c r="AJ44" s="173"/>
      <c r="AK44" s="173"/>
      <c r="AL44" s="173"/>
      <c r="AM44" s="173"/>
      <c r="AN44" s="173"/>
      <c r="AO44" s="173"/>
    </row>
    <row r="45" spans="2:41" ht="15" customHeight="1">
      <c r="D45"/>
      <c r="E45"/>
      <c r="F45"/>
      <c r="G45"/>
      <c r="R45" s="173"/>
      <c r="S45" s="173"/>
      <c r="T45" s="173"/>
      <c r="U45" s="173"/>
      <c r="V45" s="173"/>
      <c r="W45" s="173"/>
      <c r="X45" s="173"/>
      <c r="Y45" s="173"/>
      <c r="Z45" s="174"/>
      <c r="AA45" s="173"/>
      <c r="AB45" s="173"/>
      <c r="AC45" s="173"/>
      <c r="AD45" s="173"/>
      <c r="AE45" s="173"/>
      <c r="AF45" s="173"/>
      <c r="AG45" s="173"/>
      <c r="AH45" s="173"/>
      <c r="AI45" s="173"/>
      <c r="AJ45" s="173"/>
      <c r="AK45" s="173"/>
      <c r="AL45" s="173"/>
      <c r="AM45" s="173"/>
      <c r="AN45" s="173"/>
      <c r="AO45" s="173"/>
    </row>
    <row r="46" spans="2:41" ht="15" customHeight="1">
      <c r="D46"/>
      <c r="E46"/>
      <c r="F46"/>
      <c r="G46"/>
      <c r="R46" s="173"/>
      <c r="S46" s="173"/>
      <c r="T46" s="173"/>
      <c r="U46" s="173"/>
      <c r="V46" s="173"/>
      <c r="W46" s="173"/>
      <c r="X46" s="173"/>
      <c r="Y46" s="173"/>
      <c r="Z46" s="174"/>
      <c r="AA46" s="173"/>
      <c r="AB46" s="173"/>
      <c r="AC46" s="173"/>
      <c r="AD46" s="173"/>
      <c r="AE46" s="173"/>
      <c r="AF46" s="173"/>
      <c r="AG46" s="173"/>
      <c r="AH46" s="173"/>
      <c r="AI46" s="173"/>
      <c r="AJ46" s="173"/>
      <c r="AK46" s="173"/>
      <c r="AL46" s="173"/>
      <c r="AM46" s="173"/>
      <c r="AN46" s="173"/>
      <c r="AO46" s="173"/>
    </row>
    <row r="47" spans="2:41" ht="15" customHeight="1">
      <c r="D47"/>
      <c r="E47"/>
      <c r="F47"/>
      <c r="G47"/>
      <c r="R47" s="173"/>
      <c r="S47" s="173"/>
      <c r="T47" s="173"/>
      <c r="U47" s="173"/>
      <c r="V47" s="173"/>
      <c r="W47" s="173"/>
      <c r="X47" s="173"/>
      <c r="Y47" s="173"/>
      <c r="Z47" s="174"/>
      <c r="AA47" s="173"/>
      <c r="AB47" s="173"/>
      <c r="AC47" s="173"/>
      <c r="AD47" s="173"/>
      <c r="AE47" s="173"/>
      <c r="AF47" s="173"/>
      <c r="AG47" s="173"/>
      <c r="AH47" s="173"/>
      <c r="AI47" s="173"/>
      <c r="AJ47" s="173"/>
      <c r="AK47" s="173"/>
      <c r="AL47" s="173"/>
      <c r="AM47" s="173"/>
      <c r="AN47" s="173"/>
      <c r="AO47" s="173"/>
    </row>
    <row r="48" spans="2:41" ht="15" customHeight="1">
      <c r="D48"/>
      <c r="E48"/>
      <c r="F48"/>
      <c r="G48"/>
      <c r="R48" s="173"/>
      <c r="S48" s="173"/>
      <c r="T48" s="173"/>
      <c r="U48" s="173"/>
      <c r="V48" s="173"/>
      <c r="W48" s="173"/>
      <c r="X48" s="173"/>
      <c r="Y48" s="173"/>
      <c r="Z48" s="174"/>
      <c r="AA48" s="173"/>
      <c r="AB48" s="173"/>
      <c r="AC48" s="173"/>
      <c r="AD48" s="173"/>
      <c r="AE48" s="173"/>
      <c r="AF48" s="173"/>
      <c r="AG48" s="173"/>
      <c r="AH48" s="173"/>
      <c r="AI48" s="173"/>
      <c r="AJ48" s="173"/>
      <c r="AK48" s="173"/>
      <c r="AL48" s="173"/>
      <c r="AM48" s="173"/>
      <c r="AN48" s="173"/>
      <c r="AO48" s="173"/>
    </row>
    <row r="49" spans="4:41" ht="14.4">
      <c r="D49"/>
      <c r="E49"/>
      <c r="F49"/>
      <c r="G49"/>
      <c r="R49" s="173"/>
      <c r="S49" s="173"/>
      <c r="T49" s="173"/>
      <c r="U49" s="173"/>
      <c r="V49" s="173"/>
      <c r="W49" s="173"/>
      <c r="X49" s="173"/>
      <c r="Y49" s="173"/>
      <c r="Z49" s="174"/>
      <c r="AA49" s="173"/>
      <c r="AB49" s="173"/>
      <c r="AC49" s="173"/>
      <c r="AD49" s="173"/>
      <c r="AE49" s="173"/>
      <c r="AF49" s="173"/>
      <c r="AG49" s="173"/>
      <c r="AH49" s="173"/>
      <c r="AI49" s="173"/>
      <c r="AJ49" s="173"/>
      <c r="AK49" s="173"/>
      <c r="AL49" s="173"/>
      <c r="AM49" s="173"/>
      <c r="AN49" s="173"/>
      <c r="AO49" s="173"/>
    </row>
    <row r="50" spans="4:41">
      <c r="R50" s="173"/>
      <c r="S50" s="173"/>
      <c r="T50" s="173"/>
      <c r="U50" s="173"/>
      <c r="V50" s="173"/>
      <c r="W50" s="173"/>
      <c r="X50" s="173"/>
      <c r="Y50" s="173"/>
      <c r="Z50" s="174"/>
      <c r="AA50" s="173"/>
      <c r="AB50" s="173"/>
      <c r="AC50" s="173"/>
      <c r="AD50" s="173"/>
      <c r="AE50" s="173"/>
      <c r="AF50" s="173"/>
      <c r="AG50" s="173"/>
      <c r="AH50" s="173"/>
      <c r="AI50" s="173"/>
      <c r="AJ50" s="173"/>
      <c r="AK50" s="173"/>
      <c r="AL50" s="173"/>
      <c r="AM50" s="173"/>
      <c r="AN50" s="173"/>
      <c r="AO50" s="173"/>
    </row>
    <row r="51" spans="4:41" ht="14.4">
      <c r="D51"/>
      <c r="E51"/>
      <c r="F51"/>
      <c r="G51"/>
      <c r="R51" s="173"/>
      <c r="S51" s="173"/>
      <c r="T51" s="173"/>
      <c r="U51" s="173"/>
      <c r="V51" s="173"/>
      <c r="W51" s="173"/>
      <c r="X51" s="173"/>
      <c r="Y51" s="173"/>
      <c r="Z51" s="174"/>
      <c r="AA51" s="173"/>
      <c r="AB51" s="173"/>
      <c r="AC51" s="173"/>
      <c r="AD51" s="173"/>
      <c r="AE51" s="173"/>
      <c r="AF51" s="173"/>
      <c r="AG51" s="173"/>
      <c r="AH51" s="173"/>
      <c r="AI51" s="173"/>
      <c r="AJ51" s="173"/>
      <c r="AK51" s="173"/>
      <c r="AL51" s="173"/>
      <c r="AM51" s="173"/>
      <c r="AN51" s="173"/>
      <c r="AO51" s="173"/>
    </row>
    <row r="52" spans="4:41" ht="14.1" customHeight="1">
      <c r="D52"/>
      <c r="E52"/>
      <c r="F52"/>
      <c r="G52"/>
      <c r="R52" s="173"/>
      <c r="S52" s="173"/>
      <c r="T52" s="173"/>
      <c r="U52" s="173"/>
      <c r="V52" s="173"/>
      <c r="W52" s="173"/>
      <c r="X52" s="173"/>
      <c r="Y52" s="173"/>
      <c r="Z52" s="174"/>
      <c r="AA52" s="173"/>
      <c r="AB52" s="173"/>
      <c r="AC52" s="173"/>
      <c r="AD52" s="173"/>
      <c r="AE52" s="173"/>
      <c r="AF52" s="173"/>
      <c r="AG52" s="173"/>
      <c r="AH52" s="173"/>
      <c r="AI52" s="173"/>
      <c r="AJ52" s="173"/>
      <c r="AK52" s="173"/>
      <c r="AL52" s="173"/>
      <c r="AM52" s="173"/>
      <c r="AN52" s="173"/>
      <c r="AO52" s="173"/>
    </row>
    <row r="53" spans="4:41" ht="14.4">
      <c r="D53"/>
      <c r="E53"/>
      <c r="F53"/>
      <c r="G53"/>
      <c r="R53" s="173"/>
      <c r="S53" s="173"/>
      <c r="T53" s="173"/>
      <c r="U53" s="173"/>
      <c r="V53" s="173"/>
      <c r="W53" s="173"/>
      <c r="X53" s="173"/>
      <c r="Y53" s="173"/>
      <c r="Z53" s="174"/>
      <c r="AA53" s="173"/>
      <c r="AB53" s="173"/>
      <c r="AC53" s="173"/>
      <c r="AD53" s="173"/>
      <c r="AE53" s="173"/>
      <c r="AF53" s="173"/>
      <c r="AG53" s="173"/>
      <c r="AH53" s="173"/>
      <c r="AI53" s="173"/>
      <c r="AJ53" s="173"/>
      <c r="AK53" s="173"/>
      <c r="AL53" s="173"/>
      <c r="AM53" s="173"/>
      <c r="AN53" s="173"/>
      <c r="AO53" s="173"/>
    </row>
    <row r="54" spans="4:41" ht="14.4">
      <c r="D54"/>
      <c r="E54"/>
      <c r="F54"/>
      <c r="G54"/>
      <c r="H54"/>
      <c r="I54"/>
      <c r="J54"/>
      <c r="K54"/>
      <c r="L54"/>
      <c r="M54"/>
      <c r="N54"/>
      <c r="O54"/>
      <c r="R54" s="173"/>
      <c r="S54" s="173"/>
      <c r="T54" s="173"/>
      <c r="U54" s="173"/>
      <c r="V54" s="173"/>
      <c r="W54" s="173"/>
      <c r="X54" s="173"/>
      <c r="Y54" s="173"/>
      <c r="Z54" s="174"/>
      <c r="AA54" s="173"/>
      <c r="AB54" s="173"/>
      <c r="AC54" s="173"/>
      <c r="AD54" s="173"/>
      <c r="AE54" s="173"/>
      <c r="AF54" s="173"/>
      <c r="AG54" s="173"/>
      <c r="AH54" s="173"/>
      <c r="AI54" s="173"/>
      <c r="AJ54" s="173"/>
      <c r="AK54" s="173"/>
      <c r="AL54" s="173"/>
      <c r="AM54" s="173"/>
      <c r="AN54" s="173"/>
      <c r="AO54" s="173"/>
    </row>
    <row r="55" spans="4:41" ht="14.4">
      <c r="D55"/>
      <c r="E55"/>
      <c r="F55"/>
      <c r="G55"/>
      <c r="H55"/>
      <c r="I55"/>
      <c r="J55"/>
      <c r="K55"/>
      <c r="L55"/>
      <c r="M55"/>
      <c r="N55"/>
      <c r="O55"/>
      <c r="R55" s="173"/>
      <c r="S55" s="173"/>
      <c r="T55" s="173"/>
      <c r="U55" s="173"/>
      <c r="V55" s="173"/>
      <c r="W55" s="173"/>
      <c r="X55" s="173"/>
      <c r="Y55" s="173"/>
      <c r="Z55" s="174"/>
      <c r="AA55" s="173"/>
      <c r="AB55" s="173"/>
      <c r="AC55" s="173"/>
      <c r="AD55" s="173"/>
      <c r="AE55" s="173"/>
      <c r="AF55" s="173"/>
      <c r="AG55" s="173"/>
      <c r="AH55" s="173"/>
      <c r="AI55" s="173"/>
      <c r="AJ55" s="173"/>
      <c r="AK55" s="173"/>
      <c r="AL55" s="173"/>
      <c r="AM55" s="173"/>
      <c r="AN55" s="173"/>
      <c r="AO55" s="173"/>
    </row>
    <row r="56" spans="4:41" ht="14.4">
      <c r="D56"/>
      <c r="E56"/>
      <c r="F56"/>
      <c r="G56"/>
      <c r="H56"/>
      <c r="I56"/>
      <c r="J56"/>
      <c r="K56"/>
      <c r="L56"/>
      <c r="M56"/>
      <c r="N56"/>
      <c r="O56"/>
      <c r="R56" s="173"/>
      <c r="S56" s="173"/>
      <c r="T56" s="173"/>
      <c r="U56" s="173"/>
      <c r="V56" s="173"/>
      <c r="W56" s="173"/>
      <c r="X56" s="173"/>
      <c r="Y56" s="173"/>
      <c r="Z56" s="174"/>
      <c r="AA56" s="173"/>
      <c r="AB56" s="173"/>
      <c r="AC56" s="173"/>
      <c r="AD56" s="173"/>
      <c r="AE56" s="173"/>
      <c r="AF56" s="173"/>
      <c r="AG56" s="173"/>
      <c r="AH56" s="173"/>
      <c r="AI56" s="173"/>
      <c r="AJ56" s="173"/>
      <c r="AK56" s="173"/>
      <c r="AL56" s="173"/>
      <c r="AM56" s="173"/>
      <c r="AN56" s="173"/>
      <c r="AO56" s="173"/>
    </row>
    <row r="57" spans="4:41" ht="14.4" customHeight="1">
      <c r="D57"/>
      <c r="E57"/>
      <c r="F57"/>
      <c r="G57"/>
      <c r="H57"/>
      <c r="I57"/>
      <c r="J57"/>
      <c r="K57"/>
      <c r="L57"/>
      <c r="M57"/>
      <c r="N57"/>
      <c r="O57"/>
      <c r="P57" s="176"/>
      <c r="Q57" s="176"/>
      <c r="R57" s="173"/>
      <c r="S57" s="173"/>
      <c r="T57" s="173"/>
      <c r="U57" s="173"/>
      <c r="V57" s="173"/>
      <c r="W57" s="173"/>
      <c r="X57" s="173"/>
      <c r="Y57" s="173"/>
      <c r="Z57" s="174"/>
      <c r="AA57" s="173"/>
      <c r="AB57" s="173"/>
      <c r="AC57" s="173"/>
      <c r="AD57" s="173"/>
      <c r="AE57" s="173"/>
      <c r="AF57" s="173"/>
      <c r="AG57" s="173"/>
      <c r="AH57" s="173"/>
      <c r="AI57" s="173"/>
      <c r="AJ57" s="173"/>
      <c r="AK57" s="173"/>
      <c r="AL57" s="173"/>
      <c r="AM57" s="173"/>
      <c r="AN57" s="173"/>
      <c r="AO57" s="173"/>
    </row>
    <row r="58" spans="4:41" ht="14.4">
      <c r="D58"/>
      <c r="E58"/>
      <c r="F58"/>
      <c r="G58"/>
      <c r="H58"/>
      <c r="I58"/>
      <c r="J58"/>
      <c r="K58"/>
      <c r="L58"/>
      <c r="M58"/>
      <c r="N58"/>
      <c r="O58"/>
      <c r="P58" s="176"/>
      <c r="Q58" s="176"/>
      <c r="R58" s="177"/>
      <c r="S58" s="173"/>
      <c r="T58" s="173"/>
      <c r="U58" s="173"/>
      <c r="V58" s="173"/>
      <c r="W58" s="173"/>
      <c r="X58" s="173"/>
      <c r="Y58" s="173"/>
      <c r="Z58" s="174"/>
      <c r="AA58" s="173"/>
      <c r="AB58" s="173"/>
      <c r="AC58" s="173"/>
      <c r="AD58" s="173"/>
      <c r="AE58" s="173"/>
      <c r="AF58" s="173"/>
      <c r="AG58" s="173"/>
      <c r="AH58" s="173"/>
      <c r="AI58" s="173"/>
      <c r="AJ58" s="173"/>
      <c r="AK58" s="173"/>
      <c r="AL58" s="173"/>
      <c r="AM58" s="173"/>
      <c r="AN58" s="173"/>
      <c r="AO58" s="173"/>
    </row>
    <row r="59" spans="4:41" ht="14.4">
      <c r="D59"/>
      <c r="E59"/>
      <c r="F59"/>
      <c r="G59"/>
      <c r="H59"/>
      <c r="I59"/>
      <c r="J59"/>
      <c r="K59"/>
      <c r="L59"/>
      <c r="M59"/>
      <c r="N59"/>
      <c r="O59"/>
      <c r="P59" s="176"/>
      <c r="Q59" s="176"/>
      <c r="R59" s="173"/>
      <c r="S59" s="173"/>
      <c r="T59" s="173"/>
      <c r="U59" s="173"/>
      <c r="V59" s="173"/>
      <c r="W59" s="173"/>
      <c r="X59" s="173"/>
      <c r="Y59" s="173"/>
      <c r="Z59" s="174"/>
      <c r="AA59" s="173"/>
      <c r="AB59" s="173"/>
      <c r="AC59" s="173"/>
      <c r="AD59" s="173"/>
      <c r="AE59" s="173"/>
      <c r="AF59" s="173"/>
      <c r="AG59" s="173"/>
      <c r="AH59" s="173"/>
      <c r="AI59" s="173"/>
      <c r="AJ59" s="173"/>
      <c r="AK59" s="173"/>
      <c r="AL59" s="173"/>
      <c r="AM59" s="173"/>
      <c r="AN59" s="173"/>
      <c r="AO59" s="173"/>
    </row>
    <row r="60" spans="4:41" ht="14.4">
      <c r="D60"/>
      <c r="E60"/>
      <c r="F60"/>
      <c r="G60"/>
      <c r="H60"/>
      <c r="I60"/>
      <c r="J60"/>
      <c r="K60"/>
      <c r="L60"/>
      <c r="M60"/>
      <c r="N60"/>
      <c r="O60"/>
      <c r="R60" s="173"/>
      <c r="S60" s="173"/>
      <c r="T60" s="173"/>
      <c r="U60" s="173"/>
      <c r="V60" s="173"/>
      <c r="W60" s="173"/>
      <c r="X60" s="173"/>
      <c r="Y60" s="173"/>
      <c r="Z60" s="174"/>
      <c r="AA60" s="173"/>
      <c r="AB60" s="173"/>
      <c r="AC60" s="173"/>
      <c r="AD60" s="173"/>
      <c r="AE60" s="173"/>
      <c r="AF60" s="173"/>
      <c r="AG60" s="173"/>
      <c r="AH60" s="173"/>
      <c r="AI60" s="173"/>
      <c r="AJ60" s="173"/>
      <c r="AK60" s="173"/>
      <c r="AL60" s="173"/>
      <c r="AM60" s="173"/>
      <c r="AN60" s="173"/>
      <c r="AO60" s="173"/>
    </row>
    <row r="61" spans="4:41" ht="14.4">
      <c r="D61"/>
      <c r="E61"/>
      <c r="F61"/>
      <c r="G61"/>
      <c r="H61"/>
      <c r="I61"/>
      <c r="J61"/>
      <c r="K61"/>
      <c r="L61"/>
      <c r="M61"/>
      <c r="N61"/>
      <c r="O61"/>
      <c r="R61" s="173"/>
      <c r="S61" s="173"/>
      <c r="T61" s="173"/>
      <c r="U61" s="173"/>
      <c r="V61" s="173"/>
      <c r="W61" s="173"/>
      <c r="X61" s="173"/>
      <c r="Y61" s="173"/>
      <c r="Z61" s="174"/>
      <c r="AA61" s="173"/>
      <c r="AB61" s="173"/>
      <c r="AC61" s="173"/>
      <c r="AD61" s="173"/>
      <c r="AE61" s="173"/>
      <c r="AF61" s="173"/>
      <c r="AG61" s="173"/>
      <c r="AH61" s="173"/>
      <c r="AI61" s="173"/>
      <c r="AJ61" s="173"/>
      <c r="AK61" s="173"/>
      <c r="AL61" s="173"/>
      <c r="AM61" s="173"/>
      <c r="AN61" s="173"/>
      <c r="AO61" s="173"/>
    </row>
    <row r="62" spans="4:41" ht="14.4">
      <c r="D62"/>
      <c r="E62"/>
      <c r="F62"/>
      <c r="G62"/>
      <c r="H62"/>
      <c r="I62"/>
      <c r="J62"/>
      <c r="K62"/>
      <c r="L62"/>
      <c r="M62"/>
      <c r="N62"/>
      <c r="O62"/>
      <c r="R62" s="173"/>
      <c r="S62" s="173"/>
      <c r="T62" s="173"/>
      <c r="U62" s="173"/>
      <c r="V62" s="173"/>
      <c r="W62" s="173"/>
      <c r="X62" s="173"/>
      <c r="Y62" s="173"/>
      <c r="Z62" s="174"/>
      <c r="AA62" s="173"/>
      <c r="AB62" s="173"/>
      <c r="AC62" s="173"/>
      <c r="AD62" s="173"/>
      <c r="AE62" s="173"/>
      <c r="AF62" s="173"/>
      <c r="AG62" s="173"/>
      <c r="AH62" s="173"/>
      <c r="AI62" s="173"/>
      <c r="AJ62" s="173"/>
      <c r="AK62" s="173"/>
      <c r="AL62" s="173"/>
      <c r="AM62" s="173"/>
      <c r="AN62" s="173"/>
      <c r="AO62" s="173"/>
    </row>
    <row r="63" spans="4:41" ht="14.4">
      <c r="D63"/>
      <c r="E63"/>
      <c r="F63"/>
      <c r="G63"/>
      <c r="H63"/>
      <c r="I63"/>
      <c r="J63"/>
      <c r="K63"/>
      <c r="L63"/>
      <c r="M63"/>
      <c r="N63"/>
      <c r="O63"/>
      <c r="R63" s="173"/>
      <c r="S63" s="173"/>
      <c r="T63" s="173"/>
      <c r="U63" s="173"/>
      <c r="V63" s="173"/>
      <c r="W63" s="173"/>
      <c r="X63" s="173"/>
      <c r="Y63" s="173"/>
      <c r="Z63" s="174"/>
      <c r="AA63" s="173"/>
      <c r="AB63" s="173"/>
      <c r="AC63" s="173"/>
      <c r="AD63" s="173"/>
      <c r="AE63" s="173"/>
      <c r="AF63" s="173"/>
      <c r="AG63" s="173"/>
      <c r="AH63" s="173"/>
      <c r="AI63" s="173"/>
      <c r="AJ63" s="173"/>
      <c r="AK63" s="173"/>
      <c r="AL63" s="173"/>
      <c r="AM63" s="173"/>
      <c r="AN63" s="173"/>
      <c r="AO63" s="173"/>
    </row>
    <row r="64" spans="4:41" ht="14.4">
      <c r="D64"/>
      <c r="E64"/>
      <c r="F64"/>
      <c r="G64"/>
      <c r="H64"/>
      <c r="I64"/>
      <c r="J64"/>
      <c r="K64"/>
      <c r="L64"/>
      <c r="M64"/>
      <c r="N64"/>
      <c r="O64"/>
      <c r="R64" s="173"/>
      <c r="S64" s="173"/>
      <c r="T64" s="173"/>
      <c r="U64" s="173"/>
      <c r="V64" s="173"/>
      <c r="W64" s="173"/>
      <c r="X64" s="173"/>
      <c r="Y64" s="173"/>
      <c r="Z64" s="174"/>
      <c r="AA64" s="173"/>
      <c r="AB64" s="173"/>
      <c r="AC64" s="173"/>
      <c r="AD64" s="173"/>
      <c r="AE64" s="173"/>
      <c r="AF64" s="173"/>
      <c r="AG64" s="173"/>
      <c r="AH64" s="173"/>
      <c r="AI64" s="173"/>
      <c r="AJ64" s="173"/>
      <c r="AK64" s="173"/>
      <c r="AL64" s="173"/>
      <c r="AM64" s="173"/>
      <c r="AN64" s="173"/>
      <c r="AO64" s="173"/>
    </row>
    <row r="65" spans="4:41" ht="14.4">
      <c r="D65"/>
      <c r="E65"/>
      <c r="F65"/>
      <c r="G65"/>
      <c r="H65"/>
      <c r="I65"/>
      <c r="J65"/>
      <c r="K65"/>
      <c r="L65"/>
      <c r="M65"/>
      <c r="N65"/>
      <c r="O65"/>
      <c r="R65" s="173"/>
      <c r="S65" s="173"/>
      <c r="T65" s="173"/>
      <c r="U65" s="173"/>
      <c r="V65" s="173"/>
      <c r="W65" s="173"/>
      <c r="X65" s="173"/>
      <c r="Y65" s="173"/>
      <c r="Z65" s="174"/>
      <c r="AA65" s="173"/>
      <c r="AB65" s="173"/>
      <c r="AC65" s="173"/>
      <c r="AD65" s="173"/>
      <c r="AE65" s="173"/>
      <c r="AF65" s="173"/>
      <c r="AG65" s="173"/>
      <c r="AH65" s="173"/>
      <c r="AI65" s="173"/>
      <c r="AJ65" s="173"/>
      <c r="AK65" s="173"/>
      <c r="AL65" s="173"/>
      <c r="AM65" s="173"/>
      <c r="AN65" s="173"/>
      <c r="AO65" s="173"/>
    </row>
    <row r="66" spans="4:41" ht="14.4">
      <c r="D66"/>
      <c r="E66"/>
      <c r="F66"/>
      <c r="G66"/>
      <c r="H66"/>
      <c r="I66"/>
      <c r="J66"/>
      <c r="K66"/>
      <c r="L66"/>
      <c r="M66"/>
      <c r="N66"/>
      <c r="O66"/>
      <c r="R66" s="173"/>
      <c r="S66" s="173"/>
      <c r="T66" s="173"/>
      <c r="U66" s="173"/>
      <c r="V66" s="173"/>
      <c r="W66" s="173"/>
      <c r="X66" s="173"/>
      <c r="Y66" s="173"/>
      <c r="Z66" s="174"/>
      <c r="AA66" s="173"/>
      <c r="AB66" s="173"/>
      <c r="AC66" s="173"/>
      <c r="AD66" s="173"/>
      <c r="AE66" s="173"/>
      <c r="AF66" s="173"/>
      <c r="AG66" s="173"/>
      <c r="AH66" s="173"/>
      <c r="AI66" s="173"/>
      <c r="AJ66" s="173"/>
      <c r="AK66" s="173"/>
      <c r="AL66" s="173"/>
      <c r="AM66" s="173"/>
      <c r="AN66" s="173"/>
      <c r="AO66" s="173"/>
    </row>
    <row r="67" spans="4:41" ht="14.4">
      <c r="D67"/>
      <c r="E67"/>
      <c r="F67"/>
      <c r="G67"/>
      <c r="H67"/>
      <c r="I67"/>
      <c r="J67"/>
      <c r="K67"/>
      <c r="L67"/>
      <c r="M67"/>
      <c r="N67"/>
      <c r="O67"/>
      <c r="R67" s="173"/>
      <c r="S67" s="173"/>
      <c r="T67" s="173"/>
      <c r="U67" s="173"/>
      <c r="V67" s="173"/>
      <c r="W67" s="173"/>
      <c r="X67" s="173"/>
      <c r="Y67" s="173"/>
      <c r="Z67" s="174"/>
      <c r="AA67" s="173"/>
      <c r="AB67" s="173"/>
      <c r="AC67" s="173"/>
      <c r="AD67" s="173"/>
      <c r="AE67" s="173"/>
      <c r="AF67" s="173"/>
      <c r="AG67" s="173"/>
      <c r="AH67" s="173"/>
      <c r="AI67" s="173"/>
      <c r="AJ67" s="173"/>
      <c r="AK67" s="173"/>
      <c r="AL67" s="173"/>
      <c r="AM67" s="173"/>
      <c r="AN67" s="173"/>
      <c r="AO67" s="173"/>
    </row>
    <row r="68" spans="4:41" ht="14.4">
      <c r="D68"/>
      <c r="E68"/>
      <c r="F68"/>
      <c r="G68"/>
      <c r="H68"/>
      <c r="I68"/>
      <c r="J68"/>
      <c r="K68"/>
      <c r="L68"/>
      <c r="M68"/>
      <c r="N68"/>
      <c r="O68"/>
      <c r="R68" s="173"/>
      <c r="S68" s="173"/>
      <c r="T68" s="173"/>
      <c r="U68" s="173"/>
      <c r="V68" s="173"/>
      <c r="W68" s="173"/>
      <c r="X68" s="173"/>
      <c r="Y68" s="173"/>
      <c r="Z68" s="174"/>
      <c r="AA68" s="173"/>
      <c r="AB68" s="173"/>
      <c r="AC68" s="173"/>
      <c r="AD68" s="173"/>
      <c r="AE68" s="173"/>
      <c r="AF68" s="173"/>
      <c r="AG68" s="173"/>
      <c r="AH68" s="173"/>
      <c r="AI68" s="173"/>
      <c r="AJ68" s="173"/>
      <c r="AK68" s="173"/>
      <c r="AL68" s="173"/>
      <c r="AM68" s="173"/>
      <c r="AN68" s="173"/>
      <c r="AO68" s="173"/>
    </row>
    <row r="69" spans="4:41" ht="14.4">
      <c r="D69"/>
      <c r="E69"/>
      <c r="F69"/>
      <c r="G69"/>
      <c r="H69"/>
      <c r="I69"/>
      <c r="J69"/>
      <c r="K69"/>
      <c r="L69"/>
      <c r="M69"/>
      <c r="N69"/>
      <c r="O69"/>
      <c r="R69" s="173"/>
      <c r="S69" s="173"/>
      <c r="T69" s="173"/>
      <c r="U69" s="173"/>
      <c r="V69" s="173"/>
      <c r="W69" s="173"/>
      <c r="X69" s="173"/>
      <c r="Y69" s="173"/>
      <c r="Z69" s="174"/>
      <c r="AA69" s="173"/>
      <c r="AB69" s="173"/>
      <c r="AC69" s="173"/>
      <c r="AD69" s="173"/>
      <c r="AE69" s="173"/>
      <c r="AF69" s="173"/>
      <c r="AG69" s="173"/>
      <c r="AH69" s="173"/>
      <c r="AI69" s="173"/>
      <c r="AJ69" s="173"/>
      <c r="AK69" s="173"/>
      <c r="AL69" s="173"/>
      <c r="AM69" s="173"/>
      <c r="AN69" s="173"/>
      <c r="AO69" s="173"/>
    </row>
    <row r="70" spans="4:41" ht="14.4">
      <c r="D70"/>
      <c r="E70"/>
      <c r="F70"/>
      <c r="G70"/>
      <c r="H70"/>
      <c r="I70"/>
      <c r="J70"/>
      <c r="K70"/>
      <c r="L70"/>
      <c r="M70"/>
      <c r="N70"/>
      <c r="O70"/>
      <c r="R70" s="173"/>
      <c r="S70" s="173"/>
      <c r="T70" s="173"/>
      <c r="U70" s="173"/>
      <c r="V70" s="173"/>
      <c r="W70" s="173"/>
      <c r="X70" s="173"/>
      <c r="Y70" s="173"/>
      <c r="Z70" s="174"/>
      <c r="AA70" s="173"/>
      <c r="AB70" s="173"/>
      <c r="AC70" s="173"/>
      <c r="AD70" s="173"/>
      <c r="AE70" s="173"/>
      <c r="AF70" s="173"/>
      <c r="AG70" s="173"/>
      <c r="AH70" s="173"/>
      <c r="AI70" s="173"/>
      <c r="AJ70" s="173"/>
      <c r="AK70" s="173"/>
      <c r="AL70" s="173"/>
      <c r="AM70" s="173"/>
      <c r="AN70" s="173"/>
      <c r="AO70" s="173"/>
    </row>
    <row r="71" spans="4:41" ht="14.4" customHeight="1">
      <c r="D71"/>
      <c r="E71"/>
      <c r="F71"/>
      <c r="G71"/>
      <c r="H71"/>
      <c r="I71"/>
      <c r="J71"/>
      <c r="K71"/>
      <c r="L71"/>
      <c r="M71"/>
      <c r="N71"/>
      <c r="O71"/>
      <c r="R71" s="173"/>
      <c r="S71" s="173"/>
      <c r="T71" s="173"/>
      <c r="U71" s="173"/>
      <c r="V71" s="173"/>
      <c r="W71" s="173"/>
      <c r="X71" s="173"/>
      <c r="Y71" s="173"/>
      <c r="Z71" s="174"/>
      <c r="AA71" s="173"/>
      <c r="AB71" s="173"/>
      <c r="AC71" s="173"/>
      <c r="AD71" s="173"/>
      <c r="AE71" s="173"/>
      <c r="AF71" s="173"/>
      <c r="AG71" s="173"/>
      <c r="AH71" s="173"/>
      <c r="AI71" s="173"/>
      <c r="AJ71" s="173"/>
      <c r="AK71" s="173"/>
      <c r="AL71" s="173"/>
      <c r="AM71" s="173"/>
      <c r="AN71" s="173"/>
      <c r="AO71" s="173"/>
    </row>
    <row r="72" spans="4:41" ht="14.4" customHeight="1">
      <c r="D72"/>
      <c r="E72"/>
      <c r="F72"/>
      <c r="G72"/>
      <c r="H72"/>
      <c r="I72"/>
      <c r="J72"/>
      <c r="K72"/>
      <c r="L72"/>
      <c r="M72"/>
      <c r="N72"/>
      <c r="O72"/>
      <c r="R72" s="173"/>
      <c r="S72" s="173"/>
      <c r="T72" s="173"/>
      <c r="U72" s="173"/>
      <c r="V72" s="173"/>
      <c r="W72" s="173"/>
      <c r="X72" s="173"/>
      <c r="Y72" s="173"/>
      <c r="Z72" s="174"/>
      <c r="AA72" s="173"/>
      <c r="AB72" s="173"/>
      <c r="AC72" s="173"/>
      <c r="AD72" s="173"/>
      <c r="AE72" s="173"/>
      <c r="AF72" s="173"/>
      <c r="AG72" s="173"/>
      <c r="AH72" s="173"/>
      <c r="AI72" s="173"/>
      <c r="AJ72" s="173"/>
      <c r="AK72" s="173"/>
      <c r="AL72" s="173"/>
      <c r="AM72" s="173"/>
      <c r="AN72" s="173"/>
      <c r="AO72" s="173"/>
    </row>
    <row r="73" spans="4:41" ht="14.4" customHeight="1">
      <c r="D73"/>
      <c r="E73"/>
      <c r="F73"/>
      <c r="G73"/>
      <c r="H73"/>
      <c r="I73"/>
      <c r="J73"/>
      <c r="K73"/>
      <c r="L73"/>
      <c r="M73"/>
      <c r="N73"/>
      <c r="O73"/>
      <c r="R73" s="173"/>
      <c r="S73" s="173"/>
      <c r="T73" s="173"/>
      <c r="U73" s="173"/>
      <c r="V73" s="173"/>
      <c r="W73" s="173"/>
      <c r="X73" s="173"/>
      <c r="Y73" s="173"/>
      <c r="Z73" s="174"/>
      <c r="AA73" s="173"/>
      <c r="AB73" s="173"/>
      <c r="AC73" s="173"/>
      <c r="AD73" s="173"/>
      <c r="AE73" s="173"/>
      <c r="AF73" s="173"/>
      <c r="AG73" s="173"/>
      <c r="AH73" s="173"/>
      <c r="AI73" s="173"/>
      <c r="AJ73" s="173"/>
      <c r="AK73" s="173"/>
      <c r="AL73" s="173"/>
      <c r="AM73" s="173"/>
      <c r="AN73" s="173"/>
      <c r="AO73" s="173"/>
    </row>
    <row r="74" spans="4:41" ht="14.4" customHeight="1">
      <c r="D74"/>
      <c r="E74"/>
      <c r="F74"/>
      <c r="G74"/>
      <c r="H74"/>
      <c r="I74"/>
      <c r="J74"/>
      <c r="K74"/>
      <c r="L74"/>
      <c r="M74"/>
      <c r="N74"/>
      <c r="O74"/>
      <c r="R74" s="173"/>
      <c r="S74" s="173"/>
      <c r="T74" s="173"/>
      <c r="U74" s="173"/>
      <c r="V74" s="173"/>
      <c r="W74" s="173"/>
      <c r="X74" s="173"/>
      <c r="Y74" s="173"/>
      <c r="Z74" s="174"/>
      <c r="AA74" s="173"/>
      <c r="AB74" s="173"/>
      <c r="AC74" s="173"/>
      <c r="AD74" s="173"/>
      <c r="AE74" s="173"/>
      <c r="AF74" s="173"/>
      <c r="AG74" s="173"/>
      <c r="AH74" s="173"/>
      <c r="AI74" s="173"/>
      <c r="AJ74" s="173"/>
      <c r="AK74" s="173"/>
      <c r="AL74" s="173"/>
      <c r="AM74" s="173"/>
      <c r="AN74" s="173"/>
      <c r="AO74" s="173"/>
    </row>
    <row r="75" spans="4:41" ht="14.4" customHeight="1">
      <c r="D75"/>
      <c r="E75"/>
      <c r="F75"/>
      <c r="G75"/>
      <c r="H75"/>
      <c r="I75"/>
      <c r="J75"/>
      <c r="K75"/>
      <c r="L75"/>
      <c r="M75"/>
      <c r="N75"/>
      <c r="O75"/>
      <c r="R75" s="173"/>
      <c r="S75" s="173"/>
      <c r="T75" s="173"/>
      <c r="U75" s="173"/>
      <c r="V75" s="173"/>
      <c r="W75" s="173"/>
      <c r="X75" s="173"/>
      <c r="Y75" s="173"/>
      <c r="Z75" s="174"/>
      <c r="AA75" s="173"/>
      <c r="AB75" s="173"/>
      <c r="AC75" s="173"/>
      <c r="AD75" s="173"/>
      <c r="AE75" s="173"/>
      <c r="AF75" s="173"/>
      <c r="AG75" s="173"/>
      <c r="AH75" s="173"/>
      <c r="AI75" s="173"/>
      <c r="AJ75" s="173"/>
      <c r="AK75" s="173"/>
      <c r="AL75" s="173"/>
      <c r="AM75" s="173"/>
      <c r="AN75" s="173"/>
      <c r="AO75" s="173"/>
    </row>
    <row r="76" spans="4:41" ht="14.4" customHeight="1">
      <c r="D76"/>
      <c r="E76"/>
      <c r="F76"/>
      <c r="G76"/>
      <c r="H76"/>
      <c r="I76"/>
      <c r="J76"/>
      <c r="K76"/>
      <c r="L76"/>
      <c r="M76"/>
      <c r="N76"/>
      <c r="O76"/>
      <c r="R76" s="173"/>
      <c r="S76" s="173"/>
      <c r="T76" s="173"/>
      <c r="U76" s="173"/>
      <c r="V76" s="173"/>
      <c r="W76" s="173"/>
      <c r="X76" s="173"/>
      <c r="Y76" s="173"/>
      <c r="Z76" s="174"/>
      <c r="AA76" s="173"/>
      <c r="AB76" s="173"/>
      <c r="AC76" s="173"/>
      <c r="AD76" s="173"/>
      <c r="AE76" s="173"/>
      <c r="AF76" s="173"/>
      <c r="AG76" s="173"/>
      <c r="AH76" s="173"/>
      <c r="AI76" s="173"/>
      <c r="AJ76" s="173"/>
      <c r="AK76" s="173"/>
      <c r="AL76" s="173"/>
      <c r="AM76" s="173"/>
      <c r="AN76" s="173"/>
      <c r="AO76" s="173"/>
    </row>
    <row r="77" spans="4:41" ht="14.4" customHeight="1">
      <c r="D77"/>
      <c r="E77"/>
      <c r="F77"/>
      <c r="G77"/>
      <c r="H77"/>
      <c r="I77"/>
      <c r="J77"/>
      <c r="K77"/>
      <c r="L77"/>
      <c r="M77"/>
      <c r="N77"/>
      <c r="O77"/>
      <c r="R77" s="173"/>
      <c r="S77" s="173"/>
      <c r="T77" s="173"/>
      <c r="U77" s="173"/>
      <c r="V77" s="173"/>
      <c r="W77" s="173"/>
      <c r="X77" s="173"/>
      <c r="Y77" s="173"/>
      <c r="Z77" s="174"/>
      <c r="AA77" s="173"/>
      <c r="AB77" s="173"/>
      <c r="AC77" s="173"/>
      <c r="AD77" s="173"/>
      <c r="AE77" s="173"/>
      <c r="AF77" s="173"/>
      <c r="AG77" s="173"/>
      <c r="AH77" s="173"/>
      <c r="AI77" s="173"/>
      <c r="AJ77" s="173"/>
      <c r="AK77" s="173"/>
      <c r="AL77" s="173"/>
      <c r="AM77" s="173"/>
      <c r="AN77" s="173"/>
      <c r="AO77" s="173"/>
    </row>
    <row r="78" spans="4:41" ht="14.4">
      <c r="D78"/>
      <c r="E78"/>
      <c r="F78"/>
      <c r="G78"/>
      <c r="H78"/>
      <c r="I78"/>
      <c r="J78"/>
      <c r="K78"/>
      <c r="L78"/>
      <c r="M78"/>
      <c r="N78"/>
      <c r="O78"/>
      <c r="R78" s="173"/>
      <c r="S78" s="173"/>
      <c r="T78" s="173"/>
      <c r="U78" s="173"/>
      <c r="V78" s="173"/>
      <c r="W78" s="173"/>
      <c r="X78" s="173"/>
      <c r="Y78" s="173"/>
      <c r="Z78" s="174"/>
      <c r="AA78" s="173"/>
      <c r="AB78" s="173"/>
      <c r="AC78" s="173"/>
      <c r="AD78" s="173"/>
      <c r="AE78" s="173"/>
      <c r="AF78" s="173"/>
      <c r="AG78" s="173"/>
      <c r="AH78" s="173"/>
      <c r="AI78" s="173"/>
      <c r="AJ78" s="173"/>
      <c r="AK78" s="173"/>
      <c r="AL78" s="173"/>
      <c r="AM78" s="173"/>
      <c r="AN78" s="173"/>
      <c r="AO78" s="173"/>
    </row>
    <row r="79" spans="4:41" ht="14.4">
      <c r="D79"/>
      <c r="E79"/>
      <c r="F79"/>
      <c r="G79"/>
      <c r="H79"/>
      <c r="I79"/>
      <c r="J79"/>
      <c r="K79"/>
      <c r="L79"/>
      <c r="M79"/>
      <c r="N79"/>
      <c r="O79"/>
      <c r="R79" s="173"/>
      <c r="S79" s="173"/>
      <c r="T79" s="173"/>
      <c r="U79" s="173"/>
      <c r="V79" s="173"/>
      <c r="W79" s="173"/>
      <c r="X79" s="173"/>
      <c r="Y79" s="173"/>
      <c r="Z79" s="174"/>
      <c r="AA79" s="173"/>
      <c r="AB79" s="173"/>
      <c r="AC79" s="173"/>
      <c r="AD79" s="173"/>
      <c r="AE79" s="173"/>
      <c r="AF79" s="173"/>
      <c r="AG79" s="173"/>
      <c r="AH79" s="173"/>
      <c r="AI79" s="173"/>
      <c r="AJ79" s="173"/>
      <c r="AK79" s="173"/>
      <c r="AL79" s="173"/>
      <c r="AM79" s="173"/>
      <c r="AN79" s="173"/>
      <c r="AO79" s="173"/>
    </row>
    <row r="80" spans="4:41" ht="14.4">
      <c r="D80"/>
      <c r="E80"/>
      <c r="F80"/>
      <c r="G80"/>
      <c r="H80"/>
      <c r="I80"/>
      <c r="J80"/>
      <c r="K80"/>
      <c r="L80"/>
      <c r="M80"/>
      <c r="N80"/>
      <c r="O80"/>
      <c r="R80" s="173"/>
      <c r="S80" s="173"/>
      <c r="T80" s="173"/>
      <c r="U80" s="173"/>
      <c r="V80" s="173"/>
      <c r="W80" s="173"/>
      <c r="X80" s="173"/>
      <c r="Y80" s="173"/>
      <c r="Z80" s="174"/>
      <c r="AA80" s="173"/>
      <c r="AB80" s="173"/>
      <c r="AC80" s="173"/>
      <c r="AD80" s="173"/>
      <c r="AE80" s="173"/>
      <c r="AF80" s="173"/>
      <c r="AG80" s="173"/>
      <c r="AH80" s="173"/>
      <c r="AI80" s="173"/>
      <c r="AJ80" s="173"/>
      <c r="AK80" s="173"/>
      <c r="AL80" s="173"/>
      <c r="AM80" s="173"/>
      <c r="AN80" s="173"/>
      <c r="AO80" s="173"/>
    </row>
    <row r="81" spans="4:41" ht="14.4">
      <c r="D81"/>
      <c r="E81"/>
      <c r="F81"/>
      <c r="G81"/>
      <c r="H81"/>
      <c r="I81"/>
      <c r="J81"/>
      <c r="K81"/>
      <c r="L81"/>
      <c r="M81"/>
      <c r="N81"/>
      <c r="O81"/>
      <c r="R81" s="173"/>
      <c r="S81" s="173"/>
      <c r="T81" s="173"/>
      <c r="U81" s="173"/>
      <c r="V81" s="173"/>
      <c r="W81" s="173"/>
      <c r="X81" s="173"/>
      <c r="Y81" s="173"/>
      <c r="Z81" s="174"/>
      <c r="AA81" s="173"/>
      <c r="AB81" s="173"/>
      <c r="AC81" s="173"/>
      <c r="AD81" s="173"/>
      <c r="AE81" s="173"/>
      <c r="AF81" s="173"/>
      <c r="AG81" s="173"/>
      <c r="AH81" s="173"/>
      <c r="AI81" s="173"/>
      <c r="AJ81" s="173"/>
      <c r="AK81" s="173"/>
      <c r="AL81" s="173"/>
      <c r="AM81" s="173"/>
      <c r="AN81" s="173"/>
      <c r="AO81" s="173"/>
    </row>
    <row r="82" spans="4:41" ht="14.4">
      <c r="D82"/>
      <c r="E82"/>
      <c r="F82"/>
      <c r="G82"/>
      <c r="H82"/>
      <c r="I82"/>
      <c r="J82"/>
      <c r="K82"/>
      <c r="L82"/>
      <c r="M82"/>
      <c r="N82"/>
      <c r="O82"/>
      <c r="R82" s="173"/>
      <c r="S82" s="173"/>
      <c r="T82" s="173"/>
      <c r="U82" s="173"/>
      <c r="V82" s="173"/>
      <c r="W82" s="173"/>
      <c r="X82" s="173"/>
      <c r="Y82" s="173"/>
      <c r="Z82" s="174"/>
      <c r="AA82" s="173"/>
      <c r="AB82" s="173"/>
      <c r="AC82" s="173"/>
      <c r="AD82" s="173"/>
      <c r="AE82" s="173"/>
      <c r="AF82" s="173"/>
      <c r="AG82" s="173"/>
      <c r="AH82" s="173"/>
      <c r="AI82" s="173"/>
      <c r="AJ82" s="173"/>
      <c r="AK82" s="173"/>
      <c r="AL82" s="173"/>
      <c r="AM82" s="173"/>
      <c r="AN82" s="173"/>
      <c r="AO82" s="173"/>
    </row>
    <row r="83" spans="4:41" ht="14.4">
      <c r="D83"/>
      <c r="E83"/>
      <c r="F83"/>
      <c r="G83"/>
      <c r="H83"/>
      <c r="I83"/>
      <c r="J83"/>
      <c r="K83"/>
      <c r="L83"/>
      <c r="M83"/>
      <c r="N83"/>
      <c r="O83"/>
      <c r="R83" s="173"/>
      <c r="S83" s="173"/>
      <c r="T83" s="173"/>
      <c r="U83" s="173"/>
      <c r="V83" s="173"/>
      <c r="W83" s="173"/>
      <c r="X83" s="173"/>
      <c r="Y83" s="173"/>
      <c r="Z83" s="174"/>
      <c r="AA83" s="173"/>
      <c r="AB83" s="173"/>
      <c r="AC83" s="173"/>
      <c r="AD83" s="173"/>
      <c r="AE83" s="173"/>
      <c r="AF83" s="173"/>
      <c r="AG83" s="173"/>
      <c r="AH83" s="173"/>
      <c r="AI83" s="173"/>
      <c r="AJ83" s="173"/>
      <c r="AK83" s="173"/>
      <c r="AL83" s="173"/>
      <c r="AM83" s="173"/>
      <c r="AN83" s="173"/>
      <c r="AO83" s="173"/>
    </row>
    <row r="84" spans="4:41" ht="14.4">
      <c r="D84"/>
      <c r="E84"/>
      <c r="F84"/>
      <c r="G84"/>
      <c r="H84"/>
      <c r="I84"/>
      <c r="J84"/>
      <c r="K84"/>
      <c r="L84"/>
      <c r="M84"/>
      <c r="N84"/>
      <c r="O84"/>
      <c r="R84" s="173"/>
      <c r="S84" s="173"/>
      <c r="T84" s="173"/>
      <c r="U84" s="173"/>
      <c r="V84" s="173"/>
      <c r="W84" s="173"/>
      <c r="X84" s="173"/>
      <c r="Y84" s="173"/>
      <c r="Z84" s="174"/>
      <c r="AA84" s="173"/>
      <c r="AB84" s="173"/>
      <c r="AC84" s="173"/>
      <c r="AD84" s="173"/>
      <c r="AE84" s="173"/>
      <c r="AF84" s="173"/>
      <c r="AG84" s="173"/>
      <c r="AH84" s="173"/>
      <c r="AI84" s="173"/>
      <c r="AJ84" s="173"/>
      <c r="AK84" s="173"/>
      <c r="AL84" s="173"/>
      <c r="AM84" s="173"/>
      <c r="AN84" s="173"/>
      <c r="AO84" s="173"/>
    </row>
    <row r="85" spans="4:41" ht="14.4">
      <c r="D85"/>
      <c r="E85"/>
      <c r="F85"/>
      <c r="G85"/>
      <c r="H85"/>
      <c r="I85"/>
      <c r="J85"/>
      <c r="K85"/>
      <c r="L85"/>
      <c r="M85"/>
      <c r="N85"/>
      <c r="O85"/>
      <c r="R85" s="173"/>
      <c r="S85" s="173"/>
      <c r="T85" s="173"/>
      <c r="U85" s="173"/>
      <c r="V85" s="173"/>
      <c r="W85" s="173"/>
      <c r="X85" s="173"/>
      <c r="Y85" s="173"/>
      <c r="Z85" s="174"/>
      <c r="AA85" s="173"/>
      <c r="AB85" s="173"/>
      <c r="AC85" s="173"/>
      <c r="AD85" s="173"/>
      <c r="AE85" s="173"/>
      <c r="AF85" s="173"/>
      <c r="AG85" s="173"/>
      <c r="AH85" s="173"/>
      <c r="AI85" s="173"/>
      <c r="AJ85" s="173"/>
      <c r="AK85" s="173"/>
      <c r="AL85" s="173"/>
      <c r="AM85" s="173"/>
      <c r="AN85" s="173"/>
      <c r="AO85" s="173"/>
    </row>
    <row r="86" spans="4:41" ht="14.4">
      <c r="D86"/>
      <c r="E86"/>
      <c r="F86"/>
      <c r="G86"/>
      <c r="H86"/>
      <c r="I86"/>
      <c r="J86"/>
      <c r="K86"/>
      <c r="L86"/>
      <c r="M86"/>
      <c r="N86"/>
      <c r="O86"/>
      <c r="R86" s="173"/>
      <c r="S86" s="173"/>
      <c r="T86" s="173"/>
      <c r="U86" s="173"/>
      <c r="V86" s="173"/>
      <c r="W86" s="173"/>
      <c r="X86" s="173"/>
      <c r="Y86" s="173"/>
      <c r="Z86" s="174"/>
      <c r="AA86" s="173"/>
      <c r="AB86" s="173"/>
      <c r="AC86" s="173"/>
      <c r="AD86" s="173"/>
      <c r="AE86" s="173"/>
      <c r="AF86" s="173"/>
      <c r="AG86" s="173"/>
      <c r="AH86" s="173"/>
      <c r="AI86" s="173"/>
      <c r="AJ86" s="173"/>
      <c r="AK86" s="173"/>
      <c r="AL86" s="173"/>
      <c r="AM86" s="173"/>
      <c r="AN86" s="173"/>
      <c r="AO86" s="173"/>
    </row>
    <row r="87" spans="4:41" ht="14.4">
      <c r="D87"/>
      <c r="E87"/>
      <c r="F87"/>
      <c r="G87"/>
      <c r="H87"/>
      <c r="I87"/>
      <c r="J87"/>
      <c r="K87"/>
      <c r="L87"/>
      <c r="M87"/>
      <c r="N87"/>
      <c r="O87"/>
      <c r="R87" s="173"/>
      <c r="S87" s="173"/>
      <c r="T87" s="173"/>
      <c r="U87" s="173"/>
      <c r="V87" s="173"/>
      <c r="W87" s="173"/>
      <c r="X87" s="173"/>
      <c r="Y87" s="173"/>
      <c r="Z87" s="174"/>
      <c r="AA87" s="173"/>
      <c r="AB87" s="173"/>
      <c r="AC87" s="173"/>
      <c r="AD87" s="173"/>
      <c r="AE87" s="173"/>
      <c r="AF87" s="173"/>
      <c r="AG87" s="173"/>
      <c r="AH87" s="173"/>
      <c r="AI87" s="173"/>
      <c r="AJ87" s="173"/>
      <c r="AK87" s="173"/>
      <c r="AL87" s="173"/>
      <c r="AM87" s="173"/>
      <c r="AN87" s="173"/>
      <c r="AO87" s="173"/>
    </row>
    <row r="88" spans="4:41" ht="14.4">
      <c r="D88"/>
      <c r="E88"/>
      <c r="F88"/>
      <c r="G88"/>
      <c r="H88"/>
      <c r="I88"/>
      <c r="J88"/>
      <c r="K88"/>
      <c r="L88"/>
      <c r="M88"/>
      <c r="N88"/>
      <c r="O88"/>
      <c r="R88" s="173"/>
      <c r="S88" s="173"/>
      <c r="T88" s="173"/>
      <c r="U88" s="173"/>
      <c r="V88" s="173"/>
      <c r="W88" s="173"/>
      <c r="X88" s="173"/>
      <c r="Y88" s="173"/>
      <c r="Z88" s="174"/>
      <c r="AA88" s="173"/>
      <c r="AB88" s="173"/>
      <c r="AC88" s="173"/>
      <c r="AD88" s="173"/>
      <c r="AE88" s="173"/>
      <c r="AF88" s="173"/>
      <c r="AG88" s="173"/>
      <c r="AH88" s="173"/>
      <c r="AI88" s="173"/>
      <c r="AJ88" s="173"/>
      <c r="AK88" s="173"/>
      <c r="AL88" s="173"/>
      <c r="AM88" s="173"/>
      <c r="AN88" s="173"/>
      <c r="AO88" s="173"/>
    </row>
    <row r="89" spans="4:41" ht="14.4">
      <c r="D89"/>
      <c r="E89"/>
      <c r="F89"/>
      <c r="G89"/>
      <c r="H89"/>
      <c r="I89"/>
      <c r="J89"/>
      <c r="K89"/>
      <c r="L89"/>
      <c r="M89"/>
      <c r="N89"/>
      <c r="O89"/>
      <c r="R89" s="173"/>
      <c r="S89" s="173"/>
      <c r="T89" s="173"/>
      <c r="U89" s="173"/>
      <c r="V89" s="173"/>
      <c r="W89" s="173"/>
      <c r="X89" s="173"/>
      <c r="Y89" s="173"/>
      <c r="Z89" s="173"/>
      <c r="AA89" s="173"/>
      <c r="AB89" s="173"/>
      <c r="AC89" s="173"/>
      <c r="AD89" s="173"/>
      <c r="AE89" s="173"/>
      <c r="AF89" s="173"/>
      <c r="AG89" s="173"/>
      <c r="AH89" s="173"/>
      <c r="AI89" s="173"/>
      <c r="AJ89" s="173"/>
      <c r="AK89" s="173"/>
      <c r="AL89" s="173"/>
      <c r="AM89" s="173"/>
      <c r="AN89" s="173"/>
      <c r="AO89" s="173"/>
    </row>
    <row r="90" spans="4:41" ht="14.4">
      <c r="D90"/>
      <c r="E90"/>
      <c r="F90"/>
      <c r="G90"/>
      <c r="H90"/>
      <c r="I90"/>
      <c r="J90"/>
      <c r="K90"/>
      <c r="L90"/>
      <c r="M90"/>
      <c r="N90"/>
      <c r="O90"/>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row>
    <row r="91" spans="4:41" ht="14.4">
      <c r="D91"/>
      <c r="E91"/>
      <c r="F91"/>
      <c r="G91"/>
      <c r="H91"/>
      <c r="I91"/>
      <c r="J91"/>
      <c r="K91"/>
      <c r="L91"/>
      <c r="M91"/>
      <c r="N91"/>
      <c r="O91"/>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row>
    <row r="92" spans="4:41" ht="14.4">
      <c r="D92"/>
      <c r="E92"/>
      <c r="F92"/>
      <c r="G92"/>
      <c r="H92"/>
      <c r="I92"/>
      <c r="J92"/>
      <c r="K92"/>
      <c r="L92"/>
      <c r="M92"/>
      <c r="N92"/>
      <c r="O92"/>
      <c r="R92" s="173"/>
      <c r="S92" s="173"/>
      <c r="T92" s="173"/>
      <c r="U92" s="173"/>
      <c r="V92" s="173"/>
      <c r="W92" s="173"/>
      <c r="X92" s="173"/>
      <c r="Y92" s="173"/>
      <c r="Z92" s="173"/>
      <c r="AA92" s="173"/>
      <c r="AB92" s="173"/>
      <c r="AC92" s="173"/>
      <c r="AD92" s="173"/>
      <c r="AE92" s="173"/>
      <c r="AF92" s="173"/>
      <c r="AG92" s="173"/>
      <c r="AH92" s="173"/>
      <c r="AI92" s="173"/>
      <c r="AJ92" s="173"/>
      <c r="AK92" s="173"/>
      <c r="AL92" s="173"/>
      <c r="AM92" s="173"/>
      <c r="AN92" s="173"/>
      <c r="AO92" s="173"/>
    </row>
    <row r="93" spans="4:41" ht="14.4">
      <c r="D93"/>
      <c r="E93"/>
      <c r="F93"/>
      <c r="G93"/>
      <c r="H93"/>
      <c r="I93"/>
      <c r="J93"/>
      <c r="K93"/>
      <c r="L93"/>
      <c r="M93"/>
      <c r="N93"/>
      <c r="O93"/>
      <c r="R93" s="173"/>
      <c r="S93" s="173"/>
      <c r="T93" s="173"/>
      <c r="U93" s="173"/>
      <c r="V93" s="173"/>
      <c r="W93" s="173"/>
      <c r="X93" s="173"/>
      <c r="Y93" s="173"/>
      <c r="Z93" s="173"/>
      <c r="AA93" s="173"/>
      <c r="AB93" s="173"/>
      <c r="AC93" s="173"/>
      <c r="AD93" s="173"/>
      <c r="AE93" s="173"/>
      <c r="AF93" s="173"/>
      <c r="AG93" s="173"/>
      <c r="AH93" s="173"/>
      <c r="AI93" s="173"/>
      <c r="AJ93" s="173"/>
      <c r="AK93" s="173"/>
      <c r="AL93" s="173"/>
      <c r="AM93" s="173"/>
      <c r="AN93" s="173"/>
      <c r="AO93" s="173"/>
    </row>
    <row r="94" spans="4:41" ht="14.4">
      <c r="D94"/>
      <c r="E94"/>
      <c r="F94"/>
      <c r="G94"/>
      <c r="H94"/>
      <c r="I94"/>
      <c r="J94"/>
      <c r="K94"/>
      <c r="L94"/>
      <c r="M94"/>
      <c r="N94"/>
      <c r="O94"/>
      <c r="R94" s="173"/>
      <c r="S94" s="173"/>
      <c r="T94" s="173"/>
      <c r="U94" s="173"/>
      <c r="V94" s="173"/>
      <c r="W94" s="173"/>
      <c r="X94" s="173"/>
      <c r="Y94" s="173"/>
      <c r="Z94" s="173"/>
      <c r="AA94" s="173"/>
      <c r="AB94" s="173"/>
      <c r="AC94" s="173"/>
      <c r="AD94" s="173"/>
      <c r="AE94" s="173"/>
      <c r="AF94" s="173"/>
      <c r="AG94" s="173"/>
      <c r="AH94" s="173"/>
      <c r="AI94" s="173"/>
      <c r="AJ94" s="173"/>
      <c r="AK94" s="173"/>
      <c r="AL94" s="173"/>
      <c r="AM94" s="173"/>
      <c r="AN94" s="173"/>
      <c r="AO94" s="173"/>
    </row>
    <row r="95" spans="4:41" ht="14.4">
      <c r="D95"/>
      <c r="E95"/>
      <c r="F95"/>
      <c r="G95"/>
      <c r="H95"/>
      <c r="I95"/>
      <c r="J95"/>
      <c r="K95"/>
      <c r="L95"/>
      <c r="M95"/>
      <c r="N95"/>
      <c r="O95"/>
      <c r="R95" s="173"/>
      <c r="S95" s="173"/>
      <c r="T95" s="173"/>
      <c r="U95" s="173"/>
      <c r="V95" s="173"/>
      <c r="W95" s="173"/>
      <c r="X95" s="173"/>
      <c r="Y95" s="173"/>
      <c r="Z95" s="173"/>
      <c r="AA95" s="173"/>
      <c r="AB95" s="173"/>
      <c r="AC95" s="173"/>
      <c r="AD95" s="173"/>
      <c r="AE95" s="173"/>
      <c r="AF95" s="173"/>
      <c r="AG95" s="173"/>
      <c r="AH95" s="173"/>
      <c r="AI95" s="173"/>
      <c r="AJ95" s="173"/>
      <c r="AK95" s="173"/>
      <c r="AL95" s="173"/>
      <c r="AM95" s="173"/>
      <c r="AN95" s="173"/>
      <c r="AO95" s="173"/>
    </row>
    <row r="96" spans="4:41" ht="14.4">
      <c r="D96"/>
      <c r="E96"/>
      <c r="F96"/>
      <c r="G96"/>
      <c r="H96"/>
      <c r="I96"/>
      <c r="J96"/>
      <c r="K96"/>
      <c r="L96"/>
      <c r="M96"/>
      <c r="N96"/>
      <c r="O96"/>
      <c r="R96" s="173"/>
      <c r="S96" s="173"/>
      <c r="T96" s="173"/>
      <c r="U96" s="173"/>
      <c r="V96" s="173"/>
      <c r="W96" s="173"/>
      <c r="X96" s="173"/>
      <c r="Y96" s="173"/>
      <c r="Z96" s="173"/>
      <c r="AA96" s="173"/>
      <c r="AB96" s="173"/>
      <c r="AC96" s="173"/>
      <c r="AD96" s="173"/>
      <c r="AE96" s="173"/>
      <c r="AF96" s="173"/>
      <c r="AG96" s="173"/>
      <c r="AH96" s="173"/>
      <c r="AI96" s="173"/>
      <c r="AJ96" s="173"/>
      <c r="AK96" s="173"/>
      <c r="AL96" s="173"/>
      <c r="AM96" s="173"/>
      <c r="AN96" s="173"/>
      <c r="AO96" s="173"/>
    </row>
    <row r="97" spans="4:41" ht="14.4">
      <c r="D97"/>
      <c r="E97"/>
      <c r="F97"/>
      <c r="G97"/>
      <c r="H97"/>
      <c r="I97"/>
      <c r="J97"/>
      <c r="K97"/>
      <c r="L97"/>
      <c r="M97"/>
      <c r="N97"/>
      <c r="O97"/>
      <c r="R97" s="173"/>
      <c r="S97" s="173"/>
      <c r="T97" s="173"/>
      <c r="U97" s="173"/>
      <c r="V97" s="173"/>
      <c r="W97" s="173"/>
      <c r="X97" s="173"/>
      <c r="Y97" s="173"/>
      <c r="Z97" s="173"/>
      <c r="AA97" s="173"/>
      <c r="AB97" s="173"/>
      <c r="AC97" s="173"/>
      <c r="AD97" s="173"/>
      <c r="AE97" s="173"/>
      <c r="AF97" s="173"/>
      <c r="AG97" s="173"/>
      <c r="AH97" s="173"/>
      <c r="AI97" s="173"/>
      <c r="AJ97" s="173"/>
      <c r="AK97" s="173"/>
      <c r="AL97" s="173"/>
      <c r="AM97" s="173"/>
      <c r="AN97" s="173"/>
      <c r="AO97" s="173"/>
    </row>
    <row r="98" spans="4:41" ht="14.4">
      <c r="D98"/>
      <c r="E98"/>
      <c r="F98"/>
      <c r="G98"/>
      <c r="H98"/>
      <c r="I98"/>
      <c r="J98"/>
      <c r="K98"/>
      <c r="L98"/>
      <c r="M98"/>
      <c r="N98"/>
      <c r="O98"/>
      <c r="R98" s="173"/>
      <c r="S98" s="173"/>
      <c r="T98" s="173"/>
      <c r="U98" s="173"/>
      <c r="V98" s="173"/>
      <c r="W98" s="173"/>
      <c r="X98" s="173"/>
      <c r="Y98" s="173"/>
      <c r="Z98" s="173"/>
      <c r="AA98" s="173"/>
      <c r="AB98" s="173"/>
      <c r="AC98" s="173"/>
      <c r="AD98" s="173"/>
      <c r="AE98" s="173"/>
      <c r="AF98" s="173"/>
      <c r="AG98" s="173"/>
      <c r="AH98" s="173"/>
      <c r="AI98" s="173"/>
      <c r="AJ98" s="173"/>
      <c r="AK98" s="173"/>
      <c r="AL98" s="173"/>
      <c r="AM98" s="173"/>
      <c r="AN98" s="173"/>
      <c r="AO98" s="173"/>
    </row>
    <row r="99" spans="4:41" ht="14.4" customHeight="1">
      <c r="D99"/>
      <c r="E99"/>
      <c r="F99"/>
      <c r="G99"/>
      <c r="H99"/>
      <c r="I99"/>
      <c r="J99"/>
      <c r="K99"/>
      <c r="L99"/>
      <c r="M99"/>
      <c r="N99"/>
      <c r="O99"/>
      <c r="R99" s="173"/>
      <c r="S99" s="173"/>
      <c r="T99" s="173"/>
      <c r="U99" s="173"/>
      <c r="V99" s="173"/>
      <c r="W99" s="173"/>
      <c r="X99" s="173"/>
      <c r="Y99" s="173"/>
      <c r="Z99" s="173"/>
      <c r="AA99" s="173"/>
      <c r="AB99" s="173"/>
      <c r="AC99" s="173"/>
      <c r="AD99" s="173"/>
      <c r="AE99" s="173"/>
      <c r="AF99" s="173"/>
      <c r="AG99" s="173"/>
      <c r="AH99" s="173"/>
      <c r="AI99" s="173"/>
      <c r="AJ99" s="173"/>
      <c r="AK99" s="173"/>
      <c r="AL99" s="173"/>
      <c r="AM99" s="173"/>
      <c r="AN99" s="173"/>
      <c r="AO99" s="173"/>
    </row>
    <row r="100" spans="4:41" ht="14.4" customHeight="1">
      <c r="D100"/>
      <c r="E100"/>
      <c r="F100"/>
      <c r="G100"/>
      <c r="H100"/>
      <c r="I100"/>
      <c r="J100"/>
      <c r="K100"/>
      <c r="L100"/>
      <c r="M100"/>
      <c r="N100"/>
      <c r="O100"/>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row>
    <row r="101" spans="4:41" ht="14.4" customHeight="1">
      <c r="D101"/>
      <c r="E101"/>
      <c r="F101"/>
      <c r="G101"/>
      <c r="H101"/>
      <c r="I101"/>
      <c r="J101"/>
      <c r="K101"/>
      <c r="L101"/>
      <c r="M101"/>
      <c r="N101"/>
      <c r="O101"/>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row>
    <row r="102" spans="4:41" ht="14.4" customHeight="1">
      <c r="D102"/>
      <c r="E102"/>
      <c r="F102"/>
      <c r="G102"/>
      <c r="H102"/>
      <c r="I102"/>
      <c r="J102"/>
      <c r="K102"/>
      <c r="L102"/>
      <c r="M102"/>
      <c r="N102"/>
      <c r="O102"/>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row>
    <row r="103" spans="4:41" ht="14.4" customHeight="1">
      <c r="D103"/>
      <c r="E103"/>
      <c r="F103"/>
      <c r="G103"/>
      <c r="H103"/>
      <c r="I103"/>
      <c r="J103"/>
      <c r="K103"/>
      <c r="L103"/>
      <c r="M103"/>
      <c r="N103"/>
      <c r="O10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row>
    <row r="104" spans="4:41" ht="14.4" customHeight="1">
      <c r="D104"/>
      <c r="E104"/>
      <c r="F104"/>
      <c r="G104"/>
      <c r="H104"/>
      <c r="I104"/>
      <c r="J104"/>
      <c r="K104"/>
      <c r="L104"/>
      <c r="M104"/>
      <c r="N104"/>
      <c r="O104"/>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row>
    <row r="105" spans="4:41" ht="14.4" customHeight="1">
      <c r="D105"/>
      <c r="E105"/>
      <c r="F105"/>
      <c r="G105"/>
      <c r="H105"/>
      <c r="I105"/>
      <c r="J105"/>
      <c r="K105"/>
      <c r="L105"/>
      <c r="M105"/>
      <c r="N105"/>
      <c r="O105"/>
      <c r="R105" s="173"/>
      <c r="S105" s="173"/>
      <c r="T105" s="173"/>
      <c r="U105" s="173"/>
      <c r="V105" s="173"/>
      <c r="W105" s="173"/>
      <c r="X105" s="173"/>
      <c r="Y105" s="173"/>
      <c r="Z105" s="173"/>
      <c r="AA105" s="173"/>
      <c r="AB105" s="173"/>
      <c r="AC105" s="173"/>
      <c r="AD105" s="173"/>
      <c r="AE105" s="173"/>
      <c r="AF105" s="173"/>
      <c r="AG105" s="173"/>
      <c r="AH105" s="173"/>
      <c r="AI105" s="173"/>
      <c r="AJ105" s="173"/>
      <c r="AK105" s="173"/>
      <c r="AL105" s="173"/>
      <c r="AM105" s="173"/>
      <c r="AN105" s="173"/>
      <c r="AO105" s="173"/>
    </row>
    <row r="106" spans="4:41" ht="14.4" customHeight="1">
      <c r="D106"/>
      <c r="E106"/>
      <c r="F106"/>
      <c r="G106"/>
      <c r="H106"/>
      <c r="I106"/>
      <c r="J106"/>
      <c r="K106"/>
      <c r="L106"/>
      <c r="M106"/>
      <c r="N106"/>
      <c r="O106"/>
      <c r="R106" s="173"/>
      <c r="S106" s="173"/>
      <c r="T106" s="173"/>
      <c r="U106" s="173"/>
      <c r="V106" s="173"/>
      <c r="W106" s="173"/>
      <c r="X106" s="173"/>
      <c r="Y106" s="173"/>
      <c r="Z106" s="173"/>
      <c r="AA106" s="173"/>
      <c r="AB106" s="173"/>
      <c r="AC106" s="173"/>
      <c r="AD106" s="173"/>
      <c r="AE106" s="173"/>
      <c r="AF106" s="173"/>
      <c r="AG106" s="173"/>
      <c r="AH106" s="173"/>
      <c r="AI106" s="173"/>
      <c r="AJ106" s="173"/>
      <c r="AK106" s="173"/>
      <c r="AL106" s="173"/>
      <c r="AM106" s="173"/>
      <c r="AN106" s="173"/>
      <c r="AO106" s="173"/>
    </row>
    <row r="107" spans="4:41" ht="14.4" customHeight="1">
      <c r="D107"/>
      <c r="E107"/>
      <c r="F107"/>
      <c r="G107"/>
      <c r="H107"/>
      <c r="I107"/>
      <c r="J107"/>
      <c r="K107"/>
      <c r="L107"/>
      <c r="M107"/>
      <c r="N107"/>
      <c r="O107"/>
      <c r="R107" s="173"/>
      <c r="S107" s="173"/>
      <c r="T107" s="173"/>
      <c r="U107" s="173"/>
      <c r="V107" s="173"/>
      <c r="W107" s="173"/>
      <c r="X107" s="173"/>
      <c r="Y107" s="173"/>
      <c r="Z107" s="173"/>
      <c r="AA107" s="173"/>
      <c r="AB107" s="173"/>
      <c r="AC107" s="173"/>
      <c r="AD107" s="173"/>
      <c r="AE107" s="173"/>
      <c r="AF107" s="173"/>
      <c r="AG107" s="173"/>
      <c r="AH107" s="173"/>
      <c r="AI107" s="173"/>
      <c r="AJ107" s="173"/>
      <c r="AK107" s="173"/>
      <c r="AL107" s="173"/>
      <c r="AM107" s="173"/>
      <c r="AN107" s="173"/>
      <c r="AO107" s="173"/>
    </row>
    <row r="108" spans="4:41" ht="14.4" customHeight="1">
      <c r="D108"/>
      <c r="E108"/>
      <c r="F108"/>
      <c r="G108"/>
      <c r="H108"/>
      <c r="I108"/>
      <c r="J108"/>
      <c r="K108"/>
      <c r="L108"/>
      <c r="M108"/>
      <c r="N108"/>
      <c r="O108"/>
      <c r="R108" s="173"/>
      <c r="S108" s="173"/>
      <c r="T108" s="173"/>
      <c r="U108" s="173"/>
      <c r="V108" s="173"/>
      <c r="W108" s="173"/>
      <c r="X108" s="173"/>
      <c r="Y108" s="173"/>
      <c r="Z108" s="173"/>
      <c r="AA108" s="173"/>
      <c r="AB108" s="173"/>
      <c r="AC108" s="173"/>
      <c r="AD108" s="173"/>
      <c r="AE108" s="173"/>
      <c r="AF108" s="173"/>
      <c r="AG108" s="173"/>
      <c r="AH108" s="173"/>
      <c r="AI108" s="173"/>
      <c r="AJ108" s="173"/>
      <c r="AK108" s="173"/>
      <c r="AL108" s="173"/>
      <c r="AM108" s="173"/>
      <c r="AN108" s="173"/>
      <c r="AO108" s="173"/>
    </row>
    <row r="109" spans="4:41" ht="15.6" customHeight="1">
      <c r="D109"/>
      <c r="E109"/>
      <c r="F109"/>
      <c r="G109"/>
      <c r="H109"/>
      <c r="I109"/>
      <c r="J109"/>
      <c r="K109"/>
      <c r="L109"/>
      <c r="M109"/>
      <c r="N109"/>
      <c r="O109"/>
      <c r="R109" s="173"/>
      <c r="S109" s="173"/>
      <c r="T109" s="173"/>
      <c r="U109" s="173"/>
      <c r="V109" s="173"/>
      <c r="W109" s="173"/>
      <c r="X109" s="173"/>
      <c r="Y109" s="173"/>
      <c r="Z109" s="173"/>
      <c r="AA109" s="173"/>
      <c r="AB109" s="173"/>
      <c r="AC109" s="173"/>
      <c r="AD109" s="173"/>
      <c r="AE109" s="173"/>
      <c r="AF109" s="173"/>
      <c r="AG109" s="173"/>
      <c r="AH109" s="173"/>
      <c r="AI109" s="173"/>
      <c r="AJ109" s="173"/>
      <c r="AK109" s="173"/>
      <c r="AL109" s="173"/>
      <c r="AM109" s="173"/>
      <c r="AN109" s="173"/>
      <c r="AO109" s="173"/>
    </row>
    <row r="110" spans="4:41" ht="15.6" customHeight="1">
      <c r="D110"/>
      <c r="E110"/>
      <c r="F110"/>
      <c r="G110"/>
      <c r="H110"/>
      <c r="I110"/>
      <c r="J110"/>
      <c r="K110"/>
      <c r="L110"/>
      <c r="M110"/>
      <c r="N110"/>
      <c r="O110"/>
      <c r="R110" s="173"/>
      <c r="S110" s="173"/>
      <c r="T110" s="173"/>
      <c r="U110" s="173"/>
      <c r="V110" s="173"/>
      <c r="W110" s="173"/>
      <c r="X110" s="173"/>
      <c r="Y110" s="173"/>
      <c r="Z110" s="173"/>
      <c r="AA110" s="173"/>
      <c r="AB110" s="173"/>
      <c r="AC110" s="173"/>
      <c r="AD110" s="173"/>
      <c r="AE110" s="173"/>
      <c r="AF110" s="173"/>
      <c r="AG110" s="173"/>
      <c r="AH110" s="173"/>
      <c r="AI110" s="173"/>
      <c r="AJ110" s="173"/>
      <c r="AK110" s="173"/>
      <c r="AL110" s="173"/>
      <c r="AM110" s="173"/>
      <c r="AN110" s="173"/>
      <c r="AO110" s="173"/>
    </row>
    <row r="111" spans="4:41" ht="15.6" customHeight="1">
      <c r="D111"/>
      <c r="E111"/>
      <c r="F111"/>
      <c r="G111"/>
      <c r="H111"/>
      <c r="I111"/>
      <c r="J111"/>
      <c r="K111"/>
      <c r="L111"/>
      <c r="M111"/>
      <c r="N111"/>
      <c r="O111"/>
      <c r="R111" s="173"/>
      <c r="S111" s="173"/>
      <c r="T111" s="173"/>
      <c r="U111" s="173"/>
      <c r="V111" s="173"/>
      <c r="W111" s="173"/>
      <c r="X111" s="173"/>
      <c r="Y111" s="173"/>
      <c r="Z111" s="173"/>
      <c r="AA111" s="173"/>
      <c r="AB111" s="173"/>
      <c r="AC111" s="173"/>
      <c r="AD111" s="173"/>
      <c r="AE111" s="173"/>
      <c r="AF111" s="173"/>
      <c r="AG111" s="173"/>
      <c r="AH111" s="173"/>
      <c r="AI111" s="173"/>
      <c r="AJ111" s="173"/>
      <c r="AK111" s="173"/>
      <c r="AL111" s="173"/>
      <c r="AM111" s="173"/>
      <c r="AN111" s="173"/>
      <c r="AO111" s="173"/>
    </row>
    <row r="112" spans="4:41" ht="15.6" customHeight="1">
      <c r="D112"/>
      <c r="E112"/>
      <c r="F112"/>
      <c r="G112"/>
      <c r="H112"/>
      <c r="I112"/>
      <c r="J112"/>
      <c r="K112"/>
      <c r="L112"/>
      <c r="M112"/>
      <c r="N112"/>
      <c r="O112"/>
      <c r="R112" s="173"/>
      <c r="S112" s="173"/>
      <c r="T112" s="173"/>
      <c r="U112" s="173"/>
      <c r="V112" s="173"/>
      <c r="W112" s="173"/>
      <c r="X112" s="173"/>
      <c r="Y112" s="173"/>
      <c r="Z112" s="173"/>
      <c r="AA112" s="173"/>
      <c r="AB112" s="173"/>
      <c r="AC112" s="173"/>
      <c r="AD112" s="173"/>
      <c r="AE112" s="173"/>
      <c r="AF112" s="173"/>
      <c r="AG112" s="173"/>
      <c r="AH112" s="173"/>
      <c r="AI112" s="173"/>
      <c r="AJ112" s="173"/>
      <c r="AK112" s="173"/>
      <c r="AL112" s="173"/>
      <c r="AM112" s="173"/>
      <c r="AN112" s="173"/>
      <c r="AO112" s="173"/>
    </row>
    <row r="113" spans="4:41" ht="14.4">
      <c r="D113"/>
      <c r="E113"/>
      <c r="F113"/>
      <c r="G113"/>
      <c r="H113"/>
      <c r="R113" s="173"/>
      <c r="S113" s="173"/>
      <c r="T113" s="173"/>
      <c r="U113" s="173"/>
      <c r="V113" s="173"/>
      <c r="W113" s="173"/>
      <c r="X113" s="173"/>
      <c r="Y113" s="173"/>
      <c r="Z113" s="173"/>
      <c r="AA113" s="173"/>
      <c r="AB113" s="173"/>
      <c r="AC113" s="173"/>
      <c r="AD113" s="173"/>
      <c r="AE113" s="173"/>
      <c r="AF113" s="173"/>
      <c r="AG113" s="173"/>
      <c r="AH113" s="173"/>
      <c r="AI113" s="173"/>
      <c r="AJ113" s="173"/>
      <c r="AK113" s="173"/>
      <c r="AL113" s="173"/>
      <c r="AM113" s="173"/>
      <c r="AN113" s="173"/>
      <c r="AO113" s="173"/>
    </row>
    <row r="114" spans="4:41" ht="14.4">
      <c r="D114"/>
      <c r="E114"/>
      <c r="F114"/>
      <c r="G114"/>
      <c r="H114"/>
      <c r="R114" s="173"/>
      <c r="S114" s="173"/>
      <c r="T114" s="173"/>
      <c r="U114" s="173"/>
      <c r="V114" s="173"/>
      <c r="W114" s="173"/>
      <c r="X114" s="173"/>
      <c r="Y114" s="173"/>
      <c r="Z114" s="173"/>
      <c r="AA114" s="173"/>
      <c r="AB114" s="173"/>
      <c r="AC114" s="173"/>
      <c r="AD114" s="173"/>
      <c r="AE114" s="173"/>
      <c r="AF114" s="173"/>
      <c r="AG114" s="173"/>
      <c r="AH114" s="173"/>
      <c r="AI114" s="173"/>
      <c r="AJ114" s="173"/>
      <c r="AK114" s="173"/>
      <c r="AL114" s="173"/>
      <c r="AM114" s="173"/>
      <c r="AN114" s="173"/>
      <c r="AO114" s="173"/>
    </row>
    <row r="115" spans="4:41" ht="14.4">
      <c r="D115"/>
      <c r="E115"/>
      <c r="F115"/>
      <c r="G115"/>
      <c r="H115"/>
      <c r="R115" s="173"/>
      <c r="S115" s="173"/>
      <c r="T115" s="173"/>
      <c r="U115" s="173"/>
      <c r="V115" s="173"/>
      <c r="W115" s="173"/>
      <c r="X115" s="173"/>
      <c r="Y115" s="173"/>
      <c r="Z115" s="173"/>
      <c r="AA115" s="173"/>
      <c r="AB115" s="173"/>
      <c r="AC115" s="173"/>
      <c r="AD115" s="173"/>
      <c r="AE115" s="173"/>
      <c r="AF115" s="173"/>
      <c r="AG115" s="173"/>
      <c r="AH115" s="173"/>
      <c r="AI115" s="173"/>
      <c r="AJ115" s="173"/>
      <c r="AK115" s="173"/>
      <c r="AL115" s="173"/>
      <c r="AM115" s="173"/>
      <c r="AN115" s="173"/>
      <c r="AO115" s="173"/>
    </row>
    <row r="116" spans="4:41" ht="14.4">
      <c r="D116"/>
      <c r="E116"/>
      <c r="F116"/>
      <c r="G116"/>
      <c r="H116"/>
      <c r="R116" s="173"/>
      <c r="S116" s="173"/>
      <c r="T116" s="173"/>
      <c r="U116" s="173"/>
      <c r="V116" s="173"/>
      <c r="W116" s="173"/>
      <c r="X116" s="173"/>
      <c r="Y116" s="173"/>
      <c r="Z116" s="173"/>
      <c r="AA116" s="173"/>
      <c r="AB116" s="173"/>
      <c r="AC116" s="173"/>
      <c r="AD116" s="173"/>
      <c r="AE116" s="173"/>
      <c r="AF116" s="173"/>
      <c r="AG116" s="173"/>
      <c r="AH116" s="173"/>
      <c r="AI116" s="173"/>
      <c r="AJ116" s="173"/>
      <c r="AK116" s="173"/>
      <c r="AL116" s="173"/>
      <c r="AM116" s="173"/>
      <c r="AN116" s="173"/>
      <c r="AO116" s="173"/>
    </row>
    <row r="117" spans="4:41" ht="14.4">
      <c r="D117"/>
      <c r="E117"/>
      <c r="F117"/>
      <c r="G117"/>
      <c r="H117"/>
      <c r="R117" s="173"/>
      <c r="S117" s="173"/>
      <c r="T117" s="173"/>
      <c r="U117" s="173"/>
      <c r="V117" s="173"/>
      <c r="W117" s="173"/>
      <c r="X117" s="173"/>
      <c r="Y117" s="173"/>
      <c r="Z117" s="173"/>
      <c r="AA117" s="173"/>
      <c r="AB117" s="173"/>
      <c r="AC117" s="173"/>
      <c r="AD117" s="173"/>
      <c r="AE117" s="173"/>
      <c r="AF117" s="173"/>
      <c r="AG117" s="173"/>
      <c r="AH117" s="173"/>
      <c r="AI117" s="173"/>
      <c r="AJ117" s="173"/>
      <c r="AK117" s="173"/>
      <c r="AL117" s="173"/>
      <c r="AM117" s="173"/>
      <c r="AN117" s="173"/>
      <c r="AO117" s="173"/>
    </row>
    <row r="118" spans="4:41" ht="14.4">
      <c r="D118"/>
      <c r="E118"/>
      <c r="F118"/>
      <c r="G118"/>
      <c r="H118"/>
      <c r="R118" s="173"/>
      <c r="S118" s="173"/>
      <c r="T118" s="173"/>
      <c r="U118" s="173"/>
      <c r="V118" s="173"/>
      <c r="W118" s="173"/>
      <c r="X118" s="173"/>
      <c r="Y118" s="173"/>
      <c r="Z118" s="173"/>
      <c r="AA118" s="173"/>
      <c r="AB118" s="173"/>
      <c r="AC118" s="173"/>
      <c r="AD118" s="173"/>
      <c r="AE118" s="173"/>
      <c r="AF118" s="173"/>
      <c r="AG118" s="173"/>
      <c r="AH118" s="173"/>
      <c r="AI118" s="173"/>
      <c r="AJ118" s="173"/>
      <c r="AK118" s="173"/>
      <c r="AL118" s="173"/>
      <c r="AM118" s="173"/>
      <c r="AN118" s="173"/>
      <c r="AO118" s="173"/>
    </row>
    <row r="119" spans="4:41" ht="14.4">
      <c r="D119"/>
      <c r="E119"/>
      <c r="F119"/>
      <c r="G119"/>
      <c r="H119"/>
      <c r="R119" s="173"/>
      <c r="S119" s="173"/>
      <c r="T119" s="173"/>
      <c r="U119" s="173"/>
      <c r="V119" s="173"/>
      <c r="W119" s="173"/>
      <c r="X119" s="173"/>
      <c r="Y119" s="173"/>
      <c r="Z119" s="173"/>
      <c r="AA119" s="173"/>
      <c r="AB119" s="173"/>
      <c r="AC119" s="173"/>
      <c r="AD119" s="173"/>
      <c r="AE119" s="173"/>
      <c r="AF119" s="173"/>
      <c r="AG119" s="173"/>
      <c r="AH119" s="173"/>
      <c r="AI119" s="173"/>
      <c r="AJ119" s="173"/>
      <c r="AK119" s="173"/>
      <c r="AL119" s="173"/>
      <c r="AM119" s="173"/>
      <c r="AN119" s="173"/>
      <c r="AO119" s="173"/>
    </row>
    <row r="120" spans="4:41" ht="14.4">
      <c r="D120"/>
      <c r="E120"/>
      <c r="F120"/>
      <c r="G120"/>
      <c r="H120"/>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row>
    <row r="121" spans="4:41" ht="14.4">
      <c r="D121"/>
      <c r="E121"/>
      <c r="F121"/>
      <c r="G121"/>
      <c r="H121"/>
    </row>
    <row r="122" spans="4:41" ht="14.4">
      <c r="D122"/>
      <c r="E122"/>
      <c r="F122"/>
      <c r="G122"/>
      <c r="H122"/>
    </row>
    <row r="123" spans="4:41" ht="14.4">
      <c r="D123"/>
      <c r="E123"/>
      <c r="F123"/>
      <c r="G123"/>
      <c r="H123"/>
    </row>
    <row r="124" spans="4:41" ht="14.4">
      <c r="D124"/>
      <c r="E124"/>
      <c r="F124"/>
      <c r="G124"/>
      <c r="H124"/>
    </row>
    <row r="125" spans="4:41" ht="14.4">
      <c r="D125"/>
      <c r="E125"/>
      <c r="F125"/>
      <c r="G125"/>
      <c r="H125"/>
    </row>
    <row r="126" spans="4:41" ht="14.4">
      <c r="D126"/>
      <c r="E126"/>
      <c r="F126"/>
      <c r="G126"/>
      <c r="H126"/>
    </row>
    <row r="127" spans="4:41" ht="14.4">
      <c r="D127"/>
      <c r="E127"/>
      <c r="F127"/>
      <c r="G127"/>
      <c r="H127"/>
    </row>
    <row r="128" spans="4:41" ht="14.4">
      <c r="D128"/>
      <c r="E128"/>
      <c r="F128"/>
      <c r="G128"/>
      <c r="H128"/>
    </row>
    <row r="129" spans="4:8" ht="14.4">
      <c r="D129"/>
      <c r="E129"/>
      <c r="F129"/>
      <c r="G129"/>
      <c r="H129"/>
    </row>
    <row r="130" spans="4:8" ht="14.4">
      <c r="D130"/>
      <c r="E130"/>
      <c r="F130"/>
      <c r="G130"/>
      <c r="H130"/>
    </row>
    <row r="131" spans="4:8" ht="14.4">
      <c r="D131"/>
      <c r="E131"/>
      <c r="F131"/>
      <c r="G131"/>
      <c r="H131"/>
    </row>
    <row r="132" spans="4:8" ht="14.4">
      <c r="D132"/>
      <c r="E132"/>
      <c r="F132"/>
      <c r="G132"/>
      <c r="H132"/>
    </row>
  </sheetData>
  <mergeCells count="9">
    <mergeCell ref="E18:F18"/>
    <mergeCell ref="E19:F19"/>
    <mergeCell ref="D2:F2"/>
    <mergeCell ref="D17:F17"/>
    <mergeCell ref="E5:F5"/>
    <mergeCell ref="E7:F7"/>
    <mergeCell ref="E11:F11"/>
    <mergeCell ref="E13:F13"/>
    <mergeCell ref="E15:F15"/>
  </mergeCells>
  <dataValidations count="1">
    <dataValidation type="list" allowBlank="1" showInputMessage="1" showErrorMessage="1" sqref="F9:F10" xr:uid="{00000000-0002-0000-0F00-000000000000}">
      <formula1>$F$21:$F$22</formula1>
    </dataValidation>
  </dataValidations>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EP124"/>
  <sheetViews>
    <sheetView zoomScaleNormal="100" workbookViewId="0">
      <selection activeCell="BT1" sqref="BT1"/>
    </sheetView>
  </sheetViews>
  <sheetFormatPr defaultColWidth="10.88671875" defaultRowHeight="14.4"/>
  <cols>
    <col min="3" max="3" width="13.109375" bestFit="1" customWidth="1"/>
    <col min="5" max="5" width="15.33203125" customWidth="1"/>
    <col min="6" max="6" width="12.33203125" bestFit="1" customWidth="1"/>
  </cols>
  <sheetData>
    <row r="1" spans="1:128">
      <c r="B1" s="123">
        <f ca="1">TODAY()</f>
        <v>45558</v>
      </c>
      <c r="D1" s="903" t="s">
        <v>188</v>
      </c>
      <c r="E1" s="903"/>
      <c r="F1" s="903"/>
      <c r="G1" s="4">
        <f>((1+Hipótesis!E13)^(1/12))-1</f>
        <v>2.0598362698427408E-3</v>
      </c>
    </row>
    <row r="2" spans="1:128">
      <c r="B2" t="s">
        <v>1196</v>
      </c>
      <c r="D2" s="903" t="s">
        <v>13</v>
      </c>
      <c r="E2" s="903"/>
      <c r="F2" s="903"/>
      <c r="G2" s="4">
        <f>((1+Hipótesis!E13)^(1/12))-1</f>
        <v>2.0598362698427408E-3</v>
      </c>
    </row>
    <row r="4" spans="1:128">
      <c r="B4" s="137">
        <v>1954</v>
      </c>
      <c r="C4" s="137">
        <v>1955</v>
      </c>
      <c r="D4" s="137">
        <v>1956</v>
      </c>
      <c r="E4" s="137">
        <v>1957</v>
      </c>
      <c r="F4" s="137">
        <v>1958</v>
      </c>
      <c r="G4" s="137">
        <v>1959</v>
      </c>
      <c r="H4" s="137">
        <v>1960</v>
      </c>
      <c r="I4" s="137">
        <v>1961</v>
      </c>
      <c r="J4" s="137">
        <v>1962</v>
      </c>
      <c r="K4" s="137">
        <v>1963</v>
      </c>
      <c r="L4" s="137">
        <v>1964</v>
      </c>
      <c r="M4" s="137">
        <v>1965</v>
      </c>
      <c r="N4" s="137">
        <v>1966</v>
      </c>
      <c r="O4" s="137">
        <v>1967</v>
      </c>
      <c r="P4" s="137">
        <v>1968</v>
      </c>
      <c r="Q4" s="137">
        <v>1969</v>
      </c>
      <c r="R4" s="137">
        <v>1970</v>
      </c>
      <c r="S4" s="137">
        <v>1971</v>
      </c>
      <c r="T4" s="137">
        <v>1972</v>
      </c>
      <c r="U4" s="137">
        <v>1973</v>
      </c>
      <c r="V4" s="137">
        <v>1974</v>
      </c>
      <c r="W4" s="137">
        <v>1975</v>
      </c>
      <c r="X4" s="137">
        <v>1976</v>
      </c>
      <c r="Y4" s="137">
        <v>1977</v>
      </c>
      <c r="Z4" s="137">
        <v>1978</v>
      </c>
      <c r="AA4" s="137">
        <v>1979</v>
      </c>
      <c r="AB4" s="137">
        <v>1980</v>
      </c>
      <c r="AC4" s="137">
        <v>1981</v>
      </c>
      <c r="AD4" s="137">
        <v>1982</v>
      </c>
      <c r="AE4" s="137">
        <v>1983</v>
      </c>
      <c r="AF4" s="137">
        <v>1984</v>
      </c>
      <c r="AG4" s="137">
        <v>1985</v>
      </c>
      <c r="AH4" s="137">
        <v>1986</v>
      </c>
      <c r="AI4" s="137">
        <v>1987</v>
      </c>
      <c r="AJ4" s="137">
        <v>1988</v>
      </c>
      <c r="AK4" s="137">
        <v>1989</v>
      </c>
      <c r="AL4" s="137">
        <v>1990</v>
      </c>
      <c r="AM4" s="137">
        <v>1991</v>
      </c>
      <c r="AN4" s="137">
        <v>1992</v>
      </c>
      <c r="AO4" s="137">
        <v>1993</v>
      </c>
      <c r="AP4" s="137">
        <v>1994</v>
      </c>
      <c r="AQ4" s="137">
        <v>1995</v>
      </c>
      <c r="AR4" s="137">
        <v>1996</v>
      </c>
      <c r="AS4" s="137">
        <v>1997</v>
      </c>
      <c r="AT4" s="137">
        <v>1998</v>
      </c>
      <c r="AU4" s="137">
        <v>1999</v>
      </c>
      <c r="AV4" s="137">
        <v>2000</v>
      </c>
      <c r="AW4" s="137">
        <v>2001</v>
      </c>
      <c r="AX4" s="137">
        <v>2002</v>
      </c>
      <c r="AY4" s="137">
        <v>2003</v>
      </c>
      <c r="AZ4" s="137">
        <v>2004</v>
      </c>
      <c r="BA4" s="137">
        <v>2005</v>
      </c>
      <c r="BB4" s="137">
        <v>2006</v>
      </c>
      <c r="BC4" s="137">
        <v>2007</v>
      </c>
      <c r="BD4" s="137">
        <v>2008</v>
      </c>
      <c r="BE4" s="137">
        <v>2009</v>
      </c>
      <c r="BF4" s="137">
        <v>2010</v>
      </c>
      <c r="BG4" s="137">
        <v>2011</v>
      </c>
      <c r="BH4" s="137">
        <v>2012</v>
      </c>
      <c r="BI4" s="137">
        <v>2013</v>
      </c>
      <c r="BJ4" s="137">
        <v>2014</v>
      </c>
      <c r="BK4" s="137">
        <v>2015</v>
      </c>
      <c r="BL4" s="137">
        <v>2016</v>
      </c>
      <c r="BM4" s="137">
        <v>2017</v>
      </c>
      <c r="BN4" s="137">
        <v>2018</v>
      </c>
      <c r="BO4" s="137">
        <v>2019</v>
      </c>
      <c r="BP4" s="137">
        <v>2020</v>
      </c>
      <c r="BQ4" s="137">
        <v>2021</v>
      </c>
      <c r="BR4" s="137">
        <v>2022</v>
      </c>
      <c r="BS4" s="137">
        <v>2023</v>
      </c>
      <c r="BT4" s="137">
        <v>2024</v>
      </c>
      <c r="BU4" s="137">
        <v>2025</v>
      </c>
      <c r="BV4" s="137">
        <v>2026</v>
      </c>
      <c r="BW4" s="137">
        <v>2027</v>
      </c>
      <c r="BX4" s="137">
        <v>2028</v>
      </c>
      <c r="BY4" s="137">
        <v>2029</v>
      </c>
      <c r="BZ4" s="137">
        <v>2030</v>
      </c>
      <c r="CA4" s="137">
        <v>2031</v>
      </c>
      <c r="CB4" s="137">
        <v>2032</v>
      </c>
      <c r="CC4" s="137">
        <v>2033</v>
      </c>
      <c r="CD4" s="137">
        <v>2034</v>
      </c>
      <c r="CE4" s="137">
        <v>2035</v>
      </c>
      <c r="CF4" s="137">
        <v>2036</v>
      </c>
      <c r="CG4" s="137">
        <v>2037</v>
      </c>
      <c r="CH4" s="137">
        <v>2038</v>
      </c>
      <c r="CI4" s="137">
        <v>2039</v>
      </c>
      <c r="CJ4" s="137">
        <v>2040</v>
      </c>
      <c r="CK4" s="137">
        <v>2041</v>
      </c>
      <c r="CL4" s="137">
        <v>2042</v>
      </c>
      <c r="CM4" s="137">
        <v>2043</v>
      </c>
      <c r="CN4" s="137">
        <v>2044</v>
      </c>
      <c r="CO4" s="137">
        <v>2045</v>
      </c>
      <c r="CP4" s="137">
        <v>2046</v>
      </c>
      <c r="CQ4" s="137">
        <v>2047</v>
      </c>
      <c r="CR4" s="137">
        <v>2048</v>
      </c>
      <c r="CS4" s="137">
        <v>2049</v>
      </c>
      <c r="CT4" s="137">
        <v>2050</v>
      </c>
      <c r="CU4" s="137">
        <v>2051</v>
      </c>
      <c r="CV4" s="137">
        <v>2052</v>
      </c>
      <c r="CW4" s="137">
        <v>2053</v>
      </c>
      <c r="CX4" s="137">
        <v>2054</v>
      </c>
      <c r="CY4" s="137">
        <v>2055</v>
      </c>
      <c r="CZ4" s="137">
        <v>2056</v>
      </c>
      <c r="DA4" s="137">
        <v>2057</v>
      </c>
      <c r="DB4" s="137">
        <v>2058</v>
      </c>
      <c r="DC4" s="137">
        <v>2059</v>
      </c>
      <c r="DD4" s="137">
        <v>2060</v>
      </c>
      <c r="DE4" s="137">
        <v>2061</v>
      </c>
      <c r="DF4" s="137">
        <v>2062</v>
      </c>
      <c r="DG4" s="137">
        <v>2063</v>
      </c>
      <c r="DH4" s="137">
        <v>2064</v>
      </c>
      <c r="DI4" s="137">
        <v>2065</v>
      </c>
      <c r="DJ4" s="137">
        <v>2066</v>
      </c>
      <c r="DK4" s="137">
        <v>2067</v>
      </c>
      <c r="DL4" s="137">
        <v>2068</v>
      </c>
      <c r="DM4" s="137">
        <v>2069</v>
      </c>
      <c r="DN4" s="137">
        <v>2070</v>
      </c>
      <c r="DO4" s="137">
        <v>2071</v>
      </c>
      <c r="DP4" s="137">
        <v>2072</v>
      </c>
      <c r="DQ4" s="137">
        <v>2073</v>
      </c>
      <c r="DR4" s="137">
        <v>2074</v>
      </c>
      <c r="DS4" s="137">
        <v>2075</v>
      </c>
      <c r="DT4" s="137">
        <v>2076</v>
      </c>
      <c r="DU4" s="137">
        <v>2077</v>
      </c>
      <c r="DV4" s="137">
        <v>2078</v>
      </c>
      <c r="DW4" s="137">
        <v>2079</v>
      </c>
      <c r="DX4" s="137">
        <v>2080</v>
      </c>
    </row>
    <row r="5" spans="1:128">
      <c r="A5" t="s">
        <v>14</v>
      </c>
      <c r="B5" s="4">
        <f t="shared" ref="B5:B15" si="0">B6*(1-$G$1)</f>
        <v>9.8859460882133927</v>
      </c>
      <c r="C5" s="4">
        <f t="shared" ref="C5:C15" si="1">C6*(1-$G$1)</f>
        <v>10.133610682235549</v>
      </c>
      <c r="D5" s="4">
        <f t="shared" ref="D5:D15" si="2">D6*(1-$G$1)</f>
        <v>10.387479816580386</v>
      </c>
      <c r="E5" s="4">
        <f t="shared" ref="E5:E15" si="3">E6*(1-$G$1)</f>
        <v>10.647708928567342</v>
      </c>
      <c r="F5" s="4">
        <f t="shared" ref="F5:F15" si="4">F6*(1-$G$1)</f>
        <v>10.914457349561037</v>
      </c>
      <c r="G5" s="4">
        <f t="shared" ref="G5:G15" si="5">G6*(1-$G$1)</f>
        <v>11.187888402525608</v>
      </c>
      <c r="H5" s="4">
        <f t="shared" ref="H5:H15" si="6">H6*(1-$G$1)</f>
        <v>11.468169502023029</v>
      </c>
      <c r="I5" s="4">
        <f t="shared" ref="I5:I15" si="7">I6*(1-$G$1)</f>
        <v>11.755472256716592</v>
      </c>
      <c r="J5" s="4">
        <f t="shared" ref="J5:J15" si="8">J6*(1-$G$1)</f>
        <v>12.049972574442339</v>
      </c>
      <c r="K5" s="4">
        <f t="shared" ref="K5:K15" si="9">K6*(1-$G$1)</f>
        <v>12.351850769912721</v>
      </c>
      <c r="L5" s="4">
        <f t="shared" ref="L5:L15" si="10">L6*(1-$G$1)</f>
        <v>12.661291675118541</v>
      </c>
      <c r="M5" s="4">
        <f t="shared" ref="M5:M15" si="11">M6*(1-$G$1)</f>
        <v>12.978484752496636</v>
      </c>
      <c r="N5" s="4">
        <f t="shared" ref="N5:N15" si="12">N6*(1-$G$1)</f>
        <v>13.303624210932695</v>
      </c>
      <c r="O5" s="4">
        <f t="shared" ref="O5:O15" si="13">O6*(1-$G$1)</f>
        <v>13.636909124670217</v>
      </c>
      <c r="P5" s="4">
        <f t="shared" ref="P5:P15" si="14">P6*(1-$G$1)</f>
        <v>13.978543555198332</v>
      </c>
      <c r="Q5" s="4">
        <f t="shared" ref="Q5:Q15" si="15">Q6*(1-$G$1)</f>
        <v>14.328736676193277</v>
      </c>
      <c r="R5" s="4">
        <f t="shared" ref="R5:R15" si="16">R6*(1-$G$1)</f>
        <v>14.687702901589827</v>
      </c>
      <c r="S5" s="4">
        <f t="shared" ref="S5:S15" si="17">S6*(1-$G$1)</f>
        <v>15.055662016861278</v>
      </c>
      <c r="T5" s="4">
        <f t="shared" ref="T5:T15" si="18">T6*(1-$G$1)</f>
        <v>15.43283931358823</v>
      </c>
      <c r="U5" s="4">
        <f t="shared" ref="U5:U15" si="19">U6*(1-$G$1)</f>
        <v>15.819465727398638</v>
      </c>
      <c r="V5" s="4">
        <f t="shared" ref="V5:V15" si="20">V6*(1-$G$1)</f>
        <v>16.215777979363555</v>
      </c>
      <c r="W5" s="4">
        <f t="shared" ref="W5:W15" si="21">W6*(1-$G$1)</f>
        <v>16.622018720935142</v>
      </c>
      <c r="X5" s="4">
        <f t="shared" ref="X5:X15" si="22">X6*(1-$G$1)</f>
        <v>17.038436682515695</v>
      </c>
      <c r="Y5" s="4">
        <f t="shared" ref="Y5:Y15" si="23">Y6*(1-$G$1)</f>
        <v>17.465286825748677</v>
      </c>
      <c r="Z5" s="4">
        <f t="shared" ref="Z5:Z15" si="24">Z6*(1-$G$1)</f>
        <v>17.902830499624937</v>
      </c>
      <c r="AA5" s="4">
        <f t="shared" ref="AA5:AA15" si="25">AA6*(1-$G$1)</f>
        <v>18.351335600499741</v>
      </c>
      <c r="AB5" s="140">
        <v>18.811076736118604</v>
      </c>
      <c r="AC5" s="140">
        <v>21.519871786119683</v>
      </c>
      <c r="AD5" s="139">
        <v>24.640253195107036</v>
      </c>
      <c r="AE5" s="139">
        <v>27.991327629641596</v>
      </c>
      <c r="AF5" s="139">
        <v>31.378278272828229</v>
      </c>
      <c r="AG5" s="139">
        <v>34.327836430474086</v>
      </c>
      <c r="AH5" s="139">
        <v>37.520325218508177</v>
      </c>
      <c r="AI5" s="139">
        <v>39.771544731618668</v>
      </c>
      <c r="AJ5" s="139">
        <v>41.561264244541505</v>
      </c>
      <c r="AK5" s="139">
        <v>44.221185156192163</v>
      </c>
      <c r="AL5" s="139">
        <v>47.184004561657041</v>
      </c>
      <c r="AM5" s="139">
        <v>50.345332867288064</v>
      </c>
      <c r="AN5" s="139">
        <v>53.366052839325356</v>
      </c>
      <c r="AO5" s="139">
        <v>55.874257322773644</v>
      </c>
      <c r="AP5" s="139">
        <v>58.667970188912328</v>
      </c>
      <c r="AQ5" s="139">
        <v>61.249360877224468</v>
      </c>
      <c r="AR5" s="139">
        <v>63.638085951436224</v>
      </c>
      <c r="AS5" s="139">
        <v>65.483590444027868</v>
      </c>
      <c r="AT5" s="139">
        <v>66.793262252908434</v>
      </c>
      <c r="AU5" s="139">
        <v>67.795161186702046</v>
      </c>
      <c r="AV5" s="139">
        <v>69.761220861116399</v>
      </c>
      <c r="AW5" s="139">
        <v>72.3423860329777</v>
      </c>
      <c r="AX5" s="139">
        <v>74.584999999999994</v>
      </c>
      <c r="AY5" s="139">
        <v>77.353999999999999</v>
      </c>
      <c r="AZ5" s="139">
        <v>79.137</v>
      </c>
      <c r="BA5" s="139">
        <v>81.575000000000003</v>
      </c>
      <c r="BB5" s="139">
        <v>84.994</v>
      </c>
      <c r="BC5" s="139">
        <v>87.027000000000001</v>
      </c>
      <c r="BD5" s="139">
        <v>90.748999999999995</v>
      </c>
      <c r="BE5" s="139">
        <v>91.480999999999995</v>
      </c>
      <c r="BF5" s="139">
        <v>92.421999999999997</v>
      </c>
      <c r="BG5" s="139">
        <v>95.444000000000003</v>
      </c>
      <c r="BH5" s="139">
        <v>97.350999999999999</v>
      </c>
      <c r="BI5" s="139">
        <v>99.962999999999994</v>
      </c>
      <c r="BJ5" s="139">
        <v>100.16200000000001</v>
      </c>
      <c r="BK5" s="139">
        <v>98.840999999999994</v>
      </c>
      <c r="BL5" s="139">
        <v>98.555999999999997</v>
      </c>
      <c r="BM5" s="139">
        <v>101.488</v>
      </c>
      <c r="BN5" s="140">
        <v>102.071</v>
      </c>
      <c r="BO5" s="140">
        <v>103.071</v>
      </c>
      <c r="BP5" s="140">
        <v>104.202</v>
      </c>
      <c r="BQ5" s="140">
        <v>104.678</v>
      </c>
      <c r="BR5" s="140">
        <v>111.077904</v>
      </c>
      <c r="BS5" s="4">
        <f t="shared" ref="BS5:CS5" si="26">BR16*(1+$G$2)</f>
        <v>117.72318067977258</v>
      </c>
      <c r="BT5" s="4">
        <f t="shared" si="26"/>
        <v>120.66626019676674</v>
      </c>
      <c r="BU5" s="4">
        <f t="shared" si="26"/>
        <v>123.68291670168576</v>
      </c>
      <c r="BV5" s="4">
        <f t="shared" si="26"/>
        <v>126.7749896192277</v>
      </c>
      <c r="BW5" s="4">
        <f t="shared" si="26"/>
        <v>129.9443643597082</v>
      </c>
      <c r="BX5" s="4">
        <f t="shared" si="26"/>
        <v>133.19297346870067</v>
      </c>
      <c r="BY5" s="4">
        <f t="shared" si="26"/>
        <v>136.52279780541801</v>
      </c>
      <c r="BZ5" s="4">
        <f t="shared" si="26"/>
        <v>139.93586775055329</v>
      </c>
      <c r="CA5" s="4">
        <f t="shared" si="26"/>
        <v>143.43426444431697</v>
      </c>
      <c r="CB5" s="4">
        <f t="shared" si="26"/>
        <v>147.02012105542471</v>
      </c>
      <c r="CC5" s="4">
        <f t="shared" si="26"/>
        <v>150.69562408181014</v>
      </c>
      <c r="CD5" s="4">
        <f t="shared" si="26"/>
        <v>154.46301468385519</v>
      </c>
      <c r="CE5" s="4">
        <f t="shared" si="26"/>
        <v>158.32459005095134</v>
      </c>
      <c r="CF5" s="4">
        <f t="shared" si="26"/>
        <v>162.28270480222491</v>
      </c>
      <c r="CG5" s="4">
        <f t="shared" si="26"/>
        <v>166.3397724222803</v>
      </c>
      <c r="CH5" s="4">
        <f t="shared" si="26"/>
        <v>170.49826673283707</v>
      </c>
      <c r="CI5" s="4">
        <f t="shared" si="26"/>
        <v>174.76072340115778</v>
      </c>
      <c r="CJ5" s="4">
        <f t="shared" si="26"/>
        <v>179.12974148618645</v>
      </c>
      <c r="CK5" s="4">
        <f t="shared" si="26"/>
        <v>183.60798502334086</v>
      </c>
      <c r="CL5" s="4">
        <f t="shared" si="26"/>
        <v>188.19818464892413</v>
      </c>
      <c r="CM5" s="4">
        <f t="shared" si="26"/>
        <v>192.90313926514693</v>
      </c>
      <c r="CN5" s="4">
        <f t="shared" si="26"/>
        <v>197.72571774677536</v>
      </c>
      <c r="CO5" s="4">
        <f t="shared" si="26"/>
        <v>202.6688606904444</v>
      </c>
      <c r="CP5" s="4">
        <f t="shared" si="26"/>
        <v>207.73558220770522</v>
      </c>
      <c r="CQ5" s="4">
        <f t="shared" si="26"/>
        <v>212.92897176289759</v>
      </c>
      <c r="CR5" s="4">
        <f t="shared" si="26"/>
        <v>218.25219605696978</v>
      </c>
      <c r="CS5" s="4">
        <f t="shared" si="26"/>
        <v>223.70850095839376</v>
      </c>
      <c r="CT5" s="4">
        <f>CS16*(1+$G$2)</f>
        <v>229.30121348235335</v>
      </c>
      <c r="CU5" s="4">
        <f t="shared" ref="CU5:DX5" si="27">CT16*(1+$G$2)</f>
        <v>235.03374381941188</v>
      </c>
      <c r="CV5" s="4">
        <f t="shared" si="27"/>
        <v>240.90958741489689</v>
      </c>
      <c r="CW5" s="4">
        <f t="shared" si="27"/>
        <v>246.93232710026896</v>
      </c>
      <c r="CX5" s="4">
        <f t="shared" si="27"/>
        <v>253.10563527777535</v>
      </c>
      <c r="CY5" s="4">
        <f t="shared" si="27"/>
        <v>259.43327615971941</v>
      </c>
      <c r="CZ5" s="4">
        <f>CY16*(1+$G$2)</f>
        <v>265.91910806371214</v>
      </c>
      <c r="DA5" s="4">
        <f t="shared" si="27"/>
        <v>272.56708576530468</v>
      </c>
      <c r="DB5" s="4">
        <f t="shared" si="27"/>
        <v>279.38126290943688</v>
      </c>
      <c r="DC5" s="4">
        <f t="shared" si="27"/>
        <v>286.36579448217248</v>
      </c>
      <c r="DD5" s="4">
        <f t="shared" si="27"/>
        <v>293.52493934422637</v>
      </c>
      <c r="DE5" s="4">
        <f t="shared" si="27"/>
        <v>300.86306282783158</v>
      </c>
      <c r="DF5" s="4">
        <f t="shared" si="27"/>
        <v>308.38463939852699</v>
      </c>
      <c r="DG5" s="4">
        <f t="shared" si="27"/>
        <v>316.09425538348972</v>
      </c>
      <c r="DH5" s="4">
        <f t="shared" si="27"/>
        <v>323.99661176807649</v>
      </c>
      <c r="DI5" s="4">
        <f t="shared" si="27"/>
        <v>332.09652706227791</v>
      </c>
      <c r="DJ5" s="4">
        <f t="shared" si="27"/>
        <v>340.39894023883443</v>
      </c>
      <c r="DK5" s="4">
        <f t="shared" si="27"/>
        <v>348.90891374480492</v>
      </c>
      <c r="DL5" s="4">
        <f t="shared" si="27"/>
        <v>357.63163658842467</v>
      </c>
      <c r="DM5" s="4">
        <f t="shared" si="27"/>
        <v>366.5724275031348</v>
      </c>
      <c r="DN5" s="4">
        <f t="shared" si="27"/>
        <v>375.73673819071269</v>
      </c>
      <c r="DO5" s="4">
        <f t="shared" si="27"/>
        <v>385.13015664548004</v>
      </c>
      <c r="DP5" s="4">
        <f t="shared" si="27"/>
        <v>394.75841056161642</v>
      </c>
      <c r="DQ5" s="4">
        <f t="shared" si="27"/>
        <v>404.62737082565627</v>
      </c>
      <c r="DR5" s="4">
        <f t="shared" si="27"/>
        <v>414.74305509629721</v>
      </c>
      <c r="DS5" s="4">
        <f t="shared" si="27"/>
        <v>425.11163147370399</v>
      </c>
      <c r="DT5" s="4">
        <f t="shared" si="27"/>
        <v>435.73942226054595</v>
      </c>
      <c r="DU5" s="4">
        <f t="shared" si="27"/>
        <v>446.63290781705905</v>
      </c>
      <c r="DV5" s="4">
        <f t="shared" si="27"/>
        <v>457.79873051248495</v>
      </c>
      <c r="DW5" s="4">
        <f t="shared" si="27"/>
        <v>469.24369877529637</v>
      </c>
      <c r="DX5" s="4">
        <f t="shared" si="27"/>
        <v>480.97479124467816</v>
      </c>
    </row>
    <row r="6" spans="1:128">
      <c r="A6" t="s">
        <v>15</v>
      </c>
      <c r="B6" s="4">
        <f t="shared" si="0"/>
        <v>9.9063515504387993</v>
      </c>
      <c r="C6" s="4">
        <f t="shared" si="1"/>
        <v>10.15452734596588</v>
      </c>
      <c r="D6" s="4">
        <f t="shared" si="2"/>
        <v>10.408920488532575</v>
      </c>
      <c r="E6" s="4">
        <f t="shared" si="3"/>
        <v>10.669686736294622</v>
      </c>
      <c r="F6" s="4">
        <f t="shared" si="4"/>
        <v>10.93698574949059</v>
      </c>
      <c r="G6" s="4">
        <f t="shared" si="5"/>
        <v>11.210981188197582</v>
      </c>
      <c r="H6" s="4">
        <f t="shared" si="6"/>
        <v>11.491840812535949</v>
      </c>
      <c r="I6" s="4">
        <f t="shared" si="7"/>
        <v>11.779736585384361</v>
      </c>
      <c r="J6" s="4">
        <f t="shared" si="8"/>
        <v>12.074844777668101</v>
      </c>
      <c r="K6" s="4">
        <f t="shared" si="9"/>
        <v>12.377346076285049</v>
      </c>
      <c r="L6" s="4">
        <f t="shared" si="10"/>
        <v>12.687425694735492</v>
      </c>
      <c r="M6" s="4">
        <f t="shared" si="11"/>
        <v>13.0052734865234</v>
      </c>
      <c r="N6" s="4">
        <f t="shared" si="12"/>
        <v>13.331084061398686</v>
      </c>
      <c r="O6" s="4">
        <f t="shared" si="13"/>
        <v>13.665056904511594</v>
      </c>
      <c r="P6" s="4">
        <f t="shared" si="14"/>
        <v>14.007396498552119</v>
      </c>
      <c r="Q6" s="4">
        <f t="shared" si="15"/>
        <v>14.358312448949357</v>
      </c>
      <c r="R6" s="4">
        <f t="shared" si="16"/>
        <v>14.718019612207309</v>
      </c>
      <c r="S6" s="4">
        <f t="shared" si="17"/>
        <v>15.086738227455815</v>
      </c>
      <c r="T6" s="4">
        <f t="shared" si="18"/>
        <v>15.464694051297114</v>
      </c>
      <c r="U6" s="4">
        <f t="shared" si="19"/>
        <v>15.852118496030608</v>
      </c>
      <c r="V6" s="4">
        <f t="shared" si="20"/>
        <v>16.249248771340458</v>
      </c>
      <c r="W6" s="4">
        <f t="shared" si="21"/>
        <v>16.656328029532773</v>
      </c>
      <c r="X6" s="4">
        <f t="shared" si="22"/>
        <v>17.073605514411266</v>
      </c>
      <c r="Y6" s="4">
        <f t="shared" si="23"/>
        <v>17.501336713882662</v>
      </c>
      <c r="Z6" s="4">
        <f t="shared" si="24"/>
        <v>17.939783516385113</v>
      </c>
      <c r="AA6" s="4">
        <f t="shared" si="25"/>
        <v>18.389214371235525</v>
      </c>
      <c r="AB6" s="140">
        <v>19.003473222933714</v>
      </c>
      <c r="AC6" s="140">
        <v>21.663959474144434</v>
      </c>
      <c r="AD6" s="139">
        <v>24.870225476317813</v>
      </c>
      <c r="AE6" s="139">
        <v>28.177965464668084</v>
      </c>
      <c r="AF6" s="139">
        <v>31.531143354963586</v>
      </c>
      <c r="AG6" s="139">
        <v>34.589664260395054</v>
      </c>
      <c r="AH6" s="139">
        <v>37.70273404383061</v>
      </c>
      <c r="AI6" s="139">
        <v>39.964898086460451</v>
      </c>
      <c r="AJ6" s="139">
        <v>41.683388704178249</v>
      </c>
      <c r="AK6" s="139">
        <v>44.267758803837303</v>
      </c>
      <c r="AL6" s="139">
        <v>47.499305196517426</v>
      </c>
      <c r="AM6" s="139">
        <v>50.301764203111951</v>
      </c>
      <c r="AN6" s="139">
        <v>53.722284168923565</v>
      </c>
      <c r="AO6" s="139">
        <v>55.871175535680514</v>
      </c>
      <c r="AP6" s="139">
        <v>58.664734312464546</v>
      </c>
      <c r="AQ6" s="139">
        <v>61.480641559462846</v>
      </c>
      <c r="AR6" s="139">
        <v>63.755425297162965</v>
      </c>
      <c r="AS6" s="139">
        <v>65.349310929592036</v>
      </c>
      <c r="AT6" s="139">
        <v>66.5255985263247</v>
      </c>
      <c r="AU6" s="139">
        <v>67.72305929979855</v>
      </c>
      <c r="AV6" s="139">
        <v>69.754751078792509</v>
      </c>
      <c r="AW6" s="139">
        <v>72.405431619786626</v>
      </c>
      <c r="AX6" s="139">
        <v>74.650000000000006</v>
      </c>
      <c r="AY6" s="139">
        <v>77.518000000000001</v>
      </c>
      <c r="AZ6" s="139">
        <v>79.173000000000002</v>
      </c>
      <c r="BA6" s="139">
        <v>81.786000000000001</v>
      </c>
      <c r="BB6" s="139">
        <v>85.034999999999997</v>
      </c>
      <c r="BC6" s="139">
        <v>87.087000000000003</v>
      </c>
      <c r="BD6" s="139">
        <v>90.89</v>
      </c>
      <c r="BE6" s="139">
        <v>91.491</v>
      </c>
      <c r="BF6" s="139">
        <v>92.254000000000005</v>
      </c>
      <c r="BG6" s="139">
        <v>95.564999999999998</v>
      </c>
      <c r="BH6" s="139">
        <v>97.451999999999998</v>
      </c>
      <c r="BI6" s="139">
        <v>100.136</v>
      </c>
      <c r="BJ6" s="139">
        <v>100.11799999999999</v>
      </c>
      <c r="BK6" s="139">
        <v>99.043000000000006</v>
      </c>
      <c r="BL6" s="139">
        <v>98.207999999999998</v>
      </c>
      <c r="BM6" s="139">
        <v>101.122</v>
      </c>
      <c r="BN6" s="140">
        <v>102.208</v>
      </c>
      <c r="BO6" s="140">
        <v>103.322</v>
      </c>
      <c r="BP6" s="140">
        <v>104.078</v>
      </c>
      <c r="BQ6" s="140">
        <v>104.06100000000001</v>
      </c>
      <c r="BR6" s="140">
        <v>111.966527232</v>
      </c>
      <c r="BS6" s="4">
        <f t="shared" ref="BR6:CT14" si="28">BS5*(1+$G$2)</f>
        <v>117.96567115713803</v>
      </c>
      <c r="BT6" s="4">
        <f t="shared" si="28"/>
        <v>120.91481293606633</v>
      </c>
      <c r="BU6" s="4">
        <f t="shared" si="28"/>
        <v>123.93768325946783</v>
      </c>
      <c r="BV6" s="4">
        <f t="shared" si="28"/>
        <v>127.03612534095431</v>
      </c>
      <c r="BW6" s="4">
        <f t="shared" si="28"/>
        <v>130.21202847447799</v>
      </c>
      <c r="BX6" s="4">
        <f t="shared" si="28"/>
        <v>133.4673291863397</v>
      </c>
      <c r="BY6" s="4">
        <f t="shared" si="28"/>
        <v>136.80401241599802</v>
      </c>
      <c r="BZ6" s="4">
        <f t="shared" si="28"/>
        <v>140.22411272639781</v>
      </c>
      <c r="CA6" s="4">
        <f t="shared" si="28"/>
        <v>143.72971554455759</v>
      </c>
      <c r="CB6" s="4">
        <f t="shared" si="28"/>
        <v>147.32295843317135</v>
      </c>
      <c r="CC6" s="4">
        <f t="shared" si="28"/>
        <v>151.00603239400044</v>
      </c>
      <c r="CD6" s="4">
        <f t="shared" si="28"/>
        <v>154.78118320385025</v>
      </c>
      <c r="CE6" s="4">
        <f t="shared" si="28"/>
        <v>158.65071278394629</v>
      </c>
      <c r="CF6" s="4">
        <f t="shared" si="28"/>
        <v>162.61698060354473</v>
      </c>
      <c r="CG6" s="4">
        <f t="shared" si="28"/>
        <v>166.68240511863311</v>
      </c>
      <c r="CH6" s="4">
        <f t="shared" si="28"/>
        <v>170.8494652465987</v>
      </c>
      <c r="CI6" s="4">
        <f t="shared" si="28"/>
        <v>175.12070187776342</v>
      </c>
      <c r="CJ6" s="4">
        <f t="shared" si="28"/>
        <v>179.49871942470725</v>
      </c>
      <c r="CK6" s="4">
        <f t="shared" si="28"/>
        <v>183.98618741032467</v>
      </c>
      <c r="CL6" s="4">
        <f t="shared" si="28"/>
        <v>188.58584209558254</v>
      </c>
      <c r="CM6" s="4">
        <f t="shared" si="28"/>
        <v>193.30048814797181</v>
      </c>
      <c r="CN6" s="4">
        <f t="shared" si="28"/>
        <v>198.13300035167086</v>
      </c>
      <c r="CO6" s="4">
        <f t="shared" si="28"/>
        <v>203.0863253604623</v>
      </c>
      <c r="CP6" s="4">
        <f t="shared" si="28"/>
        <v>208.16348349447355</v>
      </c>
      <c r="CQ6" s="4">
        <f t="shared" si="28"/>
        <v>213.36757058183514</v>
      </c>
      <c r="CR6" s="4">
        <f t="shared" si="28"/>
        <v>218.70175984638075</v>
      </c>
      <c r="CS6" s="4">
        <f t="shared" si="28"/>
        <v>224.16930384254002</v>
      </c>
      <c r="CT6" s="4">
        <f t="shared" si="28"/>
        <v>229.77353643860326</v>
      </c>
      <c r="CU6" s="4">
        <f t="shared" ref="CU6:DX13" si="29">CU5*(1+$G$2)</f>
        <v>235.51787484956805</v>
      </c>
      <c r="CV6" s="4">
        <f t="shared" si="29"/>
        <v>241.40582172080695</v>
      </c>
      <c r="CW6" s="4">
        <f t="shared" si="29"/>
        <v>247.44096726382676</v>
      </c>
      <c r="CX6" s="4">
        <f t="shared" si="29"/>
        <v>253.62699144542211</v>
      </c>
      <c r="CY6" s="4">
        <f t="shared" si="29"/>
        <v>259.9676662315573</v>
      </c>
      <c r="CZ6" s="4">
        <f t="shared" si="29"/>
        <v>266.46685788734601</v>
      </c>
      <c r="DA6" s="4">
        <f t="shared" si="29"/>
        <v>273.12852933452939</v>
      </c>
      <c r="DB6" s="4">
        <f t="shared" si="29"/>
        <v>279.95674256789221</v>
      </c>
      <c r="DC6" s="4">
        <f t="shared" si="29"/>
        <v>286.95566113208918</v>
      </c>
      <c r="DD6" s="4">
        <f t="shared" si="29"/>
        <v>294.12955266039097</v>
      </c>
      <c r="DE6" s="4">
        <f t="shared" si="29"/>
        <v>301.48279147690033</v>
      </c>
      <c r="DF6" s="4">
        <f t="shared" si="29"/>
        <v>309.01986126382246</v>
      </c>
      <c r="DG6" s="4">
        <f t="shared" si="29"/>
        <v>316.74535779541759</v>
      </c>
      <c r="DH6" s="4">
        <f t="shared" si="29"/>
        <v>324.66399174030255</v>
      </c>
      <c r="DI6" s="4">
        <f t="shared" si="29"/>
        <v>332.78059153380963</v>
      </c>
      <c r="DJ6" s="4">
        <f t="shared" si="29"/>
        <v>341.10010632215443</v>
      </c>
      <c r="DK6" s="4">
        <f t="shared" si="29"/>
        <v>349.62760898020792</v>
      </c>
      <c r="DL6" s="4">
        <f t="shared" si="29"/>
        <v>358.36829920471274</v>
      </c>
      <c r="DM6" s="4">
        <f t="shared" si="29"/>
        <v>367.32750668483004</v>
      </c>
      <c r="DN6" s="4">
        <f t="shared" si="29"/>
        <v>376.51069435195035</v>
      </c>
      <c r="DO6" s="4">
        <f t="shared" si="29"/>
        <v>385.9234617107486</v>
      </c>
      <c r="DP6" s="4">
        <f t="shared" si="29"/>
        <v>395.57154825351671</v>
      </c>
      <c r="DQ6" s="4">
        <f t="shared" si="29"/>
        <v>405.46083695985408</v>
      </c>
      <c r="DR6" s="4">
        <f t="shared" si="29"/>
        <v>415.59735788384995</v>
      </c>
      <c r="DS6" s="4">
        <f t="shared" si="29"/>
        <v>425.98729183094554</v>
      </c>
      <c r="DT6" s="4">
        <f t="shared" si="29"/>
        <v>436.63697412671854</v>
      </c>
      <c r="DU6" s="4">
        <f t="shared" si="29"/>
        <v>447.55289847988598</v>
      </c>
      <c r="DV6" s="4">
        <f t="shared" si="29"/>
        <v>458.74172094188253</v>
      </c>
      <c r="DW6" s="4">
        <f t="shared" si="29"/>
        <v>470.21026396542891</v>
      </c>
      <c r="DX6" s="4">
        <f t="shared" si="29"/>
        <v>481.96552056456397</v>
      </c>
    </row>
    <row r="7" spans="1:128">
      <c r="A7" t="s">
        <v>16</v>
      </c>
      <c r="B7" s="4">
        <f t="shared" si="0"/>
        <v>9.9267991313329631</v>
      </c>
      <c r="C7" s="4">
        <f t="shared" si="1"/>
        <v>10.175487183529835</v>
      </c>
      <c r="D7" s="4">
        <f t="shared" si="2"/>
        <v>10.430405415917445</v>
      </c>
      <c r="E7" s="4">
        <f t="shared" si="3"/>
        <v>10.691709908150067</v>
      </c>
      <c r="F7" s="4">
        <f t="shared" si="4"/>
        <v>10.959560650019041</v>
      </c>
      <c r="G7" s="4">
        <f t="shared" si="5"/>
        <v>11.234121639410265</v>
      </c>
      <c r="H7" s="4">
        <f t="shared" si="6"/>
        <v>11.515560982715733</v>
      </c>
      <c r="I7" s="4">
        <f t="shared" si="7"/>
        <v>11.804050997760623</v>
      </c>
      <c r="J7" s="4">
        <f t="shared" si="8"/>
        <v>12.099768319308907</v>
      </c>
      <c r="K7" s="4">
        <f t="shared" si="9"/>
        <v>12.402894007212119</v>
      </c>
      <c r="L7" s="4">
        <f t="shared" si="10"/>
        <v>12.7136136572675</v>
      </c>
      <c r="M7" s="4">
        <f t="shared" si="11"/>
        <v>13.032117514853347</v>
      </c>
      <c r="N7" s="4">
        <f t="shared" si="12"/>
        <v>13.358600591411218</v>
      </c>
      <c r="O7" s="4">
        <f t="shared" si="13"/>
        <v>13.693262783846249</v>
      </c>
      <c r="P7" s="4">
        <f t="shared" si="14"/>
        <v>14.036308996918692</v>
      </c>
      <c r="Q7" s="4">
        <f t="shared" si="15"/>
        <v>14.387949268701686</v>
      </c>
      <c r="R7" s="4">
        <f t="shared" si="16"/>
        <v>14.748398899181952</v>
      </c>
      <c r="S7" s="4">
        <f t="shared" si="17"/>
        <v>15.117878582082266</v>
      </c>
      <c r="T7" s="4">
        <f t="shared" si="18"/>
        <v>15.49661453998635</v>
      </c>
      <c r="U7" s="4">
        <f t="shared" si="19"/>
        <v>15.884838662848944</v>
      </c>
      <c r="V7" s="4">
        <f t="shared" si="20"/>
        <v>16.282788649975863</v>
      </c>
      <c r="W7" s="4">
        <f t="shared" si="21"/>
        <v>16.690708155560959</v>
      </c>
      <c r="X7" s="4">
        <f t="shared" si="22"/>
        <v>17.108846937869078</v>
      </c>
      <c r="Y7" s="4">
        <f t="shared" si="23"/>
        <v>17.537461012156456</v>
      </c>
      <c r="Z7" s="4">
        <f t="shared" si="24"/>
        <v>17.976812807422014</v>
      </c>
      <c r="AA7" s="4">
        <f t="shared" si="25"/>
        <v>18.427171327085663</v>
      </c>
      <c r="AB7" s="140">
        <v>19.178520784798355</v>
      </c>
      <c r="AC7" s="140">
        <v>22.170370027226898</v>
      </c>
      <c r="AD7" s="139">
        <v>25.18554035092976</v>
      </c>
      <c r="AE7" s="139">
        <v>28.409289515848769</v>
      </c>
      <c r="AF7" s="139">
        <v>31.875222836782317</v>
      </c>
      <c r="AG7" s="139">
        <v>34.903369006276634</v>
      </c>
      <c r="AH7" s="139">
        <v>37.905058740816429</v>
      </c>
      <c r="AI7" s="139">
        <v>40.29307744148786</v>
      </c>
      <c r="AJ7" s="139">
        <v>42.106265926354808</v>
      </c>
      <c r="AK7" s="139">
        <v>44.674748147862452</v>
      </c>
      <c r="AL7" s="139">
        <v>47.801980518212822</v>
      </c>
      <c r="AM7" s="139">
        <v>50.622297368787372</v>
      </c>
      <c r="AN7" s="139">
        <v>54.115235887233702</v>
      </c>
      <c r="AO7" s="139">
        <v>56.279845322723055</v>
      </c>
      <c r="AP7" s="139">
        <v>59.093837588859209</v>
      </c>
      <c r="AQ7" s="139">
        <v>62.107623305891025</v>
      </c>
      <c r="AR7" s="139">
        <v>64.219282498291321</v>
      </c>
      <c r="AS7" s="139">
        <v>65.632106713253734</v>
      </c>
      <c r="AT7" s="139">
        <v>66.813484634092305</v>
      </c>
      <c r="AU7" s="139">
        <v>68.283381296042336</v>
      </c>
      <c r="AV7" s="139">
        <v>70.263599353627555</v>
      </c>
      <c r="AW7" s="139">
        <v>73.003879728419022</v>
      </c>
      <c r="AX7" s="139">
        <v>75.266999999999996</v>
      </c>
      <c r="AY7" s="139">
        <v>78.055999999999997</v>
      </c>
      <c r="AZ7" s="139">
        <v>79.725999999999999</v>
      </c>
      <c r="BA7" s="139">
        <v>82.433000000000007</v>
      </c>
      <c r="BB7" s="139">
        <v>85.637</v>
      </c>
      <c r="BC7" s="139">
        <v>87.747</v>
      </c>
      <c r="BD7" s="139">
        <v>91.697000000000003</v>
      </c>
      <c r="BE7" s="139">
        <v>91.641000000000005</v>
      </c>
      <c r="BF7" s="139">
        <v>92.938000000000002</v>
      </c>
      <c r="BG7" s="139">
        <v>96.28</v>
      </c>
      <c r="BH7" s="139">
        <v>98.108000000000004</v>
      </c>
      <c r="BI7" s="139">
        <v>100.488</v>
      </c>
      <c r="BJ7" s="139">
        <v>100.342</v>
      </c>
      <c r="BK7" s="139">
        <v>99.676000000000002</v>
      </c>
      <c r="BL7" s="139">
        <v>98.837999999999994</v>
      </c>
      <c r="BM7" s="139">
        <v>101.101</v>
      </c>
      <c r="BN7" s="140">
        <v>102.32899999999999</v>
      </c>
      <c r="BO7" s="140">
        <v>103.69799999999999</v>
      </c>
      <c r="BP7" s="140">
        <v>103.679</v>
      </c>
      <c r="BQ7" s="140">
        <v>105.07</v>
      </c>
      <c r="BR7" s="140">
        <v>115.32552304896001</v>
      </c>
      <c r="BS7" s="4">
        <f t="shared" si="28"/>
        <v>118.20866112518385</v>
      </c>
      <c r="BT7" s="4">
        <f t="shared" si="28"/>
        <v>121.16387765331329</v>
      </c>
      <c r="BU7" s="4">
        <f t="shared" si="28"/>
        <v>124.19297459464596</v>
      </c>
      <c r="BV7" s="4">
        <f t="shared" si="28"/>
        <v>127.29779895951189</v>
      </c>
      <c r="BW7" s="4">
        <f t="shared" si="28"/>
        <v>130.48024393349951</v>
      </c>
      <c r="BX7" s="4">
        <f t="shared" si="28"/>
        <v>133.74225003183676</v>
      </c>
      <c r="BY7" s="4">
        <f t="shared" si="28"/>
        <v>137.08580628263252</v>
      </c>
      <c r="BZ7" s="4">
        <f t="shared" si="28"/>
        <v>140.51295143969816</v>
      </c>
      <c r="CA7" s="4">
        <f t="shared" si="28"/>
        <v>144.02577522569044</v>
      </c>
      <c r="CB7" s="4">
        <f t="shared" si="28"/>
        <v>147.62641960633252</v>
      </c>
      <c r="CC7" s="4">
        <f t="shared" si="28"/>
        <v>151.31708009649066</v>
      </c>
      <c r="CD7" s="4">
        <f t="shared" si="28"/>
        <v>155.10000709890272</v>
      </c>
      <c r="CE7" s="4">
        <f t="shared" si="28"/>
        <v>158.97750727637506</v>
      </c>
      <c r="CF7" s="4">
        <f t="shared" si="28"/>
        <v>162.95194495828423</v>
      </c>
      <c r="CG7" s="4">
        <f t="shared" si="28"/>
        <v>167.02574358224109</v>
      </c>
      <c r="CH7" s="4">
        <f t="shared" si="28"/>
        <v>171.20138717179688</v>
      </c>
      <c r="CI7" s="4">
        <f t="shared" si="28"/>
        <v>175.48142185109157</v>
      </c>
      <c r="CJ7" s="4">
        <f t="shared" si="28"/>
        <v>179.86845739736859</v>
      </c>
      <c r="CK7" s="4">
        <f t="shared" si="28"/>
        <v>184.36516883230254</v>
      </c>
      <c r="CL7" s="4">
        <f t="shared" si="28"/>
        <v>188.97429805310986</v>
      </c>
      <c r="CM7" s="4">
        <f t="shared" si="28"/>
        <v>193.69865550443731</v>
      </c>
      <c r="CN7" s="4">
        <f t="shared" si="28"/>
        <v>198.54112189204798</v>
      </c>
      <c r="CO7" s="4">
        <f t="shared" si="28"/>
        <v>203.50464993934887</v>
      </c>
      <c r="CP7" s="4">
        <f t="shared" si="28"/>
        <v>208.59226618783228</v>
      </c>
      <c r="CQ7" s="4">
        <f t="shared" si="28"/>
        <v>213.80707284252784</v>
      </c>
      <c r="CR7" s="4">
        <f t="shared" si="28"/>
        <v>219.15224966359077</v>
      </c>
      <c r="CS7" s="4">
        <f t="shared" si="28"/>
        <v>224.63105590518029</v>
      </c>
      <c r="CT7" s="4">
        <f t="shared" si="28"/>
        <v>230.24683230280954</v>
      </c>
      <c r="CU7" s="4">
        <f t="shared" si="29"/>
        <v>236.00300311037947</v>
      </c>
      <c r="CV7" s="4">
        <f t="shared" si="29"/>
        <v>241.90307818813866</v>
      </c>
      <c r="CW7" s="4">
        <f t="shared" si="29"/>
        <v>247.95065514284175</v>
      </c>
      <c r="CX7" s="4">
        <f t="shared" si="29"/>
        <v>254.14942152141248</v>
      </c>
      <c r="CY7" s="4">
        <f t="shared" si="29"/>
        <v>260.50315705944746</v>
      </c>
      <c r="CZ7" s="4">
        <f t="shared" si="29"/>
        <v>267.01573598593342</v>
      </c>
      <c r="DA7" s="4">
        <f t="shared" si="29"/>
        <v>273.69112938558146</v>
      </c>
      <c r="DB7" s="4">
        <f t="shared" si="29"/>
        <v>280.5334076202206</v>
      </c>
      <c r="DC7" s="4">
        <f t="shared" si="29"/>
        <v>287.54674281072573</v>
      </c>
      <c r="DD7" s="4">
        <f t="shared" si="29"/>
        <v>294.73541138099347</v>
      </c>
      <c r="DE7" s="4">
        <f t="shared" si="29"/>
        <v>302.1037966655179</v>
      </c>
      <c r="DF7" s="4">
        <f t="shared" si="29"/>
        <v>309.65639158215544</v>
      </c>
      <c r="DG7" s="4">
        <f t="shared" si="29"/>
        <v>317.39780137170891</v>
      </c>
      <c r="DH7" s="4">
        <f t="shared" si="29"/>
        <v>325.33274640600115</v>
      </c>
      <c r="DI7" s="4">
        <f t="shared" si="29"/>
        <v>333.46606506615069</v>
      </c>
      <c r="DJ7" s="4">
        <f t="shared" si="29"/>
        <v>341.80271669280404</v>
      </c>
      <c r="DK7" s="4">
        <f t="shared" si="29"/>
        <v>350.34778461012377</v>
      </c>
      <c r="DL7" s="4">
        <f t="shared" si="29"/>
        <v>359.10647922537646</v>
      </c>
      <c r="DM7" s="4">
        <f t="shared" si="29"/>
        <v>368.08414120601037</v>
      </c>
      <c r="DN7" s="4">
        <f t="shared" si="29"/>
        <v>377.28624473616014</v>
      </c>
      <c r="DO7" s="4">
        <f t="shared" si="29"/>
        <v>386.71840085456364</v>
      </c>
      <c r="DP7" s="4">
        <f t="shared" si="29"/>
        <v>396.38636087592715</v>
      </c>
      <c r="DQ7" s="4">
        <f t="shared" si="29"/>
        <v>406.29601989782481</v>
      </c>
      <c r="DR7" s="4">
        <f t="shared" si="29"/>
        <v>416.45342039526992</v>
      </c>
      <c r="DS7" s="4">
        <f t="shared" si="29"/>
        <v>426.86475590515101</v>
      </c>
      <c r="DT7" s="4">
        <f t="shared" si="29"/>
        <v>437.53637480277916</v>
      </c>
      <c r="DU7" s="4">
        <f t="shared" si="29"/>
        <v>448.4747841728481</v>
      </c>
      <c r="DV7" s="4">
        <f t="shared" si="29"/>
        <v>459.68665377716871</v>
      </c>
      <c r="DW7" s="4">
        <f t="shared" si="29"/>
        <v>471.17882012159725</v>
      </c>
      <c r="DX7" s="4">
        <f t="shared" si="29"/>
        <v>482.9582906246365</v>
      </c>
    </row>
    <row r="8" spans="1:128">
      <c r="A8" t="s">
        <v>17</v>
      </c>
      <c r="B8" s="4">
        <f t="shared" si="0"/>
        <v>9.9472889178325197</v>
      </c>
      <c r="C8" s="4">
        <f t="shared" si="1"/>
        <v>10.196490284042005</v>
      </c>
      <c r="D8" s="4">
        <f t="shared" si="2"/>
        <v>10.451934690082103</v>
      </c>
      <c r="E8" s="4">
        <f t="shared" si="3"/>
        <v>10.713778537769226</v>
      </c>
      <c r="F8" s="4">
        <f t="shared" si="4"/>
        <v>10.982182147127714</v>
      </c>
      <c r="G8" s="4">
        <f t="shared" si="5"/>
        <v>11.257309854549524</v>
      </c>
      <c r="H8" s="4">
        <f t="shared" si="6"/>
        <v>11.53933011341303</v>
      </c>
      <c r="I8" s="4">
        <f t="shared" si="7"/>
        <v>11.828415597222556</v>
      </c>
      <c r="J8" s="4">
        <f t="shared" si="8"/>
        <v>12.124743305331762</v>
      </c>
      <c r="K8" s="4">
        <f t="shared" si="9"/>
        <v>12.428494671315642</v>
      </c>
      <c r="L8" s="4">
        <f t="shared" si="10"/>
        <v>12.739855674057486</v>
      </c>
      <c r="M8" s="4">
        <f t="shared" si="11"/>
        <v>13.059016951618782</v>
      </c>
      <c r="N8" s="4">
        <f t="shared" si="12"/>
        <v>13.386173917961859</v>
      </c>
      <c r="O8" s="4">
        <f t="shared" si="13"/>
        <v>13.721526882596644</v>
      </c>
      <c r="P8" s="4">
        <f t="shared" si="14"/>
        <v>14.065281173224836</v>
      </c>
      <c r="Q8" s="4">
        <f t="shared" si="15"/>
        <v>14.417647261456633</v>
      </c>
      <c r="R8" s="4">
        <f t="shared" si="16"/>
        <v>14.778840891676863</v>
      </c>
      <c r="S8" s="4">
        <f t="shared" si="17"/>
        <v>15.149083213139557</v>
      </c>
      <c r="T8" s="4">
        <f t="shared" si="18"/>
        <v>15.528600915371745</v>
      </c>
      <c r="U8" s="4">
        <f t="shared" si="19"/>
        <v>15.917626366969433</v>
      </c>
      <c r="V8" s="4">
        <f t="shared" si="20"/>
        <v>16.316397757870707</v>
      </c>
      <c r="W8" s="4">
        <f t="shared" si="21"/>
        <v>16.725159245193105</v>
      </c>
      <c r="X8" s="4">
        <f t="shared" si="22"/>
        <v>17.144161102724496</v>
      </c>
      <c r="Y8" s="4">
        <f t="shared" si="23"/>
        <v>17.57365987415913</v>
      </c>
      <c r="Z8" s="4">
        <f t="shared" si="24"/>
        <v>18.013918530172457</v>
      </c>
      <c r="AA8" s="4">
        <f t="shared" si="25"/>
        <v>18.465206629431105</v>
      </c>
      <c r="AB8" s="140">
        <v>19.379515359798468</v>
      </c>
      <c r="AC8" s="140">
        <v>22.402719755927027</v>
      </c>
      <c r="AD8" s="139">
        <v>25.539100521756811</v>
      </c>
      <c r="AE8" s="139">
        <v>28.833644489063442</v>
      </c>
      <c r="AF8" s="139">
        <v>32.06301267183855</v>
      </c>
      <c r="AG8" s="139">
        <v>35.333439964366086</v>
      </c>
      <c r="AH8" s="139">
        <v>38.089448281586641</v>
      </c>
      <c r="AI8" s="139">
        <v>40.489083523326599</v>
      </c>
      <c r="AJ8" s="139">
        <v>42.068157780736335</v>
      </c>
      <c r="AK8" s="139">
        <v>44.886724352045668</v>
      </c>
      <c r="AL8" s="139">
        <v>48.028795056688864</v>
      </c>
      <c r="AM8" s="139">
        <v>50.862493965033501</v>
      </c>
      <c r="AN8" s="139">
        <v>54.16855607276068</v>
      </c>
      <c r="AO8" s="139">
        <v>56.660309652107678</v>
      </c>
      <c r="AP8" s="139">
        <v>59.436664825060952</v>
      </c>
      <c r="AQ8" s="139">
        <v>62.527371395964124</v>
      </c>
      <c r="AR8" s="139">
        <v>64.715829394822862</v>
      </c>
      <c r="AS8" s="139">
        <v>65.815998494534853</v>
      </c>
      <c r="AT8" s="139">
        <v>67.132318464425552</v>
      </c>
      <c r="AU8" s="139">
        <v>68.743494107571763</v>
      </c>
      <c r="AV8" s="139">
        <v>70.805798930798915</v>
      </c>
      <c r="AW8" s="139">
        <v>73.638030888030883</v>
      </c>
      <c r="AX8" s="139">
        <v>76.289000000000001</v>
      </c>
      <c r="AY8" s="139">
        <v>78.691000000000003</v>
      </c>
      <c r="AZ8" s="139">
        <v>80.816999999999993</v>
      </c>
      <c r="BA8" s="139">
        <v>83.62</v>
      </c>
      <c r="BB8" s="139">
        <v>86.844999999999999</v>
      </c>
      <c r="BC8" s="139">
        <v>88.959000000000003</v>
      </c>
      <c r="BD8" s="139">
        <v>92.683999999999997</v>
      </c>
      <c r="BE8" s="139">
        <v>92.536000000000001</v>
      </c>
      <c r="BF8" s="139">
        <v>93.927999999999997</v>
      </c>
      <c r="BG8" s="139">
        <v>97.477999999999994</v>
      </c>
      <c r="BH8" s="139">
        <v>99.486000000000004</v>
      </c>
      <c r="BI8" s="139">
        <v>100.864</v>
      </c>
      <c r="BJ8" s="139">
        <v>101.235</v>
      </c>
      <c r="BK8" s="139">
        <v>100.592</v>
      </c>
      <c r="BL8" s="139">
        <v>99.531000000000006</v>
      </c>
      <c r="BM8" s="139">
        <v>102.07299999999999</v>
      </c>
      <c r="BN8" s="140">
        <v>103.17400000000001</v>
      </c>
      <c r="BO8" s="140">
        <v>104.74299999999999</v>
      </c>
      <c r="BP8" s="140">
        <v>103.992</v>
      </c>
      <c r="BQ8" s="140">
        <v>106.31100000000001</v>
      </c>
      <c r="BR8" s="4">
        <f t="shared" si="28"/>
        <v>115.56307474417484</v>
      </c>
      <c r="BS8" s="4">
        <f t="shared" si="28"/>
        <v>118.45215161277906</v>
      </c>
      <c r="BT8" s="4">
        <f t="shared" si="28"/>
        <v>121.41345540309838</v>
      </c>
      <c r="BU8" s="4">
        <f t="shared" si="28"/>
        <v>124.44879178817567</v>
      </c>
      <c r="BV8" s="4">
        <f t="shared" si="28"/>
        <v>127.56001158287985</v>
      </c>
      <c r="BW8" s="4">
        <f t="shared" si="28"/>
        <v>130.74901187245166</v>
      </c>
      <c r="BX8" s="4">
        <f t="shared" si="28"/>
        <v>134.01773716926272</v>
      </c>
      <c r="BY8" s="4">
        <f t="shared" si="28"/>
        <v>137.36818059849412</v>
      </c>
      <c r="BZ8" s="4">
        <f t="shared" si="28"/>
        <v>140.8023851134563</v>
      </c>
      <c r="CA8" s="4">
        <f t="shared" si="28"/>
        <v>144.32244474129254</v>
      </c>
      <c r="CB8" s="4">
        <f t="shared" si="28"/>
        <v>147.93050585982468</v>
      </c>
      <c r="CC8" s="4">
        <f t="shared" si="28"/>
        <v>151.62876850632011</v>
      </c>
      <c r="CD8" s="4">
        <f t="shared" si="28"/>
        <v>155.4194877189779</v>
      </c>
      <c r="CE8" s="4">
        <f t="shared" si="28"/>
        <v>159.30497491195214</v>
      </c>
      <c r="CF8" s="4">
        <f t="shared" si="28"/>
        <v>163.28759928475071</v>
      </c>
      <c r="CG8" s="4">
        <f t="shared" si="28"/>
        <v>167.36978926686925</v>
      </c>
      <c r="CH8" s="4">
        <f t="shared" si="28"/>
        <v>171.55403399854075</v>
      </c>
      <c r="CI8" s="4">
        <f t="shared" si="28"/>
        <v>175.84288484850401</v>
      </c>
      <c r="CJ8" s="4">
        <f t="shared" si="28"/>
        <v>180.23895696971636</v>
      </c>
      <c r="CK8" s="4">
        <f t="shared" si="28"/>
        <v>184.74493089395901</v>
      </c>
      <c r="CL8" s="4">
        <f t="shared" si="28"/>
        <v>189.36355416630772</v>
      </c>
      <c r="CM8" s="4">
        <f t="shared" si="28"/>
        <v>194.09764302046511</v>
      </c>
      <c r="CN8" s="4">
        <f t="shared" si="28"/>
        <v>198.95008409597648</v>
      </c>
      <c r="CO8" s="4">
        <f t="shared" si="28"/>
        <v>203.9238361983756</v>
      </c>
      <c r="CP8" s="4">
        <f t="shared" si="28"/>
        <v>209.02193210333468</v>
      </c>
      <c r="CQ8" s="4">
        <f t="shared" si="28"/>
        <v>214.2474804059178</v>
      </c>
      <c r="CR8" s="4">
        <f t="shared" si="28"/>
        <v>219.60366741606546</v>
      </c>
      <c r="CS8" s="4">
        <f t="shared" si="28"/>
        <v>225.09375910146684</v>
      </c>
      <c r="CT8" s="4">
        <f t="shared" si="28"/>
        <v>230.72110307900326</v>
      </c>
      <c r="CU8" s="4">
        <f t="shared" si="29"/>
        <v>236.48913065597804</v>
      </c>
      <c r="CV8" s="4">
        <f t="shared" si="29"/>
        <v>242.4013589223772</v>
      </c>
      <c r="CW8" s="4">
        <f t="shared" si="29"/>
        <v>248.46139289543626</v>
      </c>
      <c r="CX8" s="4">
        <f t="shared" si="29"/>
        <v>254.67292771782184</v>
      </c>
      <c r="CY8" s="4">
        <f t="shared" si="29"/>
        <v>261.03975091076705</v>
      </c>
      <c r="CZ8" s="4">
        <f t="shared" si="29"/>
        <v>267.56574468353602</v>
      </c>
      <c r="DA8" s="4">
        <f t="shared" si="29"/>
        <v>274.25488830062409</v>
      </c>
      <c r="DB8" s="4">
        <f t="shared" si="29"/>
        <v>281.11126050813931</v>
      </c>
      <c r="DC8" s="4">
        <f t="shared" si="29"/>
        <v>288.1390420208424</v>
      </c>
      <c r="DD8" s="4">
        <f t="shared" si="29"/>
        <v>295.34251807136309</v>
      </c>
      <c r="DE8" s="4">
        <f t="shared" si="29"/>
        <v>302.72608102314672</v>
      </c>
      <c r="DF8" s="4">
        <f t="shared" si="29"/>
        <v>310.294233048725</v>
      </c>
      <c r="DG8" s="4">
        <f t="shared" si="29"/>
        <v>318.05158887494269</v>
      </c>
      <c r="DH8" s="4">
        <f t="shared" si="29"/>
        <v>326.00287859681578</v>
      </c>
      <c r="DI8" s="4">
        <f t="shared" si="29"/>
        <v>334.15295056173568</v>
      </c>
      <c r="DJ8" s="4">
        <f t="shared" si="29"/>
        <v>342.50677432577868</v>
      </c>
      <c r="DK8" s="4">
        <f t="shared" si="29"/>
        <v>351.06944368392277</v>
      </c>
      <c r="DL8" s="4">
        <f t="shared" si="29"/>
        <v>359.84617977602039</v>
      </c>
      <c r="DM8" s="4">
        <f t="shared" si="29"/>
        <v>368.84233427042045</v>
      </c>
      <c r="DN8" s="4">
        <f t="shared" si="29"/>
        <v>378.06339262718046</v>
      </c>
      <c r="DO8" s="4">
        <f t="shared" si="29"/>
        <v>387.51497744285945</v>
      </c>
      <c r="DP8" s="4">
        <f t="shared" si="29"/>
        <v>397.20285187893035</v>
      </c>
      <c r="DQ8" s="4">
        <f t="shared" si="29"/>
        <v>407.1329231759031</v>
      </c>
      <c r="DR8" s="4">
        <f t="shared" si="29"/>
        <v>417.31124625530015</v>
      </c>
      <c r="DS8" s="4">
        <f t="shared" si="29"/>
        <v>427.744027411682</v>
      </c>
      <c r="DT8" s="4">
        <f t="shared" si="29"/>
        <v>438.43762809697341</v>
      </c>
      <c r="DU8" s="4">
        <f t="shared" si="29"/>
        <v>449.39856879939725</v>
      </c>
      <c r="DV8" s="4">
        <f t="shared" si="29"/>
        <v>460.63353301938156</v>
      </c>
      <c r="DW8" s="4">
        <f t="shared" si="29"/>
        <v>472.14937134486541</v>
      </c>
      <c r="DX8" s="4">
        <f t="shared" si="29"/>
        <v>483.95310562848636</v>
      </c>
    </row>
    <row r="9" spans="1:128">
      <c r="A9" t="s">
        <v>18</v>
      </c>
      <c r="B9" s="4">
        <f t="shared" si="0"/>
        <v>9.9678209970535505</v>
      </c>
      <c r="C9" s="4">
        <f t="shared" si="1"/>
        <v>10.217536736800918</v>
      </c>
      <c r="D9" s="4">
        <f t="shared" si="2"/>
        <v>10.473508402562203</v>
      </c>
      <c r="E9" s="4">
        <f t="shared" si="3"/>
        <v>10.735892718980924</v>
      </c>
      <c r="F9" s="4">
        <f t="shared" si="4"/>
        <v>11.00485033699605</v>
      </c>
      <c r="G9" s="4">
        <f t="shared" si="5"/>
        <v>11.280545932204305</v>
      </c>
      <c r="H9" s="4">
        <f t="shared" si="6"/>
        <v>11.563148305686653</v>
      </c>
      <c r="I9" s="4">
        <f t="shared" si="7"/>
        <v>11.85283048736072</v>
      </c>
      <c r="J9" s="4">
        <f t="shared" si="8"/>
        <v>12.149769841922396</v>
      </c>
      <c r="K9" s="4">
        <f t="shared" si="9"/>
        <v>12.454148177441532</v>
      </c>
      <c r="L9" s="4">
        <f t="shared" si="10"/>
        <v>12.766151856678192</v>
      </c>
      <c r="M9" s="4">
        <f t="shared" si="11"/>
        <v>13.08597191118759</v>
      </c>
      <c r="N9" s="4">
        <f t="shared" si="12"/>
        <v>13.413804158283659</v>
      </c>
      <c r="O9" s="4">
        <f t="shared" si="13"/>
        <v>13.749849320932773</v>
      </c>
      <c r="P9" s="4">
        <f t="shared" si="14"/>
        <v>14.094313150651068</v>
      </c>
      <c r="Q9" s="4">
        <f t="shared" si="15"/>
        <v>14.447406553480656</v>
      </c>
      <c r="R9" s="4">
        <f t="shared" si="16"/>
        <v>14.809345719121749</v>
      </c>
      <c r="S9" s="4">
        <f t="shared" si="17"/>
        <v>15.180352253299892</v>
      </c>
      <c r="T9" s="4">
        <f t="shared" si="18"/>
        <v>15.560653313449237</v>
      </c>
      <c r="U9" s="4">
        <f t="shared" si="19"/>
        <v>15.950481747795006</v>
      </c>
      <c r="V9" s="4">
        <f t="shared" si="20"/>
        <v>16.35007623792027</v>
      </c>
      <c r="W9" s="4">
        <f t="shared" si="21"/>
        <v>16.759681444904327</v>
      </c>
      <c r="X9" s="4">
        <f t="shared" si="22"/>
        <v>17.179548159122167</v>
      </c>
      <c r="Y9" s="4">
        <f t="shared" si="23"/>
        <v>17.609933453796778</v>
      </c>
      <c r="Z9" s="4">
        <f t="shared" si="24"/>
        <v>18.051100842398217</v>
      </c>
      <c r="AA9" s="4">
        <f t="shared" si="25"/>
        <v>18.503320439985909</v>
      </c>
      <c r="AB9" s="140">
        <v>19.522337093098223</v>
      </c>
      <c r="AC9" s="140">
        <v>22.528777005435348</v>
      </c>
      <c r="AD9" s="139">
        <v>25.930622333256085</v>
      </c>
      <c r="AE9" s="139">
        <v>28.990435768580308</v>
      </c>
      <c r="AF9" s="139">
        <v>32.266355010429884</v>
      </c>
      <c r="AG9" s="139">
        <v>35.46072415646244</v>
      </c>
      <c r="AH9" s="139">
        <v>38.226660640666509</v>
      </c>
      <c r="AI9" s="139">
        <v>40.443806957825167</v>
      </c>
      <c r="AJ9" s="139">
        <v>42.06155923613818</v>
      </c>
      <c r="AK9" s="139">
        <v>44.963806823431717</v>
      </c>
      <c r="AL9" s="139">
        <v>48.021345687425075</v>
      </c>
      <c r="AM9" s="139">
        <v>50.998669120045435</v>
      </c>
      <c r="AN9" s="139">
        <v>54.313582612848386</v>
      </c>
      <c r="AO9" s="139">
        <v>56.812007413039417</v>
      </c>
      <c r="AP9" s="139">
        <v>59.595795776278351</v>
      </c>
      <c r="AQ9" s="139">
        <v>62.635181360868543</v>
      </c>
      <c r="AR9" s="139">
        <v>65.015318252581551</v>
      </c>
      <c r="AS9" s="139">
        <v>65.990548026370263</v>
      </c>
      <c r="AT9" s="139">
        <v>67.310358986897668</v>
      </c>
      <c r="AU9" s="139">
        <v>68.791186884609417</v>
      </c>
      <c r="AV9" s="139">
        <v>70.9237136780323</v>
      </c>
      <c r="AW9" s="139">
        <v>73.90250965250965</v>
      </c>
      <c r="AX9" s="139">
        <v>76.563000000000002</v>
      </c>
      <c r="AY9" s="139">
        <v>78.617999999999995</v>
      </c>
      <c r="AZ9" s="139">
        <v>81.293999999999997</v>
      </c>
      <c r="BA9" s="139">
        <v>83.78</v>
      </c>
      <c r="BB9" s="139">
        <v>87.158000000000001</v>
      </c>
      <c r="BC9" s="139">
        <v>89.203999999999994</v>
      </c>
      <c r="BD9" s="139">
        <v>93.31</v>
      </c>
      <c r="BE9" s="139">
        <v>92.504000000000005</v>
      </c>
      <c r="BF9" s="139">
        <v>94.137</v>
      </c>
      <c r="BG9" s="139">
        <v>97.444999999999993</v>
      </c>
      <c r="BH9" s="139">
        <v>99.337999999999994</v>
      </c>
      <c r="BI9" s="139">
        <v>101.05</v>
      </c>
      <c r="BJ9" s="139">
        <v>101.258</v>
      </c>
      <c r="BK9" s="139">
        <v>101.07299999999999</v>
      </c>
      <c r="BL9" s="139">
        <v>100.074</v>
      </c>
      <c r="BM9" s="139">
        <v>102.011</v>
      </c>
      <c r="BN9" s="140">
        <v>104.104</v>
      </c>
      <c r="BO9" s="140">
        <v>104.947</v>
      </c>
      <c r="BP9" s="140">
        <v>103.986</v>
      </c>
      <c r="BQ9" s="140">
        <v>106.81100000000001</v>
      </c>
      <c r="BR9" s="4">
        <f t="shared" si="28"/>
        <v>115.80111575698744</v>
      </c>
      <c r="BS9" s="4">
        <f t="shared" si="28"/>
        <v>118.69614365091198</v>
      </c>
      <c r="BT9" s="4">
        <f t="shared" si="28"/>
        <v>121.66354724218462</v>
      </c>
      <c r="BU9" s="4">
        <f t="shared" si="28"/>
        <v>124.70513592323906</v>
      </c>
      <c r="BV9" s="4">
        <f t="shared" si="28"/>
        <v>127.82276432131982</v>
      </c>
      <c r="BW9" s="4">
        <f t="shared" si="28"/>
        <v>131.01833342935262</v>
      </c>
      <c r="BX9" s="4">
        <f t="shared" si="28"/>
        <v>134.29379176508621</v>
      </c>
      <c r="BY9" s="4">
        <f t="shared" si="28"/>
        <v>137.6511365592132</v>
      </c>
      <c r="BZ9" s="4">
        <f t="shared" si="28"/>
        <v>141.09241497319337</v>
      </c>
      <c r="CA9" s="4">
        <f t="shared" si="28"/>
        <v>144.61972534752303</v>
      </c>
      <c r="CB9" s="4">
        <f t="shared" si="28"/>
        <v>148.23521848121092</v>
      </c>
      <c r="CC9" s="4">
        <f t="shared" si="28"/>
        <v>151.94109894324103</v>
      </c>
      <c r="CD9" s="4">
        <f t="shared" si="28"/>
        <v>155.73962641682184</v>
      </c>
      <c r="CE9" s="4">
        <f t="shared" si="28"/>
        <v>159.63311707724216</v>
      </c>
      <c r="CF9" s="4">
        <f t="shared" si="28"/>
        <v>163.62394500417298</v>
      </c>
      <c r="CG9" s="4">
        <f t="shared" si="28"/>
        <v>167.71454362927707</v>
      </c>
      <c r="CH9" s="4">
        <f t="shared" si="28"/>
        <v>171.90740722000876</v>
      </c>
      <c r="CI9" s="4">
        <f t="shared" si="28"/>
        <v>176.20509240050873</v>
      </c>
      <c r="CJ9" s="4">
        <f t="shared" si="28"/>
        <v>180.61021971052119</v>
      </c>
      <c r="CK9" s="4">
        <f t="shared" si="28"/>
        <v>185.12547520328397</v>
      </c>
      <c r="CL9" s="4">
        <f t="shared" si="28"/>
        <v>189.75361208336582</v>
      </c>
      <c r="CM9" s="4">
        <f t="shared" si="28"/>
        <v>194.49745238544966</v>
      </c>
      <c r="CN9" s="4">
        <f t="shared" si="28"/>
        <v>199.35988869508563</v>
      </c>
      <c r="CO9" s="4">
        <f t="shared" si="28"/>
        <v>204.34388591246247</v>
      </c>
      <c r="CP9" s="4">
        <f t="shared" si="28"/>
        <v>209.45248306027372</v>
      </c>
      <c r="CQ9" s="4">
        <f t="shared" si="28"/>
        <v>214.68879513678033</v>
      </c>
      <c r="CR9" s="4">
        <f t="shared" si="28"/>
        <v>220.05601501519956</v>
      </c>
      <c r="CS9" s="4">
        <f t="shared" si="28"/>
        <v>225.55741539057928</v>
      </c>
      <c r="CT9" s="4">
        <f t="shared" si="28"/>
        <v>231.19635077534352</v>
      </c>
      <c r="CU9" s="4">
        <f t="shared" si="29"/>
        <v>236.97625954472682</v>
      </c>
      <c r="CV9" s="4">
        <f t="shared" si="29"/>
        <v>242.90066603334469</v>
      </c>
      <c r="CW9" s="4">
        <f t="shared" si="29"/>
        <v>248.97318268417794</v>
      </c>
      <c r="CX9" s="4">
        <f t="shared" si="29"/>
        <v>255.19751225128203</v>
      </c>
      <c r="CY9" s="4">
        <f t="shared" si="29"/>
        <v>261.57745005756379</v>
      </c>
      <c r="CZ9" s="4">
        <f t="shared" si="29"/>
        <v>268.11688630900267</v>
      </c>
      <c r="DA9" s="4">
        <f t="shared" si="29"/>
        <v>274.81980846672741</v>
      </c>
      <c r="DB9" s="4">
        <f t="shared" si="29"/>
        <v>281.6903036783952</v>
      </c>
      <c r="DC9" s="4">
        <f t="shared" si="29"/>
        <v>288.73256127035467</v>
      </c>
      <c r="DD9" s="4">
        <f t="shared" si="29"/>
        <v>295.95087530211316</v>
      </c>
      <c r="DE9" s="4">
        <f t="shared" si="29"/>
        <v>303.34964718466557</v>
      </c>
      <c r="DF9" s="4">
        <f t="shared" si="29"/>
        <v>310.93338836428183</v>
      </c>
      <c r="DG9" s="4">
        <f t="shared" si="29"/>
        <v>318.70672307338839</v>
      </c>
      <c r="DH9" s="4">
        <f t="shared" si="29"/>
        <v>326.67439115022262</v>
      </c>
      <c r="DI9" s="4">
        <f t="shared" si="29"/>
        <v>334.84125092897773</v>
      </c>
      <c r="DJ9" s="4">
        <f t="shared" si="29"/>
        <v>343.21228220220178</v>
      </c>
      <c r="DK9" s="4">
        <f t="shared" si="29"/>
        <v>351.79258925725645</v>
      </c>
      <c r="DL9" s="4">
        <f t="shared" si="29"/>
        <v>360.58740398868741</v>
      </c>
      <c r="DM9" s="4">
        <f t="shared" si="29"/>
        <v>369.60208908840411</v>
      </c>
      <c r="DN9" s="4">
        <f t="shared" si="29"/>
        <v>378.84214131561373</v>
      </c>
      <c r="DO9" s="4">
        <f t="shared" si="29"/>
        <v>388.31319484850354</v>
      </c>
      <c r="DP9" s="4">
        <f t="shared" si="29"/>
        <v>398.02102471971551</v>
      </c>
      <c r="DQ9" s="4">
        <f t="shared" si="29"/>
        <v>407.97155033770792</v>
      </c>
      <c r="DR9" s="4">
        <f t="shared" si="29"/>
        <v>418.17083909615008</v>
      </c>
      <c r="DS9" s="4">
        <f t="shared" si="29"/>
        <v>428.62511007355317</v>
      </c>
      <c r="DT9" s="4">
        <f t="shared" si="29"/>
        <v>439.34073782539139</v>
      </c>
      <c r="DU9" s="4">
        <f t="shared" si="29"/>
        <v>450.32425627102566</v>
      </c>
      <c r="DV9" s="4">
        <f t="shared" si="29"/>
        <v>461.58236267780069</v>
      </c>
      <c r="DW9" s="4">
        <f t="shared" si="29"/>
        <v>473.12192174474501</v>
      </c>
      <c r="DX9" s="4">
        <f t="shared" si="29"/>
        <v>484.94996978836292</v>
      </c>
    </row>
    <row r="10" spans="1:128">
      <c r="A10" t="s">
        <v>19</v>
      </c>
      <c r="B10" s="4">
        <f t="shared" si="0"/>
        <v>9.9883954562919524</v>
      </c>
      <c r="C10" s="4">
        <f t="shared" si="1"/>
        <v>10.238626631289426</v>
      </c>
      <c r="D10" s="4">
        <f t="shared" si="2"/>
        <v>10.495126645082337</v>
      </c>
      <c r="E10" s="4">
        <f t="shared" si="3"/>
        <v>10.758052545807653</v>
      </c>
      <c r="F10" s="4">
        <f t="shared" si="4"/>
        <v>11.027565316002011</v>
      </c>
      <c r="G10" s="4">
        <f t="shared" si="5"/>
        <v>11.303829971167049</v>
      </c>
      <c r="H10" s="4">
        <f t="shared" si="6"/>
        <v>11.587015660804013</v>
      </c>
      <c r="I10" s="4">
        <f t="shared" si="7"/>
        <v>11.877295771979494</v>
      </c>
      <c r="J10" s="4">
        <f t="shared" si="8"/>
        <v>12.174848035485713</v>
      </c>
      <c r="K10" s="4">
        <f t="shared" si="9"/>
        <v>12.47985463466037</v>
      </c>
      <c r="L10" s="4">
        <f t="shared" si="10"/>
        <v>12.792502316932657</v>
      </c>
      <c r="M10" s="4">
        <f t="shared" si="11"/>
        <v>13.11298250816372</v>
      </c>
      <c r="N10" s="4">
        <f t="shared" si="12"/>
        <v>13.441491429851649</v>
      </c>
      <c r="O10" s="4">
        <f t="shared" si="13"/>
        <v>13.778230219272674</v>
      </c>
      <c r="P10" s="4">
        <f t="shared" si="14"/>
        <v>14.12340505263216</v>
      </c>
      <c r="Q10" s="4">
        <f t="shared" si="15"/>
        <v>14.477227271300837</v>
      </c>
      <c r="R10" s="4">
        <f t="shared" si="16"/>
        <v>14.839913511213476</v>
      </c>
      <c r="S10" s="4">
        <f t="shared" si="17"/>
        <v>15.211685835509327</v>
      </c>
      <c r="T10" s="4">
        <f t="shared" si="18"/>
        <v>15.592771870495467</v>
      </c>
      <c r="U10" s="4">
        <f t="shared" si="19"/>
        <v>15.983404945016336</v>
      </c>
      <c r="V10" s="4">
        <f t="shared" si="20"/>
        <v>16.38382423331478</v>
      </c>
      <c r="W10" s="4">
        <f t="shared" si="21"/>
        <v>16.79427490147209</v>
      </c>
      <c r="X10" s="4">
        <f t="shared" si="22"/>
        <v>17.21500825751664</v>
      </c>
      <c r="Y10" s="4">
        <f t="shared" si="23"/>
        <v>17.646281905293169</v>
      </c>
      <c r="Z10" s="4">
        <f t="shared" si="24"/>
        <v>18.08835990218671</v>
      </c>
      <c r="AA10" s="4">
        <f t="shared" si="25"/>
        <v>18.541512920797928</v>
      </c>
      <c r="AB10" s="140">
        <v>19.823710624269488</v>
      </c>
      <c r="AC10" s="140">
        <v>22.53955897979441</v>
      </c>
      <c r="AD10" s="139">
        <v>26.168427975541313</v>
      </c>
      <c r="AE10" s="139">
        <v>29.125460336777483</v>
      </c>
      <c r="AF10" s="139">
        <v>32.44576281517012</v>
      </c>
      <c r="AG10" s="139">
        <v>35.333435705720262</v>
      </c>
      <c r="AH10" s="139">
        <v>38.478111483529368</v>
      </c>
      <c r="AI10" s="139">
        <v>40.363538946222306</v>
      </c>
      <c r="AJ10" s="139">
        <v>42.139534659856089</v>
      </c>
      <c r="AK10" s="139">
        <v>45.131441620705871</v>
      </c>
      <c r="AL10" s="139">
        <v>48.064985326051755</v>
      </c>
      <c r="AM10" s="139">
        <v>51.045014416266966</v>
      </c>
      <c r="AN10" s="139">
        <v>54.209805310075524</v>
      </c>
      <c r="AO10" s="139">
        <v>56.866085770269223</v>
      </c>
      <c r="AP10" s="139">
        <v>59.538791801471874</v>
      </c>
      <c r="AQ10" s="139">
        <v>62.575270183346937</v>
      </c>
      <c r="AR10" s="139">
        <v>64.82797990994743</v>
      </c>
      <c r="AS10" s="139">
        <v>65.865227588506585</v>
      </c>
      <c r="AT10" s="139">
        <v>67.248397367865209</v>
      </c>
      <c r="AU10" s="139">
        <v>68.727862109958252</v>
      </c>
      <c r="AV10" s="139">
        <v>71.064609421696844</v>
      </c>
      <c r="AW10" s="139">
        <v>74.049323017408113</v>
      </c>
      <c r="AX10" s="139">
        <v>76.566999999999993</v>
      </c>
      <c r="AY10" s="139">
        <v>78.67</v>
      </c>
      <c r="AZ10" s="139">
        <v>81.423000000000002</v>
      </c>
      <c r="BA10" s="139">
        <v>83.975999999999999</v>
      </c>
      <c r="BB10" s="139">
        <v>87.29</v>
      </c>
      <c r="BC10" s="139">
        <v>89.367999999999995</v>
      </c>
      <c r="BD10" s="139">
        <v>93.846999999999994</v>
      </c>
      <c r="BE10" s="139">
        <v>92.911000000000001</v>
      </c>
      <c r="BF10" s="139">
        <v>94.305000000000007</v>
      </c>
      <c r="BG10" s="139">
        <v>97.308000000000007</v>
      </c>
      <c r="BH10" s="139">
        <v>99.153000000000006</v>
      </c>
      <c r="BI10" s="139">
        <v>101.199</v>
      </c>
      <c r="BJ10" s="139">
        <v>101.286</v>
      </c>
      <c r="BK10" s="139">
        <v>101.343</v>
      </c>
      <c r="BL10" s="139">
        <v>100.53700000000001</v>
      </c>
      <c r="BM10" s="139">
        <v>102.05500000000001</v>
      </c>
      <c r="BN10" s="140">
        <v>104.376</v>
      </c>
      <c r="BO10" s="140">
        <v>104.824</v>
      </c>
      <c r="BP10" s="140">
        <v>104.46599999999999</v>
      </c>
      <c r="BQ10" s="140">
        <v>107.32</v>
      </c>
      <c r="BR10" s="4">
        <f t="shared" si="28"/>
        <v>116.03964709531195</v>
      </c>
      <c r="BS10" s="4">
        <f t="shared" si="28"/>
        <v>118.94063827269458</v>
      </c>
      <c r="BT10" s="4">
        <f t="shared" si="28"/>
        <v>121.91415422951179</v>
      </c>
      <c r="BU10" s="4">
        <f t="shared" si="28"/>
        <v>124.96200808524941</v>
      </c>
      <c r="BV10" s="4">
        <f t="shared" si="28"/>
        <v>128.08605828738044</v>
      </c>
      <c r="BW10" s="4">
        <f t="shared" si="28"/>
        <v>131.28820974456477</v>
      </c>
      <c r="BX10" s="4">
        <f t="shared" si="28"/>
        <v>134.57041498817864</v>
      </c>
      <c r="BY10" s="4">
        <f t="shared" si="28"/>
        <v>137.93467536288296</v>
      </c>
      <c r="BZ10" s="4">
        <f t="shared" si="28"/>
        <v>141.38304224695486</v>
      </c>
      <c r="CA10" s="4">
        <f t="shared" si="28"/>
        <v>144.91761830312856</v>
      </c>
      <c r="CB10" s="4">
        <f t="shared" si="28"/>
        <v>148.54055876070657</v>
      </c>
      <c r="CC10" s="4">
        <f t="shared" si="28"/>
        <v>152.25407272972407</v>
      </c>
      <c r="CD10" s="4">
        <f t="shared" si="28"/>
        <v>156.06042454796696</v>
      </c>
      <c r="CE10" s="4">
        <f t="shared" si="28"/>
        <v>159.96193516166591</v>
      </c>
      <c r="CF10" s="4">
        <f t="shared" si="28"/>
        <v>163.96098354070733</v>
      </c>
      <c r="CG10" s="4">
        <f t="shared" si="28"/>
        <v>168.06000812922477</v>
      </c>
      <c r="CH10" s="4">
        <f t="shared" si="28"/>
        <v>172.26150833245515</v>
      </c>
      <c r="CI10" s="4">
        <f t="shared" si="28"/>
        <v>176.56804604076629</v>
      </c>
      <c r="CJ10" s="4">
        <f t="shared" si="28"/>
        <v>180.98224719178518</v>
      </c>
      <c r="CK10" s="4">
        <f t="shared" si="28"/>
        <v>185.50680337157957</v>
      </c>
      <c r="CL10" s="4">
        <f t="shared" si="28"/>
        <v>190.14447345586882</v>
      </c>
      <c r="CM10" s="4">
        <f t="shared" si="28"/>
        <v>194.89808529226522</v>
      </c>
      <c r="CN10" s="4">
        <f t="shared" si="28"/>
        <v>199.77053742457159</v>
      </c>
      <c r="CO10" s="4">
        <f t="shared" si="28"/>
        <v>204.76480086018557</v>
      </c>
      <c r="CP10" s="4">
        <f t="shared" si="28"/>
        <v>209.8839208816899</v>
      </c>
      <c r="CQ10" s="4">
        <f t="shared" si="28"/>
        <v>215.1310189037319</v>
      </c>
      <c r="CR10" s="4">
        <f t="shared" si="28"/>
        <v>220.50929437632493</v>
      </c>
      <c r="CS10" s="4">
        <f t="shared" si="28"/>
        <v>226.02202673573279</v>
      </c>
      <c r="CT10" s="4">
        <f t="shared" si="28"/>
        <v>231.67257740412586</v>
      </c>
      <c r="CU10" s="4">
        <f t="shared" si="29"/>
        <v>237.46439183922871</v>
      </c>
      <c r="CV10" s="4">
        <f t="shared" si="29"/>
        <v>243.40100163520913</v>
      </c>
      <c r="CW10" s="4">
        <f t="shared" si="29"/>
        <v>249.48602667608898</v>
      </c>
      <c r="CX10" s="4">
        <f t="shared" si="29"/>
        <v>255.72317734299085</v>
      </c>
      <c r="CY10" s="4">
        <f t="shared" si="29"/>
        <v>262.11625677656536</v>
      </c>
      <c r="CZ10" s="4">
        <f t="shared" si="29"/>
        <v>268.66916319597925</v>
      </c>
      <c r="DA10" s="4">
        <f t="shared" si="29"/>
        <v>275.3858922758784</v>
      </c>
      <c r="DB10" s="4">
        <f t="shared" si="29"/>
        <v>282.27053958277497</v>
      </c>
      <c r="DC10" s="4">
        <f t="shared" si="29"/>
        <v>289.32730307234391</v>
      </c>
      <c r="DD10" s="4">
        <f t="shared" si="29"/>
        <v>296.56048564915216</v>
      </c>
      <c r="DE10" s="4">
        <f t="shared" si="29"/>
        <v>303.97449779038055</v>
      </c>
      <c r="DF10" s="4">
        <f t="shared" si="29"/>
        <v>311.57386023513965</v>
      </c>
      <c r="DG10" s="4">
        <f t="shared" si="29"/>
        <v>319.36320674101768</v>
      </c>
      <c r="DH10" s="4">
        <f t="shared" si="29"/>
        <v>327.34728690954262</v>
      </c>
      <c r="DI10" s="4">
        <f t="shared" si="29"/>
        <v>335.53096908228076</v>
      </c>
      <c r="DJ10" s="4">
        <f t="shared" si="29"/>
        <v>343.91924330933739</v>
      </c>
      <c r="DK10" s="4">
        <f t="shared" si="29"/>
        <v>352.51722439207043</v>
      </c>
      <c r="DL10" s="4">
        <f t="shared" si="29"/>
        <v>361.33015500187173</v>
      </c>
      <c r="DM10" s="4">
        <f t="shared" si="29"/>
        <v>370.36340887691807</v>
      </c>
      <c r="DN10" s="4">
        <f t="shared" si="29"/>
        <v>379.62249409884055</v>
      </c>
      <c r="DO10" s="4">
        <f t="shared" si="29"/>
        <v>389.11305645131102</v>
      </c>
      <c r="DP10" s="4">
        <f t="shared" si="29"/>
        <v>398.84088286259316</v>
      </c>
      <c r="DQ10" s="4">
        <f t="shared" si="29"/>
        <v>408.8119049341575</v>
      </c>
      <c r="DR10" s="4">
        <f t="shared" si="29"/>
        <v>419.03220255751091</v>
      </c>
      <c r="DS10" s="4">
        <f t="shared" si="29"/>
        <v>429.50800762144803</v>
      </c>
      <c r="DT10" s="4">
        <f t="shared" si="29"/>
        <v>440.24570781198361</v>
      </c>
      <c r="DU10" s="4">
        <f t="shared" si="29"/>
        <v>451.25185050728265</v>
      </c>
      <c r="DV10" s="4">
        <f t="shared" si="29"/>
        <v>462.53314676996411</v>
      </c>
      <c r="DW10" s="4">
        <f t="shared" si="29"/>
        <v>474.09647543921255</v>
      </c>
      <c r="DX10" s="4">
        <f t="shared" si="29"/>
        <v>485.94888732519212</v>
      </c>
    </row>
    <row r="11" spans="1:128">
      <c r="A11" t="s">
        <v>20</v>
      </c>
      <c r="B11" s="4">
        <f t="shared" si="0"/>
        <v>10.00901238302381</v>
      </c>
      <c r="C11" s="4">
        <f t="shared" si="1"/>
        <v>10.259760057175079</v>
      </c>
      <c r="D11" s="4">
        <f t="shared" si="2"/>
        <v>10.516789509556423</v>
      </c>
      <c r="E11" s="4">
        <f t="shared" si="3"/>
        <v>10.780258112465976</v>
      </c>
      <c r="F11" s="4">
        <f t="shared" si="4"/>
        <v>11.050327180722492</v>
      </c>
      <c r="G11" s="4">
        <f t="shared" si="5"/>
        <v>11.327162070434117</v>
      </c>
      <c r="H11" s="4">
        <f t="shared" si="6"/>
        <v>11.610932280241542</v>
      </c>
      <c r="I11" s="4">
        <f t="shared" si="7"/>
        <v>11.901811555097517</v>
      </c>
      <c r="J11" s="4">
        <f t="shared" si="8"/>
        <v>12.199977992646248</v>
      </c>
      <c r="K11" s="4">
        <f t="shared" si="9"/>
        <v>12.505614152267871</v>
      </c>
      <c r="L11" s="4">
        <f t="shared" si="10"/>
        <v>12.818907166854691</v>
      </c>
      <c r="M11" s="4">
        <f t="shared" si="11"/>
        <v>13.140048857387672</v>
      </c>
      <c r="N11" s="4">
        <f t="shared" si="12"/>
        <v>13.469235850383335</v>
      </c>
      <c r="O11" s="4">
        <f t="shared" si="13"/>
        <v>13.806669698282935</v>
      </c>
      <c r="P11" s="4">
        <f t="shared" si="14"/>
        <v>14.152557002857662</v>
      </c>
      <c r="Q11" s="4">
        <f t="shared" si="15"/>
        <v>14.507109541705423</v>
      </c>
      <c r="R11" s="4">
        <f t="shared" si="16"/>
        <v>14.870544397916612</v>
      </c>
      <c r="S11" s="4">
        <f t="shared" si="17"/>
        <v>15.243084092988328</v>
      </c>
      <c r="T11" s="4">
        <f t="shared" si="18"/>
        <v>15.624956723068367</v>
      </c>
      <c r="U11" s="4">
        <f t="shared" si="19"/>
        <v>16.016396098612425</v>
      </c>
      <c r="V11" s="4">
        <f t="shared" si="20"/>
        <v>16.417641887540025</v>
      </c>
      <c r="W11" s="4">
        <f t="shared" si="21"/>
        <v>16.828939761976809</v>
      </c>
      <c r="X11" s="4">
        <f t="shared" si="22"/>
        <v>17.250541548673027</v>
      </c>
      <c r="Y11" s="4">
        <f t="shared" si="23"/>
        <v>17.682705383190406</v>
      </c>
      <c r="Z11" s="4">
        <f t="shared" si="24"/>
        <v>18.125695867951656</v>
      </c>
      <c r="AA11" s="4">
        <f t="shared" si="25"/>
        <v>18.579784234249487</v>
      </c>
      <c r="AB11" s="140">
        <v>19.927619757918293</v>
      </c>
      <c r="AC11" s="140">
        <v>22.777269383300609</v>
      </c>
      <c r="AD11" s="139">
        <v>26.262191598945606</v>
      </c>
      <c r="AE11" s="139">
        <v>28.967197333637003</v>
      </c>
      <c r="AF11" s="139">
        <v>32.646031395008904</v>
      </c>
      <c r="AG11" s="139">
        <v>35.225067875214606</v>
      </c>
      <c r="AH11" s="139">
        <v>38.536224255484782</v>
      </c>
      <c r="AI11" s="139">
        <v>40.424499244003535</v>
      </c>
      <c r="AJ11" s="139">
        <v>42.324450708471701</v>
      </c>
      <c r="AK11" s="139">
        <v>45.456460060898614</v>
      </c>
      <c r="AL11" s="139">
        <v>48.320217044735223</v>
      </c>
      <c r="AM11" s="139">
        <v>51.267750284464071</v>
      </c>
      <c r="AN11" s="139">
        <v>53.933673299256206</v>
      </c>
      <c r="AO11" s="139">
        <v>56.576423290919756</v>
      </c>
      <c r="AP11" s="139">
        <v>59.292091608883908</v>
      </c>
      <c r="AQ11" s="139">
        <v>62.078819914501452</v>
      </c>
      <c r="AR11" s="139">
        <v>64.375736251337997</v>
      </c>
      <c r="AS11" s="139">
        <v>65.405748031359408</v>
      </c>
      <c r="AT11" s="139">
        <v>66.844674488049321</v>
      </c>
      <c r="AU11" s="139">
        <v>68.315257326786408</v>
      </c>
      <c r="AV11" s="139">
        <v>70.774606590550718</v>
      </c>
      <c r="AW11" s="139">
        <v>73.534816247582199</v>
      </c>
      <c r="AX11" s="139">
        <v>76.034999999999997</v>
      </c>
      <c r="AY11" s="139">
        <v>78.177000000000007</v>
      </c>
      <c r="AZ11" s="139">
        <v>80.805000000000007</v>
      </c>
      <c r="BA11" s="139">
        <v>83.462000000000003</v>
      </c>
      <c r="BB11" s="139">
        <v>86.771000000000001</v>
      </c>
      <c r="BC11" s="139">
        <v>88.716999999999999</v>
      </c>
      <c r="BD11" s="139">
        <v>93.396000000000001</v>
      </c>
      <c r="BE11" s="139">
        <v>92.117999999999995</v>
      </c>
      <c r="BF11" s="139">
        <v>93.882000000000005</v>
      </c>
      <c r="BG11" s="139">
        <v>96.786000000000001</v>
      </c>
      <c r="BH11" s="139">
        <v>98.921000000000006</v>
      </c>
      <c r="BI11" s="139">
        <v>100.67700000000001</v>
      </c>
      <c r="BJ11" s="139">
        <v>100.334</v>
      </c>
      <c r="BK11" s="139">
        <v>100.402</v>
      </c>
      <c r="BL11" s="139">
        <v>99.805999999999997</v>
      </c>
      <c r="BM11" s="139">
        <v>101.351</v>
      </c>
      <c r="BN11" s="140">
        <v>103.628</v>
      </c>
      <c r="BO11" s="140">
        <v>104.17400000000001</v>
      </c>
      <c r="BP11" s="140">
        <v>103.52800000000001</v>
      </c>
      <c r="BQ11" s="140">
        <v>106.511</v>
      </c>
      <c r="BR11" s="4">
        <f t="shared" si="28"/>
        <v>116.27866976913863</v>
      </c>
      <c r="BS11" s="4">
        <f t="shared" si="28"/>
        <v>119.18563651336693</v>
      </c>
      <c r="BT11" s="4">
        <f t="shared" si="28"/>
        <v>122.16527742620094</v>
      </c>
      <c r="BU11" s="4">
        <f t="shared" si="28"/>
        <v>125.21940936185578</v>
      </c>
      <c r="BV11" s="4">
        <f t="shared" si="28"/>
        <v>128.34989459590199</v>
      </c>
      <c r="BW11" s="4">
        <f t="shared" si="28"/>
        <v>131.55864196079935</v>
      </c>
      <c r="BX11" s="4">
        <f t="shared" si="28"/>
        <v>134.84760800981908</v>
      </c>
      <c r="BY11" s="4">
        <f t="shared" si="28"/>
        <v>138.21879821006439</v>
      </c>
      <c r="BZ11" s="4">
        <f t="shared" si="28"/>
        <v>141.67426816531585</v>
      </c>
      <c r="CA11" s="4">
        <f t="shared" si="28"/>
        <v>145.21612486944858</v>
      </c>
      <c r="CB11" s="4">
        <f t="shared" si="28"/>
        <v>148.84652799118459</v>
      </c>
      <c r="CC11" s="4">
        <f t="shared" si="28"/>
        <v>152.56769119096404</v>
      </c>
      <c r="CD11" s="4">
        <f t="shared" si="28"/>
        <v>156.38188347073793</v>
      </c>
      <c r="CE11" s="4">
        <f t="shared" si="28"/>
        <v>160.29143055750615</v>
      </c>
      <c r="CF11" s="4">
        <f t="shared" si="28"/>
        <v>164.29871632144358</v>
      </c>
      <c r="CG11" s="4">
        <f t="shared" si="28"/>
        <v>168.40618422947941</v>
      </c>
      <c r="CH11" s="4">
        <f t="shared" si="28"/>
        <v>172.61633883521617</v>
      </c>
      <c r="CI11" s="4">
        <f t="shared" si="28"/>
        <v>176.93174730609633</v>
      </c>
      <c r="CJ11" s="4">
        <f t="shared" si="28"/>
        <v>181.35504098874847</v>
      </c>
      <c r="CK11" s="4">
        <f t="shared" si="28"/>
        <v>185.88891701346694</v>
      </c>
      <c r="CL11" s="4">
        <f t="shared" si="28"/>
        <v>190.53613993880336</v>
      </c>
      <c r="CM11" s="4">
        <f t="shared" si="28"/>
        <v>195.29954343727314</v>
      </c>
      <c r="CN11" s="4">
        <f t="shared" si="28"/>
        <v>200.1820320232047</v>
      </c>
      <c r="CO11" s="4">
        <f t="shared" si="28"/>
        <v>205.18658282378451</v>
      </c>
      <c r="CP11" s="4">
        <f t="shared" si="28"/>
        <v>210.31624739437882</v>
      </c>
      <c r="CQ11" s="4">
        <f t="shared" si="28"/>
        <v>215.57415357923804</v>
      </c>
      <c r="CR11" s="4">
        <f t="shared" si="28"/>
        <v>220.96350741871871</v>
      </c>
      <c r="CS11" s="4">
        <f t="shared" si="28"/>
        <v>226.48759510418643</v>
      </c>
      <c r="CT11" s="4">
        <f t="shared" si="28"/>
        <v>232.14978498179082</v>
      </c>
      <c r="CU11" s="4">
        <f t="shared" si="29"/>
        <v>237.95352960633531</v>
      </c>
      <c r="CV11" s="4">
        <f t="shared" si="29"/>
        <v>243.90236784649338</v>
      </c>
      <c r="CW11" s="4">
        <f t="shared" si="29"/>
        <v>249.99992704265534</v>
      </c>
      <c r="CX11" s="4">
        <f t="shared" si="29"/>
        <v>256.24992521872139</v>
      </c>
      <c r="CY11" s="4">
        <f t="shared" si="29"/>
        <v>262.65617334918915</v>
      </c>
      <c r="CZ11" s="4">
        <f t="shared" si="29"/>
        <v>269.22257768291865</v>
      </c>
      <c r="DA11" s="4">
        <f t="shared" si="29"/>
        <v>275.95314212499125</v>
      </c>
      <c r="DB11" s="4">
        <f t="shared" si="29"/>
        <v>282.85197067811566</v>
      </c>
      <c r="DC11" s="4">
        <f t="shared" si="29"/>
        <v>289.92326994506811</v>
      </c>
      <c r="DD11" s="4">
        <f t="shared" si="29"/>
        <v>297.17135169369448</v>
      </c>
      <c r="DE11" s="4">
        <f t="shared" si="29"/>
        <v>304.60063548603642</v>
      </c>
      <c r="DF11" s="4">
        <f t="shared" si="29"/>
        <v>312.21565137318692</v>
      </c>
      <c r="DG11" s="4">
        <f t="shared" si="29"/>
        <v>320.02104265751609</v>
      </c>
      <c r="DH11" s="4">
        <f t="shared" si="29"/>
        <v>328.02156872395352</v>
      </c>
      <c r="DI11" s="4">
        <f t="shared" si="29"/>
        <v>336.22210794205193</v>
      </c>
      <c r="DJ11" s="4">
        <f t="shared" si="29"/>
        <v>344.62766064060281</v>
      </c>
      <c r="DK11" s="4">
        <f t="shared" si="29"/>
        <v>353.2433521566175</v>
      </c>
      <c r="DL11" s="4">
        <f t="shared" si="29"/>
        <v>362.07443596053247</v>
      </c>
      <c r="DM11" s="4">
        <f t="shared" si="29"/>
        <v>371.12629685954533</v>
      </c>
      <c r="DN11" s="4">
        <f t="shared" si="29"/>
        <v>380.40445428103351</v>
      </c>
      <c r="DO11" s="4">
        <f t="shared" si="29"/>
        <v>389.91456563805878</v>
      </c>
      <c r="DP11" s="4">
        <f t="shared" si="29"/>
        <v>399.66242977900964</v>
      </c>
      <c r="DQ11" s="4">
        <f t="shared" si="29"/>
        <v>409.65399052348437</v>
      </c>
      <c r="DR11" s="4">
        <f t="shared" si="29"/>
        <v>419.89534028657096</v>
      </c>
      <c r="DS11" s="4">
        <f t="shared" si="29"/>
        <v>430.3927237937346</v>
      </c>
      <c r="DT11" s="4">
        <f t="shared" si="29"/>
        <v>441.15254188857733</v>
      </c>
      <c r="DU11" s="4">
        <f t="shared" si="29"/>
        <v>452.1813554357912</v>
      </c>
      <c r="DV11" s="4">
        <f t="shared" si="29"/>
        <v>463.48588932168536</v>
      </c>
      <c r="DW11" s="4">
        <f t="shared" si="29"/>
        <v>475.07303655472685</v>
      </c>
      <c r="DX11" s="4">
        <f t="shared" si="29"/>
        <v>486.94986246859429</v>
      </c>
    </row>
    <row r="12" spans="1:128">
      <c r="A12" t="s">
        <v>21</v>
      </c>
      <c r="B12" s="4">
        <f t="shared" si="0"/>
        <v>10.029671864905765</v>
      </c>
      <c r="C12" s="4">
        <f t="shared" si="1"/>
        <v>10.28093710431051</v>
      </c>
      <c r="D12" s="4">
        <f t="shared" si="2"/>
        <v>10.538497088088098</v>
      </c>
      <c r="E12" s="4">
        <f t="shared" si="3"/>
        <v>10.80250951336693</v>
      </c>
      <c r="F12" s="4">
        <f t="shared" si="4"/>
        <v>11.073136027933733</v>
      </c>
      <c r="G12" s="4">
        <f t="shared" si="5"/>
        <v>11.350542329206201</v>
      </c>
      <c r="H12" s="4">
        <f t="shared" si="6"/>
        <v>11.634898265685131</v>
      </c>
      <c r="I12" s="4">
        <f t="shared" si="7"/>
        <v>11.926377940948134</v>
      </c>
      <c r="J12" s="4">
        <f t="shared" si="8"/>
        <v>12.225159820248621</v>
      </c>
      <c r="K12" s="4">
        <f t="shared" si="9"/>
        <v>12.531426839785341</v>
      </c>
      <c r="L12" s="4">
        <f t="shared" si="10"/>
        <v>12.845366518709353</v>
      </c>
      <c r="M12" s="4">
        <f t="shared" si="11"/>
        <v>13.167171073936991</v>
      </c>
      <c r="N12" s="4">
        <f t="shared" si="12"/>
        <v>13.497037537839205</v>
      </c>
      <c r="O12" s="4">
        <f t="shared" si="13"/>
        <v>13.835167878879213</v>
      </c>
      <c r="P12" s="4">
        <f t="shared" si="14"/>
        <v>14.181769125272435</v>
      </c>
      <c r="Q12" s="4">
        <f t="shared" si="15"/>
        <v>14.537053491744363</v>
      </c>
      <c r="R12" s="4">
        <f t="shared" si="16"/>
        <v>14.901238509463983</v>
      </c>
      <c r="S12" s="4">
        <f t="shared" si="17"/>
        <v>15.274547159232338</v>
      </c>
      <c r="T12" s="4">
        <f t="shared" si="18"/>
        <v>15.657208008007734</v>
      </c>
      <c r="U12" s="4">
        <f t="shared" si="19"/>
        <v>16.049455348851211</v>
      </c>
      <c r="V12" s="4">
        <f t="shared" si="20"/>
        <v>16.451529344377956</v>
      </c>
      <c r="W12" s="4">
        <f t="shared" si="21"/>
        <v>16.863676173802489</v>
      </c>
      <c r="X12" s="4">
        <f t="shared" si="22"/>
        <v>17.286148183667621</v>
      </c>
      <c r="Y12" s="4">
        <f t="shared" si="23"/>
        <v>17.719204042349581</v>
      </c>
      <c r="Z12" s="4">
        <f t="shared" si="24"/>
        <v>18.163108898433752</v>
      </c>
      <c r="AA12" s="4">
        <f t="shared" si="25"/>
        <v>18.61813454305809</v>
      </c>
      <c r="AB12" s="140">
        <v>20.103384362216495</v>
      </c>
      <c r="AC12" s="140">
        <v>22.998271710375672</v>
      </c>
      <c r="AD12" s="139">
        <v>26.379017651800897</v>
      </c>
      <c r="AE12" s="139">
        <v>29.280709593498997</v>
      </c>
      <c r="AF12" s="139">
        <v>32.794394744718879</v>
      </c>
      <c r="AG12" s="139">
        <v>35.188385561083358</v>
      </c>
      <c r="AH12" s="139">
        <v>38.531282189386275</v>
      </c>
      <c r="AI12" s="139">
        <v>40.303721170098044</v>
      </c>
      <c r="AJ12" s="139">
        <v>42.641336997963734</v>
      </c>
      <c r="AK12" s="139">
        <v>45.455665239829344</v>
      </c>
      <c r="AL12" s="139">
        <v>48.410283480418251</v>
      </c>
      <c r="AM12" s="139">
        <v>51.31490048924335</v>
      </c>
      <c r="AN12" s="139">
        <v>54.291164717619466</v>
      </c>
      <c r="AO12" s="139">
        <v>56.788558294629965</v>
      </c>
      <c r="AP12" s="139">
        <v>59.514409092772205</v>
      </c>
      <c r="AQ12" s="139">
        <v>62.07352868376141</v>
      </c>
      <c r="AR12" s="139">
        <v>64.370249245060577</v>
      </c>
      <c r="AS12" s="139">
        <v>65.528913731471675</v>
      </c>
      <c r="AT12" s="139">
        <v>66.905020919832566</v>
      </c>
      <c r="AU12" s="139">
        <v>68.510741421908548</v>
      </c>
      <c r="AV12" s="139">
        <v>70.977128113097265</v>
      </c>
      <c r="AW12" s="139">
        <v>73.603281853281857</v>
      </c>
      <c r="AX12" s="139">
        <v>76.253</v>
      </c>
      <c r="AY12" s="139">
        <v>78.534999999999997</v>
      </c>
      <c r="AZ12" s="139">
        <v>81.162000000000006</v>
      </c>
      <c r="BA12" s="139">
        <v>83.828000000000003</v>
      </c>
      <c r="BB12" s="139">
        <v>86.947999999999993</v>
      </c>
      <c r="BC12" s="139">
        <v>88.838999999999999</v>
      </c>
      <c r="BD12" s="139">
        <v>93.195999999999998</v>
      </c>
      <c r="BE12" s="139">
        <v>92.44</v>
      </c>
      <c r="BF12" s="139">
        <v>94.119</v>
      </c>
      <c r="BG12" s="139">
        <v>96.906000000000006</v>
      </c>
      <c r="BH12" s="139">
        <v>99.478999999999999</v>
      </c>
      <c r="BI12" s="139">
        <v>100.99</v>
      </c>
      <c r="BJ12" s="139">
        <v>100.492</v>
      </c>
      <c r="BK12" s="139">
        <v>100.068</v>
      </c>
      <c r="BL12" s="139">
        <v>99.933999999999997</v>
      </c>
      <c r="BM12" s="139">
        <v>101.553</v>
      </c>
      <c r="BN12" s="140">
        <v>103.776</v>
      </c>
      <c r="BO12" s="140">
        <v>104.116</v>
      </c>
      <c r="BP12" s="140">
        <v>103.575</v>
      </c>
      <c r="BQ12" s="140">
        <v>106.995</v>
      </c>
      <c r="BR12" s="4">
        <f>BR11*(1+$G$2)</f>
        <v>116.51818479053817</v>
      </c>
      <c r="BS12" s="4">
        <f t="shared" si="28"/>
        <v>119.43113941030145</v>
      </c>
      <c r="BT12" s="4">
        <f t="shared" si="28"/>
        <v>122.41691789555884</v>
      </c>
      <c r="BU12" s="4">
        <f t="shared" si="28"/>
        <v>125.47734084294761</v>
      </c>
      <c r="BV12" s="4">
        <f t="shared" si="28"/>
        <v>128.61427436402113</v>
      </c>
      <c r="BW12" s="4">
        <f t="shared" si="28"/>
        <v>131.82963122312145</v>
      </c>
      <c r="BX12" s="4">
        <f t="shared" si="28"/>
        <v>135.12537200369925</v>
      </c>
      <c r="BY12" s="4">
        <f t="shared" si="28"/>
        <v>138.50350630379157</v>
      </c>
      <c r="BZ12" s="4">
        <f t="shared" si="28"/>
        <v>141.96609396138621</v>
      </c>
      <c r="CA12" s="4">
        <f t="shared" si="28"/>
        <v>145.51524631042068</v>
      </c>
      <c r="CB12" s="4">
        <f t="shared" si="28"/>
        <v>149.153127468181</v>
      </c>
      <c r="CC12" s="4">
        <f t="shared" si="28"/>
        <v>152.88195565488536</v>
      </c>
      <c r="CD12" s="4">
        <f t="shared" si="28"/>
        <v>156.70400454625727</v>
      </c>
      <c r="CE12" s="4">
        <f t="shared" si="28"/>
        <v>160.62160465991349</v>
      </c>
      <c r="CF12" s="4">
        <f t="shared" si="28"/>
        <v>164.63714477641111</v>
      </c>
      <c r="CG12" s="4">
        <f t="shared" si="28"/>
        <v>168.7530733958211</v>
      </c>
      <c r="CH12" s="4">
        <f t="shared" si="28"/>
        <v>172.97190023071641</v>
      </c>
      <c r="CI12" s="4">
        <f t="shared" si="28"/>
        <v>177.29619773648406</v>
      </c>
      <c r="CJ12" s="4">
        <f t="shared" si="28"/>
        <v>181.72860267989591</v>
      </c>
      <c r="CK12" s="4">
        <f t="shared" si="28"/>
        <v>186.27181774689308</v>
      </c>
      <c r="CL12" s="4">
        <f t="shared" si="28"/>
        <v>190.92861319056513</v>
      </c>
      <c r="CM12" s="4">
        <f t="shared" si="28"/>
        <v>195.70182852032897</v>
      </c>
      <c r="CN12" s="4">
        <f t="shared" si="28"/>
        <v>200.59437423333691</v>
      </c>
      <c r="CO12" s="4">
        <f t="shared" si="28"/>
        <v>205.60923358917003</v>
      </c>
      <c r="CP12" s="4">
        <f t="shared" si="28"/>
        <v>210.74946442889899</v>
      </c>
      <c r="CQ12" s="4">
        <f t="shared" si="28"/>
        <v>216.0182010396212</v>
      </c>
      <c r="CR12" s="4">
        <f t="shared" si="28"/>
        <v>221.41865606561146</v>
      </c>
      <c r="CS12" s="4">
        <f t="shared" si="28"/>
        <v>226.95412246725149</v>
      </c>
      <c r="CT12" s="4">
        <f t="shared" si="28"/>
        <v>232.6279755289325</v>
      </c>
      <c r="CU12" s="4">
        <f t="shared" si="29"/>
        <v>238.44367491715553</v>
      </c>
      <c r="CV12" s="4">
        <f t="shared" si="29"/>
        <v>244.4047667900841</v>
      </c>
      <c r="CW12" s="4">
        <f t="shared" si="29"/>
        <v>250.51488595983585</v>
      </c>
      <c r="CX12" s="4">
        <f t="shared" si="29"/>
        <v>256.77775810883139</v>
      </c>
      <c r="CY12" s="4">
        <f t="shared" si="29"/>
        <v>263.19720206155193</v>
      </c>
      <c r="CZ12" s="4">
        <f t="shared" si="29"/>
        <v>269.77713211309049</v>
      </c>
      <c r="DA12" s="4">
        <f t="shared" si="29"/>
        <v>276.52156041591735</v>
      </c>
      <c r="DB12" s="4">
        <f t="shared" si="29"/>
        <v>283.43459942631495</v>
      </c>
      <c r="DC12" s="4">
        <f t="shared" si="29"/>
        <v>290.5204644119724</v>
      </c>
      <c r="DD12" s="4">
        <f t="shared" si="29"/>
        <v>297.78347602227132</v>
      </c>
      <c r="DE12" s="4">
        <f t="shared" si="29"/>
        <v>305.22806292282769</v>
      </c>
      <c r="DF12" s="4">
        <f t="shared" si="29"/>
        <v>312.85876449589796</v>
      </c>
      <c r="DG12" s="4">
        <f t="shared" si="29"/>
        <v>320.68023360829494</v>
      </c>
      <c r="DH12" s="4">
        <f t="shared" si="29"/>
        <v>328.69723944850182</v>
      </c>
      <c r="DI12" s="4">
        <f t="shared" si="29"/>
        <v>336.91467043471397</v>
      </c>
      <c r="DJ12" s="4">
        <f t="shared" si="29"/>
        <v>345.33753719558138</v>
      </c>
      <c r="DK12" s="4">
        <f t="shared" si="29"/>
        <v>353.97097562547054</v>
      </c>
      <c r="DL12" s="4">
        <f t="shared" si="29"/>
        <v>362.82025001610685</v>
      </c>
      <c r="DM12" s="4">
        <f t="shared" si="29"/>
        <v>371.89075626650907</v>
      </c>
      <c r="DN12" s="4">
        <f t="shared" si="29"/>
        <v>381.1880251731713</v>
      </c>
      <c r="DO12" s="4">
        <f t="shared" si="29"/>
        <v>390.71772580250001</v>
      </c>
      <c r="DP12" s="4">
        <f t="shared" si="29"/>
        <v>400.48566894756192</v>
      </c>
      <c r="DQ12" s="4">
        <f t="shared" si="29"/>
        <v>410.49781067125048</v>
      </c>
      <c r="DR12" s="4">
        <f t="shared" si="29"/>
        <v>420.76025593803121</v>
      </c>
      <c r="DS12" s="4">
        <f t="shared" si="29"/>
        <v>431.27926233648134</v>
      </c>
      <c r="DT12" s="4">
        <f t="shared" si="29"/>
        <v>442.06124389489275</v>
      </c>
      <c r="DU12" s="4">
        <f t="shared" si="29"/>
        <v>453.11277499226452</v>
      </c>
      <c r="DV12" s="4">
        <f t="shared" si="29"/>
        <v>464.4405943670705</v>
      </c>
      <c r="DW12" s="4">
        <f t="shared" si="29"/>
        <v>476.05160922624663</v>
      </c>
      <c r="DX12" s="4">
        <f t="shared" si="29"/>
        <v>487.95289945690206</v>
      </c>
    </row>
    <row r="13" spans="1:128">
      <c r="A13" t="s">
        <v>22</v>
      </c>
      <c r="B13" s="4">
        <f t="shared" si="0"/>
        <v>10.050373989775389</v>
      </c>
      <c r="C13" s="4">
        <f t="shared" si="1"/>
        <v>10.302157862733814</v>
      </c>
      <c r="D13" s="4">
        <f t="shared" si="2"/>
        <v>10.560249472971112</v>
      </c>
      <c r="E13" s="4">
        <f t="shared" si="3"/>
        <v>10.824806843116423</v>
      </c>
      <c r="F13" s="4">
        <f t="shared" si="4"/>
        <v>11.095991954611726</v>
      </c>
      <c r="G13" s="4">
        <f t="shared" si="5"/>
        <v>11.373970846888756</v>
      </c>
      <c r="H13" s="4">
        <f t="shared" si="6"/>
        <v>11.658913719030556</v>
      </c>
      <c r="I13" s="4">
        <f t="shared" si="7"/>
        <v>11.950995033979837</v>
      </c>
      <c r="J13" s="4">
        <f t="shared" si="8"/>
        <v>12.250393625357983</v>
      </c>
      <c r="K13" s="4">
        <f t="shared" si="9"/>
        <v>12.557292806960154</v>
      </c>
      <c r="L13" s="4">
        <f t="shared" si="10"/>
        <v>12.871880484993424</v>
      </c>
      <c r="M13" s="4">
        <f t="shared" si="11"/>
        <v>13.19434927312675</v>
      </c>
      <c r="N13" s="4">
        <f>N14*(1-$G$1)</f>
        <v>13.524896610423228</v>
      </c>
      <c r="O13" s="4">
        <f t="shared" si="13"/>
        <v>13.863724882226744</v>
      </c>
      <c r="P13" s="4">
        <f t="shared" si="14"/>
        <v>14.211041544077167</v>
      </c>
      <c r="Q13" s="4">
        <f t="shared" si="15"/>
        <v>14.567059248729844</v>
      </c>
      <c r="R13" s="4">
        <f t="shared" si="16"/>
        <v>14.93199597635723</v>
      </c>
      <c r="S13" s="4">
        <f t="shared" si="17"/>
        <v>15.306075168012349</v>
      </c>
      <c r="T13" s="4">
        <f t="shared" si="18"/>
        <v>15.689525862435815</v>
      </c>
      <c r="U13" s="4">
        <f t="shared" si="19"/>
        <v>16.08258283629015</v>
      </c>
      <c r="V13" s="4">
        <f t="shared" si="20"/>
        <v>16.485486747907309</v>
      </c>
      <c r="W13" s="4">
        <f t="shared" si="21"/>
        <v>16.898484284637352</v>
      </c>
      <c r="X13" s="4">
        <f t="shared" si="22"/>
        <v>17.321828313888556</v>
      </c>
      <c r="Y13" s="4">
        <f t="shared" si="23"/>
        <v>17.75577803795143</v>
      </c>
      <c r="Z13" s="4">
        <f t="shared" si="24"/>
        <v>18.200599152701354</v>
      </c>
      <c r="AA13" s="4">
        <f t="shared" si="25"/>
        <v>18.656564010277101</v>
      </c>
      <c r="AB13" s="140">
        <v>20.424046905366641</v>
      </c>
      <c r="AC13" s="140">
        <v>23.303837519023336</v>
      </c>
      <c r="AD13" s="139">
        <v>26.566374771686604</v>
      </c>
      <c r="AE13" s="139">
        <v>29.701206994745629</v>
      </c>
      <c r="AF13" s="139">
        <v>33.087144592146636</v>
      </c>
      <c r="AG13" s="139">
        <v>35.833377593294806</v>
      </c>
      <c r="AH13" s="139">
        <v>39.237548464657813</v>
      </c>
      <c r="AI13" s="139">
        <v>40.964000597102761</v>
      </c>
      <c r="AJ13" s="139">
        <v>43.298948631137613</v>
      </c>
      <c r="AK13" s="139">
        <v>46.243277138054971</v>
      </c>
      <c r="AL13" s="139">
        <v>49.249090152028543</v>
      </c>
      <c r="AM13" s="139">
        <v>52.056288290694162</v>
      </c>
      <c r="AN13" s="139">
        <v>55.075553011554426</v>
      </c>
      <c r="AO13" s="139">
        <v>57.443801791051264</v>
      </c>
      <c r="AP13" s="139">
        <v>60.028772871648563</v>
      </c>
      <c r="AQ13" s="139">
        <v>62.670038878001101</v>
      </c>
      <c r="AR13" s="139">
        <v>64.926160277609142</v>
      </c>
      <c r="AS13" s="139">
        <v>66.224683483161328</v>
      </c>
      <c r="AT13" s="139">
        <v>67.284278418891901</v>
      </c>
      <c r="AU13" s="139">
        <v>68.966385379364198</v>
      </c>
      <c r="AV13" s="139">
        <v>71.518141638400664</v>
      </c>
      <c r="AW13" s="139">
        <v>73.949758454106288</v>
      </c>
      <c r="AX13" s="139">
        <v>76.537999999999997</v>
      </c>
      <c r="AY13" s="139">
        <v>78.77</v>
      </c>
      <c r="AZ13" s="139">
        <v>81.307000000000002</v>
      </c>
      <c r="BA13" s="139">
        <v>84.343000000000004</v>
      </c>
      <c r="BB13" s="139">
        <v>86.805000000000007</v>
      </c>
      <c r="BC13" s="139">
        <v>89.131</v>
      </c>
      <c r="BD13" s="139">
        <v>93.177000000000007</v>
      </c>
      <c r="BE13" s="139">
        <v>92.221000000000004</v>
      </c>
      <c r="BF13" s="139">
        <v>94.183999999999997</v>
      </c>
      <c r="BG13" s="139">
        <v>97.143000000000001</v>
      </c>
      <c r="BH13" s="139">
        <v>100.458</v>
      </c>
      <c r="BI13" s="139">
        <v>100.801</v>
      </c>
      <c r="BJ13" s="139">
        <v>100.645</v>
      </c>
      <c r="BK13" s="139">
        <v>99.760999999999996</v>
      </c>
      <c r="BL13" s="139">
        <v>99.938999999999993</v>
      </c>
      <c r="BM13" s="139">
        <v>101.73</v>
      </c>
      <c r="BN13" s="140">
        <v>104.029</v>
      </c>
      <c r="BO13" s="140">
        <v>104.116</v>
      </c>
      <c r="BP13" s="140">
        <v>103.73099999999999</v>
      </c>
      <c r="BQ13" s="140">
        <v>107.887</v>
      </c>
      <c r="BR13" s="4">
        <f>BR12*(1+$G$2)</f>
        <v>116.75819317366596</v>
      </c>
      <c r="BS13" s="4">
        <f t="shared" si="28"/>
        <v>119.67714800300745</v>
      </c>
      <c r="BT13" s="4">
        <f t="shared" si="28"/>
        <v>122.66907670308247</v>
      </c>
      <c r="BU13" s="4">
        <f t="shared" si="28"/>
        <v>125.73580362065934</v>
      </c>
      <c r="BV13" s="4">
        <f t="shared" si="28"/>
        <v>128.87919871117563</v>
      </c>
      <c r="BW13" s="4">
        <f t="shared" si="28"/>
        <v>132.10117867895482</v>
      </c>
      <c r="BX13" s="4">
        <f t="shared" si="28"/>
        <v>135.40370814592848</v>
      </c>
      <c r="BY13" s="4">
        <f t="shared" si="28"/>
        <v>138.78880084957652</v>
      </c>
      <c r="BZ13" s="4">
        <f t="shared" si="28"/>
        <v>142.25852087081577</v>
      </c>
      <c r="CA13" s="4">
        <f t="shared" si="28"/>
        <v>145.81498389258599</v>
      </c>
      <c r="CB13" s="4">
        <f t="shared" si="28"/>
        <v>149.46035848990044</v>
      </c>
      <c r="CC13" s="4">
        <f t="shared" si="28"/>
        <v>153.19686745214779</v>
      </c>
      <c r="CD13" s="4">
        <f t="shared" si="28"/>
        <v>157.02678913845125</v>
      </c>
      <c r="CE13" s="4">
        <f t="shared" si="28"/>
        <v>160.95245886691231</v>
      </c>
      <c r="CF13" s="4">
        <f t="shared" si="28"/>
        <v>164.9762703385849</v>
      </c>
      <c r="CG13" s="4">
        <f t="shared" si="28"/>
        <v>169.10067709704924</v>
      </c>
      <c r="CH13" s="4">
        <f t="shared" si="28"/>
        <v>173.32819402447527</v>
      </c>
      <c r="CI13" s="4">
        <f t="shared" si="28"/>
        <v>177.66139887508689</v>
      </c>
      <c r="CJ13" s="4">
        <f t="shared" si="28"/>
        <v>182.10293384696379</v>
      </c>
      <c r="CK13" s="4">
        <f t="shared" si="28"/>
        <v>186.65550719313765</v>
      </c>
      <c r="CL13" s="4">
        <f t="shared" si="28"/>
        <v>191.32189487296583</v>
      </c>
      <c r="CM13" s="4">
        <f t="shared" si="28"/>
        <v>196.1049422447897</v>
      </c>
      <c r="CN13" s="4">
        <f t="shared" si="28"/>
        <v>201.00756580090913</v>
      </c>
      <c r="CO13" s="4">
        <f t="shared" si="28"/>
        <v>206.03275494593157</v>
      </c>
      <c r="CP13" s="4">
        <f t="shared" si="28"/>
        <v>211.18357381957958</v>
      </c>
      <c r="CQ13" s="4">
        <f t="shared" si="28"/>
        <v>216.46316316506881</v>
      </c>
      <c r="CR13" s="4">
        <f t="shared" si="28"/>
        <v>221.87474224419523</v>
      </c>
      <c r="CS13" s="4">
        <f t="shared" si="28"/>
        <v>227.42161080029987</v>
      </c>
      <c r="CT13" s="4">
        <f t="shared" si="28"/>
        <v>233.10715107030708</v>
      </c>
      <c r="CU13" s="4">
        <f t="shared" si="29"/>
        <v>238.93482984706449</v>
      </c>
      <c r="CV13" s="4">
        <f t="shared" si="29"/>
        <v>244.90820059324076</v>
      </c>
      <c r="CW13" s="4">
        <f t="shared" si="29"/>
        <v>251.03090560807144</v>
      </c>
      <c r="CX13" s="4">
        <f t="shared" si="29"/>
        <v>257.30667824827287</v>
      </c>
      <c r="CY13" s="4">
        <f t="shared" si="29"/>
        <v>263.73934520447943</v>
      </c>
      <c r="CZ13" s="4">
        <f t="shared" si="29"/>
        <v>270.33282883459117</v>
      </c>
      <c r="DA13" s="4">
        <f t="shared" si="29"/>
        <v>277.09114955545556</v>
      </c>
      <c r="DB13" s="4">
        <f t="shared" si="29"/>
        <v>284.01842829434162</v>
      </c>
      <c r="DC13" s="4">
        <f t="shared" si="29"/>
        <v>291.11888900169976</v>
      </c>
      <c r="DD13" s="4">
        <f t="shared" si="29"/>
        <v>298.39686122674186</v>
      </c>
      <c r="DE13" s="4">
        <f t="shared" si="29"/>
        <v>305.85678275740997</v>
      </c>
      <c r="DF13" s="4">
        <f t="shared" si="29"/>
        <v>313.50320232634482</v>
      </c>
      <c r="DG13" s="4">
        <f t="shared" si="29"/>
        <v>321.34078238450297</v>
      </c>
      <c r="DH13" s="4">
        <f t="shared" si="29"/>
        <v>329.37430194411502</v>
      </c>
      <c r="DI13" s="4">
        <f t="shared" si="29"/>
        <v>337.60865949271749</v>
      </c>
      <c r="DJ13" s="4">
        <f t="shared" si="29"/>
        <v>346.04887598003501</v>
      </c>
      <c r="DK13" s="4">
        <f t="shared" si="29"/>
        <v>354.70009787953552</v>
      </c>
      <c r="DL13" s="4">
        <f t="shared" si="29"/>
        <v>363.56760032652346</v>
      </c>
      <c r="DM13" s="4">
        <f t="shared" si="29"/>
        <v>372.65679033468609</v>
      </c>
      <c r="DN13" s="4">
        <f t="shared" si="29"/>
        <v>381.97321009305273</v>
      </c>
      <c r="DO13" s="4">
        <f t="shared" si="29"/>
        <v>391.52254034537845</v>
      </c>
      <c r="DP13" s="4">
        <f t="shared" si="29"/>
        <v>401.31060385401236</v>
      </c>
      <c r="DQ13" s="4">
        <f t="shared" si="29"/>
        <v>411.34336895036216</v>
      </c>
      <c r="DR13" s="4">
        <f t="shared" si="29"/>
        <v>421.62695317412067</v>
      </c>
      <c r="DS13" s="4">
        <f t="shared" si="29"/>
        <v>432.16762700347306</v>
      </c>
      <c r="DT13" s="4">
        <f t="shared" si="29"/>
        <v>442.97181767855926</v>
      </c>
      <c r="DU13" s="4">
        <f t="shared" si="29"/>
        <v>454.0461131205227</v>
      </c>
      <c r="DV13" s="4">
        <f t="shared" si="29"/>
        <v>465.39726594853511</v>
      </c>
      <c r="DW13" s="4">
        <f t="shared" si="29"/>
        <v>477.03219759724783</v>
      </c>
      <c r="DX13" s="4">
        <f t="shared" si="29"/>
        <v>488.95800253717829</v>
      </c>
    </row>
    <row r="14" spans="1:128">
      <c r="A14" t="s">
        <v>23</v>
      </c>
      <c r="B14" s="4">
        <f t="shared" si="0"/>
        <v>10.07111884565156</v>
      </c>
      <c r="C14" s="4">
        <f t="shared" si="1"/>
        <v>10.323422422668935</v>
      </c>
      <c r="D14" s="4">
        <f t="shared" si="2"/>
        <v>10.582046756689714</v>
      </c>
      <c r="E14" s="4">
        <f t="shared" si="3"/>
        <v>10.847150196515638</v>
      </c>
      <c r="F14" s="4">
        <f t="shared" si="4"/>
        <v>11.118895057932631</v>
      </c>
      <c r="G14" s="4">
        <f t="shared" si="5"/>
        <v>11.397447723092419</v>
      </c>
      <c r="H14" s="4">
        <f t="shared" si="6"/>
        <v>11.68297874238392</v>
      </c>
      <c r="I14" s="4">
        <f t="shared" si="7"/>
        <v>11.975662938856706</v>
      </c>
      <c r="J14" s="4">
        <f t="shared" si="8"/>
        <v>12.275679515260482</v>
      </c>
      <c r="K14" s="4">
        <f t="shared" si="9"/>
        <v>12.583212163766206</v>
      </c>
      <c r="L14" s="4">
        <f t="shared" si="10"/>
        <v>12.898449178435889</v>
      </c>
      <c r="M14" s="4">
        <f t="shared" si="11"/>
        <v>13.221583570510044</v>
      </c>
      <c r="N14" s="4">
        <f t="shared" si="12"/>
        <v>13.552813186583355</v>
      </c>
      <c r="O14" s="4">
        <f t="shared" si="13"/>
        <v>13.892340829740862</v>
      </c>
      <c r="P14" s="4">
        <f t="shared" si="14"/>
        <v>14.240374383728911</v>
      </c>
      <c r="Q14" s="4">
        <f t="shared" si="15"/>
        <v>14.597126940236842</v>
      </c>
      <c r="R14" s="4">
        <f t="shared" si="16"/>
        <v>14.962816929367358</v>
      </c>
      <c r="S14" s="4">
        <f t="shared" si="17"/>
        <v>15.337668253375467</v>
      </c>
      <c r="T14" s="4">
        <f t="shared" si="18"/>
        <v>15.72191042375789</v>
      </c>
      <c r="U14" s="4">
        <f t="shared" si="19"/>
        <v>16.115778701776829</v>
      </c>
      <c r="V14" s="4">
        <f t="shared" si="20"/>
        <v>16.519514242504204</v>
      </c>
      <c r="W14" s="4">
        <f t="shared" si="21"/>
        <v>16.933364242474457</v>
      </c>
      <c r="X14" s="4">
        <f t="shared" si="22"/>
        <v>17.357582091036445</v>
      </c>
      <c r="Y14" s="4">
        <f t="shared" si="23"/>
        <v>17.792427525496997</v>
      </c>
      <c r="Z14" s="4">
        <f t="shared" si="24"/>
        <v>18.238166790151148</v>
      </c>
      <c r="AA14" s="4">
        <f t="shared" si="25"/>
        <v>18.695072799296444</v>
      </c>
      <c r="AB14" s="140">
        <v>20.720611091509895</v>
      </c>
      <c r="AC14" s="140">
        <v>23.704379088687322</v>
      </c>
      <c r="AD14" s="139">
        <v>26.975583402926169</v>
      </c>
      <c r="AE14" s="139">
        <v>30.266604578083161</v>
      </c>
      <c r="AF14" s="139">
        <v>33.444598058781892</v>
      </c>
      <c r="AG14" s="139">
        <v>36.187055099602013</v>
      </c>
      <c r="AH14" s="139">
        <v>39.552451223864999</v>
      </c>
      <c r="AI14" s="139">
        <v>41.411416431386655</v>
      </c>
      <c r="AJ14" s="139">
        <v>43.564810085818763</v>
      </c>
      <c r="AK14" s="139">
        <v>46.657911601911898</v>
      </c>
      <c r="AL14" s="139">
        <v>49.923965414045732</v>
      </c>
      <c r="AM14" s="139">
        <v>52.669783511818245</v>
      </c>
      <c r="AN14" s="139">
        <v>55.408612254432796</v>
      </c>
      <c r="AO14" s="139">
        <v>57.957408418136708</v>
      </c>
      <c r="AP14" s="139">
        <v>60.507534388534722</v>
      </c>
      <c r="AQ14" s="139">
        <v>63.109358367241711</v>
      </c>
      <c r="AR14" s="139">
        <v>65.318185910095167</v>
      </c>
      <c r="AS14" s="139">
        <v>66.55923144238696</v>
      </c>
      <c r="AT14" s="139">
        <v>67.690738376907532</v>
      </c>
      <c r="AU14" s="139">
        <v>69.38300683633021</v>
      </c>
      <c r="AV14" s="139">
        <v>72.158327109783428</v>
      </c>
      <c r="AW14" s="139">
        <v>74.323076923076925</v>
      </c>
      <c r="AX14" s="139">
        <v>77.296000000000006</v>
      </c>
      <c r="AY14" s="139">
        <v>79.301000000000002</v>
      </c>
      <c r="AZ14" s="139">
        <v>82.143000000000001</v>
      </c>
      <c r="BA14" s="139">
        <v>85.028999999999996</v>
      </c>
      <c r="BB14" s="139">
        <v>87.161000000000001</v>
      </c>
      <c r="BC14" s="139">
        <v>90.286000000000001</v>
      </c>
      <c r="BD14" s="139">
        <v>93.497</v>
      </c>
      <c r="BE14" s="139">
        <v>92.879000000000005</v>
      </c>
      <c r="BF14" s="139">
        <v>95.045000000000002</v>
      </c>
      <c r="BG14" s="139">
        <v>97.909000000000006</v>
      </c>
      <c r="BH14" s="139">
        <v>101.31100000000001</v>
      </c>
      <c r="BI14" s="139">
        <v>101.21</v>
      </c>
      <c r="BJ14" s="139">
        <v>101.114</v>
      </c>
      <c r="BK14" s="139">
        <v>100.399</v>
      </c>
      <c r="BL14" s="139">
        <v>101.081</v>
      </c>
      <c r="BM14" s="139">
        <v>102.66800000000001</v>
      </c>
      <c r="BN14" s="140">
        <v>104.991</v>
      </c>
      <c r="BO14" s="140">
        <v>105.126</v>
      </c>
      <c r="BP14" s="140">
        <v>104.27500000000001</v>
      </c>
      <c r="BQ14" s="140">
        <v>109.871</v>
      </c>
      <c r="BR14" s="4">
        <f t="shared" si="28"/>
        <v>116.99869593476637</v>
      </c>
      <c r="BS14" s="4">
        <f t="shared" si="28"/>
        <v>119.92366333313538</v>
      </c>
      <c r="BT14" s="4">
        <f t="shared" si="28"/>
        <v>122.9217549164636</v>
      </c>
      <c r="BU14" s="4">
        <f t="shared" si="28"/>
        <v>125.994798789375</v>
      </c>
      <c r="BV14" s="4">
        <f t="shared" si="28"/>
        <v>129.14466875910918</v>
      </c>
      <c r="BW14" s="4">
        <f t="shared" si="28"/>
        <v>132.3732854780867</v>
      </c>
      <c r="BX14" s="4">
        <f t="shared" si="28"/>
        <v>135.68261761503865</v>
      </c>
      <c r="BY14" s="4">
        <f t="shared" ref="BR14:CT16" si="30">BY13*(1+$G$2)</f>
        <v>139.07468305541445</v>
      </c>
      <c r="BZ14" s="4">
        <f t="shared" si="30"/>
        <v>142.55155013179967</v>
      </c>
      <c r="CA14" s="4">
        <f t="shared" si="30"/>
        <v>146.11533888509447</v>
      </c>
      <c r="CB14" s="4">
        <f t="shared" si="30"/>
        <v>149.76822235722165</v>
      </c>
      <c r="CC14" s="4">
        <f t="shared" si="30"/>
        <v>153.51242791615201</v>
      </c>
      <c r="CD14" s="4">
        <f t="shared" si="30"/>
        <v>157.35023861405557</v>
      </c>
      <c r="CE14" s="4">
        <f t="shared" si="30"/>
        <v>161.28399457940674</v>
      </c>
      <c r="CF14" s="4">
        <f t="shared" si="30"/>
        <v>165.3160944438917</v>
      </c>
      <c r="CG14" s="4">
        <f t="shared" si="30"/>
        <v>169.44899680498872</v>
      </c>
      <c r="CH14" s="4">
        <f t="shared" si="30"/>
        <v>173.68522172511322</v>
      </c>
      <c r="CI14" s="4">
        <f t="shared" si="30"/>
        <v>178.0273522682408</v>
      </c>
      <c r="CJ14" s="4">
        <f t="shared" si="30"/>
        <v>182.47803607494654</v>
      </c>
      <c r="CK14" s="4">
        <f t="shared" si="30"/>
        <v>187.03998697681996</v>
      </c>
      <c r="CL14" s="4">
        <f t="shared" si="30"/>
        <v>191.7159866512402</v>
      </c>
      <c r="CM14" s="4">
        <f t="shared" si="30"/>
        <v>196.50888631752093</v>
      </c>
      <c r="CN14" s="4">
        <f t="shared" si="30"/>
        <v>201.42160847545864</v>
      </c>
      <c r="CO14" s="4">
        <f t="shared" si="30"/>
        <v>206.45714868734481</v>
      </c>
      <c r="CP14" s="4">
        <f t="shared" si="30"/>
        <v>211.61857740452817</v>
      </c>
      <c r="CQ14" s="4">
        <f t="shared" si="30"/>
        <v>216.90904183964111</v>
      </c>
      <c r="CR14" s="4">
        <f t="shared" si="30"/>
        <v>222.33176788563185</v>
      </c>
      <c r="CS14" s="4">
        <f t="shared" si="30"/>
        <v>227.8900620827724</v>
      </c>
      <c r="CT14" s="4">
        <f t="shared" si="30"/>
        <v>233.58731363484142</v>
      </c>
      <c r="CU14" s="4">
        <f>CU13*(1+$G$2)</f>
        <v>239.42699647571217</v>
      </c>
      <c r="CV14" s="4">
        <f>CV13*(1+$G$2)</f>
        <v>245.41267138760463</v>
      </c>
      <c r="CW14" s="4">
        <f t="shared" ref="CW14:DX14" si="31">CW13*(1+$G$2)</f>
        <v>251.54798817229442</v>
      </c>
      <c r="CX14" s="4">
        <f t="shared" si="31"/>
        <v>257.83668787660145</v>
      </c>
      <c r="CY14" s="4">
        <f t="shared" si="31"/>
        <v>264.28260507351621</v>
      </c>
      <c r="CZ14" s="4">
        <f t="shared" si="31"/>
        <v>270.88967020035386</v>
      </c>
      <c r="DA14" s="4">
        <f t="shared" si="31"/>
        <v>277.66191195536231</v>
      </c>
      <c r="DB14" s="4">
        <f t="shared" si="31"/>
        <v>284.60345975424605</v>
      </c>
      <c r="DC14" s="4">
        <f t="shared" si="31"/>
        <v>291.7185462481018</v>
      </c>
      <c r="DD14" s="4">
        <f t="shared" si="31"/>
        <v>299.01150990430392</v>
      </c>
      <c r="DE14" s="4">
        <f t="shared" si="31"/>
        <v>306.4867976519111</v>
      </c>
      <c r="DF14" s="4">
        <f t="shared" si="31"/>
        <v>314.14896759320845</v>
      </c>
      <c r="DG14" s="4">
        <f t="shared" si="31"/>
        <v>322.00269178303819</v>
      </c>
      <c r="DH14" s="4">
        <f t="shared" si="31"/>
        <v>330.05275907761364</v>
      </c>
      <c r="DI14" s="4">
        <f t="shared" si="31"/>
        <v>338.3040780545536</v>
      </c>
      <c r="DJ14" s="4">
        <f t="shared" si="31"/>
        <v>346.76168000591701</v>
      </c>
      <c r="DK14" s="4">
        <f t="shared" si="31"/>
        <v>355.43072200606457</v>
      </c>
      <c r="DL14" s="4">
        <f t="shared" si="31"/>
        <v>364.31649005621574</v>
      </c>
      <c r="DM14" s="4">
        <f t="shared" si="31"/>
        <v>373.42440230762065</v>
      </c>
      <c r="DN14" s="4">
        <f t="shared" si="31"/>
        <v>382.76001236531067</v>
      </c>
      <c r="DO14" s="4">
        <f t="shared" si="31"/>
        <v>392.32901267444282</v>
      </c>
      <c r="DP14" s="4">
        <f t="shared" si="31"/>
        <v>402.13723799130332</v>
      </c>
      <c r="DQ14" s="4">
        <f t="shared" si="31"/>
        <v>412.19066894108545</v>
      </c>
      <c r="DR14" s="4">
        <f t="shared" si="31"/>
        <v>422.49543566461199</v>
      </c>
      <c r="DS14" s="4">
        <f t="shared" si="31"/>
        <v>433.05782155622666</v>
      </c>
      <c r="DT14" s="4">
        <f t="shared" si="31"/>
        <v>443.88426709513175</v>
      </c>
      <c r="DU14" s="4">
        <f t="shared" si="31"/>
        <v>454.98137377250947</v>
      </c>
      <c r="DV14" s="4">
        <f t="shared" si="31"/>
        <v>466.35590811682152</v>
      </c>
      <c r="DW14" s="4">
        <f t="shared" si="31"/>
        <v>478.01480581974141</v>
      </c>
      <c r="DX14" s="4">
        <f t="shared" si="31"/>
        <v>489.96517596523421</v>
      </c>
    </row>
    <row r="15" spans="1:128">
      <c r="A15" t="s">
        <v>24</v>
      </c>
      <c r="B15" s="4">
        <f t="shared" si="0"/>
        <v>10.091906520734831</v>
      </c>
      <c r="C15" s="4">
        <f t="shared" si="1"/>
        <v>10.344730874526046</v>
      </c>
      <c r="D15" s="4">
        <f t="shared" si="2"/>
        <v>10.603889031919048</v>
      </c>
      <c r="E15" s="4">
        <f t="shared" si="3"/>
        <v>10.869539668561435</v>
      </c>
      <c r="F15" s="4">
        <f t="shared" si="4"/>
        <v>11.141845435273188</v>
      </c>
      <c r="G15" s="4">
        <f t="shared" si="5"/>
        <v>11.420973057633429</v>
      </c>
      <c r="H15" s="4">
        <f t="shared" si="6"/>
        <v>11.707093438062078</v>
      </c>
      <c r="I15" s="4">
        <f t="shared" si="7"/>
        <v>12.000381760458858</v>
      </c>
      <c r="J15" s="4">
        <f t="shared" si="8"/>
        <v>12.30101759746371</v>
      </c>
      <c r="K15" s="4">
        <f t="shared" si="9"/>
        <v>12.609185020404393</v>
      </c>
      <c r="L15" s="4">
        <f t="shared" si="10"/>
        <v>12.925072711998418</v>
      </c>
      <c r="M15" s="4">
        <f t="shared" si="11"/>
        <v>13.248874081878476</v>
      </c>
      <c r="N15" s="4">
        <f t="shared" si="12"/>
        <v>13.580787385012027</v>
      </c>
      <c r="O15" s="4">
        <f t="shared" si="13"/>
        <v>13.921015843087508</v>
      </c>
      <c r="P15" s="4">
        <f t="shared" si="14"/>
        <v>14.269767768941611</v>
      </c>
      <c r="Q15" s="4">
        <f t="shared" si="15"/>
        <v>14.627256694103657</v>
      </c>
      <c r="R15" s="4">
        <f t="shared" si="16"/>
        <v>14.993701499535296</v>
      </c>
      <c r="S15" s="4">
        <f t="shared" si="17"/>
        <v>15.369326549645484</v>
      </c>
      <c r="T15" s="4">
        <f t="shared" si="18"/>
        <v>15.754361829662855</v>
      </c>
      <c r="U15" s="4">
        <f t="shared" si="19"/>
        <v>16.149043086449552</v>
      </c>
      <c r="V15" s="4">
        <f t="shared" si="20"/>
        <v>16.55361197284277</v>
      </c>
      <c r="W15" s="4">
        <f t="shared" si="21"/>
        <v>16.968316195612339</v>
      </c>
      <c r="X15" s="4">
        <f t="shared" si="22"/>
        <v>17.393409667125024</v>
      </c>
      <c r="Y15" s="4">
        <f t="shared" si="23"/>
        <v>17.829152660808294</v>
      </c>
      <c r="Z15" s="4">
        <f t="shared" si="24"/>
        <v>18.275811970508826</v>
      </c>
      <c r="AA15" s="4">
        <f t="shared" si="25"/>
        <v>18.733661073843287</v>
      </c>
      <c r="AB15" s="140">
        <v>21.023651004543492</v>
      </c>
      <c r="AC15" s="140">
        <v>24.030033098193211</v>
      </c>
      <c r="AD15" s="139">
        <v>27.201997467154715</v>
      </c>
      <c r="AE15" s="139">
        <v>30.738257137884826</v>
      </c>
      <c r="AF15" s="139">
        <v>33.81208285167331</v>
      </c>
      <c r="AG15" s="139">
        <v>36.686109894065538</v>
      </c>
      <c r="AH15" s="139">
        <v>39.694370905378918</v>
      </c>
      <c r="AI15" s="139">
        <v>41.560006337931725</v>
      </c>
      <c r="AJ15" s="139">
        <v>43.804246680180043</v>
      </c>
      <c r="AK15" s="139">
        <v>47.001956687833186</v>
      </c>
      <c r="AL15" s="139">
        <v>50.151087785918008</v>
      </c>
      <c r="AM15" s="139">
        <v>53.009699789715327</v>
      </c>
      <c r="AN15" s="139">
        <v>55.713194478990808</v>
      </c>
      <c r="AO15" s="139">
        <v>58.331714619503373</v>
      </c>
      <c r="AP15" s="139">
        <v>60.898310062761524</v>
      </c>
      <c r="AQ15" s="139">
        <v>63.577835705523036</v>
      </c>
      <c r="AR15" s="139">
        <v>65.612326448099779</v>
      </c>
      <c r="AS15" s="139">
        <v>66.924572977061771</v>
      </c>
      <c r="AT15" s="139">
        <v>67.86151699874064</v>
      </c>
      <c r="AU15" s="139">
        <v>69.693777957706629</v>
      </c>
      <c r="AV15" s="139">
        <v>72.55122285397259</v>
      </c>
      <c r="AW15" s="139">
        <v>74.510105871029836</v>
      </c>
      <c r="AX15" s="139">
        <v>77.415999999999997</v>
      </c>
      <c r="AY15" s="139">
        <v>79.558999999999997</v>
      </c>
      <c r="AZ15" s="139">
        <v>82.347999999999999</v>
      </c>
      <c r="BA15" s="139">
        <v>85.158000000000001</v>
      </c>
      <c r="BB15" s="139">
        <v>87.376999999999995</v>
      </c>
      <c r="BC15" s="139">
        <v>90.933000000000007</v>
      </c>
      <c r="BD15" s="139">
        <v>93.1</v>
      </c>
      <c r="BE15" s="139">
        <v>93.382000000000005</v>
      </c>
      <c r="BF15" s="139">
        <v>95.56</v>
      </c>
      <c r="BG15" s="139">
        <v>98.305999999999997</v>
      </c>
      <c r="BH15" s="139">
        <v>101.18600000000001</v>
      </c>
      <c r="BI15" s="139">
        <v>101.42100000000001</v>
      </c>
      <c r="BJ15" s="139">
        <v>101.044</v>
      </c>
      <c r="BK15" s="139">
        <v>100.767</v>
      </c>
      <c r="BL15" s="139">
        <v>101.447</v>
      </c>
      <c r="BM15" s="139">
        <v>103.137</v>
      </c>
      <c r="BN15" s="140">
        <v>104.876</v>
      </c>
      <c r="BO15" s="140">
        <v>105.304</v>
      </c>
      <c r="BP15" s="140">
        <v>104.447</v>
      </c>
      <c r="BQ15" s="140">
        <v>110.208</v>
      </c>
      <c r="BR15" s="4">
        <f t="shared" si="30"/>
        <v>117.2396940921771</v>
      </c>
      <c r="BS15" s="4">
        <f t="shared" si="30"/>
        <v>120.17068644448138</v>
      </c>
      <c r="BT15" s="4">
        <f t="shared" si="30"/>
        <v>123.17495360559325</v>
      </c>
      <c r="BU15" s="4">
        <f t="shared" si="30"/>
        <v>126.25432744573288</v>
      </c>
      <c r="BV15" s="4">
        <f t="shared" si="30"/>
        <v>129.41068563187602</v>
      </c>
      <c r="BW15" s="4">
        <f t="shared" si="30"/>
        <v>132.6459527726727</v>
      </c>
      <c r="BX15" s="4">
        <f t="shared" si="30"/>
        <v>135.96210159198932</v>
      </c>
      <c r="BY15" s="4">
        <f t="shared" si="30"/>
        <v>139.36115413178888</v>
      </c>
      <c r="BZ15" s="4">
        <f t="shared" si="30"/>
        <v>142.84518298508345</v>
      </c>
      <c r="CA15" s="4">
        <f t="shared" si="30"/>
        <v>146.41631255971035</v>
      </c>
      <c r="CB15" s="4">
        <f t="shared" si="30"/>
        <v>150.07672037370293</v>
      </c>
      <c r="CC15" s="4">
        <f t="shared" si="30"/>
        <v>153.8286383830453</v>
      </c>
      <c r="CD15" s="4">
        <f t="shared" si="30"/>
        <v>157.6743543426212</v>
      </c>
      <c r="CE15" s="4">
        <f t="shared" si="30"/>
        <v>161.61621320118653</v>
      </c>
      <c r="CF15" s="4">
        <f t="shared" si="30"/>
        <v>165.65661853121597</v>
      </c>
      <c r="CG15" s="4">
        <f t="shared" si="30"/>
        <v>169.79803399449611</v>
      </c>
      <c r="CH15" s="4">
        <f t="shared" si="30"/>
        <v>174.0429848443583</v>
      </c>
      <c r="CI15" s="4">
        <f t="shared" si="30"/>
        <v>178.394059465467</v>
      </c>
      <c r="CJ15" s="4">
        <f t="shared" si="30"/>
        <v>182.8539109521034</v>
      </c>
      <c r="CK15" s="4">
        <f t="shared" si="30"/>
        <v>187.42525872590573</v>
      </c>
      <c r="CL15" s="4">
        <f t="shared" si="30"/>
        <v>192.1108901940531</v>
      </c>
      <c r="CM15" s="4">
        <f t="shared" si="30"/>
        <v>196.91366244890418</v>
      </c>
      <c r="CN15" s="4">
        <f t="shared" si="30"/>
        <v>201.83650401012645</v>
      </c>
      <c r="CO15" s="4">
        <f t="shared" si="30"/>
        <v>206.88241661037932</v>
      </c>
      <c r="CP15" s="4">
        <f t="shared" si="30"/>
        <v>212.05447702563853</v>
      </c>
      <c r="CQ15" s="4">
        <f t="shared" si="30"/>
        <v>217.35583895127922</v>
      </c>
      <c r="CR15" s="4">
        <f t="shared" si="30"/>
        <v>222.78973492506094</v>
      </c>
      <c r="CS15" s="4">
        <f t="shared" si="30"/>
        <v>228.35947829818721</v>
      </c>
      <c r="CT15" s="4">
        <f>CT14*(1+$G$2)</f>
        <v>234.0684652556416</v>
      </c>
      <c r="CU15" s="4">
        <f t="shared" ref="CU15:DX15" si="32">CU14*(1+$G$2)</f>
        <v>239.92017688703234</v>
      </c>
      <c r="CV15" s="4">
        <f t="shared" si="32"/>
        <v>245.91818130920782</v>
      </c>
      <c r="CW15" s="4">
        <f t="shared" si="32"/>
        <v>252.06613584193769</v>
      </c>
      <c r="CX15" s="4">
        <f t="shared" si="32"/>
        <v>258.36778923798579</v>
      </c>
      <c r="CY15" s="4">
        <f>CY14*(1+$G$2)</f>
        <v>264.82698396893517</v>
      </c>
      <c r="CZ15" s="4">
        <f t="shared" si="32"/>
        <v>271.44765856815832</v>
      </c>
      <c r="DA15" s="4">
        <f t="shared" si="32"/>
        <v>278.23385003236183</v>
      </c>
      <c r="DB15" s="4">
        <f t="shared" si="32"/>
        <v>285.18969628317058</v>
      </c>
      <c r="DC15" s="4">
        <f t="shared" si="32"/>
        <v>292.31943869024946</v>
      </c>
      <c r="DD15" s="4">
        <f t="shared" si="32"/>
        <v>299.62742465750523</v>
      </c>
      <c r="DE15" s="4">
        <f t="shared" si="32"/>
        <v>307.11811027394248</v>
      </c>
      <c r="DF15" s="4">
        <f t="shared" si="32"/>
        <v>314.79606303079061</v>
      </c>
      <c r="DG15" s="4">
        <f t="shared" si="32"/>
        <v>322.6659646065599</v>
      </c>
      <c r="DH15" s="4">
        <f t="shared" si="32"/>
        <v>330.7326137217234</v>
      </c>
      <c r="DI15" s="4">
        <f t="shared" si="32"/>
        <v>339.00092906476607</v>
      </c>
      <c r="DJ15" s="4">
        <f t="shared" si="32"/>
        <v>347.47595229138483</v>
      </c>
      <c r="DK15" s="4">
        <f t="shared" si="32"/>
        <v>356.16285109866908</v>
      </c>
      <c r="DL15" s="4">
        <f t="shared" si="32"/>
        <v>365.06692237613532</v>
      </c>
      <c r="DM15" s="4">
        <f t="shared" si="32"/>
        <v>374.19359543553821</v>
      </c>
      <c r="DN15" s="4">
        <f t="shared" si="32"/>
        <v>383.54843532142621</v>
      </c>
      <c r="DO15" s="4">
        <f t="shared" si="32"/>
        <v>393.13714620446126</v>
      </c>
      <c r="DP15" s="4">
        <f t="shared" si="32"/>
        <v>402.9655748595722</v>
      </c>
      <c r="DQ15" s="4">
        <f t="shared" si="32"/>
        <v>413.03971423106105</v>
      </c>
      <c r="DR15" s="4">
        <f t="shared" si="32"/>
        <v>423.36570708683695</v>
      </c>
      <c r="DS15" s="4">
        <f t="shared" si="32"/>
        <v>433.94984976400724</v>
      </c>
      <c r="DT15" s="4">
        <f t="shared" si="32"/>
        <v>444.79859600810687</v>
      </c>
      <c r="DU15" s="4">
        <f t="shared" si="32"/>
        <v>455.91856090830896</v>
      </c>
      <c r="DV15" s="4">
        <f t="shared" si="32"/>
        <v>467.31652493101598</v>
      </c>
      <c r="DW15" s="4">
        <f t="shared" si="32"/>
        <v>478.99943805429075</v>
      </c>
      <c r="DX15" s="4">
        <f t="shared" si="32"/>
        <v>490.97442400564728</v>
      </c>
    </row>
    <row r="16" spans="1:128">
      <c r="A16" t="s">
        <v>25</v>
      </c>
      <c r="B16" s="4">
        <f t="shared" ref="B16:AA16" si="33">C5*(1-$G$1)</f>
        <v>10.112737103407815</v>
      </c>
      <c r="C16" s="4">
        <f t="shared" si="33"/>
        <v>10.366083308901935</v>
      </c>
      <c r="D16" s="4">
        <f t="shared" si="33"/>
        <v>10.62577639152555</v>
      </c>
      <c r="E16" s="4">
        <f t="shared" si="33"/>
        <v>10.891975354446759</v>
      </c>
      <c r="F16" s="4">
        <f t="shared" si="33"/>
        <v>11.164843184211133</v>
      </c>
      <c r="G16" s="4">
        <f t="shared" si="33"/>
        <v>11.444546950534058</v>
      </c>
      <c r="H16" s="4">
        <f t="shared" si="33"/>
        <v>11.731257908593077</v>
      </c>
      <c r="I16" s="4">
        <f t="shared" si="33"/>
        <v>12.025151603882893</v>
      </c>
      <c r="J16" s="4">
        <f t="shared" si="33"/>
        <v>12.326407979697169</v>
      </c>
      <c r="K16" s="4">
        <f t="shared" si="33"/>
        <v>12.635211487303074</v>
      </c>
      <c r="L16" s="4">
        <f t="shared" si="33"/>
        <v>12.951751198875842</v>
      </c>
      <c r="M16" s="4">
        <f t="shared" si="33"/>
        <v>13.276220923262658</v>
      </c>
      <c r="N16" s="4">
        <f t="shared" si="33"/>
        <v>13.608819324646671</v>
      </c>
      <c r="O16" s="4">
        <f t="shared" si="33"/>
        <v>13.949750044183759</v>
      </c>
      <c r="P16" s="4">
        <f t="shared" si="33"/>
        <v>14.299221824686628</v>
      </c>
      <c r="Q16" s="4">
        <f t="shared" si="33"/>
        <v>14.657448638432458</v>
      </c>
      <c r="R16" s="4">
        <f t="shared" si="33"/>
        <v>15.024649818172454</v>
      </c>
      <c r="S16" s="4">
        <f t="shared" si="33"/>
        <v>15.401050191423446</v>
      </c>
      <c r="T16" s="4">
        <f t="shared" si="33"/>
        <v>15.786880218123809</v>
      </c>
      <c r="U16" s="4">
        <f t="shared" si="33"/>
        <v>16.182376131737943</v>
      </c>
      <c r="V16" s="4">
        <f t="shared" si="33"/>
        <v>16.587780083895755</v>
      </c>
      <c r="W16" s="4">
        <f t="shared" si="33"/>
        <v>17.003340292655629</v>
      </c>
      <c r="X16" s="4">
        <f t="shared" si="33"/>
        <v>17.429311194481794</v>
      </c>
      <c r="Y16" s="4">
        <f t="shared" si="33"/>
        <v>17.865953600028963</v>
      </c>
      <c r="Z16" s="4">
        <f t="shared" si="33"/>
        <v>18.313534853829776</v>
      </c>
      <c r="AA16" s="4">
        <f t="shared" si="33"/>
        <v>18.772328997982751</v>
      </c>
      <c r="AB16" s="140">
        <v>21.326726982649443</v>
      </c>
      <c r="AC16" s="140">
        <v>24.397775668150967</v>
      </c>
      <c r="AD16" s="139">
        <v>27.813464261692104</v>
      </c>
      <c r="AE16" s="139">
        <v>31.206706901618539</v>
      </c>
      <c r="AF16" s="139">
        <v>34.01531052276421</v>
      </c>
      <c r="AG16" s="139">
        <v>36.80456598563088</v>
      </c>
      <c r="AH16" s="139">
        <v>39.859344962438243</v>
      </c>
      <c r="AI16" s="139">
        <v>41.692874830710402</v>
      </c>
      <c r="AJ16" s="139">
        <v>44.111061570891607</v>
      </c>
      <c r="AK16" s="139">
        <v>47.154724819283125</v>
      </c>
      <c r="AL16" s="139">
        <v>50.219781932536527</v>
      </c>
      <c r="AM16" s="139">
        <v>52.981869938826037</v>
      </c>
      <c r="AN16" s="139">
        <v>55.789909045583812</v>
      </c>
      <c r="AO16" s="139">
        <v>58.523614588817416</v>
      </c>
      <c r="AP16" s="139">
        <v>61.040130016136565</v>
      </c>
      <c r="AQ16" s="139">
        <v>63.664855606830436</v>
      </c>
      <c r="AR16" s="139">
        <v>65.702130986249017</v>
      </c>
      <c r="AS16" s="139">
        <v>67.016173605974004</v>
      </c>
      <c r="AT16" s="139">
        <v>67.954400036457642</v>
      </c>
      <c r="AU16" s="139">
        <v>69.925077637514903</v>
      </c>
      <c r="AV16" s="139">
        <v>72.722080743015511</v>
      </c>
      <c r="AW16" s="139">
        <v>74.685576923076923</v>
      </c>
      <c r="AX16" s="139">
        <v>77.673000000000002</v>
      </c>
      <c r="AY16" s="139">
        <v>79.695999999999998</v>
      </c>
      <c r="AZ16" s="139">
        <v>82.268000000000001</v>
      </c>
      <c r="BA16" s="139">
        <v>85.340999999999994</v>
      </c>
      <c r="BB16" s="139">
        <v>87.616</v>
      </c>
      <c r="BC16" s="139">
        <v>91.313999999999993</v>
      </c>
      <c r="BD16" s="139">
        <v>92.622</v>
      </c>
      <c r="BE16" s="139">
        <v>93.358000000000004</v>
      </c>
      <c r="BF16" s="139">
        <v>96.147999999999996</v>
      </c>
      <c r="BG16" s="139">
        <v>98.433999999999997</v>
      </c>
      <c r="BH16" s="139">
        <v>101.25700000000001</v>
      </c>
      <c r="BI16" s="139">
        <v>101.512</v>
      </c>
      <c r="BJ16" s="139">
        <v>100.455</v>
      </c>
      <c r="BK16" s="139">
        <v>100.47199999999999</v>
      </c>
      <c r="BL16" s="139">
        <v>102.04900000000001</v>
      </c>
      <c r="BM16" s="139">
        <v>103.184</v>
      </c>
      <c r="BN16" s="140">
        <v>104.405</v>
      </c>
      <c r="BO16" s="140">
        <v>105.22799999999999</v>
      </c>
      <c r="BP16" s="140">
        <v>104.66800000000001</v>
      </c>
      <c r="BQ16" s="140">
        <v>111.524</v>
      </c>
      <c r="BR16" s="4">
        <f t="shared" si="30"/>
        <v>117.48118866633344</v>
      </c>
      <c r="BS16" s="4">
        <f t="shared" si="30"/>
        <v>120.41821838299161</v>
      </c>
      <c r="BT16" s="4">
        <f t="shared" si="30"/>
        <v>123.42867384256624</v>
      </c>
      <c r="BU16" s="4">
        <f t="shared" si="30"/>
        <v>126.5143906886302</v>
      </c>
      <c r="BV16" s="4">
        <f t="shared" si="30"/>
        <v>129.67725045584578</v>
      </c>
      <c r="BW16" s="4">
        <f t="shared" si="30"/>
        <v>132.91918171724168</v>
      </c>
      <c r="BX16" s="4">
        <f t="shared" si="30"/>
        <v>136.24216126017254</v>
      </c>
      <c r="BY16" s="4">
        <f t="shared" si="30"/>
        <v>139.64821529167668</v>
      </c>
      <c r="BZ16" s="4">
        <f t="shared" si="30"/>
        <v>143.13942067396846</v>
      </c>
      <c r="CA16" s="4">
        <f t="shared" si="30"/>
        <v>146.71790619081747</v>
      </c>
      <c r="CB16" s="4">
        <f t="shared" si="30"/>
        <v>150.38585384558772</v>
      </c>
      <c r="CC16" s="4">
        <f t="shared" si="30"/>
        <v>154.14550019172722</v>
      </c>
      <c r="CD16" s="4">
        <f t="shared" si="30"/>
        <v>157.99913769652017</v>
      </c>
      <c r="CE16" s="4">
        <f t="shared" si="30"/>
        <v>161.94911613893296</v>
      </c>
      <c r="CF16" s="4">
        <f t="shared" si="30"/>
        <v>165.99784404240606</v>
      </c>
      <c r="CG16" s="4">
        <f t="shared" si="30"/>
        <v>170.14779014346595</v>
      </c>
      <c r="CH16" s="4">
        <f t="shared" si="30"/>
        <v>174.4014848970524</v>
      </c>
      <c r="CI16" s="4">
        <f t="shared" si="30"/>
        <v>178.76152201947843</v>
      </c>
      <c r="CJ16" s="4">
        <f t="shared" si="30"/>
        <v>183.23056006996515</v>
      </c>
      <c r="CK16" s="4">
        <f t="shared" si="30"/>
        <v>187.81132407171401</v>
      </c>
      <c r="CL16" s="4">
        <f t="shared" si="30"/>
        <v>192.50660717350658</v>
      </c>
      <c r="CM16" s="4">
        <f t="shared" si="30"/>
        <v>197.319272352844</v>
      </c>
      <c r="CN16" s="4">
        <f t="shared" si="30"/>
        <v>202.25225416166475</v>
      </c>
      <c r="CO16" s="4">
        <f t="shared" si="30"/>
        <v>207.30856051570609</v>
      </c>
      <c r="CP16" s="4">
        <f t="shared" si="30"/>
        <v>212.49127452859847</v>
      </c>
      <c r="CQ16" s="4">
        <f t="shared" si="30"/>
        <v>217.80355639181317</v>
      </c>
      <c r="CR16" s="4">
        <f t="shared" si="30"/>
        <v>223.24864530160824</v>
      </c>
      <c r="CS16" s="4">
        <f t="shared" si="30"/>
        <v>228.8298614341482</v>
      </c>
      <c r="CT16" s="4">
        <f t="shared" si="30"/>
        <v>234.55060797000161</v>
      </c>
      <c r="CU16" s="4">
        <f t="shared" ref="CU16:DX16" si="34">CU15*(1+$G$2)</f>
        <v>240.41437316925135</v>
      </c>
      <c r="CV16" s="4">
        <f t="shared" si="34"/>
        <v>246.42473249848229</v>
      </c>
      <c r="CW16" s="4">
        <f t="shared" si="34"/>
        <v>252.58535081094402</v>
      </c>
      <c r="CX16" s="4">
        <f t="shared" si="34"/>
        <v>258.89998458121727</v>
      </c>
      <c r="CY16" s="4">
        <f t="shared" si="34"/>
        <v>265.37248419574746</v>
      </c>
      <c r="CZ16" s="4">
        <f t="shared" si="34"/>
        <v>272.00679630064087</v>
      </c>
      <c r="DA16" s="4">
        <f t="shared" si="34"/>
        <v>278.8069662081565</v>
      </c>
      <c r="DB16" s="4">
        <f t="shared" si="34"/>
        <v>285.7771403633601</v>
      </c>
      <c r="DC16" s="4">
        <f t="shared" si="34"/>
        <v>292.92156887244369</v>
      </c>
      <c r="DD16" s="4">
        <f t="shared" si="34"/>
        <v>300.24460809425432</v>
      </c>
      <c r="DE16" s="4">
        <f t="shared" si="34"/>
        <v>307.75072329661032</v>
      </c>
      <c r="DF16" s="4">
        <f t="shared" si="34"/>
        <v>315.44449137902512</v>
      </c>
      <c r="DG16" s="4">
        <f t="shared" si="34"/>
        <v>323.33060366350026</v>
      </c>
      <c r="DH16" s="4">
        <f t="shared" si="34"/>
        <v>331.41386875508726</v>
      </c>
      <c r="DI16" s="4">
        <f t="shared" si="34"/>
        <v>339.69921547396405</v>
      </c>
      <c r="DJ16" s="4">
        <f t="shared" si="34"/>
        <v>348.19169586081279</v>
      </c>
      <c r="DK16" s="4">
        <f t="shared" si="34"/>
        <v>356.89648825733269</v>
      </c>
      <c r="DL16" s="4">
        <f t="shared" si="34"/>
        <v>365.81890046376554</v>
      </c>
      <c r="DM16" s="4">
        <f t="shared" si="34"/>
        <v>374.9643729753592</v>
      </c>
      <c r="DN16" s="4">
        <f t="shared" si="34"/>
        <v>384.33848229974274</v>
      </c>
      <c r="DO16" s="4">
        <f t="shared" si="34"/>
        <v>393.94694435723568</v>
      </c>
      <c r="DP16" s="4">
        <f t="shared" si="34"/>
        <v>403.79561796616599</v>
      </c>
      <c r="DQ16" s="4">
        <f t="shared" si="34"/>
        <v>413.89050841531969</v>
      </c>
      <c r="DR16" s="4">
        <f t="shared" si="34"/>
        <v>424.23777112570201</v>
      </c>
      <c r="DS16" s="4">
        <f t="shared" si="34"/>
        <v>434.84371540384393</v>
      </c>
      <c r="DT16" s="4">
        <f t="shared" si="34"/>
        <v>445.71480828893948</v>
      </c>
      <c r="DU16" s="4">
        <f t="shared" si="34"/>
        <v>456.85767849616241</v>
      </c>
      <c r="DV16" s="4">
        <f t="shared" si="34"/>
        <v>468.27912045856573</v>
      </c>
      <c r="DW16" s="4">
        <f t="shared" si="34"/>
        <v>479.98609847002928</v>
      </c>
      <c r="DX16" s="4">
        <f t="shared" si="34"/>
        <v>491.98575093177925</v>
      </c>
    </row>
    <row r="17" spans="2:137">
      <c r="B17" s="527"/>
      <c r="C17" s="527">
        <f t="shared" ref="C17:BM17" si="35">C16/B16-1</f>
        <v>2.505218942246068E-2</v>
      </c>
      <c r="D17" s="527">
        <f t="shared" si="35"/>
        <v>2.5052189422460236E-2</v>
      </c>
      <c r="E17" s="527">
        <f t="shared" si="35"/>
        <v>2.505218942246068E-2</v>
      </c>
      <c r="F17" s="527">
        <f t="shared" si="35"/>
        <v>2.505218942246068E-2</v>
      </c>
      <c r="G17" s="527">
        <f t="shared" si="35"/>
        <v>2.5052189422460458E-2</v>
      </c>
      <c r="H17" s="527">
        <f t="shared" si="35"/>
        <v>2.5052189422460236E-2</v>
      </c>
      <c r="I17" s="527">
        <f t="shared" si="35"/>
        <v>2.5052189422460902E-2</v>
      </c>
      <c r="J17" s="527">
        <f t="shared" si="35"/>
        <v>2.5052189422460236E-2</v>
      </c>
      <c r="K17" s="527">
        <f t="shared" si="35"/>
        <v>2.505218942246068E-2</v>
      </c>
      <c r="L17" s="527">
        <f t="shared" si="35"/>
        <v>2.505218942246068E-2</v>
      </c>
      <c r="M17" s="527">
        <f t="shared" si="35"/>
        <v>2.5052189422460458E-2</v>
      </c>
      <c r="N17" s="527">
        <f t="shared" si="35"/>
        <v>2.505218942246068E-2</v>
      </c>
      <c r="O17" s="527">
        <f t="shared" si="35"/>
        <v>2.5052189422460458E-2</v>
      </c>
      <c r="P17" s="527">
        <f t="shared" si="35"/>
        <v>2.5052189422460458E-2</v>
      </c>
      <c r="Q17" s="527">
        <f t="shared" si="35"/>
        <v>2.5052189422460458E-2</v>
      </c>
      <c r="R17" s="527">
        <f t="shared" si="35"/>
        <v>2.505218942246068E-2</v>
      </c>
      <c r="S17" s="527">
        <f t="shared" si="35"/>
        <v>2.5052189422460458E-2</v>
      </c>
      <c r="T17" s="527">
        <f t="shared" si="35"/>
        <v>2.505218942246068E-2</v>
      </c>
      <c r="U17" s="527">
        <f t="shared" si="35"/>
        <v>2.505218942246068E-2</v>
      </c>
      <c r="V17" s="527">
        <f t="shared" si="35"/>
        <v>2.5052189422461124E-2</v>
      </c>
      <c r="W17" s="527">
        <f t="shared" si="35"/>
        <v>2.5052189422460458E-2</v>
      </c>
      <c r="X17" s="527">
        <f t="shared" si="35"/>
        <v>2.505218942246068E-2</v>
      </c>
      <c r="Y17" s="527">
        <f t="shared" si="35"/>
        <v>2.5052189422460458E-2</v>
      </c>
      <c r="Z17" s="527">
        <f t="shared" si="35"/>
        <v>2.5052189422460236E-2</v>
      </c>
      <c r="AA17" s="527">
        <f t="shared" si="35"/>
        <v>2.5052189422460458E-2</v>
      </c>
      <c r="AB17" s="527">
        <f t="shared" si="35"/>
        <v>0.13607251316238833</v>
      </c>
      <c r="AC17" s="527">
        <f t="shared" si="35"/>
        <v>0.14400000000000013</v>
      </c>
      <c r="AD17" s="527">
        <f t="shared" si="35"/>
        <v>0.14000000000000012</v>
      </c>
      <c r="AE17" s="527">
        <f t="shared" si="35"/>
        <v>0.12199999999999989</v>
      </c>
      <c r="AF17" s="527">
        <f t="shared" si="35"/>
        <v>9.000000000000008E-2</v>
      </c>
      <c r="AG17" s="527">
        <f t="shared" si="35"/>
        <v>8.2000000000000073E-2</v>
      </c>
      <c r="AH17" s="527">
        <f t="shared" si="35"/>
        <v>8.2999999999999963E-2</v>
      </c>
      <c r="AI17" s="527">
        <f t="shared" si="35"/>
        <v>4.6000000000000041E-2</v>
      </c>
      <c r="AJ17" s="527">
        <f t="shared" si="35"/>
        <v>5.8000000000000052E-2</v>
      </c>
      <c r="AK17" s="527">
        <f t="shared" si="35"/>
        <v>6.899999999999995E-2</v>
      </c>
      <c r="AL17" s="527">
        <f t="shared" si="35"/>
        <v>6.4999999999999947E-2</v>
      </c>
      <c r="AM17" s="527">
        <f t="shared" si="35"/>
        <v>5.4999999999999938E-2</v>
      </c>
      <c r="AN17" s="527">
        <f t="shared" si="35"/>
        <v>5.2999999999999936E-2</v>
      </c>
      <c r="AO17" s="527">
        <f t="shared" si="35"/>
        <v>4.8999999999999932E-2</v>
      </c>
      <c r="AP17" s="527">
        <f t="shared" si="35"/>
        <v>4.2999999999999927E-2</v>
      </c>
      <c r="AQ17" s="527">
        <f t="shared" si="35"/>
        <v>4.2999999999999927E-2</v>
      </c>
      <c r="AR17" s="527">
        <f t="shared" si="35"/>
        <v>3.2000000000000028E-2</v>
      </c>
      <c r="AS17" s="527">
        <f t="shared" si="35"/>
        <v>2.0000000000000018E-2</v>
      </c>
      <c r="AT17" s="527">
        <f t="shared" si="35"/>
        <v>1.4000000000000012E-2</v>
      </c>
      <c r="AU17" s="527">
        <f t="shared" si="35"/>
        <v>2.8999999999999915E-2</v>
      </c>
      <c r="AV17" s="527">
        <f t="shared" si="35"/>
        <v>4.0000000000000258E-2</v>
      </c>
      <c r="AW17" s="527">
        <f t="shared" si="35"/>
        <v>2.6999999999999913E-2</v>
      </c>
      <c r="AX17" s="527">
        <f t="shared" si="35"/>
        <v>4.0000000000000036E-2</v>
      </c>
      <c r="AY17" s="527">
        <f t="shared" si="35"/>
        <v>2.6045086452177735E-2</v>
      </c>
      <c r="AZ17" s="527">
        <f t="shared" si="35"/>
        <v>3.2272636016864142E-2</v>
      </c>
      <c r="BA17" s="527">
        <f t="shared" si="35"/>
        <v>3.7353527495502359E-2</v>
      </c>
      <c r="BB17" s="527">
        <f t="shared" si="35"/>
        <v>2.6657761216765774E-2</v>
      </c>
      <c r="BC17" s="527">
        <f t="shared" si="35"/>
        <v>4.2206902848794581E-2</v>
      </c>
      <c r="BD17" s="527">
        <f t="shared" si="35"/>
        <v>1.4324200013141608E-2</v>
      </c>
      <c r="BE17" s="527">
        <f t="shared" si="35"/>
        <v>7.94627626265898E-3</v>
      </c>
      <c r="BF17" s="527">
        <f t="shared" si="35"/>
        <v>2.9884958975127995E-2</v>
      </c>
      <c r="BG17" s="527">
        <f t="shared" si="35"/>
        <v>2.377584557141077E-2</v>
      </c>
      <c r="BH17" s="527">
        <f t="shared" si="35"/>
        <v>2.8679114939959893E-2</v>
      </c>
      <c r="BI17" s="527">
        <f t="shared" si="35"/>
        <v>2.5183444107568231E-3</v>
      </c>
      <c r="BJ17" s="527">
        <f t="shared" si="35"/>
        <v>-1.0412562061628217E-2</v>
      </c>
      <c r="BK17" s="527">
        <f t="shared" si="35"/>
        <v>1.6923000348412209E-4</v>
      </c>
      <c r="BL17" s="527">
        <f t="shared" si="35"/>
        <v>1.5695915279879014E-2</v>
      </c>
      <c r="BM17" s="527">
        <f t="shared" si="35"/>
        <v>1.1122108006937692E-2</v>
      </c>
      <c r="BN17" s="527">
        <f>BN16/BM16-1</f>
        <v>1.1833229958133185E-2</v>
      </c>
      <c r="BO17" s="527">
        <f t="shared" ref="BO17:BQ17" si="36">BO16/BN16-1</f>
        <v>7.8827642354293292E-3</v>
      </c>
      <c r="BP17" s="527">
        <f t="shared" si="36"/>
        <v>-5.3217774736761259E-3</v>
      </c>
      <c r="BQ17" s="527">
        <f t="shared" si="36"/>
        <v>6.5502350288531241E-2</v>
      </c>
      <c r="BR17" s="527">
        <f t="shared" ref="BR17" si="37">BR16/BQ16-1</f>
        <v>5.3416203385221461E-2</v>
      </c>
      <c r="BS17" s="527">
        <f t="shared" ref="BS17" si="38">BS16/BR16-1</f>
        <v>2.4999999999998579E-2</v>
      </c>
      <c r="BT17" s="527">
        <f t="shared" ref="BT17" si="39">BT16/BS16-1</f>
        <v>2.4999999999998579E-2</v>
      </c>
      <c r="BU17" s="527">
        <f t="shared" ref="BU17" si="40">BU16/BT16-1</f>
        <v>2.4999999999998357E-2</v>
      </c>
      <c r="BV17" s="527">
        <f t="shared" ref="BV17" si="41">BV16/BU16-1</f>
        <v>2.4999999999998579E-2</v>
      </c>
      <c r="BW17" s="527">
        <f t="shared" ref="BW17" si="42">BW16/BV16-1</f>
        <v>2.4999999999998135E-2</v>
      </c>
      <c r="BX17" s="527">
        <f t="shared" ref="BX17" si="43">BX16/BW16-1</f>
        <v>2.4999999999998579E-2</v>
      </c>
      <c r="BY17" s="527">
        <f t="shared" ref="BY17" si="44">BY16/BX16-1</f>
        <v>2.4999999999998801E-2</v>
      </c>
      <c r="BZ17" s="527">
        <f t="shared" ref="BZ17" si="45">BZ16/BY16-1</f>
        <v>2.4999999999999023E-2</v>
      </c>
      <c r="CA17" s="527">
        <f t="shared" ref="CA17" si="46">CA16/BZ16-1</f>
        <v>2.4999999999998579E-2</v>
      </c>
      <c r="CB17" s="527">
        <f t="shared" ref="CB17" si="47">CB16/CA16-1</f>
        <v>2.4999999999998801E-2</v>
      </c>
      <c r="CC17" s="527">
        <f t="shared" ref="CC17" si="48">CC16/CB16-1</f>
        <v>2.4999999999998801E-2</v>
      </c>
      <c r="CD17" s="527">
        <f t="shared" ref="CD17" si="49">CD16/CC16-1</f>
        <v>2.4999999999998357E-2</v>
      </c>
      <c r="CE17" s="527">
        <f t="shared" ref="CE17" si="50">CE16/CD16-1</f>
        <v>2.4999999999998801E-2</v>
      </c>
      <c r="CF17" s="527">
        <f t="shared" ref="CF17" si="51">CF16/CE16-1</f>
        <v>2.4999999999998579E-2</v>
      </c>
      <c r="CG17" s="527">
        <f t="shared" ref="CG17" si="52">CG16/CF16-1</f>
        <v>2.4999999999998357E-2</v>
      </c>
      <c r="CH17" s="527">
        <f t="shared" ref="CH17" si="53">CH16/CG16-1</f>
        <v>2.4999999999998801E-2</v>
      </c>
      <c r="CI17" s="527">
        <f t="shared" ref="CI17" si="54">CI16/CH16-1</f>
        <v>2.4999999999998357E-2</v>
      </c>
      <c r="CJ17" s="527">
        <f t="shared" ref="CJ17" si="55">CJ16/CI16-1</f>
        <v>2.4999999999998579E-2</v>
      </c>
      <c r="CK17" s="527">
        <f t="shared" ref="CK17" si="56">CK16/CJ16-1</f>
        <v>2.4999999999998579E-2</v>
      </c>
      <c r="CL17" s="527">
        <f t="shared" ref="CL17" si="57">CL16/CK16-1</f>
        <v>2.4999999999998579E-2</v>
      </c>
      <c r="CM17" s="527">
        <f t="shared" ref="CM17" si="58">CM16/CL16-1</f>
        <v>2.4999999999998801E-2</v>
      </c>
      <c r="CN17" s="527">
        <f t="shared" ref="CN17" si="59">CN16/CM16-1</f>
        <v>2.4999999999998357E-2</v>
      </c>
      <c r="CO17" s="527">
        <f t="shared" ref="CO17" si="60">CO16/CN16-1</f>
        <v>2.4999999999998579E-2</v>
      </c>
      <c r="CP17" s="527">
        <f t="shared" ref="CP17" si="61">CP16/CO16-1</f>
        <v>2.4999999999998579E-2</v>
      </c>
      <c r="CQ17" s="527">
        <f t="shared" ref="CQ17" si="62">CQ16/CP16-1</f>
        <v>2.4999999999998801E-2</v>
      </c>
      <c r="CR17" s="527">
        <f t="shared" ref="CR17" si="63">CR16/CQ16-1</f>
        <v>2.4999999999998801E-2</v>
      </c>
      <c r="CS17" s="527">
        <f t="shared" ref="CS17" si="64">CS16/CR16-1</f>
        <v>2.4999999999999023E-2</v>
      </c>
      <c r="CT17" s="527">
        <f t="shared" ref="CT17" si="65">CT16/CS16-1</f>
        <v>2.4999999999998801E-2</v>
      </c>
      <c r="CU17" s="527">
        <f t="shared" ref="CU17" si="66">CU16/CT16-1</f>
        <v>2.4999999999998801E-2</v>
      </c>
      <c r="CV17" s="527">
        <f t="shared" ref="CV17" si="67">CV16/CU16-1</f>
        <v>2.4999999999998579E-2</v>
      </c>
      <c r="CW17" s="527">
        <f t="shared" ref="CW17" si="68">CW16/CV16-1</f>
        <v>2.4999999999998801E-2</v>
      </c>
      <c r="CX17" s="527">
        <f t="shared" ref="CX17" si="69">CX16/CW16-1</f>
        <v>2.4999999999998579E-2</v>
      </c>
      <c r="CY17" s="527">
        <f t="shared" ref="CY17" si="70">CY16/CX16-1</f>
        <v>2.4999999999999023E-2</v>
      </c>
      <c r="CZ17" s="527">
        <f t="shared" ref="CZ17" si="71">CZ16/CY16-1</f>
        <v>2.4999999999999023E-2</v>
      </c>
      <c r="DA17" s="527">
        <f t="shared" ref="DA17" si="72">DA16/CZ16-1</f>
        <v>2.4999999999998579E-2</v>
      </c>
      <c r="DB17" s="527">
        <f t="shared" ref="DB17" si="73">DB16/DA16-1</f>
        <v>2.4999999999998801E-2</v>
      </c>
      <c r="DC17" s="527">
        <f t="shared" ref="DC17" si="74">DC16/DB16-1</f>
        <v>2.4999999999998579E-2</v>
      </c>
      <c r="DD17" s="527">
        <f t="shared" ref="DD17" si="75">DD16/DC16-1</f>
        <v>2.4999999999998357E-2</v>
      </c>
      <c r="DE17" s="527">
        <f t="shared" ref="DE17" si="76">DE16/DD16-1</f>
        <v>2.4999999999998801E-2</v>
      </c>
      <c r="DF17" s="527">
        <f t="shared" ref="DF17" si="77">DF16/DE16-1</f>
        <v>2.4999999999998579E-2</v>
      </c>
      <c r="DG17" s="527">
        <f t="shared" ref="DG17" si="78">DG16/DF16-1</f>
        <v>2.4999999999998357E-2</v>
      </c>
      <c r="DH17" s="527">
        <f t="shared" ref="DH17" si="79">DH16/DG16-1</f>
        <v>2.4999999999998357E-2</v>
      </c>
      <c r="DI17" s="527">
        <f t="shared" ref="DI17" si="80">DI16/DH16-1</f>
        <v>2.4999999999998801E-2</v>
      </c>
      <c r="DJ17" s="527">
        <f t="shared" ref="DJ17" si="81">DJ16/DI16-1</f>
        <v>2.4999999999999023E-2</v>
      </c>
      <c r="DK17" s="527">
        <f t="shared" ref="DK17" si="82">DK16/DJ16-1</f>
        <v>2.4999999999998801E-2</v>
      </c>
      <c r="DL17" s="527">
        <f t="shared" ref="DL17" si="83">DL16/DK16-1</f>
        <v>2.4999999999998801E-2</v>
      </c>
      <c r="DM17" s="527">
        <f t="shared" ref="DM17" si="84">DM16/DL16-1</f>
        <v>2.4999999999998579E-2</v>
      </c>
      <c r="DN17" s="527">
        <f t="shared" ref="DN17" si="85">DN16/DM16-1</f>
        <v>2.4999999999998801E-2</v>
      </c>
      <c r="DO17" s="527">
        <f t="shared" ref="DO17" si="86">DO16/DN16-1</f>
        <v>2.4999999999998357E-2</v>
      </c>
      <c r="DP17" s="527">
        <f t="shared" ref="DP17" si="87">DP16/DO16-1</f>
        <v>2.4999999999998579E-2</v>
      </c>
      <c r="DQ17" s="527">
        <f t="shared" ref="DQ17" si="88">DQ16/DP16-1</f>
        <v>2.4999999999998801E-2</v>
      </c>
      <c r="DR17" s="527">
        <f t="shared" ref="DR17" si="89">DR16/DQ16-1</f>
        <v>2.4999999999998357E-2</v>
      </c>
      <c r="DS17" s="527">
        <f t="shared" ref="DS17" si="90">DS16/DR16-1</f>
        <v>2.4999999999998579E-2</v>
      </c>
      <c r="DT17" s="527">
        <f t="shared" ref="DT17" si="91">DT16/DS16-1</f>
        <v>2.4999999999998801E-2</v>
      </c>
      <c r="DU17" s="527">
        <f t="shared" ref="DU17" si="92">DU16/DT16-1</f>
        <v>2.4999999999998801E-2</v>
      </c>
      <c r="DV17" s="527">
        <f t="shared" ref="DV17" si="93">DV16/DU16-1</f>
        <v>2.4999999999998357E-2</v>
      </c>
      <c r="DW17" s="527">
        <f t="shared" ref="DW17" si="94">DW16/DV16-1</f>
        <v>2.4999999999998801E-2</v>
      </c>
      <c r="DX17" s="527">
        <f t="shared" ref="DX17" si="95">DX16/DW16-1</f>
        <v>2.4999999999998357E-2</v>
      </c>
    </row>
    <row r="18" spans="2:137">
      <c r="B18" t="s">
        <v>1197</v>
      </c>
      <c r="E18" t="s">
        <v>26</v>
      </c>
      <c r="K18" s="148">
        <f>Hipótesis!E11</f>
        <v>2.5000000000000001E-2</v>
      </c>
    </row>
    <row r="20" spans="2:137">
      <c r="B20" s="137">
        <v>1985</v>
      </c>
      <c r="C20" s="137">
        <v>1986</v>
      </c>
      <c r="D20" s="137">
        <v>1987</v>
      </c>
      <c r="E20" s="137">
        <v>1988</v>
      </c>
      <c r="F20" s="137">
        <v>1989</v>
      </c>
      <c r="G20" s="137">
        <v>1990</v>
      </c>
      <c r="H20" s="137">
        <v>1991</v>
      </c>
      <c r="I20" s="137">
        <v>1992</v>
      </c>
      <c r="J20" s="137">
        <v>1993</v>
      </c>
      <c r="K20" s="137">
        <v>1994</v>
      </c>
      <c r="L20" s="137">
        <v>1995</v>
      </c>
      <c r="M20" s="137">
        <v>1996</v>
      </c>
      <c r="N20" s="137">
        <v>1997</v>
      </c>
      <c r="O20" s="137">
        <v>1998</v>
      </c>
      <c r="P20" s="137">
        <v>1999</v>
      </c>
      <c r="Q20" s="137">
        <v>2000</v>
      </c>
      <c r="R20" s="137">
        <v>2001</v>
      </c>
      <c r="S20" s="137">
        <v>2002</v>
      </c>
      <c r="T20" s="137">
        <v>2003</v>
      </c>
      <c r="U20" s="137">
        <v>2004</v>
      </c>
      <c r="V20" s="137">
        <v>2005</v>
      </c>
      <c r="W20" s="137">
        <v>2006</v>
      </c>
      <c r="X20" s="137">
        <v>2007</v>
      </c>
      <c r="Y20" s="137">
        <v>2008</v>
      </c>
      <c r="Z20" s="137">
        <v>2009</v>
      </c>
      <c r="AA20" s="137">
        <v>2010</v>
      </c>
      <c r="AB20" s="137">
        <v>2011</v>
      </c>
      <c r="AC20" s="137">
        <v>2012</v>
      </c>
      <c r="AD20" s="137">
        <v>2013</v>
      </c>
      <c r="AE20" s="137">
        <v>2014</v>
      </c>
      <c r="AF20" s="137">
        <v>2015</v>
      </c>
      <c r="AG20" s="137">
        <v>2016</v>
      </c>
      <c r="AH20" s="137">
        <v>2017</v>
      </c>
      <c r="AI20" s="137">
        <v>2018</v>
      </c>
      <c r="AJ20" s="137">
        <v>2019</v>
      </c>
      <c r="AK20" s="137">
        <v>2020</v>
      </c>
      <c r="AL20" s="137">
        <v>2021</v>
      </c>
      <c r="AM20" s="137">
        <v>2022</v>
      </c>
      <c r="AN20" s="137">
        <v>2023</v>
      </c>
      <c r="AO20" s="137">
        <v>2024</v>
      </c>
      <c r="AP20" s="137">
        <v>2025</v>
      </c>
      <c r="AQ20" s="137">
        <v>2026</v>
      </c>
      <c r="AR20" s="137">
        <v>2027</v>
      </c>
      <c r="AS20" s="137">
        <v>2028</v>
      </c>
      <c r="AT20" s="137">
        <v>2029</v>
      </c>
      <c r="AU20" s="137">
        <v>2030</v>
      </c>
      <c r="AV20" s="137">
        <v>2031</v>
      </c>
      <c r="AW20" s="137">
        <v>2032</v>
      </c>
      <c r="AX20" s="137">
        <v>2033</v>
      </c>
      <c r="AY20" s="137">
        <v>2034</v>
      </c>
      <c r="AZ20" s="137">
        <v>2035</v>
      </c>
      <c r="BA20" s="137">
        <v>2036</v>
      </c>
      <c r="BB20" s="137">
        <v>2037</v>
      </c>
      <c r="BC20" s="137">
        <v>2038</v>
      </c>
      <c r="BD20" s="137">
        <v>2039</v>
      </c>
      <c r="BE20" s="137">
        <v>2040</v>
      </c>
      <c r="BF20" s="137">
        <v>2041</v>
      </c>
      <c r="BG20" s="137">
        <v>2042</v>
      </c>
      <c r="BH20" s="137">
        <v>2043</v>
      </c>
      <c r="BI20" s="137">
        <v>2044</v>
      </c>
      <c r="BJ20" s="137">
        <v>2045</v>
      </c>
      <c r="BK20" s="137">
        <v>2046</v>
      </c>
      <c r="BL20" s="137">
        <v>2047</v>
      </c>
      <c r="BM20" s="137">
        <v>2048</v>
      </c>
      <c r="BN20" s="137">
        <v>2049</v>
      </c>
      <c r="BO20" s="137">
        <v>2050</v>
      </c>
      <c r="BP20" s="137">
        <v>2051</v>
      </c>
      <c r="BQ20" s="137">
        <v>2052</v>
      </c>
      <c r="BR20" s="137">
        <v>2053</v>
      </c>
      <c r="BS20" s="137">
        <v>2054</v>
      </c>
      <c r="BT20" s="137">
        <v>2055</v>
      </c>
      <c r="BU20" s="137">
        <v>2056</v>
      </c>
      <c r="BV20" s="137">
        <v>2057</v>
      </c>
      <c r="BW20" s="137">
        <v>2058</v>
      </c>
      <c r="BX20" s="137">
        <v>2059</v>
      </c>
      <c r="BY20" s="137">
        <v>2060</v>
      </c>
      <c r="BZ20" s="137">
        <v>2061</v>
      </c>
      <c r="CA20" s="137">
        <v>2062</v>
      </c>
      <c r="CB20" s="137">
        <v>2063</v>
      </c>
      <c r="CC20" s="137">
        <v>2064</v>
      </c>
      <c r="CD20" s="137">
        <v>2065</v>
      </c>
      <c r="CE20" s="137">
        <v>2066</v>
      </c>
      <c r="CF20" s="137">
        <v>2067</v>
      </c>
      <c r="CG20" s="137">
        <v>2068</v>
      </c>
      <c r="CH20" s="137">
        <v>2069</v>
      </c>
      <c r="CI20" s="137">
        <v>2070</v>
      </c>
      <c r="CJ20" s="137">
        <v>2071</v>
      </c>
      <c r="CK20" s="137">
        <v>2072</v>
      </c>
      <c r="CL20" s="137">
        <v>2073</v>
      </c>
      <c r="CM20" s="137">
        <v>2074</v>
      </c>
      <c r="CN20" s="137">
        <v>2075</v>
      </c>
      <c r="CO20" s="137">
        <v>2076</v>
      </c>
      <c r="CP20" s="137">
        <v>2077</v>
      </c>
      <c r="CQ20" s="137">
        <v>2078</v>
      </c>
      <c r="CR20" s="137">
        <v>2079</v>
      </c>
      <c r="CS20" s="137">
        <v>2080</v>
      </c>
      <c r="CT20" s="137">
        <v>2081</v>
      </c>
      <c r="CU20" s="137">
        <v>2082</v>
      </c>
      <c r="CV20" s="137">
        <v>2083</v>
      </c>
      <c r="CW20" s="137">
        <v>2084</v>
      </c>
      <c r="CX20" s="137">
        <v>2085</v>
      </c>
      <c r="CY20" s="137">
        <v>2086</v>
      </c>
      <c r="CZ20" s="137">
        <v>2087</v>
      </c>
      <c r="DA20" s="137">
        <v>2088</v>
      </c>
      <c r="DB20" s="137">
        <v>2089</v>
      </c>
      <c r="DC20" s="137">
        <v>2090</v>
      </c>
      <c r="DD20" s="137">
        <v>2091</v>
      </c>
      <c r="DE20" s="137">
        <v>2092</v>
      </c>
      <c r="DF20" s="137">
        <v>2093</v>
      </c>
      <c r="DG20" s="137">
        <v>2094</v>
      </c>
      <c r="DH20" s="137">
        <v>2095</v>
      </c>
      <c r="DI20" s="137">
        <v>2096</v>
      </c>
      <c r="DJ20" s="137">
        <v>2097</v>
      </c>
      <c r="DK20" s="137">
        <v>2098</v>
      </c>
      <c r="DL20" s="137">
        <v>2099</v>
      </c>
      <c r="DM20" s="137">
        <v>2100</v>
      </c>
    </row>
    <row r="21" spans="2:137">
      <c r="B21" s="136">
        <v>15814.431502650465</v>
      </c>
      <c r="C21" s="136">
        <v>15814.431502650465</v>
      </c>
      <c r="D21" s="136">
        <v>15814.431502650465</v>
      </c>
      <c r="E21" s="136">
        <v>15814.431502650465</v>
      </c>
      <c r="F21" s="136">
        <v>16289.832077218036</v>
      </c>
      <c r="G21" s="136">
        <v>17430.120322623297</v>
      </c>
      <c r="H21" s="136">
        <v>18598.007043861864</v>
      </c>
      <c r="I21" s="136">
        <v>19658.108254300241</v>
      </c>
      <c r="J21" s="136">
        <v>20660.656545622831</v>
      </c>
      <c r="K21" s="136">
        <v>21383.77026913322</v>
      </c>
      <c r="L21" s="136">
        <v>22324.642698303946</v>
      </c>
      <c r="M21" s="136">
        <v>23306.912841224625</v>
      </c>
      <c r="N21" s="136">
        <v>23912.901325832703</v>
      </c>
      <c r="O21" s="136">
        <v>24415.058959287442</v>
      </c>
      <c r="P21" s="136">
        <v>24854.531030254951</v>
      </c>
      <c r="Q21" s="136">
        <v>25575.709494789226</v>
      </c>
      <c r="R21" s="136">
        <v>26624.283293065499</v>
      </c>
      <c r="S21" s="136">
        <v>27343.4</v>
      </c>
      <c r="T21" s="136">
        <v>28409.78</v>
      </c>
      <c r="U21" s="136">
        <v>29205.4</v>
      </c>
      <c r="V21" s="136">
        <v>30227.68</v>
      </c>
      <c r="W21" s="136">
        <v>31255.56</v>
      </c>
      <c r="X21" s="136">
        <v>32068.26</v>
      </c>
      <c r="Y21" s="136">
        <v>33383.14</v>
      </c>
      <c r="Z21" s="136">
        <v>34184.5</v>
      </c>
      <c r="AA21" s="136">
        <v>34526.800000000003</v>
      </c>
      <c r="AB21" s="136">
        <v>34970.74</v>
      </c>
      <c r="AC21" s="136">
        <v>35320.46</v>
      </c>
      <c r="AD21" s="136">
        <v>35673.68</v>
      </c>
      <c r="AE21" s="136">
        <v>35762.86</v>
      </c>
      <c r="AF21" s="136">
        <v>35852.267149999992</v>
      </c>
      <c r="AG21" s="136">
        <v>35941.920000000006</v>
      </c>
      <c r="AH21" s="136">
        <v>36031.799999999996</v>
      </c>
      <c r="AI21" s="136">
        <v>36645.47</v>
      </c>
      <c r="AJ21" s="136">
        <v>37231.79752</v>
      </c>
      <c r="AK21" s="136">
        <f>AJ21*(1+0.009)</f>
        <v>37566.883697679994</v>
      </c>
      <c r="AL21" s="136">
        <v>38505.93</v>
      </c>
      <c r="AM21" s="139">
        <v>39468.519999999997</v>
      </c>
      <c r="AN21" s="136">
        <f>AM21*(1+$K$18)</f>
        <v>40455.232999999993</v>
      </c>
      <c r="AO21" s="136">
        <f t="shared" ref="AO21:BN21" si="96">AN21*(1+$K$18)</f>
        <v>41466.613824999986</v>
      </c>
      <c r="AP21" s="136">
        <f t="shared" si="96"/>
        <v>42503.279170624985</v>
      </c>
      <c r="AQ21" s="136">
        <f t="shared" si="96"/>
        <v>43565.861149890603</v>
      </c>
      <c r="AR21" s="136">
        <f t="shared" si="96"/>
        <v>44655.007678637863</v>
      </c>
      <c r="AS21" s="136">
        <f t="shared" si="96"/>
        <v>45771.382870603804</v>
      </c>
      <c r="AT21" s="136">
        <f t="shared" si="96"/>
        <v>46915.667442368896</v>
      </c>
      <c r="AU21" s="136">
        <f t="shared" si="96"/>
        <v>48088.559128428118</v>
      </c>
      <c r="AV21" s="136">
        <f t="shared" si="96"/>
        <v>49290.773106638815</v>
      </c>
      <c r="AW21" s="136">
        <f t="shared" si="96"/>
        <v>50523.042434304778</v>
      </c>
      <c r="AX21" s="136">
        <f t="shared" si="96"/>
        <v>51786.118495162395</v>
      </c>
      <c r="AY21" s="136">
        <f t="shared" si="96"/>
        <v>53080.77145754145</v>
      </c>
      <c r="AZ21" s="136">
        <f t="shared" si="96"/>
        <v>54407.790743979982</v>
      </c>
      <c r="BA21" s="136">
        <f t="shared" si="96"/>
        <v>55767.985512579478</v>
      </c>
      <c r="BB21" s="136">
        <f t="shared" si="96"/>
        <v>57162.185150393962</v>
      </c>
      <c r="BC21" s="136">
        <f t="shared" si="96"/>
        <v>58591.239779153802</v>
      </c>
      <c r="BD21" s="136">
        <f>BC21*(1+$K$18)</f>
        <v>60056.020773632641</v>
      </c>
      <c r="BE21" s="136">
        <f t="shared" si="96"/>
        <v>61557.421292973449</v>
      </c>
      <c r="BF21" s="136">
        <f>BE21*(1+$K$18)</f>
        <v>63096.356825297778</v>
      </c>
      <c r="BG21" s="136">
        <f t="shared" si="96"/>
        <v>64673.765745930221</v>
      </c>
      <c r="BH21" s="136">
        <f t="shared" si="96"/>
        <v>66290.609889578467</v>
      </c>
      <c r="BI21" s="136">
        <f t="shared" si="96"/>
        <v>67947.875136817922</v>
      </c>
      <c r="BJ21" s="136">
        <f t="shared" si="96"/>
        <v>69646.572015238358</v>
      </c>
      <c r="BK21" s="136">
        <f t="shared" si="96"/>
        <v>71387.736315619317</v>
      </c>
      <c r="BL21" s="136">
        <f t="shared" si="96"/>
        <v>73172.429723509791</v>
      </c>
      <c r="BM21" s="136">
        <f t="shared" si="96"/>
        <v>75001.740466597534</v>
      </c>
      <c r="BN21" s="4">
        <f t="shared" si="96"/>
        <v>76876.783978262465</v>
      </c>
      <c r="BO21" s="4">
        <f>BN21*(1+$K$18)</f>
        <v>78798.703577719018</v>
      </c>
      <c r="BP21" s="4">
        <f t="shared" ref="BP21:DM21" si="97">BO21*(1+$K$18)</f>
        <v>80768.671167161985</v>
      </c>
      <c r="BQ21" s="4">
        <f t="shared" si="97"/>
        <v>82787.887946341027</v>
      </c>
      <c r="BR21" s="4">
        <f t="shared" si="97"/>
        <v>84857.585144999539</v>
      </c>
      <c r="BS21" s="4">
        <f t="shared" si="97"/>
        <v>86979.024773624522</v>
      </c>
      <c r="BT21" s="4">
        <f t="shared" si="97"/>
        <v>89153.500392965128</v>
      </c>
      <c r="BU21" s="4">
        <f t="shared" si="97"/>
        <v>91382.337902789252</v>
      </c>
      <c r="BV21" s="4">
        <f t="shared" si="97"/>
        <v>93666.896350358977</v>
      </c>
      <c r="BW21" s="4">
        <f t="shared" si="97"/>
        <v>96008.568759117945</v>
      </c>
      <c r="BX21" s="4">
        <f t="shared" si="97"/>
        <v>98408.782978095885</v>
      </c>
      <c r="BY21" s="4">
        <f t="shared" si="97"/>
        <v>100869.00255254828</v>
      </c>
      <c r="BZ21" s="4">
        <f t="shared" si="97"/>
        <v>103390.72761636198</v>
      </c>
      <c r="CA21" s="4">
        <f t="shared" si="97"/>
        <v>105975.49580677102</v>
      </c>
      <c r="CB21" s="4">
        <f t="shared" si="97"/>
        <v>108624.88320194029</v>
      </c>
      <c r="CC21" s="4">
        <f t="shared" si="97"/>
        <v>111340.50528198879</v>
      </c>
      <c r="CD21" s="4">
        <f t="shared" si="97"/>
        <v>114124.0179140385</v>
      </c>
      <c r="CE21" s="4">
        <f t="shared" si="97"/>
        <v>116977.11836188946</v>
      </c>
      <c r="CF21" s="4">
        <f t="shared" si="97"/>
        <v>119901.54632093669</v>
      </c>
      <c r="CG21" s="4">
        <f t="shared" si="97"/>
        <v>122899.08497896009</v>
      </c>
      <c r="CH21" s="4">
        <f t="shared" si="97"/>
        <v>125971.56210343409</v>
      </c>
      <c r="CI21" s="4">
        <f t="shared" si="97"/>
        <v>129120.85115601993</v>
      </c>
      <c r="CJ21" s="4">
        <f t="shared" si="97"/>
        <v>132348.8724349204</v>
      </c>
      <c r="CK21" s="4">
        <f t="shared" si="97"/>
        <v>135657.59424579339</v>
      </c>
      <c r="CL21" s="4">
        <f t="shared" si="97"/>
        <v>139049.03410193822</v>
      </c>
      <c r="CM21" s="4">
        <f t="shared" si="97"/>
        <v>142525.25995448665</v>
      </c>
      <c r="CN21" s="4">
        <f t="shared" si="97"/>
        <v>146088.3914533488</v>
      </c>
      <c r="CO21" s="4">
        <f t="shared" si="97"/>
        <v>149740.6012396825</v>
      </c>
      <c r="CP21" s="4">
        <f t="shared" si="97"/>
        <v>153484.11627067454</v>
      </c>
      <c r="CQ21" s="4">
        <f t="shared" si="97"/>
        <v>157321.21917744138</v>
      </c>
      <c r="CR21" s="4">
        <f t="shared" si="97"/>
        <v>161254.24965687739</v>
      </c>
      <c r="CS21" s="4">
        <f t="shared" si="97"/>
        <v>165285.60589829931</v>
      </c>
      <c r="CT21" s="4">
        <f t="shared" si="97"/>
        <v>169417.74604575679</v>
      </c>
      <c r="CU21" s="4">
        <f t="shared" si="97"/>
        <v>173653.18969690069</v>
      </c>
      <c r="CV21" s="4">
        <f t="shared" si="97"/>
        <v>177994.51943932319</v>
      </c>
      <c r="CW21" s="4">
        <f t="shared" si="97"/>
        <v>182444.38242530625</v>
      </c>
      <c r="CX21" s="4">
        <f t="shared" si="97"/>
        <v>187005.49198593889</v>
      </c>
      <c r="CY21" s="4">
        <f t="shared" si="97"/>
        <v>191680.62928558735</v>
      </c>
      <c r="CZ21" s="4">
        <f t="shared" si="97"/>
        <v>196472.64501772702</v>
      </c>
      <c r="DA21" s="4">
        <f t="shared" si="97"/>
        <v>201384.46114317016</v>
      </c>
      <c r="DB21" s="4">
        <f t="shared" si="97"/>
        <v>206419.0726717494</v>
      </c>
      <c r="DC21" s="4">
        <f t="shared" si="97"/>
        <v>211579.54948854313</v>
      </c>
      <c r="DD21" s="4">
        <f t="shared" si="97"/>
        <v>216869.0382257567</v>
      </c>
      <c r="DE21" s="4">
        <f t="shared" si="97"/>
        <v>222290.76418140059</v>
      </c>
      <c r="DF21" s="4">
        <f t="shared" si="97"/>
        <v>227848.03328593558</v>
      </c>
      <c r="DG21" s="4">
        <f t="shared" si="97"/>
        <v>233544.23411808396</v>
      </c>
      <c r="DH21" s="4">
        <f t="shared" si="97"/>
        <v>239382.83997103604</v>
      </c>
      <c r="DI21" s="4">
        <f t="shared" si="97"/>
        <v>245367.41097031193</v>
      </c>
      <c r="DJ21" s="4">
        <f t="shared" si="97"/>
        <v>251501.59624456972</v>
      </c>
      <c r="DK21" s="4">
        <f t="shared" si="97"/>
        <v>257789.13615068395</v>
      </c>
      <c r="DL21" s="4">
        <f t="shared" si="97"/>
        <v>264233.86455445102</v>
      </c>
      <c r="DM21" s="4">
        <f t="shared" si="97"/>
        <v>270839.71116831229</v>
      </c>
    </row>
    <row r="22" spans="2:137">
      <c r="BD22">
        <f t="shared" ref="BD22:BE22" si="98">BD21/14</f>
        <v>4289.7157695451888</v>
      </c>
      <c r="BE22">
        <f t="shared" si="98"/>
        <v>4396.9586637838174</v>
      </c>
      <c r="BF22">
        <f>BF21/14</f>
        <v>4506.8826303784126</v>
      </c>
    </row>
    <row r="23" spans="2:137">
      <c r="B23" t="s">
        <v>1198</v>
      </c>
      <c r="G23" t="s">
        <v>27</v>
      </c>
      <c r="J23" s="148">
        <f>Hipótesis!E9</f>
        <v>2.5000000000000001E-2</v>
      </c>
      <c r="L23" t="s">
        <v>28</v>
      </c>
    </row>
    <row r="24" spans="2:137">
      <c r="AN24" s="149" t="s">
        <v>337</v>
      </c>
    </row>
    <row r="25" spans="2:137">
      <c r="B25" s="137">
        <v>1980</v>
      </c>
      <c r="C25" s="137">
        <v>1981</v>
      </c>
      <c r="D25" s="137">
        <v>1982</v>
      </c>
      <c r="E25" s="137">
        <v>1983</v>
      </c>
      <c r="F25" s="137">
        <v>1984</v>
      </c>
      <c r="G25" s="137">
        <v>1985</v>
      </c>
      <c r="H25" s="137">
        <v>1986</v>
      </c>
      <c r="I25" s="137">
        <v>1987</v>
      </c>
      <c r="J25" s="137">
        <v>1988</v>
      </c>
      <c r="K25" s="137">
        <v>1989</v>
      </c>
      <c r="L25" s="137">
        <v>1990</v>
      </c>
      <c r="M25" s="137">
        <v>1991</v>
      </c>
      <c r="N25" s="137">
        <v>1992</v>
      </c>
      <c r="O25" s="137">
        <v>1993</v>
      </c>
      <c r="P25" s="137">
        <v>1994</v>
      </c>
      <c r="Q25" s="137">
        <v>1995</v>
      </c>
      <c r="R25" s="137">
        <v>1996</v>
      </c>
      <c r="S25" s="137">
        <v>1997</v>
      </c>
      <c r="T25" s="137">
        <v>1998</v>
      </c>
      <c r="U25" s="137">
        <v>1999</v>
      </c>
      <c r="V25" s="137">
        <v>2000</v>
      </c>
      <c r="W25" s="137">
        <v>2001</v>
      </c>
      <c r="X25" s="137">
        <v>2002</v>
      </c>
      <c r="Y25" s="137">
        <v>2003</v>
      </c>
      <c r="Z25" s="137">
        <v>2004</v>
      </c>
      <c r="AA25" s="137">
        <v>2005</v>
      </c>
      <c r="AB25" s="137">
        <v>2006</v>
      </c>
      <c r="AC25" s="137">
        <v>2007</v>
      </c>
      <c r="AD25" s="137">
        <v>2008</v>
      </c>
      <c r="AE25" s="137">
        <v>2009</v>
      </c>
      <c r="AF25" s="137">
        <v>2010</v>
      </c>
      <c r="AG25" s="137">
        <v>2011</v>
      </c>
      <c r="AH25" s="137">
        <v>2012</v>
      </c>
      <c r="AI25" s="137">
        <v>2013</v>
      </c>
      <c r="AJ25" s="137">
        <v>2014</v>
      </c>
      <c r="AK25" s="137">
        <v>2015</v>
      </c>
      <c r="AL25" s="137">
        <v>2016</v>
      </c>
      <c r="AM25" s="137">
        <v>2017</v>
      </c>
      <c r="AN25" s="137">
        <v>2018</v>
      </c>
      <c r="AO25" s="137">
        <v>2019</v>
      </c>
      <c r="AP25" s="137">
        <v>2020</v>
      </c>
      <c r="AQ25" s="137">
        <v>2021</v>
      </c>
      <c r="AR25" s="137">
        <v>2022</v>
      </c>
      <c r="AS25" s="137">
        <v>2023</v>
      </c>
      <c r="AT25" s="137">
        <v>2024</v>
      </c>
      <c r="AU25" s="137">
        <v>2025</v>
      </c>
      <c r="AV25" s="137">
        <v>2026</v>
      </c>
      <c r="AW25" s="137">
        <v>2027</v>
      </c>
      <c r="AX25" s="137">
        <v>2028</v>
      </c>
      <c r="AY25" s="137">
        <v>2029</v>
      </c>
      <c r="AZ25" s="137">
        <v>2030</v>
      </c>
      <c r="BA25" s="137">
        <v>2031</v>
      </c>
      <c r="BB25" s="137">
        <v>2032</v>
      </c>
      <c r="BC25" s="137">
        <v>2033</v>
      </c>
      <c r="BD25" s="137">
        <v>2034</v>
      </c>
      <c r="BE25" s="137">
        <v>2035</v>
      </c>
      <c r="BF25" s="137">
        <v>2036</v>
      </c>
      <c r="BG25" s="137">
        <v>2037</v>
      </c>
      <c r="BH25" s="137">
        <v>2038</v>
      </c>
      <c r="BI25" s="137">
        <v>2039</v>
      </c>
      <c r="BJ25" s="137">
        <v>2040</v>
      </c>
      <c r="BK25" s="137">
        <v>2041</v>
      </c>
      <c r="BL25" s="137">
        <v>2042</v>
      </c>
      <c r="BM25" s="137">
        <v>2043</v>
      </c>
      <c r="BN25" s="137">
        <v>2044</v>
      </c>
      <c r="BO25" s="137">
        <v>2045</v>
      </c>
      <c r="BP25" s="137">
        <v>2046</v>
      </c>
      <c r="BQ25" s="137">
        <v>2047</v>
      </c>
      <c r="BR25" s="137">
        <v>2048</v>
      </c>
      <c r="BS25" s="137">
        <v>2049</v>
      </c>
      <c r="BT25" s="137">
        <v>2050</v>
      </c>
      <c r="BU25" s="137">
        <v>2051</v>
      </c>
      <c r="BV25" s="137">
        <v>2052</v>
      </c>
      <c r="BW25" s="137">
        <v>2053</v>
      </c>
      <c r="BX25" s="137">
        <v>2054</v>
      </c>
      <c r="BY25" s="137">
        <v>2055</v>
      </c>
      <c r="BZ25" s="137">
        <v>2056</v>
      </c>
      <c r="CA25" s="137">
        <v>2057</v>
      </c>
      <c r="CB25" s="137">
        <v>2058</v>
      </c>
      <c r="CC25" s="137">
        <v>2059</v>
      </c>
      <c r="CD25" s="137">
        <v>2060</v>
      </c>
      <c r="CE25" s="137">
        <v>2061</v>
      </c>
      <c r="CF25" s="137">
        <v>2062</v>
      </c>
      <c r="CG25" s="137">
        <v>2063</v>
      </c>
      <c r="CH25" s="137">
        <v>2064</v>
      </c>
      <c r="CI25" s="137">
        <v>2065</v>
      </c>
      <c r="CJ25" s="137">
        <v>2066</v>
      </c>
      <c r="CK25" s="137">
        <v>2067</v>
      </c>
      <c r="CL25" s="137">
        <v>2068</v>
      </c>
      <c r="CM25" s="137">
        <v>2069</v>
      </c>
      <c r="CN25" s="137">
        <v>2070</v>
      </c>
      <c r="CO25" s="137">
        <v>2071</v>
      </c>
      <c r="CP25" s="137">
        <v>2072</v>
      </c>
      <c r="CQ25" s="137">
        <v>2073</v>
      </c>
      <c r="CR25" s="137">
        <v>2074</v>
      </c>
      <c r="CS25" s="137">
        <v>2075</v>
      </c>
      <c r="CT25" s="137">
        <v>2076</v>
      </c>
      <c r="CU25" s="137">
        <v>2077</v>
      </c>
      <c r="CV25" s="137">
        <v>2078</v>
      </c>
      <c r="CW25" s="137">
        <v>2079</v>
      </c>
      <c r="CX25" s="137">
        <v>2080</v>
      </c>
      <c r="CY25" s="137">
        <v>2081</v>
      </c>
      <c r="CZ25" s="137">
        <v>2082</v>
      </c>
      <c r="DA25" s="137">
        <v>2083</v>
      </c>
      <c r="DB25" s="137">
        <v>2084</v>
      </c>
      <c r="DC25" s="137">
        <v>2085</v>
      </c>
      <c r="DD25" s="137">
        <v>2086</v>
      </c>
      <c r="DE25" s="137">
        <v>2087</v>
      </c>
      <c r="DF25" s="137">
        <v>2088</v>
      </c>
      <c r="DG25" s="137">
        <v>2089</v>
      </c>
      <c r="DH25" s="137">
        <v>2090</v>
      </c>
      <c r="DI25" s="137">
        <v>2091</v>
      </c>
      <c r="DJ25" s="137">
        <v>2092</v>
      </c>
      <c r="DK25" s="137">
        <v>2093</v>
      </c>
      <c r="DL25" s="137">
        <v>2094</v>
      </c>
      <c r="DM25" s="137">
        <v>2095</v>
      </c>
    </row>
    <row r="26" spans="2:137">
      <c r="B26" s="136">
        <v>9007.248205978869</v>
      </c>
      <c r="C26" s="136">
        <v>10130.179221809527</v>
      </c>
      <c r="D26" s="136">
        <v>11138.43712812376</v>
      </c>
      <c r="E26" s="136">
        <v>13555.227002271826</v>
      </c>
      <c r="F26" s="136">
        <v>15452.742418232303</v>
      </c>
      <c r="G26" s="136">
        <v>16534.564206123112</v>
      </c>
      <c r="H26" s="136">
        <v>17856.550430925679</v>
      </c>
      <c r="I26" s="136">
        <v>18750.135227723487</v>
      </c>
      <c r="J26" s="136">
        <v>19312.682557426706</v>
      </c>
      <c r="K26" s="136">
        <v>19892.539035736179</v>
      </c>
      <c r="L26" s="136">
        <v>21026.288269445748</v>
      </c>
      <c r="M26" s="136">
        <v>22077.819047275614</v>
      </c>
      <c r="N26" s="136">
        <v>23181.277270924238</v>
      </c>
      <c r="O26" s="136">
        <v>24386.426742634598</v>
      </c>
      <c r="P26" s="136">
        <v>25238.902311492555</v>
      </c>
      <c r="Q26" s="136">
        <v>26121.668890411453</v>
      </c>
      <c r="R26" s="136">
        <v>27036.890122967077</v>
      </c>
      <c r="S26" s="136">
        <v>27740.074285096103</v>
      </c>
      <c r="T26" s="136">
        <v>28322.094406981356</v>
      </c>
      <c r="U26" s="136">
        <v>28832.714290865817</v>
      </c>
      <c r="V26" s="136">
        <v>29410.407125599511</v>
      </c>
      <c r="W26" s="136">
        <v>29998.918178212109</v>
      </c>
      <c r="X26" s="136">
        <v>30898.799999999999</v>
      </c>
      <c r="Y26" s="136">
        <v>31824</v>
      </c>
      <c r="Z26" s="136">
        <v>32778</v>
      </c>
      <c r="AA26" s="136">
        <v>33760.800000000003</v>
      </c>
      <c r="AB26" s="136">
        <v>34772.400000000001</v>
      </c>
      <c r="AC26" s="136">
        <v>35953.199999999997</v>
      </c>
      <c r="AD26" s="136">
        <v>36889.199999999997</v>
      </c>
      <c r="AE26" s="136">
        <v>37994.400000000001</v>
      </c>
      <c r="AF26" s="136">
        <v>38376</v>
      </c>
      <c r="AG26" s="136">
        <v>38761.199999999997</v>
      </c>
      <c r="AH26" s="136">
        <v>39148.81</v>
      </c>
      <c r="AI26" s="136">
        <v>41108.399999999994</v>
      </c>
      <c r="AJ26" s="136">
        <v>43163.819999999992</v>
      </c>
      <c r="AK26" s="136">
        <v>43272</v>
      </c>
      <c r="AL26" s="136">
        <v>43704</v>
      </c>
      <c r="AM26" s="136">
        <v>45015</v>
      </c>
      <c r="AN26" s="136">
        <v>45644.399999999994</v>
      </c>
      <c r="AO26" s="136">
        <v>48841.2</v>
      </c>
      <c r="AP26" s="136">
        <v>48841.2</v>
      </c>
      <c r="AQ26" s="136">
        <v>48841.2</v>
      </c>
      <c r="AR26" s="139">
        <v>49672.799999999996</v>
      </c>
      <c r="AS26" s="136">
        <f t="shared" ref="AS26:BT26" si="99">AR26*(1+$J$23)</f>
        <v>50914.619999999988</v>
      </c>
      <c r="AT26" s="136">
        <f t="shared" si="99"/>
        <v>52187.485499999981</v>
      </c>
      <c r="AU26" s="136">
        <f t="shared" si="99"/>
        <v>53492.172637499978</v>
      </c>
      <c r="AV26" s="136">
        <f t="shared" si="99"/>
        <v>54829.476953437472</v>
      </c>
      <c r="AW26" s="136">
        <f t="shared" si="99"/>
        <v>56200.213877273403</v>
      </c>
      <c r="AX26" s="136">
        <f t="shared" si="99"/>
        <v>57605.219224205233</v>
      </c>
      <c r="AY26" s="136">
        <f t="shared" si="99"/>
        <v>59045.34970481036</v>
      </c>
      <c r="AZ26" s="136">
        <f t="shared" si="99"/>
        <v>60521.483447430612</v>
      </c>
      <c r="BA26" s="136">
        <f t="shared" si="99"/>
        <v>62034.520533616371</v>
      </c>
      <c r="BB26" s="136">
        <f t="shared" si="99"/>
        <v>63585.383546956771</v>
      </c>
      <c r="BC26" s="136">
        <f t="shared" si="99"/>
        <v>65175.018135630686</v>
      </c>
      <c r="BD26" s="136">
        <f t="shared" si="99"/>
        <v>66804.393589021449</v>
      </c>
      <c r="BE26" s="136">
        <f t="shared" si="99"/>
        <v>68474.503428746975</v>
      </c>
      <c r="BF26" s="136">
        <f t="shared" si="99"/>
        <v>70186.366014465646</v>
      </c>
      <c r="BG26" s="136">
        <f t="shared" si="99"/>
        <v>71941.025164827282</v>
      </c>
      <c r="BH26" s="136">
        <f t="shared" si="99"/>
        <v>73739.550793947958</v>
      </c>
      <c r="BI26" s="136">
        <f t="shared" si="99"/>
        <v>75583.039563796643</v>
      </c>
      <c r="BJ26" s="136">
        <f t="shared" si="99"/>
        <v>77472.615552891555</v>
      </c>
      <c r="BK26" s="136">
        <f t="shared" si="99"/>
        <v>79409.430941713843</v>
      </c>
      <c r="BL26" s="136">
        <f t="shared" si="99"/>
        <v>81394.666715256681</v>
      </c>
      <c r="BM26" s="136">
        <f t="shared" si="99"/>
        <v>83429.533383138085</v>
      </c>
      <c r="BN26" s="4">
        <f t="shared" si="99"/>
        <v>85515.271717716532</v>
      </c>
      <c r="BO26" s="4">
        <f t="shared" si="99"/>
        <v>87653.153510659438</v>
      </c>
      <c r="BP26" s="136">
        <f t="shared" si="99"/>
        <v>89844.48234842591</v>
      </c>
      <c r="BQ26" s="136">
        <f t="shared" si="99"/>
        <v>92090.594407136552</v>
      </c>
      <c r="BR26" s="136">
        <f t="shared" si="99"/>
        <v>94392.859267314954</v>
      </c>
      <c r="BS26" s="136">
        <f t="shared" si="99"/>
        <v>96752.680748997824</v>
      </c>
      <c r="BT26" s="136">
        <f t="shared" si="99"/>
        <v>99171.497767722758</v>
      </c>
      <c r="BU26" s="136">
        <f t="shared" ref="BU26" si="100">BT26*(1+$J$23)</f>
        <v>101650.78521191582</v>
      </c>
      <c r="BV26" s="136">
        <f t="shared" ref="BV26" si="101">BU26*(1+$J$23)</f>
        <v>104192.05484221371</v>
      </c>
      <c r="BW26" s="136">
        <f t="shared" ref="BW26" si="102">BV26*(1+$J$23)</f>
        <v>106796.85621326904</v>
      </c>
      <c r="BX26" s="136">
        <f t="shared" ref="BX26" si="103">BW26*(1+$J$23)</f>
        <v>109466.77761860075</v>
      </c>
      <c r="BY26" s="136">
        <f t="shared" ref="BY26" si="104">BX26*(1+$J$23)</f>
        <v>112203.44705906576</v>
      </c>
      <c r="BZ26" s="136">
        <f t="shared" ref="BZ26" si="105">BY26*(1+$J$23)</f>
        <v>115008.53323554239</v>
      </c>
      <c r="CA26" s="136">
        <f t="shared" ref="CA26" si="106">BZ26*(1+$J$23)</f>
        <v>117883.74656643094</v>
      </c>
      <c r="CB26" s="136">
        <f t="shared" ref="CB26" si="107">CA26*(1+$J$23)</f>
        <v>120830.84023059171</v>
      </c>
      <c r="CC26" s="136">
        <f t="shared" ref="CC26" si="108">CB26*(1+$J$23)</f>
        <v>123851.61123635649</v>
      </c>
      <c r="CD26" s="136">
        <f t="shared" ref="CD26" si="109">CC26*(1+$J$23)</f>
        <v>126947.90151726539</v>
      </c>
      <c r="CE26" s="136">
        <f t="shared" ref="CE26" si="110">CD26*(1+$J$23)</f>
        <v>130121.59905519702</v>
      </c>
      <c r="CF26" s="136">
        <f t="shared" ref="CF26" si="111">CE26*(1+$J$23)</f>
        <v>133374.63903157692</v>
      </c>
      <c r="CG26" s="136">
        <f t="shared" ref="CG26" si="112">CF26*(1+$J$23)</f>
        <v>136709.00500736633</v>
      </c>
      <c r="CH26" s="136">
        <f t="shared" ref="CH26" si="113">CG26*(1+$J$23)</f>
        <v>140126.73013255047</v>
      </c>
      <c r="CI26" s="136">
        <f t="shared" ref="CI26" si="114">CH26*(1+$J$23)</f>
        <v>143629.89838586422</v>
      </c>
      <c r="CJ26" s="136">
        <f t="shared" ref="CJ26" si="115">CI26*(1+$J$23)</f>
        <v>147220.64584551082</v>
      </c>
      <c r="CK26" s="136">
        <f t="shared" ref="CK26" si="116">CJ26*(1+$J$23)</f>
        <v>150901.16199164858</v>
      </c>
      <c r="CL26" s="136">
        <f t="shared" ref="CL26" si="117">CK26*(1+$J$23)</f>
        <v>154673.69104143977</v>
      </c>
      <c r="CM26" s="136">
        <f t="shared" ref="CM26" si="118">CL26*(1+$J$23)</f>
        <v>158540.53331747575</v>
      </c>
      <c r="CN26" s="136">
        <f t="shared" ref="CN26" si="119">CM26*(1+$J$23)</f>
        <v>162504.04665041264</v>
      </c>
      <c r="CO26" s="136">
        <f t="shared" ref="CO26" si="120">CN26*(1+$J$23)</f>
        <v>166566.64781667295</v>
      </c>
      <c r="CP26" s="136">
        <f t="shared" ref="CP26" si="121">CO26*(1+$J$23)</f>
        <v>170730.81401208977</v>
      </c>
      <c r="CQ26" s="136">
        <f t="shared" ref="CQ26" si="122">CP26*(1+$J$23)</f>
        <v>174999.08436239199</v>
      </c>
      <c r="CR26" s="136">
        <f t="shared" ref="CR26" si="123">CQ26*(1+$J$23)</f>
        <v>179374.06147145177</v>
      </c>
      <c r="CS26" s="136">
        <f t="shared" ref="CS26" si="124">CR26*(1+$J$23)</f>
        <v>183858.41300823804</v>
      </c>
      <c r="CT26" s="136">
        <f t="shared" ref="CT26" si="125">CS26*(1+$J$23)</f>
        <v>188454.87333344397</v>
      </c>
      <c r="CU26" s="136">
        <f t="shared" ref="CU26" si="126">CT26*(1+$J$23)</f>
        <v>193166.24516678005</v>
      </c>
      <c r="CV26" s="136">
        <f t="shared" ref="CV26" si="127">CU26*(1+$J$23)</f>
        <v>197995.40129594953</v>
      </c>
      <c r="CW26" s="136">
        <f t="shared" ref="CW26" si="128">CV26*(1+$J$23)</f>
        <v>202945.28632834824</v>
      </c>
      <c r="CX26" s="136">
        <f t="shared" ref="CX26" si="129">CW26*(1+$J$23)</f>
        <v>208018.91848655694</v>
      </c>
      <c r="CY26" s="136">
        <f t="shared" ref="CY26" si="130">CX26*(1+$J$23)</f>
        <v>213219.39144872085</v>
      </c>
      <c r="CZ26" s="136">
        <f t="shared" ref="CZ26" si="131">CY26*(1+$J$23)</f>
        <v>218549.87623493886</v>
      </c>
      <c r="DA26" s="136">
        <f t="shared" ref="DA26" si="132">CZ26*(1+$J$23)</f>
        <v>224013.6231408123</v>
      </c>
      <c r="DB26" s="136">
        <f t="shared" ref="DB26" si="133">DA26*(1+$J$23)</f>
        <v>229613.96371933259</v>
      </c>
      <c r="DC26" s="136">
        <f t="shared" ref="DC26" si="134">DB26*(1+$J$23)</f>
        <v>235354.31281231588</v>
      </c>
      <c r="DD26" s="136">
        <f t="shared" ref="DD26" si="135">DC26*(1+$J$23)</f>
        <v>241238.17063262375</v>
      </c>
      <c r="DE26" s="136">
        <f t="shared" ref="DE26" si="136">DD26*(1+$J$23)</f>
        <v>247269.12489843933</v>
      </c>
      <c r="DF26" s="136">
        <f t="shared" ref="DF26" si="137">DE26*(1+$J$23)</f>
        <v>253450.85302090028</v>
      </c>
      <c r="DG26" s="136">
        <f t="shared" ref="DG26" si="138">DF26*(1+$J$23)</f>
        <v>259787.12434642276</v>
      </c>
      <c r="DH26" s="136">
        <f t="shared" ref="DH26" si="139">DG26*(1+$J$23)</f>
        <v>266281.80245508329</v>
      </c>
      <c r="DI26" s="136">
        <f t="shared" ref="DI26" si="140">DH26*(1+$J$23)</f>
        <v>272938.84751646034</v>
      </c>
      <c r="DJ26" s="136">
        <f t="shared" ref="DJ26" si="141">DI26*(1+$J$23)</f>
        <v>279762.31870437181</v>
      </c>
      <c r="DK26" s="136">
        <f t="shared" ref="DK26" si="142">DJ26*(1+$J$23)</f>
        <v>286756.37667198107</v>
      </c>
      <c r="DL26" s="136">
        <f t="shared" ref="DL26" si="143">DK26*(1+$J$23)</f>
        <v>293925.28608878056</v>
      </c>
      <c r="DM26" s="136">
        <f t="shared" ref="DM26" si="144">DL26*(1+$J$23)</f>
        <v>301273.41824100004</v>
      </c>
    </row>
    <row r="27" spans="2:137">
      <c r="AN27">
        <v>45014.400000000001</v>
      </c>
    </row>
    <row r="29" spans="2:137">
      <c r="B29" t="s">
        <v>473</v>
      </c>
      <c r="I29" s="148">
        <f>Hipótesis!E7</f>
        <v>2.5000000000000001E-2</v>
      </c>
      <c r="N29" t="s">
        <v>219</v>
      </c>
      <c r="AA29">
        <f>2022-25</f>
        <v>1997</v>
      </c>
    </row>
    <row r="30" spans="2:137">
      <c r="AV30" t="s">
        <v>189</v>
      </c>
      <c r="AW30" t="s">
        <v>190</v>
      </c>
      <c r="AX30" t="s">
        <v>191</v>
      </c>
      <c r="AY30">
        <v>3.2000000000000001E-2</v>
      </c>
      <c r="AZ30">
        <v>3.6999999999999998E-2</v>
      </c>
      <c r="BA30">
        <v>2.7E-2</v>
      </c>
      <c r="BB30">
        <v>4.2000000000000003E-2</v>
      </c>
      <c r="BC30">
        <v>1.4E-2</v>
      </c>
      <c r="BD30">
        <v>8.0000000000000002E-3</v>
      </c>
      <c r="BE30">
        <v>0.03</v>
      </c>
      <c r="BF30">
        <v>2.4E-2</v>
      </c>
      <c r="BG30">
        <v>2.9000000000000001E-2</v>
      </c>
      <c r="BH30">
        <v>3.0000000000000001E-3</v>
      </c>
      <c r="BI30">
        <v>-0.01</v>
      </c>
      <c r="BJ30">
        <v>0</v>
      </c>
      <c r="BK30">
        <v>1.6E-2</v>
      </c>
      <c r="BL30">
        <v>1.0999999999999999E-2</v>
      </c>
      <c r="BN30">
        <v>0.44</v>
      </c>
    </row>
    <row r="31" spans="2:137">
      <c r="B31" s="137">
        <v>1955</v>
      </c>
      <c r="C31" s="137">
        <v>1956</v>
      </c>
      <c r="D31" s="137">
        <v>1957</v>
      </c>
      <c r="E31" s="137">
        <v>1958</v>
      </c>
      <c r="F31" s="137">
        <v>1959</v>
      </c>
      <c r="G31" s="137">
        <v>1960</v>
      </c>
      <c r="H31" s="137">
        <v>1961</v>
      </c>
      <c r="I31" s="137">
        <v>1962</v>
      </c>
      <c r="J31" s="137">
        <v>1963</v>
      </c>
      <c r="K31" s="137">
        <v>1964</v>
      </c>
      <c r="L31" s="137">
        <v>1965</v>
      </c>
      <c r="M31" s="137">
        <v>1966</v>
      </c>
      <c r="N31" s="137">
        <v>1967</v>
      </c>
      <c r="O31" s="137">
        <v>1968</v>
      </c>
      <c r="P31" s="137">
        <v>1969</v>
      </c>
      <c r="Q31" s="137">
        <v>1970</v>
      </c>
      <c r="R31" s="137">
        <v>1971</v>
      </c>
      <c r="S31" s="137">
        <v>1972</v>
      </c>
      <c r="T31" s="137">
        <v>1973</v>
      </c>
      <c r="U31" s="137">
        <v>1974</v>
      </c>
      <c r="V31" s="137">
        <v>1975</v>
      </c>
      <c r="W31" s="137">
        <v>1976</v>
      </c>
      <c r="X31" s="137">
        <v>1977</v>
      </c>
      <c r="Y31" s="137">
        <v>1978</v>
      </c>
      <c r="Z31" s="137">
        <v>1979</v>
      </c>
      <c r="AA31" s="137">
        <v>1980</v>
      </c>
      <c r="AB31" s="137">
        <v>1981</v>
      </c>
      <c r="AC31" s="137">
        <v>1982</v>
      </c>
      <c r="AD31" s="137">
        <v>1983</v>
      </c>
      <c r="AE31" s="137">
        <v>1984</v>
      </c>
      <c r="AF31" s="137">
        <v>1985</v>
      </c>
      <c r="AG31" s="137">
        <v>1986</v>
      </c>
      <c r="AH31" s="137">
        <v>1987</v>
      </c>
      <c r="AI31" s="137">
        <v>1988</v>
      </c>
      <c r="AJ31" s="137">
        <v>1989</v>
      </c>
      <c r="AK31" s="137">
        <v>1990</v>
      </c>
      <c r="AL31" s="137">
        <v>1991</v>
      </c>
      <c r="AM31" s="137">
        <v>1992</v>
      </c>
      <c r="AN31" s="137">
        <v>1993</v>
      </c>
      <c r="AO31" s="137">
        <v>1994</v>
      </c>
      <c r="AP31" s="137">
        <v>1995</v>
      </c>
      <c r="AQ31" s="137">
        <v>1996</v>
      </c>
      <c r="AR31" s="137">
        <v>1997</v>
      </c>
      <c r="AS31" s="137">
        <v>1998</v>
      </c>
      <c r="AT31" s="137">
        <v>1999</v>
      </c>
      <c r="AU31" s="137">
        <v>2000</v>
      </c>
      <c r="AV31" s="137">
        <v>2001</v>
      </c>
      <c r="AW31" s="137">
        <v>2002</v>
      </c>
      <c r="AX31" s="137">
        <v>2003</v>
      </c>
      <c r="AY31" s="137">
        <v>2004</v>
      </c>
      <c r="AZ31" s="137">
        <v>2005</v>
      </c>
      <c r="BA31" s="137">
        <v>2006</v>
      </c>
      <c r="BB31" s="137">
        <v>2007</v>
      </c>
      <c r="BC31" s="137">
        <v>2008</v>
      </c>
      <c r="BD31" s="137">
        <v>2009</v>
      </c>
      <c r="BE31" s="137">
        <v>2010</v>
      </c>
      <c r="BF31" s="137">
        <v>2011</v>
      </c>
      <c r="BG31" s="137">
        <v>2012</v>
      </c>
      <c r="BH31" s="137">
        <v>2013</v>
      </c>
      <c r="BI31" s="137">
        <v>2014</v>
      </c>
      <c r="BJ31" s="137">
        <v>2015</v>
      </c>
      <c r="BK31" s="137">
        <v>2016</v>
      </c>
      <c r="BL31" s="137">
        <v>2017</v>
      </c>
      <c r="BM31" s="137">
        <v>2018</v>
      </c>
      <c r="BN31" s="137">
        <v>2019</v>
      </c>
      <c r="BO31" s="137">
        <v>2020</v>
      </c>
      <c r="BP31" s="137">
        <v>2021</v>
      </c>
      <c r="BQ31" s="137">
        <v>2022</v>
      </c>
      <c r="BR31" s="137">
        <v>2023</v>
      </c>
      <c r="BS31" s="137">
        <v>2024</v>
      </c>
      <c r="BT31" s="137">
        <v>2025</v>
      </c>
      <c r="BU31" s="137">
        <v>2026</v>
      </c>
      <c r="BV31" s="137">
        <v>2027</v>
      </c>
      <c r="BW31" s="137">
        <v>2028</v>
      </c>
      <c r="BX31" s="137">
        <v>2029</v>
      </c>
      <c r="BY31" s="137">
        <v>2030</v>
      </c>
      <c r="BZ31" s="137">
        <v>2031</v>
      </c>
      <c r="CA31" s="137">
        <v>2032</v>
      </c>
      <c r="CB31" s="137">
        <v>2033</v>
      </c>
      <c r="CC31" s="137">
        <v>2034</v>
      </c>
      <c r="CD31" s="137">
        <v>2035</v>
      </c>
      <c r="CE31" s="137">
        <v>2036</v>
      </c>
      <c r="CF31" s="137">
        <v>2037</v>
      </c>
      <c r="CG31" s="137">
        <v>2038</v>
      </c>
      <c r="CH31" s="137">
        <v>2039</v>
      </c>
      <c r="CI31" s="137">
        <v>2040</v>
      </c>
      <c r="CJ31" s="137">
        <v>2041</v>
      </c>
      <c r="CK31" s="137">
        <v>2042</v>
      </c>
      <c r="CL31" s="137">
        <v>2043</v>
      </c>
      <c r="CM31" s="137">
        <v>2044</v>
      </c>
      <c r="CN31" s="137">
        <v>2045</v>
      </c>
      <c r="CO31" s="137">
        <v>2046</v>
      </c>
      <c r="CP31" s="137">
        <v>2047</v>
      </c>
      <c r="CQ31" s="137">
        <v>2048</v>
      </c>
      <c r="CR31" s="137">
        <v>2049</v>
      </c>
      <c r="CS31" s="137">
        <v>2050</v>
      </c>
      <c r="CT31" s="137">
        <v>2051</v>
      </c>
      <c r="CU31" s="137">
        <v>2052</v>
      </c>
      <c r="CV31" s="137">
        <v>2053</v>
      </c>
      <c r="CW31" s="137">
        <v>2054</v>
      </c>
      <c r="CX31" s="137">
        <v>2055</v>
      </c>
      <c r="CY31" s="137">
        <v>2056</v>
      </c>
      <c r="CZ31" s="137">
        <v>2057</v>
      </c>
      <c r="DA31" s="137">
        <v>2058</v>
      </c>
      <c r="DB31" s="137">
        <v>2059</v>
      </c>
      <c r="DC31" s="137">
        <v>2060</v>
      </c>
      <c r="DD31" s="137">
        <v>2061</v>
      </c>
      <c r="DE31" s="137">
        <v>2062</v>
      </c>
      <c r="DF31" s="137">
        <v>2063</v>
      </c>
      <c r="DG31" s="137">
        <v>2064</v>
      </c>
      <c r="DH31" s="137">
        <v>2065</v>
      </c>
      <c r="DI31" s="137">
        <v>2066</v>
      </c>
      <c r="DJ31" s="137">
        <v>2067</v>
      </c>
      <c r="DK31" s="137">
        <v>2068</v>
      </c>
      <c r="DL31" s="137">
        <v>2069</v>
      </c>
      <c r="DM31" s="137">
        <v>2070</v>
      </c>
      <c r="DN31" s="137">
        <v>2071</v>
      </c>
      <c r="DO31" s="137">
        <v>2072</v>
      </c>
      <c r="DP31" s="137">
        <v>2073</v>
      </c>
      <c r="DQ31" s="137">
        <v>2074</v>
      </c>
      <c r="DR31" s="137">
        <v>2075</v>
      </c>
      <c r="DS31" s="137">
        <v>2076</v>
      </c>
      <c r="DT31" s="137">
        <v>2077</v>
      </c>
      <c r="DU31" s="137">
        <v>2078</v>
      </c>
      <c r="DV31" s="137">
        <v>2079</v>
      </c>
      <c r="DW31" s="137">
        <v>2080</v>
      </c>
      <c r="DX31" s="137">
        <v>2081</v>
      </c>
      <c r="DY31" s="137">
        <v>2082</v>
      </c>
      <c r="DZ31" s="137">
        <v>2083</v>
      </c>
      <c r="EA31" s="137">
        <v>2084</v>
      </c>
      <c r="EB31" s="137">
        <v>2085</v>
      </c>
      <c r="EC31" s="137">
        <v>2086</v>
      </c>
      <c r="ED31" s="137">
        <v>2087</v>
      </c>
      <c r="EE31" s="137">
        <v>2088</v>
      </c>
      <c r="EF31" s="137">
        <v>2089</v>
      </c>
      <c r="EG31" s="137">
        <v>2090</v>
      </c>
    </row>
    <row r="32" spans="2:137">
      <c r="B32" s="813">
        <f ca="1">+IF('Datos SS'!B31&lt;YEAR(Hipótesis!$E$5),MAX(0,'Datos SS'!C17),'Datos SS'!$I$29)</f>
        <v>2.505218942246068E-2</v>
      </c>
      <c r="C32" s="813">
        <f ca="1">+IF('Datos SS'!C31&lt;YEAR(Hipótesis!$E$5),MAX(0,'Datos SS'!D17),'Datos SS'!$I$29)</f>
        <v>2.5052189422460236E-2</v>
      </c>
      <c r="D32" s="813">
        <f ca="1">+IF('Datos SS'!D31&lt;YEAR(Hipótesis!$E$5),MAX(0,'Datos SS'!E17),'Datos SS'!$I$29)</f>
        <v>2.505218942246068E-2</v>
      </c>
      <c r="E32" s="813">
        <f ca="1">+IF('Datos SS'!E31&lt;YEAR(Hipótesis!$E$5),MAX(0,'Datos SS'!F17),'Datos SS'!$I$29)</f>
        <v>2.505218942246068E-2</v>
      </c>
      <c r="F32" s="813">
        <f ca="1">+IF('Datos SS'!F31&lt;YEAR(Hipótesis!$E$5),MAX(0,'Datos SS'!G17),'Datos SS'!$I$29)</f>
        <v>2.5052189422460458E-2</v>
      </c>
      <c r="G32" s="813">
        <f ca="1">+IF('Datos SS'!G31&lt;YEAR(Hipótesis!$E$5),MAX(0,'Datos SS'!H17),'Datos SS'!$I$29)</f>
        <v>2.5052189422460236E-2</v>
      </c>
      <c r="H32" s="813">
        <f ca="1">+IF('Datos SS'!H31&lt;YEAR(Hipótesis!$E$5),MAX(0,'Datos SS'!I17),'Datos SS'!$I$29)</f>
        <v>2.5052189422460902E-2</v>
      </c>
      <c r="I32" s="813">
        <f ca="1">+IF('Datos SS'!I31&lt;YEAR(Hipótesis!$E$5),MAX(0,'Datos SS'!J17),'Datos SS'!$I$29)</f>
        <v>2.5052189422460236E-2</v>
      </c>
      <c r="J32" s="813">
        <f ca="1">+IF('Datos SS'!J31&lt;YEAR(Hipótesis!$E$5),MAX(0,'Datos SS'!K17),'Datos SS'!$I$29)</f>
        <v>2.505218942246068E-2</v>
      </c>
      <c r="K32" s="813">
        <f ca="1">+IF('Datos SS'!K31&lt;YEAR(Hipótesis!$E$5),MAX(0,'Datos SS'!L17),'Datos SS'!$I$29)</f>
        <v>2.505218942246068E-2</v>
      </c>
      <c r="L32" s="813">
        <f ca="1">+IF('Datos SS'!L31&lt;YEAR(Hipótesis!$E$5),MAX(0,'Datos SS'!M17),'Datos SS'!$I$29)</f>
        <v>2.5052189422460458E-2</v>
      </c>
      <c r="M32" s="813">
        <f ca="1">+IF('Datos SS'!M31&lt;YEAR(Hipótesis!$E$5),MAX(0,'Datos SS'!N17),'Datos SS'!$I$29)</f>
        <v>2.505218942246068E-2</v>
      </c>
      <c r="N32" s="813">
        <f ca="1">+IF('Datos SS'!N31&lt;YEAR(Hipótesis!$E$5),MAX(0,'Datos SS'!O17),'Datos SS'!$I$29)</f>
        <v>2.5052189422460458E-2</v>
      </c>
      <c r="O32" s="813">
        <f ca="1">+IF('Datos SS'!O31&lt;YEAR(Hipótesis!$E$5),MAX(0,'Datos SS'!P17),'Datos SS'!$I$29)</f>
        <v>2.5052189422460458E-2</v>
      </c>
      <c r="P32" s="813">
        <f ca="1">+IF('Datos SS'!P31&lt;YEAR(Hipótesis!$E$5),MAX(0,'Datos SS'!Q17),'Datos SS'!$I$29)</f>
        <v>2.5052189422460458E-2</v>
      </c>
      <c r="Q32" s="813">
        <f ca="1">+IF('Datos SS'!Q31&lt;YEAR(Hipótesis!$E$5),MAX(0,'Datos SS'!R17),'Datos SS'!$I$29)</f>
        <v>2.505218942246068E-2</v>
      </c>
      <c r="R32" s="813">
        <f ca="1">+IF('Datos SS'!R31&lt;YEAR(Hipótesis!$E$5),MAX(0,'Datos SS'!S17),'Datos SS'!$I$29)</f>
        <v>2.5052189422460458E-2</v>
      </c>
      <c r="S32" s="813">
        <f ca="1">+IF('Datos SS'!S31&lt;YEAR(Hipótesis!$E$5),MAX(0,'Datos SS'!T17),'Datos SS'!$I$29)</f>
        <v>2.505218942246068E-2</v>
      </c>
      <c r="T32" s="813">
        <f ca="1">+IF('Datos SS'!T31&lt;YEAR(Hipótesis!$E$5),MAX(0,'Datos SS'!U17),'Datos SS'!$I$29)</f>
        <v>2.505218942246068E-2</v>
      </c>
      <c r="U32" s="813">
        <f ca="1">+IF('Datos SS'!U31&lt;YEAR(Hipótesis!$E$5),MAX(0,'Datos SS'!V17),'Datos SS'!$I$29)</f>
        <v>2.5052189422461124E-2</v>
      </c>
      <c r="V32" s="813">
        <f ca="1">+IF('Datos SS'!V31&lt;YEAR(Hipótesis!$E$5),MAX(0,'Datos SS'!W17),'Datos SS'!$I$29)</f>
        <v>2.5052189422460458E-2</v>
      </c>
      <c r="W32" s="813">
        <f ca="1">+IF('Datos SS'!W31&lt;YEAR(Hipótesis!$E$5),MAX(0,'Datos SS'!X17),'Datos SS'!$I$29)</f>
        <v>2.505218942246068E-2</v>
      </c>
      <c r="X32" s="813">
        <f ca="1">+IF('Datos SS'!X31&lt;YEAR(Hipótesis!$E$5),MAX(0,'Datos SS'!Y17),'Datos SS'!$I$29)</f>
        <v>2.5052189422460458E-2</v>
      </c>
      <c r="Y32" s="813">
        <f ca="1">+IF('Datos SS'!Y31&lt;YEAR(Hipótesis!$E$5),MAX(0,'Datos SS'!Z17),'Datos SS'!$I$29)</f>
        <v>2.5052189422460236E-2</v>
      </c>
      <c r="Z32" s="813">
        <f ca="1">+IF('Datos SS'!Z31&lt;YEAR(Hipótesis!$E$5),MAX(0,'Datos SS'!AA17),'Datos SS'!$I$29)</f>
        <v>2.5052189422460458E-2</v>
      </c>
      <c r="AA32" s="813">
        <f ca="1">+IF('Datos SS'!AA31&lt;YEAR(Hipótesis!$E$5),MAX(0,'Datos SS'!AB17),'Datos SS'!$I$29)</f>
        <v>0.13607251316238833</v>
      </c>
      <c r="AB32" s="813">
        <f ca="1">+IF('Datos SS'!AB31&lt;YEAR(Hipótesis!$E$5),MAX(0,'Datos SS'!AC17),'Datos SS'!$I$29)</f>
        <v>0.14400000000000013</v>
      </c>
      <c r="AC32" s="813">
        <f ca="1">+IF('Datos SS'!AC31&lt;YEAR(Hipótesis!$E$5),MAX(0,'Datos SS'!AD17),'Datos SS'!$I$29)</f>
        <v>0.14000000000000012</v>
      </c>
      <c r="AD32" s="813">
        <f ca="1">+IF('Datos SS'!AD31&lt;YEAR(Hipótesis!$E$5),MAX(0,'Datos SS'!AE17),'Datos SS'!$I$29)</f>
        <v>0.12199999999999989</v>
      </c>
      <c r="AE32" s="813">
        <f ca="1">+IF('Datos SS'!AE31&lt;YEAR(Hipótesis!$E$5),MAX(0,'Datos SS'!AF17),'Datos SS'!$I$29)</f>
        <v>9.000000000000008E-2</v>
      </c>
      <c r="AF32" s="813">
        <f ca="1">+IF('Datos SS'!AF31&lt;YEAR(Hipótesis!$E$5),MAX(0,'Datos SS'!AG17),'Datos SS'!$I$29)</f>
        <v>8.2000000000000073E-2</v>
      </c>
      <c r="AG32" s="813">
        <f ca="1">+IF('Datos SS'!AG31&lt;YEAR(Hipótesis!$E$5),MAX(0,'Datos SS'!AH17),'Datos SS'!$I$29)</f>
        <v>8.2999999999999963E-2</v>
      </c>
      <c r="AH32" s="813">
        <f ca="1">+IF('Datos SS'!AH31&lt;YEAR(Hipótesis!$E$5),MAX(0,'Datos SS'!AI17),'Datos SS'!$I$29)</f>
        <v>4.6000000000000041E-2</v>
      </c>
      <c r="AI32" s="813">
        <f ca="1">+IF('Datos SS'!AI31&lt;YEAR(Hipótesis!$E$5),MAX(0,'Datos SS'!AJ17),'Datos SS'!$I$29)</f>
        <v>5.8000000000000052E-2</v>
      </c>
      <c r="AJ32" s="813">
        <f ca="1">+IF('Datos SS'!AJ31&lt;YEAR(Hipótesis!$E$5),MAX(0,'Datos SS'!AK17),'Datos SS'!$I$29)</f>
        <v>6.899999999999995E-2</v>
      </c>
      <c r="AK32" s="813">
        <f ca="1">+IF('Datos SS'!AK31&lt;YEAR(Hipótesis!$E$5),MAX(0,'Datos SS'!AL17),'Datos SS'!$I$29)</f>
        <v>6.4999999999999947E-2</v>
      </c>
      <c r="AL32" s="813">
        <f ca="1">+IF('Datos SS'!AL31&lt;YEAR(Hipótesis!$E$5),MAX(0,'Datos SS'!AM17),'Datos SS'!$I$29)</f>
        <v>5.4999999999999938E-2</v>
      </c>
      <c r="AM32" s="813">
        <f ca="1">+IF('Datos SS'!AM31&lt;YEAR(Hipótesis!$E$5),MAX(0,'Datos SS'!AN17),'Datos SS'!$I$29)</f>
        <v>5.2999999999999936E-2</v>
      </c>
      <c r="AN32" s="813">
        <f ca="1">+IF('Datos SS'!AN31&lt;YEAR(Hipótesis!$E$5),MAX(0,'Datos SS'!AO17),'Datos SS'!$I$29)</f>
        <v>4.8999999999999932E-2</v>
      </c>
      <c r="AO32" s="813">
        <f ca="1">+IF('Datos SS'!AO31&lt;YEAR(Hipótesis!$E$5),MAX(0,'Datos SS'!AP17),'Datos SS'!$I$29)</f>
        <v>4.2999999999999927E-2</v>
      </c>
      <c r="AP32" s="813">
        <f ca="1">+IF('Datos SS'!AP31&lt;YEAR(Hipótesis!$E$5),MAX(0,'Datos SS'!AQ17),'Datos SS'!$I$29)</f>
        <v>4.2999999999999927E-2</v>
      </c>
      <c r="AQ32" s="813">
        <f ca="1">+IF('Datos SS'!AQ31&lt;YEAR(Hipótesis!$E$5),MAX(0,'Datos SS'!AR17),'Datos SS'!$I$29)</f>
        <v>3.2000000000000028E-2</v>
      </c>
      <c r="AR32" s="813">
        <f ca="1">+IF('Datos SS'!AR31&lt;YEAR(Hipótesis!$E$5),MAX(0,'Datos SS'!AS17),'Datos SS'!$I$29)</f>
        <v>2.0000000000000018E-2</v>
      </c>
      <c r="AS32" s="813">
        <f ca="1">+IF('Datos SS'!AS31&lt;YEAR(Hipótesis!$E$5),MAX(0,'Datos SS'!AT17),'Datos SS'!$I$29)</f>
        <v>1.4000000000000012E-2</v>
      </c>
      <c r="AT32" s="813">
        <f ca="1">+IF('Datos SS'!AT31&lt;YEAR(Hipótesis!$E$5),MAX(0,'Datos SS'!AU17),'Datos SS'!$I$29)</f>
        <v>2.8999999999999915E-2</v>
      </c>
      <c r="AU32" s="813">
        <f ca="1">+IF('Datos SS'!AU31&lt;YEAR(Hipótesis!$E$5),MAX(0,'Datos SS'!AV17),'Datos SS'!$I$29)</f>
        <v>4.0000000000000258E-2</v>
      </c>
      <c r="AV32" s="813">
        <f ca="1">+IF('Datos SS'!AV31&lt;YEAR(Hipótesis!$E$5),MAX(0,'Datos SS'!AW17),'Datos SS'!$I$29)</f>
        <v>2.6999999999999913E-2</v>
      </c>
      <c r="AW32" s="813">
        <f ca="1">+IF('Datos SS'!AW31&lt;YEAR(Hipótesis!$E$5),MAX(0,'Datos SS'!AX17),'Datos SS'!$I$29)</f>
        <v>4.0000000000000036E-2</v>
      </c>
      <c r="AX32" s="813">
        <f ca="1">+IF('Datos SS'!AX31&lt;YEAR(Hipótesis!$E$5),MAX(0,'Datos SS'!AY17),'Datos SS'!$I$29)</f>
        <v>2.6045086452177735E-2</v>
      </c>
      <c r="AY32" s="813">
        <f ca="1">+IF('Datos SS'!AY31&lt;YEAR(Hipótesis!$E$5),MAX(0,'Datos SS'!AZ17),'Datos SS'!$I$29)</f>
        <v>3.2272636016864142E-2</v>
      </c>
      <c r="AZ32" s="813">
        <f ca="1">+IF('Datos SS'!AZ31&lt;YEAR(Hipótesis!$E$5),MAX(0,'Datos SS'!BA17),'Datos SS'!$I$29)</f>
        <v>3.7353527495502359E-2</v>
      </c>
      <c r="BA32" s="813">
        <f ca="1">+IF('Datos SS'!BA31&lt;YEAR(Hipótesis!$E$5),MAX(0,'Datos SS'!BB17),'Datos SS'!$I$29)</f>
        <v>2.6657761216765774E-2</v>
      </c>
      <c r="BB32" s="813">
        <f ca="1">+IF('Datos SS'!BB31&lt;YEAR(Hipótesis!$E$5),MAX(0,'Datos SS'!BC17),'Datos SS'!$I$29)</f>
        <v>4.2206902848794581E-2</v>
      </c>
      <c r="BC32" s="813">
        <f ca="1">+IF('Datos SS'!BC31&lt;YEAR(Hipótesis!$E$5),MAX(0,'Datos SS'!BD17),'Datos SS'!$I$29)</f>
        <v>1.4324200013141608E-2</v>
      </c>
      <c r="BD32" s="813">
        <f ca="1">+IF('Datos SS'!BD31&lt;YEAR(Hipótesis!$E$5),MAX(0,'Datos SS'!BE17),'Datos SS'!$I$29)</f>
        <v>7.94627626265898E-3</v>
      </c>
      <c r="BE32" s="813">
        <f ca="1">+IF('Datos SS'!BE31&lt;YEAR(Hipótesis!$E$5),MAX(0,'Datos SS'!BF17),'Datos SS'!$I$29)</f>
        <v>2.9884958975127995E-2</v>
      </c>
      <c r="BF32" s="813">
        <f ca="1">+IF('Datos SS'!BF31&lt;YEAR(Hipótesis!$E$5),MAX(0,'Datos SS'!BG17),'Datos SS'!$I$29)</f>
        <v>2.377584557141077E-2</v>
      </c>
      <c r="BG32" s="813">
        <f ca="1">+IF('Datos SS'!BG31&lt;YEAR(Hipótesis!$E$5),MAX(0,'Datos SS'!BH17),'Datos SS'!$I$29)</f>
        <v>2.8679114939959893E-2</v>
      </c>
      <c r="BH32" s="813">
        <f ca="1">+IF('Datos SS'!BH31&lt;YEAR(Hipótesis!$E$5),MAX(0,'Datos SS'!BI17),'Datos SS'!$I$29)</f>
        <v>2.5183444107568231E-3</v>
      </c>
      <c r="BI32" s="813">
        <f ca="1">+IF('Datos SS'!BI31&lt;YEAR(Hipótesis!$E$5),MAX(0,'Datos SS'!BJ17),'Datos SS'!$I$29)</f>
        <v>0</v>
      </c>
      <c r="BJ32" s="813">
        <f ca="1">+IF('Datos SS'!BJ31&lt;YEAR(Hipótesis!$E$5),MAX(0,'Datos SS'!BK17),'Datos SS'!$I$29)</f>
        <v>1.6923000348412209E-4</v>
      </c>
      <c r="BK32" s="813">
        <f ca="1">+IF('Datos SS'!BK31&lt;YEAR(Hipótesis!$E$5),MAX(0,'Datos SS'!BL17),'Datos SS'!$I$29)</f>
        <v>1.5695915279879014E-2</v>
      </c>
      <c r="BL32" s="813">
        <f ca="1">+IF('Datos SS'!BL31&lt;YEAR(Hipótesis!$E$5),MAX(0,'Datos SS'!BM17),'Datos SS'!$I$29)</f>
        <v>1.1122108006937692E-2</v>
      </c>
      <c r="BM32" s="813">
        <f ca="1">+IF('Datos SS'!BM31&lt;YEAR(Hipótesis!$E$5),MAX(0,'Datos SS'!BN17),'Datos SS'!$I$29)</f>
        <v>1.1833229958133185E-2</v>
      </c>
      <c r="BN32" s="813">
        <f ca="1">+IF('Datos SS'!BN31&lt;YEAR(Hipótesis!$E$5),MAX(0,'Datos SS'!BO17),'Datos SS'!$I$29)</f>
        <v>7.8827642354293292E-3</v>
      </c>
      <c r="BO32" s="813">
        <f ca="1">+IF('Datos SS'!BO31&lt;YEAR(Hipótesis!$E$5),MAX(0,'Datos SS'!BP17),'Datos SS'!$I$29)</f>
        <v>0</v>
      </c>
      <c r="BP32" s="813">
        <f ca="1">+IF('Datos SS'!BP31&lt;YEAR(Hipótesis!$E$5),MAX(0,'Datos SS'!BQ17),'Datos SS'!$I$29)</f>
        <v>6.5502350288531241E-2</v>
      </c>
      <c r="BQ32" s="279">
        <f ca="1">+IF('Datos SS'!BQ31&lt;YEAR(Hipótesis!$E$5),MAX(0,'Datos SS'!BR17),'Datos SS'!$I$29)</f>
        <v>5.3416203385221461E-2</v>
      </c>
      <c r="BR32" s="279">
        <f ca="1">+IF('Datos SS'!BR31&lt;YEAR(Hipótesis!$E$5),MAX(0,'Datos SS'!BS17),'Datos SS'!$I$29)</f>
        <v>2.4999999999998579E-2</v>
      </c>
      <c r="BS32" s="279">
        <f ca="1">+IF('Datos SS'!BS31&lt;YEAR(Hipótesis!$E$5),MAX(0,'Datos SS'!BT17),'Datos SS'!$I$29)</f>
        <v>2.5000000000000001E-2</v>
      </c>
      <c r="BT32" s="279">
        <f ca="1">+IF('Datos SS'!BT31&lt;YEAR(Hipótesis!$E$5),MAX(0,'Datos SS'!BU17),'Datos SS'!$I$29)</f>
        <v>2.5000000000000001E-2</v>
      </c>
      <c r="BU32" s="279">
        <f ca="1">+IF('Datos SS'!BU31&lt;YEAR(Hipótesis!$E$5),MAX(0,'Datos SS'!BV17),'Datos SS'!$I$29)</f>
        <v>2.5000000000000001E-2</v>
      </c>
      <c r="BV32" s="279">
        <f ca="1">+IF('Datos SS'!BV31&lt;YEAR(Hipótesis!$E$5),MAX(0,'Datos SS'!BW17),'Datos SS'!$I$29)</f>
        <v>2.5000000000000001E-2</v>
      </c>
      <c r="BW32" s="279">
        <f ca="1">+IF('Datos SS'!BW31&lt;YEAR(Hipótesis!$E$5),MAX(0,'Datos SS'!BX17),'Datos SS'!$I$29)</f>
        <v>2.5000000000000001E-2</v>
      </c>
      <c r="BX32" s="279">
        <f ca="1">+IF('Datos SS'!BX31&lt;YEAR(Hipótesis!$E$5),MAX(0,'Datos SS'!BY17),'Datos SS'!$I$29)</f>
        <v>2.5000000000000001E-2</v>
      </c>
      <c r="BY32" s="279">
        <f ca="1">+IF('Datos SS'!BY31&lt;YEAR(Hipótesis!$E$5),MAX(0,'Datos SS'!BZ17),'Datos SS'!$I$29)</f>
        <v>2.5000000000000001E-2</v>
      </c>
      <c r="BZ32" s="279">
        <f ca="1">+IF('Datos SS'!BZ31&lt;YEAR(Hipótesis!$E$5),MAX(0,'Datos SS'!CA17),'Datos SS'!$I$29)</f>
        <v>2.5000000000000001E-2</v>
      </c>
      <c r="CA32" s="279">
        <f ca="1">+IF('Datos SS'!CA31&lt;YEAR(Hipótesis!$E$5),MAX(0,'Datos SS'!CB17),'Datos SS'!$I$29)</f>
        <v>2.5000000000000001E-2</v>
      </c>
      <c r="CB32" s="279">
        <f ca="1">+IF('Datos SS'!CB31&lt;YEAR(Hipótesis!$E$5),MAX(0,'Datos SS'!CC17),'Datos SS'!$I$29)</f>
        <v>2.5000000000000001E-2</v>
      </c>
      <c r="CC32" s="279">
        <f ca="1">+IF('Datos SS'!CC31&lt;YEAR(Hipótesis!$E$5),MAX(0,'Datos SS'!CD17),'Datos SS'!$I$29)</f>
        <v>2.5000000000000001E-2</v>
      </c>
      <c r="CD32" s="279">
        <f ca="1">+IF('Datos SS'!CD31&lt;YEAR(Hipótesis!$E$5),MAX(0,'Datos SS'!CE17),'Datos SS'!$I$29)</f>
        <v>2.5000000000000001E-2</v>
      </c>
      <c r="CE32" s="279">
        <f ca="1">+IF('Datos SS'!CE31&lt;YEAR(Hipótesis!$E$5),MAX(0,'Datos SS'!CF17),'Datos SS'!$I$29)</f>
        <v>2.5000000000000001E-2</v>
      </c>
      <c r="CF32" s="279">
        <f ca="1">+IF('Datos SS'!CF31&lt;YEAR(Hipótesis!$E$5),MAX(0,'Datos SS'!CG17),'Datos SS'!$I$29)</f>
        <v>2.5000000000000001E-2</v>
      </c>
      <c r="CG32" s="279">
        <f ca="1">+IF('Datos SS'!CG31&lt;YEAR(Hipótesis!$E$5),MAX(0,'Datos SS'!CH17),'Datos SS'!$I$29)</f>
        <v>2.5000000000000001E-2</v>
      </c>
      <c r="CH32" s="279">
        <f ca="1">+IF('Datos SS'!CH31&lt;YEAR(Hipótesis!$E$5),MAX(0,'Datos SS'!CI17),'Datos SS'!$I$29)</f>
        <v>2.5000000000000001E-2</v>
      </c>
      <c r="CI32" s="279">
        <f ca="1">+IF('Datos SS'!CI31&lt;YEAR(Hipótesis!$E$5),MAX(0,'Datos SS'!CJ17),'Datos SS'!$I$29)</f>
        <v>2.5000000000000001E-2</v>
      </c>
      <c r="CJ32" s="279">
        <f ca="1">+IF('Datos SS'!CJ31&lt;YEAR(Hipótesis!$E$5),MAX(0,'Datos SS'!CK17),'Datos SS'!$I$29)</f>
        <v>2.5000000000000001E-2</v>
      </c>
      <c r="CK32" s="279">
        <f ca="1">+IF('Datos SS'!CK31&lt;YEAR(Hipótesis!$E$5),MAX(0,'Datos SS'!CL17),'Datos SS'!$I$29)</f>
        <v>2.5000000000000001E-2</v>
      </c>
      <c r="CL32" s="279">
        <f ca="1">+IF('Datos SS'!CL31&lt;YEAR(Hipótesis!$E$5),MAX(0,'Datos SS'!CM17),'Datos SS'!$I$29)</f>
        <v>2.5000000000000001E-2</v>
      </c>
      <c r="CM32" s="279">
        <f ca="1">+IF('Datos SS'!CM31&lt;YEAR(Hipótesis!$E$5),MAX(0,'Datos SS'!CN17),'Datos SS'!$I$29)</f>
        <v>2.5000000000000001E-2</v>
      </c>
      <c r="CN32" s="279">
        <f ca="1">+IF('Datos SS'!CN31&lt;YEAR(Hipótesis!$E$5),MAX(0,'Datos SS'!CO17),'Datos SS'!$I$29)</f>
        <v>2.5000000000000001E-2</v>
      </c>
      <c r="CO32" s="279">
        <f ca="1">+IF('Datos SS'!CO31&lt;YEAR(Hipótesis!$E$5),MAX(0,'Datos SS'!CP17),'Datos SS'!$I$29)</f>
        <v>2.5000000000000001E-2</v>
      </c>
      <c r="CP32" s="279">
        <f ca="1">+IF('Datos SS'!CP31&lt;YEAR(Hipótesis!$E$5),MAX(0,'Datos SS'!CQ17),'Datos SS'!$I$29)</f>
        <v>2.5000000000000001E-2</v>
      </c>
      <c r="CQ32" s="279">
        <f ca="1">+IF('Datos SS'!CQ31&lt;YEAR(Hipótesis!$E$5),MAX(0,'Datos SS'!CR17),'Datos SS'!$I$29)</f>
        <v>2.5000000000000001E-2</v>
      </c>
      <c r="CR32" s="279">
        <f ca="1">+IF('Datos SS'!CR31&lt;YEAR(Hipótesis!$E$5),MAX(0,'Datos SS'!CS17),'Datos SS'!$I$29)</f>
        <v>2.5000000000000001E-2</v>
      </c>
      <c r="CS32" s="279">
        <f ca="1">+IF('Datos SS'!CS31&lt;YEAR(Hipótesis!$E$5),MAX(0,'Datos SS'!CT17),'Datos SS'!$I$29)</f>
        <v>2.5000000000000001E-2</v>
      </c>
      <c r="CT32" s="279">
        <f ca="1">+IF('Datos SS'!CT31&lt;YEAR(Hipótesis!$E$5),MAX(0,'Datos SS'!CU17),'Datos SS'!$I$29)</f>
        <v>2.5000000000000001E-2</v>
      </c>
      <c r="CU32" s="279">
        <f ca="1">+IF('Datos SS'!CU31&lt;YEAR(Hipótesis!$E$5),MAX(0,'Datos SS'!CV17),'Datos SS'!$I$29)</f>
        <v>2.5000000000000001E-2</v>
      </c>
      <c r="CV32" s="279">
        <f ca="1">+IF('Datos SS'!CV31&lt;YEAR(Hipótesis!$E$5),MAX(0,'Datos SS'!CW17),'Datos SS'!$I$29)</f>
        <v>2.5000000000000001E-2</v>
      </c>
      <c r="CW32" s="279">
        <f ca="1">+IF('Datos SS'!CW31&lt;YEAR(Hipótesis!$E$5),MAX(0,'Datos SS'!CX17),'Datos SS'!$I$29)</f>
        <v>2.5000000000000001E-2</v>
      </c>
      <c r="CX32" s="279">
        <f ca="1">+IF('Datos SS'!CX31&lt;YEAR(Hipótesis!$E$5),MAX(0,'Datos SS'!CY17),'Datos SS'!$I$29)</f>
        <v>2.5000000000000001E-2</v>
      </c>
      <c r="CY32" s="279">
        <f ca="1">+IF('Datos SS'!CY31&lt;YEAR(Hipótesis!$E$5),MAX(0,'Datos SS'!CZ17),'Datos SS'!$I$29)</f>
        <v>2.5000000000000001E-2</v>
      </c>
      <c r="CZ32" s="279">
        <f ca="1">+IF('Datos SS'!CZ31&lt;YEAR(Hipótesis!$E$5),MAX(0,'Datos SS'!DA17),'Datos SS'!$I$29)</f>
        <v>2.5000000000000001E-2</v>
      </c>
      <c r="DA32" s="279">
        <f ca="1">+IF('Datos SS'!DA31&lt;YEAR(Hipótesis!$E$5),MAX(0,'Datos SS'!DB17),'Datos SS'!$I$29)</f>
        <v>2.5000000000000001E-2</v>
      </c>
      <c r="DB32" s="279">
        <f ca="1">+IF('Datos SS'!DB31&lt;YEAR(Hipótesis!$E$5),MAX(0,'Datos SS'!DC17),'Datos SS'!$I$29)</f>
        <v>2.5000000000000001E-2</v>
      </c>
      <c r="DC32" s="279">
        <f ca="1">+IF('Datos SS'!DC31&lt;YEAR(Hipótesis!$E$5),MAX(0,'Datos SS'!DD17),'Datos SS'!$I$29)</f>
        <v>2.5000000000000001E-2</v>
      </c>
      <c r="DD32" s="279">
        <f ca="1">+IF('Datos SS'!DD31&lt;YEAR(Hipótesis!$E$5),MAX(0,'Datos SS'!DE17),'Datos SS'!$I$29)</f>
        <v>2.5000000000000001E-2</v>
      </c>
      <c r="DE32" s="279">
        <f ca="1">+IF('Datos SS'!DE31&lt;YEAR(Hipótesis!$E$5),MAX(0,'Datos SS'!DF17),'Datos SS'!$I$29)</f>
        <v>2.5000000000000001E-2</v>
      </c>
      <c r="DF32" s="279">
        <f ca="1">+IF('Datos SS'!DF31&lt;YEAR(Hipótesis!$E$5),MAX(0,'Datos SS'!DG17),'Datos SS'!$I$29)</f>
        <v>2.5000000000000001E-2</v>
      </c>
      <c r="DG32" s="279">
        <f ca="1">+IF('Datos SS'!DG31&lt;YEAR(Hipótesis!$E$5),MAX(0,'Datos SS'!DH17),'Datos SS'!$I$29)</f>
        <v>2.5000000000000001E-2</v>
      </c>
      <c r="DH32" s="279">
        <f ca="1">+IF('Datos SS'!DH31&lt;YEAR(Hipótesis!$E$5),MAX(0,'Datos SS'!DI17),'Datos SS'!$I$29)</f>
        <v>2.5000000000000001E-2</v>
      </c>
      <c r="DI32" s="279">
        <f ca="1">+IF('Datos SS'!DI31&lt;YEAR(Hipótesis!$E$5),MAX(0,'Datos SS'!DJ17),'Datos SS'!$I$29)</f>
        <v>2.5000000000000001E-2</v>
      </c>
      <c r="DJ32" s="279">
        <f ca="1">+IF('Datos SS'!DJ31&lt;YEAR(Hipótesis!$E$5),MAX(0,'Datos SS'!DK17),'Datos SS'!$I$29)</f>
        <v>2.5000000000000001E-2</v>
      </c>
      <c r="DK32" s="279">
        <f ca="1">+IF('Datos SS'!DK31&lt;YEAR(Hipótesis!$E$5),MAX(0,'Datos SS'!DL17),'Datos SS'!$I$29)</f>
        <v>2.5000000000000001E-2</v>
      </c>
      <c r="DL32" s="279">
        <f ca="1">+IF('Datos SS'!DL31&lt;YEAR(Hipótesis!$E$5),MAX(0,'Datos SS'!DM17),'Datos SS'!$I$29)</f>
        <v>2.5000000000000001E-2</v>
      </c>
      <c r="DM32" s="279">
        <f ca="1">+IF('Datos SS'!DM31&lt;YEAR(Hipótesis!$E$5),MAX(0,'Datos SS'!DN17),'Datos SS'!$I$29)</f>
        <v>2.5000000000000001E-2</v>
      </c>
      <c r="DN32" s="279">
        <f ca="1">+IF('Datos SS'!DN31&lt;YEAR(Hipótesis!$E$5),MAX(0,'Datos SS'!DO17),'Datos SS'!$I$29)</f>
        <v>2.5000000000000001E-2</v>
      </c>
      <c r="DO32" s="279">
        <f ca="1">+IF('Datos SS'!DO31&lt;YEAR(Hipótesis!$E$5),MAX(0,'Datos SS'!DP17),'Datos SS'!$I$29)</f>
        <v>2.5000000000000001E-2</v>
      </c>
      <c r="DP32" s="279">
        <f ca="1">+IF('Datos SS'!DP31&lt;YEAR(Hipótesis!$E$5),MAX(0,'Datos SS'!DQ17),'Datos SS'!$I$29)</f>
        <v>2.5000000000000001E-2</v>
      </c>
      <c r="DQ32" s="279">
        <f ca="1">+IF('Datos SS'!DQ31&lt;YEAR(Hipótesis!$E$5),MAX(0,'Datos SS'!DR17),'Datos SS'!$I$29)</f>
        <v>2.5000000000000001E-2</v>
      </c>
      <c r="DR32" s="279">
        <f ca="1">+IF('Datos SS'!DR31&lt;YEAR(Hipótesis!$E$5),MAX(0,'Datos SS'!DS17),'Datos SS'!$I$29)</f>
        <v>2.5000000000000001E-2</v>
      </c>
      <c r="DS32" s="279">
        <f ca="1">+IF('Datos SS'!DS31&lt;YEAR(Hipótesis!$E$5),MAX(0,'Datos SS'!DT17),'Datos SS'!$I$29)</f>
        <v>2.5000000000000001E-2</v>
      </c>
      <c r="DT32" s="279">
        <f ca="1">+IF('Datos SS'!DT31&lt;YEAR(Hipótesis!$E$5),MAX(0,'Datos SS'!DU17),'Datos SS'!$I$29)</f>
        <v>2.5000000000000001E-2</v>
      </c>
      <c r="DU32" s="279">
        <f ca="1">+IF('Datos SS'!DU31&lt;YEAR(Hipótesis!$E$5),MAX(0,'Datos SS'!DV17),'Datos SS'!$I$29)</f>
        <v>2.5000000000000001E-2</v>
      </c>
      <c r="DV32" s="279">
        <f ca="1">+IF('Datos SS'!DV31&lt;YEAR(Hipótesis!$E$5),MAX(0,'Datos SS'!DW17),'Datos SS'!$I$29)</f>
        <v>2.5000000000000001E-2</v>
      </c>
      <c r="DW32" s="279">
        <f ca="1">+IF('Datos SS'!DW31&lt;YEAR(Hipótesis!$E$5),MAX(0,'Datos SS'!DX17),'Datos SS'!$I$29)</f>
        <v>2.5000000000000001E-2</v>
      </c>
      <c r="DX32" s="279">
        <f ca="1">+IF('Datos SS'!DX31&lt;YEAR(Hipótesis!$E$5),MAX(0,'Datos SS'!DY17),'Datos SS'!$I$29)</f>
        <v>2.5000000000000001E-2</v>
      </c>
      <c r="DY32" s="279">
        <f ca="1">+IF('Datos SS'!DY31&lt;YEAR(Hipótesis!$E$5),MAX(0,'Datos SS'!DZ17),'Datos SS'!$I$29)</f>
        <v>2.5000000000000001E-2</v>
      </c>
      <c r="DZ32" s="279">
        <f ca="1">+IF('Datos SS'!DZ31&lt;YEAR(Hipótesis!$E$5),MAX(0,'Datos SS'!EA17),'Datos SS'!$I$29)</f>
        <v>2.5000000000000001E-2</v>
      </c>
      <c r="EA32" s="279">
        <f ca="1">+IF('Datos SS'!EA31&lt;YEAR(Hipótesis!$E$5),MAX(0,'Datos SS'!EB17),'Datos SS'!$I$29)</f>
        <v>2.5000000000000001E-2</v>
      </c>
      <c r="EB32" s="279">
        <f ca="1">+IF('Datos SS'!EB31&lt;YEAR(Hipótesis!$E$5),MAX(0,'Datos SS'!EC17),'Datos SS'!$I$29)</f>
        <v>2.5000000000000001E-2</v>
      </c>
      <c r="EC32" s="279">
        <f ca="1">+IF('Datos SS'!EC31&lt;YEAR(Hipótesis!$E$5),MAX(0,'Datos SS'!ED17),'Datos SS'!$I$29)</f>
        <v>2.5000000000000001E-2</v>
      </c>
      <c r="ED32" s="279">
        <f ca="1">+IF('Datos SS'!ED31&lt;YEAR(Hipótesis!$E$5),MAX(0,'Datos SS'!EE17),'Datos SS'!$I$29)</f>
        <v>2.5000000000000001E-2</v>
      </c>
      <c r="EE32" s="279">
        <f ca="1">+IF('Datos SS'!EE31&lt;YEAR(Hipótesis!$E$5),MAX(0,'Datos SS'!EF17),'Datos SS'!$I$29)</f>
        <v>2.5000000000000001E-2</v>
      </c>
      <c r="EF32" s="279">
        <f ca="1">+IF('Datos SS'!EF31&lt;YEAR(Hipótesis!$E$5),MAX(0,'Datos SS'!EG17),'Datos SS'!$I$29)</f>
        <v>2.5000000000000001E-2</v>
      </c>
      <c r="EG32" s="279">
        <f ca="1">+IF('Datos SS'!EG31&lt;YEAR(Hipótesis!$E$5),MAX(0,'Datos SS'!EH17),'Datos SS'!$I$29)</f>
        <v>2.5000000000000001E-2</v>
      </c>
    </row>
    <row r="35" spans="2:146">
      <c r="L35" t="s">
        <v>241</v>
      </c>
      <c r="O35" s="148">
        <f>J23</f>
        <v>2.5000000000000001E-2</v>
      </c>
    </row>
    <row r="36" spans="2:146">
      <c r="B36" s="904" t="s">
        <v>39</v>
      </c>
      <c r="C36" s="15" t="s">
        <v>40</v>
      </c>
      <c r="D36" s="15" t="s">
        <v>41</v>
      </c>
      <c r="E36" s="138" t="s">
        <v>8</v>
      </c>
    </row>
    <row r="37" spans="2:146" ht="15.6">
      <c r="B37" s="905"/>
      <c r="C37" s="16" t="s">
        <v>42</v>
      </c>
      <c r="D37" s="16" t="s">
        <v>42</v>
      </c>
      <c r="E37" s="16"/>
      <c r="J37" s="164" t="s">
        <v>240</v>
      </c>
      <c r="K37" s="164">
        <v>1965</v>
      </c>
      <c r="L37" s="164">
        <v>1966</v>
      </c>
      <c r="M37" s="164">
        <v>1967</v>
      </c>
      <c r="N37" s="164">
        <v>1968</v>
      </c>
      <c r="O37" s="164">
        <v>1969</v>
      </c>
      <c r="P37" s="164">
        <v>1970</v>
      </c>
      <c r="Q37" s="164">
        <v>1971</v>
      </c>
      <c r="R37" s="164">
        <v>1972</v>
      </c>
      <c r="S37" s="164">
        <v>1973</v>
      </c>
      <c r="T37" s="164">
        <v>1974</v>
      </c>
      <c r="U37" s="164">
        <v>1975</v>
      </c>
      <c r="V37" s="164">
        <v>1976</v>
      </c>
      <c r="W37" s="164">
        <v>1977</v>
      </c>
      <c r="X37" s="164">
        <v>1978</v>
      </c>
      <c r="Y37" s="164">
        <v>1979</v>
      </c>
      <c r="Z37" s="164">
        <v>1980</v>
      </c>
      <c r="AA37" s="164">
        <v>1981</v>
      </c>
      <c r="AB37" s="164">
        <v>1982</v>
      </c>
      <c r="AC37" s="164">
        <v>1983</v>
      </c>
      <c r="AD37" s="164">
        <v>1984</v>
      </c>
      <c r="AE37" s="164">
        <v>1985</v>
      </c>
      <c r="AF37" s="164">
        <v>1986</v>
      </c>
      <c r="AG37" s="164">
        <v>1987</v>
      </c>
      <c r="AH37" s="164">
        <v>1988</v>
      </c>
      <c r="AI37" s="164">
        <v>1989</v>
      </c>
      <c r="AJ37" s="164">
        <v>1990</v>
      </c>
      <c r="AK37" s="164">
        <v>1991</v>
      </c>
      <c r="AL37" s="164">
        <v>1992</v>
      </c>
      <c r="AM37" s="164">
        <v>1993</v>
      </c>
      <c r="AN37" s="164">
        <v>1994</v>
      </c>
      <c r="AO37" s="164">
        <v>1995</v>
      </c>
      <c r="AP37" s="164">
        <v>1996</v>
      </c>
      <c r="AQ37" s="164">
        <v>1997</v>
      </c>
      <c r="AR37" s="164">
        <v>1998</v>
      </c>
      <c r="AS37" s="164">
        <v>1999</v>
      </c>
      <c r="AT37" s="164">
        <v>2000</v>
      </c>
      <c r="AU37" s="164">
        <v>2001</v>
      </c>
      <c r="AV37" s="164">
        <v>2002</v>
      </c>
      <c r="AW37" s="164">
        <v>2003</v>
      </c>
      <c r="AX37" s="164">
        <v>2004</v>
      </c>
      <c r="AY37" s="164">
        <v>2005</v>
      </c>
      <c r="AZ37" s="164">
        <v>2006</v>
      </c>
      <c r="BA37" s="164">
        <v>2007</v>
      </c>
      <c r="BB37" s="164">
        <v>2008</v>
      </c>
      <c r="BC37" s="164">
        <v>2009</v>
      </c>
      <c r="BD37" s="164">
        <v>2010</v>
      </c>
      <c r="BE37" s="164">
        <v>2011</v>
      </c>
      <c r="BF37" s="164">
        <v>2012</v>
      </c>
      <c r="BG37" s="164">
        <v>2013</v>
      </c>
      <c r="BH37" s="164">
        <v>2014</v>
      </c>
      <c r="BI37" s="164">
        <v>2015</v>
      </c>
      <c r="BJ37" s="164">
        <v>2016</v>
      </c>
      <c r="BK37" s="164">
        <v>2017</v>
      </c>
      <c r="BL37" s="164">
        <v>2018</v>
      </c>
      <c r="BM37" s="164">
        <v>2019</v>
      </c>
      <c r="BN37" s="164">
        <v>2020</v>
      </c>
      <c r="BO37" s="164">
        <v>2021</v>
      </c>
      <c r="BP37" s="164">
        <v>2022</v>
      </c>
      <c r="BQ37" s="164">
        <v>2023</v>
      </c>
      <c r="BR37" s="164">
        <v>2024</v>
      </c>
      <c r="BS37" s="164">
        <v>2025</v>
      </c>
      <c r="BT37" s="164">
        <v>2026</v>
      </c>
      <c r="BU37" s="164">
        <v>2027</v>
      </c>
      <c r="BV37" s="164">
        <v>2028</v>
      </c>
      <c r="BW37" s="164">
        <v>2029</v>
      </c>
      <c r="BX37" s="164">
        <v>2030</v>
      </c>
      <c r="BY37" s="164">
        <v>2031</v>
      </c>
      <c r="BZ37" s="164">
        <v>2032</v>
      </c>
      <c r="CA37" s="164">
        <v>2033</v>
      </c>
      <c r="CB37" s="164">
        <v>2034</v>
      </c>
      <c r="CC37" s="164">
        <v>2035</v>
      </c>
      <c r="CD37" s="164">
        <v>2036</v>
      </c>
      <c r="CE37" s="164">
        <v>2037</v>
      </c>
      <c r="CF37" s="164">
        <v>2038</v>
      </c>
      <c r="CG37" s="164">
        <v>2039</v>
      </c>
      <c r="CH37" s="164">
        <v>2040</v>
      </c>
      <c r="CI37" s="164">
        <v>2041</v>
      </c>
      <c r="CJ37" s="164">
        <v>2042</v>
      </c>
      <c r="CK37" s="164">
        <v>2043</v>
      </c>
      <c r="CL37" s="164">
        <v>2044</v>
      </c>
      <c r="CM37" s="164">
        <v>2045</v>
      </c>
      <c r="CN37" s="164">
        <v>2046</v>
      </c>
      <c r="CO37" s="164">
        <v>2047</v>
      </c>
      <c r="CP37" s="164">
        <v>2048</v>
      </c>
      <c r="CQ37" s="164">
        <v>2049</v>
      </c>
      <c r="CR37" s="164">
        <v>2050</v>
      </c>
      <c r="CS37" s="164">
        <v>2051</v>
      </c>
      <c r="CT37" s="164">
        <v>2052</v>
      </c>
      <c r="CU37" s="164">
        <v>2053</v>
      </c>
      <c r="CV37" s="164">
        <v>2054</v>
      </c>
      <c r="CW37" s="164">
        <v>2055</v>
      </c>
      <c r="CX37" s="164">
        <v>2056</v>
      </c>
      <c r="CY37" s="164">
        <v>2057</v>
      </c>
      <c r="CZ37" s="164">
        <v>2058</v>
      </c>
      <c r="DA37" s="164">
        <v>2059</v>
      </c>
      <c r="DB37" s="164">
        <v>2060</v>
      </c>
      <c r="DC37" s="164">
        <v>2061</v>
      </c>
      <c r="DD37" s="164">
        <v>2062</v>
      </c>
      <c r="DE37" s="164">
        <v>2063</v>
      </c>
      <c r="DF37" s="164">
        <v>2064</v>
      </c>
      <c r="DG37" s="164">
        <v>2065</v>
      </c>
      <c r="DH37" s="164">
        <v>2066</v>
      </c>
      <c r="DI37" s="164">
        <v>2067</v>
      </c>
      <c r="DJ37" s="164">
        <v>2068</v>
      </c>
      <c r="DK37" s="164">
        <v>2069</v>
      </c>
      <c r="DL37" s="164">
        <v>2070</v>
      </c>
      <c r="DM37" s="164">
        <v>2071</v>
      </c>
      <c r="DN37" s="164">
        <v>2072</v>
      </c>
      <c r="DO37" s="164">
        <v>2073</v>
      </c>
      <c r="DP37" s="164">
        <v>2074</v>
      </c>
      <c r="DQ37" s="164">
        <v>2075</v>
      </c>
      <c r="DR37" s="164">
        <v>2076</v>
      </c>
      <c r="DS37" s="164">
        <v>2077</v>
      </c>
      <c r="DT37" s="164">
        <v>2078</v>
      </c>
      <c r="DU37" s="164">
        <v>2079</v>
      </c>
      <c r="DV37" s="164">
        <v>2080</v>
      </c>
      <c r="DW37" s="164">
        <v>2081</v>
      </c>
      <c r="DX37" s="164">
        <v>2082</v>
      </c>
      <c r="DY37" s="164">
        <v>2083</v>
      </c>
      <c r="DZ37" s="164">
        <v>2084</v>
      </c>
      <c r="EA37" s="164">
        <v>2085</v>
      </c>
      <c r="EB37" s="164">
        <v>2086</v>
      </c>
      <c r="EC37" s="164">
        <v>2087</v>
      </c>
      <c r="ED37" s="164">
        <v>2088</v>
      </c>
      <c r="EE37" s="164">
        <v>2089</v>
      </c>
      <c r="EF37" s="164">
        <v>2090</v>
      </c>
      <c r="EG37" s="164">
        <v>2091</v>
      </c>
      <c r="EH37" s="164">
        <v>2092</v>
      </c>
      <c r="EI37" s="164">
        <v>2093</v>
      </c>
      <c r="EJ37" s="164">
        <v>2094</v>
      </c>
      <c r="EK37" s="164">
        <v>2095</v>
      </c>
      <c r="EL37" s="164">
        <v>2096</v>
      </c>
      <c r="EM37" s="164">
        <v>2097</v>
      </c>
      <c r="EN37" s="164">
        <v>2098</v>
      </c>
      <c r="EO37" s="164">
        <v>2099</v>
      </c>
      <c r="EP37" s="164">
        <v>2100</v>
      </c>
    </row>
    <row r="38" spans="2:146">
      <c r="B38" s="17">
        <v>2014</v>
      </c>
      <c r="C38" s="18" t="s">
        <v>43</v>
      </c>
      <c r="D38" s="18" t="s">
        <v>43</v>
      </c>
      <c r="E38" s="19">
        <v>1</v>
      </c>
      <c r="J38">
        <v>7</v>
      </c>
      <c r="Y38" s="169">
        <v>117.2</v>
      </c>
      <c r="Z38" s="169">
        <v>135.22999999999999</v>
      </c>
      <c r="AA38" s="169">
        <v>148.38999999999999</v>
      </c>
      <c r="AB38" s="169">
        <v>185.17</v>
      </c>
      <c r="AC38" s="169">
        <v>209.33</v>
      </c>
      <c r="AD38" s="169">
        <v>243.59</v>
      </c>
      <c r="AE38" s="169">
        <v>260.66000000000003</v>
      </c>
      <c r="AF38" s="169">
        <v>281.45</v>
      </c>
      <c r="AG38" s="169">
        <v>295.52</v>
      </c>
      <c r="AH38" s="169">
        <v>308.86</v>
      </c>
      <c r="AI38" s="169">
        <v>327.43</v>
      </c>
      <c r="AJ38" s="169">
        <v>350.69</v>
      </c>
      <c r="AK38" s="169">
        <v>373.41</v>
      </c>
      <c r="AL38" s="169">
        <v>394.68</v>
      </c>
      <c r="AM38" s="169">
        <v>410.55</v>
      </c>
      <c r="AN38" s="169">
        <v>424.8</v>
      </c>
      <c r="AO38" s="169">
        <v>439.58</v>
      </c>
      <c r="AP38" s="169">
        <v>454.91</v>
      </c>
      <c r="AQ38" s="169">
        <v>467.17</v>
      </c>
      <c r="AR38" s="169">
        <v>477.08</v>
      </c>
      <c r="AS38" s="169">
        <v>485.74</v>
      </c>
      <c r="AT38" s="169">
        <v>495.65</v>
      </c>
      <c r="AU38" s="169">
        <v>505.8</v>
      </c>
      <c r="AV38" s="169">
        <v>516</v>
      </c>
      <c r="AW38" s="169">
        <v>526.5</v>
      </c>
      <c r="AX38" s="169">
        <v>537.29999999999995</v>
      </c>
      <c r="AY38" s="169">
        <v>598.5</v>
      </c>
      <c r="AZ38" s="169">
        <v>631.20000000000005</v>
      </c>
      <c r="BA38" s="169">
        <v>665.7</v>
      </c>
      <c r="BB38" s="169">
        <v>699.9</v>
      </c>
      <c r="BC38" s="169">
        <v>728.1</v>
      </c>
      <c r="BD38" s="169">
        <v>738.9</v>
      </c>
      <c r="BE38" s="169">
        <v>748.2</v>
      </c>
      <c r="BF38" s="170">
        <v>748.2</v>
      </c>
      <c r="BG38" s="169">
        <v>753</v>
      </c>
      <c r="BH38" s="170">
        <v>753</v>
      </c>
      <c r="BI38" s="169">
        <v>756.6</v>
      </c>
      <c r="BJ38" s="169">
        <v>764.4</v>
      </c>
      <c r="BK38" s="169">
        <v>825.6</v>
      </c>
      <c r="BL38" s="169">
        <v>858.6</v>
      </c>
      <c r="BM38" s="170">
        <v>1050</v>
      </c>
      <c r="BN38" s="170">
        <v>1050</v>
      </c>
      <c r="BO38" s="170">
        <v>1050</v>
      </c>
      <c r="BP38">
        <f t="shared" ref="BP38:DZ38" si="145">BO38*($O$35+1)</f>
        <v>1076.25</v>
      </c>
      <c r="BQ38">
        <f t="shared" si="145"/>
        <v>1103.15625</v>
      </c>
      <c r="BR38">
        <f t="shared" si="145"/>
        <v>1130.7351562499998</v>
      </c>
      <c r="BS38">
        <f t="shared" si="145"/>
        <v>1159.0035351562497</v>
      </c>
      <c r="BT38">
        <f t="shared" si="145"/>
        <v>1187.9786235351557</v>
      </c>
      <c r="BU38">
        <f t="shared" si="145"/>
        <v>1217.6780891235346</v>
      </c>
      <c r="BV38">
        <f t="shared" si="145"/>
        <v>1248.1200413516228</v>
      </c>
      <c r="BW38">
        <f t="shared" si="145"/>
        <v>1279.3230423854134</v>
      </c>
      <c r="BX38">
        <f t="shared" si="145"/>
        <v>1311.3061184450487</v>
      </c>
      <c r="BY38">
        <f t="shared" si="145"/>
        <v>1344.0887714061748</v>
      </c>
      <c r="BZ38">
        <f t="shared" si="145"/>
        <v>1377.690990691329</v>
      </c>
      <c r="CA38">
        <f t="shared" si="145"/>
        <v>1412.1332654586122</v>
      </c>
      <c r="CB38">
        <f t="shared" si="145"/>
        <v>1447.4365970950773</v>
      </c>
      <c r="CC38">
        <f t="shared" si="145"/>
        <v>1483.6225120224542</v>
      </c>
      <c r="CD38">
        <f t="shared" si="145"/>
        <v>1520.7130748230154</v>
      </c>
      <c r="CE38">
        <f t="shared" si="145"/>
        <v>1558.7309016935906</v>
      </c>
      <c r="CF38">
        <f t="shared" si="145"/>
        <v>1597.6991742359303</v>
      </c>
      <c r="CG38">
        <f t="shared" si="145"/>
        <v>1637.6416535918283</v>
      </c>
      <c r="CH38">
        <f t="shared" si="145"/>
        <v>1678.582694931624</v>
      </c>
      <c r="CI38">
        <f t="shared" si="145"/>
        <v>1720.5472623049145</v>
      </c>
      <c r="CJ38">
        <f t="shared" si="145"/>
        <v>1763.5609438625372</v>
      </c>
      <c r="CK38">
        <f t="shared" si="145"/>
        <v>1807.6499674591005</v>
      </c>
      <c r="CL38">
        <f t="shared" si="145"/>
        <v>1852.8412166455778</v>
      </c>
      <c r="CM38">
        <f t="shared" si="145"/>
        <v>1899.1622470617172</v>
      </c>
      <c r="CN38">
        <f t="shared" si="145"/>
        <v>1946.64130323826</v>
      </c>
      <c r="CO38">
        <f t="shared" si="145"/>
        <v>1995.3073358192164</v>
      </c>
      <c r="CP38">
        <f t="shared" si="145"/>
        <v>2045.1900192146966</v>
      </c>
      <c r="CQ38">
        <f t="shared" si="145"/>
        <v>2096.3197696950638</v>
      </c>
      <c r="CR38">
        <f t="shared" si="145"/>
        <v>2148.7277639374402</v>
      </c>
      <c r="CS38">
        <f t="shared" si="145"/>
        <v>2202.4459580358762</v>
      </c>
      <c r="CT38">
        <f t="shared" si="145"/>
        <v>2257.5071069867727</v>
      </c>
      <c r="CU38">
        <f t="shared" si="145"/>
        <v>2313.9447846614416</v>
      </c>
      <c r="CV38">
        <f t="shared" si="145"/>
        <v>2371.7934042779775</v>
      </c>
      <c r="CW38">
        <f t="shared" si="145"/>
        <v>2431.088239384927</v>
      </c>
      <c r="CX38">
        <f t="shared" si="145"/>
        <v>2491.8654453695499</v>
      </c>
      <c r="CY38">
        <f t="shared" si="145"/>
        <v>2554.1620815037886</v>
      </c>
      <c r="CZ38">
        <f t="shared" si="145"/>
        <v>2618.0161335413832</v>
      </c>
      <c r="DA38">
        <f t="shared" si="145"/>
        <v>2683.4665368799174</v>
      </c>
      <c r="DB38">
        <f t="shared" si="145"/>
        <v>2750.5532003019152</v>
      </c>
      <c r="DC38">
        <f t="shared" si="145"/>
        <v>2819.317030309463</v>
      </c>
      <c r="DD38">
        <f t="shared" si="145"/>
        <v>2889.7999560671992</v>
      </c>
      <c r="DE38">
        <f t="shared" si="145"/>
        <v>2962.0449549688788</v>
      </c>
      <c r="DF38">
        <f t="shared" si="145"/>
        <v>3036.0960788431003</v>
      </c>
      <c r="DG38">
        <f t="shared" si="145"/>
        <v>3111.9984808141776</v>
      </c>
      <c r="DH38">
        <f t="shared" si="145"/>
        <v>3189.7984428345317</v>
      </c>
      <c r="DI38">
        <f t="shared" si="145"/>
        <v>3269.5434039053948</v>
      </c>
      <c r="DJ38">
        <f t="shared" si="145"/>
        <v>3351.2819890030296</v>
      </c>
      <c r="DK38">
        <f t="shared" si="145"/>
        <v>3435.0640387281051</v>
      </c>
      <c r="DL38">
        <f t="shared" si="145"/>
        <v>3520.9406396963072</v>
      </c>
      <c r="DM38">
        <f t="shared" si="145"/>
        <v>3608.9641556887145</v>
      </c>
      <c r="DN38">
        <f t="shared" si="145"/>
        <v>3699.188259580932</v>
      </c>
      <c r="DO38">
        <f t="shared" si="145"/>
        <v>3791.6679660704549</v>
      </c>
      <c r="DP38">
        <f t="shared" si="145"/>
        <v>3886.4596652222158</v>
      </c>
      <c r="DQ38">
        <f t="shared" si="145"/>
        <v>3983.621156852771</v>
      </c>
      <c r="DR38">
        <f t="shared" si="145"/>
        <v>4083.2116857740898</v>
      </c>
      <c r="DS38">
        <f t="shared" si="145"/>
        <v>4185.2919779184413</v>
      </c>
      <c r="DT38">
        <f t="shared" si="145"/>
        <v>4289.9242773664018</v>
      </c>
      <c r="DU38">
        <f t="shared" si="145"/>
        <v>4397.1723843005611</v>
      </c>
      <c r="DV38">
        <f t="shared" si="145"/>
        <v>4507.1016939080746</v>
      </c>
      <c r="DW38">
        <f t="shared" si="145"/>
        <v>4619.7792362557757</v>
      </c>
      <c r="DX38">
        <f t="shared" si="145"/>
        <v>4735.2737171621693</v>
      </c>
      <c r="DY38">
        <f t="shared" si="145"/>
        <v>4853.6555600912234</v>
      </c>
      <c r="DZ38">
        <f t="shared" si="145"/>
        <v>4974.9969490935036</v>
      </c>
      <c r="EA38">
        <f t="shared" ref="EA38:EP38" si="146">DZ38*($O$35+1)</f>
        <v>5099.3718728208405</v>
      </c>
      <c r="EB38">
        <f t="shared" si="146"/>
        <v>5226.8561696413608</v>
      </c>
      <c r="EC38">
        <f t="shared" si="146"/>
        <v>5357.5275738823948</v>
      </c>
      <c r="ED38">
        <f t="shared" si="146"/>
        <v>5491.4657632294538</v>
      </c>
      <c r="EE38">
        <f t="shared" si="146"/>
        <v>5628.7524073101895</v>
      </c>
      <c r="EF38">
        <f t="shared" si="146"/>
        <v>5769.4712174929437</v>
      </c>
      <c r="EG38">
        <f t="shared" si="146"/>
        <v>5913.7079979302671</v>
      </c>
      <c r="EH38">
        <f t="shared" si="146"/>
        <v>6061.5506978785234</v>
      </c>
      <c r="EI38">
        <f t="shared" si="146"/>
        <v>6213.0894653254863</v>
      </c>
      <c r="EJ38">
        <f t="shared" si="146"/>
        <v>6368.416701958623</v>
      </c>
      <c r="EK38">
        <f t="shared" si="146"/>
        <v>6527.6271195075878</v>
      </c>
      <c r="EL38">
        <f t="shared" si="146"/>
        <v>6690.8177974952769</v>
      </c>
      <c r="EM38">
        <f t="shared" si="146"/>
        <v>6858.0882424326583</v>
      </c>
      <c r="EN38">
        <f t="shared" si="146"/>
        <v>7029.5404484934743</v>
      </c>
      <c r="EO38">
        <f t="shared" si="146"/>
        <v>7205.2789597058108</v>
      </c>
      <c r="EP38">
        <f t="shared" si="146"/>
        <v>7385.4109336984557</v>
      </c>
    </row>
    <row r="39" spans="2:146">
      <c r="B39" s="20">
        <v>2015</v>
      </c>
      <c r="C39" s="21" t="s">
        <v>43</v>
      </c>
      <c r="D39" s="21" t="s">
        <v>43</v>
      </c>
      <c r="E39" s="22">
        <v>1</v>
      </c>
      <c r="Y39">
        <v>1.51</v>
      </c>
      <c r="Z39">
        <v>1.74</v>
      </c>
      <c r="AA39">
        <v>1.92</v>
      </c>
      <c r="AB39">
        <v>2.39</v>
      </c>
      <c r="AC39">
        <v>2.7</v>
      </c>
      <c r="AD39">
        <v>3.14</v>
      </c>
      <c r="AE39">
        <v>3.37</v>
      </c>
      <c r="AF39">
        <v>3.62</v>
      </c>
      <c r="AG39">
        <v>3.8</v>
      </c>
      <c r="AH39">
        <v>3.97</v>
      </c>
      <c r="AI39">
        <v>4.21</v>
      </c>
      <c r="AJ39">
        <v>7.72</v>
      </c>
      <c r="AK39">
        <v>8.2200000000000006</v>
      </c>
      <c r="AL39">
        <v>8.68</v>
      </c>
      <c r="AM39">
        <v>9.0299999999999994</v>
      </c>
      <c r="AN39">
        <v>9.35</v>
      </c>
      <c r="AO39">
        <v>9.68</v>
      </c>
      <c r="AP39">
        <v>11.74</v>
      </c>
      <c r="AQ39">
        <v>13.82</v>
      </c>
      <c r="AR39">
        <v>15.9</v>
      </c>
      <c r="AS39">
        <v>16.190000000000001</v>
      </c>
      <c r="AT39">
        <v>16.52</v>
      </c>
      <c r="AU39">
        <v>16.86</v>
      </c>
      <c r="AV39">
        <v>17.2</v>
      </c>
      <c r="AW39">
        <v>17.55</v>
      </c>
      <c r="AX39">
        <v>17.91</v>
      </c>
      <c r="AY39">
        <v>19.95</v>
      </c>
      <c r="AZ39">
        <v>21.04</v>
      </c>
      <c r="BA39">
        <v>22.19</v>
      </c>
      <c r="BB39">
        <v>23.33</v>
      </c>
      <c r="BC39">
        <v>24.27</v>
      </c>
      <c r="BD39">
        <v>24.63</v>
      </c>
      <c r="BE39">
        <f>BE38/30</f>
        <v>24.94</v>
      </c>
      <c r="BF39">
        <f t="shared" ref="BF39:BK39" si="147">BF38/30</f>
        <v>24.94</v>
      </c>
      <c r="BG39">
        <f t="shared" si="147"/>
        <v>25.1</v>
      </c>
      <c r="BH39">
        <f t="shared" si="147"/>
        <v>25.1</v>
      </c>
      <c r="BI39">
        <f t="shared" si="147"/>
        <v>25.220000000000002</v>
      </c>
      <c r="BJ39">
        <f t="shared" si="147"/>
        <v>25.48</v>
      </c>
      <c r="BK39">
        <f t="shared" si="147"/>
        <v>27.52</v>
      </c>
    </row>
    <row r="40" spans="2:146">
      <c r="B40" s="20">
        <v>2016</v>
      </c>
      <c r="C40" s="21" t="s">
        <v>43</v>
      </c>
      <c r="D40" s="21" t="s">
        <v>43</v>
      </c>
      <c r="E40" s="22">
        <v>1</v>
      </c>
    </row>
    <row r="41" spans="2:146">
      <c r="B41" s="20">
        <v>2017</v>
      </c>
      <c r="C41" s="21" t="s">
        <v>43</v>
      </c>
      <c r="D41" s="21" t="s">
        <v>43</v>
      </c>
      <c r="E41" s="22">
        <v>1</v>
      </c>
    </row>
    <row r="42" spans="2:146">
      <c r="B42" s="23">
        <v>2018</v>
      </c>
      <c r="C42" s="24">
        <v>1</v>
      </c>
      <c r="D42" s="25">
        <v>1</v>
      </c>
      <c r="E42" s="26">
        <f t="shared" ref="E42:E89" si="148">+(C42+D42)/2</f>
        <v>1</v>
      </c>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row>
    <row r="43" spans="2:146">
      <c r="B43" s="27">
        <v>2019</v>
      </c>
      <c r="C43" s="28">
        <v>0.99150000000000005</v>
      </c>
      <c r="D43" s="29">
        <v>0.99319999999999997</v>
      </c>
      <c r="E43" s="26">
        <v>1</v>
      </c>
    </row>
    <row r="44" spans="2:146">
      <c r="B44" s="31">
        <v>2020</v>
      </c>
      <c r="C44" s="32">
        <v>0.98299999999999998</v>
      </c>
      <c r="D44" s="33">
        <v>0.98650000000000004</v>
      </c>
      <c r="E44" s="26">
        <v>1</v>
      </c>
    </row>
    <row r="45" spans="2:146">
      <c r="B45" s="31">
        <v>2021</v>
      </c>
      <c r="C45" s="32">
        <v>0.97460000000000002</v>
      </c>
      <c r="D45" s="33">
        <v>0.9798</v>
      </c>
      <c r="E45" s="26">
        <v>1</v>
      </c>
    </row>
    <row r="46" spans="2:146">
      <c r="B46" s="31">
        <v>2022</v>
      </c>
      <c r="C46" s="32">
        <v>0.96630000000000005</v>
      </c>
      <c r="D46" s="33">
        <v>0.97319999999999995</v>
      </c>
      <c r="E46" s="26">
        <v>1</v>
      </c>
    </row>
    <row r="47" spans="2:146">
      <c r="B47" s="35">
        <v>2023</v>
      </c>
      <c r="C47" s="36">
        <v>0.95809999999999995</v>
      </c>
      <c r="D47" s="37">
        <v>0.96660000000000001</v>
      </c>
      <c r="E47" s="38">
        <f t="shared" si="148"/>
        <v>0.96235000000000004</v>
      </c>
    </row>
    <row r="48" spans="2:146">
      <c r="B48" s="39">
        <v>2024</v>
      </c>
      <c r="C48" s="40">
        <v>0.95040000000000002</v>
      </c>
      <c r="D48" s="41">
        <v>0.96050000000000002</v>
      </c>
      <c r="E48" s="42">
        <f t="shared" si="148"/>
        <v>0.95545000000000002</v>
      </c>
    </row>
    <row r="49" spans="2:5">
      <c r="B49" s="43">
        <v>2025</v>
      </c>
      <c r="C49" s="44">
        <v>0.94269999999999998</v>
      </c>
      <c r="D49" s="45">
        <v>0.95450000000000002</v>
      </c>
      <c r="E49" s="46">
        <f t="shared" si="148"/>
        <v>0.9486</v>
      </c>
    </row>
    <row r="50" spans="2:5">
      <c r="B50" s="43">
        <v>2026</v>
      </c>
      <c r="C50" s="44">
        <v>0.93510000000000004</v>
      </c>
      <c r="D50" s="45">
        <v>0.94850000000000001</v>
      </c>
      <c r="E50" s="46">
        <f t="shared" si="148"/>
        <v>0.94179999999999997</v>
      </c>
    </row>
    <row r="51" spans="2:5">
      <c r="B51" s="43">
        <v>2027</v>
      </c>
      <c r="C51" s="44">
        <v>0.92759999999999998</v>
      </c>
      <c r="D51" s="45">
        <v>0.9425</v>
      </c>
      <c r="E51" s="46">
        <f t="shared" si="148"/>
        <v>0.93504999999999994</v>
      </c>
    </row>
    <row r="52" spans="2:5">
      <c r="B52" s="47">
        <v>2028</v>
      </c>
      <c r="C52" s="48">
        <v>0.92010000000000003</v>
      </c>
      <c r="D52" s="49">
        <v>0.93659999999999999</v>
      </c>
      <c r="E52" s="50">
        <f t="shared" si="148"/>
        <v>0.92835000000000001</v>
      </c>
    </row>
    <row r="53" spans="2:5">
      <c r="B53" s="27">
        <v>2029</v>
      </c>
      <c r="C53" s="28">
        <v>0.91310000000000002</v>
      </c>
      <c r="D53" s="29">
        <v>0.93110000000000004</v>
      </c>
      <c r="E53" s="30">
        <f t="shared" si="148"/>
        <v>0.92210000000000003</v>
      </c>
    </row>
    <row r="54" spans="2:5">
      <c r="B54" s="31">
        <v>2030</v>
      </c>
      <c r="C54" s="32">
        <v>0.90620000000000001</v>
      </c>
      <c r="D54" s="33">
        <v>0.92559999999999998</v>
      </c>
      <c r="E54" s="34">
        <f t="shared" si="148"/>
        <v>0.91589999999999994</v>
      </c>
    </row>
    <row r="55" spans="2:5">
      <c r="B55" s="31">
        <v>2031</v>
      </c>
      <c r="C55" s="32">
        <v>0.89929999999999999</v>
      </c>
      <c r="D55" s="33">
        <v>0.92020000000000002</v>
      </c>
      <c r="E55" s="34">
        <f t="shared" si="148"/>
        <v>0.90975000000000006</v>
      </c>
    </row>
    <row r="56" spans="2:5">
      <c r="B56" s="31">
        <v>2032</v>
      </c>
      <c r="C56" s="32">
        <v>0.89249999999999996</v>
      </c>
      <c r="D56" s="33">
        <v>0.91479999999999995</v>
      </c>
      <c r="E56" s="34">
        <f t="shared" si="148"/>
        <v>0.90364999999999995</v>
      </c>
    </row>
    <row r="57" spans="2:5">
      <c r="B57" s="35">
        <v>2033</v>
      </c>
      <c r="C57" s="36">
        <v>0.88570000000000004</v>
      </c>
      <c r="D57" s="37">
        <v>0.90939999999999999</v>
      </c>
      <c r="E57" s="38">
        <f t="shared" si="148"/>
        <v>0.89755000000000007</v>
      </c>
    </row>
    <row r="58" spans="2:5">
      <c r="B58" s="39">
        <v>2034</v>
      </c>
      <c r="C58" s="40">
        <v>0.87939999999999996</v>
      </c>
      <c r="D58" s="41">
        <v>0.90439999999999998</v>
      </c>
      <c r="E58" s="42">
        <f t="shared" si="148"/>
        <v>0.89189999999999992</v>
      </c>
    </row>
    <row r="59" spans="2:5">
      <c r="B59" s="43">
        <v>2035</v>
      </c>
      <c r="C59" s="44">
        <v>0.87309999999999999</v>
      </c>
      <c r="D59" s="45">
        <v>0.89949999999999997</v>
      </c>
      <c r="E59" s="46">
        <f t="shared" si="148"/>
        <v>0.88629999999999998</v>
      </c>
    </row>
    <row r="60" spans="2:5">
      <c r="B60" s="43">
        <v>2036</v>
      </c>
      <c r="C60" s="44">
        <v>0.8669</v>
      </c>
      <c r="D60" s="45">
        <v>0.89459999999999995</v>
      </c>
      <c r="E60" s="46">
        <f t="shared" si="148"/>
        <v>0.88074999999999992</v>
      </c>
    </row>
    <row r="61" spans="2:5">
      <c r="B61" s="43">
        <v>2037</v>
      </c>
      <c r="C61" s="44">
        <v>0.86070000000000002</v>
      </c>
      <c r="D61" s="45">
        <v>0.88970000000000005</v>
      </c>
      <c r="E61" s="46">
        <f t="shared" si="148"/>
        <v>0.87519999999999998</v>
      </c>
    </row>
    <row r="62" spans="2:5">
      <c r="B62" s="47">
        <v>2038</v>
      </c>
      <c r="C62" s="48">
        <v>0.85450000000000004</v>
      </c>
      <c r="D62" s="49">
        <v>0.88480000000000003</v>
      </c>
      <c r="E62" s="50">
        <f t="shared" si="148"/>
        <v>0.86965000000000003</v>
      </c>
    </row>
    <row r="63" spans="2:5">
      <c r="B63" s="27">
        <v>2039</v>
      </c>
      <c r="C63" s="28">
        <v>0.84870000000000001</v>
      </c>
      <c r="D63" s="29">
        <v>0.88029999999999997</v>
      </c>
      <c r="E63" s="30">
        <f t="shared" si="148"/>
        <v>0.86450000000000005</v>
      </c>
    </row>
    <row r="64" spans="2:5">
      <c r="B64" s="31">
        <v>2040</v>
      </c>
      <c r="C64" s="32">
        <v>0.84299999999999997</v>
      </c>
      <c r="D64" s="33">
        <v>0.87580000000000002</v>
      </c>
      <c r="E64" s="34">
        <f t="shared" si="148"/>
        <v>0.85939999999999994</v>
      </c>
    </row>
    <row r="65" spans="2:5">
      <c r="B65" s="31">
        <v>2041</v>
      </c>
      <c r="C65" s="32">
        <v>0.83730000000000004</v>
      </c>
      <c r="D65" s="33">
        <v>0.87139999999999995</v>
      </c>
      <c r="E65" s="34">
        <f t="shared" si="148"/>
        <v>0.85434999999999994</v>
      </c>
    </row>
    <row r="66" spans="2:5">
      <c r="B66" s="31">
        <v>2042</v>
      </c>
      <c r="C66" s="32">
        <v>0.83169999999999999</v>
      </c>
      <c r="D66" s="33">
        <v>0.86699999999999999</v>
      </c>
      <c r="E66" s="34">
        <f t="shared" si="148"/>
        <v>0.84935000000000005</v>
      </c>
    </row>
    <row r="67" spans="2:5">
      <c r="B67" s="35">
        <v>2043</v>
      </c>
      <c r="C67" s="36">
        <v>0.82609999999999995</v>
      </c>
      <c r="D67" s="37">
        <v>0.86260000000000003</v>
      </c>
      <c r="E67" s="38">
        <f t="shared" si="148"/>
        <v>0.84434999999999993</v>
      </c>
    </row>
    <row r="68" spans="2:5">
      <c r="B68" s="39">
        <v>2044</v>
      </c>
      <c r="C68" s="40">
        <v>0.82089999999999996</v>
      </c>
      <c r="D68" s="41">
        <v>0.85850000000000004</v>
      </c>
      <c r="E68" s="42">
        <f t="shared" si="148"/>
        <v>0.8397</v>
      </c>
    </row>
    <row r="69" spans="2:5">
      <c r="B69" s="43">
        <v>2045</v>
      </c>
      <c r="C69" s="44">
        <v>0.81569999999999998</v>
      </c>
      <c r="D69" s="45">
        <v>0.85450000000000004</v>
      </c>
      <c r="E69" s="46">
        <f t="shared" si="148"/>
        <v>0.83509999999999995</v>
      </c>
    </row>
    <row r="70" spans="2:5">
      <c r="B70" s="43">
        <v>2046</v>
      </c>
      <c r="C70" s="44">
        <v>0.8105</v>
      </c>
      <c r="D70" s="45">
        <v>0.85050000000000003</v>
      </c>
      <c r="E70" s="46">
        <f t="shared" si="148"/>
        <v>0.83050000000000002</v>
      </c>
    </row>
    <row r="71" spans="2:5">
      <c r="B71" s="43">
        <v>2047</v>
      </c>
      <c r="C71" s="44">
        <v>0.8054</v>
      </c>
      <c r="D71" s="45">
        <v>0.84650000000000003</v>
      </c>
      <c r="E71" s="46">
        <f t="shared" si="148"/>
        <v>0.82594999999999996</v>
      </c>
    </row>
    <row r="72" spans="2:5">
      <c r="B72" s="47">
        <v>2048</v>
      </c>
      <c r="C72" s="48">
        <v>0.80030000000000001</v>
      </c>
      <c r="D72" s="49">
        <v>0.84250000000000003</v>
      </c>
      <c r="E72" s="50">
        <f t="shared" si="148"/>
        <v>0.82140000000000002</v>
      </c>
    </row>
    <row r="73" spans="2:5">
      <c r="B73" s="27">
        <v>2049</v>
      </c>
      <c r="C73" s="28">
        <v>0.79549999999999998</v>
      </c>
      <c r="D73" s="29">
        <v>0.83879999999999999</v>
      </c>
      <c r="E73" s="30">
        <f t="shared" si="148"/>
        <v>0.81715000000000004</v>
      </c>
    </row>
    <row r="74" spans="2:5">
      <c r="B74" s="31">
        <v>2050</v>
      </c>
      <c r="C74" s="32">
        <v>0.79069999999999996</v>
      </c>
      <c r="D74" s="33">
        <v>0.83509999999999995</v>
      </c>
      <c r="E74" s="34">
        <f t="shared" si="148"/>
        <v>0.81289999999999996</v>
      </c>
    </row>
    <row r="75" spans="2:5">
      <c r="B75" s="31">
        <v>2051</v>
      </c>
      <c r="C75" s="32">
        <v>0.78600000000000003</v>
      </c>
      <c r="D75" s="33">
        <v>0.83140000000000003</v>
      </c>
      <c r="E75" s="34">
        <f t="shared" si="148"/>
        <v>0.80869999999999997</v>
      </c>
    </row>
    <row r="76" spans="2:5">
      <c r="B76" s="31">
        <v>2052</v>
      </c>
      <c r="C76" s="32">
        <v>0.78129999999999999</v>
      </c>
      <c r="D76" s="33">
        <v>0.82779999999999998</v>
      </c>
      <c r="E76" s="34">
        <f t="shared" si="148"/>
        <v>0.80454999999999999</v>
      </c>
    </row>
    <row r="77" spans="2:5">
      <c r="B77" s="35">
        <v>2053</v>
      </c>
      <c r="C77" s="36">
        <v>0.77659999999999996</v>
      </c>
      <c r="D77" s="37">
        <v>0.82420000000000004</v>
      </c>
      <c r="E77" s="38">
        <f t="shared" si="148"/>
        <v>0.8004</v>
      </c>
    </row>
    <row r="78" spans="2:5">
      <c r="B78" s="133">
        <f t="shared" ref="B78:B124" si="149">+B77+1</f>
        <v>2054</v>
      </c>
      <c r="C78" s="134">
        <v>0.77659999999999996</v>
      </c>
      <c r="D78" s="135">
        <v>0.82420000000000004</v>
      </c>
      <c r="E78" s="135">
        <f t="shared" si="148"/>
        <v>0.8004</v>
      </c>
    </row>
    <row r="79" spans="2:5">
      <c r="B79" s="133">
        <f t="shared" si="149"/>
        <v>2055</v>
      </c>
      <c r="C79" s="134">
        <v>0.77659999999999996</v>
      </c>
      <c r="D79" s="135">
        <v>0.82420000000000004</v>
      </c>
      <c r="E79" s="135">
        <f t="shared" si="148"/>
        <v>0.8004</v>
      </c>
    </row>
    <row r="80" spans="2:5">
      <c r="B80" s="133">
        <f t="shared" si="149"/>
        <v>2056</v>
      </c>
      <c r="C80" s="134">
        <v>0.77659999999999996</v>
      </c>
      <c r="D80" s="135">
        <v>0.82420000000000004</v>
      </c>
      <c r="E80" s="135">
        <f t="shared" si="148"/>
        <v>0.8004</v>
      </c>
    </row>
    <row r="81" spans="2:5">
      <c r="B81" s="133">
        <f t="shared" si="149"/>
        <v>2057</v>
      </c>
      <c r="C81" s="134">
        <v>0.77659999999999996</v>
      </c>
      <c r="D81" s="135">
        <v>0.82420000000000004</v>
      </c>
      <c r="E81" s="135">
        <f t="shared" si="148"/>
        <v>0.8004</v>
      </c>
    </row>
    <row r="82" spans="2:5">
      <c r="B82" s="133">
        <f t="shared" si="149"/>
        <v>2058</v>
      </c>
      <c r="C82" s="134">
        <v>0.77659999999999996</v>
      </c>
      <c r="D82" s="135">
        <v>0.82420000000000004</v>
      </c>
      <c r="E82" s="135">
        <f t="shared" si="148"/>
        <v>0.8004</v>
      </c>
    </row>
    <row r="83" spans="2:5">
      <c r="B83" s="133">
        <f t="shared" si="149"/>
        <v>2059</v>
      </c>
      <c r="C83" s="134">
        <v>0.77659999999999996</v>
      </c>
      <c r="D83" s="135">
        <v>0.82420000000000004</v>
      </c>
      <c r="E83" s="135">
        <f t="shared" si="148"/>
        <v>0.8004</v>
      </c>
    </row>
    <row r="84" spans="2:5">
      <c r="B84" s="133">
        <f t="shared" si="149"/>
        <v>2060</v>
      </c>
      <c r="C84" s="134">
        <v>0.77659999999999996</v>
      </c>
      <c r="D84" s="135">
        <v>0.82420000000000004</v>
      </c>
      <c r="E84" s="135">
        <f t="shared" si="148"/>
        <v>0.8004</v>
      </c>
    </row>
    <row r="85" spans="2:5">
      <c r="B85" s="133">
        <f t="shared" si="149"/>
        <v>2061</v>
      </c>
      <c r="C85" s="134">
        <v>0.77659999999999996</v>
      </c>
      <c r="D85" s="135">
        <v>0.82420000000000004</v>
      </c>
      <c r="E85" s="135">
        <f t="shared" si="148"/>
        <v>0.8004</v>
      </c>
    </row>
    <row r="86" spans="2:5">
      <c r="B86" s="133">
        <f t="shared" si="149"/>
        <v>2062</v>
      </c>
      <c r="C86" s="134">
        <v>0.77659999999999996</v>
      </c>
      <c r="D86" s="135">
        <v>0.82420000000000004</v>
      </c>
      <c r="E86" s="135">
        <f t="shared" si="148"/>
        <v>0.8004</v>
      </c>
    </row>
    <row r="87" spans="2:5">
      <c r="B87" s="133">
        <f t="shared" si="149"/>
        <v>2063</v>
      </c>
      <c r="C87" s="134">
        <v>0.77659999999999996</v>
      </c>
      <c r="D87" s="135">
        <v>0.82420000000000004</v>
      </c>
      <c r="E87" s="135">
        <f t="shared" si="148"/>
        <v>0.8004</v>
      </c>
    </row>
    <row r="88" spans="2:5">
      <c r="B88" s="133">
        <f t="shared" si="149"/>
        <v>2064</v>
      </c>
      <c r="C88" s="134">
        <v>0.77659999999999996</v>
      </c>
      <c r="D88" s="135">
        <v>0.82420000000000004</v>
      </c>
      <c r="E88" s="135">
        <f t="shared" si="148"/>
        <v>0.8004</v>
      </c>
    </row>
    <row r="89" spans="2:5">
      <c r="B89" s="133">
        <f t="shared" si="149"/>
        <v>2065</v>
      </c>
      <c r="C89" s="134">
        <v>0.77659999999999996</v>
      </c>
      <c r="D89" s="135">
        <v>0.82420000000000004</v>
      </c>
      <c r="E89" s="135">
        <f t="shared" si="148"/>
        <v>0.8004</v>
      </c>
    </row>
    <row r="90" spans="2:5">
      <c r="B90" s="133">
        <f t="shared" si="149"/>
        <v>2066</v>
      </c>
      <c r="C90" s="134">
        <v>0.77659999999999996</v>
      </c>
      <c r="D90" s="135">
        <v>0.82420000000000004</v>
      </c>
      <c r="E90" s="135">
        <f t="shared" ref="E90:E124" si="150">+(C90+D90)/2</f>
        <v>0.8004</v>
      </c>
    </row>
    <row r="91" spans="2:5">
      <c r="B91" s="133">
        <f t="shared" si="149"/>
        <v>2067</v>
      </c>
      <c r="C91" s="134">
        <v>0.77659999999999996</v>
      </c>
      <c r="D91" s="135">
        <v>0.82420000000000004</v>
      </c>
      <c r="E91" s="135">
        <f t="shared" si="150"/>
        <v>0.8004</v>
      </c>
    </row>
    <row r="92" spans="2:5">
      <c r="B92" s="133">
        <f t="shared" si="149"/>
        <v>2068</v>
      </c>
      <c r="C92" s="134">
        <v>0.77659999999999996</v>
      </c>
      <c r="D92" s="135">
        <v>0.82420000000000004</v>
      </c>
      <c r="E92" s="135">
        <f t="shared" si="150"/>
        <v>0.8004</v>
      </c>
    </row>
    <row r="93" spans="2:5">
      <c r="B93" s="133">
        <f t="shared" si="149"/>
        <v>2069</v>
      </c>
      <c r="C93" s="134">
        <v>0.77659999999999996</v>
      </c>
      <c r="D93" s="135">
        <v>0.82420000000000004</v>
      </c>
      <c r="E93" s="135">
        <f t="shared" si="150"/>
        <v>0.8004</v>
      </c>
    </row>
    <row r="94" spans="2:5">
      <c r="B94" s="133">
        <f t="shared" si="149"/>
        <v>2070</v>
      </c>
      <c r="C94" s="134">
        <v>0.77659999999999996</v>
      </c>
      <c r="D94" s="135">
        <v>0.82420000000000004</v>
      </c>
      <c r="E94" s="135">
        <f t="shared" si="150"/>
        <v>0.8004</v>
      </c>
    </row>
    <row r="95" spans="2:5">
      <c r="B95" s="133">
        <f t="shared" si="149"/>
        <v>2071</v>
      </c>
      <c r="C95" s="134">
        <v>0.77659999999999996</v>
      </c>
      <c r="D95" s="135">
        <v>0.82420000000000004</v>
      </c>
      <c r="E95" s="135">
        <f t="shared" si="150"/>
        <v>0.8004</v>
      </c>
    </row>
    <row r="96" spans="2:5">
      <c r="B96" s="133">
        <f t="shared" si="149"/>
        <v>2072</v>
      </c>
      <c r="C96" s="134">
        <v>0.77659999999999996</v>
      </c>
      <c r="D96" s="135">
        <v>0.82420000000000004</v>
      </c>
      <c r="E96" s="135">
        <f t="shared" si="150"/>
        <v>0.8004</v>
      </c>
    </row>
    <row r="97" spans="2:5">
      <c r="B97" s="133">
        <f t="shared" si="149"/>
        <v>2073</v>
      </c>
      <c r="C97" s="134">
        <v>0.77659999999999996</v>
      </c>
      <c r="D97" s="135">
        <v>0.82420000000000004</v>
      </c>
      <c r="E97" s="135">
        <f t="shared" si="150"/>
        <v>0.8004</v>
      </c>
    </row>
    <row r="98" spans="2:5">
      <c r="B98" s="133">
        <f t="shared" si="149"/>
        <v>2074</v>
      </c>
      <c r="C98" s="134">
        <v>0.77659999999999996</v>
      </c>
      <c r="D98" s="135">
        <v>0.82420000000000004</v>
      </c>
      <c r="E98" s="135">
        <f t="shared" si="150"/>
        <v>0.8004</v>
      </c>
    </row>
    <row r="99" spans="2:5">
      <c r="B99" s="133">
        <f t="shared" si="149"/>
        <v>2075</v>
      </c>
      <c r="C99" s="134">
        <v>0.77659999999999996</v>
      </c>
      <c r="D99" s="135">
        <v>0.82420000000000004</v>
      </c>
      <c r="E99" s="135">
        <f t="shared" si="150"/>
        <v>0.8004</v>
      </c>
    </row>
    <row r="100" spans="2:5">
      <c r="B100" s="133">
        <f t="shared" si="149"/>
        <v>2076</v>
      </c>
      <c r="C100" s="134">
        <v>0.77659999999999996</v>
      </c>
      <c r="D100" s="135">
        <v>0.82420000000000004</v>
      </c>
      <c r="E100" s="135">
        <f t="shared" si="150"/>
        <v>0.8004</v>
      </c>
    </row>
    <row r="101" spans="2:5">
      <c r="B101" s="133">
        <f t="shared" si="149"/>
        <v>2077</v>
      </c>
      <c r="C101" s="134">
        <v>0.77659999999999996</v>
      </c>
      <c r="D101" s="135">
        <v>0.82420000000000004</v>
      </c>
      <c r="E101" s="135">
        <f t="shared" si="150"/>
        <v>0.8004</v>
      </c>
    </row>
    <row r="102" spans="2:5">
      <c r="B102" s="133">
        <f t="shared" si="149"/>
        <v>2078</v>
      </c>
      <c r="C102" s="134">
        <v>0.77659999999999996</v>
      </c>
      <c r="D102" s="135">
        <v>0.82420000000000004</v>
      </c>
      <c r="E102" s="135">
        <f t="shared" si="150"/>
        <v>0.8004</v>
      </c>
    </row>
    <row r="103" spans="2:5">
      <c r="B103" s="133">
        <f t="shared" si="149"/>
        <v>2079</v>
      </c>
      <c r="C103" s="134">
        <v>0.77659999999999996</v>
      </c>
      <c r="D103" s="135">
        <v>0.82420000000000004</v>
      </c>
      <c r="E103" s="135">
        <f t="shared" si="150"/>
        <v>0.8004</v>
      </c>
    </row>
    <row r="104" spans="2:5">
      <c r="B104" s="133">
        <f t="shared" si="149"/>
        <v>2080</v>
      </c>
      <c r="C104" s="134">
        <v>0.77659999999999996</v>
      </c>
      <c r="D104" s="135">
        <v>0.82420000000000004</v>
      </c>
      <c r="E104" s="135">
        <f t="shared" si="150"/>
        <v>0.8004</v>
      </c>
    </row>
    <row r="105" spans="2:5">
      <c r="B105" s="133">
        <f t="shared" si="149"/>
        <v>2081</v>
      </c>
      <c r="C105" s="134">
        <v>0.77659999999999996</v>
      </c>
      <c r="D105" s="135">
        <v>0.82420000000000004</v>
      </c>
      <c r="E105" s="135">
        <f t="shared" si="150"/>
        <v>0.8004</v>
      </c>
    </row>
    <row r="106" spans="2:5">
      <c r="B106" s="133">
        <f t="shared" si="149"/>
        <v>2082</v>
      </c>
      <c r="C106" s="134">
        <v>0.77659999999999996</v>
      </c>
      <c r="D106" s="135">
        <v>0.82420000000000004</v>
      </c>
      <c r="E106" s="135">
        <f t="shared" si="150"/>
        <v>0.8004</v>
      </c>
    </row>
    <row r="107" spans="2:5">
      <c r="B107" s="133">
        <f t="shared" si="149"/>
        <v>2083</v>
      </c>
      <c r="C107" s="134">
        <v>0.77659999999999996</v>
      </c>
      <c r="D107" s="135">
        <v>0.82420000000000004</v>
      </c>
      <c r="E107" s="135">
        <f t="shared" si="150"/>
        <v>0.8004</v>
      </c>
    </row>
    <row r="108" spans="2:5">
      <c r="B108" s="133">
        <f t="shared" si="149"/>
        <v>2084</v>
      </c>
      <c r="C108" s="134">
        <v>0.77659999999999996</v>
      </c>
      <c r="D108" s="135">
        <v>0.82420000000000004</v>
      </c>
      <c r="E108" s="135">
        <f t="shared" si="150"/>
        <v>0.8004</v>
      </c>
    </row>
    <row r="109" spans="2:5">
      <c r="B109" s="133">
        <f t="shared" si="149"/>
        <v>2085</v>
      </c>
      <c r="C109" s="134">
        <v>0.77659999999999996</v>
      </c>
      <c r="D109" s="135">
        <v>0.82420000000000004</v>
      </c>
      <c r="E109" s="135">
        <f t="shared" si="150"/>
        <v>0.8004</v>
      </c>
    </row>
    <row r="110" spans="2:5">
      <c r="B110" s="133">
        <f t="shared" si="149"/>
        <v>2086</v>
      </c>
      <c r="C110" s="134">
        <v>0.77659999999999996</v>
      </c>
      <c r="D110" s="135">
        <v>0.82420000000000004</v>
      </c>
      <c r="E110" s="135">
        <f t="shared" si="150"/>
        <v>0.8004</v>
      </c>
    </row>
    <row r="111" spans="2:5">
      <c r="B111" s="133">
        <f t="shared" si="149"/>
        <v>2087</v>
      </c>
      <c r="C111" s="134">
        <v>0.77659999999999996</v>
      </c>
      <c r="D111" s="135">
        <v>0.82420000000000004</v>
      </c>
      <c r="E111" s="135">
        <f t="shared" si="150"/>
        <v>0.8004</v>
      </c>
    </row>
    <row r="112" spans="2:5">
      <c r="B112" s="133">
        <f t="shared" si="149"/>
        <v>2088</v>
      </c>
      <c r="C112" s="134">
        <v>0.77659999999999996</v>
      </c>
      <c r="D112" s="135">
        <v>0.82420000000000004</v>
      </c>
      <c r="E112" s="135">
        <f t="shared" si="150"/>
        <v>0.8004</v>
      </c>
    </row>
    <row r="113" spans="2:5">
      <c r="B113" s="133">
        <f t="shared" si="149"/>
        <v>2089</v>
      </c>
      <c r="C113" s="134">
        <v>0.77659999999999996</v>
      </c>
      <c r="D113" s="135">
        <v>0.82420000000000004</v>
      </c>
      <c r="E113" s="135">
        <f t="shared" si="150"/>
        <v>0.8004</v>
      </c>
    </row>
    <row r="114" spans="2:5">
      <c r="B114" s="133">
        <f t="shared" si="149"/>
        <v>2090</v>
      </c>
      <c r="C114" s="134">
        <v>0.77659999999999996</v>
      </c>
      <c r="D114" s="135">
        <v>0.82420000000000004</v>
      </c>
      <c r="E114" s="135">
        <f t="shared" si="150"/>
        <v>0.8004</v>
      </c>
    </row>
    <row r="115" spans="2:5">
      <c r="B115" s="133">
        <f t="shared" si="149"/>
        <v>2091</v>
      </c>
      <c r="C115" s="134">
        <v>0.77659999999999996</v>
      </c>
      <c r="D115" s="135">
        <v>0.82420000000000004</v>
      </c>
      <c r="E115" s="135">
        <f t="shared" si="150"/>
        <v>0.8004</v>
      </c>
    </row>
    <row r="116" spans="2:5">
      <c r="B116" s="133">
        <f t="shared" si="149"/>
        <v>2092</v>
      </c>
      <c r="C116" s="134">
        <v>0.77659999999999996</v>
      </c>
      <c r="D116" s="135">
        <v>0.82420000000000004</v>
      </c>
      <c r="E116" s="135">
        <f t="shared" si="150"/>
        <v>0.8004</v>
      </c>
    </row>
    <row r="117" spans="2:5">
      <c r="B117" s="133">
        <f t="shared" si="149"/>
        <v>2093</v>
      </c>
      <c r="C117" s="134">
        <v>0.77659999999999996</v>
      </c>
      <c r="D117" s="135">
        <v>0.82420000000000004</v>
      </c>
      <c r="E117" s="135">
        <f t="shared" si="150"/>
        <v>0.8004</v>
      </c>
    </row>
    <row r="118" spans="2:5">
      <c r="B118" s="133">
        <f t="shared" si="149"/>
        <v>2094</v>
      </c>
      <c r="C118" s="134">
        <v>0.77659999999999996</v>
      </c>
      <c r="D118" s="135">
        <v>0.82420000000000004</v>
      </c>
      <c r="E118" s="135">
        <f t="shared" si="150"/>
        <v>0.8004</v>
      </c>
    </row>
    <row r="119" spans="2:5">
      <c r="B119" s="133">
        <f t="shared" si="149"/>
        <v>2095</v>
      </c>
      <c r="C119" s="134">
        <v>0.77659999999999996</v>
      </c>
      <c r="D119" s="135">
        <v>0.82420000000000004</v>
      </c>
      <c r="E119" s="135">
        <f t="shared" si="150"/>
        <v>0.8004</v>
      </c>
    </row>
    <row r="120" spans="2:5">
      <c r="B120" s="133">
        <f t="shared" si="149"/>
        <v>2096</v>
      </c>
      <c r="C120" s="134">
        <v>0.77659999999999996</v>
      </c>
      <c r="D120" s="135">
        <v>0.82420000000000004</v>
      </c>
      <c r="E120" s="135">
        <f t="shared" si="150"/>
        <v>0.8004</v>
      </c>
    </row>
    <row r="121" spans="2:5">
      <c r="B121" s="133">
        <f t="shared" si="149"/>
        <v>2097</v>
      </c>
      <c r="C121" s="134">
        <v>0.77659999999999996</v>
      </c>
      <c r="D121" s="135">
        <v>0.82420000000000004</v>
      </c>
      <c r="E121" s="135">
        <f t="shared" si="150"/>
        <v>0.8004</v>
      </c>
    </row>
    <row r="122" spans="2:5">
      <c r="B122" s="133">
        <f t="shared" si="149"/>
        <v>2098</v>
      </c>
      <c r="C122" s="134">
        <v>0.77659999999999996</v>
      </c>
      <c r="D122" s="135">
        <v>0.82420000000000004</v>
      </c>
      <c r="E122" s="135">
        <f t="shared" si="150"/>
        <v>0.8004</v>
      </c>
    </row>
    <row r="123" spans="2:5">
      <c r="B123" s="133">
        <f t="shared" si="149"/>
        <v>2099</v>
      </c>
      <c r="C123" s="134">
        <v>0.77659999999999996</v>
      </c>
      <c r="D123" s="135">
        <v>0.82420000000000004</v>
      </c>
      <c r="E123" s="135">
        <f t="shared" si="150"/>
        <v>0.8004</v>
      </c>
    </row>
    <row r="124" spans="2:5">
      <c r="B124" s="133">
        <f t="shared" si="149"/>
        <v>2100</v>
      </c>
      <c r="C124" s="134">
        <v>0.77659999999999996</v>
      </c>
      <c r="D124" s="135">
        <v>0.82420000000000004</v>
      </c>
      <c r="E124" s="135">
        <f t="shared" si="150"/>
        <v>0.8004</v>
      </c>
    </row>
  </sheetData>
  <mergeCells count="3">
    <mergeCell ref="D2:F2"/>
    <mergeCell ref="B36:B37"/>
    <mergeCell ref="D1:F1"/>
  </mergeCell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FF54F-1929-48B2-B1AC-7D8D6BF08DCD}">
  <dimension ref="A1:S36"/>
  <sheetViews>
    <sheetView workbookViewId="0">
      <selection sqref="A1:XFD1048576"/>
    </sheetView>
  </sheetViews>
  <sheetFormatPr defaultColWidth="8.6640625" defaultRowHeight="14.4"/>
  <cols>
    <col min="1" max="1" width="19" customWidth="1"/>
    <col min="2" max="2" width="17.6640625" customWidth="1"/>
    <col min="3" max="4" width="16.109375" customWidth="1"/>
    <col min="5" max="5" width="15.33203125" style="149" customWidth="1"/>
    <col min="6" max="6" width="19.88671875" customWidth="1"/>
    <col min="7" max="8" width="16.109375" customWidth="1"/>
    <col min="9" max="9" width="14.6640625" style="149" customWidth="1"/>
    <col min="10" max="10" width="17.88671875" customWidth="1"/>
    <col min="11" max="12" width="16.109375" customWidth="1"/>
    <col min="13" max="13" width="11.88671875" style="149" customWidth="1"/>
    <col min="14" max="14" width="12.33203125" customWidth="1"/>
    <col min="15" max="16" width="16.109375" customWidth="1"/>
    <col min="17" max="17" width="11.44140625" style="149" customWidth="1"/>
  </cols>
  <sheetData>
    <row r="1" spans="1:19">
      <c r="A1" s="619" t="s">
        <v>632</v>
      </c>
    </row>
    <row r="2" spans="1:19">
      <c r="A2" s="780" t="s">
        <v>633</v>
      </c>
    </row>
    <row r="3" spans="1:19">
      <c r="A3" s="780" t="s">
        <v>634</v>
      </c>
    </row>
    <row r="4" spans="1:19">
      <c r="A4" s="780" t="s">
        <v>635</v>
      </c>
    </row>
    <row r="5" spans="1:19">
      <c r="A5" s="780" t="s">
        <v>636</v>
      </c>
    </row>
    <row r="7" spans="1:19">
      <c r="B7" s="781" t="s">
        <v>637</v>
      </c>
      <c r="C7" s="781"/>
      <c r="D7" s="781"/>
      <c r="E7" s="782"/>
      <c r="F7" s="781"/>
      <c r="G7" s="781"/>
      <c r="H7" s="781"/>
      <c r="I7" s="782"/>
      <c r="J7" s="781"/>
      <c r="K7" s="781"/>
      <c r="L7" s="781"/>
      <c r="M7" s="782"/>
      <c r="N7" s="781"/>
      <c r="O7" s="781"/>
      <c r="P7" s="781"/>
    </row>
    <row r="8" spans="1:19" ht="15" thickBot="1"/>
    <row r="9" spans="1:19" s="783" customFormat="1" ht="15.6">
      <c r="B9" s="906" t="s">
        <v>638</v>
      </c>
      <c r="C9" s="907"/>
      <c r="D9" s="908"/>
      <c r="E9" s="784"/>
      <c r="F9" s="906" t="s">
        <v>639</v>
      </c>
      <c r="G9" s="907"/>
      <c r="H9" s="908"/>
      <c r="I9" s="784"/>
      <c r="J9" s="906" t="s">
        <v>640</v>
      </c>
      <c r="K9" s="907"/>
      <c r="L9" s="908"/>
      <c r="M9" s="784"/>
      <c r="N9" s="906" t="s">
        <v>641</v>
      </c>
      <c r="O9" s="907"/>
      <c r="P9" s="908"/>
      <c r="Q9" s="784"/>
    </row>
    <row r="10" spans="1:19" ht="15" thickBot="1">
      <c r="B10" s="785" t="s">
        <v>642</v>
      </c>
      <c r="C10" s="786" t="s">
        <v>643</v>
      </c>
      <c r="D10" s="787" t="s">
        <v>644</v>
      </c>
      <c r="E10" s="149" t="s">
        <v>645</v>
      </c>
      <c r="F10" s="785" t="s">
        <v>642</v>
      </c>
      <c r="G10" s="786" t="s">
        <v>643</v>
      </c>
      <c r="H10" s="787" t="s">
        <v>644</v>
      </c>
      <c r="I10" s="149" t="s">
        <v>645</v>
      </c>
      <c r="J10" s="785" t="s">
        <v>642</v>
      </c>
      <c r="K10" s="786" t="s">
        <v>643</v>
      </c>
      <c r="L10" s="787" t="s">
        <v>644</v>
      </c>
      <c r="M10" s="149" t="s">
        <v>645</v>
      </c>
      <c r="N10" s="785" t="s">
        <v>642</v>
      </c>
      <c r="O10" s="786" t="s">
        <v>643</v>
      </c>
      <c r="P10" s="787" t="s">
        <v>644</v>
      </c>
      <c r="Q10" s="149" t="s">
        <v>645</v>
      </c>
    </row>
    <row r="11" spans="1:19">
      <c r="B11" s="788">
        <v>24</v>
      </c>
      <c r="C11" s="789" t="s">
        <v>646</v>
      </c>
      <c r="D11" s="790" t="s">
        <v>647</v>
      </c>
      <c r="E11" s="791">
        <v>4.9999999999999989E-2</v>
      </c>
      <c r="F11" s="792">
        <v>24</v>
      </c>
      <c r="G11" s="789" t="s">
        <v>648</v>
      </c>
      <c r="H11" s="793" t="s">
        <v>649</v>
      </c>
      <c r="I11" s="791">
        <v>4.0000000000000008E-2</v>
      </c>
      <c r="J11" s="788">
        <v>24</v>
      </c>
      <c r="K11" s="789" t="s">
        <v>650</v>
      </c>
      <c r="L11" s="793" t="s">
        <v>651</v>
      </c>
      <c r="M11" s="791">
        <v>0.03</v>
      </c>
      <c r="N11" s="794">
        <v>24</v>
      </c>
      <c r="O11" s="476" t="s">
        <v>652</v>
      </c>
      <c r="P11" s="795" t="s">
        <v>652</v>
      </c>
      <c r="Q11" s="791">
        <v>0</v>
      </c>
      <c r="S11" s="476"/>
    </row>
    <row r="12" spans="1:19">
      <c r="B12" s="788">
        <v>23</v>
      </c>
      <c r="C12" s="789" t="s">
        <v>646</v>
      </c>
      <c r="D12" s="790" t="s">
        <v>653</v>
      </c>
      <c r="E12" s="791">
        <v>1.5999999999999986E-2</v>
      </c>
      <c r="F12" s="792">
        <v>23</v>
      </c>
      <c r="G12" s="789" t="s">
        <v>648</v>
      </c>
      <c r="H12" s="793" t="s">
        <v>654</v>
      </c>
      <c r="I12" s="791">
        <v>1.5000000000000013E-2</v>
      </c>
      <c r="J12" s="788">
        <v>23</v>
      </c>
      <c r="K12" s="789" t="s">
        <v>650</v>
      </c>
      <c r="L12" s="793" t="s">
        <v>648</v>
      </c>
      <c r="M12" s="791">
        <v>9.9999999999999811E-3</v>
      </c>
      <c r="N12" s="794">
        <v>23</v>
      </c>
      <c r="O12" s="476" t="s">
        <v>652</v>
      </c>
      <c r="P12" s="795" t="s">
        <v>655</v>
      </c>
      <c r="Q12" s="791">
        <v>-1.0000000000000009E-2</v>
      </c>
    </row>
    <row r="13" spans="1:19">
      <c r="B13" s="794">
        <v>22</v>
      </c>
      <c r="C13" s="476" t="s">
        <v>646</v>
      </c>
      <c r="D13" s="796" t="s">
        <v>656</v>
      </c>
      <c r="E13" s="791">
        <v>-1.3300000000000006E-2</v>
      </c>
      <c r="F13" s="797">
        <v>22</v>
      </c>
      <c r="G13" s="476" t="s">
        <v>648</v>
      </c>
      <c r="H13" s="795" t="s">
        <v>650</v>
      </c>
      <c r="I13" s="791">
        <v>-9.9999999999999811E-3</v>
      </c>
      <c r="J13" s="794">
        <v>22</v>
      </c>
      <c r="K13" s="476" t="s">
        <v>650</v>
      </c>
      <c r="L13" s="795" t="s">
        <v>657</v>
      </c>
      <c r="M13" s="791">
        <v>-6.7000000000000115E-3</v>
      </c>
      <c r="N13" s="794">
        <v>22</v>
      </c>
      <c r="O13" s="476" t="s">
        <v>652</v>
      </c>
      <c r="P13" s="795" t="s">
        <v>658</v>
      </c>
      <c r="Q13" s="791">
        <v>-2.0000000000000004E-2</v>
      </c>
    </row>
    <row r="14" spans="1:19">
      <c r="B14" s="794">
        <v>21</v>
      </c>
      <c r="C14" s="476" t="s">
        <v>650</v>
      </c>
      <c r="D14" s="796" t="s">
        <v>659</v>
      </c>
      <c r="E14" s="791">
        <v>-1.4300000000000007E-2</v>
      </c>
      <c r="F14" s="797">
        <v>21</v>
      </c>
      <c r="G14" s="476" t="s">
        <v>660</v>
      </c>
      <c r="H14" s="795" t="s">
        <v>655</v>
      </c>
      <c r="I14" s="791">
        <v>-1.125000000000001E-2</v>
      </c>
      <c r="J14" s="794">
        <v>21</v>
      </c>
      <c r="K14" s="476" t="s">
        <v>661</v>
      </c>
      <c r="L14" s="795" t="s">
        <v>662</v>
      </c>
      <c r="M14" s="791">
        <v>-8.199999999999999E-3</v>
      </c>
      <c r="N14" s="794">
        <v>21</v>
      </c>
      <c r="O14" s="476" t="s">
        <v>663</v>
      </c>
      <c r="P14" s="795" t="s">
        <v>664</v>
      </c>
      <c r="Q14" s="791">
        <v>-1.3749999999999998E-2</v>
      </c>
    </row>
    <row r="15" spans="1:19">
      <c r="B15" s="794">
        <v>20</v>
      </c>
      <c r="C15" s="476" t="s">
        <v>650</v>
      </c>
      <c r="D15" s="796" t="s">
        <v>658</v>
      </c>
      <c r="E15" s="791">
        <v>-3.0000000000000013E-2</v>
      </c>
      <c r="F15" s="797">
        <v>20</v>
      </c>
      <c r="G15" s="476" t="s">
        <v>660</v>
      </c>
      <c r="H15" s="795" t="s">
        <v>665</v>
      </c>
      <c r="I15" s="791">
        <v>-2.6250000000000009E-2</v>
      </c>
      <c r="J15" s="794">
        <v>20</v>
      </c>
      <c r="K15" s="476" t="s">
        <v>661</v>
      </c>
      <c r="L15" s="795" t="s">
        <v>664</v>
      </c>
      <c r="M15" s="791">
        <v>-2.2499999999999992E-2</v>
      </c>
      <c r="N15" s="794">
        <v>20</v>
      </c>
      <c r="O15" s="476" t="s">
        <v>663</v>
      </c>
      <c r="P15" s="795" t="s">
        <v>666</v>
      </c>
      <c r="Q15" s="791">
        <v>-2.1750000000000005E-2</v>
      </c>
    </row>
    <row r="16" spans="1:19">
      <c r="B16" s="794">
        <v>19</v>
      </c>
      <c r="C16" s="476" t="s">
        <v>650</v>
      </c>
      <c r="D16" s="796" t="s">
        <v>667</v>
      </c>
      <c r="E16" s="791">
        <v>-4.2200000000000015E-2</v>
      </c>
      <c r="F16" s="797">
        <v>19</v>
      </c>
      <c r="G16" s="476" t="s">
        <v>660</v>
      </c>
      <c r="H16" s="795" t="s">
        <v>668</v>
      </c>
      <c r="I16" s="791">
        <v>-3.7950000000000012E-2</v>
      </c>
      <c r="J16" s="794">
        <v>19</v>
      </c>
      <c r="K16" s="476" t="s">
        <v>661</v>
      </c>
      <c r="L16" s="795" t="s">
        <v>669</v>
      </c>
      <c r="M16" s="791">
        <v>-3.3599999999999991E-2</v>
      </c>
      <c r="N16" s="794">
        <v>19</v>
      </c>
      <c r="O16" s="476" t="s">
        <v>663</v>
      </c>
      <c r="P16" s="795" t="s">
        <v>670</v>
      </c>
      <c r="Q16" s="791">
        <v>-2.9749999999999999E-2</v>
      </c>
    </row>
    <row r="17" spans="2:17">
      <c r="B17" s="794">
        <v>18</v>
      </c>
      <c r="C17" s="476" t="s">
        <v>655</v>
      </c>
      <c r="D17" s="796" t="s">
        <v>671</v>
      </c>
      <c r="E17" s="791">
        <v>-3.2000000000000001E-2</v>
      </c>
      <c r="F17" s="797">
        <v>18</v>
      </c>
      <c r="G17" s="476" t="s">
        <v>672</v>
      </c>
      <c r="H17" s="795" t="s">
        <v>670</v>
      </c>
      <c r="I17" s="791">
        <v>-2.8499999999999998E-2</v>
      </c>
      <c r="J17" s="794">
        <v>18</v>
      </c>
      <c r="K17" s="476" t="s">
        <v>665</v>
      </c>
      <c r="L17" s="795" t="s">
        <v>673</v>
      </c>
      <c r="M17" s="791">
        <v>-2.4999999999999994E-2</v>
      </c>
      <c r="N17" s="794">
        <v>18</v>
      </c>
      <c r="O17" s="476" t="s">
        <v>674</v>
      </c>
      <c r="P17" s="795" t="s">
        <v>675</v>
      </c>
      <c r="Q17" s="791">
        <v>-2.1500000000000005E-2</v>
      </c>
    </row>
    <row r="18" spans="2:17">
      <c r="B18" s="794">
        <v>17</v>
      </c>
      <c r="C18" s="476" t="s">
        <v>655</v>
      </c>
      <c r="D18" s="796" t="s">
        <v>673</v>
      </c>
      <c r="E18" s="791">
        <v>-3.9999999999999994E-2</v>
      </c>
      <c r="F18" s="797">
        <v>17</v>
      </c>
      <c r="G18" s="476" t="s">
        <v>672</v>
      </c>
      <c r="H18" s="795" t="s">
        <v>676</v>
      </c>
      <c r="I18" s="791">
        <v>-3.6100000000000007E-2</v>
      </c>
      <c r="J18" s="794">
        <v>17</v>
      </c>
      <c r="K18" s="476" t="s">
        <v>665</v>
      </c>
      <c r="L18" s="795" t="s">
        <v>677</v>
      </c>
      <c r="M18" s="791">
        <v>-3.2299999999999995E-2</v>
      </c>
      <c r="N18" s="794">
        <v>17</v>
      </c>
      <c r="O18" s="476" t="s">
        <v>674</v>
      </c>
      <c r="P18" s="795" t="s">
        <v>678</v>
      </c>
      <c r="Q18" s="791">
        <v>-2.8400000000000009E-2</v>
      </c>
    </row>
    <row r="19" spans="2:17">
      <c r="B19" s="794">
        <v>16</v>
      </c>
      <c r="C19" s="476" t="s">
        <v>655</v>
      </c>
      <c r="D19" s="796" t="s">
        <v>679</v>
      </c>
      <c r="E19" s="791">
        <v>-4.6699999999999992E-2</v>
      </c>
      <c r="F19" s="797">
        <v>16</v>
      </c>
      <c r="G19" s="476" t="s">
        <v>672</v>
      </c>
      <c r="H19" s="795" t="s">
        <v>680</v>
      </c>
      <c r="I19" s="791">
        <v>-4.2499999999999996E-2</v>
      </c>
      <c r="J19" s="794">
        <v>16</v>
      </c>
      <c r="K19" s="476" t="s">
        <v>665</v>
      </c>
      <c r="L19" s="795" t="s">
        <v>681</v>
      </c>
      <c r="M19" s="791">
        <v>-3.8300000000000001E-2</v>
      </c>
      <c r="N19" s="794">
        <v>16</v>
      </c>
      <c r="O19" s="476" t="s">
        <v>674</v>
      </c>
      <c r="P19" s="795" t="s">
        <v>682</v>
      </c>
      <c r="Q19" s="791">
        <v>-3.4200000000000008E-2</v>
      </c>
    </row>
    <row r="20" spans="2:17">
      <c r="B20" s="794">
        <v>15</v>
      </c>
      <c r="C20" s="476" t="s">
        <v>664</v>
      </c>
      <c r="D20" s="796" t="s">
        <v>683</v>
      </c>
      <c r="E20" s="791">
        <v>-3.2300000000000009E-2</v>
      </c>
      <c r="F20" s="797">
        <v>15</v>
      </c>
      <c r="G20" s="476" t="s">
        <v>684</v>
      </c>
      <c r="H20" s="795" t="s">
        <v>685</v>
      </c>
      <c r="I20" s="791">
        <v>-2.9149999999999995E-2</v>
      </c>
      <c r="J20" s="794">
        <v>15</v>
      </c>
      <c r="K20" s="476" t="s">
        <v>686</v>
      </c>
      <c r="L20" s="795" t="s">
        <v>687</v>
      </c>
      <c r="M20" s="791">
        <v>-2.5999999999999995E-2</v>
      </c>
      <c r="N20" s="794">
        <v>15</v>
      </c>
      <c r="O20" s="476" t="s">
        <v>688</v>
      </c>
      <c r="P20" s="795" t="s">
        <v>689</v>
      </c>
      <c r="Q20" s="791">
        <v>-2.2749999999999999E-2</v>
      </c>
    </row>
    <row r="21" spans="2:17">
      <c r="B21" s="794">
        <v>14</v>
      </c>
      <c r="C21" s="476" t="s">
        <v>664</v>
      </c>
      <c r="D21" s="796" t="s">
        <v>690</v>
      </c>
      <c r="E21" s="791">
        <v>-3.7100000000000008E-2</v>
      </c>
      <c r="F21" s="797">
        <v>14</v>
      </c>
      <c r="G21" s="476" t="s">
        <v>684</v>
      </c>
      <c r="H21" s="795" t="s">
        <v>691</v>
      </c>
      <c r="I21" s="791">
        <v>-3.3750000000000002E-2</v>
      </c>
      <c r="J21" s="794">
        <v>14</v>
      </c>
      <c r="K21" s="476" t="s">
        <v>686</v>
      </c>
      <c r="L21" s="795" t="s">
        <v>692</v>
      </c>
      <c r="M21" s="791">
        <v>-3.0399999999999996E-2</v>
      </c>
      <c r="N21" s="794">
        <v>14</v>
      </c>
      <c r="O21" s="476" t="s">
        <v>688</v>
      </c>
      <c r="P21" s="795" t="s">
        <v>693</v>
      </c>
      <c r="Q21" s="791">
        <v>-2.6950000000000002E-2</v>
      </c>
    </row>
    <row r="22" spans="2:17">
      <c r="B22" s="794">
        <v>13</v>
      </c>
      <c r="C22" s="476" t="s">
        <v>664</v>
      </c>
      <c r="D22" s="796" t="s">
        <v>694</v>
      </c>
      <c r="E22" s="791">
        <v>-4.1300000000000003E-2</v>
      </c>
      <c r="F22" s="797">
        <v>13</v>
      </c>
      <c r="G22" s="476" t="s">
        <v>684</v>
      </c>
      <c r="H22" s="795" t="s">
        <v>695</v>
      </c>
      <c r="I22" s="791">
        <v>-3.7749999999999999E-2</v>
      </c>
      <c r="J22" s="794">
        <v>13</v>
      </c>
      <c r="K22" s="476" t="s">
        <v>686</v>
      </c>
      <c r="L22" s="795" t="s">
        <v>696</v>
      </c>
      <c r="M22" s="791">
        <v>-3.4199999999999994E-2</v>
      </c>
      <c r="N22" s="794">
        <v>13</v>
      </c>
      <c r="O22" s="476" t="s">
        <v>688</v>
      </c>
      <c r="P22" s="795" t="s">
        <v>697</v>
      </c>
      <c r="Q22" s="791">
        <v>-3.0550000000000001E-2</v>
      </c>
    </row>
    <row r="23" spans="2:17">
      <c r="B23" s="794">
        <v>12</v>
      </c>
      <c r="C23" s="476" t="s">
        <v>673</v>
      </c>
      <c r="D23" s="798" t="s">
        <v>698</v>
      </c>
      <c r="E23" s="791">
        <v>-2.5000000000000001E-2</v>
      </c>
      <c r="F23" s="797">
        <v>12</v>
      </c>
      <c r="G23" s="476" t="s">
        <v>699</v>
      </c>
      <c r="H23" s="795" t="s">
        <v>700</v>
      </c>
      <c r="I23" s="791">
        <v>-2.2499999999999999E-2</v>
      </c>
      <c r="J23" s="794">
        <v>12</v>
      </c>
      <c r="K23" s="476" t="s">
        <v>680</v>
      </c>
      <c r="L23" s="795" t="s">
        <v>701</v>
      </c>
      <c r="M23" s="791">
        <v>-2.0000000000000004E-2</v>
      </c>
      <c r="N23" s="794">
        <v>12</v>
      </c>
      <c r="O23" s="476" t="s">
        <v>702</v>
      </c>
      <c r="P23" s="795" t="s">
        <v>703</v>
      </c>
      <c r="Q23" s="791">
        <v>-1.7500000000000002E-2</v>
      </c>
    </row>
    <row r="24" spans="2:17">
      <c r="B24" s="794">
        <v>11</v>
      </c>
      <c r="C24" s="476" t="s">
        <v>673</v>
      </c>
      <c r="D24" s="796" t="s">
        <v>704</v>
      </c>
      <c r="E24" s="791">
        <v>-2.8200000000000003E-2</v>
      </c>
      <c r="F24" s="797">
        <v>11</v>
      </c>
      <c r="G24" s="476" t="s">
        <v>699</v>
      </c>
      <c r="H24" s="795" t="s">
        <v>705</v>
      </c>
      <c r="I24" s="791">
        <v>-2.5599999999999998E-2</v>
      </c>
      <c r="J24" s="794">
        <v>11</v>
      </c>
      <c r="K24" s="476" t="s">
        <v>680</v>
      </c>
      <c r="L24" s="795" t="s">
        <v>706</v>
      </c>
      <c r="M24" s="791">
        <v>-2.2900000000000004E-2</v>
      </c>
      <c r="N24" s="794">
        <v>11</v>
      </c>
      <c r="O24" s="476" t="s">
        <v>702</v>
      </c>
      <c r="P24" s="795" t="s">
        <v>707</v>
      </c>
      <c r="Q24" s="791">
        <v>-2.0300000000000006E-2</v>
      </c>
    </row>
    <row r="25" spans="2:17">
      <c r="B25" s="794">
        <v>10</v>
      </c>
      <c r="C25" s="476" t="s">
        <v>673</v>
      </c>
      <c r="D25" s="796" t="s">
        <v>708</v>
      </c>
      <c r="E25" s="791">
        <v>-3.1100000000000003E-2</v>
      </c>
      <c r="F25" s="797">
        <v>10</v>
      </c>
      <c r="G25" s="476" t="s">
        <v>699</v>
      </c>
      <c r="H25" s="795" t="s">
        <v>709</v>
      </c>
      <c r="I25" s="791">
        <v>-2.8299999999999999E-2</v>
      </c>
      <c r="J25" s="794">
        <v>10</v>
      </c>
      <c r="K25" s="476" t="s">
        <v>680</v>
      </c>
      <c r="L25" s="795" t="s">
        <v>710</v>
      </c>
      <c r="M25" s="791">
        <v>-2.5600000000000005E-2</v>
      </c>
      <c r="N25" s="794">
        <v>10</v>
      </c>
      <c r="O25" s="476" t="s">
        <v>702</v>
      </c>
      <c r="P25" s="795" t="s">
        <v>711</v>
      </c>
      <c r="Q25" s="791">
        <v>-2.2800000000000001E-2</v>
      </c>
    </row>
    <row r="26" spans="2:17">
      <c r="B26" s="794">
        <v>9</v>
      </c>
      <c r="C26" s="476" t="s">
        <v>691</v>
      </c>
      <c r="D26" s="796" t="s">
        <v>712</v>
      </c>
      <c r="E26" s="791">
        <v>-1.3699999999999997E-2</v>
      </c>
      <c r="F26" s="797">
        <v>9</v>
      </c>
      <c r="G26" s="476" t="s">
        <v>713</v>
      </c>
      <c r="H26" s="795" t="s">
        <v>714</v>
      </c>
      <c r="I26" s="791">
        <v>-1.2049999999999998E-2</v>
      </c>
      <c r="J26" s="794">
        <v>9</v>
      </c>
      <c r="K26" s="476" t="s">
        <v>700</v>
      </c>
      <c r="L26" s="795" t="s">
        <v>715</v>
      </c>
      <c r="M26" s="791">
        <v>-1.04E-2</v>
      </c>
      <c r="N26" s="794">
        <v>9</v>
      </c>
      <c r="O26" s="476" t="s">
        <v>716</v>
      </c>
      <c r="P26" s="795" t="s">
        <v>717</v>
      </c>
      <c r="Q26" s="791">
        <v>-8.7500000000000008E-3</v>
      </c>
    </row>
    <row r="27" spans="2:17">
      <c r="B27" s="794">
        <v>8</v>
      </c>
      <c r="C27" s="476" t="s">
        <v>691</v>
      </c>
      <c r="D27" s="796" t="s">
        <v>718</v>
      </c>
      <c r="E27" s="791">
        <v>-1.6E-2</v>
      </c>
      <c r="F27" s="797">
        <v>8</v>
      </c>
      <c r="G27" s="476" t="s">
        <v>713</v>
      </c>
      <c r="H27" s="795" t="s">
        <v>719</v>
      </c>
      <c r="I27" s="791">
        <v>-1.4249999999999999E-2</v>
      </c>
      <c r="J27" s="794">
        <v>8</v>
      </c>
      <c r="K27" s="476" t="s">
        <v>700</v>
      </c>
      <c r="L27" s="795" t="s">
        <v>717</v>
      </c>
      <c r="M27" s="791">
        <v>-1.2499999999999997E-2</v>
      </c>
      <c r="N27" s="794">
        <v>8</v>
      </c>
      <c r="O27" s="476" t="s">
        <v>716</v>
      </c>
      <c r="P27" s="795" t="s">
        <v>720</v>
      </c>
      <c r="Q27" s="791">
        <v>-1.0750000000000003E-2</v>
      </c>
    </row>
    <row r="28" spans="2:17">
      <c r="B28" s="794">
        <v>7</v>
      </c>
      <c r="C28" s="476" t="s">
        <v>691</v>
      </c>
      <c r="D28" s="796" t="s">
        <v>721</v>
      </c>
      <c r="E28" s="791">
        <v>-1.8099999999999998E-2</v>
      </c>
      <c r="F28" s="797">
        <v>7</v>
      </c>
      <c r="G28" s="476" t="s">
        <v>713</v>
      </c>
      <c r="H28" s="795" t="s">
        <v>717</v>
      </c>
      <c r="I28" s="791">
        <v>-1.6250000000000001E-2</v>
      </c>
      <c r="J28" s="794">
        <v>7</v>
      </c>
      <c r="K28" s="476" t="s">
        <v>700</v>
      </c>
      <c r="L28" s="795" t="s">
        <v>722</v>
      </c>
      <c r="M28" s="791">
        <v>-1.4399999999999996E-2</v>
      </c>
      <c r="N28" s="794">
        <v>7</v>
      </c>
      <c r="O28" s="476" t="s">
        <v>716</v>
      </c>
      <c r="P28" s="795" t="s">
        <v>723</v>
      </c>
      <c r="Q28" s="791">
        <v>-1.2549999999999999E-2</v>
      </c>
    </row>
    <row r="29" spans="2:17">
      <c r="B29" s="794">
        <v>6</v>
      </c>
      <c r="C29" s="476" t="s">
        <v>717</v>
      </c>
      <c r="D29" s="796" t="s">
        <v>717</v>
      </c>
      <c r="E29" s="791">
        <v>0</v>
      </c>
      <c r="F29" s="792">
        <v>6</v>
      </c>
      <c r="G29" s="789" t="s">
        <v>724</v>
      </c>
      <c r="H29" s="793" t="s">
        <v>725</v>
      </c>
      <c r="I29" s="791">
        <v>6.9999999999999923E-4</v>
      </c>
      <c r="J29" s="788">
        <v>6</v>
      </c>
      <c r="K29" s="789" t="s">
        <v>726</v>
      </c>
      <c r="L29" s="793" t="s">
        <v>727</v>
      </c>
      <c r="M29" s="791">
        <v>1.3999999999999985E-3</v>
      </c>
      <c r="N29" s="794">
        <v>6</v>
      </c>
      <c r="O29" s="476" t="s">
        <v>728</v>
      </c>
      <c r="P29" s="795" t="s">
        <v>729</v>
      </c>
      <c r="Q29" s="791">
        <v>2.0000000000000018E-3</v>
      </c>
    </row>
    <row r="30" spans="2:17">
      <c r="B30" s="794">
        <v>5</v>
      </c>
      <c r="C30" s="476" t="s">
        <v>717</v>
      </c>
      <c r="D30" s="796" t="s">
        <v>730</v>
      </c>
      <c r="E30" s="791">
        <v>-1.7000000000000001E-3</v>
      </c>
      <c r="F30" s="797">
        <v>5</v>
      </c>
      <c r="G30" s="476" t="s">
        <v>724</v>
      </c>
      <c r="H30" s="795" t="s">
        <v>731</v>
      </c>
      <c r="I30" s="791">
        <v>-1.0000000000000009E-3</v>
      </c>
      <c r="J30" s="794">
        <v>5</v>
      </c>
      <c r="K30" s="476" t="s">
        <v>726</v>
      </c>
      <c r="L30" s="795" t="s">
        <v>732</v>
      </c>
      <c r="M30" s="791">
        <v>-2.0000000000000573E-4</v>
      </c>
      <c r="N30" s="794">
        <v>5</v>
      </c>
      <c r="O30" s="476" t="s">
        <v>728</v>
      </c>
      <c r="P30" s="795" t="s">
        <v>733</v>
      </c>
      <c r="Q30" s="791">
        <v>5.0000000000000044E-4</v>
      </c>
    </row>
    <row r="31" spans="2:17">
      <c r="B31" s="794">
        <v>4</v>
      </c>
      <c r="C31" s="476" t="s">
        <v>717</v>
      </c>
      <c r="D31" s="796" t="s">
        <v>734</v>
      </c>
      <c r="E31" s="791">
        <v>-3.2999999999999974E-3</v>
      </c>
      <c r="F31" s="797">
        <v>4</v>
      </c>
      <c r="G31" s="476" t="s">
        <v>724</v>
      </c>
      <c r="H31" s="795" t="s">
        <v>726</v>
      </c>
      <c r="I31" s="791">
        <v>-2.4999999999999953E-3</v>
      </c>
      <c r="J31" s="794">
        <v>4</v>
      </c>
      <c r="K31" s="476" t="s">
        <v>726</v>
      </c>
      <c r="L31" s="795" t="s">
        <v>735</v>
      </c>
      <c r="M31" s="791">
        <v>-1.7000000000000001E-3</v>
      </c>
      <c r="N31" s="794">
        <v>4</v>
      </c>
      <c r="O31" s="476" t="s">
        <v>728</v>
      </c>
      <c r="P31" s="795" t="s">
        <v>736</v>
      </c>
      <c r="Q31" s="791">
        <v>-8.000000000000021E-4</v>
      </c>
    </row>
    <row r="32" spans="2:17">
      <c r="B32" s="788">
        <v>3</v>
      </c>
      <c r="C32" s="789" t="s">
        <v>737</v>
      </c>
      <c r="D32" s="790" t="s">
        <v>738</v>
      </c>
      <c r="E32" s="791">
        <v>1.5200000000000002E-2</v>
      </c>
      <c r="F32" s="792">
        <v>3</v>
      </c>
      <c r="G32" s="789" t="s">
        <v>739</v>
      </c>
      <c r="H32" s="793" t="s">
        <v>740</v>
      </c>
      <c r="I32" s="791">
        <v>1.4849999999999999E-2</v>
      </c>
      <c r="J32" s="788">
        <v>3</v>
      </c>
      <c r="K32" s="789" t="s">
        <v>741</v>
      </c>
      <c r="L32" s="793" t="s">
        <v>742</v>
      </c>
      <c r="M32" s="791">
        <v>1.4499999999999999E-2</v>
      </c>
      <c r="N32" s="788">
        <v>3</v>
      </c>
      <c r="O32" s="789" t="s">
        <v>743</v>
      </c>
      <c r="P32" s="793" t="s">
        <v>744</v>
      </c>
      <c r="Q32" s="791">
        <v>1.4149999999999999E-2</v>
      </c>
    </row>
    <row r="33" spans="2:17">
      <c r="B33" s="788">
        <v>2</v>
      </c>
      <c r="C33" s="789" t="s">
        <v>737</v>
      </c>
      <c r="D33" s="790" t="s">
        <v>745</v>
      </c>
      <c r="E33" s="791">
        <v>1.3799999999999996E-2</v>
      </c>
      <c r="F33" s="792">
        <v>2</v>
      </c>
      <c r="G33" s="789" t="s">
        <v>739</v>
      </c>
      <c r="H33" s="793" t="s">
        <v>746</v>
      </c>
      <c r="I33" s="791">
        <v>1.3550000000000003E-2</v>
      </c>
      <c r="J33" s="788">
        <v>2</v>
      </c>
      <c r="K33" s="789" t="s">
        <v>741</v>
      </c>
      <c r="L33" s="793" t="s">
        <v>747</v>
      </c>
      <c r="M33" s="791">
        <v>1.3299999999999999E-2</v>
      </c>
      <c r="N33" s="788">
        <v>2</v>
      </c>
      <c r="O33" s="789" t="s">
        <v>743</v>
      </c>
      <c r="P33" s="793" t="s">
        <v>748</v>
      </c>
      <c r="Q33" s="791">
        <v>1.295E-2</v>
      </c>
    </row>
    <row r="34" spans="2:17" ht="15" thickBot="1">
      <c r="B34" s="799">
        <v>1</v>
      </c>
      <c r="C34" s="800" t="s">
        <v>737</v>
      </c>
      <c r="D34" s="801" t="s">
        <v>749</v>
      </c>
      <c r="E34" s="791">
        <v>1.2599999999999997E-2</v>
      </c>
      <c r="F34" s="802">
        <v>1</v>
      </c>
      <c r="G34" s="800" t="s">
        <v>739</v>
      </c>
      <c r="H34" s="803" t="s">
        <v>750</v>
      </c>
      <c r="I34" s="791">
        <v>1.235E-2</v>
      </c>
      <c r="J34" s="799">
        <v>1</v>
      </c>
      <c r="K34" s="800" t="s">
        <v>741</v>
      </c>
      <c r="L34" s="803" t="s">
        <v>751</v>
      </c>
      <c r="M34" s="791">
        <v>1.21E-2</v>
      </c>
      <c r="N34" s="799">
        <v>1</v>
      </c>
      <c r="O34" s="800" t="s">
        <v>743</v>
      </c>
      <c r="P34" s="803" t="s">
        <v>752</v>
      </c>
      <c r="Q34" s="791">
        <v>1.1849999999999999E-2</v>
      </c>
    </row>
    <row r="35" spans="2:17" ht="14.25" customHeight="1"/>
    <row r="36" spans="2:17" ht="15.75" customHeight="1"/>
  </sheetData>
  <mergeCells count="4">
    <mergeCell ref="B9:D9"/>
    <mergeCell ref="F9:H9"/>
    <mergeCell ref="J9:L9"/>
    <mergeCell ref="N9:P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73E6-AB01-4CD3-97B5-4DBA033236DB}">
  <dimension ref="B7:CD120"/>
  <sheetViews>
    <sheetView workbookViewId="0">
      <selection activeCell="D12" sqref="D12"/>
    </sheetView>
  </sheetViews>
  <sheetFormatPr defaultRowHeight="14.4"/>
  <cols>
    <col min="2" max="2" width="18.88671875" customWidth="1"/>
  </cols>
  <sheetData>
    <row r="7" spans="2:82" ht="16.2">
      <c r="B7" s="804" t="s">
        <v>753</v>
      </c>
    </row>
    <row r="9" spans="2:82">
      <c r="B9" s="805" t="s">
        <v>642</v>
      </c>
      <c r="C9" s="805">
        <v>2024</v>
      </c>
      <c r="D9" s="805">
        <v>2025</v>
      </c>
      <c r="E9" s="805">
        <v>2026</v>
      </c>
      <c r="F9" s="805">
        <v>2027</v>
      </c>
      <c r="G9" s="805">
        <v>2028</v>
      </c>
      <c r="H9" s="805">
        <v>2029</v>
      </c>
      <c r="I9" s="805">
        <v>2030</v>
      </c>
      <c r="J9" s="805">
        <v>2031</v>
      </c>
      <c r="K9" s="805">
        <v>2032</v>
      </c>
      <c r="L9" s="805">
        <v>2033</v>
      </c>
      <c r="M9">
        <f>+L9+1</f>
        <v>2034</v>
      </c>
      <c r="N9">
        <f t="shared" ref="N9:BY9" si="0">+M9+1</f>
        <v>2035</v>
      </c>
      <c r="O9">
        <f t="shared" si="0"/>
        <v>2036</v>
      </c>
      <c r="P9">
        <f t="shared" si="0"/>
        <v>2037</v>
      </c>
      <c r="Q9">
        <f t="shared" si="0"/>
        <v>2038</v>
      </c>
      <c r="R9">
        <f t="shared" si="0"/>
        <v>2039</v>
      </c>
      <c r="S9">
        <f t="shared" si="0"/>
        <v>2040</v>
      </c>
      <c r="T9">
        <f t="shared" si="0"/>
        <v>2041</v>
      </c>
      <c r="U9">
        <f t="shared" si="0"/>
        <v>2042</v>
      </c>
      <c r="V9">
        <f t="shared" si="0"/>
        <v>2043</v>
      </c>
      <c r="W9">
        <f t="shared" si="0"/>
        <v>2044</v>
      </c>
      <c r="X9">
        <f t="shared" si="0"/>
        <v>2045</v>
      </c>
      <c r="Y9">
        <f t="shared" si="0"/>
        <v>2046</v>
      </c>
      <c r="Z9">
        <f t="shared" si="0"/>
        <v>2047</v>
      </c>
      <c r="AA9">
        <f t="shared" si="0"/>
        <v>2048</v>
      </c>
      <c r="AB9">
        <f t="shared" si="0"/>
        <v>2049</v>
      </c>
      <c r="AC9">
        <f t="shared" si="0"/>
        <v>2050</v>
      </c>
      <c r="AD9">
        <f t="shared" si="0"/>
        <v>2051</v>
      </c>
      <c r="AE9">
        <f t="shared" si="0"/>
        <v>2052</v>
      </c>
      <c r="AF9">
        <f t="shared" si="0"/>
        <v>2053</v>
      </c>
      <c r="AG9">
        <f t="shared" si="0"/>
        <v>2054</v>
      </c>
      <c r="AH9">
        <f t="shared" si="0"/>
        <v>2055</v>
      </c>
      <c r="AI9">
        <f t="shared" si="0"/>
        <v>2056</v>
      </c>
      <c r="AJ9">
        <f t="shared" si="0"/>
        <v>2057</v>
      </c>
      <c r="AK9">
        <f t="shared" si="0"/>
        <v>2058</v>
      </c>
      <c r="AL9">
        <f t="shared" si="0"/>
        <v>2059</v>
      </c>
      <c r="AM9">
        <f t="shared" si="0"/>
        <v>2060</v>
      </c>
      <c r="AN9">
        <f t="shared" si="0"/>
        <v>2061</v>
      </c>
      <c r="AO9">
        <f t="shared" si="0"/>
        <v>2062</v>
      </c>
      <c r="AP9">
        <f t="shared" si="0"/>
        <v>2063</v>
      </c>
      <c r="AQ9">
        <f t="shared" si="0"/>
        <v>2064</v>
      </c>
      <c r="AR9">
        <f t="shared" si="0"/>
        <v>2065</v>
      </c>
      <c r="AS9">
        <f t="shared" si="0"/>
        <v>2066</v>
      </c>
      <c r="AT9">
        <f t="shared" si="0"/>
        <v>2067</v>
      </c>
      <c r="AU9">
        <f t="shared" si="0"/>
        <v>2068</v>
      </c>
      <c r="AV9">
        <f t="shared" si="0"/>
        <v>2069</v>
      </c>
      <c r="AW9">
        <f t="shared" si="0"/>
        <v>2070</v>
      </c>
      <c r="AX9">
        <f t="shared" si="0"/>
        <v>2071</v>
      </c>
      <c r="AY9">
        <f t="shared" si="0"/>
        <v>2072</v>
      </c>
      <c r="AZ9">
        <f t="shared" si="0"/>
        <v>2073</v>
      </c>
      <c r="BA9">
        <f t="shared" si="0"/>
        <v>2074</v>
      </c>
      <c r="BB9">
        <f t="shared" si="0"/>
        <v>2075</v>
      </c>
      <c r="BC9">
        <f t="shared" si="0"/>
        <v>2076</v>
      </c>
      <c r="BD9">
        <f t="shared" si="0"/>
        <v>2077</v>
      </c>
      <c r="BE9">
        <f>+BD9+1</f>
        <v>2078</v>
      </c>
      <c r="BF9">
        <f t="shared" si="0"/>
        <v>2079</v>
      </c>
      <c r="BG9">
        <f t="shared" si="0"/>
        <v>2080</v>
      </c>
      <c r="BH9">
        <f t="shared" si="0"/>
        <v>2081</v>
      </c>
      <c r="BI9">
        <f t="shared" si="0"/>
        <v>2082</v>
      </c>
      <c r="BJ9">
        <f t="shared" si="0"/>
        <v>2083</v>
      </c>
      <c r="BK9">
        <f t="shared" si="0"/>
        <v>2084</v>
      </c>
      <c r="BL9">
        <f t="shared" si="0"/>
        <v>2085</v>
      </c>
      <c r="BM9">
        <f t="shared" si="0"/>
        <v>2086</v>
      </c>
      <c r="BN9">
        <f t="shared" si="0"/>
        <v>2087</v>
      </c>
      <c r="BO9">
        <f t="shared" si="0"/>
        <v>2088</v>
      </c>
      <c r="BP9">
        <f t="shared" si="0"/>
        <v>2089</v>
      </c>
      <c r="BQ9">
        <f t="shared" si="0"/>
        <v>2090</v>
      </c>
      <c r="BR9">
        <f t="shared" si="0"/>
        <v>2091</v>
      </c>
      <c r="BS9">
        <f t="shared" si="0"/>
        <v>2092</v>
      </c>
      <c r="BT9">
        <f t="shared" si="0"/>
        <v>2093</v>
      </c>
      <c r="BU9">
        <f t="shared" si="0"/>
        <v>2094</v>
      </c>
      <c r="BV9">
        <f t="shared" si="0"/>
        <v>2095</v>
      </c>
      <c r="BW9">
        <f>+BV9+1</f>
        <v>2096</v>
      </c>
      <c r="BX9">
        <f t="shared" si="0"/>
        <v>2097</v>
      </c>
      <c r="BY9">
        <f t="shared" si="0"/>
        <v>2098</v>
      </c>
      <c r="BZ9">
        <f t="shared" ref="BZ9:CD9" si="1">+BY9+1</f>
        <v>2099</v>
      </c>
      <c r="CA9">
        <f t="shared" si="1"/>
        <v>2100</v>
      </c>
      <c r="CB9">
        <f t="shared" si="1"/>
        <v>2101</v>
      </c>
      <c r="CC9">
        <f t="shared" si="1"/>
        <v>2102</v>
      </c>
      <c r="CD9">
        <f t="shared" si="1"/>
        <v>2103</v>
      </c>
    </row>
    <row r="10" spans="2:82">
      <c r="B10" s="805">
        <v>24</v>
      </c>
      <c r="C10" s="805" t="s">
        <v>754</v>
      </c>
      <c r="D10" s="805" t="s">
        <v>755</v>
      </c>
      <c r="E10" s="805" t="s">
        <v>756</v>
      </c>
      <c r="F10" s="805" t="s">
        <v>757</v>
      </c>
      <c r="G10" s="805" t="s">
        <v>758</v>
      </c>
      <c r="H10" s="805" t="s">
        <v>759</v>
      </c>
      <c r="I10" s="805" t="s">
        <v>760</v>
      </c>
      <c r="J10" s="805" t="s">
        <v>653</v>
      </c>
      <c r="K10" s="805" t="s">
        <v>761</v>
      </c>
      <c r="L10" s="805" t="s">
        <v>647</v>
      </c>
      <c r="M10" t="s">
        <v>647</v>
      </c>
      <c r="N10" t="s">
        <v>647</v>
      </c>
      <c r="O10" t="s">
        <v>647</v>
      </c>
      <c r="P10" t="s">
        <v>647</v>
      </c>
      <c r="Q10" t="s">
        <v>647</v>
      </c>
      <c r="R10" t="s">
        <v>647</v>
      </c>
      <c r="S10" t="s">
        <v>647</v>
      </c>
      <c r="T10" t="s">
        <v>647</v>
      </c>
      <c r="U10" t="s">
        <v>647</v>
      </c>
      <c r="V10" t="s">
        <v>647</v>
      </c>
      <c r="W10" t="s">
        <v>647</v>
      </c>
      <c r="X10" t="s">
        <v>647</v>
      </c>
      <c r="Y10" t="s">
        <v>647</v>
      </c>
      <c r="Z10" t="s">
        <v>647</v>
      </c>
      <c r="AA10" t="s">
        <v>647</v>
      </c>
      <c r="AB10" t="s">
        <v>647</v>
      </c>
      <c r="AC10" t="s">
        <v>647</v>
      </c>
      <c r="AD10" t="s">
        <v>647</v>
      </c>
      <c r="AE10" t="s">
        <v>647</v>
      </c>
      <c r="AF10" t="s">
        <v>647</v>
      </c>
      <c r="AG10" t="s">
        <v>647</v>
      </c>
      <c r="AH10" t="s">
        <v>647</v>
      </c>
      <c r="AI10" t="s">
        <v>647</v>
      </c>
      <c r="AJ10" t="s">
        <v>647</v>
      </c>
      <c r="AK10" t="s">
        <v>647</v>
      </c>
      <c r="AL10" t="s">
        <v>647</v>
      </c>
      <c r="AM10" t="s">
        <v>647</v>
      </c>
      <c r="AN10" t="s">
        <v>647</v>
      </c>
      <c r="AO10" t="s">
        <v>647</v>
      </c>
      <c r="AP10" t="s">
        <v>647</v>
      </c>
      <c r="AQ10" t="s">
        <v>647</v>
      </c>
      <c r="AR10" t="s">
        <v>647</v>
      </c>
      <c r="AS10" t="s">
        <v>647</v>
      </c>
      <c r="AT10" t="s">
        <v>647</v>
      </c>
      <c r="AU10" t="s">
        <v>647</v>
      </c>
      <c r="AV10" t="s">
        <v>647</v>
      </c>
      <c r="AW10" t="s">
        <v>647</v>
      </c>
      <c r="AX10" t="s">
        <v>647</v>
      </c>
      <c r="AY10" t="s">
        <v>647</v>
      </c>
      <c r="AZ10" t="s">
        <v>647</v>
      </c>
      <c r="BA10" t="s">
        <v>647</v>
      </c>
      <c r="BB10" t="s">
        <v>647</v>
      </c>
      <c r="BC10" t="s">
        <v>647</v>
      </c>
      <c r="BD10" t="s">
        <v>647</v>
      </c>
      <c r="BE10" t="s">
        <v>647</v>
      </c>
      <c r="BF10" t="s">
        <v>647</v>
      </c>
      <c r="BG10" t="s">
        <v>647</v>
      </c>
      <c r="BH10" t="s">
        <v>647</v>
      </c>
      <c r="BI10" t="s">
        <v>647</v>
      </c>
      <c r="BJ10" t="s">
        <v>647</v>
      </c>
      <c r="BK10" t="s">
        <v>647</v>
      </c>
      <c r="BL10" t="s">
        <v>647</v>
      </c>
      <c r="BM10" t="s">
        <v>647</v>
      </c>
      <c r="BN10" t="s">
        <v>647</v>
      </c>
      <c r="BO10" t="s">
        <v>647</v>
      </c>
      <c r="BP10" t="s">
        <v>647</v>
      </c>
      <c r="BQ10" t="s">
        <v>647</v>
      </c>
      <c r="BR10" t="s">
        <v>647</v>
      </c>
      <c r="BS10" t="s">
        <v>647</v>
      </c>
      <c r="BT10" t="s">
        <v>647</v>
      </c>
      <c r="BU10" t="s">
        <v>647</v>
      </c>
      <c r="BV10" t="s">
        <v>647</v>
      </c>
      <c r="BW10" t="s">
        <v>647</v>
      </c>
      <c r="BX10" t="s">
        <v>647</v>
      </c>
      <c r="BY10" t="s">
        <v>647</v>
      </c>
      <c r="BZ10" t="s">
        <v>647</v>
      </c>
      <c r="CA10" t="s">
        <v>647</v>
      </c>
      <c r="CB10" t="s">
        <v>647</v>
      </c>
      <c r="CC10" t="s">
        <v>647</v>
      </c>
      <c r="CD10" t="s">
        <v>647</v>
      </c>
    </row>
    <row r="11" spans="2:82">
      <c r="B11" s="805">
        <v>23</v>
      </c>
      <c r="C11" s="805" t="s">
        <v>762</v>
      </c>
      <c r="D11" s="805" t="s">
        <v>763</v>
      </c>
      <c r="E11" s="805" t="s">
        <v>764</v>
      </c>
      <c r="F11" s="805" t="s">
        <v>765</v>
      </c>
      <c r="G11" s="805" t="s">
        <v>757</v>
      </c>
      <c r="H11" s="805" t="s">
        <v>766</v>
      </c>
      <c r="I11" s="805" t="s">
        <v>767</v>
      </c>
      <c r="J11" s="805" t="s">
        <v>768</v>
      </c>
      <c r="K11" s="805" t="s">
        <v>769</v>
      </c>
      <c r="L11" s="805" t="s">
        <v>653</v>
      </c>
      <c r="M11" t="s">
        <v>653</v>
      </c>
      <c r="N11" t="s">
        <v>653</v>
      </c>
      <c r="O11" t="s">
        <v>653</v>
      </c>
      <c r="P11" t="s">
        <v>653</v>
      </c>
      <c r="Q11" t="s">
        <v>653</v>
      </c>
      <c r="R11" t="s">
        <v>653</v>
      </c>
      <c r="S11" t="s">
        <v>653</v>
      </c>
      <c r="T11" t="s">
        <v>653</v>
      </c>
      <c r="U11" t="s">
        <v>653</v>
      </c>
      <c r="V11" t="s">
        <v>653</v>
      </c>
      <c r="W11" t="s">
        <v>653</v>
      </c>
      <c r="X11" t="s">
        <v>653</v>
      </c>
      <c r="Y11" t="s">
        <v>653</v>
      </c>
      <c r="Z11" t="s">
        <v>653</v>
      </c>
      <c r="AA11" t="s">
        <v>653</v>
      </c>
      <c r="AB11" t="s">
        <v>653</v>
      </c>
      <c r="AC11" t="s">
        <v>653</v>
      </c>
      <c r="AD11" t="s">
        <v>653</v>
      </c>
      <c r="AE11" t="s">
        <v>653</v>
      </c>
      <c r="AF11" t="s">
        <v>653</v>
      </c>
      <c r="AG11" t="s">
        <v>653</v>
      </c>
      <c r="AH11" t="s">
        <v>653</v>
      </c>
      <c r="AI11" t="s">
        <v>653</v>
      </c>
      <c r="AJ11" t="s">
        <v>653</v>
      </c>
      <c r="AK11" t="s">
        <v>653</v>
      </c>
      <c r="AL11" t="s">
        <v>653</v>
      </c>
      <c r="AM11" t="s">
        <v>653</v>
      </c>
      <c r="AN11" t="s">
        <v>653</v>
      </c>
      <c r="AO11" t="s">
        <v>653</v>
      </c>
      <c r="AP11" t="s">
        <v>653</v>
      </c>
      <c r="AQ11" t="s">
        <v>653</v>
      </c>
      <c r="AR11" t="s">
        <v>653</v>
      </c>
      <c r="AS11" t="s">
        <v>653</v>
      </c>
      <c r="AT11" t="s">
        <v>653</v>
      </c>
      <c r="AU11" t="s">
        <v>653</v>
      </c>
      <c r="AV11" t="s">
        <v>653</v>
      </c>
      <c r="AW11" t="s">
        <v>653</v>
      </c>
      <c r="AX11" t="s">
        <v>653</v>
      </c>
      <c r="AY11" t="s">
        <v>653</v>
      </c>
      <c r="AZ11" t="s">
        <v>653</v>
      </c>
      <c r="BA11" t="s">
        <v>653</v>
      </c>
      <c r="BB11" t="s">
        <v>653</v>
      </c>
      <c r="BC11" t="s">
        <v>653</v>
      </c>
      <c r="BD11" t="s">
        <v>653</v>
      </c>
      <c r="BE11" t="s">
        <v>653</v>
      </c>
      <c r="BF11" t="s">
        <v>653</v>
      </c>
      <c r="BG11" t="s">
        <v>653</v>
      </c>
      <c r="BH11" t="s">
        <v>653</v>
      </c>
      <c r="BI11" t="s">
        <v>653</v>
      </c>
      <c r="BJ11" t="s">
        <v>653</v>
      </c>
      <c r="BK11" t="s">
        <v>653</v>
      </c>
      <c r="BL11" t="s">
        <v>653</v>
      </c>
      <c r="BM11" t="s">
        <v>653</v>
      </c>
      <c r="BN11" t="s">
        <v>653</v>
      </c>
      <c r="BO11" t="s">
        <v>653</v>
      </c>
      <c r="BP11" t="s">
        <v>653</v>
      </c>
      <c r="BQ11" t="s">
        <v>653</v>
      </c>
      <c r="BR11" t="s">
        <v>653</v>
      </c>
      <c r="BS11" t="s">
        <v>653</v>
      </c>
      <c r="BT11" t="s">
        <v>653</v>
      </c>
      <c r="BU11" t="s">
        <v>653</v>
      </c>
      <c r="BV11" t="s">
        <v>653</v>
      </c>
      <c r="BW11" t="s">
        <v>653</v>
      </c>
      <c r="BX11" t="s">
        <v>653</v>
      </c>
      <c r="BY11" t="s">
        <v>653</v>
      </c>
      <c r="BZ11" t="s">
        <v>653</v>
      </c>
      <c r="CA11" t="s">
        <v>653</v>
      </c>
      <c r="CB11" t="s">
        <v>653</v>
      </c>
      <c r="CC11" t="s">
        <v>653</v>
      </c>
      <c r="CD11" t="s">
        <v>653</v>
      </c>
    </row>
    <row r="12" spans="2:82">
      <c r="B12" s="805">
        <v>22</v>
      </c>
      <c r="C12" s="805" t="s">
        <v>697</v>
      </c>
      <c r="D12" s="805" t="s">
        <v>770</v>
      </c>
      <c r="E12" s="805" t="s">
        <v>771</v>
      </c>
      <c r="F12" s="805" t="s">
        <v>772</v>
      </c>
      <c r="G12" s="805" t="s">
        <v>773</v>
      </c>
      <c r="H12" s="805" t="s">
        <v>774</v>
      </c>
      <c r="I12" s="805" t="s">
        <v>775</v>
      </c>
      <c r="J12" s="805" t="s">
        <v>776</v>
      </c>
      <c r="K12" s="805" t="s">
        <v>777</v>
      </c>
      <c r="L12" s="805" t="s">
        <v>656</v>
      </c>
      <c r="M12" t="s">
        <v>656</v>
      </c>
      <c r="N12" t="s">
        <v>656</v>
      </c>
      <c r="O12" t="s">
        <v>656</v>
      </c>
      <c r="P12" t="s">
        <v>656</v>
      </c>
      <c r="Q12" t="s">
        <v>656</v>
      </c>
      <c r="R12" t="s">
        <v>656</v>
      </c>
      <c r="S12" t="s">
        <v>656</v>
      </c>
      <c r="T12" t="s">
        <v>656</v>
      </c>
      <c r="U12" t="s">
        <v>656</v>
      </c>
      <c r="V12" t="s">
        <v>656</v>
      </c>
      <c r="W12" t="s">
        <v>656</v>
      </c>
      <c r="X12" t="s">
        <v>656</v>
      </c>
      <c r="Y12" t="s">
        <v>656</v>
      </c>
      <c r="Z12" t="s">
        <v>656</v>
      </c>
      <c r="AA12" t="s">
        <v>656</v>
      </c>
      <c r="AB12" t="s">
        <v>656</v>
      </c>
      <c r="AC12" t="s">
        <v>656</v>
      </c>
      <c r="AD12" t="s">
        <v>656</v>
      </c>
      <c r="AE12" t="s">
        <v>656</v>
      </c>
      <c r="AF12" t="s">
        <v>656</v>
      </c>
      <c r="AG12" t="s">
        <v>656</v>
      </c>
      <c r="AH12" t="s">
        <v>656</v>
      </c>
      <c r="AI12" t="s">
        <v>656</v>
      </c>
      <c r="AJ12" t="s">
        <v>656</v>
      </c>
      <c r="AK12" t="s">
        <v>656</v>
      </c>
      <c r="AL12" t="s">
        <v>656</v>
      </c>
      <c r="AM12" t="s">
        <v>656</v>
      </c>
      <c r="AN12" t="s">
        <v>656</v>
      </c>
      <c r="AO12" t="s">
        <v>656</v>
      </c>
      <c r="AP12" t="s">
        <v>656</v>
      </c>
      <c r="AQ12" t="s">
        <v>656</v>
      </c>
      <c r="AR12" t="s">
        <v>656</v>
      </c>
      <c r="AS12" t="s">
        <v>656</v>
      </c>
      <c r="AT12" t="s">
        <v>656</v>
      </c>
      <c r="AU12" t="s">
        <v>656</v>
      </c>
      <c r="AV12" t="s">
        <v>656</v>
      </c>
      <c r="AW12" t="s">
        <v>656</v>
      </c>
      <c r="AX12" t="s">
        <v>656</v>
      </c>
      <c r="AY12" t="s">
        <v>656</v>
      </c>
      <c r="AZ12" t="s">
        <v>656</v>
      </c>
      <c r="BA12" t="s">
        <v>656</v>
      </c>
      <c r="BB12" t="s">
        <v>656</v>
      </c>
      <c r="BC12" t="s">
        <v>656</v>
      </c>
      <c r="BD12" t="s">
        <v>656</v>
      </c>
      <c r="BE12" t="s">
        <v>656</v>
      </c>
      <c r="BF12" t="s">
        <v>656</v>
      </c>
      <c r="BG12" t="s">
        <v>656</v>
      </c>
      <c r="BH12" t="s">
        <v>656</v>
      </c>
      <c r="BI12" t="s">
        <v>656</v>
      </c>
      <c r="BJ12" t="s">
        <v>656</v>
      </c>
      <c r="BK12" t="s">
        <v>656</v>
      </c>
      <c r="BL12" t="s">
        <v>656</v>
      </c>
      <c r="BM12" t="s">
        <v>656</v>
      </c>
      <c r="BN12" t="s">
        <v>656</v>
      </c>
      <c r="BO12" t="s">
        <v>656</v>
      </c>
      <c r="BP12" t="s">
        <v>656</v>
      </c>
      <c r="BQ12" t="s">
        <v>656</v>
      </c>
      <c r="BR12" t="s">
        <v>656</v>
      </c>
      <c r="BS12" t="s">
        <v>656</v>
      </c>
      <c r="BT12" t="s">
        <v>656</v>
      </c>
      <c r="BU12" t="s">
        <v>656</v>
      </c>
      <c r="BV12" t="s">
        <v>656</v>
      </c>
      <c r="BW12" t="s">
        <v>656</v>
      </c>
      <c r="BX12" t="s">
        <v>656</v>
      </c>
      <c r="BY12" t="s">
        <v>656</v>
      </c>
      <c r="BZ12" t="s">
        <v>656</v>
      </c>
      <c r="CA12" t="s">
        <v>656</v>
      </c>
      <c r="CB12" t="s">
        <v>656</v>
      </c>
      <c r="CC12" t="s">
        <v>656</v>
      </c>
      <c r="CD12" t="s">
        <v>656</v>
      </c>
    </row>
    <row r="13" spans="2:82">
      <c r="B13" s="805">
        <v>21</v>
      </c>
      <c r="C13" s="805" t="s">
        <v>778</v>
      </c>
      <c r="D13" s="805" t="s">
        <v>779</v>
      </c>
      <c r="E13" s="805" t="s">
        <v>780</v>
      </c>
      <c r="F13" s="805" t="s">
        <v>781</v>
      </c>
      <c r="G13" s="805" t="s">
        <v>782</v>
      </c>
      <c r="H13" s="805" t="s">
        <v>783</v>
      </c>
      <c r="I13" s="805" t="s">
        <v>784</v>
      </c>
      <c r="J13" s="805" t="s">
        <v>785</v>
      </c>
      <c r="K13" s="805" t="s">
        <v>786</v>
      </c>
      <c r="L13" s="805" t="s">
        <v>659</v>
      </c>
      <c r="M13" t="s">
        <v>659</v>
      </c>
      <c r="N13" t="s">
        <v>659</v>
      </c>
      <c r="O13" t="s">
        <v>659</v>
      </c>
      <c r="P13" t="s">
        <v>659</v>
      </c>
      <c r="Q13" t="s">
        <v>659</v>
      </c>
      <c r="R13" t="s">
        <v>659</v>
      </c>
      <c r="S13" t="s">
        <v>659</v>
      </c>
      <c r="T13" t="s">
        <v>659</v>
      </c>
      <c r="U13" t="s">
        <v>659</v>
      </c>
      <c r="V13" t="s">
        <v>659</v>
      </c>
      <c r="W13" t="s">
        <v>659</v>
      </c>
      <c r="X13" t="s">
        <v>659</v>
      </c>
      <c r="Y13" t="s">
        <v>659</v>
      </c>
      <c r="Z13" t="s">
        <v>659</v>
      </c>
      <c r="AA13" t="s">
        <v>659</v>
      </c>
      <c r="AB13" t="s">
        <v>659</v>
      </c>
      <c r="AC13" t="s">
        <v>659</v>
      </c>
      <c r="AD13" t="s">
        <v>659</v>
      </c>
      <c r="AE13" t="s">
        <v>659</v>
      </c>
      <c r="AF13" t="s">
        <v>659</v>
      </c>
      <c r="AG13" t="s">
        <v>659</v>
      </c>
      <c r="AH13" t="s">
        <v>659</v>
      </c>
      <c r="AI13" t="s">
        <v>659</v>
      </c>
      <c r="AJ13" t="s">
        <v>659</v>
      </c>
      <c r="AK13" t="s">
        <v>659</v>
      </c>
      <c r="AL13" t="s">
        <v>659</v>
      </c>
      <c r="AM13" t="s">
        <v>659</v>
      </c>
      <c r="AN13" t="s">
        <v>659</v>
      </c>
      <c r="AO13" t="s">
        <v>659</v>
      </c>
      <c r="AP13" t="s">
        <v>659</v>
      </c>
      <c r="AQ13" t="s">
        <v>659</v>
      </c>
      <c r="AR13" t="s">
        <v>659</v>
      </c>
      <c r="AS13" t="s">
        <v>659</v>
      </c>
      <c r="AT13" t="s">
        <v>659</v>
      </c>
      <c r="AU13" t="s">
        <v>659</v>
      </c>
      <c r="AV13" t="s">
        <v>659</v>
      </c>
      <c r="AW13" t="s">
        <v>659</v>
      </c>
      <c r="AX13" t="s">
        <v>659</v>
      </c>
      <c r="AY13" t="s">
        <v>659</v>
      </c>
      <c r="AZ13" t="s">
        <v>659</v>
      </c>
      <c r="BA13" t="s">
        <v>659</v>
      </c>
      <c r="BB13" t="s">
        <v>659</v>
      </c>
      <c r="BC13" t="s">
        <v>659</v>
      </c>
      <c r="BD13" t="s">
        <v>659</v>
      </c>
      <c r="BE13" t="s">
        <v>659</v>
      </c>
      <c r="BF13" t="s">
        <v>659</v>
      </c>
      <c r="BG13" t="s">
        <v>659</v>
      </c>
      <c r="BH13" t="s">
        <v>659</v>
      </c>
      <c r="BI13" t="s">
        <v>659</v>
      </c>
      <c r="BJ13" t="s">
        <v>659</v>
      </c>
      <c r="BK13" t="s">
        <v>659</v>
      </c>
      <c r="BL13" t="s">
        <v>659</v>
      </c>
      <c r="BM13" t="s">
        <v>659</v>
      </c>
      <c r="BN13" t="s">
        <v>659</v>
      </c>
      <c r="BO13" t="s">
        <v>659</v>
      </c>
      <c r="BP13" t="s">
        <v>659</v>
      </c>
      <c r="BQ13" t="s">
        <v>659</v>
      </c>
      <c r="BR13" t="s">
        <v>659</v>
      </c>
      <c r="BS13" t="s">
        <v>659</v>
      </c>
      <c r="BT13" t="s">
        <v>659</v>
      </c>
      <c r="BU13" t="s">
        <v>659</v>
      </c>
      <c r="BV13" t="s">
        <v>659</v>
      </c>
      <c r="BW13" t="s">
        <v>659</v>
      </c>
      <c r="BX13" t="s">
        <v>659</v>
      </c>
      <c r="BY13" t="s">
        <v>659</v>
      </c>
      <c r="BZ13" t="s">
        <v>659</v>
      </c>
      <c r="CA13" t="s">
        <v>659</v>
      </c>
      <c r="CB13" t="s">
        <v>659</v>
      </c>
      <c r="CC13" t="s">
        <v>659</v>
      </c>
      <c r="CD13" t="s">
        <v>659</v>
      </c>
    </row>
    <row r="14" spans="2:82">
      <c r="B14" s="805">
        <v>20</v>
      </c>
      <c r="C14" s="805" t="s">
        <v>787</v>
      </c>
      <c r="D14" s="805" t="s">
        <v>701</v>
      </c>
      <c r="E14" s="805" t="s">
        <v>788</v>
      </c>
      <c r="F14" s="805" t="s">
        <v>702</v>
      </c>
      <c r="G14" s="805" t="s">
        <v>789</v>
      </c>
      <c r="H14" s="805" t="s">
        <v>673</v>
      </c>
      <c r="I14" s="805" t="s">
        <v>686</v>
      </c>
      <c r="J14" s="805" t="s">
        <v>790</v>
      </c>
      <c r="K14" s="805" t="s">
        <v>791</v>
      </c>
      <c r="L14" s="805" t="s">
        <v>658</v>
      </c>
      <c r="M14" t="s">
        <v>658</v>
      </c>
      <c r="N14" t="s">
        <v>658</v>
      </c>
      <c r="O14" t="s">
        <v>658</v>
      </c>
      <c r="P14" t="s">
        <v>658</v>
      </c>
      <c r="Q14" t="s">
        <v>658</v>
      </c>
      <c r="R14" t="s">
        <v>658</v>
      </c>
      <c r="S14" t="s">
        <v>658</v>
      </c>
      <c r="T14" t="s">
        <v>658</v>
      </c>
      <c r="U14" t="s">
        <v>658</v>
      </c>
      <c r="V14" t="s">
        <v>658</v>
      </c>
      <c r="W14" t="s">
        <v>658</v>
      </c>
      <c r="X14" t="s">
        <v>658</v>
      </c>
      <c r="Y14" t="s">
        <v>658</v>
      </c>
      <c r="Z14" t="s">
        <v>658</v>
      </c>
      <c r="AA14" t="s">
        <v>658</v>
      </c>
      <c r="AB14" t="s">
        <v>658</v>
      </c>
      <c r="AC14" t="s">
        <v>658</v>
      </c>
      <c r="AD14" t="s">
        <v>658</v>
      </c>
      <c r="AE14" t="s">
        <v>658</v>
      </c>
      <c r="AF14" t="s">
        <v>658</v>
      </c>
      <c r="AG14" t="s">
        <v>658</v>
      </c>
      <c r="AH14" t="s">
        <v>658</v>
      </c>
      <c r="AI14" t="s">
        <v>658</v>
      </c>
      <c r="AJ14" t="s">
        <v>658</v>
      </c>
      <c r="AK14" t="s">
        <v>658</v>
      </c>
      <c r="AL14" t="s">
        <v>658</v>
      </c>
      <c r="AM14" t="s">
        <v>658</v>
      </c>
      <c r="AN14" t="s">
        <v>658</v>
      </c>
      <c r="AO14" t="s">
        <v>658</v>
      </c>
      <c r="AP14" t="s">
        <v>658</v>
      </c>
      <c r="AQ14" t="s">
        <v>658</v>
      </c>
      <c r="AR14" t="s">
        <v>658</v>
      </c>
      <c r="AS14" t="s">
        <v>658</v>
      </c>
      <c r="AT14" t="s">
        <v>658</v>
      </c>
      <c r="AU14" t="s">
        <v>658</v>
      </c>
      <c r="AV14" t="s">
        <v>658</v>
      </c>
      <c r="AW14" t="s">
        <v>658</v>
      </c>
      <c r="AX14" t="s">
        <v>658</v>
      </c>
      <c r="AY14" t="s">
        <v>658</v>
      </c>
      <c r="AZ14" t="s">
        <v>658</v>
      </c>
      <c r="BA14" t="s">
        <v>658</v>
      </c>
      <c r="BB14" t="s">
        <v>658</v>
      </c>
      <c r="BC14" t="s">
        <v>658</v>
      </c>
      <c r="BD14" t="s">
        <v>658</v>
      </c>
      <c r="BE14" t="s">
        <v>658</v>
      </c>
      <c r="BF14" t="s">
        <v>658</v>
      </c>
      <c r="BG14" t="s">
        <v>658</v>
      </c>
      <c r="BH14" t="s">
        <v>658</v>
      </c>
      <c r="BI14" t="s">
        <v>658</v>
      </c>
      <c r="BJ14" t="s">
        <v>658</v>
      </c>
      <c r="BK14" t="s">
        <v>658</v>
      </c>
      <c r="BL14" t="s">
        <v>658</v>
      </c>
      <c r="BM14" t="s">
        <v>658</v>
      </c>
      <c r="BN14" t="s">
        <v>658</v>
      </c>
      <c r="BO14" t="s">
        <v>658</v>
      </c>
      <c r="BP14" t="s">
        <v>658</v>
      </c>
      <c r="BQ14" t="s">
        <v>658</v>
      </c>
      <c r="BR14" t="s">
        <v>658</v>
      </c>
      <c r="BS14" t="s">
        <v>658</v>
      </c>
      <c r="BT14" t="s">
        <v>658</v>
      </c>
      <c r="BU14" t="s">
        <v>658</v>
      </c>
      <c r="BV14" t="s">
        <v>658</v>
      </c>
      <c r="BW14" t="s">
        <v>658</v>
      </c>
      <c r="BX14" t="s">
        <v>658</v>
      </c>
      <c r="BY14" t="s">
        <v>658</v>
      </c>
      <c r="BZ14" t="s">
        <v>658</v>
      </c>
      <c r="CA14" t="s">
        <v>658</v>
      </c>
      <c r="CB14" t="s">
        <v>658</v>
      </c>
      <c r="CC14" t="s">
        <v>658</v>
      </c>
      <c r="CD14" t="s">
        <v>658</v>
      </c>
    </row>
    <row r="15" spans="2:82">
      <c r="B15" s="805">
        <v>19</v>
      </c>
      <c r="C15" s="805" t="s">
        <v>792</v>
      </c>
      <c r="D15" s="805" t="s">
        <v>793</v>
      </c>
      <c r="E15" s="805" t="s">
        <v>794</v>
      </c>
      <c r="F15" s="805" t="s">
        <v>795</v>
      </c>
      <c r="G15" s="805" t="s">
        <v>796</v>
      </c>
      <c r="H15" s="805" t="s">
        <v>677</v>
      </c>
      <c r="I15" s="805" t="s">
        <v>797</v>
      </c>
      <c r="J15" s="805" t="s">
        <v>798</v>
      </c>
      <c r="K15" s="805" t="s">
        <v>799</v>
      </c>
      <c r="L15" s="805" t="s">
        <v>667</v>
      </c>
      <c r="M15" t="s">
        <v>667</v>
      </c>
      <c r="N15" t="s">
        <v>667</v>
      </c>
      <c r="O15" t="s">
        <v>667</v>
      </c>
      <c r="P15" t="s">
        <v>667</v>
      </c>
      <c r="Q15" t="s">
        <v>667</v>
      </c>
      <c r="R15" t="s">
        <v>667</v>
      </c>
      <c r="S15" t="s">
        <v>667</v>
      </c>
      <c r="T15" t="s">
        <v>667</v>
      </c>
      <c r="U15" t="s">
        <v>667</v>
      </c>
      <c r="V15" t="s">
        <v>667</v>
      </c>
      <c r="W15" t="s">
        <v>667</v>
      </c>
      <c r="X15" t="s">
        <v>667</v>
      </c>
      <c r="Y15" t="s">
        <v>667</v>
      </c>
      <c r="Z15" t="s">
        <v>667</v>
      </c>
      <c r="AA15" t="s">
        <v>667</v>
      </c>
      <c r="AB15" t="s">
        <v>667</v>
      </c>
      <c r="AC15" t="s">
        <v>667</v>
      </c>
      <c r="AD15" t="s">
        <v>667</v>
      </c>
      <c r="AE15" t="s">
        <v>667</v>
      </c>
      <c r="AF15" t="s">
        <v>667</v>
      </c>
      <c r="AG15" t="s">
        <v>667</v>
      </c>
      <c r="AH15" t="s">
        <v>667</v>
      </c>
      <c r="AI15" t="s">
        <v>667</v>
      </c>
      <c r="AJ15" t="s">
        <v>667</v>
      </c>
      <c r="AK15" t="s">
        <v>667</v>
      </c>
      <c r="AL15" t="s">
        <v>667</v>
      </c>
      <c r="AM15" t="s">
        <v>667</v>
      </c>
      <c r="AN15" t="s">
        <v>667</v>
      </c>
      <c r="AO15" t="s">
        <v>667</v>
      </c>
      <c r="AP15" t="s">
        <v>667</v>
      </c>
      <c r="AQ15" t="s">
        <v>667</v>
      </c>
      <c r="AR15" t="s">
        <v>667</v>
      </c>
      <c r="AS15" t="s">
        <v>667</v>
      </c>
      <c r="AT15" t="s">
        <v>667</v>
      </c>
      <c r="AU15" t="s">
        <v>667</v>
      </c>
      <c r="AV15" t="s">
        <v>667</v>
      </c>
      <c r="AW15" t="s">
        <v>667</v>
      </c>
      <c r="AX15" t="s">
        <v>667</v>
      </c>
      <c r="AY15" t="s">
        <v>667</v>
      </c>
      <c r="AZ15" t="s">
        <v>667</v>
      </c>
      <c r="BA15" t="s">
        <v>667</v>
      </c>
      <c r="BB15" t="s">
        <v>667</v>
      </c>
      <c r="BC15" t="s">
        <v>667</v>
      </c>
      <c r="BD15" t="s">
        <v>667</v>
      </c>
      <c r="BE15" t="s">
        <v>667</v>
      </c>
      <c r="BF15" t="s">
        <v>667</v>
      </c>
      <c r="BG15" t="s">
        <v>667</v>
      </c>
      <c r="BH15" t="s">
        <v>667</v>
      </c>
      <c r="BI15" t="s">
        <v>667</v>
      </c>
      <c r="BJ15" t="s">
        <v>667</v>
      </c>
      <c r="BK15" t="s">
        <v>667</v>
      </c>
      <c r="BL15" t="s">
        <v>667</v>
      </c>
      <c r="BM15" t="s">
        <v>667</v>
      </c>
      <c r="BN15" t="s">
        <v>667</v>
      </c>
      <c r="BO15" t="s">
        <v>667</v>
      </c>
      <c r="BP15" t="s">
        <v>667</v>
      </c>
      <c r="BQ15" t="s">
        <v>667</v>
      </c>
      <c r="BR15" t="s">
        <v>667</v>
      </c>
      <c r="BS15" t="s">
        <v>667</v>
      </c>
      <c r="BT15" t="s">
        <v>667</v>
      </c>
      <c r="BU15" t="s">
        <v>667</v>
      </c>
      <c r="BV15" t="s">
        <v>667</v>
      </c>
      <c r="BW15" t="s">
        <v>667</v>
      </c>
      <c r="BX15" t="s">
        <v>667</v>
      </c>
      <c r="BY15" t="s">
        <v>667</v>
      </c>
      <c r="BZ15" t="s">
        <v>667</v>
      </c>
      <c r="CA15" t="s">
        <v>667</v>
      </c>
      <c r="CB15" t="s">
        <v>667</v>
      </c>
      <c r="CC15" t="s">
        <v>667</v>
      </c>
      <c r="CD15" t="s">
        <v>667</v>
      </c>
    </row>
    <row r="16" spans="2:82">
      <c r="B16" s="805">
        <v>18</v>
      </c>
      <c r="C16" s="805" t="s">
        <v>800</v>
      </c>
      <c r="D16" s="805" t="s">
        <v>801</v>
      </c>
      <c r="E16" s="805" t="s">
        <v>802</v>
      </c>
      <c r="F16" s="805" t="s">
        <v>803</v>
      </c>
      <c r="G16" s="805" t="s">
        <v>804</v>
      </c>
      <c r="H16" s="805" t="s">
        <v>805</v>
      </c>
      <c r="I16" s="805" t="s">
        <v>806</v>
      </c>
      <c r="J16" s="805" t="s">
        <v>676</v>
      </c>
      <c r="K16" s="805" t="s">
        <v>807</v>
      </c>
      <c r="L16" s="805" t="s">
        <v>671</v>
      </c>
      <c r="M16" t="s">
        <v>671</v>
      </c>
      <c r="N16" t="s">
        <v>671</v>
      </c>
      <c r="O16" t="s">
        <v>671</v>
      </c>
      <c r="P16" t="s">
        <v>671</v>
      </c>
      <c r="Q16" t="s">
        <v>671</v>
      </c>
      <c r="R16" t="s">
        <v>671</v>
      </c>
      <c r="S16" t="s">
        <v>671</v>
      </c>
      <c r="T16" t="s">
        <v>671</v>
      </c>
      <c r="U16" t="s">
        <v>671</v>
      </c>
      <c r="V16" t="s">
        <v>671</v>
      </c>
      <c r="W16" t="s">
        <v>671</v>
      </c>
      <c r="X16" t="s">
        <v>671</v>
      </c>
      <c r="Y16" t="s">
        <v>671</v>
      </c>
      <c r="Z16" t="s">
        <v>671</v>
      </c>
      <c r="AA16" t="s">
        <v>671</v>
      </c>
      <c r="AB16" t="s">
        <v>671</v>
      </c>
      <c r="AC16" t="s">
        <v>671</v>
      </c>
      <c r="AD16" t="s">
        <v>671</v>
      </c>
      <c r="AE16" t="s">
        <v>671</v>
      </c>
      <c r="AF16" t="s">
        <v>671</v>
      </c>
      <c r="AG16" t="s">
        <v>671</v>
      </c>
      <c r="AH16" t="s">
        <v>671</v>
      </c>
      <c r="AI16" t="s">
        <v>671</v>
      </c>
      <c r="AJ16" t="s">
        <v>671</v>
      </c>
      <c r="AK16" t="s">
        <v>671</v>
      </c>
      <c r="AL16" t="s">
        <v>671</v>
      </c>
      <c r="AM16" t="s">
        <v>671</v>
      </c>
      <c r="AN16" t="s">
        <v>671</v>
      </c>
      <c r="AO16" t="s">
        <v>671</v>
      </c>
      <c r="AP16" t="s">
        <v>671</v>
      </c>
      <c r="AQ16" t="s">
        <v>671</v>
      </c>
      <c r="AR16" t="s">
        <v>671</v>
      </c>
      <c r="AS16" t="s">
        <v>671</v>
      </c>
      <c r="AT16" t="s">
        <v>671</v>
      </c>
      <c r="AU16" t="s">
        <v>671</v>
      </c>
      <c r="AV16" t="s">
        <v>671</v>
      </c>
      <c r="AW16" t="s">
        <v>671</v>
      </c>
      <c r="AX16" t="s">
        <v>671</v>
      </c>
      <c r="AY16" t="s">
        <v>671</v>
      </c>
      <c r="AZ16" t="s">
        <v>671</v>
      </c>
      <c r="BA16" t="s">
        <v>671</v>
      </c>
      <c r="BB16" t="s">
        <v>671</v>
      </c>
      <c r="BC16" t="s">
        <v>671</v>
      </c>
      <c r="BD16" t="s">
        <v>671</v>
      </c>
      <c r="BE16" t="s">
        <v>671</v>
      </c>
      <c r="BF16" t="s">
        <v>671</v>
      </c>
      <c r="BG16" t="s">
        <v>671</v>
      </c>
      <c r="BH16" t="s">
        <v>671</v>
      </c>
      <c r="BI16" t="s">
        <v>671</v>
      </c>
      <c r="BJ16" t="s">
        <v>671</v>
      </c>
      <c r="BK16" t="s">
        <v>671</v>
      </c>
      <c r="BL16" t="s">
        <v>671</v>
      </c>
      <c r="BM16" t="s">
        <v>671</v>
      </c>
      <c r="BN16" t="s">
        <v>671</v>
      </c>
      <c r="BO16" t="s">
        <v>671</v>
      </c>
      <c r="BP16" t="s">
        <v>671</v>
      </c>
      <c r="BQ16" t="s">
        <v>671</v>
      </c>
      <c r="BR16" t="s">
        <v>671</v>
      </c>
      <c r="BS16" t="s">
        <v>671</v>
      </c>
      <c r="BT16" t="s">
        <v>671</v>
      </c>
      <c r="BU16" t="s">
        <v>671</v>
      </c>
      <c r="BV16" t="s">
        <v>671</v>
      </c>
      <c r="BW16" t="s">
        <v>671</v>
      </c>
      <c r="BX16" t="s">
        <v>671</v>
      </c>
      <c r="BY16" t="s">
        <v>671</v>
      </c>
      <c r="BZ16" t="s">
        <v>671</v>
      </c>
      <c r="CA16" t="s">
        <v>671</v>
      </c>
      <c r="CB16" t="s">
        <v>671</v>
      </c>
      <c r="CC16" t="s">
        <v>671</v>
      </c>
      <c r="CD16" t="s">
        <v>671</v>
      </c>
    </row>
    <row r="17" spans="2:82">
      <c r="B17" s="805">
        <v>17</v>
      </c>
      <c r="C17" s="805" t="s">
        <v>726</v>
      </c>
      <c r="D17" s="805" t="s">
        <v>717</v>
      </c>
      <c r="E17" s="805" t="s">
        <v>808</v>
      </c>
      <c r="F17" s="805" t="s">
        <v>701</v>
      </c>
      <c r="G17" s="805" t="s">
        <v>698</v>
      </c>
      <c r="H17" s="805" t="s">
        <v>691</v>
      </c>
      <c r="I17" s="805" t="s">
        <v>702</v>
      </c>
      <c r="J17" s="805" t="s">
        <v>680</v>
      </c>
      <c r="K17" s="805" t="s">
        <v>699</v>
      </c>
      <c r="L17" s="805" t="s">
        <v>673</v>
      </c>
      <c r="M17" t="s">
        <v>673</v>
      </c>
      <c r="N17" t="s">
        <v>673</v>
      </c>
      <c r="O17" t="s">
        <v>673</v>
      </c>
      <c r="P17" t="s">
        <v>673</v>
      </c>
      <c r="Q17" t="s">
        <v>673</v>
      </c>
      <c r="R17" t="s">
        <v>673</v>
      </c>
      <c r="S17" t="s">
        <v>673</v>
      </c>
      <c r="T17" t="s">
        <v>673</v>
      </c>
      <c r="U17" t="s">
        <v>673</v>
      </c>
      <c r="V17" t="s">
        <v>673</v>
      </c>
      <c r="W17" t="s">
        <v>673</v>
      </c>
      <c r="X17" t="s">
        <v>673</v>
      </c>
      <c r="Y17" t="s">
        <v>673</v>
      </c>
      <c r="Z17" t="s">
        <v>673</v>
      </c>
      <c r="AA17" t="s">
        <v>673</v>
      </c>
      <c r="AB17" t="s">
        <v>673</v>
      </c>
      <c r="AC17" t="s">
        <v>673</v>
      </c>
      <c r="AD17" t="s">
        <v>673</v>
      </c>
      <c r="AE17" t="s">
        <v>673</v>
      </c>
      <c r="AF17" t="s">
        <v>673</v>
      </c>
      <c r="AG17" t="s">
        <v>673</v>
      </c>
      <c r="AH17" t="s">
        <v>673</v>
      </c>
      <c r="AI17" t="s">
        <v>673</v>
      </c>
      <c r="AJ17" t="s">
        <v>673</v>
      </c>
      <c r="AK17" t="s">
        <v>673</v>
      </c>
      <c r="AL17" t="s">
        <v>673</v>
      </c>
      <c r="AM17" t="s">
        <v>673</v>
      </c>
      <c r="AN17" t="s">
        <v>673</v>
      </c>
      <c r="AO17" t="s">
        <v>673</v>
      </c>
      <c r="AP17" t="s">
        <v>673</v>
      </c>
      <c r="AQ17" t="s">
        <v>673</v>
      </c>
      <c r="AR17" t="s">
        <v>673</v>
      </c>
      <c r="AS17" t="s">
        <v>673</v>
      </c>
      <c r="AT17" t="s">
        <v>673</v>
      </c>
      <c r="AU17" t="s">
        <v>673</v>
      </c>
      <c r="AV17" t="s">
        <v>673</v>
      </c>
      <c r="AW17" t="s">
        <v>673</v>
      </c>
      <c r="AX17" t="s">
        <v>673</v>
      </c>
      <c r="AY17" t="s">
        <v>673</v>
      </c>
      <c r="AZ17" t="s">
        <v>673</v>
      </c>
      <c r="BA17" t="s">
        <v>673</v>
      </c>
      <c r="BB17" t="s">
        <v>673</v>
      </c>
      <c r="BC17" t="s">
        <v>673</v>
      </c>
      <c r="BD17" t="s">
        <v>673</v>
      </c>
      <c r="BE17" t="s">
        <v>673</v>
      </c>
      <c r="BF17" t="s">
        <v>673</v>
      </c>
      <c r="BG17" t="s">
        <v>673</v>
      </c>
      <c r="BH17" t="s">
        <v>673</v>
      </c>
      <c r="BI17" t="s">
        <v>673</v>
      </c>
      <c r="BJ17" t="s">
        <v>673</v>
      </c>
      <c r="BK17" t="s">
        <v>673</v>
      </c>
      <c r="BL17" t="s">
        <v>673</v>
      </c>
      <c r="BM17" t="s">
        <v>673</v>
      </c>
      <c r="BN17" t="s">
        <v>673</v>
      </c>
      <c r="BO17" t="s">
        <v>673</v>
      </c>
      <c r="BP17" t="s">
        <v>673</v>
      </c>
      <c r="BQ17" t="s">
        <v>673</v>
      </c>
      <c r="BR17" t="s">
        <v>673</v>
      </c>
      <c r="BS17" t="s">
        <v>673</v>
      </c>
      <c r="BT17" t="s">
        <v>673</v>
      </c>
      <c r="BU17" t="s">
        <v>673</v>
      </c>
      <c r="BV17" t="s">
        <v>673</v>
      </c>
      <c r="BW17" t="s">
        <v>673</v>
      </c>
      <c r="BX17" t="s">
        <v>673</v>
      </c>
      <c r="BY17" t="s">
        <v>673</v>
      </c>
      <c r="BZ17" t="s">
        <v>673</v>
      </c>
      <c r="CA17" t="s">
        <v>673</v>
      </c>
      <c r="CB17" t="s">
        <v>673</v>
      </c>
      <c r="CC17" t="s">
        <v>673</v>
      </c>
      <c r="CD17" t="s">
        <v>673</v>
      </c>
    </row>
    <row r="18" spans="2:82">
      <c r="B18" s="805">
        <v>16</v>
      </c>
      <c r="C18" s="805" t="s">
        <v>809</v>
      </c>
      <c r="D18" s="805" t="s">
        <v>810</v>
      </c>
      <c r="E18" s="805" t="s">
        <v>811</v>
      </c>
      <c r="F18" s="805" t="s">
        <v>812</v>
      </c>
      <c r="G18" s="805" t="s">
        <v>813</v>
      </c>
      <c r="H18" s="805" t="s">
        <v>695</v>
      </c>
      <c r="I18" s="805" t="s">
        <v>814</v>
      </c>
      <c r="J18" s="805" t="s">
        <v>685</v>
      </c>
      <c r="K18" s="805" t="s">
        <v>815</v>
      </c>
      <c r="L18" s="805" t="s">
        <v>679</v>
      </c>
      <c r="M18" t="s">
        <v>679</v>
      </c>
      <c r="N18" t="s">
        <v>679</v>
      </c>
      <c r="O18" t="s">
        <v>679</v>
      </c>
      <c r="P18" t="s">
        <v>679</v>
      </c>
      <c r="Q18" t="s">
        <v>679</v>
      </c>
      <c r="R18" t="s">
        <v>679</v>
      </c>
      <c r="S18" t="s">
        <v>679</v>
      </c>
      <c r="T18" t="s">
        <v>679</v>
      </c>
      <c r="U18" t="s">
        <v>679</v>
      </c>
      <c r="V18" t="s">
        <v>679</v>
      </c>
      <c r="W18" t="s">
        <v>679</v>
      </c>
      <c r="X18" t="s">
        <v>679</v>
      </c>
      <c r="Y18" t="s">
        <v>679</v>
      </c>
      <c r="Z18" t="s">
        <v>679</v>
      </c>
      <c r="AA18" t="s">
        <v>679</v>
      </c>
      <c r="AB18" t="s">
        <v>679</v>
      </c>
      <c r="AC18" t="s">
        <v>679</v>
      </c>
      <c r="AD18" t="s">
        <v>679</v>
      </c>
      <c r="AE18" t="s">
        <v>679</v>
      </c>
      <c r="AF18" t="s">
        <v>679</v>
      </c>
      <c r="AG18" t="s">
        <v>679</v>
      </c>
      <c r="AH18" t="s">
        <v>679</v>
      </c>
      <c r="AI18" t="s">
        <v>679</v>
      </c>
      <c r="AJ18" t="s">
        <v>679</v>
      </c>
      <c r="AK18" t="s">
        <v>679</v>
      </c>
      <c r="AL18" t="s">
        <v>679</v>
      </c>
      <c r="AM18" t="s">
        <v>679</v>
      </c>
      <c r="AN18" t="s">
        <v>679</v>
      </c>
      <c r="AO18" t="s">
        <v>679</v>
      </c>
      <c r="AP18" t="s">
        <v>679</v>
      </c>
      <c r="AQ18" t="s">
        <v>679</v>
      </c>
      <c r="AR18" t="s">
        <v>679</v>
      </c>
      <c r="AS18" t="s">
        <v>679</v>
      </c>
      <c r="AT18" t="s">
        <v>679</v>
      </c>
      <c r="AU18" t="s">
        <v>679</v>
      </c>
      <c r="AV18" t="s">
        <v>679</v>
      </c>
      <c r="AW18" t="s">
        <v>679</v>
      </c>
      <c r="AX18" t="s">
        <v>679</v>
      </c>
      <c r="AY18" t="s">
        <v>679</v>
      </c>
      <c r="AZ18" t="s">
        <v>679</v>
      </c>
      <c r="BA18" t="s">
        <v>679</v>
      </c>
      <c r="BB18" t="s">
        <v>679</v>
      </c>
      <c r="BC18" t="s">
        <v>679</v>
      </c>
      <c r="BD18" t="s">
        <v>679</v>
      </c>
      <c r="BE18" t="s">
        <v>679</v>
      </c>
      <c r="BF18" t="s">
        <v>679</v>
      </c>
      <c r="BG18" t="s">
        <v>679</v>
      </c>
      <c r="BH18" t="s">
        <v>679</v>
      </c>
      <c r="BI18" t="s">
        <v>679</v>
      </c>
      <c r="BJ18" t="s">
        <v>679</v>
      </c>
      <c r="BK18" t="s">
        <v>679</v>
      </c>
      <c r="BL18" t="s">
        <v>679</v>
      </c>
      <c r="BM18" t="s">
        <v>679</v>
      </c>
      <c r="BN18" t="s">
        <v>679</v>
      </c>
      <c r="BO18" t="s">
        <v>679</v>
      </c>
      <c r="BP18" t="s">
        <v>679</v>
      </c>
      <c r="BQ18" t="s">
        <v>679</v>
      </c>
      <c r="BR18" t="s">
        <v>679</v>
      </c>
      <c r="BS18" t="s">
        <v>679</v>
      </c>
      <c r="BT18" t="s">
        <v>679</v>
      </c>
      <c r="BU18" t="s">
        <v>679</v>
      </c>
      <c r="BV18" t="s">
        <v>679</v>
      </c>
      <c r="BW18" t="s">
        <v>679</v>
      </c>
      <c r="BX18" t="s">
        <v>679</v>
      </c>
      <c r="BY18" t="s">
        <v>679</v>
      </c>
      <c r="BZ18" t="s">
        <v>679</v>
      </c>
      <c r="CA18" t="s">
        <v>679</v>
      </c>
      <c r="CB18" t="s">
        <v>679</v>
      </c>
      <c r="CC18" t="s">
        <v>679</v>
      </c>
      <c r="CD18" t="s">
        <v>679</v>
      </c>
    </row>
    <row r="19" spans="2:82">
      <c r="B19" s="805">
        <v>15</v>
      </c>
      <c r="C19" s="805" t="s">
        <v>816</v>
      </c>
      <c r="D19" s="805" t="s">
        <v>817</v>
      </c>
      <c r="E19" s="805" t="s">
        <v>818</v>
      </c>
      <c r="F19" s="805" t="s">
        <v>715</v>
      </c>
      <c r="G19" s="805" t="s">
        <v>819</v>
      </c>
      <c r="H19" s="805" t="s">
        <v>820</v>
      </c>
      <c r="I19" s="805" t="s">
        <v>821</v>
      </c>
      <c r="J19" s="805" t="s">
        <v>822</v>
      </c>
      <c r="K19" s="805" t="s">
        <v>823</v>
      </c>
      <c r="L19" s="805" t="s">
        <v>683</v>
      </c>
      <c r="M19" t="s">
        <v>683</v>
      </c>
      <c r="N19" t="s">
        <v>683</v>
      </c>
      <c r="O19" t="s">
        <v>683</v>
      </c>
      <c r="P19" t="s">
        <v>683</v>
      </c>
      <c r="Q19" t="s">
        <v>683</v>
      </c>
      <c r="R19" t="s">
        <v>683</v>
      </c>
      <c r="S19" t="s">
        <v>683</v>
      </c>
      <c r="T19" t="s">
        <v>683</v>
      </c>
      <c r="U19" t="s">
        <v>683</v>
      </c>
      <c r="V19" t="s">
        <v>683</v>
      </c>
      <c r="W19" t="s">
        <v>683</v>
      </c>
      <c r="X19" t="s">
        <v>683</v>
      </c>
      <c r="Y19" t="s">
        <v>683</v>
      </c>
      <c r="Z19" t="s">
        <v>683</v>
      </c>
      <c r="AA19" t="s">
        <v>683</v>
      </c>
      <c r="AB19" t="s">
        <v>683</v>
      </c>
      <c r="AC19" t="s">
        <v>683</v>
      </c>
      <c r="AD19" t="s">
        <v>683</v>
      </c>
      <c r="AE19" t="s">
        <v>683</v>
      </c>
      <c r="AF19" t="s">
        <v>683</v>
      </c>
      <c r="AG19" t="s">
        <v>683</v>
      </c>
      <c r="AH19" t="s">
        <v>683</v>
      </c>
      <c r="AI19" t="s">
        <v>683</v>
      </c>
      <c r="AJ19" t="s">
        <v>683</v>
      </c>
      <c r="AK19" t="s">
        <v>683</v>
      </c>
      <c r="AL19" t="s">
        <v>683</v>
      </c>
      <c r="AM19" t="s">
        <v>683</v>
      </c>
      <c r="AN19" t="s">
        <v>683</v>
      </c>
      <c r="AO19" t="s">
        <v>683</v>
      </c>
      <c r="AP19" t="s">
        <v>683</v>
      </c>
      <c r="AQ19" t="s">
        <v>683</v>
      </c>
      <c r="AR19" t="s">
        <v>683</v>
      </c>
      <c r="AS19" t="s">
        <v>683</v>
      </c>
      <c r="AT19" t="s">
        <v>683</v>
      </c>
      <c r="AU19" t="s">
        <v>683</v>
      </c>
      <c r="AV19" t="s">
        <v>683</v>
      </c>
      <c r="AW19" t="s">
        <v>683</v>
      </c>
      <c r="AX19" t="s">
        <v>683</v>
      </c>
      <c r="AY19" t="s">
        <v>683</v>
      </c>
      <c r="AZ19" t="s">
        <v>683</v>
      </c>
      <c r="BA19" t="s">
        <v>683</v>
      </c>
      <c r="BB19" t="s">
        <v>683</v>
      </c>
      <c r="BC19" t="s">
        <v>683</v>
      </c>
      <c r="BD19" t="s">
        <v>683</v>
      </c>
      <c r="BE19" t="s">
        <v>683</v>
      </c>
      <c r="BF19" t="s">
        <v>683</v>
      </c>
      <c r="BG19" t="s">
        <v>683</v>
      </c>
      <c r="BH19" t="s">
        <v>683</v>
      </c>
      <c r="BI19" t="s">
        <v>683</v>
      </c>
      <c r="BJ19" t="s">
        <v>683</v>
      </c>
      <c r="BK19" t="s">
        <v>683</v>
      </c>
      <c r="BL19" t="s">
        <v>683</v>
      </c>
      <c r="BM19" t="s">
        <v>683</v>
      </c>
      <c r="BN19" t="s">
        <v>683</v>
      </c>
      <c r="BO19" t="s">
        <v>683</v>
      </c>
      <c r="BP19" t="s">
        <v>683</v>
      </c>
      <c r="BQ19" t="s">
        <v>683</v>
      </c>
      <c r="BR19" t="s">
        <v>683</v>
      </c>
      <c r="BS19" t="s">
        <v>683</v>
      </c>
      <c r="BT19" t="s">
        <v>683</v>
      </c>
      <c r="BU19" t="s">
        <v>683</v>
      </c>
      <c r="BV19" t="s">
        <v>683</v>
      </c>
      <c r="BW19" t="s">
        <v>683</v>
      </c>
      <c r="BX19" t="s">
        <v>683</v>
      </c>
      <c r="BY19" t="s">
        <v>683</v>
      </c>
      <c r="BZ19" t="s">
        <v>683</v>
      </c>
      <c r="CA19" t="s">
        <v>683</v>
      </c>
      <c r="CB19" t="s">
        <v>683</v>
      </c>
      <c r="CC19" t="s">
        <v>683</v>
      </c>
      <c r="CD19" t="s">
        <v>683</v>
      </c>
    </row>
    <row r="20" spans="2:82">
      <c r="B20" s="805">
        <v>14</v>
      </c>
      <c r="C20" s="805" t="s">
        <v>824</v>
      </c>
      <c r="D20" s="805" t="s">
        <v>749</v>
      </c>
      <c r="E20" s="805" t="s">
        <v>727</v>
      </c>
      <c r="F20" s="805" t="s">
        <v>825</v>
      </c>
      <c r="G20" s="805" t="s">
        <v>718</v>
      </c>
      <c r="H20" s="805" t="s">
        <v>826</v>
      </c>
      <c r="I20" s="805" t="s">
        <v>827</v>
      </c>
      <c r="J20" s="805" t="s">
        <v>828</v>
      </c>
      <c r="K20" s="805" t="s">
        <v>829</v>
      </c>
      <c r="L20" s="805" t="s">
        <v>690</v>
      </c>
      <c r="M20" t="s">
        <v>690</v>
      </c>
      <c r="N20" t="s">
        <v>690</v>
      </c>
      <c r="O20" t="s">
        <v>690</v>
      </c>
      <c r="P20" t="s">
        <v>690</v>
      </c>
      <c r="Q20" t="s">
        <v>690</v>
      </c>
      <c r="R20" t="s">
        <v>690</v>
      </c>
      <c r="S20" t="s">
        <v>690</v>
      </c>
      <c r="T20" t="s">
        <v>690</v>
      </c>
      <c r="U20" t="s">
        <v>690</v>
      </c>
      <c r="V20" t="s">
        <v>690</v>
      </c>
      <c r="W20" t="s">
        <v>690</v>
      </c>
      <c r="X20" t="s">
        <v>690</v>
      </c>
      <c r="Y20" t="s">
        <v>690</v>
      </c>
      <c r="Z20" t="s">
        <v>690</v>
      </c>
      <c r="AA20" t="s">
        <v>690</v>
      </c>
      <c r="AB20" t="s">
        <v>690</v>
      </c>
      <c r="AC20" t="s">
        <v>690</v>
      </c>
      <c r="AD20" t="s">
        <v>690</v>
      </c>
      <c r="AE20" t="s">
        <v>690</v>
      </c>
      <c r="AF20" t="s">
        <v>690</v>
      </c>
      <c r="AG20" t="s">
        <v>690</v>
      </c>
      <c r="AH20" t="s">
        <v>690</v>
      </c>
      <c r="AI20" t="s">
        <v>690</v>
      </c>
      <c r="AJ20" t="s">
        <v>690</v>
      </c>
      <c r="AK20" t="s">
        <v>690</v>
      </c>
      <c r="AL20" t="s">
        <v>690</v>
      </c>
      <c r="AM20" t="s">
        <v>690</v>
      </c>
      <c r="AN20" t="s">
        <v>690</v>
      </c>
      <c r="AO20" t="s">
        <v>690</v>
      </c>
      <c r="AP20" t="s">
        <v>690</v>
      </c>
      <c r="AQ20" t="s">
        <v>690</v>
      </c>
      <c r="AR20" t="s">
        <v>690</v>
      </c>
      <c r="AS20" t="s">
        <v>690</v>
      </c>
      <c r="AT20" t="s">
        <v>690</v>
      </c>
      <c r="AU20" t="s">
        <v>690</v>
      </c>
      <c r="AV20" t="s">
        <v>690</v>
      </c>
      <c r="AW20" t="s">
        <v>690</v>
      </c>
      <c r="AX20" t="s">
        <v>690</v>
      </c>
      <c r="AY20" t="s">
        <v>690</v>
      </c>
      <c r="AZ20" t="s">
        <v>690</v>
      </c>
      <c r="BA20" t="s">
        <v>690</v>
      </c>
      <c r="BB20" t="s">
        <v>690</v>
      </c>
      <c r="BC20" t="s">
        <v>690</v>
      </c>
      <c r="BD20" t="s">
        <v>690</v>
      </c>
      <c r="BE20" t="s">
        <v>690</v>
      </c>
      <c r="BF20" t="s">
        <v>690</v>
      </c>
      <c r="BG20" t="s">
        <v>690</v>
      </c>
      <c r="BH20" t="s">
        <v>690</v>
      </c>
      <c r="BI20" t="s">
        <v>690</v>
      </c>
      <c r="BJ20" t="s">
        <v>690</v>
      </c>
      <c r="BK20" t="s">
        <v>690</v>
      </c>
      <c r="BL20" t="s">
        <v>690</v>
      </c>
      <c r="BM20" t="s">
        <v>690</v>
      </c>
      <c r="BN20" t="s">
        <v>690</v>
      </c>
      <c r="BO20" t="s">
        <v>690</v>
      </c>
      <c r="BP20" t="s">
        <v>690</v>
      </c>
      <c r="BQ20" t="s">
        <v>690</v>
      </c>
      <c r="BR20" t="s">
        <v>690</v>
      </c>
      <c r="BS20" t="s">
        <v>690</v>
      </c>
      <c r="BT20" t="s">
        <v>690</v>
      </c>
      <c r="BU20" t="s">
        <v>690</v>
      </c>
      <c r="BV20" t="s">
        <v>690</v>
      </c>
      <c r="BW20" t="s">
        <v>690</v>
      </c>
      <c r="BX20" t="s">
        <v>690</v>
      </c>
      <c r="BY20" t="s">
        <v>690</v>
      </c>
      <c r="BZ20" t="s">
        <v>690</v>
      </c>
      <c r="CA20" t="s">
        <v>690</v>
      </c>
      <c r="CB20" t="s">
        <v>690</v>
      </c>
      <c r="CC20" t="s">
        <v>690</v>
      </c>
      <c r="CD20" t="s">
        <v>690</v>
      </c>
    </row>
    <row r="21" spans="2:82">
      <c r="B21" s="805">
        <v>13</v>
      </c>
      <c r="C21" s="805" t="s">
        <v>830</v>
      </c>
      <c r="D21" s="805" t="s">
        <v>736</v>
      </c>
      <c r="E21" s="805" t="s">
        <v>831</v>
      </c>
      <c r="F21" s="805" t="s">
        <v>832</v>
      </c>
      <c r="G21" s="805" t="s">
        <v>721</v>
      </c>
      <c r="H21" s="805" t="s">
        <v>833</v>
      </c>
      <c r="I21" s="805" t="s">
        <v>834</v>
      </c>
      <c r="J21" s="805" t="s">
        <v>835</v>
      </c>
      <c r="K21" s="805" t="s">
        <v>828</v>
      </c>
      <c r="L21" s="805" t="s">
        <v>694</v>
      </c>
      <c r="M21" t="s">
        <v>694</v>
      </c>
      <c r="N21" t="s">
        <v>694</v>
      </c>
      <c r="O21" t="s">
        <v>694</v>
      </c>
      <c r="P21" t="s">
        <v>694</v>
      </c>
      <c r="Q21" t="s">
        <v>694</v>
      </c>
      <c r="R21" t="s">
        <v>694</v>
      </c>
      <c r="S21" t="s">
        <v>694</v>
      </c>
      <c r="T21" t="s">
        <v>694</v>
      </c>
      <c r="U21" t="s">
        <v>694</v>
      </c>
      <c r="V21" t="s">
        <v>694</v>
      </c>
      <c r="W21" t="s">
        <v>694</v>
      </c>
      <c r="X21" t="s">
        <v>694</v>
      </c>
      <c r="Y21" t="s">
        <v>694</v>
      </c>
      <c r="Z21" t="s">
        <v>694</v>
      </c>
      <c r="AA21" t="s">
        <v>694</v>
      </c>
      <c r="AB21" t="s">
        <v>694</v>
      </c>
      <c r="AC21" t="s">
        <v>694</v>
      </c>
      <c r="AD21" t="s">
        <v>694</v>
      </c>
      <c r="AE21" t="s">
        <v>694</v>
      </c>
      <c r="AF21" t="s">
        <v>694</v>
      </c>
      <c r="AG21" t="s">
        <v>694</v>
      </c>
      <c r="AH21" t="s">
        <v>694</v>
      </c>
      <c r="AI21" t="s">
        <v>694</v>
      </c>
      <c r="AJ21" t="s">
        <v>694</v>
      </c>
      <c r="AK21" t="s">
        <v>694</v>
      </c>
      <c r="AL21" t="s">
        <v>694</v>
      </c>
      <c r="AM21" t="s">
        <v>694</v>
      </c>
      <c r="AN21" t="s">
        <v>694</v>
      </c>
      <c r="AO21" t="s">
        <v>694</v>
      </c>
      <c r="AP21" t="s">
        <v>694</v>
      </c>
      <c r="AQ21" t="s">
        <v>694</v>
      </c>
      <c r="AR21" t="s">
        <v>694</v>
      </c>
      <c r="AS21" t="s">
        <v>694</v>
      </c>
      <c r="AT21" t="s">
        <v>694</v>
      </c>
      <c r="AU21" t="s">
        <v>694</v>
      </c>
      <c r="AV21" t="s">
        <v>694</v>
      </c>
      <c r="AW21" t="s">
        <v>694</v>
      </c>
      <c r="AX21" t="s">
        <v>694</v>
      </c>
      <c r="AY21" t="s">
        <v>694</v>
      </c>
      <c r="AZ21" t="s">
        <v>694</v>
      </c>
      <c r="BA21" t="s">
        <v>694</v>
      </c>
      <c r="BB21" t="s">
        <v>694</v>
      </c>
      <c r="BC21" t="s">
        <v>694</v>
      </c>
      <c r="BD21" t="s">
        <v>694</v>
      </c>
      <c r="BE21" t="s">
        <v>694</v>
      </c>
      <c r="BF21" t="s">
        <v>694</v>
      </c>
      <c r="BG21" t="s">
        <v>694</v>
      </c>
      <c r="BH21" t="s">
        <v>694</v>
      </c>
      <c r="BI21" t="s">
        <v>694</v>
      </c>
      <c r="BJ21" t="s">
        <v>694</v>
      </c>
      <c r="BK21" t="s">
        <v>694</v>
      </c>
      <c r="BL21" t="s">
        <v>694</v>
      </c>
      <c r="BM21" t="s">
        <v>694</v>
      </c>
      <c r="BN21" t="s">
        <v>694</v>
      </c>
      <c r="BO21" t="s">
        <v>694</v>
      </c>
      <c r="BP21" t="s">
        <v>694</v>
      </c>
      <c r="BQ21" t="s">
        <v>694</v>
      </c>
      <c r="BR21" t="s">
        <v>694</v>
      </c>
      <c r="BS21" t="s">
        <v>694</v>
      </c>
      <c r="BT21" t="s">
        <v>694</v>
      </c>
      <c r="BU21" t="s">
        <v>694</v>
      </c>
      <c r="BV21" t="s">
        <v>694</v>
      </c>
      <c r="BW21" t="s">
        <v>694</v>
      </c>
      <c r="BX21" t="s">
        <v>694</v>
      </c>
      <c r="BY21" t="s">
        <v>694</v>
      </c>
      <c r="BZ21" t="s">
        <v>694</v>
      </c>
      <c r="CA21" t="s">
        <v>694</v>
      </c>
      <c r="CB21" t="s">
        <v>694</v>
      </c>
      <c r="CC21" t="s">
        <v>694</v>
      </c>
      <c r="CD21" t="s">
        <v>694</v>
      </c>
    </row>
    <row r="22" spans="2:82">
      <c r="B22" s="805">
        <v>12</v>
      </c>
      <c r="C22" s="805" t="s">
        <v>836</v>
      </c>
      <c r="D22" s="805" t="s">
        <v>837</v>
      </c>
      <c r="E22" s="805" t="s">
        <v>838</v>
      </c>
      <c r="F22" s="805" t="s">
        <v>839</v>
      </c>
      <c r="G22" s="805" t="s">
        <v>724</v>
      </c>
      <c r="H22" s="805" t="s">
        <v>840</v>
      </c>
      <c r="I22" s="805" t="s">
        <v>841</v>
      </c>
      <c r="J22" s="805" t="s">
        <v>842</v>
      </c>
      <c r="K22" s="805" t="s">
        <v>827</v>
      </c>
      <c r="L22" s="805" t="s">
        <v>698</v>
      </c>
      <c r="M22" t="s">
        <v>698</v>
      </c>
      <c r="N22" t="s">
        <v>698</v>
      </c>
      <c r="O22" t="s">
        <v>698</v>
      </c>
      <c r="P22" t="s">
        <v>698</v>
      </c>
      <c r="Q22" t="s">
        <v>698</v>
      </c>
      <c r="R22" t="s">
        <v>698</v>
      </c>
      <c r="S22" t="s">
        <v>698</v>
      </c>
      <c r="T22" t="s">
        <v>698</v>
      </c>
      <c r="U22" t="s">
        <v>698</v>
      </c>
      <c r="V22" t="s">
        <v>698</v>
      </c>
      <c r="W22" t="s">
        <v>698</v>
      </c>
      <c r="X22" t="s">
        <v>698</v>
      </c>
      <c r="Y22" t="s">
        <v>698</v>
      </c>
      <c r="Z22" t="s">
        <v>698</v>
      </c>
      <c r="AA22" t="s">
        <v>698</v>
      </c>
      <c r="AB22" t="s">
        <v>698</v>
      </c>
      <c r="AC22" t="s">
        <v>698</v>
      </c>
      <c r="AD22" t="s">
        <v>698</v>
      </c>
      <c r="AE22" t="s">
        <v>698</v>
      </c>
      <c r="AF22" t="s">
        <v>698</v>
      </c>
      <c r="AG22" t="s">
        <v>698</v>
      </c>
      <c r="AH22" t="s">
        <v>698</v>
      </c>
      <c r="AI22" t="s">
        <v>698</v>
      </c>
      <c r="AJ22" t="s">
        <v>698</v>
      </c>
      <c r="AK22" t="s">
        <v>698</v>
      </c>
      <c r="AL22" t="s">
        <v>698</v>
      </c>
      <c r="AM22" t="s">
        <v>698</v>
      </c>
      <c r="AN22" t="s">
        <v>698</v>
      </c>
      <c r="AO22" t="s">
        <v>698</v>
      </c>
      <c r="AP22" t="s">
        <v>698</v>
      </c>
      <c r="AQ22" t="s">
        <v>698</v>
      </c>
      <c r="AR22" t="s">
        <v>698</v>
      </c>
      <c r="AS22" t="s">
        <v>698</v>
      </c>
      <c r="AT22" t="s">
        <v>698</v>
      </c>
      <c r="AU22" t="s">
        <v>698</v>
      </c>
      <c r="AV22" t="s">
        <v>698</v>
      </c>
      <c r="AW22" t="s">
        <v>698</v>
      </c>
      <c r="AX22" t="s">
        <v>698</v>
      </c>
      <c r="AY22" t="s">
        <v>698</v>
      </c>
      <c r="AZ22" t="s">
        <v>698</v>
      </c>
      <c r="BA22" t="s">
        <v>698</v>
      </c>
      <c r="BB22" t="s">
        <v>698</v>
      </c>
      <c r="BC22" t="s">
        <v>698</v>
      </c>
      <c r="BD22" t="s">
        <v>698</v>
      </c>
      <c r="BE22" t="s">
        <v>698</v>
      </c>
      <c r="BF22" t="s">
        <v>698</v>
      </c>
      <c r="BG22" t="s">
        <v>698</v>
      </c>
      <c r="BH22" t="s">
        <v>698</v>
      </c>
      <c r="BI22" t="s">
        <v>698</v>
      </c>
      <c r="BJ22" t="s">
        <v>698</v>
      </c>
      <c r="BK22" t="s">
        <v>698</v>
      </c>
      <c r="BL22" t="s">
        <v>698</v>
      </c>
      <c r="BM22" t="s">
        <v>698</v>
      </c>
      <c r="BN22" t="s">
        <v>698</v>
      </c>
      <c r="BO22" t="s">
        <v>698</v>
      </c>
      <c r="BP22" t="s">
        <v>698</v>
      </c>
      <c r="BQ22" t="s">
        <v>698</v>
      </c>
      <c r="BR22" t="s">
        <v>698</v>
      </c>
      <c r="BS22" t="s">
        <v>698</v>
      </c>
      <c r="BT22" t="s">
        <v>698</v>
      </c>
      <c r="BU22" t="s">
        <v>698</v>
      </c>
      <c r="BV22" t="s">
        <v>698</v>
      </c>
      <c r="BW22" t="s">
        <v>698</v>
      </c>
      <c r="BX22" t="s">
        <v>698</v>
      </c>
      <c r="BY22" t="s">
        <v>698</v>
      </c>
      <c r="BZ22" t="s">
        <v>698</v>
      </c>
      <c r="CA22" t="s">
        <v>698</v>
      </c>
      <c r="CB22" t="s">
        <v>698</v>
      </c>
      <c r="CC22" t="s">
        <v>698</v>
      </c>
      <c r="CD22" t="s">
        <v>698</v>
      </c>
    </row>
    <row r="23" spans="2:82">
      <c r="B23" s="805">
        <v>11</v>
      </c>
      <c r="C23" s="805" t="s">
        <v>843</v>
      </c>
      <c r="D23" s="805" t="s">
        <v>844</v>
      </c>
      <c r="E23" s="805" t="s">
        <v>845</v>
      </c>
      <c r="F23" s="805" t="s">
        <v>846</v>
      </c>
      <c r="G23" s="805" t="s">
        <v>847</v>
      </c>
      <c r="H23" s="805" t="s">
        <v>848</v>
      </c>
      <c r="I23" s="805" t="s">
        <v>849</v>
      </c>
      <c r="J23" s="805" t="s">
        <v>850</v>
      </c>
      <c r="K23" s="805" t="s">
        <v>834</v>
      </c>
      <c r="L23" s="805" t="s">
        <v>704</v>
      </c>
      <c r="M23" t="s">
        <v>704</v>
      </c>
      <c r="N23" t="s">
        <v>704</v>
      </c>
      <c r="O23" t="s">
        <v>704</v>
      </c>
      <c r="P23" t="s">
        <v>704</v>
      </c>
      <c r="Q23" t="s">
        <v>704</v>
      </c>
      <c r="R23" t="s">
        <v>704</v>
      </c>
      <c r="S23" t="s">
        <v>704</v>
      </c>
      <c r="T23" t="s">
        <v>704</v>
      </c>
      <c r="U23" t="s">
        <v>704</v>
      </c>
      <c r="V23" t="s">
        <v>704</v>
      </c>
      <c r="W23" t="s">
        <v>704</v>
      </c>
      <c r="X23" t="s">
        <v>704</v>
      </c>
      <c r="Y23" t="s">
        <v>704</v>
      </c>
      <c r="Z23" t="s">
        <v>704</v>
      </c>
      <c r="AA23" t="s">
        <v>704</v>
      </c>
      <c r="AB23" t="s">
        <v>704</v>
      </c>
      <c r="AC23" t="s">
        <v>704</v>
      </c>
      <c r="AD23" t="s">
        <v>704</v>
      </c>
      <c r="AE23" t="s">
        <v>704</v>
      </c>
      <c r="AF23" t="s">
        <v>704</v>
      </c>
      <c r="AG23" t="s">
        <v>704</v>
      </c>
      <c r="AH23" t="s">
        <v>704</v>
      </c>
      <c r="AI23" t="s">
        <v>704</v>
      </c>
      <c r="AJ23" t="s">
        <v>704</v>
      </c>
      <c r="AK23" t="s">
        <v>704</v>
      </c>
      <c r="AL23" t="s">
        <v>704</v>
      </c>
      <c r="AM23" t="s">
        <v>704</v>
      </c>
      <c r="AN23" t="s">
        <v>704</v>
      </c>
      <c r="AO23" t="s">
        <v>704</v>
      </c>
      <c r="AP23" t="s">
        <v>704</v>
      </c>
      <c r="AQ23" t="s">
        <v>704</v>
      </c>
      <c r="AR23" t="s">
        <v>704</v>
      </c>
      <c r="AS23" t="s">
        <v>704</v>
      </c>
      <c r="AT23" t="s">
        <v>704</v>
      </c>
      <c r="AU23" t="s">
        <v>704</v>
      </c>
      <c r="AV23" t="s">
        <v>704</v>
      </c>
      <c r="AW23" t="s">
        <v>704</v>
      </c>
      <c r="AX23" t="s">
        <v>704</v>
      </c>
      <c r="AY23" t="s">
        <v>704</v>
      </c>
      <c r="AZ23" t="s">
        <v>704</v>
      </c>
      <c r="BA23" t="s">
        <v>704</v>
      </c>
      <c r="BB23" t="s">
        <v>704</v>
      </c>
      <c r="BC23" t="s">
        <v>704</v>
      </c>
      <c r="BD23" t="s">
        <v>704</v>
      </c>
      <c r="BE23" t="s">
        <v>704</v>
      </c>
      <c r="BF23" t="s">
        <v>704</v>
      </c>
      <c r="BG23" t="s">
        <v>704</v>
      </c>
      <c r="BH23" t="s">
        <v>704</v>
      </c>
      <c r="BI23" t="s">
        <v>704</v>
      </c>
      <c r="BJ23" t="s">
        <v>704</v>
      </c>
      <c r="BK23" t="s">
        <v>704</v>
      </c>
      <c r="BL23" t="s">
        <v>704</v>
      </c>
      <c r="BM23" t="s">
        <v>704</v>
      </c>
      <c r="BN23" t="s">
        <v>704</v>
      </c>
      <c r="BO23" t="s">
        <v>704</v>
      </c>
      <c r="BP23" t="s">
        <v>704</v>
      </c>
      <c r="BQ23" t="s">
        <v>704</v>
      </c>
      <c r="BR23" t="s">
        <v>704</v>
      </c>
      <c r="BS23" t="s">
        <v>704</v>
      </c>
      <c r="BT23" t="s">
        <v>704</v>
      </c>
      <c r="BU23" t="s">
        <v>704</v>
      </c>
      <c r="BV23" t="s">
        <v>704</v>
      </c>
      <c r="BW23" t="s">
        <v>704</v>
      </c>
      <c r="BX23" t="s">
        <v>704</v>
      </c>
      <c r="BY23" t="s">
        <v>704</v>
      </c>
      <c r="BZ23" t="s">
        <v>704</v>
      </c>
      <c r="CA23" t="s">
        <v>704</v>
      </c>
      <c r="CB23" t="s">
        <v>704</v>
      </c>
      <c r="CC23" t="s">
        <v>704</v>
      </c>
      <c r="CD23" t="s">
        <v>704</v>
      </c>
    </row>
    <row r="24" spans="2:82">
      <c r="B24" s="805">
        <v>10</v>
      </c>
      <c r="C24" s="805" t="s">
        <v>851</v>
      </c>
      <c r="D24" s="805" t="s">
        <v>852</v>
      </c>
      <c r="E24" s="805" t="s">
        <v>853</v>
      </c>
      <c r="F24" s="805" t="s">
        <v>854</v>
      </c>
      <c r="G24" s="805" t="s">
        <v>729</v>
      </c>
      <c r="H24" s="805" t="s">
        <v>855</v>
      </c>
      <c r="I24" s="805" t="s">
        <v>825</v>
      </c>
      <c r="J24" s="805" t="s">
        <v>856</v>
      </c>
      <c r="K24" s="805" t="s">
        <v>857</v>
      </c>
      <c r="L24" s="805" t="s">
        <v>708</v>
      </c>
      <c r="M24" t="s">
        <v>708</v>
      </c>
      <c r="N24" t="s">
        <v>708</v>
      </c>
      <c r="O24" t="s">
        <v>708</v>
      </c>
      <c r="P24" t="s">
        <v>708</v>
      </c>
      <c r="Q24" t="s">
        <v>708</v>
      </c>
      <c r="R24" t="s">
        <v>708</v>
      </c>
      <c r="S24" t="s">
        <v>708</v>
      </c>
      <c r="T24" t="s">
        <v>708</v>
      </c>
      <c r="U24" t="s">
        <v>708</v>
      </c>
      <c r="V24" t="s">
        <v>708</v>
      </c>
      <c r="W24" t="s">
        <v>708</v>
      </c>
      <c r="X24" t="s">
        <v>708</v>
      </c>
      <c r="Y24" t="s">
        <v>708</v>
      </c>
      <c r="Z24" t="s">
        <v>708</v>
      </c>
      <c r="AA24" t="s">
        <v>708</v>
      </c>
      <c r="AB24" t="s">
        <v>708</v>
      </c>
      <c r="AC24" t="s">
        <v>708</v>
      </c>
      <c r="AD24" t="s">
        <v>708</v>
      </c>
      <c r="AE24" t="s">
        <v>708</v>
      </c>
      <c r="AF24" t="s">
        <v>708</v>
      </c>
      <c r="AG24" t="s">
        <v>708</v>
      </c>
      <c r="AH24" t="s">
        <v>708</v>
      </c>
      <c r="AI24" t="s">
        <v>708</v>
      </c>
      <c r="AJ24" t="s">
        <v>708</v>
      </c>
      <c r="AK24" t="s">
        <v>708</v>
      </c>
      <c r="AL24" t="s">
        <v>708</v>
      </c>
      <c r="AM24" t="s">
        <v>708</v>
      </c>
      <c r="AN24" t="s">
        <v>708</v>
      </c>
      <c r="AO24" t="s">
        <v>708</v>
      </c>
      <c r="AP24" t="s">
        <v>708</v>
      </c>
      <c r="AQ24" t="s">
        <v>708</v>
      </c>
      <c r="AR24" t="s">
        <v>708</v>
      </c>
      <c r="AS24" t="s">
        <v>708</v>
      </c>
      <c r="AT24" t="s">
        <v>708</v>
      </c>
      <c r="AU24" t="s">
        <v>708</v>
      </c>
      <c r="AV24" t="s">
        <v>708</v>
      </c>
      <c r="AW24" t="s">
        <v>708</v>
      </c>
      <c r="AX24" t="s">
        <v>708</v>
      </c>
      <c r="AY24" t="s">
        <v>708</v>
      </c>
      <c r="AZ24" t="s">
        <v>708</v>
      </c>
      <c r="BA24" t="s">
        <v>708</v>
      </c>
      <c r="BB24" t="s">
        <v>708</v>
      </c>
      <c r="BC24" t="s">
        <v>708</v>
      </c>
      <c r="BD24" t="s">
        <v>708</v>
      </c>
      <c r="BE24" t="s">
        <v>708</v>
      </c>
      <c r="BF24" t="s">
        <v>708</v>
      </c>
      <c r="BG24" t="s">
        <v>708</v>
      </c>
      <c r="BH24" t="s">
        <v>708</v>
      </c>
      <c r="BI24" t="s">
        <v>708</v>
      </c>
      <c r="BJ24" t="s">
        <v>708</v>
      </c>
      <c r="BK24" t="s">
        <v>708</v>
      </c>
      <c r="BL24" t="s">
        <v>708</v>
      </c>
      <c r="BM24" t="s">
        <v>708</v>
      </c>
      <c r="BN24" t="s">
        <v>708</v>
      </c>
      <c r="BO24" t="s">
        <v>708</v>
      </c>
      <c r="BP24" t="s">
        <v>708</v>
      </c>
      <c r="BQ24" t="s">
        <v>708</v>
      </c>
      <c r="BR24" t="s">
        <v>708</v>
      </c>
      <c r="BS24" t="s">
        <v>708</v>
      </c>
      <c r="BT24" t="s">
        <v>708</v>
      </c>
      <c r="BU24" t="s">
        <v>708</v>
      </c>
      <c r="BV24" t="s">
        <v>708</v>
      </c>
      <c r="BW24" t="s">
        <v>708</v>
      </c>
      <c r="BX24" t="s">
        <v>708</v>
      </c>
      <c r="BY24" t="s">
        <v>708</v>
      </c>
      <c r="BZ24" t="s">
        <v>708</v>
      </c>
      <c r="CA24" t="s">
        <v>708</v>
      </c>
      <c r="CB24" t="s">
        <v>708</v>
      </c>
      <c r="CC24" t="s">
        <v>708</v>
      </c>
      <c r="CD24" t="s">
        <v>708</v>
      </c>
    </row>
    <row r="25" spans="2:82">
      <c r="B25" s="805">
        <v>9</v>
      </c>
      <c r="C25" s="805" t="s">
        <v>858</v>
      </c>
      <c r="D25" s="805" t="s">
        <v>859</v>
      </c>
      <c r="E25" s="805" t="s">
        <v>860</v>
      </c>
      <c r="F25" s="805" t="s">
        <v>861</v>
      </c>
      <c r="G25" s="805" t="s">
        <v>862</v>
      </c>
      <c r="H25" s="805" t="s">
        <v>745</v>
      </c>
      <c r="I25" s="805" t="s">
        <v>863</v>
      </c>
      <c r="J25" s="805" t="s">
        <v>717</v>
      </c>
      <c r="K25" s="805" t="s">
        <v>864</v>
      </c>
      <c r="L25" s="805" t="s">
        <v>712</v>
      </c>
      <c r="M25" t="s">
        <v>712</v>
      </c>
      <c r="N25" t="s">
        <v>712</v>
      </c>
      <c r="O25" t="s">
        <v>712</v>
      </c>
      <c r="P25" t="s">
        <v>712</v>
      </c>
      <c r="Q25" t="s">
        <v>712</v>
      </c>
      <c r="R25" t="s">
        <v>712</v>
      </c>
      <c r="S25" t="s">
        <v>712</v>
      </c>
      <c r="T25" t="s">
        <v>712</v>
      </c>
      <c r="U25" t="s">
        <v>712</v>
      </c>
      <c r="V25" t="s">
        <v>712</v>
      </c>
      <c r="W25" t="s">
        <v>712</v>
      </c>
      <c r="X25" t="s">
        <v>712</v>
      </c>
      <c r="Y25" t="s">
        <v>712</v>
      </c>
      <c r="Z25" t="s">
        <v>712</v>
      </c>
      <c r="AA25" t="s">
        <v>712</v>
      </c>
      <c r="AB25" t="s">
        <v>712</v>
      </c>
      <c r="AC25" t="s">
        <v>712</v>
      </c>
      <c r="AD25" t="s">
        <v>712</v>
      </c>
      <c r="AE25" t="s">
        <v>712</v>
      </c>
      <c r="AF25" t="s">
        <v>712</v>
      </c>
      <c r="AG25" t="s">
        <v>712</v>
      </c>
      <c r="AH25" t="s">
        <v>712</v>
      </c>
      <c r="AI25" t="s">
        <v>712</v>
      </c>
      <c r="AJ25" t="s">
        <v>712</v>
      </c>
      <c r="AK25" t="s">
        <v>712</v>
      </c>
      <c r="AL25" t="s">
        <v>712</v>
      </c>
      <c r="AM25" t="s">
        <v>712</v>
      </c>
      <c r="AN25" t="s">
        <v>712</v>
      </c>
      <c r="AO25" t="s">
        <v>712</v>
      </c>
      <c r="AP25" t="s">
        <v>712</v>
      </c>
      <c r="AQ25" t="s">
        <v>712</v>
      </c>
      <c r="AR25" t="s">
        <v>712</v>
      </c>
      <c r="AS25" t="s">
        <v>712</v>
      </c>
      <c r="AT25" t="s">
        <v>712</v>
      </c>
      <c r="AU25" t="s">
        <v>712</v>
      </c>
      <c r="AV25" t="s">
        <v>712</v>
      </c>
      <c r="AW25" t="s">
        <v>712</v>
      </c>
      <c r="AX25" t="s">
        <v>712</v>
      </c>
      <c r="AY25" t="s">
        <v>712</v>
      </c>
      <c r="AZ25" t="s">
        <v>712</v>
      </c>
      <c r="BA25" t="s">
        <v>712</v>
      </c>
      <c r="BB25" t="s">
        <v>712</v>
      </c>
      <c r="BC25" t="s">
        <v>712</v>
      </c>
      <c r="BD25" t="s">
        <v>712</v>
      </c>
      <c r="BE25" t="s">
        <v>712</v>
      </c>
      <c r="BF25" t="s">
        <v>712</v>
      </c>
      <c r="BG25" t="s">
        <v>712</v>
      </c>
      <c r="BH25" t="s">
        <v>712</v>
      </c>
      <c r="BI25" t="s">
        <v>712</v>
      </c>
      <c r="BJ25" t="s">
        <v>712</v>
      </c>
      <c r="BK25" t="s">
        <v>712</v>
      </c>
      <c r="BL25" t="s">
        <v>712</v>
      </c>
      <c r="BM25" t="s">
        <v>712</v>
      </c>
      <c r="BN25" t="s">
        <v>712</v>
      </c>
      <c r="BO25" t="s">
        <v>712</v>
      </c>
      <c r="BP25" t="s">
        <v>712</v>
      </c>
      <c r="BQ25" t="s">
        <v>712</v>
      </c>
      <c r="BR25" t="s">
        <v>712</v>
      </c>
      <c r="BS25" t="s">
        <v>712</v>
      </c>
      <c r="BT25" t="s">
        <v>712</v>
      </c>
      <c r="BU25" t="s">
        <v>712</v>
      </c>
      <c r="BV25" t="s">
        <v>712</v>
      </c>
      <c r="BW25" t="s">
        <v>712</v>
      </c>
      <c r="BX25" t="s">
        <v>712</v>
      </c>
      <c r="BY25" t="s">
        <v>712</v>
      </c>
      <c r="BZ25" t="s">
        <v>712</v>
      </c>
      <c r="CA25" t="s">
        <v>712</v>
      </c>
      <c r="CB25" t="s">
        <v>712</v>
      </c>
      <c r="CC25" t="s">
        <v>712</v>
      </c>
      <c r="CD25" t="s">
        <v>712</v>
      </c>
    </row>
    <row r="26" spans="2:82">
      <c r="B26" s="805">
        <v>8</v>
      </c>
      <c r="C26" s="805" t="s">
        <v>865</v>
      </c>
      <c r="D26" s="805" t="s">
        <v>866</v>
      </c>
      <c r="E26" s="805" t="s">
        <v>867</v>
      </c>
      <c r="F26" s="805" t="s">
        <v>868</v>
      </c>
      <c r="G26" s="805" t="s">
        <v>845</v>
      </c>
      <c r="H26" s="805" t="s">
        <v>869</v>
      </c>
      <c r="I26" s="805" t="s">
        <v>870</v>
      </c>
      <c r="J26" s="805" t="s">
        <v>725</v>
      </c>
      <c r="K26" s="805" t="s">
        <v>871</v>
      </c>
      <c r="L26" s="805" t="s">
        <v>718</v>
      </c>
      <c r="M26" t="s">
        <v>718</v>
      </c>
      <c r="N26" t="s">
        <v>718</v>
      </c>
      <c r="O26" t="s">
        <v>718</v>
      </c>
      <c r="P26" t="s">
        <v>718</v>
      </c>
      <c r="Q26" t="s">
        <v>718</v>
      </c>
      <c r="R26" t="s">
        <v>718</v>
      </c>
      <c r="S26" t="s">
        <v>718</v>
      </c>
      <c r="T26" t="s">
        <v>718</v>
      </c>
      <c r="U26" t="s">
        <v>718</v>
      </c>
      <c r="V26" t="s">
        <v>718</v>
      </c>
      <c r="W26" t="s">
        <v>718</v>
      </c>
      <c r="X26" t="s">
        <v>718</v>
      </c>
      <c r="Y26" t="s">
        <v>718</v>
      </c>
      <c r="Z26" t="s">
        <v>718</v>
      </c>
      <c r="AA26" t="s">
        <v>718</v>
      </c>
      <c r="AB26" t="s">
        <v>718</v>
      </c>
      <c r="AC26" t="s">
        <v>718</v>
      </c>
      <c r="AD26" t="s">
        <v>718</v>
      </c>
      <c r="AE26" t="s">
        <v>718</v>
      </c>
      <c r="AF26" t="s">
        <v>718</v>
      </c>
      <c r="AG26" t="s">
        <v>718</v>
      </c>
      <c r="AH26" t="s">
        <v>718</v>
      </c>
      <c r="AI26" t="s">
        <v>718</v>
      </c>
      <c r="AJ26" t="s">
        <v>718</v>
      </c>
      <c r="AK26" t="s">
        <v>718</v>
      </c>
      <c r="AL26" t="s">
        <v>718</v>
      </c>
      <c r="AM26" t="s">
        <v>718</v>
      </c>
      <c r="AN26" t="s">
        <v>718</v>
      </c>
      <c r="AO26" t="s">
        <v>718</v>
      </c>
      <c r="AP26" t="s">
        <v>718</v>
      </c>
      <c r="AQ26" t="s">
        <v>718</v>
      </c>
      <c r="AR26" t="s">
        <v>718</v>
      </c>
      <c r="AS26" t="s">
        <v>718</v>
      </c>
      <c r="AT26" t="s">
        <v>718</v>
      </c>
      <c r="AU26" t="s">
        <v>718</v>
      </c>
      <c r="AV26" t="s">
        <v>718</v>
      </c>
      <c r="AW26" t="s">
        <v>718</v>
      </c>
      <c r="AX26" t="s">
        <v>718</v>
      </c>
      <c r="AY26" t="s">
        <v>718</v>
      </c>
      <c r="AZ26" t="s">
        <v>718</v>
      </c>
      <c r="BA26" t="s">
        <v>718</v>
      </c>
      <c r="BB26" t="s">
        <v>718</v>
      </c>
      <c r="BC26" t="s">
        <v>718</v>
      </c>
      <c r="BD26" t="s">
        <v>718</v>
      </c>
      <c r="BE26" t="s">
        <v>718</v>
      </c>
      <c r="BF26" t="s">
        <v>718</v>
      </c>
      <c r="BG26" t="s">
        <v>718</v>
      </c>
      <c r="BH26" t="s">
        <v>718</v>
      </c>
      <c r="BI26" t="s">
        <v>718</v>
      </c>
      <c r="BJ26" t="s">
        <v>718</v>
      </c>
      <c r="BK26" t="s">
        <v>718</v>
      </c>
      <c r="BL26" t="s">
        <v>718</v>
      </c>
      <c r="BM26" t="s">
        <v>718</v>
      </c>
      <c r="BN26" t="s">
        <v>718</v>
      </c>
      <c r="BO26" t="s">
        <v>718</v>
      </c>
      <c r="BP26" t="s">
        <v>718</v>
      </c>
      <c r="BQ26" t="s">
        <v>718</v>
      </c>
      <c r="BR26" t="s">
        <v>718</v>
      </c>
      <c r="BS26" t="s">
        <v>718</v>
      </c>
      <c r="BT26" t="s">
        <v>718</v>
      </c>
      <c r="BU26" t="s">
        <v>718</v>
      </c>
      <c r="BV26" t="s">
        <v>718</v>
      </c>
      <c r="BW26" t="s">
        <v>718</v>
      </c>
      <c r="BX26" t="s">
        <v>718</v>
      </c>
      <c r="BY26" t="s">
        <v>718</v>
      </c>
      <c r="BZ26" t="s">
        <v>718</v>
      </c>
      <c r="CA26" t="s">
        <v>718</v>
      </c>
      <c r="CB26" t="s">
        <v>718</v>
      </c>
      <c r="CC26" t="s">
        <v>718</v>
      </c>
      <c r="CD26" t="s">
        <v>718</v>
      </c>
    </row>
    <row r="27" spans="2:82">
      <c r="B27" s="805">
        <v>7</v>
      </c>
      <c r="C27" s="805" t="s">
        <v>872</v>
      </c>
      <c r="D27" s="805" t="s">
        <v>873</v>
      </c>
      <c r="E27" s="805" t="s">
        <v>874</v>
      </c>
      <c r="F27" s="805" t="s">
        <v>852</v>
      </c>
      <c r="G27" s="805" t="s">
        <v>875</v>
      </c>
      <c r="H27" s="805" t="s">
        <v>750</v>
      </c>
      <c r="I27" s="805" t="s">
        <v>745</v>
      </c>
      <c r="J27" s="805" t="s">
        <v>731</v>
      </c>
      <c r="K27" s="805" t="s">
        <v>876</v>
      </c>
      <c r="L27" s="805" t="s">
        <v>721</v>
      </c>
      <c r="M27" t="s">
        <v>721</v>
      </c>
      <c r="N27" t="s">
        <v>721</v>
      </c>
      <c r="O27" t="s">
        <v>721</v>
      </c>
      <c r="P27" t="s">
        <v>721</v>
      </c>
      <c r="Q27" t="s">
        <v>721</v>
      </c>
      <c r="R27" t="s">
        <v>721</v>
      </c>
      <c r="S27" t="s">
        <v>721</v>
      </c>
      <c r="T27" t="s">
        <v>721</v>
      </c>
      <c r="U27" t="s">
        <v>721</v>
      </c>
      <c r="V27" t="s">
        <v>721</v>
      </c>
      <c r="W27" t="s">
        <v>721</v>
      </c>
      <c r="X27" t="s">
        <v>721</v>
      </c>
      <c r="Y27" t="s">
        <v>721</v>
      </c>
      <c r="Z27" t="s">
        <v>721</v>
      </c>
      <c r="AA27" t="s">
        <v>721</v>
      </c>
      <c r="AB27" t="s">
        <v>721</v>
      </c>
      <c r="AC27" t="s">
        <v>721</v>
      </c>
      <c r="AD27" t="s">
        <v>721</v>
      </c>
      <c r="AE27" t="s">
        <v>721</v>
      </c>
      <c r="AF27" t="s">
        <v>721</v>
      </c>
      <c r="AG27" t="s">
        <v>721</v>
      </c>
      <c r="AH27" t="s">
        <v>721</v>
      </c>
      <c r="AI27" t="s">
        <v>721</v>
      </c>
      <c r="AJ27" t="s">
        <v>721</v>
      </c>
      <c r="AK27" t="s">
        <v>721</v>
      </c>
      <c r="AL27" t="s">
        <v>721</v>
      </c>
      <c r="AM27" t="s">
        <v>721</v>
      </c>
      <c r="AN27" t="s">
        <v>721</v>
      </c>
      <c r="AO27" t="s">
        <v>721</v>
      </c>
      <c r="AP27" t="s">
        <v>721</v>
      </c>
      <c r="AQ27" t="s">
        <v>721</v>
      </c>
      <c r="AR27" t="s">
        <v>721</v>
      </c>
      <c r="AS27" t="s">
        <v>721</v>
      </c>
      <c r="AT27" t="s">
        <v>721</v>
      </c>
      <c r="AU27" t="s">
        <v>721</v>
      </c>
      <c r="AV27" t="s">
        <v>721</v>
      </c>
      <c r="AW27" t="s">
        <v>721</v>
      </c>
      <c r="AX27" t="s">
        <v>721</v>
      </c>
      <c r="AY27" t="s">
        <v>721</v>
      </c>
      <c r="AZ27" t="s">
        <v>721</v>
      </c>
      <c r="BA27" t="s">
        <v>721</v>
      </c>
      <c r="BB27" t="s">
        <v>721</v>
      </c>
      <c r="BC27" t="s">
        <v>721</v>
      </c>
      <c r="BD27" t="s">
        <v>721</v>
      </c>
      <c r="BE27" t="s">
        <v>721</v>
      </c>
      <c r="BF27" t="s">
        <v>721</v>
      </c>
      <c r="BG27" t="s">
        <v>721</v>
      </c>
      <c r="BH27" t="s">
        <v>721</v>
      </c>
      <c r="BI27" t="s">
        <v>721</v>
      </c>
      <c r="BJ27" t="s">
        <v>721</v>
      </c>
      <c r="BK27" t="s">
        <v>721</v>
      </c>
      <c r="BL27" t="s">
        <v>721</v>
      </c>
      <c r="BM27" t="s">
        <v>721</v>
      </c>
      <c r="BN27" t="s">
        <v>721</v>
      </c>
      <c r="BO27" t="s">
        <v>721</v>
      </c>
      <c r="BP27" t="s">
        <v>721</v>
      </c>
      <c r="BQ27" t="s">
        <v>721</v>
      </c>
      <c r="BR27" t="s">
        <v>721</v>
      </c>
      <c r="BS27" t="s">
        <v>721</v>
      </c>
      <c r="BT27" t="s">
        <v>721</v>
      </c>
      <c r="BU27" t="s">
        <v>721</v>
      </c>
      <c r="BV27" t="s">
        <v>721</v>
      </c>
      <c r="BW27" t="s">
        <v>721</v>
      </c>
      <c r="BX27" t="s">
        <v>721</v>
      </c>
      <c r="BY27" t="s">
        <v>721</v>
      </c>
      <c r="BZ27" t="s">
        <v>721</v>
      </c>
      <c r="CA27" t="s">
        <v>721</v>
      </c>
      <c r="CB27" t="s">
        <v>721</v>
      </c>
      <c r="CC27" t="s">
        <v>721</v>
      </c>
      <c r="CD27" t="s">
        <v>721</v>
      </c>
    </row>
    <row r="28" spans="2:82">
      <c r="B28" s="805">
        <v>6</v>
      </c>
      <c r="C28" s="805" t="s">
        <v>877</v>
      </c>
      <c r="D28" s="805" t="s">
        <v>878</v>
      </c>
      <c r="E28" s="805" t="s">
        <v>879</v>
      </c>
      <c r="F28" s="805" t="s">
        <v>880</v>
      </c>
      <c r="G28" s="805" t="s">
        <v>881</v>
      </c>
      <c r="H28" s="805" t="s">
        <v>882</v>
      </c>
      <c r="I28" s="805" t="s">
        <v>883</v>
      </c>
      <c r="J28" s="805" t="s">
        <v>839</v>
      </c>
      <c r="K28" s="805" t="s">
        <v>884</v>
      </c>
      <c r="L28" s="805" t="s">
        <v>717</v>
      </c>
      <c r="M28" t="s">
        <v>717</v>
      </c>
      <c r="N28" t="s">
        <v>717</v>
      </c>
      <c r="O28" t="s">
        <v>717</v>
      </c>
      <c r="P28" t="s">
        <v>717</v>
      </c>
      <c r="Q28" t="s">
        <v>717</v>
      </c>
      <c r="R28" t="s">
        <v>717</v>
      </c>
      <c r="S28" t="s">
        <v>717</v>
      </c>
      <c r="T28" t="s">
        <v>717</v>
      </c>
      <c r="U28" t="s">
        <v>717</v>
      </c>
      <c r="V28" t="s">
        <v>717</v>
      </c>
      <c r="W28" t="s">
        <v>717</v>
      </c>
      <c r="X28" t="s">
        <v>717</v>
      </c>
      <c r="Y28" t="s">
        <v>717</v>
      </c>
      <c r="Z28" t="s">
        <v>717</v>
      </c>
      <c r="AA28" t="s">
        <v>717</v>
      </c>
      <c r="AB28" t="s">
        <v>717</v>
      </c>
      <c r="AC28" t="s">
        <v>717</v>
      </c>
      <c r="AD28" t="s">
        <v>717</v>
      </c>
      <c r="AE28" t="s">
        <v>717</v>
      </c>
      <c r="AF28" t="s">
        <v>717</v>
      </c>
      <c r="AG28" t="s">
        <v>717</v>
      </c>
      <c r="AH28" t="s">
        <v>717</v>
      </c>
      <c r="AI28" t="s">
        <v>717</v>
      </c>
      <c r="AJ28" t="s">
        <v>717</v>
      </c>
      <c r="AK28" t="s">
        <v>717</v>
      </c>
      <c r="AL28" t="s">
        <v>717</v>
      </c>
      <c r="AM28" t="s">
        <v>717</v>
      </c>
      <c r="AN28" t="s">
        <v>717</v>
      </c>
      <c r="AO28" t="s">
        <v>717</v>
      </c>
      <c r="AP28" t="s">
        <v>717</v>
      </c>
      <c r="AQ28" t="s">
        <v>717</v>
      </c>
      <c r="AR28" t="s">
        <v>717</v>
      </c>
      <c r="AS28" t="s">
        <v>717</v>
      </c>
      <c r="AT28" t="s">
        <v>717</v>
      </c>
      <c r="AU28" t="s">
        <v>717</v>
      </c>
      <c r="AV28" t="s">
        <v>717</v>
      </c>
      <c r="AW28" t="s">
        <v>717</v>
      </c>
      <c r="AX28" t="s">
        <v>717</v>
      </c>
      <c r="AY28" t="s">
        <v>717</v>
      </c>
      <c r="AZ28" t="s">
        <v>717</v>
      </c>
      <c r="BA28" t="s">
        <v>717</v>
      </c>
      <c r="BB28" t="s">
        <v>717</v>
      </c>
      <c r="BC28" t="s">
        <v>717</v>
      </c>
      <c r="BD28" t="s">
        <v>717</v>
      </c>
      <c r="BE28" t="s">
        <v>717</v>
      </c>
      <c r="BF28" t="s">
        <v>717</v>
      </c>
      <c r="BG28" t="s">
        <v>717</v>
      </c>
      <c r="BH28" t="s">
        <v>717</v>
      </c>
      <c r="BI28" t="s">
        <v>717</v>
      </c>
      <c r="BJ28" t="s">
        <v>717</v>
      </c>
      <c r="BK28" t="s">
        <v>717</v>
      </c>
      <c r="BL28" t="s">
        <v>717</v>
      </c>
      <c r="BM28" t="s">
        <v>717</v>
      </c>
      <c r="BN28" t="s">
        <v>717</v>
      </c>
      <c r="BO28" t="s">
        <v>717</v>
      </c>
      <c r="BP28" t="s">
        <v>717</v>
      </c>
      <c r="BQ28" t="s">
        <v>717</v>
      </c>
      <c r="BR28" t="s">
        <v>717</v>
      </c>
      <c r="BS28" t="s">
        <v>717</v>
      </c>
      <c r="BT28" t="s">
        <v>717</v>
      </c>
      <c r="BU28" t="s">
        <v>717</v>
      </c>
      <c r="BV28" t="s">
        <v>717</v>
      </c>
      <c r="BW28" t="s">
        <v>717</v>
      </c>
      <c r="BX28" t="s">
        <v>717</v>
      </c>
      <c r="BY28" t="s">
        <v>717</v>
      </c>
      <c r="BZ28" t="s">
        <v>717</v>
      </c>
      <c r="CA28" t="s">
        <v>717</v>
      </c>
      <c r="CB28" t="s">
        <v>717</v>
      </c>
      <c r="CC28" t="s">
        <v>717</v>
      </c>
      <c r="CD28" t="s">
        <v>717</v>
      </c>
    </row>
    <row r="29" spans="2:82">
      <c r="B29" s="805">
        <v>5</v>
      </c>
      <c r="C29" s="805" t="s">
        <v>885</v>
      </c>
      <c r="D29" s="805" t="s">
        <v>886</v>
      </c>
      <c r="E29" s="805" t="s">
        <v>887</v>
      </c>
      <c r="F29" s="805" t="s">
        <v>859</v>
      </c>
      <c r="G29" s="805" t="s">
        <v>888</v>
      </c>
      <c r="H29" s="805" t="s">
        <v>837</v>
      </c>
      <c r="I29" s="805" t="s">
        <v>889</v>
      </c>
      <c r="J29" s="805" t="s">
        <v>749</v>
      </c>
      <c r="K29" s="805" t="s">
        <v>890</v>
      </c>
      <c r="L29" s="805" t="s">
        <v>730</v>
      </c>
      <c r="M29" t="s">
        <v>730</v>
      </c>
      <c r="N29" t="s">
        <v>730</v>
      </c>
      <c r="O29" t="s">
        <v>730</v>
      </c>
      <c r="P29" t="s">
        <v>730</v>
      </c>
      <c r="Q29" t="s">
        <v>730</v>
      </c>
      <c r="R29" t="s">
        <v>730</v>
      </c>
      <c r="S29" t="s">
        <v>730</v>
      </c>
      <c r="T29" t="s">
        <v>730</v>
      </c>
      <c r="U29" t="s">
        <v>730</v>
      </c>
      <c r="V29" t="s">
        <v>730</v>
      </c>
      <c r="W29" t="s">
        <v>730</v>
      </c>
      <c r="X29" t="s">
        <v>730</v>
      </c>
      <c r="Y29" t="s">
        <v>730</v>
      </c>
      <c r="Z29" t="s">
        <v>730</v>
      </c>
      <c r="AA29" t="s">
        <v>730</v>
      </c>
      <c r="AB29" t="s">
        <v>730</v>
      </c>
      <c r="AC29" t="s">
        <v>730</v>
      </c>
      <c r="AD29" t="s">
        <v>730</v>
      </c>
      <c r="AE29" t="s">
        <v>730</v>
      </c>
      <c r="AF29" t="s">
        <v>730</v>
      </c>
      <c r="AG29" t="s">
        <v>730</v>
      </c>
      <c r="AH29" t="s">
        <v>730</v>
      </c>
      <c r="AI29" t="s">
        <v>730</v>
      </c>
      <c r="AJ29" t="s">
        <v>730</v>
      </c>
      <c r="AK29" t="s">
        <v>730</v>
      </c>
      <c r="AL29" t="s">
        <v>730</v>
      </c>
      <c r="AM29" t="s">
        <v>730</v>
      </c>
      <c r="AN29" t="s">
        <v>730</v>
      </c>
      <c r="AO29" t="s">
        <v>730</v>
      </c>
      <c r="AP29" t="s">
        <v>730</v>
      </c>
      <c r="AQ29" t="s">
        <v>730</v>
      </c>
      <c r="AR29" t="s">
        <v>730</v>
      </c>
      <c r="AS29" t="s">
        <v>730</v>
      </c>
      <c r="AT29" t="s">
        <v>730</v>
      </c>
      <c r="AU29" t="s">
        <v>730</v>
      </c>
      <c r="AV29" t="s">
        <v>730</v>
      </c>
      <c r="AW29" t="s">
        <v>730</v>
      </c>
      <c r="AX29" t="s">
        <v>730</v>
      </c>
      <c r="AY29" t="s">
        <v>730</v>
      </c>
      <c r="AZ29" t="s">
        <v>730</v>
      </c>
      <c r="BA29" t="s">
        <v>730</v>
      </c>
      <c r="BB29" t="s">
        <v>730</v>
      </c>
      <c r="BC29" t="s">
        <v>730</v>
      </c>
      <c r="BD29" t="s">
        <v>730</v>
      </c>
      <c r="BE29" t="s">
        <v>730</v>
      </c>
      <c r="BF29" t="s">
        <v>730</v>
      </c>
      <c r="BG29" t="s">
        <v>730</v>
      </c>
      <c r="BH29" t="s">
        <v>730</v>
      </c>
      <c r="BI29" t="s">
        <v>730</v>
      </c>
      <c r="BJ29" t="s">
        <v>730</v>
      </c>
      <c r="BK29" t="s">
        <v>730</v>
      </c>
      <c r="BL29" t="s">
        <v>730</v>
      </c>
      <c r="BM29" t="s">
        <v>730</v>
      </c>
      <c r="BN29" t="s">
        <v>730</v>
      </c>
      <c r="BO29" t="s">
        <v>730</v>
      </c>
      <c r="BP29" t="s">
        <v>730</v>
      </c>
      <c r="BQ29" t="s">
        <v>730</v>
      </c>
      <c r="BR29" t="s">
        <v>730</v>
      </c>
      <c r="BS29" t="s">
        <v>730</v>
      </c>
      <c r="BT29" t="s">
        <v>730</v>
      </c>
      <c r="BU29" t="s">
        <v>730</v>
      </c>
      <c r="BV29" t="s">
        <v>730</v>
      </c>
      <c r="BW29" t="s">
        <v>730</v>
      </c>
      <c r="BX29" t="s">
        <v>730</v>
      </c>
      <c r="BY29" t="s">
        <v>730</v>
      </c>
      <c r="BZ29" t="s">
        <v>730</v>
      </c>
      <c r="CA29" t="s">
        <v>730</v>
      </c>
      <c r="CB29" t="s">
        <v>730</v>
      </c>
      <c r="CC29" t="s">
        <v>730</v>
      </c>
      <c r="CD29" t="s">
        <v>730</v>
      </c>
    </row>
    <row r="30" spans="2:82">
      <c r="B30" s="805">
        <v>4</v>
      </c>
      <c r="C30" s="805" t="s">
        <v>891</v>
      </c>
      <c r="D30" s="805" t="s">
        <v>892</v>
      </c>
      <c r="E30" s="805" t="s">
        <v>893</v>
      </c>
      <c r="F30" s="805" t="s">
        <v>894</v>
      </c>
      <c r="G30" s="805" t="s">
        <v>895</v>
      </c>
      <c r="H30" s="805" t="s">
        <v>896</v>
      </c>
      <c r="I30" s="805" t="s">
        <v>853</v>
      </c>
      <c r="J30" s="805" t="s">
        <v>897</v>
      </c>
      <c r="K30" s="805" t="s">
        <v>839</v>
      </c>
      <c r="L30" s="805" t="s">
        <v>734</v>
      </c>
      <c r="M30" t="s">
        <v>734</v>
      </c>
      <c r="N30" t="s">
        <v>734</v>
      </c>
      <c r="O30" t="s">
        <v>734</v>
      </c>
      <c r="P30" t="s">
        <v>734</v>
      </c>
      <c r="Q30" t="s">
        <v>734</v>
      </c>
      <c r="R30" t="s">
        <v>734</v>
      </c>
      <c r="S30" t="s">
        <v>734</v>
      </c>
      <c r="T30" t="s">
        <v>734</v>
      </c>
      <c r="U30" t="s">
        <v>734</v>
      </c>
      <c r="V30" t="s">
        <v>734</v>
      </c>
      <c r="W30" t="s">
        <v>734</v>
      </c>
      <c r="X30" t="s">
        <v>734</v>
      </c>
      <c r="Y30" t="s">
        <v>734</v>
      </c>
      <c r="Z30" t="s">
        <v>734</v>
      </c>
      <c r="AA30" t="s">
        <v>734</v>
      </c>
      <c r="AB30" t="s">
        <v>734</v>
      </c>
      <c r="AC30" t="s">
        <v>734</v>
      </c>
      <c r="AD30" t="s">
        <v>734</v>
      </c>
      <c r="AE30" t="s">
        <v>734</v>
      </c>
      <c r="AF30" t="s">
        <v>734</v>
      </c>
      <c r="AG30" t="s">
        <v>734</v>
      </c>
      <c r="AH30" t="s">
        <v>734</v>
      </c>
      <c r="AI30" t="s">
        <v>734</v>
      </c>
      <c r="AJ30" t="s">
        <v>734</v>
      </c>
      <c r="AK30" t="s">
        <v>734</v>
      </c>
      <c r="AL30" t="s">
        <v>734</v>
      </c>
      <c r="AM30" t="s">
        <v>734</v>
      </c>
      <c r="AN30" t="s">
        <v>734</v>
      </c>
      <c r="AO30" t="s">
        <v>734</v>
      </c>
      <c r="AP30" t="s">
        <v>734</v>
      </c>
      <c r="AQ30" t="s">
        <v>734</v>
      </c>
      <c r="AR30" t="s">
        <v>734</v>
      </c>
      <c r="AS30" t="s">
        <v>734</v>
      </c>
      <c r="AT30" t="s">
        <v>734</v>
      </c>
      <c r="AU30" t="s">
        <v>734</v>
      </c>
      <c r="AV30" t="s">
        <v>734</v>
      </c>
      <c r="AW30" t="s">
        <v>734</v>
      </c>
      <c r="AX30" t="s">
        <v>734</v>
      </c>
      <c r="AY30" t="s">
        <v>734</v>
      </c>
      <c r="AZ30" t="s">
        <v>734</v>
      </c>
      <c r="BA30" t="s">
        <v>734</v>
      </c>
      <c r="BB30" t="s">
        <v>734</v>
      </c>
      <c r="BC30" t="s">
        <v>734</v>
      </c>
      <c r="BD30" t="s">
        <v>734</v>
      </c>
      <c r="BE30" t="s">
        <v>734</v>
      </c>
      <c r="BF30" t="s">
        <v>734</v>
      </c>
      <c r="BG30" t="s">
        <v>734</v>
      </c>
      <c r="BH30" t="s">
        <v>734</v>
      </c>
      <c r="BI30" t="s">
        <v>734</v>
      </c>
      <c r="BJ30" t="s">
        <v>734</v>
      </c>
      <c r="BK30" t="s">
        <v>734</v>
      </c>
      <c r="BL30" t="s">
        <v>734</v>
      </c>
      <c r="BM30" t="s">
        <v>734</v>
      </c>
      <c r="BN30" t="s">
        <v>734</v>
      </c>
      <c r="BO30" t="s">
        <v>734</v>
      </c>
      <c r="BP30" t="s">
        <v>734</v>
      </c>
      <c r="BQ30" t="s">
        <v>734</v>
      </c>
      <c r="BR30" t="s">
        <v>734</v>
      </c>
      <c r="BS30" t="s">
        <v>734</v>
      </c>
      <c r="BT30" t="s">
        <v>734</v>
      </c>
      <c r="BU30" t="s">
        <v>734</v>
      </c>
      <c r="BV30" t="s">
        <v>734</v>
      </c>
      <c r="BW30" t="s">
        <v>734</v>
      </c>
      <c r="BX30" t="s">
        <v>734</v>
      </c>
      <c r="BY30" t="s">
        <v>734</v>
      </c>
      <c r="BZ30" t="s">
        <v>734</v>
      </c>
      <c r="CA30" t="s">
        <v>734</v>
      </c>
      <c r="CB30" t="s">
        <v>734</v>
      </c>
      <c r="CC30" t="s">
        <v>734</v>
      </c>
      <c r="CD30" t="s">
        <v>734</v>
      </c>
    </row>
    <row r="31" spans="2:82">
      <c r="B31" s="805">
        <v>3</v>
      </c>
      <c r="C31" s="805" t="s">
        <v>898</v>
      </c>
      <c r="D31" s="805" t="s">
        <v>899</v>
      </c>
      <c r="E31" s="805" t="s">
        <v>900</v>
      </c>
      <c r="F31" s="805" t="s">
        <v>901</v>
      </c>
      <c r="G31" s="805" t="s">
        <v>902</v>
      </c>
      <c r="H31" s="805" t="s">
        <v>874</v>
      </c>
      <c r="I31" s="805" t="s">
        <v>903</v>
      </c>
      <c r="J31" s="805" t="s">
        <v>748</v>
      </c>
      <c r="K31" s="805" t="s">
        <v>904</v>
      </c>
      <c r="L31" s="805" t="s">
        <v>738</v>
      </c>
      <c r="M31" t="s">
        <v>738</v>
      </c>
      <c r="N31" t="s">
        <v>738</v>
      </c>
      <c r="O31" t="s">
        <v>738</v>
      </c>
      <c r="P31" t="s">
        <v>738</v>
      </c>
      <c r="Q31" t="s">
        <v>738</v>
      </c>
      <c r="R31" t="s">
        <v>738</v>
      </c>
      <c r="S31" t="s">
        <v>738</v>
      </c>
      <c r="T31" t="s">
        <v>738</v>
      </c>
      <c r="U31" t="s">
        <v>738</v>
      </c>
      <c r="V31" t="s">
        <v>738</v>
      </c>
      <c r="W31" t="s">
        <v>738</v>
      </c>
      <c r="X31" t="s">
        <v>738</v>
      </c>
      <c r="Y31" t="s">
        <v>738</v>
      </c>
      <c r="Z31" t="s">
        <v>738</v>
      </c>
      <c r="AA31" t="s">
        <v>738</v>
      </c>
      <c r="AB31" t="s">
        <v>738</v>
      </c>
      <c r="AC31" t="s">
        <v>738</v>
      </c>
      <c r="AD31" t="s">
        <v>738</v>
      </c>
      <c r="AE31" t="s">
        <v>738</v>
      </c>
      <c r="AF31" t="s">
        <v>738</v>
      </c>
      <c r="AG31" t="s">
        <v>738</v>
      </c>
      <c r="AH31" t="s">
        <v>738</v>
      </c>
      <c r="AI31" t="s">
        <v>738</v>
      </c>
      <c r="AJ31" t="s">
        <v>738</v>
      </c>
      <c r="AK31" t="s">
        <v>738</v>
      </c>
      <c r="AL31" t="s">
        <v>738</v>
      </c>
      <c r="AM31" t="s">
        <v>738</v>
      </c>
      <c r="AN31" t="s">
        <v>738</v>
      </c>
      <c r="AO31" t="s">
        <v>738</v>
      </c>
      <c r="AP31" t="s">
        <v>738</v>
      </c>
      <c r="AQ31" t="s">
        <v>738</v>
      </c>
      <c r="AR31" t="s">
        <v>738</v>
      </c>
      <c r="AS31" t="s">
        <v>738</v>
      </c>
      <c r="AT31" t="s">
        <v>738</v>
      </c>
      <c r="AU31" t="s">
        <v>738</v>
      </c>
      <c r="AV31" t="s">
        <v>738</v>
      </c>
      <c r="AW31" t="s">
        <v>738</v>
      </c>
      <c r="AX31" t="s">
        <v>738</v>
      </c>
      <c r="AY31" t="s">
        <v>738</v>
      </c>
      <c r="AZ31" t="s">
        <v>738</v>
      </c>
      <c r="BA31" t="s">
        <v>738</v>
      </c>
      <c r="BB31" t="s">
        <v>738</v>
      </c>
      <c r="BC31" t="s">
        <v>738</v>
      </c>
      <c r="BD31" t="s">
        <v>738</v>
      </c>
      <c r="BE31" t="s">
        <v>738</v>
      </c>
      <c r="BF31" t="s">
        <v>738</v>
      </c>
      <c r="BG31" t="s">
        <v>738</v>
      </c>
      <c r="BH31" t="s">
        <v>738</v>
      </c>
      <c r="BI31" t="s">
        <v>738</v>
      </c>
      <c r="BJ31" t="s">
        <v>738</v>
      </c>
      <c r="BK31" t="s">
        <v>738</v>
      </c>
      <c r="BL31" t="s">
        <v>738</v>
      </c>
      <c r="BM31" t="s">
        <v>738</v>
      </c>
      <c r="BN31" t="s">
        <v>738</v>
      </c>
      <c r="BO31" t="s">
        <v>738</v>
      </c>
      <c r="BP31" t="s">
        <v>738</v>
      </c>
      <c r="BQ31" t="s">
        <v>738</v>
      </c>
      <c r="BR31" t="s">
        <v>738</v>
      </c>
      <c r="BS31" t="s">
        <v>738</v>
      </c>
      <c r="BT31" t="s">
        <v>738</v>
      </c>
      <c r="BU31" t="s">
        <v>738</v>
      </c>
      <c r="BV31" t="s">
        <v>738</v>
      </c>
      <c r="BW31" t="s">
        <v>738</v>
      </c>
      <c r="BX31" t="s">
        <v>738</v>
      </c>
      <c r="BY31" t="s">
        <v>738</v>
      </c>
      <c r="BZ31" t="s">
        <v>738</v>
      </c>
      <c r="CA31" t="s">
        <v>738</v>
      </c>
      <c r="CB31" t="s">
        <v>738</v>
      </c>
      <c r="CC31" t="s">
        <v>738</v>
      </c>
      <c r="CD31" t="s">
        <v>738</v>
      </c>
    </row>
    <row r="32" spans="2:82">
      <c r="B32" s="805">
        <v>2</v>
      </c>
      <c r="C32" s="805" t="s">
        <v>905</v>
      </c>
      <c r="D32" s="805" t="s">
        <v>906</v>
      </c>
      <c r="E32" s="805" t="s">
        <v>907</v>
      </c>
      <c r="F32" s="805" t="s">
        <v>908</v>
      </c>
      <c r="G32" s="805" t="s">
        <v>909</v>
      </c>
      <c r="H32" s="805" t="s">
        <v>910</v>
      </c>
      <c r="I32" s="805" t="s">
        <v>911</v>
      </c>
      <c r="J32" s="805" t="s">
        <v>882</v>
      </c>
      <c r="K32" s="805" t="s">
        <v>912</v>
      </c>
      <c r="L32" s="805" t="s">
        <v>745</v>
      </c>
      <c r="M32" t="s">
        <v>745</v>
      </c>
      <c r="N32" t="s">
        <v>745</v>
      </c>
      <c r="O32" t="s">
        <v>745</v>
      </c>
      <c r="P32" t="s">
        <v>745</v>
      </c>
      <c r="Q32" t="s">
        <v>745</v>
      </c>
      <c r="R32" t="s">
        <v>745</v>
      </c>
      <c r="S32" t="s">
        <v>745</v>
      </c>
      <c r="T32" t="s">
        <v>745</v>
      </c>
      <c r="U32" t="s">
        <v>745</v>
      </c>
      <c r="V32" t="s">
        <v>745</v>
      </c>
      <c r="W32" t="s">
        <v>745</v>
      </c>
      <c r="X32" t="s">
        <v>745</v>
      </c>
      <c r="Y32" t="s">
        <v>745</v>
      </c>
      <c r="Z32" t="s">
        <v>745</v>
      </c>
      <c r="AA32" t="s">
        <v>745</v>
      </c>
      <c r="AB32" t="s">
        <v>745</v>
      </c>
      <c r="AC32" t="s">
        <v>745</v>
      </c>
      <c r="AD32" t="s">
        <v>745</v>
      </c>
      <c r="AE32" t="s">
        <v>745</v>
      </c>
      <c r="AF32" t="s">
        <v>745</v>
      </c>
      <c r="AG32" t="s">
        <v>745</v>
      </c>
      <c r="AH32" t="s">
        <v>745</v>
      </c>
      <c r="AI32" t="s">
        <v>745</v>
      </c>
      <c r="AJ32" t="s">
        <v>745</v>
      </c>
      <c r="AK32" t="s">
        <v>745</v>
      </c>
      <c r="AL32" t="s">
        <v>745</v>
      </c>
      <c r="AM32" t="s">
        <v>745</v>
      </c>
      <c r="AN32" t="s">
        <v>745</v>
      </c>
      <c r="AO32" t="s">
        <v>745</v>
      </c>
      <c r="AP32" t="s">
        <v>745</v>
      </c>
      <c r="AQ32" t="s">
        <v>745</v>
      </c>
      <c r="AR32" t="s">
        <v>745</v>
      </c>
      <c r="AS32" t="s">
        <v>745</v>
      </c>
      <c r="AT32" t="s">
        <v>745</v>
      </c>
      <c r="AU32" t="s">
        <v>745</v>
      </c>
      <c r="AV32" t="s">
        <v>745</v>
      </c>
      <c r="AW32" t="s">
        <v>745</v>
      </c>
      <c r="AX32" t="s">
        <v>745</v>
      </c>
      <c r="AY32" t="s">
        <v>745</v>
      </c>
      <c r="AZ32" t="s">
        <v>745</v>
      </c>
      <c r="BA32" t="s">
        <v>745</v>
      </c>
      <c r="BB32" t="s">
        <v>745</v>
      </c>
      <c r="BC32" t="s">
        <v>745</v>
      </c>
      <c r="BD32" t="s">
        <v>745</v>
      </c>
      <c r="BE32" t="s">
        <v>745</v>
      </c>
      <c r="BF32" t="s">
        <v>745</v>
      </c>
      <c r="BG32" t="s">
        <v>745</v>
      </c>
      <c r="BH32" t="s">
        <v>745</v>
      </c>
      <c r="BI32" t="s">
        <v>745</v>
      </c>
      <c r="BJ32" t="s">
        <v>745</v>
      </c>
      <c r="BK32" t="s">
        <v>745</v>
      </c>
      <c r="BL32" t="s">
        <v>745</v>
      </c>
      <c r="BM32" t="s">
        <v>745</v>
      </c>
      <c r="BN32" t="s">
        <v>745</v>
      </c>
      <c r="BO32" t="s">
        <v>745</v>
      </c>
      <c r="BP32" t="s">
        <v>745</v>
      </c>
      <c r="BQ32" t="s">
        <v>745</v>
      </c>
      <c r="BR32" t="s">
        <v>745</v>
      </c>
      <c r="BS32" t="s">
        <v>745</v>
      </c>
      <c r="BT32" t="s">
        <v>745</v>
      </c>
      <c r="BU32" t="s">
        <v>745</v>
      </c>
      <c r="BV32" t="s">
        <v>745</v>
      </c>
      <c r="BW32" t="s">
        <v>745</v>
      </c>
      <c r="BX32" t="s">
        <v>745</v>
      </c>
      <c r="BY32" t="s">
        <v>745</v>
      </c>
      <c r="BZ32" t="s">
        <v>745</v>
      </c>
      <c r="CA32" t="s">
        <v>745</v>
      </c>
      <c r="CB32" t="s">
        <v>745</v>
      </c>
      <c r="CC32" t="s">
        <v>745</v>
      </c>
      <c r="CD32" t="s">
        <v>745</v>
      </c>
    </row>
    <row r="33" spans="2:82">
      <c r="B33" s="805">
        <v>1</v>
      </c>
      <c r="C33" s="805" t="s">
        <v>913</v>
      </c>
      <c r="D33" s="805" t="s">
        <v>914</v>
      </c>
      <c r="E33" s="805" t="s">
        <v>915</v>
      </c>
      <c r="F33" s="805" t="s">
        <v>878</v>
      </c>
      <c r="G33" s="805" t="s">
        <v>916</v>
      </c>
      <c r="H33" s="805" t="s">
        <v>917</v>
      </c>
      <c r="I33" s="805" t="s">
        <v>918</v>
      </c>
      <c r="J33" s="805" t="s">
        <v>919</v>
      </c>
      <c r="K33" s="805" t="s">
        <v>889</v>
      </c>
      <c r="L33" s="805" t="s">
        <v>749</v>
      </c>
      <c r="M33" t="s">
        <v>749</v>
      </c>
      <c r="N33" t="s">
        <v>749</v>
      </c>
      <c r="O33" t="s">
        <v>749</v>
      </c>
      <c r="P33" t="s">
        <v>749</v>
      </c>
      <c r="Q33" t="s">
        <v>749</v>
      </c>
      <c r="R33" t="s">
        <v>749</v>
      </c>
      <c r="S33" t="s">
        <v>749</v>
      </c>
      <c r="T33" t="s">
        <v>749</v>
      </c>
      <c r="U33" t="s">
        <v>749</v>
      </c>
      <c r="V33" t="s">
        <v>749</v>
      </c>
      <c r="W33" t="s">
        <v>749</v>
      </c>
      <c r="X33" t="s">
        <v>749</v>
      </c>
      <c r="Y33" t="s">
        <v>749</v>
      </c>
      <c r="Z33" t="s">
        <v>749</v>
      </c>
      <c r="AA33" t="s">
        <v>749</v>
      </c>
      <c r="AB33" t="s">
        <v>749</v>
      </c>
      <c r="AC33" t="s">
        <v>749</v>
      </c>
      <c r="AD33" t="s">
        <v>749</v>
      </c>
      <c r="AE33" t="s">
        <v>749</v>
      </c>
      <c r="AF33" t="s">
        <v>749</v>
      </c>
      <c r="AG33" t="s">
        <v>749</v>
      </c>
      <c r="AH33" t="s">
        <v>749</v>
      </c>
      <c r="AI33" t="s">
        <v>749</v>
      </c>
      <c r="AJ33" t="s">
        <v>749</v>
      </c>
      <c r="AK33" t="s">
        <v>749</v>
      </c>
      <c r="AL33" t="s">
        <v>749</v>
      </c>
      <c r="AM33" t="s">
        <v>749</v>
      </c>
      <c r="AN33" t="s">
        <v>749</v>
      </c>
      <c r="AO33" t="s">
        <v>749</v>
      </c>
      <c r="AP33" t="s">
        <v>749</v>
      </c>
      <c r="AQ33" t="s">
        <v>749</v>
      </c>
      <c r="AR33" t="s">
        <v>749</v>
      </c>
      <c r="AS33" t="s">
        <v>749</v>
      </c>
      <c r="AT33" t="s">
        <v>749</v>
      </c>
      <c r="AU33" t="s">
        <v>749</v>
      </c>
      <c r="AV33" t="s">
        <v>749</v>
      </c>
      <c r="AW33" t="s">
        <v>749</v>
      </c>
      <c r="AX33" t="s">
        <v>749</v>
      </c>
      <c r="AY33" t="s">
        <v>749</v>
      </c>
      <c r="AZ33" t="s">
        <v>749</v>
      </c>
      <c r="BA33" t="s">
        <v>749</v>
      </c>
      <c r="BB33" t="s">
        <v>749</v>
      </c>
      <c r="BC33" t="s">
        <v>749</v>
      </c>
      <c r="BD33" t="s">
        <v>749</v>
      </c>
      <c r="BE33" t="s">
        <v>749</v>
      </c>
      <c r="BF33" t="s">
        <v>749</v>
      </c>
      <c r="BG33" t="s">
        <v>749</v>
      </c>
      <c r="BH33" t="s">
        <v>749</v>
      </c>
      <c r="BI33" t="s">
        <v>749</v>
      </c>
      <c r="BJ33" t="s">
        <v>749</v>
      </c>
      <c r="BK33" t="s">
        <v>749</v>
      </c>
      <c r="BL33" t="s">
        <v>749</v>
      </c>
      <c r="BM33" t="s">
        <v>749</v>
      </c>
      <c r="BN33" t="s">
        <v>749</v>
      </c>
      <c r="BO33" t="s">
        <v>749</v>
      </c>
      <c r="BP33" t="s">
        <v>749</v>
      </c>
      <c r="BQ33" t="s">
        <v>749</v>
      </c>
      <c r="BR33" t="s">
        <v>749</v>
      </c>
      <c r="BS33" t="s">
        <v>749</v>
      </c>
      <c r="BT33" t="s">
        <v>749</v>
      </c>
      <c r="BU33" t="s">
        <v>749</v>
      </c>
      <c r="BV33" t="s">
        <v>749</v>
      </c>
      <c r="BW33" t="s">
        <v>749</v>
      </c>
      <c r="BX33" t="s">
        <v>749</v>
      </c>
      <c r="BY33" t="s">
        <v>749</v>
      </c>
      <c r="BZ33" t="s">
        <v>749</v>
      </c>
      <c r="CA33" t="s">
        <v>749</v>
      </c>
      <c r="CB33" t="s">
        <v>749</v>
      </c>
      <c r="CC33" t="s">
        <v>749</v>
      </c>
      <c r="CD33" t="s">
        <v>749</v>
      </c>
    </row>
    <row r="37" spans="2:82" ht="16.2">
      <c r="B37" s="804" t="s">
        <v>920</v>
      </c>
    </row>
    <row r="38" spans="2:82">
      <c r="B38" s="805" t="s">
        <v>642</v>
      </c>
      <c r="C38" s="805">
        <v>2024</v>
      </c>
      <c r="D38" s="805">
        <v>2025</v>
      </c>
      <c r="E38" s="805">
        <v>2026</v>
      </c>
      <c r="F38" s="805">
        <v>2027</v>
      </c>
      <c r="G38" s="805">
        <v>2028</v>
      </c>
      <c r="H38" s="805">
        <v>2029</v>
      </c>
      <c r="I38" s="805">
        <v>2030</v>
      </c>
      <c r="J38" s="805">
        <v>2031</v>
      </c>
      <c r="K38" s="805">
        <v>2032</v>
      </c>
      <c r="L38" s="805">
        <v>2033</v>
      </c>
      <c r="M38">
        <f>+L38+1</f>
        <v>2034</v>
      </c>
      <c r="N38">
        <f t="shared" ref="N38:BY38" si="2">+M38+1</f>
        <v>2035</v>
      </c>
      <c r="O38">
        <f t="shared" si="2"/>
        <v>2036</v>
      </c>
      <c r="P38">
        <f t="shared" si="2"/>
        <v>2037</v>
      </c>
      <c r="Q38">
        <f t="shared" si="2"/>
        <v>2038</v>
      </c>
      <c r="R38">
        <f t="shared" si="2"/>
        <v>2039</v>
      </c>
      <c r="S38">
        <f t="shared" si="2"/>
        <v>2040</v>
      </c>
      <c r="T38">
        <f t="shared" si="2"/>
        <v>2041</v>
      </c>
      <c r="U38">
        <f t="shared" si="2"/>
        <v>2042</v>
      </c>
      <c r="V38">
        <f t="shared" si="2"/>
        <v>2043</v>
      </c>
      <c r="W38">
        <f t="shared" si="2"/>
        <v>2044</v>
      </c>
      <c r="X38">
        <f t="shared" si="2"/>
        <v>2045</v>
      </c>
      <c r="Y38">
        <f t="shared" si="2"/>
        <v>2046</v>
      </c>
      <c r="Z38">
        <f t="shared" si="2"/>
        <v>2047</v>
      </c>
      <c r="AA38">
        <f t="shared" si="2"/>
        <v>2048</v>
      </c>
      <c r="AB38">
        <f t="shared" si="2"/>
        <v>2049</v>
      </c>
      <c r="AC38">
        <f t="shared" si="2"/>
        <v>2050</v>
      </c>
      <c r="AD38">
        <f t="shared" si="2"/>
        <v>2051</v>
      </c>
      <c r="AE38">
        <f t="shared" si="2"/>
        <v>2052</v>
      </c>
      <c r="AF38">
        <f t="shared" si="2"/>
        <v>2053</v>
      </c>
      <c r="AG38">
        <f t="shared" si="2"/>
        <v>2054</v>
      </c>
      <c r="AH38">
        <f t="shared" si="2"/>
        <v>2055</v>
      </c>
      <c r="AI38">
        <f t="shared" si="2"/>
        <v>2056</v>
      </c>
      <c r="AJ38">
        <f t="shared" si="2"/>
        <v>2057</v>
      </c>
      <c r="AK38">
        <f t="shared" si="2"/>
        <v>2058</v>
      </c>
      <c r="AL38">
        <f t="shared" si="2"/>
        <v>2059</v>
      </c>
      <c r="AM38">
        <f t="shared" si="2"/>
        <v>2060</v>
      </c>
      <c r="AN38">
        <f t="shared" si="2"/>
        <v>2061</v>
      </c>
      <c r="AO38">
        <f t="shared" si="2"/>
        <v>2062</v>
      </c>
      <c r="AP38">
        <f t="shared" si="2"/>
        <v>2063</v>
      </c>
      <c r="AQ38">
        <f t="shared" si="2"/>
        <v>2064</v>
      </c>
      <c r="AR38">
        <f t="shared" si="2"/>
        <v>2065</v>
      </c>
      <c r="AS38">
        <f t="shared" si="2"/>
        <v>2066</v>
      </c>
      <c r="AT38">
        <f t="shared" si="2"/>
        <v>2067</v>
      </c>
      <c r="AU38">
        <f t="shared" si="2"/>
        <v>2068</v>
      </c>
      <c r="AV38">
        <f t="shared" si="2"/>
        <v>2069</v>
      </c>
      <c r="AW38">
        <f t="shared" si="2"/>
        <v>2070</v>
      </c>
      <c r="AX38">
        <f t="shared" si="2"/>
        <v>2071</v>
      </c>
      <c r="AY38">
        <f t="shared" si="2"/>
        <v>2072</v>
      </c>
      <c r="AZ38">
        <f t="shared" si="2"/>
        <v>2073</v>
      </c>
      <c r="BA38">
        <f t="shared" si="2"/>
        <v>2074</v>
      </c>
      <c r="BB38">
        <f t="shared" si="2"/>
        <v>2075</v>
      </c>
      <c r="BC38">
        <f t="shared" si="2"/>
        <v>2076</v>
      </c>
      <c r="BD38">
        <f t="shared" si="2"/>
        <v>2077</v>
      </c>
      <c r="BE38">
        <f>+BD38+1</f>
        <v>2078</v>
      </c>
      <c r="BF38">
        <f t="shared" si="2"/>
        <v>2079</v>
      </c>
      <c r="BG38">
        <f t="shared" si="2"/>
        <v>2080</v>
      </c>
      <c r="BH38">
        <f t="shared" si="2"/>
        <v>2081</v>
      </c>
      <c r="BI38">
        <f t="shared" si="2"/>
        <v>2082</v>
      </c>
      <c r="BJ38">
        <f t="shared" si="2"/>
        <v>2083</v>
      </c>
      <c r="BK38">
        <f t="shared" si="2"/>
        <v>2084</v>
      </c>
      <c r="BL38">
        <f t="shared" si="2"/>
        <v>2085</v>
      </c>
      <c r="BM38">
        <f t="shared" si="2"/>
        <v>2086</v>
      </c>
      <c r="BN38">
        <f t="shared" si="2"/>
        <v>2087</v>
      </c>
      <c r="BO38">
        <f t="shared" si="2"/>
        <v>2088</v>
      </c>
      <c r="BP38">
        <f t="shared" si="2"/>
        <v>2089</v>
      </c>
      <c r="BQ38">
        <f t="shared" si="2"/>
        <v>2090</v>
      </c>
      <c r="BR38">
        <f t="shared" si="2"/>
        <v>2091</v>
      </c>
      <c r="BS38">
        <f t="shared" si="2"/>
        <v>2092</v>
      </c>
      <c r="BT38">
        <f t="shared" si="2"/>
        <v>2093</v>
      </c>
      <c r="BU38">
        <f t="shared" si="2"/>
        <v>2094</v>
      </c>
      <c r="BV38">
        <f t="shared" si="2"/>
        <v>2095</v>
      </c>
      <c r="BW38">
        <f>+BV38+1</f>
        <v>2096</v>
      </c>
      <c r="BX38">
        <f t="shared" si="2"/>
        <v>2097</v>
      </c>
      <c r="BY38">
        <f t="shared" si="2"/>
        <v>2098</v>
      </c>
      <c r="BZ38">
        <f t="shared" ref="BZ38:CD38" si="3">+BY38+1</f>
        <v>2099</v>
      </c>
      <c r="CA38">
        <f t="shared" si="3"/>
        <v>2100</v>
      </c>
      <c r="CB38">
        <f t="shared" si="3"/>
        <v>2101</v>
      </c>
      <c r="CC38">
        <f t="shared" si="3"/>
        <v>2102</v>
      </c>
      <c r="CD38">
        <f t="shared" si="3"/>
        <v>2103</v>
      </c>
    </row>
    <row r="39" spans="2:82">
      <c r="B39" s="805">
        <v>24</v>
      </c>
      <c r="C39" s="805" t="s">
        <v>698</v>
      </c>
      <c r="D39" s="805" t="s">
        <v>680</v>
      </c>
      <c r="E39" s="805" t="s">
        <v>921</v>
      </c>
      <c r="F39" s="805" t="s">
        <v>664</v>
      </c>
      <c r="G39" s="805" t="s">
        <v>922</v>
      </c>
      <c r="H39" s="805" t="s">
        <v>652</v>
      </c>
      <c r="I39" s="805" t="s">
        <v>923</v>
      </c>
      <c r="J39" s="805" t="s">
        <v>646</v>
      </c>
      <c r="K39" s="805" t="s">
        <v>924</v>
      </c>
      <c r="L39" s="805" t="s">
        <v>649</v>
      </c>
      <c r="M39" t="s">
        <v>649</v>
      </c>
      <c r="N39" t="s">
        <v>649</v>
      </c>
      <c r="O39" t="s">
        <v>649</v>
      </c>
      <c r="P39" t="s">
        <v>649</v>
      </c>
      <c r="Q39" t="s">
        <v>649</v>
      </c>
      <c r="R39" t="s">
        <v>649</v>
      </c>
      <c r="S39" t="s">
        <v>649</v>
      </c>
      <c r="T39" t="s">
        <v>649</v>
      </c>
      <c r="U39" t="s">
        <v>649</v>
      </c>
      <c r="V39" t="s">
        <v>649</v>
      </c>
      <c r="W39" t="s">
        <v>649</v>
      </c>
      <c r="X39" t="s">
        <v>649</v>
      </c>
      <c r="Y39" t="s">
        <v>649</v>
      </c>
      <c r="Z39" t="s">
        <v>649</v>
      </c>
      <c r="AA39" t="s">
        <v>649</v>
      </c>
      <c r="AB39" t="s">
        <v>649</v>
      </c>
      <c r="AC39" t="s">
        <v>649</v>
      </c>
      <c r="AD39" t="s">
        <v>649</v>
      </c>
      <c r="AE39" t="s">
        <v>649</v>
      </c>
      <c r="AF39" t="s">
        <v>649</v>
      </c>
      <c r="AG39" t="s">
        <v>649</v>
      </c>
      <c r="AH39" t="s">
        <v>649</v>
      </c>
      <c r="AI39" t="s">
        <v>649</v>
      </c>
      <c r="AJ39" t="s">
        <v>649</v>
      </c>
      <c r="AK39" t="s">
        <v>649</v>
      </c>
      <c r="AL39" t="s">
        <v>649</v>
      </c>
      <c r="AM39" t="s">
        <v>649</v>
      </c>
      <c r="AN39" t="s">
        <v>649</v>
      </c>
      <c r="AO39" t="s">
        <v>649</v>
      </c>
      <c r="AP39" t="s">
        <v>649</v>
      </c>
      <c r="AQ39" t="s">
        <v>649</v>
      </c>
      <c r="AR39" t="s">
        <v>649</v>
      </c>
      <c r="AS39" t="s">
        <v>649</v>
      </c>
      <c r="AT39" t="s">
        <v>649</v>
      </c>
      <c r="AU39" t="s">
        <v>649</v>
      </c>
      <c r="AV39" t="s">
        <v>649</v>
      </c>
      <c r="AW39" t="s">
        <v>649</v>
      </c>
      <c r="AX39" t="s">
        <v>649</v>
      </c>
      <c r="AY39" t="s">
        <v>649</v>
      </c>
      <c r="AZ39" t="s">
        <v>649</v>
      </c>
      <c r="BA39" t="s">
        <v>649</v>
      </c>
      <c r="BB39" t="s">
        <v>649</v>
      </c>
      <c r="BC39" t="s">
        <v>649</v>
      </c>
      <c r="BD39" t="s">
        <v>649</v>
      </c>
      <c r="BE39" t="s">
        <v>649</v>
      </c>
      <c r="BF39" t="s">
        <v>649</v>
      </c>
      <c r="BG39" t="s">
        <v>649</v>
      </c>
      <c r="BH39" t="s">
        <v>649</v>
      </c>
      <c r="BI39" t="s">
        <v>649</v>
      </c>
      <c r="BJ39" t="s">
        <v>649</v>
      </c>
      <c r="BK39" t="s">
        <v>649</v>
      </c>
      <c r="BL39" t="s">
        <v>649</v>
      </c>
      <c r="BM39" t="s">
        <v>649</v>
      </c>
      <c r="BN39" t="s">
        <v>649</v>
      </c>
      <c r="BO39" t="s">
        <v>649</v>
      </c>
      <c r="BP39" t="s">
        <v>649</v>
      </c>
      <c r="BQ39" t="s">
        <v>649</v>
      </c>
      <c r="BR39" t="s">
        <v>649</v>
      </c>
      <c r="BS39" t="s">
        <v>649</v>
      </c>
      <c r="BT39" t="s">
        <v>649</v>
      </c>
      <c r="BU39" t="s">
        <v>649</v>
      </c>
      <c r="BV39" t="s">
        <v>649</v>
      </c>
      <c r="BW39" t="s">
        <v>649</v>
      </c>
      <c r="BX39" t="s">
        <v>649</v>
      </c>
      <c r="BY39" t="s">
        <v>649</v>
      </c>
      <c r="BZ39" t="s">
        <v>649</v>
      </c>
      <c r="CA39" t="s">
        <v>649</v>
      </c>
      <c r="CB39" t="s">
        <v>649</v>
      </c>
      <c r="CC39" t="s">
        <v>649</v>
      </c>
      <c r="CD39" t="s">
        <v>649</v>
      </c>
    </row>
    <row r="40" spans="2:82">
      <c r="B40" s="805">
        <v>23</v>
      </c>
      <c r="C40" s="805" t="s">
        <v>700</v>
      </c>
      <c r="D40" s="805" t="s">
        <v>702</v>
      </c>
      <c r="E40" s="805" t="s">
        <v>925</v>
      </c>
      <c r="F40" s="805" t="s">
        <v>926</v>
      </c>
      <c r="G40" s="805" t="s">
        <v>791</v>
      </c>
      <c r="H40" s="805" t="s">
        <v>922</v>
      </c>
      <c r="I40" s="805" t="s">
        <v>927</v>
      </c>
      <c r="J40" s="805" t="s">
        <v>650</v>
      </c>
      <c r="K40" s="805" t="s">
        <v>928</v>
      </c>
      <c r="L40" s="805" t="s">
        <v>654</v>
      </c>
      <c r="M40" t="s">
        <v>654</v>
      </c>
      <c r="N40" t="s">
        <v>654</v>
      </c>
      <c r="O40" t="s">
        <v>654</v>
      </c>
      <c r="P40" t="s">
        <v>654</v>
      </c>
      <c r="Q40" t="s">
        <v>654</v>
      </c>
      <c r="R40" t="s">
        <v>654</v>
      </c>
      <c r="S40" t="s">
        <v>654</v>
      </c>
      <c r="T40" t="s">
        <v>654</v>
      </c>
      <c r="U40" t="s">
        <v>654</v>
      </c>
      <c r="V40" t="s">
        <v>654</v>
      </c>
      <c r="W40" t="s">
        <v>654</v>
      </c>
      <c r="X40" t="s">
        <v>654</v>
      </c>
      <c r="Y40" t="s">
        <v>654</v>
      </c>
      <c r="Z40" t="s">
        <v>654</v>
      </c>
      <c r="AA40" t="s">
        <v>654</v>
      </c>
      <c r="AB40" t="s">
        <v>654</v>
      </c>
      <c r="AC40" t="s">
        <v>654</v>
      </c>
      <c r="AD40" t="s">
        <v>654</v>
      </c>
      <c r="AE40" t="s">
        <v>654</v>
      </c>
      <c r="AF40" t="s">
        <v>654</v>
      </c>
      <c r="AG40" t="s">
        <v>654</v>
      </c>
      <c r="AH40" t="s">
        <v>654</v>
      </c>
      <c r="AI40" t="s">
        <v>654</v>
      </c>
      <c r="AJ40" t="s">
        <v>654</v>
      </c>
      <c r="AK40" t="s">
        <v>654</v>
      </c>
      <c r="AL40" t="s">
        <v>654</v>
      </c>
      <c r="AM40" t="s">
        <v>654</v>
      </c>
      <c r="AN40" t="s">
        <v>654</v>
      </c>
      <c r="AO40" t="s">
        <v>654</v>
      </c>
      <c r="AP40" t="s">
        <v>654</v>
      </c>
      <c r="AQ40" t="s">
        <v>654</v>
      </c>
      <c r="AR40" t="s">
        <v>654</v>
      </c>
      <c r="AS40" t="s">
        <v>654</v>
      </c>
      <c r="AT40" t="s">
        <v>654</v>
      </c>
      <c r="AU40" t="s">
        <v>654</v>
      </c>
      <c r="AV40" t="s">
        <v>654</v>
      </c>
      <c r="AW40" t="s">
        <v>654</v>
      </c>
      <c r="AX40" t="s">
        <v>654</v>
      </c>
      <c r="AY40" t="s">
        <v>654</v>
      </c>
      <c r="AZ40" t="s">
        <v>654</v>
      </c>
      <c r="BA40" t="s">
        <v>654</v>
      </c>
      <c r="BB40" t="s">
        <v>654</v>
      </c>
      <c r="BC40" t="s">
        <v>654</v>
      </c>
      <c r="BD40" t="s">
        <v>654</v>
      </c>
      <c r="BE40" t="s">
        <v>654</v>
      </c>
      <c r="BF40" t="s">
        <v>654</v>
      </c>
      <c r="BG40" t="s">
        <v>654</v>
      </c>
      <c r="BH40" t="s">
        <v>654</v>
      </c>
      <c r="BI40" t="s">
        <v>654</v>
      </c>
      <c r="BJ40" t="s">
        <v>654</v>
      </c>
      <c r="BK40" t="s">
        <v>654</v>
      </c>
      <c r="BL40" t="s">
        <v>654</v>
      </c>
      <c r="BM40" t="s">
        <v>654</v>
      </c>
      <c r="BN40" t="s">
        <v>654</v>
      </c>
      <c r="BO40" t="s">
        <v>654</v>
      </c>
      <c r="BP40" t="s">
        <v>654</v>
      </c>
      <c r="BQ40" t="s">
        <v>654</v>
      </c>
      <c r="BR40" t="s">
        <v>654</v>
      </c>
      <c r="BS40" t="s">
        <v>654</v>
      </c>
      <c r="BT40" t="s">
        <v>654</v>
      </c>
      <c r="BU40" t="s">
        <v>654</v>
      </c>
      <c r="BV40" t="s">
        <v>654</v>
      </c>
      <c r="BW40" t="s">
        <v>654</v>
      </c>
      <c r="BX40" t="s">
        <v>654</v>
      </c>
      <c r="BY40" t="s">
        <v>654</v>
      </c>
      <c r="BZ40" t="s">
        <v>654</v>
      </c>
      <c r="CA40" t="s">
        <v>654</v>
      </c>
      <c r="CB40" t="s">
        <v>654</v>
      </c>
      <c r="CC40" t="s">
        <v>654</v>
      </c>
      <c r="CD40" t="s">
        <v>654</v>
      </c>
    </row>
    <row r="41" spans="2:82">
      <c r="B41" s="805">
        <v>22</v>
      </c>
      <c r="C41" s="805" t="s">
        <v>701</v>
      </c>
      <c r="D41" s="805" t="s">
        <v>691</v>
      </c>
      <c r="E41" s="805" t="s">
        <v>680</v>
      </c>
      <c r="F41" s="805" t="s">
        <v>673</v>
      </c>
      <c r="G41" s="805" t="s">
        <v>926</v>
      </c>
      <c r="H41" s="805" t="s">
        <v>664</v>
      </c>
      <c r="I41" s="805" t="s">
        <v>658</v>
      </c>
      <c r="J41" s="805" t="s">
        <v>655</v>
      </c>
      <c r="K41" s="805" t="s">
        <v>652</v>
      </c>
      <c r="L41" s="805" t="s">
        <v>650</v>
      </c>
      <c r="M41" t="s">
        <v>650</v>
      </c>
      <c r="N41" t="s">
        <v>650</v>
      </c>
      <c r="O41" t="s">
        <v>650</v>
      </c>
      <c r="P41" t="s">
        <v>650</v>
      </c>
      <c r="Q41" t="s">
        <v>650</v>
      </c>
      <c r="R41" t="s">
        <v>650</v>
      </c>
      <c r="S41" t="s">
        <v>650</v>
      </c>
      <c r="T41" t="s">
        <v>650</v>
      </c>
      <c r="U41" t="s">
        <v>650</v>
      </c>
      <c r="V41" t="s">
        <v>650</v>
      </c>
      <c r="W41" t="s">
        <v>650</v>
      </c>
      <c r="X41" t="s">
        <v>650</v>
      </c>
      <c r="Y41" t="s">
        <v>650</v>
      </c>
      <c r="Z41" t="s">
        <v>650</v>
      </c>
      <c r="AA41" t="s">
        <v>650</v>
      </c>
      <c r="AB41" t="s">
        <v>650</v>
      </c>
      <c r="AC41" t="s">
        <v>650</v>
      </c>
      <c r="AD41" t="s">
        <v>650</v>
      </c>
      <c r="AE41" t="s">
        <v>650</v>
      </c>
      <c r="AF41" t="s">
        <v>650</v>
      </c>
      <c r="AG41" t="s">
        <v>650</v>
      </c>
      <c r="AH41" t="s">
        <v>650</v>
      </c>
      <c r="AI41" t="s">
        <v>650</v>
      </c>
      <c r="AJ41" t="s">
        <v>650</v>
      </c>
      <c r="AK41" t="s">
        <v>650</v>
      </c>
      <c r="AL41" t="s">
        <v>650</v>
      </c>
      <c r="AM41" t="s">
        <v>650</v>
      </c>
      <c r="AN41" t="s">
        <v>650</v>
      </c>
      <c r="AO41" t="s">
        <v>650</v>
      </c>
      <c r="AP41" t="s">
        <v>650</v>
      </c>
      <c r="AQ41" t="s">
        <v>650</v>
      </c>
      <c r="AR41" t="s">
        <v>650</v>
      </c>
      <c r="AS41" t="s">
        <v>650</v>
      </c>
      <c r="AT41" t="s">
        <v>650</v>
      </c>
      <c r="AU41" t="s">
        <v>650</v>
      </c>
      <c r="AV41" t="s">
        <v>650</v>
      </c>
      <c r="AW41" t="s">
        <v>650</v>
      </c>
      <c r="AX41" t="s">
        <v>650</v>
      </c>
      <c r="AY41" t="s">
        <v>650</v>
      </c>
      <c r="AZ41" t="s">
        <v>650</v>
      </c>
      <c r="BA41" t="s">
        <v>650</v>
      </c>
      <c r="BB41" t="s">
        <v>650</v>
      </c>
      <c r="BC41" t="s">
        <v>650</v>
      </c>
      <c r="BD41" t="s">
        <v>650</v>
      </c>
      <c r="BE41" t="s">
        <v>650</v>
      </c>
      <c r="BF41" t="s">
        <v>650</v>
      </c>
      <c r="BG41" t="s">
        <v>650</v>
      </c>
      <c r="BH41" t="s">
        <v>650</v>
      </c>
      <c r="BI41" t="s">
        <v>650</v>
      </c>
      <c r="BJ41" t="s">
        <v>650</v>
      </c>
      <c r="BK41" t="s">
        <v>650</v>
      </c>
      <c r="BL41" t="s">
        <v>650</v>
      </c>
      <c r="BM41" t="s">
        <v>650</v>
      </c>
      <c r="BN41" t="s">
        <v>650</v>
      </c>
      <c r="BO41" t="s">
        <v>650</v>
      </c>
      <c r="BP41" t="s">
        <v>650</v>
      </c>
      <c r="BQ41" t="s">
        <v>650</v>
      </c>
      <c r="BR41" t="s">
        <v>650</v>
      </c>
      <c r="BS41" t="s">
        <v>650</v>
      </c>
      <c r="BT41" t="s">
        <v>650</v>
      </c>
      <c r="BU41" t="s">
        <v>650</v>
      </c>
      <c r="BV41" t="s">
        <v>650</v>
      </c>
      <c r="BW41" t="s">
        <v>650</v>
      </c>
      <c r="BX41" t="s">
        <v>650</v>
      </c>
      <c r="BY41" t="s">
        <v>650</v>
      </c>
      <c r="BZ41" t="s">
        <v>650</v>
      </c>
      <c r="CA41" t="s">
        <v>650</v>
      </c>
      <c r="CB41" t="s">
        <v>650</v>
      </c>
      <c r="CC41" t="s">
        <v>650</v>
      </c>
      <c r="CD41" t="s">
        <v>650</v>
      </c>
    </row>
    <row r="42" spans="2:82">
      <c r="B42" s="805">
        <v>21</v>
      </c>
      <c r="C42" s="805" t="s">
        <v>929</v>
      </c>
      <c r="D42" s="805" t="s">
        <v>835</v>
      </c>
      <c r="E42" s="805" t="s">
        <v>930</v>
      </c>
      <c r="F42" s="805" t="s">
        <v>815</v>
      </c>
      <c r="G42" s="805" t="s">
        <v>925</v>
      </c>
      <c r="H42" s="805" t="s">
        <v>931</v>
      </c>
      <c r="I42" s="805" t="s">
        <v>932</v>
      </c>
      <c r="J42" s="805" t="s">
        <v>933</v>
      </c>
      <c r="K42" s="805" t="s">
        <v>934</v>
      </c>
      <c r="L42" s="805" t="s">
        <v>655</v>
      </c>
      <c r="M42" t="s">
        <v>655</v>
      </c>
      <c r="N42" t="s">
        <v>655</v>
      </c>
      <c r="O42" t="s">
        <v>655</v>
      </c>
      <c r="P42" t="s">
        <v>655</v>
      </c>
      <c r="Q42" t="s">
        <v>655</v>
      </c>
      <c r="R42" t="s">
        <v>655</v>
      </c>
      <c r="S42" t="s">
        <v>655</v>
      </c>
      <c r="T42" t="s">
        <v>655</v>
      </c>
      <c r="U42" t="s">
        <v>655</v>
      </c>
      <c r="V42" t="s">
        <v>655</v>
      </c>
      <c r="W42" t="s">
        <v>655</v>
      </c>
      <c r="X42" t="s">
        <v>655</v>
      </c>
      <c r="Y42" t="s">
        <v>655</v>
      </c>
      <c r="Z42" t="s">
        <v>655</v>
      </c>
      <c r="AA42" t="s">
        <v>655</v>
      </c>
      <c r="AB42" t="s">
        <v>655</v>
      </c>
      <c r="AC42" t="s">
        <v>655</v>
      </c>
      <c r="AD42" t="s">
        <v>655</v>
      </c>
      <c r="AE42" t="s">
        <v>655</v>
      </c>
      <c r="AF42" t="s">
        <v>655</v>
      </c>
      <c r="AG42" t="s">
        <v>655</v>
      </c>
      <c r="AH42" t="s">
        <v>655</v>
      </c>
      <c r="AI42" t="s">
        <v>655</v>
      </c>
      <c r="AJ42" t="s">
        <v>655</v>
      </c>
      <c r="AK42" t="s">
        <v>655</v>
      </c>
      <c r="AL42" t="s">
        <v>655</v>
      </c>
      <c r="AM42" t="s">
        <v>655</v>
      </c>
      <c r="AN42" t="s">
        <v>655</v>
      </c>
      <c r="AO42" t="s">
        <v>655</v>
      </c>
      <c r="AP42" t="s">
        <v>655</v>
      </c>
      <c r="AQ42" t="s">
        <v>655</v>
      </c>
      <c r="AR42" t="s">
        <v>655</v>
      </c>
      <c r="AS42" t="s">
        <v>655</v>
      </c>
      <c r="AT42" t="s">
        <v>655</v>
      </c>
      <c r="AU42" t="s">
        <v>655</v>
      </c>
      <c r="AV42" t="s">
        <v>655</v>
      </c>
      <c r="AW42" t="s">
        <v>655</v>
      </c>
      <c r="AX42" t="s">
        <v>655</v>
      </c>
      <c r="AY42" t="s">
        <v>655</v>
      </c>
      <c r="AZ42" t="s">
        <v>655</v>
      </c>
      <c r="BA42" t="s">
        <v>655</v>
      </c>
      <c r="BB42" t="s">
        <v>655</v>
      </c>
      <c r="BC42" t="s">
        <v>655</v>
      </c>
      <c r="BD42" t="s">
        <v>655</v>
      </c>
      <c r="BE42" t="s">
        <v>655</v>
      </c>
      <c r="BF42" t="s">
        <v>655</v>
      </c>
      <c r="BG42" t="s">
        <v>655</v>
      </c>
      <c r="BH42" t="s">
        <v>655</v>
      </c>
      <c r="BI42" t="s">
        <v>655</v>
      </c>
      <c r="BJ42" t="s">
        <v>655</v>
      </c>
      <c r="BK42" t="s">
        <v>655</v>
      </c>
      <c r="BL42" t="s">
        <v>655</v>
      </c>
      <c r="BM42" t="s">
        <v>655</v>
      </c>
      <c r="BN42" t="s">
        <v>655</v>
      </c>
      <c r="BO42" t="s">
        <v>655</v>
      </c>
      <c r="BP42" t="s">
        <v>655</v>
      </c>
      <c r="BQ42" t="s">
        <v>655</v>
      </c>
      <c r="BR42" t="s">
        <v>655</v>
      </c>
      <c r="BS42" t="s">
        <v>655</v>
      </c>
      <c r="BT42" t="s">
        <v>655</v>
      </c>
      <c r="BU42" t="s">
        <v>655</v>
      </c>
      <c r="BV42" t="s">
        <v>655</v>
      </c>
      <c r="BW42" t="s">
        <v>655</v>
      </c>
      <c r="BX42" t="s">
        <v>655</v>
      </c>
      <c r="BY42" t="s">
        <v>655</v>
      </c>
      <c r="BZ42" t="s">
        <v>655</v>
      </c>
      <c r="CA42" t="s">
        <v>655</v>
      </c>
      <c r="CB42" t="s">
        <v>655</v>
      </c>
      <c r="CC42" t="s">
        <v>655</v>
      </c>
      <c r="CD42" t="s">
        <v>655</v>
      </c>
    </row>
    <row r="43" spans="2:82">
      <c r="B43" s="805">
        <v>20</v>
      </c>
      <c r="C43" s="805" t="s">
        <v>719</v>
      </c>
      <c r="D43" s="805" t="s">
        <v>935</v>
      </c>
      <c r="E43" s="805" t="s">
        <v>695</v>
      </c>
      <c r="F43" s="805" t="s">
        <v>936</v>
      </c>
      <c r="G43" s="805" t="s">
        <v>680</v>
      </c>
      <c r="H43" s="805" t="s">
        <v>937</v>
      </c>
      <c r="I43" s="805" t="s">
        <v>670</v>
      </c>
      <c r="J43" s="805" t="s">
        <v>756</v>
      </c>
      <c r="K43" s="805" t="s">
        <v>938</v>
      </c>
      <c r="L43" s="805" t="s">
        <v>665</v>
      </c>
      <c r="M43" t="s">
        <v>665</v>
      </c>
      <c r="N43" t="s">
        <v>665</v>
      </c>
      <c r="O43" t="s">
        <v>665</v>
      </c>
      <c r="P43" t="s">
        <v>665</v>
      </c>
      <c r="Q43" t="s">
        <v>665</v>
      </c>
      <c r="R43" t="s">
        <v>665</v>
      </c>
      <c r="S43" t="s">
        <v>665</v>
      </c>
      <c r="T43" t="s">
        <v>665</v>
      </c>
      <c r="U43" t="s">
        <v>665</v>
      </c>
      <c r="V43" t="s">
        <v>665</v>
      </c>
      <c r="W43" t="s">
        <v>665</v>
      </c>
      <c r="X43" t="s">
        <v>665</v>
      </c>
      <c r="Y43" t="s">
        <v>665</v>
      </c>
      <c r="Z43" t="s">
        <v>665</v>
      </c>
      <c r="AA43" t="s">
        <v>665</v>
      </c>
      <c r="AB43" t="s">
        <v>665</v>
      </c>
      <c r="AC43" t="s">
        <v>665</v>
      </c>
      <c r="AD43" t="s">
        <v>665</v>
      </c>
      <c r="AE43" t="s">
        <v>665</v>
      </c>
      <c r="AF43" t="s">
        <v>665</v>
      </c>
      <c r="AG43" t="s">
        <v>665</v>
      </c>
      <c r="AH43" t="s">
        <v>665</v>
      </c>
      <c r="AI43" t="s">
        <v>665</v>
      </c>
      <c r="AJ43" t="s">
        <v>665</v>
      </c>
      <c r="AK43" t="s">
        <v>665</v>
      </c>
      <c r="AL43" t="s">
        <v>665</v>
      </c>
      <c r="AM43" t="s">
        <v>665</v>
      </c>
      <c r="AN43" t="s">
        <v>665</v>
      </c>
      <c r="AO43" t="s">
        <v>665</v>
      </c>
      <c r="AP43" t="s">
        <v>665</v>
      </c>
      <c r="AQ43" t="s">
        <v>665</v>
      </c>
      <c r="AR43" t="s">
        <v>665</v>
      </c>
      <c r="AS43" t="s">
        <v>665</v>
      </c>
      <c r="AT43" t="s">
        <v>665</v>
      </c>
      <c r="AU43" t="s">
        <v>665</v>
      </c>
      <c r="AV43" t="s">
        <v>665</v>
      </c>
      <c r="AW43" t="s">
        <v>665</v>
      </c>
      <c r="AX43" t="s">
        <v>665</v>
      </c>
      <c r="AY43" t="s">
        <v>665</v>
      </c>
      <c r="AZ43" t="s">
        <v>665</v>
      </c>
      <c r="BA43" t="s">
        <v>665</v>
      </c>
      <c r="BB43" t="s">
        <v>665</v>
      </c>
      <c r="BC43" t="s">
        <v>665</v>
      </c>
      <c r="BD43" t="s">
        <v>665</v>
      </c>
      <c r="BE43" t="s">
        <v>665</v>
      </c>
      <c r="BF43" t="s">
        <v>665</v>
      </c>
      <c r="BG43" t="s">
        <v>665</v>
      </c>
      <c r="BH43" t="s">
        <v>665</v>
      </c>
      <c r="BI43" t="s">
        <v>665</v>
      </c>
      <c r="BJ43" t="s">
        <v>665</v>
      </c>
      <c r="BK43" t="s">
        <v>665</v>
      </c>
      <c r="BL43" t="s">
        <v>665</v>
      </c>
      <c r="BM43" t="s">
        <v>665</v>
      </c>
      <c r="BN43" t="s">
        <v>665</v>
      </c>
      <c r="BO43" t="s">
        <v>665</v>
      </c>
      <c r="BP43" t="s">
        <v>665</v>
      </c>
      <c r="BQ43" t="s">
        <v>665</v>
      </c>
      <c r="BR43" t="s">
        <v>665</v>
      </c>
      <c r="BS43" t="s">
        <v>665</v>
      </c>
      <c r="BT43" t="s">
        <v>665</v>
      </c>
      <c r="BU43" t="s">
        <v>665</v>
      </c>
      <c r="BV43" t="s">
        <v>665</v>
      </c>
      <c r="BW43" t="s">
        <v>665</v>
      </c>
      <c r="BX43" t="s">
        <v>665</v>
      </c>
      <c r="BY43" t="s">
        <v>665</v>
      </c>
      <c r="BZ43" t="s">
        <v>665</v>
      </c>
      <c r="CA43" t="s">
        <v>665</v>
      </c>
      <c r="CB43" t="s">
        <v>665</v>
      </c>
      <c r="CC43" t="s">
        <v>665</v>
      </c>
      <c r="CD43" t="s">
        <v>665</v>
      </c>
    </row>
    <row r="44" spans="2:82">
      <c r="B44" s="805">
        <v>19</v>
      </c>
      <c r="C44" s="805" t="s">
        <v>939</v>
      </c>
      <c r="D44" s="805" t="s">
        <v>709</v>
      </c>
      <c r="E44" s="805" t="s">
        <v>700</v>
      </c>
      <c r="F44" s="805" t="s">
        <v>940</v>
      </c>
      <c r="G44" s="805" t="s">
        <v>941</v>
      </c>
      <c r="H44" s="805" t="s">
        <v>680</v>
      </c>
      <c r="I44" s="805" t="s">
        <v>942</v>
      </c>
      <c r="J44" s="805" t="s">
        <v>943</v>
      </c>
      <c r="K44" s="805" t="s">
        <v>686</v>
      </c>
      <c r="L44" s="805" t="s">
        <v>668</v>
      </c>
      <c r="M44" t="s">
        <v>668</v>
      </c>
      <c r="N44" t="s">
        <v>668</v>
      </c>
      <c r="O44" t="s">
        <v>668</v>
      </c>
      <c r="P44" t="s">
        <v>668</v>
      </c>
      <c r="Q44" t="s">
        <v>668</v>
      </c>
      <c r="R44" t="s">
        <v>668</v>
      </c>
      <c r="S44" t="s">
        <v>668</v>
      </c>
      <c r="T44" t="s">
        <v>668</v>
      </c>
      <c r="U44" t="s">
        <v>668</v>
      </c>
      <c r="V44" t="s">
        <v>668</v>
      </c>
      <c r="W44" t="s">
        <v>668</v>
      </c>
      <c r="X44" t="s">
        <v>668</v>
      </c>
      <c r="Y44" t="s">
        <v>668</v>
      </c>
      <c r="Z44" t="s">
        <v>668</v>
      </c>
      <c r="AA44" t="s">
        <v>668</v>
      </c>
      <c r="AB44" t="s">
        <v>668</v>
      </c>
      <c r="AC44" t="s">
        <v>668</v>
      </c>
      <c r="AD44" t="s">
        <v>668</v>
      </c>
      <c r="AE44" t="s">
        <v>668</v>
      </c>
      <c r="AF44" t="s">
        <v>668</v>
      </c>
      <c r="AG44" t="s">
        <v>668</v>
      </c>
      <c r="AH44" t="s">
        <v>668</v>
      </c>
      <c r="AI44" t="s">
        <v>668</v>
      </c>
      <c r="AJ44" t="s">
        <v>668</v>
      </c>
      <c r="AK44" t="s">
        <v>668</v>
      </c>
      <c r="AL44" t="s">
        <v>668</v>
      </c>
      <c r="AM44" t="s">
        <v>668</v>
      </c>
      <c r="AN44" t="s">
        <v>668</v>
      </c>
      <c r="AO44" t="s">
        <v>668</v>
      </c>
      <c r="AP44" t="s">
        <v>668</v>
      </c>
      <c r="AQ44" t="s">
        <v>668</v>
      </c>
      <c r="AR44" t="s">
        <v>668</v>
      </c>
      <c r="AS44" t="s">
        <v>668</v>
      </c>
      <c r="AT44" t="s">
        <v>668</v>
      </c>
      <c r="AU44" t="s">
        <v>668</v>
      </c>
      <c r="AV44" t="s">
        <v>668</v>
      </c>
      <c r="AW44" t="s">
        <v>668</v>
      </c>
      <c r="AX44" t="s">
        <v>668</v>
      </c>
      <c r="AY44" t="s">
        <v>668</v>
      </c>
      <c r="AZ44" t="s">
        <v>668</v>
      </c>
      <c r="BA44" t="s">
        <v>668</v>
      </c>
      <c r="BB44" t="s">
        <v>668</v>
      </c>
      <c r="BC44" t="s">
        <v>668</v>
      </c>
      <c r="BD44" t="s">
        <v>668</v>
      </c>
      <c r="BE44" t="s">
        <v>668</v>
      </c>
      <c r="BF44" t="s">
        <v>668</v>
      </c>
      <c r="BG44" t="s">
        <v>668</v>
      </c>
      <c r="BH44" t="s">
        <v>668</v>
      </c>
      <c r="BI44" t="s">
        <v>668</v>
      </c>
      <c r="BJ44" t="s">
        <v>668</v>
      </c>
      <c r="BK44" t="s">
        <v>668</v>
      </c>
      <c r="BL44" t="s">
        <v>668</v>
      </c>
      <c r="BM44" t="s">
        <v>668</v>
      </c>
      <c r="BN44" t="s">
        <v>668</v>
      </c>
      <c r="BO44" t="s">
        <v>668</v>
      </c>
      <c r="BP44" t="s">
        <v>668</v>
      </c>
      <c r="BQ44" t="s">
        <v>668</v>
      </c>
      <c r="BR44" t="s">
        <v>668</v>
      </c>
      <c r="BS44" t="s">
        <v>668</v>
      </c>
      <c r="BT44" t="s">
        <v>668</v>
      </c>
      <c r="BU44" t="s">
        <v>668</v>
      </c>
      <c r="BV44" t="s">
        <v>668</v>
      </c>
      <c r="BW44" t="s">
        <v>668</v>
      </c>
      <c r="BX44" t="s">
        <v>668</v>
      </c>
      <c r="BY44" t="s">
        <v>668</v>
      </c>
      <c r="BZ44" t="s">
        <v>668</v>
      </c>
      <c r="CA44" t="s">
        <v>668</v>
      </c>
      <c r="CB44" t="s">
        <v>668</v>
      </c>
      <c r="CC44" t="s">
        <v>668</v>
      </c>
      <c r="CD44" t="s">
        <v>668</v>
      </c>
    </row>
    <row r="45" spans="2:82">
      <c r="B45" s="805">
        <v>18</v>
      </c>
      <c r="C45" s="805" t="s">
        <v>944</v>
      </c>
      <c r="D45" s="805" t="s">
        <v>939</v>
      </c>
      <c r="E45" s="805" t="s">
        <v>945</v>
      </c>
      <c r="F45" s="805" t="s">
        <v>946</v>
      </c>
      <c r="G45" s="805" t="s">
        <v>754</v>
      </c>
      <c r="H45" s="805" t="s">
        <v>947</v>
      </c>
      <c r="I45" s="805" t="s">
        <v>948</v>
      </c>
      <c r="J45" s="805" t="s">
        <v>949</v>
      </c>
      <c r="K45" s="805" t="s">
        <v>950</v>
      </c>
      <c r="L45" s="805" t="s">
        <v>670</v>
      </c>
      <c r="M45" t="s">
        <v>670</v>
      </c>
      <c r="N45" t="s">
        <v>670</v>
      </c>
      <c r="O45" t="s">
        <v>670</v>
      </c>
      <c r="P45" t="s">
        <v>670</v>
      </c>
      <c r="Q45" t="s">
        <v>670</v>
      </c>
      <c r="R45" t="s">
        <v>670</v>
      </c>
      <c r="S45" t="s">
        <v>670</v>
      </c>
      <c r="T45" t="s">
        <v>670</v>
      </c>
      <c r="U45" t="s">
        <v>670</v>
      </c>
      <c r="V45" t="s">
        <v>670</v>
      </c>
      <c r="W45" t="s">
        <v>670</v>
      </c>
      <c r="X45" t="s">
        <v>670</v>
      </c>
      <c r="Y45" t="s">
        <v>670</v>
      </c>
      <c r="Z45" t="s">
        <v>670</v>
      </c>
      <c r="AA45" t="s">
        <v>670</v>
      </c>
      <c r="AB45" t="s">
        <v>670</v>
      </c>
      <c r="AC45" t="s">
        <v>670</v>
      </c>
      <c r="AD45" t="s">
        <v>670</v>
      </c>
      <c r="AE45" t="s">
        <v>670</v>
      </c>
      <c r="AF45" t="s">
        <v>670</v>
      </c>
      <c r="AG45" t="s">
        <v>670</v>
      </c>
      <c r="AH45" t="s">
        <v>670</v>
      </c>
      <c r="AI45" t="s">
        <v>670</v>
      </c>
      <c r="AJ45" t="s">
        <v>670</v>
      </c>
      <c r="AK45" t="s">
        <v>670</v>
      </c>
      <c r="AL45" t="s">
        <v>670</v>
      </c>
      <c r="AM45" t="s">
        <v>670</v>
      </c>
      <c r="AN45" t="s">
        <v>670</v>
      </c>
      <c r="AO45" t="s">
        <v>670</v>
      </c>
      <c r="AP45" t="s">
        <v>670</v>
      </c>
      <c r="AQ45" t="s">
        <v>670</v>
      </c>
      <c r="AR45" t="s">
        <v>670</v>
      </c>
      <c r="AS45" t="s">
        <v>670</v>
      </c>
      <c r="AT45" t="s">
        <v>670</v>
      </c>
      <c r="AU45" t="s">
        <v>670</v>
      </c>
      <c r="AV45" t="s">
        <v>670</v>
      </c>
      <c r="AW45" t="s">
        <v>670</v>
      </c>
      <c r="AX45" t="s">
        <v>670</v>
      </c>
      <c r="AY45" t="s">
        <v>670</v>
      </c>
      <c r="AZ45" t="s">
        <v>670</v>
      </c>
      <c r="BA45" t="s">
        <v>670</v>
      </c>
      <c r="BB45" t="s">
        <v>670</v>
      </c>
      <c r="BC45" t="s">
        <v>670</v>
      </c>
      <c r="BD45" t="s">
        <v>670</v>
      </c>
      <c r="BE45" t="s">
        <v>670</v>
      </c>
      <c r="BF45" t="s">
        <v>670</v>
      </c>
      <c r="BG45" t="s">
        <v>670</v>
      </c>
      <c r="BH45" t="s">
        <v>670</v>
      </c>
      <c r="BI45" t="s">
        <v>670</v>
      </c>
      <c r="BJ45" t="s">
        <v>670</v>
      </c>
      <c r="BK45" t="s">
        <v>670</v>
      </c>
      <c r="BL45" t="s">
        <v>670</v>
      </c>
      <c r="BM45" t="s">
        <v>670</v>
      </c>
      <c r="BN45" t="s">
        <v>670</v>
      </c>
      <c r="BO45" t="s">
        <v>670</v>
      </c>
      <c r="BP45" t="s">
        <v>670</v>
      </c>
      <c r="BQ45" t="s">
        <v>670</v>
      </c>
      <c r="BR45" t="s">
        <v>670</v>
      </c>
      <c r="BS45" t="s">
        <v>670</v>
      </c>
      <c r="BT45" t="s">
        <v>670</v>
      </c>
      <c r="BU45" t="s">
        <v>670</v>
      </c>
      <c r="BV45" t="s">
        <v>670</v>
      </c>
      <c r="BW45" t="s">
        <v>670</v>
      </c>
      <c r="BX45" t="s">
        <v>670</v>
      </c>
      <c r="BY45" t="s">
        <v>670</v>
      </c>
      <c r="BZ45" t="s">
        <v>670</v>
      </c>
      <c r="CA45" t="s">
        <v>670</v>
      </c>
      <c r="CB45" t="s">
        <v>670</v>
      </c>
      <c r="CC45" t="s">
        <v>670</v>
      </c>
      <c r="CD45" t="s">
        <v>670</v>
      </c>
    </row>
    <row r="46" spans="2:82">
      <c r="B46" s="805">
        <v>17</v>
      </c>
      <c r="C46" s="805" t="s">
        <v>951</v>
      </c>
      <c r="D46" s="805" t="s">
        <v>952</v>
      </c>
      <c r="E46" s="805" t="s">
        <v>953</v>
      </c>
      <c r="F46" s="805" t="s">
        <v>834</v>
      </c>
      <c r="G46" s="805" t="s">
        <v>803</v>
      </c>
      <c r="H46" s="805" t="s">
        <v>954</v>
      </c>
      <c r="I46" s="805" t="s">
        <v>955</v>
      </c>
      <c r="J46" s="805" t="s">
        <v>956</v>
      </c>
      <c r="K46" s="805" t="s">
        <v>957</v>
      </c>
      <c r="L46" s="805" t="s">
        <v>676</v>
      </c>
      <c r="M46" t="s">
        <v>676</v>
      </c>
      <c r="N46" t="s">
        <v>676</v>
      </c>
      <c r="O46" t="s">
        <v>676</v>
      </c>
      <c r="P46" t="s">
        <v>676</v>
      </c>
      <c r="Q46" t="s">
        <v>676</v>
      </c>
      <c r="R46" t="s">
        <v>676</v>
      </c>
      <c r="S46" t="s">
        <v>676</v>
      </c>
      <c r="T46" t="s">
        <v>676</v>
      </c>
      <c r="U46" t="s">
        <v>676</v>
      </c>
      <c r="V46" t="s">
        <v>676</v>
      </c>
      <c r="W46" t="s">
        <v>676</v>
      </c>
      <c r="X46" t="s">
        <v>676</v>
      </c>
      <c r="Y46" t="s">
        <v>676</v>
      </c>
      <c r="Z46" t="s">
        <v>676</v>
      </c>
      <c r="AA46" t="s">
        <v>676</v>
      </c>
      <c r="AB46" t="s">
        <v>676</v>
      </c>
      <c r="AC46" t="s">
        <v>676</v>
      </c>
      <c r="AD46" t="s">
        <v>676</v>
      </c>
      <c r="AE46" t="s">
        <v>676</v>
      </c>
      <c r="AF46" t="s">
        <v>676</v>
      </c>
      <c r="AG46" t="s">
        <v>676</v>
      </c>
      <c r="AH46" t="s">
        <v>676</v>
      </c>
      <c r="AI46" t="s">
        <v>676</v>
      </c>
      <c r="AJ46" t="s">
        <v>676</v>
      </c>
      <c r="AK46" t="s">
        <v>676</v>
      </c>
      <c r="AL46" t="s">
        <v>676</v>
      </c>
      <c r="AM46" t="s">
        <v>676</v>
      </c>
      <c r="AN46" t="s">
        <v>676</v>
      </c>
      <c r="AO46" t="s">
        <v>676</v>
      </c>
      <c r="AP46" t="s">
        <v>676</v>
      </c>
      <c r="AQ46" t="s">
        <v>676</v>
      </c>
      <c r="AR46" t="s">
        <v>676</v>
      </c>
      <c r="AS46" t="s">
        <v>676</v>
      </c>
      <c r="AT46" t="s">
        <v>676</v>
      </c>
      <c r="AU46" t="s">
        <v>676</v>
      </c>
      <c r="AV46" t="s">
        <v>676</v>
      </c>
      <c r="AW46" t="s">
        <v>676</v>
      </c>
      <c r="AX46" t="s">
        <v>676</v>
      </c>
      <c r="AY46" t="s">
        <v>676</v>
      </c>
      <c r="AZ46" t="s">
        <v>676</v>
      </c>
      <c r="BA46" t="s">
        <v>676</v>
      </c>
      <c r="BB46" t="s">
        <v>676</v>
      </c>
      <c r="BC46" t="s">
        <v>676</v>
      </c>
      <c r="BD46" t="s">
        <v>676</v>
      </c>
      <c r="BE46" t="s">
        <v>676</v>
      </c>
      <c r="BF46" t="s">
        <v>676</v>
      </c>
      <c r="BG46" t="s">
        <v>676</v>
      </c>
      <c r="BH46" t="s">
        <v>676</v>
      </c>
      <c r="BI46" t="s">
        <v>676</v>
      </c>
      <c r="BJ46" t="s">
        <v>676</v>
      </c>
      <c r="BK46" t="s">
        <v>676</v>
      </c>
      <c r="BL46" t="s">
        <v>676</v>
      </c>
      <c r="BM46" t="s">
        <v>676</v>
      </c>
      <c r="BN46" t="s">
        <v>676</v>
      </c>
      <c r="BO46" t="s">
        <v>676</v>
      </c>
      <c r="BP46" t="s">
        <v>676</v>
      </c>
      <c r="BQ46" t="s">
        <v>676</v>
      </c>
      <c r="BR46" t="s">
        <v>676</v>
      </c>
      <c r="BS46" t="s">
        <v>676</v>
      </c>
      <c r="BT46" t="s">
        <v>676</v>
      </c>
      <c r="BU46" t="s">
        <v>676</v>
      </c>
      <c r="BV46" t="s">
        <v>676</v>
      </c>
      <c r="BW46" t="s">
        <v>676</v>
      </c>
      <c r="BX46" t="s">
        <v>676</v>
      </c>
      <c r="BY46" t="s">
        <v>676</v>
      </c>
      <c r="BZ46" t="s">
        <v>676</v>
      </c>
      <c r="CA46" t="s">
        <v>676</v>
      </c>
      <c r="CB46" t="s">
        <v>676</v>
      </c>
      <c r="CC46" t="s">
        <v>676</v>
      </c>
      <c r="CD46" t="s">
        <v>676</v>
      </c>
    </row>
    <row r="47" spans="2:82">
      <c r="B47" s="805">
        <v>16</v>
      </c>
      <c r="C47" s="805" t="s">
        <v>839</v>
      </c>
      <c r="D47" s="805" t="s">
        <v>720</v>
      </c>
      <c r="E47" s="805" t="s">
        <v>719</v>
      </c>
      <c r="F47" s="805" t="s">
        <v>857</v>
      </c>
      <c r="G47" s="805" t="s">
        <v>701</v>
      </c>
      <c r="H47" s="805" t="s">
        <v>958</v>
      </c>
      <c r="I47" s="805" t="s">
        <v>959</v>
      </c>
      <c r="J47" s="805" t="s">
        <v>960</v>
      </c>
      <c r="K47" s="805" t="s">
        <v>961</v>
      </c>
      <c r="L47" s="805" t="s">
        <v>680</v>
      </c>
      <c r="M47" t="s">
        <v>680</v>
      </c>
      <c r="N47" t="s">
        <v>680</v>
      </c>
      <c r="O47" t="s">
        <v>680</v>
      </c>
      <c r="P47" t="s">
        <v>680</v>
      </c>
      <c r="Q47" t="s">
        <v>680</v>
      </c>
      <c r="R47" t="s">
        <v>680</v>
      </c>
      <c r="S47" t="s">
        <v>680</v>
      </c>
      <c r="T47" t="s">
        <v>680</v>
      </c>
      <c r="U47" t="s">
        <v>680</v>
      </c>
      <c r="V47" t="s">
        <v>680</v>
      </c>
      <c r="W47" t="s">
        <v>680</v>
      </c>
      <c r="X47" t="s">
        <v>680</v>
      </c>
      <c r="Y47" t="s">
        <v>680</v>
      </c>
      <c r="Z47" t="s">
        <v>680</v>
      </c>
      <c r="AA47" t="s">
        <v>680</v>
      </c>
      <c r="AB47" t="s">
        <v>680</v>
      </c>
      <c r="AC47" t="s">
        <v>680</v>
      </c>
      <c r="AD47" t="s">
        <v>680</v>
      </c>
      <c r="AE47" t="s">
        <v>680</v>
      </c>
      <c r="AF47" t="s">
        <v>680</v>
      </c>
      <c r="AG47" t="s">
        <v>680</v>
      </c>
      <c r="AH47" t="s">
        <v>680</v>
      </c>
      <c r="AI47" t="s">
        <v>680</v>
      </c>
      <c r="AJ47" t="s">
        <v>680</v>
      </c>
      <c r="AK47" t="s">
        <v>680</v>
      </c>
      <c r="AL47" t="s">
        <v>680</v>
      </c>
      <c r="AM47" t="s">
        <v>680</v>
      </c>
      <c r="AN47" t="s">
        <v>680</v>
      </c>
      <c r="AO47" t="s">
        <v>680</v>
      </c>
      <c r="AP47" t="s">
        <v>680</v>
      </c>
      <c r="AQ47" t="s">
        <v>680</v>
      </c>
      <c r="AR47" t="s">
        <v>680</v>
      </c>
      <c r="AS47" t="s">
        <v>680</v>
      </c>
      <c r="AT47" t="s">
        <v>680</v>
      </c>
      <c r="AU47" t="s">
        <v>680</v>
      </c>
      <c r="AV47" t="s">
        <v>680</v>
      </c>
      <c r="AW47" t="s">
        <v>680</v>
      </c>
      <c r="AX47" t="s">
        <v>680</v>
      </c>
      <c r="AY47" t="s">
        <v>680</v>
      </c>
      <c r="AZ47" t="s">
        <v>680</v>
      </c>
      <c r="BA47" t="s">
        <v>680</v>
      </c>
      <c r="BB47" t="s">
        <v>680</v>
      </c>
      <c r="BC47" t="s">
        <v>680</v>
      </c>
      <c r="BD47" t="s">
        <v>680</v>
      </c>
      <c r="BE47" t="s">
        <v>680</v>
      </c>
      <c r="BF47" t="s">
        <v>680</v>
      </c>
      <c r="BG47" t="s">
        <v>680</v>
      </c>
      <c r="BH47" t="s">
        <v>680</v>
      </c>
      <c r="BI47" t="s">
        <v>680</v>
      </c>
      <c r="BJ47" t="s">
        <v>680</v>
      </c>
      <c r="BK47" t="s">
        <v>680</v>
      </c>
      <c r="BL47" t="s">
        <v>680</v>
      </c>
      <c r="BM47" t="s">
        <v>680</v>
      </c>
      <c r="BN47" t="s">
        <v>680</v>
      </c>
      <c r="BO47" t="s">
        <v>680</v>
      </c>
      <c r="BP47" t="s">
        <v>680</v>
      </c>
      <c r="BQ47" t="s">
        <v>680</v>
      </c>
      <c r="BR47" t="s">
        <v>680</v>
      </c>
      <c r="BS47" t="s">
        <v>680</v>
      </c>
      <c r="BT47" t="s">
        <v>680</v>
      </c>
      <c r="BU47" t="s">
        <v>680</v>
      </c>
      <c r="BV47" t="s">
        <v>680</v>
      </c>
      <c r="BW47" t="s">
        <v>680</v>
      </c>
      <c r="BX47" t="s">
        <v>680</v>
      </c>
      <c r="BY47" t="s">
        <v>680</v>
      </c>
      <c r="BZ47" t="s">
        <v>680</v>
      </c>
      <c r="CA47" t="s">
        <v>680</v>
      </c>
      <c r="CB47" t="s">
        <v>680</v>
      </c>
      <c r="CC47" t="s">
        <v>680</v>
      </c>
      <c r="CD47" t="s">
        <v>680</v>
      </c>
    </row>
    <row r="48" spans="2:82">
      <c r="B48" s="805">
        <v>15</v>
      </c>
      <c r="C48" s="805" t="s">
        <v>962</v>
      </c>
      <c r="D48" s="805" t="s">
        <v>963</v>
      </c>
      <c r="E48" s="805" t="s">
        <v>863</v>
      </c>
      <c r="F48" s="805" t="s">
        <v>939</v>
      </c>
      <c r="G48" s="805" t="s">
        <v>964</v>
      </c>
      <c r="H48" s="805" t="s">
        <v>965</v>
      </c>
      <c r="I48" s="805" t="s">
        <v>966</v>
      </c>
      <c r="J48" s="805" t="s">
        <v>967</v>
      </c>
      <c r="K48" s="805" t="s">
        <v>968</v>
      </c>
      <c r="L48" s="805" t="s">
        <v>685</v>
      </c>
      <c r="M48" t="s">
        <v>685</v>
      </c>
      <c r="N48" t="s">
        <v>685</v>
      </c>
      <c r="O48" t="s">
        <v>685</v>
      </c>
      <c r="P48" t="s">
        <v>685</v>
      </c>
      <c r="Q48" t="s">
        <v>685</v>
      </c>
      <c r="R48" t="s">
        <v>685</v>
      </c>
      <c r="S48" t="s">
        <v>685</v>
      </c>
      <c r="T48" t="s">
        <v>685</v>
      </c>
      <c r="U48" t="s">
        <v>685</v>
      </c>
      <c r="V48" t="s">
        <v>685</v>
      </c>
      <c r="W48" t="s">
        <v>685</v>
      </c>
      <c r="X48" t="s">
        <v>685</v>
      </c>
      <c r="Y48" t="s">
        <v>685</v>
      </c>
      <c r="Z48" t="s">
        <v>685</v>
      </c>
      <c r="AA48" t="s">
        <v>685</v>
      </c>
      <c r="AB48" t="s">
        <v>685</v>
      </c>
      <c r="AC48" t="s">
        <v>685</v>
      </c>
      <c r="AD48" t="s">
        <v>685</v>
      </c>
      <c r="AE48" t="s">
        <v>685</v>
      </c>
      <c r="AF48" t="s">
        <v>685</v>
      </c>
      <c r="AG48" t="s">
        <v>685</v>
      </c>
      <c r="AH48" t="s">
        <v>685</v>
      </c>
      <c r="AI48" t="s">
        <v>685</v>
      </c>
      <c r="AJ48" t="s">
        <v>685</v>
      </c>
      <c r="AK48" t="s">
        <v>685</v>
      </c>
      <c r="AL48" t="s">
        <v>685</v>
      </c>
      <c r="AM48" t="s">
        <v>685</v>
      </c>
      <c r="AN48" t="s">
        <v>685</v>
      </c>
      <c r="AO48" t="s">
        <v>685</v>
      </c>
      <c r="AP48" t="s">
        <v>685</v>
      </c>
      <c r="AQ48" t="s">
        <v>685</v>
      </c>
      <c r="AR48" t="s">
        <v>685</v>
      </c>
      <c r="AS48" t="s">
        <v>685</v>
      </c>
      <c r="AT48" t="s">
        <v>685</v>
      </c>
      <c r="AU48" t="s">
        <v>685</v>
      </c>
      <c r="AV48" t="s">
        <v>685</v>
      </c>
      <c r="AW48" t="s">
        <v>685</v>
      </c>
      <c r="AX48" t="s">
        <v>685</v>
      </c>
      <c r="AY48" t="s">
        <v>685</v>
      </c>
      <c r="AZ48" t="s">
        <v>685</v>
      </c>
      <c r="BA48" t="s">
        <v>685</v>
      </c>
      <c r="BB48" t="s">
        <v>685</v>
      </c>
      <c r="BC48" t="s">
        <v>685</v>
      </c>
      <c r="BD48" t="s">
        <v>685</v>
      </c>
      <c r="BE48" t="s">
        <v>685</v>
      </c>
      <c r="BF48" t="s">
        <v>685</v>
      </c>
      <c r="BG48" t="s">
        <v>685</v>
      </c>
      <c r="BH48" t="s">
        <v>685</v>
      </c>
      <c r="BI48" t="s">
        <v>685</v>
      </c>
      <c r="BJ48" t="s">
        <v>685</v>
      </c>
      <c r="BK48" t="s">
        <v>685</v>
      </c>
      <c r="BL48" t="s">
        <v>685</v>
      </c>
      <c r="BM48" t="s">
        <v>685</v>
      </c>
      <c r="BN48" t="s">
        <v>685</v>
      </c>
      <c r="BO48" t="s">
        <v>685</v>
      </c>
      <c r="BP48" t="s">
        <v>685</v>
      </c>
      <c r="BQ48" t="s">
        <v>685</v>
      </c>
      <c r="BR48" t="s">
        <v>685</v>
      </c>
      <c r="BS48" t="s">
        <v>685</v>
      </c>
      <c r="BT48" t="s">
        <v>685</v>
      </c>
      <c r="BU48" t="s">
        <v>685</v>
      </c>
      <c r="BV48" t="s">
        <v>685</v>
      </c>
      <c r="BW48" t="s">
        <v>685</v>
      </c>
      <c r="BX48" t="s">
        <v>685</v>
      </c>
      <c r="BY48" t="s">
        <v>685</v>
      </c>
      <c r="BZ48" t="s">
        <v>685</v>
      </c>
      <c r="CA48" t="s">
        <v>685</v>
      </c>
      <c r="CB48" t="s">
        <v>685</v>
      </c>
      <c r="CC48" t="s">
        <v>685</v>
      </c>
      <c r="CD48" t="s">
        <v>685</v>
      </c>
    </row>
    <row r="49" spans="2:82">
      <c r="B49" s="805">
        <v>14</v>
      </c>
      <c r="C49" s="805" t="s">
        <v>875</v>
      </c>
      <c r="D49" s="805" t="s">
        <v>742</v>
      </c>
      <c r="E49" s="805" t="s">
        <v>890</v>
      </c>
      <c r="F49" s="805" t="s">
        <v>969</v>
      </c>
      <c r="G49" s="805" t="s">
        <v>787</v>
      </c>
      <c r="H49" s="805" t="s">
        <v>857</v>
      </c>
      <c r="I49" s="805" t="s">
        <v>970</v>
      </c>
      <c r="J49" s="805" t="s">
        <v>971</v>
      </c>
      <c r="K49" s="805" t="s">
        <v>972</v>
      </c>
      <c r="L49" s="805" t="s">
        <v>691</v>
      </c>
      <c r="M49" t="s">
        <v>691</v>
      </c>
      <c r="N49" t="s">
        <v>691</v>
      </c>
      <c r="O49" t="s">
        <v>691</v>
      </c>
      <c r="P49" t="s">
        <v>691</v>
      </c>
      <c r="Q49" t="s">
        <v>691</v>
      </c>
      <c r="R49" t="s">
        <v>691</v>
      </c>
      <c r="S49" t="s">
        <v>691</v>
      </c>
      <c r="T49" t="s">
        <v>691</v>
      </c>
      <c r="U49" t="s">
        <v>691</v>
      </c>
      <c r="V49" t="s">
        <v>691</v>
      </c>
      <c r="W49" t="s">
        <v>691</v>
      </c>
      <c r="X49" t="s">
        <v>691</v>
      </c>
      <c r="Y49" t="s">
        <v>691</v>
      </c>
      <c r="Z49" t="s">
        <v>691</v>
      </c>
      <c r="AA49" t="s">
        <v>691</v>
      </c>
      <c r="AB49" t="s">
        <v>691</v>
      </c>
      <c r="AC49" t="s">
        <v>691</v>
      </c>
      <c r="AD49" t="s">
        <v>691</v>
      </c>
      <c r="AE49" t="s">
        <v>691</v>
      </c>
      <c r="AF49" t="s">
        <v>691</v>
      </c>
      <c r="AG49" t="s">
        <v>691</v>
      </c>
      <c r="AH49" t="s">
        <v>691</v>
      </c>
      <c r="AI49" t="s">
        <v>691</v>
      </c>
      <c r="AJ49" t="s">
        <v>691</v>
      </c>
      <c r="AK49" t="s">
        <v>691</v>
      </c>
      <c r="AL49" t="s">
        <v>691</v>
      </c>
      <c r="AM49" t="s">
        <v>691</v>
      </c>
      <c r="AN49" t="s">
        <v>691</v>
      </c>
      <c r="AO49" t="s">
        <v>691</v>
      </c>
      <c r="AP49" t="s">
        <v>691</v>
      </c>
      <c r="AQ49" t="s">
        <v>691</v>
      </c>
      <c r="AR49" t="s">
        <v>691</v>
      </c>
      <c r="AS49" t="s">
        <v>691</v>
      </c>
      <c r="AT49" t="s">
        <v>691</v>
      </c>
      <c r="AU49" t="s">
        <v>691</v>
      </c>
      <c r="AV49" t="s">
        <v>691</v>
      </c>
      <c r="AW49" t="s">
        <v>691</v>
      </c>
      <c r="AX49" t="s">
        <v>691</v>
      </c>
      <c r="AY49" t="s">
        <v>691</v>
      </c>
      <c r="AZ49" t="s">
        <v>691</v>
      </c>
      <c r="BA49" t="s">
        <v>691</v>
      </c>
      <c r="BB49" t="s">
        <v>691</v>
      </c>
      <c r="BC49" t="s">
        <v>691</v>
      </c>
      <c r="BD49" t="s">
        <v>691</v>
      </c>
      <c r="BE49" t="s">
        <v>691</v>
      </c>
      <c r="BF49" t="s">
        <v>691</v>
      </c>
      <c r="BG49" t="s">
        <v>691</v>
      </c>
      <c r="BH49" t="s">
        <v>691</v>
      </c>
      <c r="BI49" t="s">
        <v>691</v>
      </c>
      <c r="BJ49" t="s">
        <v>691</v>
      </c>
      <c r="BK49" t="s">
        <v>691</v>
      </c>
      <c r="BL49" t="s">
        <v>691</v>
      </c>
      <c r="BM49" t="s">
        <v>691</v>
      </c>
      <c r="BN49" t="s">
        <v>691</v>
      </c>
      <c r="BO49" t="s">
        <v>691</v>
      </c>
      <c r="BP49" t="s">
        <v>691</v>
      </c>
      <c r="BQ49" t="s">
        <v>691</v>
      </c>
      <c r="BR49" t="s">
        <v>691</v>
      </c>
      <c r="BS49" t="s">
        <v>691</v>
      </c>
      <c r="BT49" t="s">
        <v>691</v>
      </c>
      <c r="BU49" t="s">
        <v>691</v>
      </c>
      <c r="BV49" t="s">
        <v>691</v>
      </c>
      <c r="BW49" t="s">
        <v>691</v>
      </c>
      <c r="BX49" t="s">
        <v>691</v>
      </c>
      <c r="BY49" t="s">
        <v>691</v>
      </c>
      <c r="BZ49" t="s">
        <v>691</v>
      </c>
      <c r="CA49" t="s">
        <v>691</v>
      </c>
      <c r="CB49" t="s">
        <v>691</v>
      </c>
      <c r="CC49" t="s">
        <v>691</v>
      </c>
      <c r="CD49" t="s">
        <v>691</v>
      </c>
    </row>
    <row r="50" spans="2:82">
      <c r="B50" s="805">
        <v>13</v>
      </c>
      <c r="C50" s="805" t="s">
        <v>752</v>
      </c>
      <c r="D50" s="805" t="s">
        <v>973</v>
      </c>
      <c r="E50" s="805" t="s">
        <v>809</v>
      </c>
      <c r="F50" s="805" t="s">
        <v>974</v>
      </c>
      <c r="G50" s="805" t="s">
        <v>975</v>
      </c>
      <c r="H50" s="805" t="s">
        <v>976</v>
      </c>
      <c r="I50" s="805" t="s">
        <v>709</v>
      </c>
      <c r="J50" s="805" t="s">
        <v>977</v>
      </c>
      <c r="K50" s="805" t="s">
        <v>978</v>
      </c>
      <c r="L50" s="805" t="s">
        <v>695</v>
      </c>
      <c r="M50" t="s">
        <v>695</v>
      </c>
      <c r="N50" t="s">
        <v>695</v>
      </c>
      <c r="O50" t="s">
        <v>695</v>
      </c>
      <c r="P50" t="s">
        <v>695</v>
      </c>
      <c r="Q50" t="s">
        <v>695</v>
      </c>
      <c r="R50" t="s">
        <v>695</v>
      </c>
      <c r="S50" t="s">
        <v>695</v>
      </c>
      <c r="T50" t="s">
        <v>695</v>
      </c>
      <c r="U50" t="s">
        <v>695</v>
      </c>
      <c r="V50" t="s">
        <v>695</v>
      </c>
      <c r="W50" t="s">
        <v>695</v>
      </c>
      <c r="X50" t="s">
        <v>695</v>
      </c>
      <c r="Y50" t="s">
        <v>695</v>
      </c>
      <c r="Z50" t="s">
        <v>695</v>
      </c>
      <c r="AA50" t="s">
        <v>695</v>
      </c>
      <c r="AB50" t="s">
        <v>695</v>
      </c>
      <c r="AC50" t="s">
        <v>695</v>
      </c>
      <c r="AD50" t="s">
        <v>695</v>
      </c>
      <c r="AE50" t="s">
        <v>695</v>
      </c>
      <c r="AF50" t="s">
        <v>695</v>
      </c>
      <c r="AG50" t="s">
        <v>695</v>
      </c>
      <c r="AH50" t="s">
        <v>695</v>
      </c>
      <c r="AI50" t="s">
        <v>695</v>
      </c>
      <c r="AJ50" t="s">
        <v>695</v>
      </c>
      <c r="AK50" t="s">
        <v>695</v>
      </c>
      <c r="AL50" t="s">
        <v>695</v>
      </c>
      <c r="AM50" t="s">
        <v>695</v>
      </c>
      <c r="AN50" t="s">
        <v>695</v>
      </c>
      <c r="AO50" t="s">
        <v>695</v>
      </c>
      <c r="AP50" t="s">
        <v>695</v>
      </c>
      <c r="AQ50" t="s">
        <v>695</v>
      </c>
      <c r="AR50" t="s">
        <v>695</v>
      </c>
      <c r="AS50" t="s">
        <v>695</v>
      </c>
      <c r="AT50" t="s">
        <v>695</v>
      </c>
      <c r="AU50" t="s">
        <v>695</v>
      </c>
      <c r="AV50" t="s">
        <v>695</v>
      </c>
      <c r="AW50" t="s">
        <v>695</v>
      </c>
      <c r="AX50" t="s">
        <v>695</v>
      </c>
      <c r="AY50" t="s">
        <v>695</v>
      </c>
      <c r="AZ50" t="s">
        <v>695</v>
      </c>
      <c r="BA50" t="s">
        <v>695</v>
      </c>
      <c r="BB50" t="s">
        <v>695</v>
      </c>
      <c r="BC50" t="s">
        <v>695</v>
      </c>
      <c r="BD50" t="s">
        <v>695</v>
      </c>
      <c r="BE50" t="s">
        <v>695</v>
      </c>
      <c r="BF50" t="s">
        <v>695</v>
      </c>
      <c r="BG50" t="s">
        <v>695</v>
      </c>
      <c r="BH50" t="s">
        <v>695</v>
      </c>
      <c r="BI50" t="s">
        <v>695</v>
      </c>
      <c r="BJ50" t="s">
        <v>695</v>
      </c>
      <c r="BK50" t="s">
        <v>695</v>
      </c>
      <c r="BL50" t="s">
        <v>695</v>
      </c>
      <c r="BM50" t="s">
        <v>695</v>
      </c>
      <c r="BN50" t="s">
        <v>695</v>
      </c>
      <c r="BO50" t="s">
        <v>695</v>
      </c>
      <c r="BP50" t="s">
        <v>695</v>
      </c>
      <c r="BQ50" t="s">
        <v>695</v>
      </c>
      <c r="BR50" t="s">
        <v>695</v>
      </c>
      <c r="BS50" t="s">
        <v>695</v>
      </c>
      <c r="BT50" t="s">
        <v>695</v>
      </c>
      <c r="BU50" t="s">
        <v>695</v>
      </c>
      <c r="BV50" t="s">
        <v>695</v>
      </c>
      <c r="BW50" t="s">
        <v>695</v>
      </c>
      <c r="BX50" t="s">
        <v>695</v>
      </c>
      <c r="BY50" t="s">
        <v>695</v>
      </c>
      <c r="BZ50" t="s">
        <v>695</v>
      </c>
      <c r="CA50" t="s">
        <v>695</v>
      </c>
      <c r="CB50" t="s">
        <v>695</v>
      </c>
      <c r="CC50" t="s">
        <v>695</v>
      </c>
      <c r="CD50" t="s">
        <v>695</v>
      </c>
    </row>
    <row r="51" spans="2:82">
      <c r="B51" s="805">
        <v>12</v>
      </c>
      <c r="C51" s="805" t="s">
        <v>979</v>
      </c>
      <c r="D51" s="805" t="s">
        <v>980</v>
      </c>
      <c r="E51" s="805" t="s">
        <v>889</v>
      </c>
      <c r="F51" s="805" t="s">
        <v>733</v>
      </c>
      <c r="G51" s="805" t="s">
        <v>981</v>
      </c>
      <c r="H51" s="805" t="s">
        <v>982</v>
      </c>
      <c r="I51" s="805" t="s">
        <v>983</v>
      </c>
      <c r="J51" s="805" t="s">
        <v>857</v>
      </c>
      <c r="K51" s="805" t="s">
        <v>984</v>
      </c>
      <c r="L51" s="805" t="s">
        <v>700</v>
      </c>
      <c r="M51" t="s">
        <v>700</v>
      </c>
      <c r="N51" t="s">
        <v>700</v>
      </c>
      <c r="O51" t="s">
        <v>700</v>
      </c>
      <c r="P51" t="s">
        <v>700</v>
      </c>
      <c r="Q51" t="s">
        <v>700</v>
      </c>
      <c r="R51" t="s">
        <v>700</v>
      </c>
      <c r="S51" t="s">
        <v>700</v>
      </c>
      <c r="T51" t="s">
        <v>700</v>
      </c>
      <c r="U51" t="s">
        <v>700</v>
      </c>
      <c r="V51" t="s">
        <v>700</v>
      </c>
      <c r="W51" t="s">
        <v>700</v>
      </c>
      <c r="X51" t="s">
        <v>700</v>
      </c>
      <c r="Y51" t="s">
        <v>700</v>
      </c>
      <c r="Z51" t="s">
        <v>700</v>
      </c>
      <c r="AA51" t="s">
        <v>700</v>
      </c>
      <c r="AB51" t="s">
        <v>700</v>
      </c>
      <c r="AC51" t="s">
        <v>700</v>
      </c>
      <c r="AD51" t="s">
        <v>700</v>
      </c>
      <c r="AE51" t="s">
        <v>700</v>
      </c>
      <c r="AF51" t="s">
        <v>700</v>
      </c>
      <c r="AG51" t="s">
        <v>700</v>
      </c>
      <c r="AH51" t="s">
        <v>700</v>
      </c>
      <c r="AI51" t="s">
        <v>700</v>
      </c>
      <c r="AJ51" t="s">
        <v>700</v>
      </c>
      <c r="AK51" t="s">
        <v>700</v>
      </c>
      <c r="AL51" t="s">
        <v>700</v>
      </c>
      <c r="AM51" t="s">
        <v>700</v>
      </c>
      <c r="AN51" t="s">
        <v>700</v>
      </c>
      <c r="AO51" t="s">
        <v>700</v>
      </c>
      <c r="AP51" t="s">
        <v>700</v>
      </c>
      <c r="AQ51" t="s">
        <v>700</v>
      </c>
      <c r="AR51" t="s">
        <v>700</v>
      </c>
      <c r="AS51" t="s">
        <v>700</v>
      </c>
      <c r="AT51" t="s">
        <v>700</v>
      </c>
      <c r="AU51" t="s">
        <v>700</v>
      </c>
      <c r="AV51" t="s">
        <v>700</v>
      </c>
      <c r="AW51" t="s">
        <v>700</v>
      </c>
      <c r="AX51" t="s">
        <v>700</v>
      </c>
      <c r="AY51" t="s">
        <v>700</v>
      </c>
      <c r="AZ51" t="s">
        <v>700</v>
      </c>
      <c r="BA51" t="s">
        <v>700</v>
      </c>
      <c r="BB51" t="s">
        <v>700</v>
      </c>
      <c r="BC51" t="s">
        <v>700</v>
      </c>
      <c r="BD51" t="s">
        <v>700</v>
      </c>
      <c r="BE51" t="s">
        <v>700</v>
      </c>
      <c r="BF51" t="s">
        <v>700</v>
      </c>
      <c r="BG51" t="s">
        <v>700</v>
      </c>
      <c r="BH51" t="s">
        <v>700</v>
      </c>
      <c r="BI51" t="s">
        <v>700</v>
      </c>
      <c r="BJ51" t="s">
        <v>700</v>
      </c>
      <c r="BK51" t="s">
        <v>700</v>
      </c>
      <c r="BL51" t="s">
        <v>700</v>
      </c>
      <c r="BM51" t="s">
        <v>700</v>
      </c>
      <c r="BN51" t="s">
        <v>700</v>
      </c>
      <c r="BO51" t="s">
        <v>700</v>
      </c>
      <c r="BP51" t="s">
        <v>700</v>
      </c>
      <c r="BQ51" t="s">
        <v>700</v>
      </c>
      <c r="BR51" t="s">
        <v>700</v>
      </c>
      <c r="BS51" t="s">
        <v>700</v>
      </c>
      <c r="BT51" t="s">
        <v>700</v>
      </c>
      <c r="BU51" t="s">
        <v>700</v>
      </c>
      <c r="BV51" t="s">
        <v>700</v>
      </c>
      <c r="BW51" t="s">
        <v>700</v>
      </c>
      <c r="BX51" t="s">
        <v>700</v>
      </c>
      <c r="BY51" t="s">
        <v>700</v>
      </c>
      <c r="BZ51" t="s">
        <v>700</v>
      </c>
      <c r="CA51" t="s">
        <v>700</v>
      </c>
      <c r="CB51" t="s">
        <v>700</v>
      </c>
      <c r="CC51" t="s">
        <v>700</v>
      </c>
      <c r="CD51" t="s">
        <v>700</v>
      </c>
    </row>
    <row r="52" spans="2:82">
      <c r="B52" s="805">
        <v>11</v>
      </c>
      <c r="C52" s="805" t="s">
        <v>851</v>
      </c>
      <c r="D52" s="805" t="s">
        <v>985</v>
      </c>
      <c r="E52" s="805" t="s">
        <v>824</v>
      </c>
      <c r="F52" s="805" t="s">
        <v>986</v>
      </c>
      <c r="G52" s="805" t="s">
        <v>987</v>
      </c>
      <c r="H52" s="805" t="s">
        <v>988</v>
      </c>
      <c r="I52" s="805" t="s">
        <v>989</v>
      </c>
      <c r="J52" s="805" t="s">
        <v>929</v>
      </c>
      <c r="K52" s="805" t="s">
        <v>990</v>
      </c>
      <c r="L52" s="805" t="s">
        <v>705</v>
      </c>
      <c r="M52" t="s">
        <v>705</v>
      </c>
      <c r="N52" t="s">
        <v>705</v>
      </c>
      <c r="O52" t="s">
        <v>705</v>
      </c>
      <c r="P52" t="s">
        <v>705</v>
      </c>
      <c r="Q52" t="s">
        <v>705</v>
      </c>
      <c r="R52" t="s">
        <v>705</v>
      </c>
      <c r="S52" t="s">
        <v>705</v>
      </c>
      <c r="T52" t="s">
        <v>705</v>
      </c>
      <c r="U52" t="s">
        <v>705</v>
      </c>
      <c r="V52" t="s">
        <v>705</v>
      </c>
      <c r="W52" t="s">
        <v>705</v>
      </c>
      <c r="X52" t="s">
        <v>705</v>
      </c>
      <c r="Y52" t="s">
        <v>705</v>
      </c>
      <c r="Z52" t="s">
        <v>705</v>
      </c>
      <c r="AA52" t="s">
        <v>705</v>
      </c>
      <c r="AB52" t="s">
        <v>705</v>
      </c>
      <c r="AC52" t="s">
        <v>705</v>
      </c>
      <c r="AD52" t="s">
        <v>705</v>
      </c>
      <c r="AE52" t="s">
        <v>705</v>
      </c>
      <c r="AF52" t="s">
        <v>705</v>
      </c>
      <c r="AG52" t="s">
        <v>705</v>
      </c>
      <c r="AH52" t="s">
        <v>705</v>
      </c>
      <c r="AI52" t="s">
        <v>705</v>
      </c>
      <c r="AJ52" t="s">
        <v>705</v>
      </c>
      <c r="AK52" t="s">
        <v>705</v>
      </c>
      <c r="AL52" t="s">
        <v>705</v>
      </c>
      <c r="AM52" t="s">
        <v>705</v>
      </c>
      <c r="AN52" t="s">
        <v>705</v>
      </c>
      <c r="AO52" t="s">
        <v>705</v>
      </c>
      <c r="AP52" t="s">
        <v>705</v>
      </c>
      <c r="AQ52" t="s">
        <v>705</v>
      </c>
      <c r="AR52" t="s">
        <v>705</v>
      </c>
      <c r="AS52" t="s">
        <v>705</v>
      </c>
      <c r="AT52" t="s">
        <v>705</v>
      </c>
      <c r="AU52" t="s">
        <v>705</v>
      </c>
      <c r="AV52" t="s">
        <v>705</v>
      </c>
      <c r="AW52" t="s">
        <v>705</v>
      </c>
      <c r="AX52" t="s">
        <v>705</v>
      </c>
      <c r="AY52" t="s">
        <v>705</v>
      </c>
      <c r="AZ52" t="s">
        <v>705</v>
      </c>
      <c r="BA52" t="s">
        <v>705</v>
      </c>
      <c r="BB52" t="s">
        <v>705</v>
      </c>
      <c r="BC52" t="s">
        <v>705</v>
      </c>
      <c r="BD52" t="s">
        <v>705</v>
      </c>
      <c r="BE52" t="s">
        <v>705</v>
      </c>
      <c r="BF52" t="s">
        <v>705</v>
      </c>
      <c r="BG52" t="s">
        <v>705</v>
      </c>
      <c r="BH52" t="s">
        <v>705</v>
      </c>
      <c r="BI52" t="s">
        <v>705</v>
      </c>
      <c r="BJ52" t="s">
        <v>705</v>
      </c>
      <c r="BK52" t="s">
        <v>705</v>
      </c>
      <c r="BL52" t="s">
        <v>705</v>
      </c>
      <c r="BM52" t="s">
        <v>705</v>
      </c>
      <c r="BN52" t="s">
        <v>705</v>
      </c>
      <c r="BO52" t="s">
        <v>705</v>
      </c>
      <c r="BP52" t="s">
        <v>705</v>
      </c>
      <c r="BQ52" t="s">
        <v>705</v>
      </c>
      <c r="BR52" t="s">
        <v>705</v>
      </c>
      <c r="BS52" t="s">
        <v>705</v>
      </c>
      <c r="BT52" t="s">
        <v>705</v>
      </c>
      <c r="BU52" t="s">
        <v>705</v>
      </c>
      <c r="BV52" t="s">
        <v>705</v>
      </c>
      <c r="BW52" t="s">
        <v>705</v>
      </c>
      <c r="BX52" t="s">
        <v>705</v>
      </c>
      <c r="BY52" t="s">
        <v>705</v>
      </c>
      <c r="BZ52" t="s">
        <v>705</v>
      </c>
      <c r="CA52" t="s">
        <v>705</v>
      </c>
      <c r="CB52" t="s">
        <v>705</v>
      </c>
      <c r="CC52" t="s">
        <v>705</v>
      </c>
      <c r="CD52" t="s">
        <v>705</v>
      </c>
    </row>
    <row r="53" spans="2:82">
      <c r="B53" s="805">
        <v>10</v>
      </c>
      <c r="C53" s="805" t="s">
        <v>991</v>
      </c>
      <c r="D53" s="805" t="s">
        <v>992</v>
      </c>
      <c r="E53" s="805" t="s">
        <v>882</v>
      </c>
      <c r="F53" s="805" t="s">
        <v>862</v>
      </c>
      <c r="G53" s="805" t="s">
        <v>993</v>
      </c>
      <c r="H53" s="805" t="s">
        <v>994</v>
      </c>
      <c r="I53" s="805" t="s">
        <v>810</v>
      </c>
      <c r="J53" s="805" t="s">
        <v>995</v>
      </c>
      <c r="K53" s="805" t="s">
        <v>718</v>
      </c>
      <c r="L53" s="805" t="s">
        <v>709</v>
      </c>
      <c r="M53" t="s">
        <v>709</v>
      </c>
      <c r="N53" t="s">
        <v>709</v>
      </c>
      <c r="O53" t="s">
        <v>709</v>
      </c>
      <c r="P53" t="s">
        <v>709</v>
      </c>
      <c r="Q53" t="s">
        <v>709</v>
      </c>
      <c r="R53" t="s">
        <v>709</v>
      </c>
      <c r="S53" t="s">
        <v>709</v>
      </c>
      <c r="T53" t="s">
        <v>709</v>
      </c>
      <c r="U53" t="s">
        <v>709</v>
      </c>
      <c r="V53" t="s">
        <v>709</v>
      </c>
      <c r="W53" t="s">
        <v>709</v>
      </c>
      <c r="X53" t="s">
        <v>709</v>
      </c>
      <c r="Y53" t="s">
        <v>709</v>
      </c>
      <c r="Z53" t="s">
        <v>709</v>
      </c>
      <c r="AA53" t="s">
        <v>709</v>
      </c>
      <c r="AB53" t="s">
        <v>709</v>
      </c>
      <c r="AC53" t="s">
        <v>709</v>
      </c>
      <c r="AD53" t="s">
        <v>709</v>
      </c>
      <c r="AE53" t="s">
        <v>709</v>
      </c>
      <c r="AF53" t="s">
        <v>709</v>
      </c>
      <c r="AG53" t="s">
        <v>709</v>
      </c>
      <c r="AH53" t="s">
        <v>709</v>
      </c>
      <c r="AI53" t="s">
        <v>709</v>
      </c>
      <c r="AJ53" t="s">
        <v>709</v>
      </c>
      <c r="AK53" t="s">
        <v>709</v>
      </c>
      <c r="AL53" t="s">
        <v>709</v>
      </c>
      <c r="AM53" t="s">
        <v>709</v>
      </c>
      <c r="AN53" t="s">
        <v>709</v>
      </c>
      <c r="AO53" t="s">
        <v>709</v>
      </c>
      <c r="AP53" t="s">
        <v>709</v>
      </c>
      <c r="AQ53" t="s">
        <v>709</v>
      </c>
      <c r="AR53" t="s">
        <v>709</v>
      </c>
      <c r="AS53" t="s">
        <v>709</v>
      </c>
      <c r="AT53" t="s">
        <v>709</v>
      </c>
      <c r="AU53" t="s">
        <v>709</v>
      </c>
      <c r="AV53" t="s">
        <v>709</v>
      </c>
      <c r="AW53" t="s">
        <v>709</v>
      </c>
      <c r="AX53" t="s">
        <v>709</v>
      </c>
      <c r="AY53" t="s">
        <v>709</v>
      </c>
      <c r="AZ53" t="s">
        <v>709</v>
      </c>
      <c r="BA53" t="s">
        <v>709</v>
      </c>
      <c r="BB53" t="s">
        <v>709</v>
      </c>
      <c r="BC53" t="s">
        <v>709</v>
      </c>
      <c r="BD53" t="s">
        <v>709</v>
      </c>
      <c r="BE53" t="s">
        <v>709</v>
      </c>
      <c r="BF53" t="s">
        <v>709</v>
      </c>
      <c r="BG53" t="s">
        <v>709</v>
      </c>
      <c r="BH53" t="s">
        <v>709</v>
      </c>
      <c r="BI53" t="s">
        <v>709</v>
      </c>
      <c r="BJ53" t="s">
        <v>709</v>
      </c>
      <c r="BK53" t="s">
        <v>709</v>
      </c>
      <c r="BL53" t="s">
        <v>709</v>
      </c>
      <c r="BM53" t="s">
        <v>709</v>
      </c>
      <c r="BN53" t="s">
        <v>709</v>
      </c>
      <c r="BO53" t="s">
        <v>709</v>
      </c>
      <c r="BP53" t="s">
        <v>709</v>
      </c>
      <c r="BQ53" t="s">
        <v>709</v>
      </c>
      <c r="BR53" t="s">
        <v>709</v>
      </c>
      <c r="BS53" t="s">
        <v>709</v>
      </c>
      <c r="BT53" t="s">
        <v>709</v>
      </c>
      <c r="BU53" t="s">
        <v>709</v>
      </c>
      <c r="BV53" t="s">
        <v>709</v>
      </c>
      <c r="BW53" t="s">
        <v>709</v>
      </c>
      <c r="BX53" t="s">
        <v>709</v>
      </c>
      <c r="BY53" t="s">
        <v>709</v>
      </c>
      <c r="BZ53" t="s">
        <v>709</v>
      </c>
      <c r="CA53" t="s">
        <v>709</v>
      </c>
      <c r="CB53" t="s">
        <v>709</v>
      </c>
      <c r="CC53" t="s">
        <v>709</v>
      </c>
      <c r="CD53" t="s">
        <v>709</v>
      </c>
    </row>
    <row r="54" spans="2:82">
      <c r="B54" s="805">
        <v>9</v>
      </c>
      <c r="C54" s="805" t="s">
        <v>865</v>
      </c>
      <c r="D54" s="805" t="s">
        <v>866</v>
      </c>
      <c r="E54" s="805" t="s">
        <v>996</v>
      </c>
      <c r="F54" s="805" t="s">
        <v>997</v>
      </c>
      <c r="G54" s="805" t="s">
        <v>751</v>
      </c>
      <c r="H54" s="805" t="s">
        <v>728</v>
      </c>
      <c r="I54" s="805" t="s">
        <v>944</v>
      </c>
      <c r="J54" s="805" t="s">
        <v>998</v>
      </c>
      <c r="K54" s="805" t="s">
        <v>792</v>
      </c>
      <c r="L54" s="805" t="s">
        <v>714</v>
      </c>
      <c r="M54" t="s">
        <v>714</v>
      </c>
      <c r="N54" t="s">
        <v>714</v>
      </c>
      <c r="O54" t="s">
        <v>714</v>
      </c>
      <c r="P54" t="s">
        <v>714</v>
      </c>
      <c r="Q54" t="s">
        <v>714</v>
      </c>
      <c r="R54" t="s">
        <v>714</v>
      </c>
      <c r="S54" t="s">
        <v>714</v>
      </c>
      <c r="T54" t="s">
        <v>714</v>
      </c>
      <c r="U54" t="s">
        <v>714</v>
      </c>
      <c r="V54" t="s">
        <v>714</v>
      </c>
      <c r="W54" t="s">
        <v>714</v>
      </c>
      <c r="X54" t="s">
        <v>714</v>
      </c>
      <c r="Y54" t="s">
        <v>714</v>
      </c>
      <c r="Z54" t="s">
        <v>714</v>
      </c>
      <c r="AA54" t="s">
        <v>714</v>
      </c>
      <c r="AB54" t="s">
        <v>714</v>
      </c>
      <c r="AC54" t="s">
        <v>714</v>
      </c>
      <c r="AD54" t="s">
        <v>714</v>
      </c>
      <c r="AE54" t="s">
        <v>714</v>
      </c>
      <c r="AF54" t="s">
        <v>714</v>
      </c>
      <c r="AG54" t="s">
        <v>714</v>
      </c>
      <c r="AH54" t="s">
        <v>714</v>
      </c>
      <c r="AI54" t="s">
        <v>714</v>
      </c>
      <c r="AJ54" t="s">
        <v>714</v>
      </c>
      <c r="AK54" t="s">
        <v>714</v>
      </c>
      <c r="AL54" t="s">
        <v>714</v>
      </c>
      <c r="AM54" t="s">
        <v>714</v>
      </c>
      <c r="AN54" t="s">
        <v>714</v>
      </c>
      <c r="AO54" t="s">
        <v>714</v>
      </c>
      <c r="AP54" t="s">
        <v>714</v>
      </c>
      <c r="AQ54" t="s">
        <v>714</v>
      </c>
      <c r="AR54" t="s">
        <v>714</v>
      </c>
      <c r="AS54" t="s">
        <v>714</v>
      </c>
      <c r="AT54" t="s">
        <v>714</v>
      </c>
      <c r="AU54" t="s">
        <v>714</v>
      </c>
      <c r="AV54" t="s">
        <v>714</v>
      </c>
      <c r="AW54" t="s">
        <v>714</v>
      </c>
      <c r="AX54" t="s">
        <v>714</v>
      </c>
      <c r="AY54" t="s">
        <v>714</v>
      </c>
      <c r="AZ54" t="s">
        <v>714</v>
      </c>
      <c r="BA54" t="s">
        <v>714</v>
      </c>
      <c r="BB54" t="s">
        <v>714</v>
      </c>
      <c r="BC54" t="s">
        <v>714</v>
      </c>
      <c r="BD54" t="s">
        <v>714</v>
      </c>
      <c r="BE54" t="s">
        <v>714</v>
      </c>
      <c r="BF54" t="s">
        <v>714</v>
      </c>
      <c r="BG54" t="s">
        <v>714</v>
      </c>
      <c r="BH54" t="s">
        <v>714</v>
      </c>
      <c r="BI54" t="s">
        <v>714</v>
      </c>
      <c r="BJ54" t="s">
        <v>714</v>
      </c>
      <c r="BK54" t="s">
        <v>714</v>
      </c>
      <c r="BL54" t="s">
        <v>714</v>
      </c>
      <c r="BM54" t="s">
        <v>714</v>
      </c>
      <c r="BN54" t="s">
        <v>714</v>
      </c>
      <c r="BO54" t="s">
        <v>714</v>
      </c>
      <c r="BP54" t="s">
        <v>714</v>
      </c>
      <c r="BQ54" t="s">
        <v>714</v>
      </c>
      <c r="BR54" t="s">
        <v>714</v>
      </c>
      <c r="BS54" t="s">
        <v>714</v>
      </c>
      <c r="BT54" t="s">
        <v>714</v>
      </c>
      <c r="BU54" t="s">
        <v>714</v>
      </c>
      <c r="BV54" t="s">
        <v>714</v>
      </c>
      <c r="BW54" t="s">
        <v>714</v>
      </c>
      <c r="BX54" t="s">
        <v>714</v>
      </c>
      <c r="BY54" t="s">
        <v>714</v>
      </c>
      <c r="BZ54" t="s">
        <v>714</v>
      </c>
      <c r="CA54" t="s">
        <v>714</v>
      </c>
      <c r="CB54" t="s">
        <v>714</v>
      </c>
      <c r="CC54" t="s">
        <v>714</v>
      </c>
      <c r="CD54" t="s">
        <v>714</v>
      </c>
    </row>
    <row r="55" spans="2:82">
      <c r="B55" s="805">
        <v>8</v>
      </c>
      <c r="C55" s="805" t="s">
        <v>872</v>
      </c>
      <c r="D55" s="805" t="s">
        <v>873</v>
      </c>
      <c r="E55" s="805" t="s">
        <v>874</v>
      </c>
      <c r="F55" s="805" t="s">
        <v>852</v>
      </c>
      <c r="G55" s="805" t="s">
        <v>875</v>
      </c>
      <c r="H55" s="805" t="s">
        <v>973</v>
      </c>
      <c r="I55" s="805" t="s">
        <v>999</v>
      </c>
      <c r="J55" s="805" t="s">
        <v>1000</v>
      </c>
      <c r="K55" s="805" t="s">
        <v>952</v>
      </c>
      <c r="L55" s="805" t="s">
        <v>719</v>
      </c>
      <c r="M55" t="s">
        <v>719</v>
      </c>
      <c r="N55" t="s">
        <v>719</v>
      </c>
      <c r="O55" t="s">
        <v>719</v>
      </c>
      <c r="P55" t="s">
        <v>719</v>
      </c>
      <c r="Q55" t="s">
        <v>719</v>
      </c>
      <c r="R55" t="s">
        <v>719</v>
      </c>
      <c r="S55" t="s">
        <v>719</v>
      </c>
      <c r="T55" t="s">
        <v>719</v>
      </c>
      <c r="U55" t="s">
        <v>719</v>
      </c>
      <c r="V55" t="s">
        <v>719</v>
      </c>
      <c r="W55" t="s">
        <v>719</v>
      </c>
      <c r="X55" t="s">
        <v>719</v>
      </c>
      <c r="Y55" t="s">
        <v>719</v>
      </c>
      <c r="Z55" t="s">
        <v>719</v>
      </c>
      <c r="AA55" t="s">
        <v>719</v>
      </c>
      <c r="AB55" t="s">
        <v>719</v>
      </c>
      <c r="AC55" t="s">
        <v>719</v>
      </c>
      <c r="AD55" t="s">
        <v>719</v>
      </c>
      <c r="AE55" t="s">
        <v>719</v>
      </c>
      <c r="AF55" t="s">
        <v>719</v>
      </c>
      <c r="AG55" t="s">
        <v>719</v>
      </c>
      <c r="AH55" t="s">
        <v>719</v>
      </c>
      <c r="AI55" t="s">
        <v>719</v>
      </c>
      <c r="AJ55" t="s">
        <v>719</v>
      </c>
      <c r="AK55" t="s">
        <v>719</v>
      </c>
      <c r="AL55" t="s">
        <v>719</v>
      </c>
      <c r="AM55" t="s">
        <v>719</v>
      </c>
      <c r="AN55" t="s">
        <v>719</v>
      </c>
      <c r="AO55" t="s">
        <v>719</v>
      </c>
      <c r="AP55" t="s">
        <v>719</v>
      </c>
      <c r="AQ55" t="s">
        <v>719</v>
      </c>
      <c r="AR55" t="s">
        <v>719</v>
      </c>
      <c r="AS55" t="s">
        <v>719</v>
      </c>
      <c r="AT55" t="s">
        <v>719</v>
      </c>
      <c r="AU55" t="s">
        <v>719</v>
      </c>
      <c r="AV55" t="s">
        <v>719</v>
      </c>
      <c r="AW55" t="s">
        <v>719</v>
      </c>
      <c r="AX55" t="s">
        <v>719</v>
      </c>
      <c r="AY55" t="s">
        <v>719</v>
      </c>
      <c r="AZ55" t="s">
        <v>719</v>
      </c>
      <c r="BA55" t="s">
        <v>719</v>
      </c>
      <c r="BB55" t="s">
        <v>719</v>
      </c>
      <c r="BC55" t="s">
        <v>719</v>
      </c>
      <c r="BD55" t="s">
        <v>719</v>
      </c>
      <c r="BE55" t="s">
        <v>719</v>
      </c>
      <c r="BF55" t="s">
        <v>719</v>
      </c>
      <c r="BG55" t="s">
        <v>719</v>
      </c>
      <c r="BH55" t="s">
        <v>719</v>
      </c>
      <c r="BI55" t="s">
        <v>719</v>
      </c>
      <c r="BJ55" t="s">
        <v>719</v>
      </c>
      <c r="BK55" t="s">
        <v>719</v>
      </c>
      <c r="BL55" t="s">
        <v>719</v>
      </c>
      <c r="BM55" t="s">
        <v>719</v>
      </c>
      <c r="BN55" t="s">
        <v>719</v>
      </c>
      <c r="BO55" t="s">
        <v>719</v>
      </c>
      <c r="BP55" t="s">
        <v>719</v>
      </c>
      <c r="BQ55" t="s">
        <v>719</v>
      </c>
      <c r="BR55" t="s">
        <v>719</v>
      </c>
      <c r="BS55" t="s">
        <v>719</v>
      </c>
      <c r="BT55" t="s">
        <v>719</v>
      </c>
      <c r="BU55" t="s">
        <v>719</v>
      </c>
      <c r="BV55" t="s">
        <v>719</v>
      </c>
      <c r="BW55" t="s">
        <v>719</v>
      </c>
      <c r="BX55" t="s">
        <v>719</v>
      </c>
      <c r="BY55" t="s">
        <v>719</v>
      </c>
      <c r="BZ55" t="s">
        <v>719</v>
      </c>
      <c r="CA55" t="s">
        <v>719</v>
      </c>
      <c r="CB55" t="s">
        <v>719</v>
      </c>
      <c r="CC55" t="s">
        <v>719</v>
      </c>
      <c r="CD55" t="s">
        <v>719</v>
      </c>
    </row>
    <row r="56" spans="2:82">
      <c r="B56" s="805">
        <v>7</v>
      </c>
      <c r="C56" s="805" t="s">
        <v>741</v>
      </c>
      <c r="D56" s="805" t="s">
        <v>737</v>
      </c>
      <c r="E56" s="805" t="s">
        <v>1001</v>
      </c>
      <c r="F56" s="805" t="s">
        <v>881</v>
      </c>
      <c r="G56" s="805" t="s">
        <v>861</v>
      </c>
      <c r="H56" s="805" t="s">
        <v>1002</v>
      </c>
      <c r="I56" s="805" t="s">
        <v>728</v>
      </c>
      <c r="J56" s="805" t="s">
        <v>726</v>
      </c>
      <c r="K56" s="805" t="s">
        <v>724</v>
      </c>
      <c r="L56" s="805" t="s">
        <v>717</v>
      </c>
      <c r="M56" t="s">
        <v>717</v>
      </c>
      <c r="N56" t="s">
        <v>717</v>
      </c>
      <c r="O56" t="s">
        <v>717</v>
      </c>
      <c r="P56" t="s">
        <v>717</v>
      </c>
      <c r="Q56" t="s">
        <v>717</v>
      </c>
      <c r="R56" t="s">
        <v>717</v>
      </c>
      <c r="S56" t="s">
        <v>717</v>
      </c>
      <c r="T56" t="s">
        <v>717</v>
      </c>
      <c r="U56" t="s">
        <v>717</v>
      </c>
      <c r="V56" t="s">
        <v>717</v>
      </c>
      <c r="W56" t="s">
        <v>717</v>
      </c>
      <c r="X56" t="s">
        <v>717</v>
      </c>
      <c r="Y56" t="s">
        <v>717</v>
      </c>
      <c r="Z56" t="s">
        <v>717</v>
      </c>
      <c r="AA56" t="s">
        <v>717</v>
      </c>
      <c r="AB56" t="s">
        <v>717</v>
      </c>
      <c r="AC56" t="s">
        <v>717</v>
      </c>
      <c r="AD56" t="s">
        <v>717</v>
      </c>
      <c r="AE56" t="s">
        <v>717</v>
      </c>
      <c r="AF56" t="s">
        <v>717</v>
      </c>
      <c r="AG56" t="s">
        <v>717</v>
      </c>
      <c r="AH56" t="s">
        <v>717</v>
      </c>
      <c r="AI56" t="s">
        <v>717</v>
      </c>
      <c r="AJ56" t="s">
        <v>717</v>
      </c>
      <c r="AK56" t="s">
        <v>717</v>
      </c>
      <c r="AL56" t="s">
        <v>717</v>
      </c>
      <c r="AM56" t="s">
        <v>717</v>
      </c>
      <c r="AN56" t="s">
        <v>717</v>
      </c>
      <c r="AO56" t="s">
        <v>717</v>
      </c>
      <c r="AP56" t="s">
        <v>717</v>
      </c>
      <c r="AQ56" t="s">
        <v>717</v>
      </c>
      <c r="AR56" t="s">
        <v>717</v>
      </c>
      <c r="AS56" t="s">
        <v>717</v>
      </c>
      <c r="AT56" t="s">
        <v>717</v>
      </c>
      <c r="AU56" t="s">
        <v>717</v>
      </c>
      <c r="AV56" t="s">
        <v>717</v>
      </c>
      <c r="AW56" t="s">
        <v>717</v>
      </c>
      <c r="AX56" t="s">
        <v>717</v>
      </c>
      <c r="AY56" t="s">
        <v>717</v>
      </c>
      <c r="AZ56" t="s">
        <v>717</v>
      </c>
      <c r="BA56" t="s">
        <v>717</v>
      </c>
      <c r="BB56" t="s">
        <v>717</v>
      </c>
      <c r="BC56" t="s">
        <v>717</v>
      </c>
      <c r="BD56" t="s">
        <v>717</v>
      </c>
      <c r="BE56" t="s">
        <v>717</v>
      </c>
      <c r="BF56" t="s">
        <v>717</v>
      </c>
      <c r="BG56" t="s">
        <v>717</v>
      </c>
      <c r="BH56" t="s">
        <v>717</v>
      </c>
      <c r="BI56" t="s">
        <v>717</v>
      </c>
      <c r="BJ56" t="s">
        <v>717</v>
      </c>
      <c r="BK56" t="s">
        <v>717</v>
      </c>
      <c r="BL56" t="s">
        <v>717</v>
      </c>
      <c r="BM56" t="s">
        <v>717</v>
      </c>
      <c r="BN56" t="s">
        <v>717</v>
      </c>
      <c r="BO56" t="s">
        <v>717</v>
      </c>
      <c r="BP56" t="s">
        <v>717</v>
      </c>
      <c r="BQ56" t="s">
        <v>717</v>
      </c>
      <c r="BR56" t="s">
        <v>717</v>
      </c>
      <c r="BS56" t="s">
        <v>717</v>
      </c>
      <c r="BT56" t="s">
        <v>717</v>
      </c>
      <c r="BU56" t="s">
        <v>717</v>
      </c>
      <c r="BV56" t="s">
        <v>717</v>
      </c>
      <c r="BW56" t="s">
        <v>717</v>
      </c>
      <c r="BX56" t="s">
        <v>717</v>
      </c>
      <c r="BY56" t="s">
        <v>717</v>
      </c>
      <c r="BZ56" t="s">
        <v>717</v>
      </c>
      <c r="CA56" t="s">
        <v>717</v>
      </c>
      <c r="CB56" t="s">
        <v>717</v>
      </c>
      <c r="CC56" t="s">
        <v>717</v>
      </c>
      <c r="CD56" t="s">
        <v>717</v>
      </c>
    </row>
    <row r="57" spans="2:82">
      <c r="B57" s="805">
        <v>6</v>
      </c>
      <c r="C57" s="805" t="s">
        <v>885</v>
      </c>
      <c r="D57" s="805" t="s">
        <v>1003</v>
      </c>
      <c r="E57" s="805" t="s">
        <v>887</v>
      </c>
      <c r="F57" s="805" t="s">
        <v>859</v>
      </c>
      <c r="G57" s="805" t="s">
        <v>1004</v>
      </c>
      <c r="H57" s="805" t="s">
        <v>1005</v>
      </c>
      <c r="I57" s="805" t="s">
        <v>1006</v>
      </c>
      <c r="J57" s="805" t="s">
        <v>749</v>
      </c>
      <c r="K57" s="805" t="s">
        <v>944</v>
      </c>
      <c r="L57" s="805" t="s">
        <v>725</v>
      </c>
      <c r="M57" t="s">
        <v>725</v>
      </c>
      <c r="N57" t="s">
        <v>725</v>
      </c>
      <c r="O57" t="s">
        <v>725</v>
      </c>
      <c r="P57" t="s">
        <v>725</v>
      </c>
      <c r="Q57" t="s">
        <v>725</v>
      </c>
      <c r="R57" t="s">
        <v>725</v>
      </c>
      <c r="S57" t="s">
        <v>725</v>
      </c>
      <c r="T57" t="s">
        <v>725</v>
      </c>
      <c r="U57" t="s">
        <v>725</v>
      </c>
      <c r="V57" t="s">
        <v>725</v>
      </c>
      <c r="W57" t="s">
        <v>725</v>
      </c>
      <c r="X57" t="s">
        <v>725</v>
      </c>
      <c r="Y57" t="s">
        <v>725</v>
      </c>
      <c r="Z57" t="s">
        <v>725</v>
      </c>
      <c r="AA57" t="s">
        <v>725</v>
      </c>
      <c r="AB57" t="s">
        <v>725</v>
      </c>
      <c r="AC57" t="s">
        <v>725</v>
      </c>
      <c r="AD57" t="s">
        <v>725</v>
      </c>
      <c r="AE57" t="s">
        <v>725</v>
      </c>
      <c r="AF57" t="s">
        <v>725</v>
      </c>
      <c r="AG57" t="s">
        <v>725</v>
      </c>
      <c r="AH57" t="s">
        <v>725</v>
      </c>
      <c r="AI57" t="s">
        <v>725</v>
      </c>
      <c r="AJ57" t="s">
        <v>725</v>
      </c>
      <c r="AK57" t="s">
        <v>725</v>
      </c>
      <c r="AL57" t="s">
        <v>725</v>
      </c>
      <c r="AM57" t="s">
        <v>725</v>
      </c>
      <c r="AN57" t="s">
        <v>725</v>
      </c>
      <c r="AO57" t="s">
        <v>725</v>
      </c>
      <c r="AP57" t="s">
        <v>725</v>
      </c>
      <c r="AQ57" t="s">
        <v>725</v>
      </c>
      <c r="AR57" t="s">
        <v>725</v>
      </c>
      <c r="AS57" t="s">
        <v>725</v>
      </c>
      <c r="AT57" t="s">
        <v>725</v>
      </c>
      <c r="AU57" t="s">
        <v>725</v>
      </c>
      <c r="AV57" t="s">
        <v>725</v>
      </c>
      <c r="AW57" t="s">
        <v>725</v>
      </c>
      <c r="AX57" t="s">
        <v>725</v>
      </c>
      <c r="AY57" t="s">
        <v>725</v>
      </c>
      <c r="AZ57" t="s">
        <v>725</v>
      </c>
      <c r="BA57" t="s">
        <v>725</v>
      </c>
      <c r="BB57" t="s">
        <v>725</v>
      </c>
      <c r="BC57" t="s">
        <v>725</v>
      </c>
      <c r="BD57" t="s">
        <v>725</v>
      </c>
      <c r="BE57" t="s">
        <v>725</v>
      </c>
      <c r="BF57" t="s">
        <v>725</v>
      </c>
      <c r="BG57" t="s">
        <v>725</v>
      </c>
      <c r="BH57" t="s">
        <v>725</v>
      </c>
      <c r="BI57" t="s">
        <v>725</v>
      </c>
      <c r="BJ57" t="s">
        <v>725</v>
      </c>
      <c r="BK57" t="s">
        <v>725</v>
      </c>
      <c r="BL57" t="s">
        <v>725</v>
      </c>
      <c r="BM57" t="s">
        <v>725</v>
      </c>
      <c r="BN57" t="s">
        <v>725</v>
      </c>
      <c r="BO57" t="s">
        <v>725</v>
      </c>
      <c r="BP57" t="s">
        <v>725</v>
      </c>
      <c r="BQ57" t="s">
        <v>725</v>
      </c>
      <c r="BR57" t="s">
        <v>725</v>
      </c>
      <c r="BS57" t="s">
        <v>725</v>
      </c>
      <c r="BT57" t="s">
        <v>725</v>
      </c>
      <c r="BU57" t="s">
        <v>725</v>
      </c>
      <c r="BV57" t="s">
        <v>725</v>
      </c>
      <c r="BW57" t="s">
        <v>725</v>
      </c>
      <c r="BX57" t="s">
        <v>725</v>
      </c>
      <c r="BY57" t="s">
        <v>725</v>
      </c>
      <c r="BZ57" t="s">
        <v>725</v>
      </c>
      <c r="CA57" t="s">
        <v>725</v>
      </c>
      <c r="CB57" t="s">
        <v>725</v>
      </c>
      <c r="CC57" t="s">
        <v>725</v>
      </c>
      <c r="CD57" t="s">
        <v>725</v>
      </c>
    </row>
    <row r="58" spans="2:82">
      <c r="B58" s="805">
        <v>5</v>
      </c>
      <c r="C58" s="805" t="s">
        <v>891</v>
      </c>
      <c r="D58" s="805" t="s">
        <v>892</v>
      </c>
      <c r="E58" s="805" t="s">
        <v>893</v>
      </c>
      <c r="F58" s="805" t="s">
        <v>1007</v>
      </c>
      <c r="G58" s="805" t="s">
        <v>979</v>
      </c>
      <c r="H58" s="805" t="s">
        <v>985</v>
      </c>
      <c r="I58" s="805" t="s">
        <v>1008</v>
      </c>
      <c r="J58" s="805" t="s">
        <v>973</v>
      </c>
      <c r="K58" s="805" t="s">
        <v>999</v>
      </c>
      <c r="L58" s="805" t="s">
        <v>731</v>
      </c>
      <c r="M58" t="s">
        <v>731</v>
      </c>
      <c r="N58" t="s">
        <v>731</v>
      </c>
      <c r="O58" t="s">
        <v>731</v>
      </c>
      <c r="P58" t="s">
        <v>731</v>
      </c>
      <c r="Q58" t="s">
        <v>731</v>
      </c>
      <c r="R58" t="s">
        <v>731</v>
      </c>
      <c r="S58" t="s">
        <v>731</v>
      </c>
      <c r="T58" t="s">
        <v>731</v>
      </c>
      <c r="U58" t="s">
        <v>731</v>
      </c>
      <c r="V58" t="s">
        <v>731</v>
      </c>
      <c r="W58" t="s">
        <v>731</v>
      </c>
      <c r="X58" t="s">
        <v>731</v>
      </c>
      <c r="Y58" t="s">
        <v>731</v>
      </c>
      <c r="Z58" t="s">
        <v>731</v>
      </c>
      <c r="AA58" t="s">
        <v>731</v>
      </c>
      <c r="AB58" t="s">
        <v>731</v>
      </c>
      <c r="AC58" t="s">
        <v>731</v>
      </c>
      <c r="AD58" t="s">
        <v>731</v>
      </c>
      <c r="AE58" t="s">
        <v>731</v>
      </c>
      <c r="AF58" t="s">
        <v>731</v>
      </c>
      <c r="AG58" t="s">
        <v>731</v>
      </c>
      <c r="AH58" t="s">
        <v>731</v>
      </c>
      <c r="AI58" t="s">
        <v>731</v>
      </c>
      <c r="AJ58" t="s">
        <v>731</v>
      </c>
      <c r="AK58" t="s">
        <v>731</v>
      </c>
      <c r="AL58" t="s">
        <v>731</v>
      </c>
      <c r="AM58" t="s">
        <v>731</v>
      </c>
      <c r="AN58" t="s">
        <v>731</v>
      </c>
      <c r="AO58" t="s">
        <v>731</v>
      </c>
      <c r="AP58" t="s">
        <v>731</v>
      </c>
      <c r="AQ58" t="s">
        <v>731</v>
      </c>
      <c r="AR58" t="s">
        <v>731</v>
      </c>
      <c r="AS58" t="s">
        <v>731</v>
      </c>
      <c r="AT58" t="s">
        <v>731</v>
      </c>
      <c r="AU58" t="s">
        <v>731</v>
      </c>
      <c r="AV58" t="s">
        <v>731</v>
      </c>
      <c r="AW58" t="s">
        <v>731</v>
      </c>
      <c r="AX58" t="s">
        <v>731</v>
      </c>
      <c r="AY58" t="s">
        <v>731</v>
      </c>
      <c r="AZ58" t="s">
        <v>731</v>
      </c>
      <c r="BA58" t="s">
        <v>731</v>
      </c>
      <c r="BB58" t="s">
        <v>731</v>
      </c>
      <c r="BC58" t="s">
        <v>731</v>
      </c>
      <c r="BD58" t="s">
        <v>731</v>
      </c>
      <c r="BE58" t="s">
        <v>731</v>
      </c>
      <c r="BF58" t="s">
        <v>731</v>
      </c>
      <c r="BG58" t="s">
        <v>731</v>
      </c>
      <c r="BH58" t="s">
        <v>731</v>
      </c>
      <c r="BI58" t="s">
        <v>731</v>
      </c>
      <c r="BJ58" t="s">
        <v>731</v>
      </c>
      <c r="BK58" t="s">
        <v>731</v>
      </c>
      <c r="BL58" t="s">
        <v>731</v>
      </c>
      <c r="BM58" t="s">
        <v>731</v>
      </c>
      <c r="BN58" t="s">
        <v>731</v>
      </c>
      <c r="BO58" t="s">
        <v>731</v>
      </c>
      <c r="BP58" t="s">
        <v>731</v>
      </c>
      <c r="BQ58" t="s">
        <v>731</v>
      </c>
      <c r="BR58" t="s">
        <v>731</v>
      </c>
      <c r="BS58" t="s">
        <v>731</v>
      </c>
      <c r="BT58" t="s">
        <v>731</v>
      </c>
      <c r="BU58" t="s">
        <v>731</v>
      </c>
      <c r="BV58" t="s">
        <v>731</v>
      </c>
      <c r="BW58" t="s">
        <v>731</v>
      </c>
      <c r="BX58" t="s">
        <v>731</v>
      </c>
      <c r="BY58" t="s">
        <v>731</v>
      </c>
      <c r="BZ58" t="s">
        <v>731</v>
      </c>
      <c r="CA58" t="s">
        <v>731</v>
      </c>
      <c r="CB58" t="s">
        <v>731</v>
      </c>
      <c r="CC58" t="s">
        <v>731</v>
      </c>
      <c r="CD58" t="s">
        <v>731</v>
      </c>
    </row>
    <row r="59" spans="2:82">
      <c r="B59" s="805">
        <v>4</v>
      </c>
      <c r="C59" s="805" t="s">
        <v>1009</v>
      </c>
      <c r="D59" s="805" t="s">
        <v>1010</v>
      </c>
      <c r="E59" s="805" t="s">
        <v>741</v>
      </c>
      <c r="F59" s="805" t="s">
        <v>737</v>
      </c>
      <c r="G59" s="805" t="s">
        <v>1001</v>
      </c>
      <c r="H59" s="805" t="s">
        <v>881</v>
      </c>
      <c r="I59" s="805" t="s">
        <v>861</v>
      </c>
      <c r="J59" s="805" t="s">
        <v>1002</v>
      </c>
      <c r="K59" s="805" t="s">
        <v>728</v>
      </c>
      <c r="L59" s="805" t="s">
        <v>726</v>
      </c>
      <c r="M59" t="s">
        <v>726</v>
      </c>
      <c r="N59" t="s">
        <v>726</v>
      </c>
      <c r="O59" t="s">
        <v>726</v>
      </c>
      <c r="P59" t="s">
        <v>726</v>
      </c>
      <c r="Q59" t="s">
        <v>726</v>
      </c>
      <c r="R59" t="s">
        <v>726</v>
      </c>
      <c r="S59" t="s">
        <v>726</v>
      </c>
      <c r="T59" t="s">
        <v>726</v>
      </c>
      <c r="U59" t="s">
        <v>726</v>
      </c>
      <c r="V59" t="s">
        <v>726</v>
      </c>
      <c r="W59" t="s">
        <v>726</v>
      </c>
      <c r="X59" t="s">
        <v>726</v>
      </c>
      <c r="Y59" t="s">
        <v>726</v>
      </c>
      <c r="Z59" t="s">
        <v>726</v>
      </c>
      <c r="AA59" t="s">
        <v>726</v>
      </c>
      <c r="AB59" t="s">
        <v>726</v>
      </c>
      <c r="AC59" t="s">
        <v>726</v>
      </c>
      <c r="AD59" t="s">
        <v>726</v>
      </c>
      <c r="AE59" t="s">
        <v>726</v>
      </c>
      <c r="AF59" t="s">
        <v>726</v>
      </c>
      <c r="AG59" t="s">
        <v>726</v>
      </c>
      <c r="AH59" t="s">
        <v>726</v>
      </c>
      <c r="AI59" t="s">
        <v>726</v>
      </c>
      <c r="AJ59" t="s">
        <v>726</v>
      </c>
      <c r="AK59" t="s">
        <v>726</v>
      </c>
      <c r="AL59" t="s">
        <v>726</v>
      </c>
      <c r="AM59" t="s">
        <v>726</v>
      </c>
      <c r="AN59" t="s">
        <v>726</v>
      </c>
      <c r="AO59" t="s">
        <v>726</v>
      </c>
      <c r="AP59" t="s">
        <v>726</v>
      </c>
      <c r="AQ59" t="s">
        <v>726</v>
      </c>
      <c r="AR59" t="s">
        <v>726</v>
      </c>
      <c r="AS59" t="s">
        <v>726</v>
      </c>
      <c r="AT59" t="s">
        <v>726</v>
      </c>
      <c r="AU59" t="s">
        <v>726</v>
      </c>
      <c r="AV59" t="s">
        <v>726</v>
      </c>
      <c r="AW59" t="s">
        <v>726</v>
      </c>
      <c r="AX59" t="s">
        <v>726</v>
      </c>
      <c r="AY59" t="s">
        <v>726</v>
      </c>
      <c r="AZ59" t="s">
        <v>726</v>
      </c>
      <c r="BA59" t="s">
        <v>726</v>
      </c>
      <c r="BB59" t="s">
        <v>726</v>
      </c>
      <c r="BC59" t="s">
        <v>726</v>
      </c>
      <c r="BD59" t="s">
        <v>726</v>
      </c>
      <c r="BE59" t="s">
        <v>726</v>
      </c>
      <c r="BF59" t="s">
        <v>726</v>
      </c>
      <c r="BG59" t="s">
        <v>726</v>
      </c>
      <c r="BH59" t="s">
        <v>726</v>
      </c>
      <c r="BI59" t="s">
        <v>726</v>
      </c>
      <c r="BJ59" t="s">
        <v>726</v>
      </c>
      <c r="BK59" t="s">
        <v>726</v>
      </c>
      <c r="BL59" t="s">
        <v>726</v>
      </c>
      <c r="BM59" t="s">
        <v>726</v>
      </c>
      <c r="BN59" t="s">
        <v>726</v>
      </c>
      <c r="BO59" t="s">
        <v>726</v>
      </c>
      <c r="BP59" t="s">
        <v>726</v>
      </c>
      <c r="BQ59" t="s">
        <v>726</v>
      </c>
      <c r="BR59" t="s">
        <v>726</v>
      </c>
      <c r="BS59" t="s">
        <v>726</v>
      </c>
      <c r="BT59" t="s">
        <v>726</v>
      </c>
      <c r="BU59" t="s">
        <v>726</v>
      </c>
      <c r="BV59" t="s">
        <v>726</v>
      </c>
      <c r="BW59" t="s">
        <v>726</v>
      </c>
      <c r="BX59" t="s">
        <v>726</v>
      </c>
      <c r="BY59" t="s">
        <v>726</v>
      </c>
      <c r="BZ59" t="s">
        <v>726</v>
      </c>
      <c r="CA59" t="s">
        <v>726</v>
      </c>
      <c r="CB59" t="s">
        <v>726</v>
      </c>
      <c r="CC59" t="s">
        <v>726</v>
      </c>
      <c r="CD59" t="s">
        <v>726</v>
      </c>
    </row>
    <row r="60" spans="2:82">
      <c r="B60" s="805">
        <v>3</v>
      </c>
      <c r="C60" s="805" t="s">
        <v>905</v>
      </c>
      <c r="D60" s="805" t="s">
        <v>1011</v>
      </c>
      <c r="E60" s="805" t="s">
        <v>907</v>
      </c>
      <c r="F60" s="805" t="s">
        <v>1012</v>
      </c>
      <c r="G60" s="805" t="s">
        <v>1013</v>
      </c>
      <c r="H60" s="805" t="s">
        <v>1014</v>
      </c>
      <c r="I60" s="805" t="s">
        <v>881</v>
      </c>
      <c r="J60" s="805" t="s">
        <v>1015</v>
      </c>
      <c r="K60" s="805" t="s">
        <v>862</v>
      </c>
      <c r="L60" s="805" t="s">
        <v>740</v>
      </c>
      <c r="M60" t="s">
        <v>740</v>
      </c>
      <c r="N60" t="s">
        <v>740</v>
      </c>
      <c r="O60" t="s">
        <v>740</v>
      </c>
      <c r="P60" t="s">
        <v>740</v>
      </c>
      <c r="Q60" t="s">
        <v>740</v>
      </c>
      <c r="R60" t="s">
        <v>740</v>
      </c>
      <c r="S60" t="s">
        <v>740</v>
      </c>
      <c r="T60" t="s">
        <v>740</v>
      </c>
      <c r="U60" t="s">
        <v>740</v>
      </c>
      <c r="V60" t="s">
        <v>740</v>
      </c>
      <c r="W60" t="s">
        <v>740</v>
      </c>
      <c r="X60" t="s">
        <v>740</v>
      </c>
      <c r="Y60" t="s">
        <v>740</v>
      </c>
      <c r="Z60" t="s">
        <v>740</v>
      </c>
      <c r="AA60" t="s">
        <v>740</v>
      </c>
      <c r="AB60" t="s">
        <v>740</v>
      </c>
      <c r="AC60" t="s">
        <v>740</v>
      </c>
      <c r="AD60" t="s">
        <v>740</v>
      </c>
      <c r="AE60" t="s">
        <v>740</v>
      </c>
      <c r="AF60" t="s">
        <v>740</v>
      </c>
      <c r="AG60" t="s">
        <v>740</v>
      </c>
      <c r="AH60" t="s">
        <v>740</v>
      </c>
      <c r="AI60" t="s">
        <v>740</v>
      </c>
      <c r="AJ60" t="s">
        <v>740</v>
      </c>
      <c r="AK60" t="s">
        <v>740</v>
      </c>
      <c r="AL60" t="s">
        <v>740</v>
      </c>
      <c r="AM60" t="s">
        <v>740</v>
      </c>
      <c r="AN60" t="s">
        <v>740</v>
      </c>
      <c r="AO60" t="s">
        <v>740</v>
      </c>
      <c r="AP60" t="s">
        <v>740</v>
      </c>
      <c r="AQ60" t="s">
        <v>740</v>
      </c>
      <c r="AR60" t="s">
        <v>740</v>
      </c>
      <c r="AS60" t="s">
        <v>740</v>
      </c>
      <c r="AT60" t="s">
        <v>740</v>
      </c>
      <c r="AU60" t="s">
        <v>740</v>
      </c>
      <c r="AV60" t="s">
        <v>740</v>
      </c>
      <c r="AW60" t="s">
        <v>740</v>
      </c>
      <c r="AX60" t="s">
        <v>740</v>
      </c>
      <c r="AY60" t="s">
        <v>740</v>
      </c>
      <c r="AZ60" t="s">
        <v>740</v>
      </c>
      <c r="BA60" t="s">
        <v>740</v>
      </c>
      <c r="BB60" t="s">
        <v>740</v>
      </c>
      <c r="BC60" t="s">
        <v>740</v>
      </c>
      <c r="BD60" t="s">
        <v>740</v>
      </c>
      <c r="BE60" t="s">
        <v>740</v>
      </c>
      <c r="BF60" t="s">
        <v>740</v>
      </c>
      <c r="BG60" t="s">
        <v>740</v>
      </c>
      <c r="BH60" t="s">
        <v>740</v>
      </c>
      <c r="BI60" t="s">
        <v>740</v>
      </c>
      <c r="BJ60" t="s">
        <v>740</v>
      </c>
      <c r="BK60" t="s">
        <v>740</v>
      </c>
      <c r="BL60" t="s">
        <v>740</v>
      </c>
      <c r="BM60" t="s">
        <v>740</v>
      </c>
      <c r="BN60" t="s">
        <v>740</v>
      </c>
      <c r="BO60" t="s">
        <v>740</v>
      </c>
      <c r="BP60" t="s">
        <v>740</v>
      </c>
      <c r="BQ60" t="s">
        <v>740</v>
      </c>
      <c r="BR60" t="s">
        <v>740</v>
      </c>
      <c r="BS60" t="s">
        <v>740</v>
      </c>
      <c r="BT60" t="s">
        <v>740</v>
      </c>
      <c r="BU60" t="s">
        <v>740</v>
      </c>
      <c r="BV60" t="s">
        <v>740</v>
      </c>
      <c r="BW60" t="s">
        <v>740</v>
      </c>
      <c r="BX60" t="s">
        <v>740</v>
      </c>
      <c r="BY60" t="s">
        <v>740</v>
      </c>
      <c r="BZ60" t="s">
        <v>740</v>
      </c>
      <c r="CA60" t="s">
        <v>740</v>
      </c>
      <c r="CB60" t="s">
        <v>740</v>
      </c>
      <c r="CC60" t="s">
        <v>740</v>
      </c>
      <c r="CD60" t="s">
        <v>740</v>
      </c>
    </row>
    <row r="61" spans="2:82">
      <c r="B61" s="805">
        <v>2</v>
      </c>
      <c r="C61" s="805" t="s">
        <v>1016</v>
      </c>
      <c r="D61" s="805" t="s">
        <v>914</v>
      </c>
      <c r="E61" s="805" t="s">
        <v>1017</v>
      </c>
      <c r="F61" s="805" t="s">
        <v>1018</v>
      </c>
      <c r="G61" s="805" t="s">
        <v>1019</v>
      </c>
      <c r="H61" s="805" t="s">
        <v>1020</v>
      </c>
      <c r="I61" s="805" t="s">
        <v>1004</v>
      </c>
      <c r="J61" s="805" t="s">
        <v>1021</v>
      </c>
      <c r="K61" s="805" t="s">
        <v>751</v>
      </c>
      <c r="L61" s="805" t="s">
        <v>746</v>
      </c>
      <c r="M61" t="s">
        <v>746</v>
      </c>
      <c r="N61" t="s">
        <v>746</v>
      </c>
      <c r="O61" t="s">
        <v>746</v>
      </c>
      <c r="P61" t="s">
        <v>746</v>
      </c>
      <c r="Q61" t="s">
        <v>746</v>
      </c>
      <c r="R61" t="s">
        <v>746</v>
      </c>
      <c r="S61" t="s">
        <v>746</v>
      </c>
      <c r="T61" t="s">
        <v>746</v>
      </c>
      <c r="U61" t="s">
        <v>746</v>
      </c>
      <c r="V61" t="s">
        <v>746</v>
      </c>
      <c r="W61" t="s">
        <v>746</v>
      </c>
      <c r="X61" t="s">
        <v>746</v>
      </c>
      <c r="Y61" t="s">
        <v>746</v>
      </c>
      <c r="Z61" t="s">
        <v>746</v>
      </c>
      <c r="AA61" t="s">
        <v>746</v>
      </c>
      <c r="AB61" t="s">
        <v>746</v>
      </c>
      <c r="AC61" t="s">
        <v>746</v>
      </c>
      <c r="AD61" t="s">
        <v>746</v>
      </c>
      <c r="AE61" t="s">
        <v>746</v>
      </c>
      <c r="AF61" t="s">
        <v>746</v>
      </c>
      <c r="AG61" t="s">
        <v>746</v>
      </c>
      <c r="AH61" t="s">
        <v>746</v>
      </c>
      <c r="AI61" t="s">
        <v>746</v>
      </c>
      <c r="AJ61" t="s">
        <v>746</v>
      </c>
      <c r="AK61" t="s">
        <v>746</v>
      </c>
      <c r="AL61" t="s">
        <v>746</v>
      </c>
      <c r="AM61" t="s">
        <v>746</v>
      </c>
      <c r="AN61" t="s">
        <v>746</v>
      </c>
      <c r="AO61" t="s">
        <v>746</v>
      </c>
      <c r="AP61" t="s">
        <v>746</v>
      </c>
      <c r="AQ61" t="s">
        <v>746</v>
      </c>
      <c r="AR61" t="s">
        <v>746</v>
      </c>
      <c r="AS61" t="s">
        <v>746</v>
      </c>
      <c r="AT61" t="s">
        <v>746</v>
      </c>
      <c r="AU61" t="s">
        <v>746</v>
      </c>
      <c r="AV61" t="s">
        <v>746</v>
      </c>
      <c r="AW61" t="s">
        <v>746</v>
      </c>
      <c r="AX61" t="s">
        <v>746</v>
      </c>
      <c r="AY61" t="s">
        <v>746</v>
      </c>
      <c r="AZ61" t="s">
        <v>746</v>
      </c>
      <c r="BA61" t="s">
        <v>746</v>
      </c>
      <c r="BB61" t="s">
        <v>746</v>
      </c>
      <c r="BC61" t="s">
        <v>746</v>
      </c>
      <c r="BD61" t="s">
        <v>746</v>
      </c>
      <c r="BE61" t="s">
        <v>746</v>
      </c>
      <c r="BF61" t="s">
        <v>746</v>
      </c>
      <c r="BG61" t="s">
        <v>746</v>
      </c>
      <c r="BH61" t="s">
        <v>746</v>
      </c>
      <c r="BI61" t="s">
        <v>746</v>
      </c>
      <c r="BJ61" t="s">
        <v>746</v>
      </c>
      <c r="BK61" t="s">
        <v>746</v>
      </c>
      <c r="BL61" t="s">
        <v>746</v>
      </c>
      <c r="BM61" t="s">
        <v>746</v>
      </c>
      <c r="BN61" t="s">
        <v>746</v>
      </c>
      <c r="BO61" t="s">
        <v>746</v>
      </c>
      <c r="BP61" t="s">
        <v>746</v>
      </c>
      <c r="BQ61" t="s">
        <v>746</v>
      </c>
      <c r="BR61" t="s">
        <v>746</v>
      </c>
      <c r="BS61" t="s">
        <v>746</v>
      </c>
      <c r="BT61" t="s">
        <v>746</v>
      </c>
      <c r="BU61" t="s">
        <v>746</v>
      </c>
      <c r="BV61" t="s">
        <v>746</v>
      </c>
      <c r="BW61" t="s">
        <v>746</v>
      </c>
      <c r="BX61" t="s">
        <v>746</v>
      </c>
      <c r="BY61" t="s">
        <v>746</v>
      </c>
      <c r="BZ61" t="s">
        <v>746</v>
      </c>
      <c r="CA61" t="s">
        <v>746</v>
      </c>
      <c r="CB61" t="s">
        <v>746</v>
      </c>
      <c r="CC61" t="s">
        <v>746</v>
      </c>
      <c r="CD61" t="s">
        <v>746</v>
      </c>
    </row>
    <row r="62" spans="2:82">
      <c r="B62" s="805">
        <v>1</v>
      </c>
      <c r="C62" s="805" t="s">
        <v>1022</v>
      </c>
      <c r="D62" s="805" t="s">
        <v>1023</v>
      </c>
      <c r="E62" s="805" t="s">
        <v>885</v>
      </c>
      <c r="F62" s="805" t="s">
        <v>1024</v>
      </c>
      <c r="G62" s="805" t="s">
        <v>858</v>
      </c>
      <c r="H62" s="805" t="s">
        <v>894</v>
      </c>
      <c r="I62" s="805" t="s">
        <v>979</v>
      </c>
      <c r="J62" s="805" t="s">
        <v>985</v>
      </c>
      <c r="K62" s="805" t="s">
        <v>875</v>
      </c>
      <c r="L62" s="805" t="s">
        <v>750</v>
      </c>
      <c r="M62" t="s">
        <v>750</v>
      </c>
      <c r="N62" t="s">
        <v>750</v>
      </c>
      <c r="O62" t="s">
        <v>750</v>
      </c>
      <c r="P62" t="s">
        <v>750</v>
      </c>
      <c r="Q62" t="s">
        <v>750</v>
      </c>
      <c r="R62" t="s">
        <v>750</v>
      </c>
      <c r="S62" t="s">
        <v>750</v>
      </c>
      <c r="T62" t="s">
        <v>750</v>
      </c>
      <c r="U62" t="s">
        <v>750</v>
      </c>
      <c r="V62" t="s">
        <v>750</v>
      </c>
      <c r="W62" t="s">
        <v>750</v>
      </c>
      <c r="X62" t="s">
        <v>750</v>
      </c>
      <c r="Y62" t="s">
        <v>750</v>
      </c>
      <c r="Z62" t="s">
        <v>750</v>
      </c>
      <c r="AA62" t="s">
        <v>750</v>
      </c>
      <c r="AB62" t="s">
        <v>750</v>
      </c>
      <c r="AC62" t="s">
        <v>750</v>
      </c>
      <c r="AD62" t="s">
        <v>750</v>
      </c>
      <c r="AE62" t="s">
        <v>750</v>
      </c>
      <c r="AF62" t="s">
        <v>750</v>
      </c>
      <c r="AG62" t="s">
        <v>750</v>
      </c>
      <c r="AH62" t="s">
        <v>750</v>
      </c>
      <c r="AI62" t="s">
        <v>750</v>
      </c>
      <c r="AJ62" t="s">
        <v>750</v>
      </c>
      <c r="AK62" t="s">
        <v>750</v>
      </c>
      <c r="AL62" t="s">
        <v>750</v>
      </c>
      <c r="AM62" t="s">
        <v>750</v>
      </c>
      <c r="AN62" t="s">
        <v>750</v>
      </c>
      <c r="AO62" t="s">
        <v>750</v>
      </c>
      <c r="AP62" t="s">
        <v>750</v>
      </c>
      <c r="AQ62" t="s">
        <v>750</v>
      </c>
      <c r="AR62" t="s">
        <v>750</v>
      </c>
      <c r="AS62" t="s">
        <v>750</v>
      </c>
      <c r="AT62" t="s">
        <v>750</v>
      </c>
      <c r="AU62" t="s">
        <v>750</v>
      </c>
      <c r="AV62" t="s">
        <v>750</v>
      </c>
      <c r="AW62" t="s">
        <v>750</v>
      </c>
      <c r="AX62" t="s">
        <v>750</v>
      </c>
      <c r="AY62" t="s">
        <v>750</v>
      </c>
      <c r="AZ62" t="s">
        <v>750</v>
      </c>
      <c r="BA62" t="s">
        <v>750</v>
      </c>
      <c r="BB62" t="s">
        <v>750</v>
      </c>
      <c r="BC62" t="s">
        <v>750</v>
      </c>
      <c r="BD62" t="s">
        <v>750</v>
      </c>
      <c r="BE62" t="s">
        <v>750</v>
      </c>
      <c r="BF62" t="s">
        <v>750</v>
      </c>
      <c r="BG62" t="s">
        <v>750</v>
      </c>
      <c r="BH62" t="s">
        <v>750</v>
      </c>
      <c r="BI62" t="s">
        <v>750</v>
      </c>
      <c r="BJ62" t="s">
        <v>750</v>
      </c>
      <c r="BK62" t="s">
        <v>750</v>
      </c>
      <c r="BL62" t="s">
        <v>750</v>
      </c>
      <c r="BM62" t="s">
        <v>750</v>
      </c>
      <c r="BN62" t="s">
        <v>750</v>
      </c>
      <c r="BO62" t="s">
        <v>750</v>
      </c>
      <c r="BP62" t="s">
        <v>750</v>
      </c>
      <c r="BQ62" t="s">
        <v>750</v>
      </c>
      <c r="BR62" t="s">
        <v>750</v>
      </c>
      <c r="BS62" t="s">
        <v>750</v>
      </c>
      <c r="BT62" t="s">
        <v>750</v>
      </c>
      <c r="BU62" t="s">
        <v>750</v>
      </c>
      <c r="BV62" t="s">
        <v>750</v>
      </c>
      <c r="BW62" t="s">
        <v>750</v>
      </c>
      <c r="BX62" t="s">
        <v>750</v>
      </c>
      <c r="BY62" t="s">
        <v>750</v>
      </c>
      <c r="BZ62" t="s">
        <v>750</v>
      </c>
      <c r="CA62" t="s">
        <v>750</v>
      </c>
      <c r="CB62" t="s">
        <v>750</v>
      </c>
      <c r="CC62" t="s">
        <v>750</v>
      </c>
      <c r="CD62" t="s">
        <v>750</v>
      </c>
    </row>
    <row r="66" spans="2:82" ht="16.2">
      <c r="B66" s="804" t="s">
        <v>1025</v>
      </c>
    </row>
    <row r="67" spans="2:82">
      <c r="B67" s="805" t="s">
        <v>642</v>
      </c>
      <c r="C67" s="805">
        <v>2024</v>
      </c>
      <c r="D67" s="805">
        <v>2025</v>
      </c>
      <c r="E67" s="805">
        <v>2026</v>
      </c>
      <c r="F67" s="805">
        <v>2027</v>
      </c>
      <c r="G67" s="805">
        <v>2028</v>
      </c>
      <c r="H67" s="805">
        <v>2029</v>
      </c>
      <c r="I67" s="805">
        <v>2030</v>
      </c>
      <c r="J67" s="805">
        <v>2031</v>
      </c>
      <c r="K67" s="805">
        <v>2032</v>
      </c>
      <c r="L67" s="805">
        <v>2033</v>
      </c>
      <c r="M67">
        <f>+L67+1</f>
        <v>2034</v>
      </c>
      <c r="N67">
        <f t="shared" ref="N67:BY67" si="4">+M67+1</f>
        <v>2035</v>
      </c>
      <c r="O67">
        <f t="shared" si="4"/>
        <v>2036</v>
      </c>
      <c r="P67">
        <f t="shared" si="4"/>
        <v>2037</v>
      </c>
      <c r="Q67">
        <f t="shared" si="4"/>
        <v>2038</v>
      </c>
      <c r="R67">
        <f t="shared" si="4"/>
        <v>2039</v>
      </c>
      <c r="S67">
        <f t="shared" si="4"/>
        <v>2040</v>
      </c>
      <c r="T67">
        <f t="shared" si="4"/>
        <v>2041</v>
      </c>
      <c r="U67">
        <f t="shared" si="4"/>
        <v>2042</v>
      </c>
      <c r="V67">
        <f t="shared" si="4"/>
        <v>2043</v>
      </c>
      <c r="W67">
        <f t="shared" si="4"/>
        <v>2044</v>
      </c>
      <c r="X67">
        <f t="shared" si="4"/>
        <v>2045</v>
      </c>
      <c r="Y67">
        <f t="shared" si="4"/>
        <v>2046</v>
      </c>
      <c r="Z67">
        <f t="shared" si="4"/>
        <v>2047</v>
      </c>
      <c r="AA67">
        <f t="shared" si="4"/>
        <v>2048</v>
      </c>
      <c r="AB67">
        <f t="shared" si="4"/>
        <v>2049</v>
      </c>
      <c r="AC67">
        <f t="shared" si="4"/>
        <v>2050</v>
      </c>
      <c r="AD67">
        <f t="shared" si="4"/>
        <v>2051</v>
      </c>
      <c r="AE67">
        <f t="shared" si="4"/>
        <v>2052</v>
      </c>
      <c r="AF67">
        <f t="shared" si="4"/>
        <v>2053</v>
      </c>
      <c r="AG67">
        <f t="shared" si="4"/>
        <v>2054</v>
      </c>
      <c r="AH67">
        <f t="shared" si="4"/>
        <v>2055</v>
      </c>
      <c r="AI67">
        <f t="shared" si="4"/>
        <v>2056</v>
      </c>
      <c r="AJ67">
        <f t="shared" si="4"/>
        <v>2057</v>
      </c>
      <c r="AK67">
        <f t="shared" si="4"/>
        <v>2058</v>
      </c>
      <c r="AL67">
        <f t="shared" si="4"/>
        <v>2059</v>
      </c>
      <c r="AM67">
        <f t="shared" si="4"/>
        <v>2060</v>
      </c>
      <c r="AN67">
        <f t="shared" si="4"/>
        <v>2061</v>
      </c>
      <c r="AO67">
        <f t="shared" si="4"/>
        <v>2062</v>
      </c>
      <c r="AP67">
        <f t="shared" si="4"/>
        <v>2063</v>
      </c>
      <c r="AQ67">
        <f t="shared" si="4"/>
        <v>2064</v>
      </c>
      <c r="AR67">
        <f t="shared" si="4"/>
        <v>2065</v>
      </c>
      <c r="AS67">
        <f t="shared" si="4"/>
        <v>2066</v>
      </c>
      <c r="AT67">
        <f t="shared" si="4"/>
        <v>2067</v>
      </c>
      <c r="AU67">
        <f t="shared" si="4"/>
        <v>2068</v>
      </c>
      <c r="AV67">
        <f t="shared" si="4"/>
        <v>2069</v>
      </c>
      <c r="AW67">
        <f t="shared" si="4"/>
        <v>2070</v>
      </c>
      <c r="AX67">
        <f t="shared" si="4"/>
        <v>2071</v>
      </c>
      <c r="AY67">
        <f t="shared" si="4"/>
        <v>2072</v>
      </c>
      <c r="AZ67">
        <f t="shared" si="4"/>
        <v>2073</v>
      </c>
      <c r="BA67">
        <f t="shared" si="4"/>
        <v>2074</v>
      </c>
      <c r="BB67">
        <f t="shared" si="4"/>
        <v>2075</v>
      </c>
      <c r="BC67">
        <f t="shared" si="4"/>
        <v>2076</v>
      </c>
      <c r="BD67">
        <f t="shared" si="4"/>
        <v>2077</v>
      </c>
      <c r="BE67">
        <f>+BD67+1</f>
        <v>2078</v>
      </c>
      <c r="BF67">
        <f t="shared" si="4"/>
        <v>2079</v>
      </c>
      <c r="BG67">
        <f t="shared" si="4"/>
        <v>2080</v>
      </c>
      <c r="BH67">
        <f t="shared" si="4"/>
        <v>2081</v>
      </c>
      <c r="BI67">
        <f t="shared" si="4"/>
        <v>2082</v>
      </c>
      <c r="BJ67">
        <f t="shared" si="4"/>
        <v>2083</v>
      </c>
      <c r="BK67">
        <f t="shared" si="4"/>
        <v>2084</v>
      </c>
      <c r="BL67">
        <f t="shared" si="4"/>
        <v>2085</v>
      </c>
      <c r="BM67">
        <f t="shared" si="4"/>
        <v>2086</v>
      </c>
      <c r="BN67">
        <f t="shared" si="4"/>
        <v>2087</v>
      </c>
      <c r="BO67">
        <f t="shared" si="4"/>
        <v>2088</v>
      </c>
      <c r="BP67">
        <f t="shared" si="4"/>
        <v>2089</v>
      </c>
      <c r="BQ67">
        <f t="shared" si="4"/>
        <v>2090</v>
      </c>
      <c r="BR67">
        <f t="shared" si="4"/>
        <v>2091</v>
      </c>
      <c r="BS67">
        <f t="shared" si="4"/>
        <v>2092</v>
      </c>
      <c r="BT67">
        <f t="shared" si="4"/>
        <v>2093</v>
      </c>
      <c r="BU67">
        <f t="shared" si="4"/>
        <v>2094</v>
      </c>
      <c r="BV67">
        <f t="shared" si="4"/>
        <v>2095</v>
      </c>
      <c r="BW67">
        <f>+BV67+1</f>
        <v>2096</v>
      </c>
      <c r="BX67">
        <f t="shared" si="4"/>
        <v>2097</v>
      </c>
      <c r="BY67">
        <f t="shared" si="4"/>
        <v>2098</v>
      </c>
      <c r="BZ67">
        <f t="shared" ref="BZ67:CD67" si="5">+BY67+1</f>
        <v>2099</v>
      </c>
      <c r="CA67">
        <f t="shared" si="5"/>
        <v>2100</v>
      </c>
      <c r="CB67">
        <f t="shared" si="5"/>
        <v>2101</v>
      </c>
      <c r="CC67">
        <f t="shared" si="5"/>
        <v>2102</v>
      </c>
      <c r="CD67">
        <f t="shared" si="5"/>
        <v>2103</v>
      </c>
    </row>
    <row r="68" spans="2:82">
      <c r="B68" s="805">
        <v>24</v>
      </c>
      <c r="C68" s="805" t="s">
        <v>971</v>
      </c>
      <c r="D68" s="805" t="s">
        <v>961</v>
      </c>
      <c r="E68" s="805" t="s">
        <v>797</v>
      </c>
      <c r="F68" s="805" t="s">
        <v>666</v>
      </c>
      <c r="G68" s="805" t="s">
        <v>665</v>
      </c>
      <c r="H68" s="805" t="s">
        <v>1026</v>
      </c>
      <c r="I68" s="805" t="s">
        <v>1027</v>
      </c>
      <c r="J68" s="805" t="s">
        <v>1028</v>
      </c>
      <c r="K68" s="805" t="s">
        <v>1029</v>
      </c>
      <c r="L68" s="805" t="s">
        <v>651</v>
      </c>
      <c r="M68" t="s">
        <v>651</v>
      </c>
      <c r="N68" t="s">
        <v>651</v>
      </c>
      <c r="O68" t="s">
        <v>651</v>
      </c>
      <c r="P68" t="s">
        <v>651</v>
      </c>
      <c r="Q68" t="s">
        <v>651</v>
      </c>
      <c r="R68" t="s">
        <v>651</v>
      </c>
      <c r="S68" t="s">
        <v>651</v>
      </c>
      <c r="T68" t="s">
        <v>651</v>
      </c>
      <c r="U68" t="s">
        <v>651</v>
      </c>
      <c r="V68" t="s">
        <v>651</v>
      </c>
      <c r="W68" t="s">
        <v>651</v>
      </c>
      <c r="X68" t="s">
        <v>651</v>
      </c>
      <c r="Y68" t="s">
        <v>651</v>
      </c>
      <c r="Z68" t="s">
        <v>651</v>
      </c>
      <c r="AA68" t="s">
        <v>651</v>
      </c>
      <c r="AB68" t="s">
        <v>651</v>
      </c>
      <c r="AC68" t="s">
        <v>651</v>
      </c>
      <c r="AD68" t="s">
        <v>651</v>
      </c>
      <c r="AE68" t="s">
        <v>651</v>
      </c>
      <c r="AF68" t="s">
        <v>651</v>
      </c>
      <c r="AG68" t="s">
        <v>651</v>
      </c>
      <c r="AH68" t="s">
        <v>651</v>
      </c>
      <c r="AI68" t="s">
        <v>651</v>
      </c>
      <c r="AJ68" t="s">
        <v>651</v>
      </c>
      <c r="AK68" t="s">
        <v>651</v>
      </c>
      <c r="AL68" t="s">
        <v>651</v>
      </c>
      <c r="AM68" t="s">
        <v>651</v>
      </c>
      <c r="AN68" t="s">
        <v>651</v>
      </c>
      <c r="AO68" t="s">
        <v>651</v>
      </c>
      <c r="AP68" t="s">
        <v>651</v>
      </c>
      <c r="AQ68" t="s">
        <v>651</v>
      </c>
      <c r="AR68" t="s">
        <v>651</v>
      </c>
      <c r="AS68" t="s">
        <v>651</v>
      </c>
      <c r="AT68" t="s">
        <v>651</v>
      </c>
      <c r="AU68" t="s">
        <v>651</v>
      </c>
      <c r="AV68" t="s">
        <v>651</v>
      </c>
      <c r="AW68" t="s">
        <v>651</v>
      </c>
      <c r="AX68" t="s">
        <v>651</v>
      </c>
      <c r="AY68" t="s">
        <v>651</v>
      </c>
      <c r="AZ68" t="s">
        <v>651</v>
      </c>
      <c r="BA68" t="s">
        <v>651</v>
      </c>
      <c r="BB68" t="s">
        <v>651</v>
      </c>
      <c r="BC68" t="s">
        <v>651</v>
      </c>
      <c r="BD68" t="s">
        <v>651</v>
      </c>
      <c r="BE68" t="s">
        <v>651</v>
      </c>
      <c r="BF68" t="s">
        <v>651</v>
      </c>
      <c r="BG68" t="s">
        <v>651</v>
      </c>
      <c r="BH68" t="s">
        <v>651</v>
      </c>
      <c r="BI68" t="s">
        <v>651</v>
      </c>
      <c r="BJ68" t="s">
        <v>651</v>
      </c>
      <c r="BK68" t="s">
        <v>651</v>
      </c>
      <c r="BL68" t="s">
        <v>651</v>
      </c>
      <c r="BM68" t="s">
        <v>651</v>
      </c>
      <c r="BN68" t="s">
        <v>651</v>
      </c>
      <c r="BO68" t="s">
        <v>651</v>
      </c>
      <c r="BP68" t="s">
        <v>651</v>
      </c>
      <c r="BQ68" t="s">
        <v>651</v>
      </c>
      <c r="BR68" t="s">
        <v>651</v>
      </c>
      <c r="BS68" t="s">
        <v>651</v>
      </c>
      <c r="BT68" t="s">
        <v>651</v>
      </c>
      <c r="BU68" t="s">
        <v>651</v>
      </c>
      <c r="BV68" t="s">
        <v>651</v>
      </c>
      <c r="BW68" t="s">
        <v>651</v>
      </c>
      <c r="BX68" t="s">
        <v>651</v>
      </c>
      <c r="BY68" t="s">
        <v>651</v>
      </c>
      <c r="BZ68" t="s">
        <v>651</v>
      </c>
      <c r="CA68" t="s">
        <v>651</v>
      </c>
      <c r="CB68" t="s">
        <v>651</v>
      </c>
      <c r="CC68" t="s">
        <v>651</v>
      </c>
      <c r="CD68" t="s">
        <v>651</v>
      </c>
    </row>
    <row r="69" spans="2:82">
      <c r="B69" s="805">
        <v>23</v>
      </c>
      <c r="C69" s="805" t="s">
        <v>1030</v>
      </c>
      <c r="D69" s="805" t="s">
        <v>960</v>
      </c>
      <c r="E69" s="805" t="s">
        <v>1031</v>
      </c>
      <c r="F69" s="805" t="s">
        <v>670</v>
      </c>
      <c r="G69" s="805" t="s">
        <v>790</v>
      </c>
      <c r="H69" s="805" t="s">
        <v>1032</v>
      </c>
      <c r="I69" s="805" t="s">
        <v>1033</v>
      </c>
      <c r="J69" s="805" t="s">
        <v>1034</v>
      </c>
      <c r="K69" s="805" t="s">
        <v>1035</v>
      </c>
      <c r="L69" s="805" t="s">
        <v>648</v>
      </c>
      <c r="M69" t="s">
        <v>648</v>
      </c>
      <c r="N69" t="s">
        <v>648</v>
      </c>
      <c r="O69" t="s">
        <v>648</v>
      </c>
      <c r="P69" t="s">
        <v>648</v>
      </c>
      <c r="Q69" t="s">
        <v>648</v>
      </c>
      <c r="R69" t="s">
        <v>648</v>
      </c>
      <c r="S69" t="s">
        <v>648</v>
      </c>
      <c r="T69" t="s">
        <v>648</v>
      </c>
      <c r="U69" t="s">
        <v>648</v>
      </c>
      <c r="V69" t="s">
        <v>648</v>
      </c>
      <c r="W69" t="s">
        <v>648</v>
      </c>
      <c r="X69" t="s">
        <v>648</v>
      </c>
      <c r="Y69" t="s">
        <v>648</v>
      </c>
      <c r="Z69" t="s">
        <v>648</v>
      </c>
      <c r="AA69" t="s">
        <v>648</v>
      </c>
      <c r="AB69" t="s">
        <v>648</v>
      </c>
      <c r="AC69" t="s">
        <v>648</v>
      </c>
      <c r="AD69" t="s">
        <v>648</v>
      </c>
      <c r="AE69" t="s">
        <v>648</v>
      </c>
      <c r="AF69" t="s">
        <v>648</v>
      </c>
      <c r="AG69" t="s">
        <v>648</v>
      </c>
      <c r="AH69" t="s">
        <v>648</v>
      </c>
      <c r="AI69" t="s">
        <v>648</v>
      </c>
      <c r="AJ69" t="s">
        <v>648</v>
      </c>
      <c r="AK69" t="s">
        <v>648</v>
      </c>
      <c r="AL69" t="s">
        <v>648</v>
      </c>
      <c r="AM69" t="s">
        <v>648</v>
      </c>
      <c r="AN69" t="s">
        <v>648</v>
      </c>
      <c r="AO69" t="s">
        <v>648</v>
      </c>
      <c r="AP69" t="s">
        <v>648</v>
      </c>
      <c r="AQ69" t="s">
        <v>648</v>
      </c>
      <c r="AR69" t="s">
        <v>648</v>
      </c>
      <c r="AS69" t="s">
        <v>648</v>
      </c>
      <c r="AT69" t="s">
        <v>648</v>
      </c>
      <c r="AU69" t="s">
        <v>648</v>
      </c>
      <c r="AV69" t="s">
        <v>648</v>
      </c>
      <c r="AW69" t="s">
        <v>648</v>
      </c>
      <c r="AX69" t="s">
        <v>648</v>
      </c>
      <c r="AY69" t="s">
        <v>648</v>
      </c>
      <c r="AZ69" t="s">
        <v>648</v>
      </c>
      <c r="BA69" t="s">
        <v>648</v>
      </c>
      <c r="BB69" t="s">
        <v>648</v>
      </c>
      <c r="BC69" t="s">
        <v>648</v>
      </c>
      <c r="BD69" t="s">
        <v>648</v>
      </c>
      <c r="BE69" t="s">
        <v>648</v>
      </c>
      <c r="BF69" t="s">
        <v>648</v>
      </c>
      <c r="BG69" t="s">
        <v>648</v>
      </c>
      <c r="BH69" t="s">
        <v>648</v>
      </c>
      <c r="BI69" t="s">
        <v>648</v>
      </c>
      <c r="BJ69" t="s">
        <v>648</v>
      </c>
      <c r="BK69" t="s">
        <v>648</v>
      </c>
      <c r="BL69" t="s">
        <v>648</v>
      </c>
      <c r="BM69" t="s">
        <v>648</v>
      </c>
      <c r="BN69" t="s">
        <v>648</v>
      </c>
      <c r="BO69" t="s">
        <v>648</v>
      </c>
      <c r="BP69" t="s">
        <v>648</v>
      </c>
      <c r="BQ69" t="s">
        <v>648</v>
      </c>
      <c r="BR69" t="s">
        <v>648</v>
      </c>
      <c r="BS69" t="s">
        <v>648</v>
      </c>
      <c r="BT69" t="s">
        <v>648</v>
      </c>
      <c r="BU69" t="s">
        <v>648</v>
      </c>
      <c r="BV69" t="s">
        <v>648</v>
      </c>
      <c r="BW69" t="s">
        <v>648</v>
      </c>
      <c r="BX69" t="s">
        <v>648</v>
      </c>
      <c r="BY69" t="s">
        <v>648</v>
      </c>
      <c r="BZ69" t="s">
        <v>648</v>
      </c>
      <c r="CA69" t="s">
        <v>648</v>
      </c>
      <c r="CB69" t="s">
        <v>648</v>
      </c>
      <c r="CC69" t="s">
        <v>648</v>
      </c>
      <c r="CD69" t="s">
        <v>648</v>
      </c>
    </row>
    <row r="70" spans="2:82">
      <c r="B70" s="805">
        <v>22</v>
      </c>
      <c r="C70" s="805" t="s">
        <v>984</v>
      </c>
      <c r="D70" s="805" t="s">
        <v>694</v>
      </c>
      <c r="E70" s="805" t="s">
        <v>1036</v>
      </c>
      <c r="F70" s="805" t="s">
        <v>1037</v>
      </c>
      <c r="G70" s="805" t="s">
        <v>1038</v>
      </c>
      <c r="H70" s="805" t="s">
        <v>1039</v>
      </c>
      <c r="I70" s="805" t="s">
        <v>1040</v>
      </c>
      <c r="J70" s="805" t="s">
        <v>1041</v>
      </c>
      <c r="K70" s="805" t="s">
        <v>1042</v>
      </c>
      <c r="L70" s="805" t="s">
        <v>657</v>
      </c>
      <c r="M70" t="s">
        <v>657</v>
      </c>
      <c r="N70" t="s">
        <v>657</v>
      </c>
      <c r="O70" t="s">
        <v>657</v>
      </c>
      <c r="P70" t="s">
        <v>657</v>
      </c>
      <c r="Q70" t="s">
        <v>657</v>
      </c>
      <c r="R70" t="s">
        <v>657</v>
      </c>
      <c r="S70" t="s">
        <v>657</v>
      </c>
      <c r="T70" t="s">
        <v>657</v>
      </c>
      <c r="U70" t="s">
        <v>657</v>
      </c>
      <c r="V70" t="s">
        <v>657</v>
      </c>
      <c r="W70" t="s">
        <v>657</v>
      </c>
      <c r="X70" t="s">
        <v>657</v>
      </c>
      <c r="Y70" t="s">
        <v>657</v>
      </c>
      <c r="Z70" t="s">
        <v>657</v>
      </c>
      <c r="AA70" t="s">
        <v>657</v>
      </c>
      <c r="AB70" t="s">
        <v>657</v>
      </c>
      <c r="AC70" t="s">
        <v>657</v>
      </c>
      <c r="AD70" t="s">
        <v>657</v>
      </c>
      <c r="AE70" t="s">
        <v>657</v>
      </c>
      <c r="AF70" t="s">
        <v>657</v>
      </c>
      <c r="AG70" t="s">
        <v>657</v>
      </c>
      <c r="AH70" t="s">
        <v>657</v>
      </c>
      <c r="AI70" t="s">
        <v>657</v>
      </c>
      <c r="AJ70" t="s">
        <v>657</v>
      </c>
      <c r="AK70" t="s">
        <v>657</v>
      </c>
      <c r="AL70" t="s">
        <v>657</v>
      </c>
      <c r="AM70" t="s">
        <v>657</v>
      </c>
      <c r="AN70" t="s">
        <v>657</v>
      </c>
      <c r="AO70" t="s">
        <v>657</v>
      </c>
      <c r="AP70" t="s">
        <v>657</v>
      </c>
      <c r="AQ70" t="s">
        <v>657</v>
      </c>
      <c r="AR70" t="s">
        <v>657</v>
      </c>
      <c r="AS70" t="s">
        <v>657</v>
      </c>
      <c r="AT70" t="s">
        <v>657</v>
      </c>
      <c r="AU70" t="s">
        <v>657</v>
      </c>
      <c r="AV70" t="s">
        <v>657</v>
      </c>
      <c r="AW70" t="s">
        <v>657</v>
      </c>
      <c r="AX70" t="s">
        <v>657</v>
      </c>
      <c r="AY70" t="s">
        <v>657</v>
      </c>
      <c r="AZ70" t="s">
        <v>657</v>
      </c>
      <c r="BA70" t="s">
        <v>657</v>
      </c>
      <c r="BB70" t="s">
        <v>657</v>
      </c>
      <c r="BC70" t="s">
        <v>657</v>
      </c>
      <c r="BD70" t="s">
        <v>657</v>
      </c>
      <c r="BE70" t="s">
        <v>657</v>
      </c>
      <c r="BF70" t="s">
        <v>657</v>
      </c>
      <c r="BG70" t="s">
        <v>657</v>
      </c>
      <c r="BH70" t="s">
        <v>657</v>
      </c>
      <c r="BI70" t="s">
        <v>657</v>
      </c>
      <c r="BJ70" t="s">
        <v>657</v>
      </c>
      <c r="BK70" t="s">
        <v>657</v>
      </c>
      <c r="BL70" t="s">
        <v>657</v>
      </c>
      <c r="BM70" t="s">
        <v>657</v>
      </c>
      <c r="BN70" t="s">
        <v>657</v>
      </c>
      <c r="BO70" t="s">
        <v>657</v>
      </c>
      <c r="BP70" t="s">
        <v>657</v>
      </c>
      <c r="BQ70" t="s">
        <v>657</v>
      </c>
      <c r="BR70" t="s">
        <v>657</v>
      </c>
      <c r="BS70" t="s">
        <v>657</v>
      </c>
      <c r="BT70" t="s">
        <v>657</v>
      </c>
      <c r="BU70" t="s">
        <v>657</v>
      </c>
      <c r="BV70" t="s">
        <v>657</v>
      </c>
      <c r="BW70" t="s">
        <v>657</v>
      </c>
      <c r="BX70" t="s">
        <v>657</v>
      </c>
      <c r="BY70" t="s">
        <v>657</v>
      </c>
      <c r="BZ70" t="s">
        <v>657</v>
      </c>
      <c r="CA70" t="s">
        <v>657</v>
      </c>
      <c r="CB70" t="s">
        <v>657</v>
      </c>
      <c r="CC70" t="s">
        <v>657</v>
      </c>
      <c r="CD70" t="s">
        <v>657</v>
      </c>
    </row>
    <row r="71" spans="2:82">
      <c r="B71" s="805">
        <v>21</v>
      </c>
      <c r="C71" s="805" t="s">
        <v>1043</v>
      </c>
      <c r="D71" s="805" t="s">
        <v>1044</v>
      </c>
      <c r="E71" s="805" t="s">
        <v>1045</v>
      </c>
      <c r="F71" s="805" t="s">
        <v>681</v>
      </c>
      <c r="G71" s="805" t="s">
        <v>1046</v>
      </c>
      <c r="H71" s="805" t="s">
        <v>1047</v>
      </c>
      <c r="I71" s="805" t="s">
        <v>1048</v>
      </c>
      <c r="J71" s="805" t="s">
        <v>1049</v>
      </c>
      <c r="K71" s="805" t="s">
        <v>1050</v>
      </c>
      <c r="L71" s="805" t="s">
        <v>662</v>
      </c>
      <c r="M71" t="s">
        <v>662</v>
      </c>
      <c r="N71" t="s">
        <v>662</v>
      </c>
      <c r="O71" t="s">
        <v>662</v>
      </c>
      <c r="P71" t="s">
        <v>662</v>
      </c>
      <c r="Q71" t="s">
        <v>662</v>
      </c>
      <c r="R71" t="s">
        <v>662</v>
      </c>
      <c r="S71" t="s">
        <v>662</v>
      </c>
      <c r="T71" t="s">
        <v>662</v>
      </c>
      <c r="U71" t="s">
        <v>662</v>
      </c>
      <c r="V71" t="s">
        <v>662</v>
      </c>
      <c r="W71" t="s">
        <v>662</v>
      </c>
      <c r="X71" t="s">
        <v>662</v>
      </c>
      <c r="Y71" t="s">
        <v>662</v>
      </c>
      <c r="Z71" t="s">
        <v>662</v>
      </c>
      <c r="AA71" t="s">
        <v>662</v>
      </c>
      <c r="AB71" t="s">
        <v>662</v>
      </c>
      <c r="AC71" t="s">
        <v>662</v>
      </c>
      <c r="AD71" t="s">
        <v>662</v>
      </c>
      <c r="AE71" t="s">
        <v>662</v>
      </c>
      <c r="AF71" t="s">
        <v>662</v>
      </c>
      <c r="AG71" t="s">
        <v>662</v>
      </c>
      <c r="AH71" t="s">
        <v>662</v>
      </c>
      <c r="AI71" t="s">
        <v>662</v>
      </c>
      <c r="AJ71" t="s">
        <v>662</v>
      </c>
      <c r="AK71" t="s">
        <v>662</v>
      </c>
      <c r="AL71" t="s">
        <v>662</v>
      </c>
      <c r="AM71" t="s">
        <v>662</v>
      </c>
      <c r="AN71" t="s">
        <v>662</v>
      </c>
      <c r="AO71" t="s">
        <v>662</v>
      </c>
      <c r="AP71" t="s">
        <v>662</v>
      </c>
      <c r="AQ71" t="s">
        <v>662</v>
      </c>
      <c r="AR71" t="s">
        <v>662</v>
      </c>
      <c r="AS71" t="s">
        <v>662</v>
      </c>
      <c r="AT71" t="s">
        <v>662</v>
      </c>
      <c r="AU71" t="s">
        <v>662</v>
      </c>
      <c r="AV71" t="s">
        <v>662</v>
      </c>
      <c r="AW71" t="s">
        <v>662</v>
      </c>
      <c r="AX71" t="s">
        <v>662</v>
      </c>
      <c r="AY71" t="s">
        <v>662</v>
      </c>
      <c r="AZ71" t="s">
        <v>662</v>
      </c>
      <c r="BA71" t="s">
        <v>662</v>
      </c>
      <c r="BB71" t="s">
        <v>662</v>
      </c>
      <c r="BC71" t="s">
        <v>662</v>
      </c>
      <c r="BD71" t="s">
        <v>662</v>
      </c>
      <c r="BE71" t="s">
        <v>662</v>
      </c>
      <c r="BF71" t="s">
        <v>662</v>
      </c>
      <c r="BG71" t="s">
        <v>662</v>
      </c>
      <c r="BH71" t="s">
        <v>662</v>
      </c>
      <c r="BI71" t="s">
        <v>662</v>
      </c>
      <c r="BJ71" t="s">
        <v>662</v>
      </c>
      <c r="BK71" t="s">
        <v>662</v>
      </c>
      <c r="BL71" t="s">
        <v>662</v>
      </c>
      <c r="BM71" t="s">
        <v>662</v>
      </c>
      <c r="BN71" t="s">
        <v>662</v>
      </c>
      <c r="BO71" t="s">
        <v>662</v>
      </c>
      <c r="BP71" t="s">
        <v>662</v>
      </c>
      <c r="BQ71" t="s">
        <v>662</v>
      </c>
      <c r="BR71" t="s">
        <v>662</v>
      </c>
      <c r="BS71" t="s">
        <v>662</v>
      </c>
      <c r="BT71" t="s">
        <v>662</v>
      </c>
      <c r="BU71" t="s">
        <v>662</v>
      </c>
      <c r="BV71" t="s">
        <v>662</v>
      </c>
      <c r="BW71" t="s">
        <v>662</v>
      </c>
      <c r="BX71" t="s">
        <v>662</v>
      </c>
      <c r="BY71" t="s">
        <v>662</v>
      </c>
      <c r="BZ71" t="s">
        <v>662</v>
      </c>
      <c r="CA71" t="s">
        <v>662</v>
      </c>
      <c r="CB71" t="s">
        <v>662</v>
      </c>
      <c r="CC71" t="s">
        <v>662</v>
      </c>
      <c r="CD71" t="s">
        <v>662</v>
      </c>
    </row>
    <row r="72" spans="2:82">
      <c r="B72" s="805">
        <v>20</v>
      </c>
      <c r="C72" s="805" t="s">
        <v>1051</v>
      </c>
      <c r="D72" s="805" t="s">
        <v>842</v>
      </c>
      <c r="E72" s="805" t="s">
        <v>1052</v>
      </c>
      <c r="F72" s="805" t="s">
        <v>1053</v>
      </c>
      <c r="G72" s="805" t="s">
        <v>1054</v>
      </c>
      <c r="H72" s="805" t="s">
        <v>755</v>
      </c>
      <c r="I72" s="805" t="s">
        <v>1055</v>
      </c>
      <c r="J72" s="805" t="s">
        <v>1056</v>
      </c>
      <c r="K72" s="805" t="s">
        <v>1057</v>
      </c>
      <c r="L72" s="805" t="s">
        <v>664</v>
      </c>
      <c r="M72" t="s">
        <v>664</v>
      </c>
      <c r="N72" t="s">
        <v>664</v>
      </c>
      <c r="O72" t="s">
        <v>664</v>
      </c>
      <c r="P72" t="s">
        <v>664</v>
      </c>
      <c r="Q72" t="s">
        <v>664</v>
      </c>
      <c r="R72" t="s">
        <v>664</v>
      </c>
      <c r="S72" t="s">
        <v>664</v>
      </c>
      <c r="T72" t="s">
        <v>664</v>
      </c>
      <c r="U72" t="s">
        <v>664</v>
      </c>
      <c r="V72" t="s">
        <v>664</v>
      </c>
      <c r="W72" t="s">
        <v>664</v>
      </c>
      <c r="X72" t="s">
        <v>664</v>
      </c>
      <c r="Y72" t="s">
        <v>664</v>
      </c>
      <c r="Z72" t="s">
        <v>664</v>
      </c>
      <c r="AA72" t="s">
        <v>664</v>
      </c>
      <c r="AB72" t="s">
        <v>664</v>
      </c>
      <c r="AC72" t="s">
        <v>664</v>
      </c>
      <c r="AD72" t="s">
        <v>664</v>
      </c>
      <c r="AE72" t="s">
        <v>664</v>
      </c>
      <c r="AF72" t="s">
        <v>664</v>
      </c>
      <c r="AG72" t="s">
        <v>664</v>
      </c>
      <c r="AH72" t="s">
        <v>664</v>
      </c>
      <c r="AI72" t="s">
        <v>664</v>
      </c>
      <c r="AJ72" t="s">
        <v>664</v>
      </c>
      <c r="AK72" t="s">
        <v>664</v>
      </c>
      <c r="AL72" t="s">
        <v>664</v>
      </c>
      <c r="AM72" t="s">
        <v>664</v>
      </c>
      <c r="AN72" t="s">
        <v>664</v>
      </c>
      <c r="AO72" t="s">
        <v>664</v>
      </c>
      <c r="AP72" t="s">
        <v>664</v>
      </c>
      <c r="AQ72" t="s">
        <v>664</v>
      </c>
      <c r="AR72" t="s">
        <v>664</v>
      </c>
      <c r="AS72" t="s">
        <v>664</v>
      </c>
      <c r="AT72" t="s">
        <v>664</v>
      </c>
      <c r="AU72" t="s">
        <v>664</v>
      </c>
      <c r="AV72" t="s">
        <v>664</v>
      </c>
      <c r="AW72" t="s">
        <v>664</v>
      </c>
      <c r="AX72" t="s">
        <v>664</v>
      </c>
      <c r="AY72" t="s">
        <v>664</v>
      </c>
      <c r="AZ72" t="s">
        <v>664</v>
      </c>
      <c r="BA72" t="s">
        <v>664</v>
      </c>
      <c r="BB72" t="s">
        <v>664</v>
      </c>
      <c r="BC72" t="s">
        <v>664</v>
      </c>
      <c r="BD72" t="s">
        <v>664</v>
      </c>
      <c r="BE72" t="s">
        <v>664</v>
      </c>
      <c r="BF72" t="s">
        <v>664</v>
      </c>
      <c r="BG72" t="s">
        <v>664</v>
      </c>
      <c r="BH72" t="s">
        <v>664</v>
      </c>
      <c r="BI72" t="s">
        <v>664</v>
      </c>
      <c r="BJ72" t="s">
        <v>664</v>
      </c>
      <c r="BK72" t="s">
        <v>664</v>
      </c>
      <c r="BL72" t="s">
        <v>664</v>
      </c>
      <c r="BM72" t="s">
        <v>664</v>
      </c>
      <c r="BN72" t="s">
        <v>664</v>
      </c>
      <c r="BO72" t="s">
        <v>664</v>
      </c>
      <c r="BP72" t="s">
        <v>664</v>
      </c>
      <c r="BQ72" t="s">
        <v>664</v>
      </c>
      <c r="BR72" t="s">
        <v>664</v>
      </c>
      <c r="BS72" t="s">
        <v>664</v>
      </c>
      <c r="BT72" t="s">
        <v>664</v>
      </c>
      <c r="BU72" t="s">
        <v>664</v>
      </c>
      <c r="BV72" t="s">
        <v>664</v>
      </c>
      <c r="BW72" t="s">
        <v>664</v>
      </c>
      <c r="BX72" t="s">
        <v>664</v>
      </c>
      <c r="BY72" t="s">
        <v>664</v>
      </c>
      <c r="BZ72" t="s">
        <v>664</v>
      </c>
      <c r="CA72" t="s">
        <v>664</v>
      </c>
      <c r="CB72" t="s">
        <v>664</v>
      </c>
      <c r="CC72" t="s">
        <v>664</v>
      </c>
      <c r="CD72" t="s">
        <v>664</v>
      </c>
    </row>
    <row r="73" spans="2:82">
      <c r="B73" s="805">
        <v>19</v>
      </c>
      <c r="C73" s="805" t="s">
        <v>1058</v>
      </c>
      <c r="D73" s="805" t="s">
        <v>1059</v>
      </c>
      <c r="E73" s="805" t="s">
        <v>1060</v>
      </c>
      <c r="F73" s="805" t="s">
        <v>1061</v>
      </c>
      <c r="G73" s="805" t="s">
        <v>960</v>
      </c>
      <c r="H73" s="805" t="s">
        <v>1062</v>
      </c>
      <c r="I73" s="805" t="s">
        <v>677</v>
      </c>
      <c r="J73" s="805" t="s">
        <v>1063</v>
      </c>
      <c r="K73" s="805" t="s">
        <v>1064</v>
      </c>
      <c r="L73" s="805" t="s">
        <v>669</v>
      </c>
      <c r="M73" t="s">
        <v>669</v>
      </c>
      <c r="N73" t="s">
        <v>669</v>
      </c>
      <c r="O73" t="s">
        <v>669</v>
      </c>
      <c r="P73" t="s">
        <v>669</v>
      </c>
      <c r="Q73" t="s">
        <v>669</v>
      </c>
      <c r="R73" t="s">
        <v>669</v>
      </c>
      <c r="S73" t="s">
        <v>669</v>
      </c>
      <c r="T73" t="s">
        <v>669</v>
      </c>
      <c r="U73" t="s">
        <v>669</v>
      </c>
      <c r="V73" t="s">
        <v>669</v>
      </c>
      <c r="W73" t="s">
        <v>669</v>
      </c>
      <c r="X73" t="s">
        <v>669</v>
      </c>
      <c r="Y73" t="s">
        <v>669</v>
      </c>
      <c r="Z73" t="s">
        <v>669</v>
      </c>
      <c r="AA73" t="s">
        <v>669</v>
      </c>
      <c r="AB73" t="s">
        <v>669</v>
      </c>
      <c r="AC73" t="s">
        <v>669</v>
      </c>
      <c r="AD73" t="s">
        <v>669</v>
      </c>
      <c r="AE73" t="s">
        <v>669</v>
      </c>
      <c r="AF73" t="s">
        <v>669</v>
      </c>
      <c r="AG73" t="s">
        <v>669</v>
      </c>
      <c r="AH73" t="s">
        <v>669</v>
      </c>
      <c r="AI73" t="s">
        <v>669</v>
      </c>
      <c r="AJ73" t="s">
        <v>669</v>
      </c>
      <c r="AK73" t="s">
        <v>669</v>
      </c>
      <c r="AL73" t="s">
        <v>669</v>
      </c>
      <c r="AM73" t="s">
        <v>669</v>
      </c>
      <c r="AN73" t="s">
        <v>669</v>
      </c>
      <c r="AO73" t="s">
        <v>669</v>
      </c>
      <c r="AP73" t="s">
        <v>669</v>
      </c>
      <c r="AQ73" t="s">
        <v>669</v>
      </c>
      <c r="AR73" t="s">
        <v>669</v>
      </c>
      <c r="AS73" t="s">
        <v>669</v>
      </c>
      <c r="AT73" t="s">
        <v>669</v>
      </c>
      <c r="AU73" t="s">
        <v>669</v>
      </c>
      <c r="AV73" t="s">
        <v>669</v>
      </c>
      <c r="AW73" t="s">
        <v>669</v>
      </c>
      <c r="AX73" t="s">
        <v>669</v>
      </c>
      <c r="AY73" t="s">
        <v>669</v>
      </c>
      <c r="AZ73" t="s">
        <v>669</v>
      </c>
      <c r="BA73" t="s">
        <v>669</v>
      </c>
      <c r="BB73" t="s">
        <v>669</v>
      </c>
      <c r="BC73" t="s">
        <v>669</v>
      </c>
      <c r="BD73" t="s">
        <v>669</v>
      </c>
      <c r="BE73" t="s">
        <v>669</v>
      </c>
      <c r="BF73" t="s">
        <v>669</v>
      </c>
      <c r="BG73" t="s">
        <v>669</v>
      </c>
      <c r="BH73" t="s">
        <v>669</v>
      </c>
      <c r="BI73" t="s">
        <v>669</v>
      </c>
      <c r="BJ73" t="s">
        <v>669</v>
      </c>
      <c r="BK73" t="s">
        <v>669</v>
      </c>
      <c r="BL73" t="s">
        <v>669</v>
      </c>
      <c r="BM73" t="s">
        <v>669</v>
      </c>
      <c r="BN73" t="s">
        <v>669</v>
      </c>
      <c r="BO73" t="s">
        <v>669</v>
      </c>
      <c r="BP73" t="s">
        <v>669</v>
      </c>
      <c r="BQ73" t="s">
        <v>669</v>
      </c>
      <c r="BR73" t="s">
        <v>669</v>
      </c>
      <c r="BS73" t="s">
        <v>669</v>
      </c>
      <c r="BT73" t="s">
        <v>669</v>
      </c>
      <c r="BU73" t="s">
        <v>669</v>
      </c>
      <c r="BV73" t="s">
        <v>669</v>
      </c>
      <c r="BW73" t="s">
        <v>669</v>
      </c>
      <c r="BX73" t="s">
        <v>669</v>
      </c>
      <c r="BY73" t="s">
        <v>669</v>
      </c>
      <c r="BZ73" t="s">
        <v>669</v>
      </c>
      <c r="CA73" t="s">
        <v>669</v>
      </c>
      <c r="CB73" t="s">
        <v>669</v>
      </c>
      <c r="CC73" t="s">
        <v>669</v>
      </c>
      <c r="CD73" t="s">
        <v>669</v>
      </c>
    </row>
    <row r="74" spans="2:82">
      <c r="B74" s="805">
        <v>18</v>
      </c>
      <c r="C74" s="805" t="s">
        <v>726</v>
      </c>
      <c r="D74" s="805" t="s">
        <v>717</v>
      </c>
      <c r="E74" s="805" t="s">
        <v>808</v>
      </c>
      <c r="F74" s="805" t="s">
        <v>701</v>
      </c>
      <c r="G74" s="805" t="s">
        <v>698</v>
      </c>
      <c r="H74" s="805" t="s">
        <v>691</v>
      </c>
      <c r="I74" s="805" t="s">
        <v>702</v>
      </c>
      <c r="J74" s="805" t="s">
        <v>680</v>
      </c>
      <c r="K74" s="805" t="s">
        <v>699</v>
      </c>
      <c r="L74" s="805" t="s">
        <v>673</v>
      </c>
      <c r="M74" t="s">
        <v>673</v>
      </c>
      <c r="N74" t="s">
        <v>673</v>
      </c>
      <c r="O74" t="s">
        <v>673</v>
      </c>
      <c r="P74" t="s">
        <v>673</v>
      </c>
      <c r="Q74" t="s">
        <v>673</v>
      </c>
      <c r="R74" t="s">
        <v>673</v>
      </c>
      <c r="S74" t="s">
        <v>673</v>
      </c>
      <c r="T74" t="s">
        <v>673</v>
      </c>
      <c r="U74" t="s">
        <v>673</v>
      </c>
      <c r="V74" t="s">
        <v>673</v>
      </c>
      <c r="W74" t="s">
        <v>673</v>
      </c>
      <c r="X74" t="s">
        <v>673</v>
      </c>
      <c r="Y74" t="s">
        <v>673</v>
      </c>
      <c r="Z74" t="s">
        <v>673</v>
      </c>
      <c r="AA74" t="s">
        <v>673</v>
      </c>
      <c r="AB74" t="s">
        <v>673</v>
      </c>
      <c r="AC74" t="s">
        <v>673</v>
      </c>
      <c r="AD74" t="s">
        <v>673</v>
      </c>
      <c r="AE74" t="s">
        <v>673</v>
      </c>
      <c r="AF74" t="s">
        <v>673</v>
      </c>
      <c r="AG74" t="s">
        <v>673</v>
      </c>
      <c r="AH74" t="s">
        <v>673</v>
      </c>
      <c r="AI74" t="s">
        <v>673</v>
      </c>
      <c r="AJ74" t="s">
        <v>673</v>
      </c>
      <c r="AK74" t="s">
        <v>673</v>
      </c>
      <c r="AL74" t="s">
        <v>673</v>
      </c>
      <c r="AM74" t="s">
        <v>673</v>
      </c>
      <c r="AN74" t="s">
        <v>673</v>
      </c>
      <c r="AO74" t="s">
        <v>673</v>
      </c>
      <c r="AP74" t="s">
        <v>673</v>
      </c>
      <c r="AQ74" t="s">
        <v>673</v>
      </c>
      <c r="AR74" t="s">
        <v>673</v>
      </c>
      <c r="AS74" t="s">
        <v>673</v>
      </c>
      <c r="AT74" t="s">
        <v>673</v>
      </c>
      <c r="AU74" t="s">
        <v>673</v>
      </c>
      <c r="AV74" t="s">
        <v>673</v>
      </c>
      <c r="AW74" t="s">
        <v>673</v>
      </c>
      <c r="AX74" t="s">
        <v>673</v>
      </c>
      <c r="AY74" t="s">
        <v>673</v>
      </c>
      <c r="AZ74" t="s">
        <v>673</v>
      </c>
      <c r="BA74" t="s">
        <v>673</v>
      </c>
      <c r="BB74" t="s">
        <v>673</v>
      </c>
      <c r="BC74" t="s">
        <v>673</v>
      </c>
      <c r="BD74" t="s">
        <v>673</v>
      </c>
      <c r="BE74" t="s">
        <v>673</v>
      </c>
      <c r="BF74" t="s">
        <v>673</v>
      </c>
      <c r="BG74" t="s">
        <v>673</v>
      </c>
      <c r="BH74" t="s">
        <v>673</v>
      </c>
      <c r="BI74" t="s">
        <v>673</v>
      </c>
      <c r="BJ74" t="s">
        <v>673</v>
      </c>
      <c r="BK74" t="s">
        <v>673</v>
      </c>
      <c r="BL74" t="s">
        <v>673</v>
      </c>
      <c r="BM74" t="s">
        <v>673</v>
      </c>
      <c r="BN74" t="s">
        <v>673</v>
      </c>
      <c r="BO74" t="s">
        <v>673</v>
      </c>
      <c r="BP74" t="s">
        <v>673</v>
      </c>
      <c r="BQ74" t="s">
        <v>673</v>
      </c>
      <c r="BR74" t="s">
        <v>673</v>
      </c>
      <c r="BS74" t="s">
        <v>673</v>
      </c>
      <c r="BT74" t="s">
        <v>673</v>
      </c>
      <c r="BU74" t="s">
        <v>673</v>
      </c>
      <c r="BV74" t="s">
        <v>673</v>
      </c>
      <c r="BW74" t="s">
        <v>673</v>
      </c>
      <c r="BX74" t="s">
        <v>673</v>
      </c>
      <c r="BY74" t="s">
        <v>673</v>
      </c>
      <c r="BZ74" t="s">
        <v>673</v>
      </c>
      <c r="CA74" t="s">
        <v>673</v>
      </c>
      <c r="CB74" t="s">
        <v>673</v>
      </c>
      <c r="CC74" t="s">
        <v>673</v>
      </c>
      <c r="CD74" t="s">
        <v>673</v>
      </c>
    </row>
    <row r="75" spans="2:82">
      <c r="B75" s="805">
        <v>17</v>
      </c>
      <c r="C75" s="805" t="s">
        <v>809</v>
      </c>
      <c r="D75" s="805" t="s">
        <v>832</v>
      </c>
      <c r="E75" s="805" t="s">
        <v>983</v>
      </c>
      <c r="F75" s="805" t="s">
        <v>706</v>
      </c>
      <c r="G75" s="805" t="s">
        <v>1065</v>
      </c>
      <c r="H75" s="805" t="s">
        <v>1066</v>
      </c>
      <c r="I75" s="805" t="s">
        <v>1067</v>
      </c>
      <c r="J75" s="805" t="s">
        <v>941</v>
      </c>
      <c r="K75" s="805" t="s">
        <v>1068</v>
      </c>
      <c r="L75" s="805" t="s">
        <v>677</v>
      </c>
      <c r="M75" t="s">
        <v>677</v>
      </c>
      <c r="N75" t="s">
        <v>677</v>
      </c>
      <c r="O75" t="s">
        <v>677</v>
      </c>
      <c r="P75" t="s">
        <v>677</v>
      </c>
      <c r="Q75" t="s">
        <v>677</v>
      </c>
      <c r="R75" t="s">
        <v>677</v>
      </c>
      <c r="S75" t="s">
        <v>677</v>
      </c>
      <c r="T75" t="s">
        <v>677</v>
      </c>
      <c r="U75" t="s">
        <v>677</v>
      </c>
      <c r="V75" t="s">
        <v>677</v>
      </c>
      <c r="W75" t="s">
        <v>677</v>
      </c>
      <c r="X75" t="s">
        <v>677</v>
      </c>
      <c r="Y75" t="s">
        <v>677</v>
      </c>
      <c r="Z75" t="s">
        <v>677</v>
      </c>
      <c r="AA75" t="s">
        <v>677</v>
      </c>
      <c r="AB75" t="s">
        <v>677</v>
      </c>
      <c r="AC75" t="s">
        <v>677</v>
      </c>
      <c r="AD75" t="s">
        <v>677</v>
      </c>
      <c r="AE75" t="s">
        <v>677</v>
      </c>
      <c r="AF75" t="s">
        <v>677</v>
      </c>
      <c r="AG75" t="s">
        <v>677</v>
      </c>
      <c r="AH75" t="s">
        <v>677</v>
      </c>
      <c r="AI75" t="s">
        <v>677</v>
      </c>
      <c r="AJ75" t="s">
        <v>677</v>
      </c>
      <c r="AK75" t="s">
        <v>677</v>
      </c>
      <c r="AL75" t="s">
        <v>677</v>
      </c>
      <c r="AM75" t="s">
        <v>677</v>
      </c>
      <c r="AN75" t="s">
        <v>677</v>
      </c>
      <c r="AO75" t="s">
        <v>677</v>
      </c>
      <c r="AP75" t="s">
        <v>677</v>
      </c>
      <c r="AQ75" t="s">
        <v>677</v>
      </c>
      <c r="AR75" t="s">
        <v>677</v>
      </c>
      <c r="AS75" t="s">
        <v>677</v>
      </c>
      <c r="AT75" t="s">
        <v>677</v>
      </c>
      <c r="AU75" t="s">
        <v>677</v>
      </c>
      <c r="AV75" t="s">
        <v>677</v>
      </c>
      <c r="AW75" t="s">
        <v>677</v>
      </c>
      <c r="AX75" t="s">
        <v>677</v>
      </c>
      <c r="AY75" t="s">
        <v>677</v>
      </c>
      <c r="AZ75" t="s">
        <v>677</v>
      </c>
      <c r="BA75" t="s">
        <v>677</v>
      </c>
      <c r="BB75" t="s">
        <v>677</v>
      </c>
      <c r="BC75" t="s">
        <v>677</v>
      </c>
      <c r="BD75" t="s">
        <v>677</v>
      </c>
      <c r="BE75" t="s">
        <v>677</v>
      </c>
      <c r="BF75" t="s">
        <v>677</v>
      </c>
      <c r="BG75" t="s">
        <v>677</v>
      </c>
      <c r="BH75" t="s">
        <v>677</v>
      </c>
      <c r="BI75" t="s">
        <v>677</v>
      </c>
      <c r="BJ75" t="s">
        <v>677</v>
      </c>
      <c r="BK75" t="s">
        <v>677</v>
      </c>
      <c r="BL75" t="s">
        <v>677</v>
      </c>
      <c r="BM75" t="s">
        <v>677</v>
      </c>
      <c r="BN75" t="s">
        <v>677</v>
      </c>
      <c r="BO75" t="s">
        <v>677</v>
      </c>
      <c r="BP75" t="s">
        <v>677</v>
      </c>
      <c r="BQ75" t="s">
        <v>677</v>
      </c>
      <c r="BR75" t="s">
        <v>677</v>
      </c>
      <c r="BS75" t="s">
        <v>677</v>
      </c>
      <c r="BT75" t="s">
        <v>677</v>
      </c>
      <c r="BU75" t="s">
        <v>677</v>
      </c>
      <c r="BV75" t="s">
        <v>677</v>
      </c>
      <c r="BW75" t="s">
        <v>677</v>
      </c>
      <c r="BX75" t="s">
        <v>677</v>
      </c>
      <c r="BY75" t="s">
        <v>677</v>
      </c>
      <c r="BZ75" t="s">
        <v>677</v>
      </c>
      <c r="CA75" t="s">
        <v>677</v>
      </c>
      <c r="CB75" t="s">
        <v>677</v>
      </c>
      <c r="CC75" t="s">
        <v>677</v>
      </c>
      <c r="CD75" t="s">
        <v>677</v>
      </c>
    </row>
    <row r="76" spans="2:82">
      <c r="B76" s="805">
        <v>16</v>
      </c>
      <c r="C76" s="805" t="s">
        <v>1069</v>
      </c>
      <c r="D76" s="805" t="s">
        <v>855</v>
      </c>
      <c r="E76" s="805" t="s">
        <v>840</v>
      </c>
      <c r="F76" s="805" t="s">
        <v>707</v>
      </c>
      <c r="G76" s="805" t="s">
        <v>1070</v>
      </c>
      <c r="H76" s="805" t="s">
        <v>835</v>
      </c>
      <c r="I76" s="805" t="s">
        <v>1071</v>
      </c>
      <c r="J76" s="805" t="s">
        <v>1072</v>
      </c>
      <c r="K76" s="805" t="s">
        <v>936</v>
      </c>
      <c r="L76" s="805" t="s">
        <v>681</v>
      </c>
      <c r="M76" t="s">
        <v>681</v>
      </c>
      <c r="N76" t="s">
        <v>681</v>
      </c>
      <c r="O76" t="s">
        <v>681</v>
      </c>
      <c r="P76" t="s">
        <v>681</v>
      </c>
      <c r="Q76" t="s">
        <v>681</v>
      </c>
      <c r="R76" t="s">
        <v>681</v>
      </c>
      <c r="S76" t="s">
        <v>681</v>
      </c>
      <c r="T76" t="s">
        <v>681</v>
      </c>
      <c r="U76" t="s">
        <v>681</v>
      </c>
      <c r="V76" t="s">
        <v>681</v>
      </c>
      <c r="W76" t="s">
        <v>681</v>
      </c>
      <c r="X76" t="s">
        <v>681</v>
      </c>
      <c r="Y76" t="s">
        <v>681</v>
      </c>
      <c r="Z76" t="s">
        <v>681</v>
      </c>
      <c r="AA76" t="s">
        <v>681</v>
      </c>
      <c r="AB76" t="s">
        <v>681</v>
      </c>
      <c r="AC76" t="s">
        <v>681</v>
      </c>
      <c r="AD76" t="s">
        <v>681</v>
      </c>
      <c r="AE76" t="s">
        <v>681</v>
      </c>
      <c r="AF76" t="s">
        <v>681</v>
      </c>
      <c r="AG76" t="s">
        <v>681</v>
      </c>
      <c r="AH76" t="s">
        <v>681</v>
      </c>
      <c r="AI76" t="s">
        <v>681</v>
      </c>
      <c r="AJ76" t="s">
        <v>681</v>
      </c>
      <c r="AK76" t="s">
        <v>681</v>
      </c>
      <c r="AL76" t="s">
        <v>681</v>
      </c>
      <c r="AM76" t="s">
        <v>681</v>
      </c>
      <c r="AN76" t="s">
        <v>681</v>
      </c>
      <c r="AO76" t="s">
        <v>681</v>
      </c>
      <c r="AP76" t="s">
        <v>681</v>
      </c>
      <c r="AQ76" t="s">
        <v>681</v>
      </c>
      <c r="AR76" t="s">
        <v>681</v>
      </c>
      <c r="AS76" t="s">
        <v>681</v>
      </c>
      <c r="AT76" t="s">
        <v>681</v>
      </c>
      <c r="AU76" t="s">
        <v>681</v>
      </c>
      <c r="AV76" t="s">
        <v>681</v>
      </c>
      <c r="AW76" t="s">
        <v>681</v>
      </c>
      <c r="AX76" t="s">
        <v>681</v>
      </c>
      <c r="AY76" t="s">
        <v>681</v>
      </c>
      <c r="AZ76" t="s">
        <v>681</v>
      </c>
      <c r="BA76" t="s">
        <v>681</v>
      </c>
      <c r="BB76" t="s">
        <v>681</v>
      </c>
      <c r="BC76" t="s">
        <v>681</v>
      </c>
      <c r="BD76" t="s">
        <v>681</v>
      </c>
      <c r="BE76" t="s">
        <v>681</v>
      </c>
      <c r="BF76" t="s">
        <v>681</v>
      </c>
      <c r="BG76" t="s">
        <v>681</v>
      </c>
      <c r="BH76" t="s">
        <v>681</v>
      </c>
      <c r="BI76" t="s">
        <v>681</v>
      </c>
      <c r="BJ76" t="s">
        <v>681</v>
      </c>
      <c r="BK76" t="s">
        <v>681</v>
      </c>
      <c r="BL76" t="s">
        <v>681</v>
      </c>
      <c r="BM76" t="s">
        <v>681</v>
      </c>
      <c r="BN76" t="s">
        <v>681</v>
      </c>
      <c r="BO76" t="s">
        <v>681</v>
      </c>
      <c r="BP76" t="s">
        <v>681</v>
      </c>
      <c r="BQ76" t="s">
        <v>681</v>
      </c>
      <c r="BR76" t="s">
        <v>681</v>
      </c>
      <c r="BS76" t="s">
        <v>681</v>
      </c>
      <c r="BT76" t="s">
        <v>681</v>
      </c>
      <c r="BU76" t="s">
        <v>681</v>
      </c>
      <c r="BV76" t="s">
        <v>681</v>
      </c>
      <c r="BW76" t="s">
        <v>681</v>
      </c>
      <c r="BX76" t="s">
        <v>681</v>
      </c>
      <c r="BY76" t="s">
        <v>681</v>
      </c>
      <c r="BZ76" t="s">
        <v>681</v>
      </c>
      <c r="CA76" t="s">
        <v>681</v>
      </c>
      <c r="CB76" t="s">
        <v>681</v>
      </c>
      <c r="CC76" t="s">
        <v>681</v>
      </c>
      <c r="CD76" t="s">
        <v>681</v>
      </c>
    </row>
    <row r="77" spans="2:82">
      <c r="B77" s="805">
        <v>15</v>
      </c>
      <c r="C77" s="805" t="s">
        <v>853</v>
      </c>
      <c r="D77" s="805" t="s">
        <v>746</v>
      </c>
      <c r="E77" s="805" t="s">
        <v>994</v>
      </c>
      <c r="F77" s="805" t="s">
        <v>1073</v>
      </c>
      <c r="G77" s="805" t="s">
        <v>1074</v>
      </c>
      <c r="H77" s="805" t="s">
        <v>1075</v>
      </c>
      <c r="I77" s="805" t="s">
        <v>820</v>
      </c>
      <c r="J77" s="805" t="s">
        <v>1076</v>
      </c>
      <c r="K77" s="805" t="s">
        <v>1077</v>
      </c>
      <c r="L77" s="805" t="s">
        <v>687</v>
      </c>
      <c r="M77" t="s">
        <v>687</v>
      </c>
      <c r="N77" t="s">
        <v>687</v>
      </c>
      <c r="O77" t="s">
        <v>687</v>
      </c>
      <c r="P77" t="s">
        <v>687</v>
      </c>
      <c r="Q77" t="s">
        <v>687</v>
      </c>
      <c r="R77" t="s">
        <v>687</v>
      </c>
      <c r="S77" t="s">
        <v>687</v>
      </c>
      <c r="T77" t="s">
        <v>687</v>
      </c>
      <c r="U77" t="s">
        <v>687</v>
      </c>
      <c r="V77" t="s">
        <v>687</v>
      </c>
      <c r="W77" t="s">
        <v>687</v>
      </c>
      <c r="X77" t="s">
        <v>687</v>
      </c>
      <c r="Y77" t="s">
        <v>687</v>
      </c>
      <c r="Z77" t="s">
        <v>687</v>
      </c>
      <c r="AA77" t="s">
        <v>687</v>
      </c>
      <c r="AB77" t="s">
        <v>687</v>
      </c>
      <c r="AC77" t="s">
        <v>687</v>
      </c>
      <c r="AD77" t="s">
        <v>687</v>
      </c>
      <c r="AE77" t="s">
        <v>687</v>
      </c>
      <c r="AF77" t="s">
        <v>687</v>
      </c>
      <c r="AG77" t="s">
        <v>687</v>
      </c>
      <c r="AH77" t="s">
        <v>687</v>
      </c>
      <c r="AI77" t="s">
        <v>687</v>
      </c>
      <c r="AJ77" t="s">
        <v>687</v>
      </c>
      <c r="AK77" t="s">
        <v>687</v>
      </c>
      <c r="AL77" t="s">
        <v>687</v>
      </c>
      <c r="AM77" t="s">
        <v>687</v>
      </c>
      <c r="AN77" t="s">
        <v>687</v>
      </c>
      <c r="AO77" t="s">
        <v>687</v>
      </c>
      <c r="AP77" t="s">
        <v>687</v>
      </c>
      <c r="AQ77" t="s">
        <v>687</v>
      </c>
      <c r="AR77" t="s">
        <v>687</v>
      </c>
      <c r="AS77" t="s">
        <v>687</v>
      </c>
      <c r="AT77" t="s">
        <v>687</v>
      </c>
      <c r="AU77" t="s">
        <v>687</v>
      </c>
      <c r="AV77" t="s">
        <v>687</v>
      </c>
      <c r="AW77" t="s">
        <v>687</v>
      </c>
      <c r="AX77" t="s">
        <v>687</v>
      </c>
      <c r="AY77" t="s">
        <v>687</v>
      </c>
      <c r="AZ77" t="s">
        <v>687</v>
      </c>
      <c r="BA77" t="s">
        <v>687</v>
      </c>
      <c r="BB77" t="s">
        <v>687</v>
      </c>
      <c r="BC77" t="s">
        <v>687</v>
      </c>
      <c r="BD77" t="s">
        <v>687</v>
      </c>
      <c r="BE77" t="s">
        <v>687</v>
      </c>
      <c r="BF77" t="s">
        <v>687</v>
      </c>
      <c r="BG77" t="s">
        <v>687</v>
      </c>
      <c r="BH77" t="s">
        <v>687</v>
      </c>
      <c r="BI77" t="s">
        <v>687</v>
      </c>
      <c r="BJ77" t="s">
        <v>687</v>
      </c>
      <c r="BK77" t="s">
        <v>687</v>
      </c>
      <c r="BL77" t="s">
        <v>687</v>
      </c>
      <c r="BM77" t="s">
        <v>687</v>
      </c>
      <c r="BN77" t="s">
        <v>687</v>
      </c>
      <c r="BO77" t="s">
        <v>687</v>
      </c>
      <c r="BP77" t="s">
        <v>687</v>
      </c>
      <c r="BQ77" t="s">
        <v>687</v>
      </c>
      <c r="BR77" t="s">
        <v>687</v>
      </c>
      <c r="BS77" t="s">
        <v>687</v>
      </c>
      <c r="BT77" t="s">
        <v>687</v>
      </c>
      <c r="BU77" t="s">
        <v>687</v>
      </c>
      <c r="BV77" t="s">
        <v>687</v>
      </c>
      <c r="BW77" t="s">
        <v>687</v>
      </c>
      <c r="BX77" t="s">
        <v>687</v>
      </c>
      <c r="BY77" t="s">
        <v>687</v>
      </c>
      <c r="BZ77" t="s">
        <v>687</v>
      </c>
      <c r="CA77" t="s">
        <v>687</v>
      </c>
      <c r="CB77" t="s">
        <v>687</v>
      </c>
      <c r="CC77" t="s">
        <v>687</v>
      </c>
      <c r="CD77" t="s">
        <v>687</v>
      </c>
    </row>
    <row r="78" spans="2:82">
      <c r="B78" s="805">
        <v>14</v>
      </c>
      <c r="C78" s="805" t="s">
        <v>1078</v>
      </c>
      <c r="D78" s="805" t="s">
        <v>897</v>
      </c>
      <c r="E78" s="805" t="s">
        <v>951</v>
      </c>
      <c r="F78" s="805" t="s">
        <v>818</v>
      </c>
      <c r="G78" s="805" t="s">
        <v>871</v>
      </c>
      <c r="H78" s="805" t="s">
        <v>1079</v>
      </c>
      <c r="I78" s="805" t="s">
        <v>703</v>
      </c>
      <c r="J78" s="805" t="s">
        <v>697</v>
      </c>
      <c r="K78" s="805" t="s">
        <v>1080</v>
      </c>
      <c r="L78" s="805" t="s">
        <v>692</v>
      </c>
      <c r="M78" t="s">
        <v>692</v>
      </c>
      <c r="N78" t="s">
        <v>692</v>
      </c>
      <c r="O78" t="s">
        <v>692</v>
      </c>
      <c r="P78" t="s">
        <v>692</v>
      </c>
      <c r="Q78" t="s">
        <v>692</v>
      </c>
      <c r="R78" t="s">
        <v>692</v>
      </c>
      <c r="S78" t="s">
        <v>692</v>
      </c>
      <c r="T78" t="s">
        <v>692</v>
      </c>
      <c r="U78" t="s">
        <v>692</v>
      </c>
      <c r="V78" t="s">
        <v>692</v>
      </c>
      <c r="W78" t="s">
        <v>692</v>
      </c>
      <c r="X78" t="s">
        <v>692</v>
      </c>
      <c r="Y78" t="s">
        <v>692</v>
      </c>
      <c r="Z78" t="s">
        <v>692</v>
      </c>
      <c r="AA78" t="s">
        <v>692</v>
      </c>
      <c r="AB78" t="s">
        <v>692</v>
      </c>
      <c r="AC78" t="s">
        <v>692</v>
      </c>
      <c r="AD78" t="s">
        <v>692</v>
      </c>
      <c r="AE78" t="s">
        <v>692</v>
      </c>
      <c r="AF78" t="s">
        <v>692</v>
      </c>
      <c r="AG78" t="s">
        <v>692</v>
      </c>
      <c r="AH78" t="s">
        <v>692</v>
      </c>
      <c r="AI78" t="s">
        <v>692</v>
      </c>
      <c r="AJ78" t="s">
        <v>692</v>
      </c>
      <c r="AK78" t="s">
        <v>692</v>
      </c>
      <c r="AL78" t="s">
        <v>692</v>
      </c>
      <c r="AM78" t="s">
        <v>692</v>
      </c>
      <c r="AN78" t="s">
        <v>692</v>
      </c>
      <c r="AO78" t="s">
        <v>692</v>
      </c>
      <c r="AP78" t="s">
        <v>692</v>
      </c>
      <c r="AQ78" t="s">
        <v>692</v>
      </c>
      <c r="AR78" t="s">
        <v>692</v>
      </c>
      <c r="AS78" t="s">
        <v>692</v>
      </c>
      <c r="AT78" t="s">
        <v>692</v>
      </c>
      <c r="AU78" t="s">
        <v>692</v>
      </c>
      <c r="AV78" t="s">
        <v>692</v>
      </c>
      <c r="AW78" t="s">
        <v>692</v>
      </c>
      <c r="AX78" t="s">
        <v>692</v>
      </c>
      <c r="AY78" t="s">
        <v>692</v>
      </c>
      <c r="AZ78" t="s">
        <v>692</v>
      </c>
      <c r="BA78" t="s">
        <v>692</v>
      </c>
      <c r="BB78" t="s">
        <v>692</v>
      </c>
      <c r="BC78" t="s">
        <v>692</v>
      </c>
      <c r="BD78" t="s">
        <v>692</v>
      </c>
      <c r="BE78" t="s">
        <v>692</v>
      </c>
      <c r="BF78" t="s">
        <v>692</v>
      </c>
      <c r="BG78" t="s">
        <v>692</v>
      </c>
      <c r="BH78" t="s">
        <v>692</v>
      </c>
      <c r="BI78" t="s">
        <v>692</v>
      </c>
      <c r="BJ78" t="s">
        <v>692</v>
      </c>
      <c r="BK78" t="s">
        <v>692</v>
      </c>
      <c r="BL78" t="s">
        <v>692</v>
      </c>
      <c r="BM78" t="s">
        <v>692</v>
      </c>
      <c r="BN78" t="s">
        <v>692</v>
      </c>
      <c r="BO78" t="s">
        <v>692</v>
      </c>
      <c r="BP78" t="s">
        <v>692</v>
      </c>
      <c r="BQ78" t="s">
        <v>692</v>
      </c>
      <c r="BR78" t="s">
        <v>692</v>
      </c>
      <c r="BS78" t="s">
        <v>692</v>
      </c>
      <c r="BT78" t="s">
        <v>692</v>
      </c>
      <c r="BU78" t="s">
        <v>692</v>
      </c>
      <c r="BV78" t="s">
        <v>692</v>
      </c>
      <c r="BW78" t="s">
        <v>692</v>
      </c>
      <c r="BX78" t="s">
        <v>692</v>
      </c>
      <c r="BY78" t="s">
        <v>692</v>
      </c>
      <c r="BZ78" t="s">
        <v>692</v>
      </c>
      <c r="CA78" t="s">
        <v>692</v>
      </c>
      <c r="CB78" t="s">
        <v>692</v>
      </c>
      <c r="CC78" t="s">
        <v>692</v>
      </c>
      <c r="CD78" t="s">
        <v>692</v>
      </c>
    </row>
    <row r="79" spans="2:82">
      <c r="B79" s="805">
        <v>13</v>
      </c>
      <c r="C79" s="805" t="s">
        <v>1081</v>
      </c>
      <c r="D79" s="805" t="s">
        <v>862</v>
      </c>
      <c r="E79" s="805" t="s">
        <v>817</v>
      </c>
      <c r="F79" s="805" t="s">
        <v>981</v>
      </c>
      <c r="G79" s="805" t="s">
        <v>876</v>
      </c>
      <c r="H79" s="805" t="s">
        <v>719</v>
      </c>
      <c r="I79" s="805" t="s">
        <v>964</v>
      </c>
      <c r="J79" s="805" t="s">
        <v>793</v>
      </c>
      <c r="K79" s="805" t="s">
        <v>1082</v>
      </c>
      <c r="L79" s="805" t="s">
        <v>696</v>
      </c>
      <c r="M79" t="s">
        <v>696</v>
      </c>
      <c r="N79" t="s">
        <v>696</v>
      </c>
      <c r="O79" t="s">
        <v>696</v>
      </c>
      <c r="P79" t="s">
        <v>696</v>
      </c>
      <c r="Q79" t="s">
        <v>696</v>
      </c>
      <c r="R79" t="s">
        <v>696</v>
      </c>
      <c r="S79" t="s">
        <v>696</v>
      </c>
      <c r="T79" t="s">
        <v>696</v>
      </c>
      <c r="U79" t="s">
        <v>696</v>
      </c>
      <c r="V79" t="s">
        <v>696</v>
      </c>
      <c r="W79" t="s">
        <v>696</v>
      </c>
      <c r="X79" t="s">
        <v>696</v>
      </c>
      <c r="Y79" t="s">
        <v>696</v>
      </c>
      <c r="Z79" t="s">
        <v>696</v>
      </c>
      <c r="AA79" t="s">
        <v>696</v>
      </c>
      <c r="AB79" t="s">
        <v>696</v>
      </c>
      <c r="AC79" t="s">
        <v>696</v>
      </c>
      <c r="AD79" t="s">
        <v>696</v>
      </c>
      <c r="AE79" t="s">
        <v>696</v>
      </c>
      <c r="AF79" t="s">
        <v>696</v>
      </c>
      <c r="AG79" t="s">
        <v>696</v>
      </c>
      <c r="AH79" t="s">
        <v>696</v>
      </c>
      <c r="AI79" t="s">
        <v>696</v>
      </c>
      <c r="AJ79" t="s">
        <v>696</v>
      </c>
      <c r="AK79" t="s">
        <v>696</v>
      </c>
      <c r="AL79" t="s">
        <v>696</v>
      </c>
      <c r="AM79" t="s">
        <v>696</v>
      </c>
      <c r="AN79" t="s">
        <v>696</v>
      </c>
      <c r="AO79" t="s">
        <v>696</v>
      </c>
      <c r="AP79" t="s">
        <v>696</v>
      </c>
      <c r="AQ79" t="s">
        <v>696</v>
      </c>
      <c r="AR79" t="s">
        <v>696</v>
      </c>
      <c r="AS79" t="s">
        <v>696</v>
      </c>
      <c r="AT79" t="s">
        <v>696</v>
      </c>
      <c r="AU79" t="s">
        <v>696</v>
      </c>
      <c r="AV79" t="s">
        <v>696</v>
      </c>
      <c r="AW79" t="s">
        <v>696</v>
      </c>
      <c r="AX79" t="s">
        <v>696</v>
      </c>
      <c r="AY79" t="s">
        <v>696</v>
      </c>
      <c r="AZ79" t="s">
        <v>696</v>
      </c>
      <c r="BA79" t="s">
        <v>696</v>
      </c>
      <c r="BB79" t="s">
        <v>696</v>
      </c>
      <c r="BC79" t="s">
        <v>696</v>
      </c>
      <c r="BD79" t="s">
        <v>696</v>
      </c>
      <c r="BE79" t="s">
        <v>696</v>
      </c>
      <c r="BF79" t="s">
        <v>696</v>
      </c>
      <c r="BG79" t="s">
        <v>696</v>
      </c>
      <c r="BH79" t="s">
        <v>696</v>
      </c>
      <c r="BI79" t="s">
        <v>696</v>
      </c>
      <c r="BJ79" t="s">
        <v>696</v>
      </c>
      <c r="BK79" t="s">
        <v>696</v>
      </c>
      <c r="BL79" t="s">
        <v>696</v>
      </c>
      <c r="BM79" t="s">
        <v>696</v>
      </c>
      <c r="BN79" t="s">
        <v>696</v>
      </c>
      <c r="BO79" t="s">
        <v>696</v>
      </c>
      <c r="BP79" t="s">
        <v>696</v>
      </c>
      <c r="BQ79" t="s">
        <v>696</v>
      </c>
      <c r="BR79" t="s">
        <v>696</v>
      </c>
      <c r="BS79" t="s">
        <v>696</v>
      </c>
      <c r="BT79" t="s">
        <v>696</v>
      </c>
      <c r="BU79" t="s">
        <v>696</v>
      </c>
      <c r="BV79" t="s">
        <v>696</v>
      </c>
      <c r="BW79" t="s">
        <v>696</v>
      </c>
      <c r="BX79" t="s">
        <v>696</v>
      </c>
      <c r="BY79" t="s">
        <v>696</v>
      </c>
      <c r="BZ79" t="s">
        <v>696</v>
      </c>
      <c r="CA79" t="s">
        <v>696</v>
      </c>
      <c r="CB79" t="s">
        <v>696</v>
      </c>
      <c r="CC79" t="s">
        <v>696</v>
      </c>
      <c r="CD79" t="s">
        <v>696</v>
      </c>
    </row>
    <row r="80" spans="2:82">
      <c r="B80" s="805">
        <v>12</v>
      </c>
      <c r="C80" s="805" t="s">
        <v>1083</v>
      </c>
      <c r="D80" s="805" t="s">
        <v>896</v>
      </c>
      <c r="E80" s="805" t="s">
        <v>962</v>
      </c>
      <c r="F80" s="805" t="s">
        <v>742</v>
      </c>
      <c r="G80" s="805" t="s">
        <v>726</v>
      </c>
      <c r="H80" s="805" t="s">
        <v>720</v>
      </c>
      <c r="I80" s="805" t="s">
        <v>840</v>
      </c>
      <c r="J80" s="805" t="s">
        <v>718</v>
      </c>
      <c r="K80" s="805" t="s">
        <v>1084</v>
      </c>
      <c r="L80" s="805" t="s">
        <v>701</v>
      </c>
      <c r="M80" t="s">
        <v>701</v>
      </c>
      <c r="N80" t="s">
        <v>701</v>
      </c>
      <c r="O80" t="s">
        <v>701</v>
      </c>
      <c r="P80" t="s">
        <v>701</v>
      </c>
      <c r="Q80" t="s">
        <v>701</v>
      </c>
      <c r="R80" t="s">
        <v>701</v>
      </c>
      <c r="S80" t="s">
        <v>701</v>
      </c>
      <c r="T80" t="s">
        <v>701</v>
      </c>
      <c r="U80" t="s">
        <v>701</v>
      </c>
      <c r="V80" t="s">
        <v>701</v>
      </c>
      <c r="W80" t="s">
        <v>701</v>
      </c>
      <c r="X80" t="s">
        <v>701</v>
      </c>
      <c r="Y80" t="s">
        <v>701</v>
      </c>
      <c r="Z80" t="s">
        <v>701</v>
      </c>
      <c r="AA80" t="s">
        <v>701</v>
      </c>
      <c r="AB80" t="s">
        <v>701</v>
      </c>
      <c r="AC80" t="s">
        <v>701</v>
      </c>
      <c r="AD80" t="s">
        <v>701</v>
      </c>
      <c r="AE80" t="s">
        <v>701</v>
      </c>
      <c r="AF80" t="s">
        <v>701</v>
      </c>
      <c r="AG80" t="s">
        <v>701</v>
      </c>
      <c r="AH80" t="s">
        <v>701</v>
      </c>
      <c r="AI80" t="s">
        <v>701</v>
      </c>
      <c r="AJ80" t="s">
        <v>701</v>
      </c>
      <c r="AK80" t="s">
        <v>701</v>
      </c>
      <c r="AL80" t="s">
        <v>701</v>
      </c>
      <c r="AM80" t="s">
        <v>701</v>
      </c>
      <c r="AN80" t="s">
        <v>701</v>
      </c>
      <c r="AO80" t="s">
        <v>701</v>
      </c>
      <c r="AP80" t="s">
        <v>701</v>
      </c>
      <c r="AQ80" t="s">
        <v>701</v>
      </c>
      <c r="AR80" t="s">
        <v>701</v>
      </c>
      <c r="AS80" t="s">
        <v>701</v>
      </c>
      <c r="AT80" t="s">
        <v>701</v>
      </c>
      <c r="AU80" t="s">
        <v>701</v>
      </c>
      <c r="AV80" t="s">
        <v>701</v>
      </c>
      <c r="AW80" t="s">
        <v>701</v>
      </c>
      <c r="AX80" t="s">
        <v>701</v>
      </c>
      <c r="AY80" t="s">
        <v>701</v>
      </c>
      <c r="AZ80" t="s">
        <v>701</v>
      </c>
      <c r="BA80" t="s">
        <v>701</v>
      </c>
      <c r="BB80" t="s">
        <v>701</v>
      </c>
      <c r="BC80" t="s">
        <v>701</v>
      </c>
      <c r="BD80" t="s">
        <v>701</v>
      </c>
      <c r="BE80" t="s">
        <v>701</v>
      </c>
      <c r="BF80" t="s">
        <v>701</v>
      </c>
      <c r="BG80" t="s">
        <v>701</v>
      </c>
      <c r="BH80" t="s">
        <v>701</v>
      </c>
      <c r="BI80" t="s">
        <v>701</v>
      </c>
      <c r="BJ80" t="s">
        <v>701</v>
      </c>
      <c r="BK80" t="s">
        <v>701</v>
      </c>
      <c r="BL80" t="s">
        <v>701</v>
      </c>
      <c r="BM80" t="s">
        <v>701</v>
      </c>
      <c r="BN80" t="s">
        <v>701</v>
      </c>
      <c r="BO80" t="s">
        <v>701</v>
      </c>
      <c r="BP80" t="s">
        <v>701</v>
      </c>
      <c r="BQ80" t="s">
        <v>701</v>
      </c>
      <c r="BR80" t="s">
        <v>701</v>
      </c>
      <c r="BS80" t="s">
        <v>701</v>
      </c>
      <c r="BT80" t="s">
        <v>701</v>
      </c>
      <c r="BU80" t="s">
        <v>701</v>
      </c>
      <c r="BV80" t="s">
        <v>701</v>
      </c>
      <c r="BW80" t="s">
        <v>701</v>
      </c>
      <c r="BX80" t="s">
        <v>701</v>
      </c>
      <c r="BY80" t="s">
        <v>701</v>
      </c>
      <c r="BZ80" t="s">
        <v>701</v>
      </c>
      <c r="CA80" t="s">
        <v>701</v>
      </c>
      <c r="CB80" t="s">
        <v>701</v>
      </c>
      <c r="CC80" t="s">
        <v>701</v>
      </c>
      <c r="CD80" t="s">
        <v>701</v>
      </c>
    </row>
    <row r="81" spans="2:82">
      <c r="B81" s="805">
        <v>11</v>
      </c>
      <c r="C81" s="805" t="s">
        <v>991</v>
      </c>
      <c r="D81" s="805" t="s">
        <v>1085</v>
      </c>
      <c r="E81" s="805" t="s">
        <v>752</v>
      </c>
      <c r="F81" s="805" t="s">
        <v>747</v>
      </c>
      <c r="G81" s="805" t="s">
        <v>740</v>
      </c>
      <c r="H81" s="805" t="s">
        <v>981</v>
      </c>
      <c r="I81" s="805" t="s">
        <v>969</v>
      </c>
      <c r="J81" s="805" t="s">
        <v>1086</v>
      </c>
      <c r="K81" s="805" t="s">
        <v>710</v>
      </c>
      <c r="L81" s="805" t="s">
        <v>706</v>
      </c>
      <c r="M81" t="s">
        <v>706</v>
      </c>
      <c r="N81" t="s">
        <v>706</v>
      </c>
      <c r="O81" t="s">
        <v>706</v>
      </c>
      <c r="P81" t="s">
        <v>706</v>
      </c>
      <c r="Q81" t="s">
        <v>706</v>
      </c>
      <c r="R81" t="s">
        <v>706</v>
      </c>
      <c r="S81" t="s">
        <v>706</v>
      </c>
      <c r="T81" t="s">
        <v>706</v>
      </c>
      <c r="U81" t="s">
        <v>706</v>
      </c>
      <c r="V81" t="s">
        <v>706</v>
      </c>
      <c r="W81" t="s">
        <v>706</v>
      </c>
      <c r="X81" t="s">
        <v>706</v>
      </c>
      <c r="Y81" t="s">
        <v>706</v>
      </c>
      <c r="Z81" t="s">
        <v>706</v>
      </c>
      <c r="AA81" t="s">
        <v>706</v>
      </c>
      <c r="AB81" t="s">
        <v>706</v>
      </c>
      <c r="AC81" t="s">
        <v>706</v>
      </c>
      <c r="AD81" t="s">
        <v>706</v>
      </c>
      <c r="AE81" t="s">
        <v>706</v>
      </c>
      <c r="AF81" t="s">
        <v>706</v>
      </c>
      <c r="AG81" t="s">
        <v>706</v>
      </c>
      <c r="AH81" t="s">
        <v>706</v>
      </c>
      <c r="AI81" t="s">
        <v>706</v>
      </c>
      <c r="AJ81" t="s">
        <v>706</v>
      </c>
      <c r="AK81" t="s">
        <v>706</v>
      </c>
      <c r="AL81" t="s">
        <v>706</v>
      </c>
      <c r="AM81" t="s">
        <v>706</v>
      </c>
      <c r="AN81" t="s">
        <v>706</v>
      </c>
      <c r="AO81" t="s">
        <v>706</v>
      </c>
      <c r="AP81" t="s">
        <v>706</v>
      </c>
      <c r="AQ81" t="s">
        <v>706</v>
      </c>
      <c r="AR81" t="s">
        <v>706</v>
      </c>
      <c r="AS81" t="s">
        <v>706</v>
      </c>
      <c r="AT81" t="s">
        <v>706</v>
      </c>
      <c r="AU81" t="s">
        <v>706</v>
      </c>
      <c r="AV81" t="s">
        <v>706</v>
      </c>
      <c r="AW81" t="s">
        <v>706</v>
      </c>
      <c r="AX81" t="s">
        <v>706</v>
      </c>
      <c r="AY81" t="s">
        <v>706</v>
      </c>
      <c r="AZ81" t="s">
        <v>706</v>
      </c>
      <c r="BA81" t="s">
        <v>706</v>
      </c>
      <c r="BB81" t="s">
        <v>706</v>
      </c>
      <c r="BC81" t="s">
        <v>706</v>
      </c>
      <c r="BD81" t="s">
        <v>706</v>
      </c>
      <c r="BE81" t="s">
        <v>706</v>
      </c>
      <c r="BF81" t="s">
        <v>706</v>
      </c>
      <c r="BG81" t="s">
        <v>706</v>
      </c>
      <c r="BH81" t="s">
        <v>706</v>
      </c>
      <c r="BI81" t="s">
        <v>706</v>
      </c>
      <c r="BJ81" t="s">
        <v>706</v>
      </c>
      <c r="BK81" t="s">
        <v>706</v>
      </c>
      <c r="BL81" t="s">
        <v>706</v>
      </c>
      <c r="BM81" t="s">
        <v>706</v>
      </c>
      <c r="BN81" t="s">
        <v>706</v>
      </c>
      <c r="BO81" t="s">
        <v>706</v>
      </c>
      <c r="BP81" t="s">
        <v>706</v>
      </c>
      <c r="BQ81" t="s">
        <v>706</v>
      </c>
      <c r="BR81" t="s">
        <v>706</v>
      </c>
      <c r="BS81" t="s">
        <v>706</v>
      </c>
      <c r="BT81" t="s">
        <v>706</v>
      </c>
      <c r="BU81" t="s">
        <v>706</v>
      </c>
      <c r="BV81" t="s">
        <v>706</v>
      </c>
      <c r="BW81" t="s">
        <v>706</v>
      </c>
      <c r="BX81" t="s">
        <v>706</v>
      </c>
      <c r="BY81" t="s">
        <v>706</v>
      </c>
      <c r="BZ81" t="s">
        <v>706</v>
      </c>
      <c r="CA81" t="s">
        <v>706</v>
      </c>
      <c r="CB81" t="s">
        <v>706</v>
      </c>
      <c r="CC81" t="s">
        <v>706</v>
      </c>
      <c r="CD81" t="s">
        <v>706</v>
      </c>
    </row>
    <row r="82" spans="2:82">
      <c r="B82" s="805">
        <v>10</v>
      </c>
      <c r="C82" s="805" t="s">
        <v>1087</v>
      </c>
      <c r="D82" s="805" t="s">
        <v>1088</v>
      </c>
      <c r="E82" s="805" t="s">
        <v>1089</v>
      </c>
      <c r="F82" s="805" t="s">
        <v>889</v>
      </c>
      <c r="G82" s="805" t="s">
        <v>904</v>
      </c>
      <c r="H82" s="805" t="s">
        <v>951</v>
      </c>
      <c r="I82" s="805" t="s">
        <v>1090</v>
      </c>
      <c r="J82" s="805" t="s">
        <v>982</v>
      </c>
      <c r="K82" s="805" t="s">
        <v>719</v>
      </c>
      <c r="L82" s="805" t="s">
        <v>710</v>
      </c>
      <c r="M82" t="s">
        <v>710</v>
      </c>
      <c r="N82" t="s">
        <v>710</v>
      </c>
      <c r="O82" t="s">
        <v>710</v>
      </c>
      <c r="P82" t="s">
        <v>710</v>
      </c>
      <c r="Q82" t="s">
        <v>710</v>
      </c>
      <c r="R82" t="s">
        <v>710</v>
      </c>
      <c r="S82" t="s">
        <v>710</v>
      </c>
      <c r="T82" t="s">
        <v>710</v>
      </c>
      <c r="U82" t="s">
        <v>710</v>
      </c>
      <c r="V82" t="s">
        <v>710</v>
      </c>
      <c r="W82" t="s">
        <v>710</v>
      </c>
      <c r="X82" t="s">
        <v>710</v>
      </c>
      <c r="Y82" t="s">
        <v>710</v>
      </c>
      <c r="Z82" t="s">
        <v>710</v>
      </c>
      <c r="AA82" t="s">
        <v>710</v>
      </c>
      <c r="AB82" t="s">
        <v>710</v>
      </c>
      <c r="AC82" t="s">
        <v>710</v>
      </c>
      <c r="AD82" t="s">
        <v>710</v>
      </c>
      <c r="AE82" t="s">
        <v>710</v>
      </c>
      <c r="AF82" t="s">
        <v>710</v>
      </c>
      <c r="AG82" t="s">
        <v>710</v>
      </c>
      <c r="AH82" t="s">
        <v>710</v>
      </c>
      <c r="AI82" t="s">
        <v>710</v>
      </c>
      <c r="AJ82" t="s">
        <v>710</v>
      </c>
      <c r="AK82" t="s">
        <v>710</v>
      </c>
      <c r="AL82" t="s">
        <v>710</v>
      </c>
      <c r="AM82" t="s">
        <v>710</v>
      </c>
      <c r="AN82" t="s">
        <v>710</v>
      </c>
      <c r="AO82" t="s">
        <v>710</v>
      </c>
      <c r="AP82" t="s">
        <v>710</v>
      </c>
      <c r="AQ82" t="s">
        <v>710</v>
      </c>
      <c r="AR82" t="s">
        <v>710</v>
      </c>
      <c r="AS82" t="s">
        <v>710</v>
      </c>
      <c r="AT82" t="s">
        <v>710</v>
      </c>
      <c r="AU82" t="s">
        <v>710</v>
      </c>
      <c r="AV82" t="s">
        <v>710</v>
      </c>
      <c r="AW82" t="s">
        <v>710</v>
      </c>
      <c r="AX82" t="s">
        <v>710</v>
      </c>
      <c r="AY82" t="s">
        <v>710</v>
      </c>
      <c r="AZ82" t="s">
        <v>710</v>
      </c>
      <c r="BA82" t="s">
        <v>710</v>
      </c>
      <c r="BB82" t="s">
        <v>710</v>
      </c>
      <c r="BC82" t="s">
        <v>710</v>
      </c>
      <c r="BD82" t="s">
        <v>710</v>
      </c>
      <c r="BE82" t="s">
        <v>710</v>
      </c>
      <c r="BF82" t="s">
        <v>710</v>
      </c>
      <c r="BG82" t="s">
        <v>710</v>
      </c>
      <c r="BH82" t="s">
        <v>710</v>
      </c>
      <c r="BI82" t="s">
        <v>710</v>
      </c>
      <c r="BJ82" t="s">
        <v>710</v>
      </c>
      <c r="BK82" t="s">
        <v>710</v>
      </c>
      <c r="BL82" t="s">
        <v>710</v>
      </c>
      <c r="BM82" t="s">
        <v>710</v>
      </c>
      <c r="BN82" t="s">
        <v>710</v>
      </c>
      <c r="BO82" t="s">
        <v>710</v>
      </c>
      <c r="BP82" t="s">
        <v>710</v>
      </c>
      <c r="BQ82" t="s">
        <v>710</v>
      </c>
      <c r="BR82" t="s">
        <v>710</v>
      </c>
      <c r="BS82" t="s">
        <v>710</v>
      </c>
      <c r="BT82" t="s">
        <v>710</v>
      </c>
      <c r="BU82" t="s">
        <v>710</v>
      </c>
      <c r="BV82" t="s">
        <v>710</v>
      </c>
      <c r="BW82" t="s">
        <v>710</v>
      </c>
      <c r="BX82" t="s">
        <v>710</v>
      </c>
      <c r="BY82" t="s">
        <v>710</v>
      </c>
      <c r="BZ82" t="s">
        <v>710</v>
      </c>
      <c r="CA82" t="s">
        <v>710</v>
      </c>
      <c r="CB82" t="s">
        <v>710</v>
      </c>
      <c r="CC82" t="s">
        <v>710</v>
      </c>
      <c r="CD82" t="s">
        <v>710</v>
      </c>
    </row>
    <row r="83" spans="2:82">
      <c r="B83" s="805">
        <v>9</v>
      </c>
      <c r="C83" s="805" t="s">
        <v>872</v>
      </c>
      <c r="D83" s="805" t="s">
        <v>873</v>
      </c>
      <c r="E83" s="805" t="s">
        <v>874</v>
      </c>
      <c r="F83" s="805" t="s">
        <v>852</v>
      </c>
      <c r="G83" s="805" t="s">
        <v>1008</v>
      </c>
      <c r="H83" s="805" t="s">
        <v>1091</v>
      </c>
      <c r="I83" s="805" t="s">
        <v>839</v>
      </c>
      <c r="J83" s="805" t="s">
        <v>734</v>
      </c>
      <c r="K83" s="805" t="s">
        <v>1092</v>
      </c>
      <c r="L83" s="805" t="s">
        <v>715</v>
      </c>
      <c r="M83" t="s">
        <v>715</v>
      </c>
      <c r="N83" t="s">
        <v>715</v>
      </c>
      <c r="O83" t="s">
        <v>715</v>
      </c>
      <c r="P83" t="s">
        <v>715</v>
      </c>
      <c r="Q83" t="s">
        <v>715</v>
      </c>
      <c r="R83" t="s">
        <v>715</v>
      </c>
      <c r="S83" t="s">
        <v>715</v>
      </c>
      <c r="T83" t="s">
        <v>715</v>
      </c>
      <c r="U83" t="s">
        <v>715</v>
      </c>
      <c r="V83" t="s">
        <v>715</v>
      </c>
      <c r="W83" t="s">
        <v>715</v>
      </c>
      <c r="X83" t="s">
        <v>715</v>
      </c>
      <c r="Y83" t="s">
        <v>715</v>
      </c>
      <c r="Z83" t="s">
        <v>715</v>
      </c>
      <c r="AA83" t="s">
        <v>715</v>
      </c>
      <c r="AB83" t="s">
        <v>715</v>
      </c>
      <c r="AC83" t="s">
        <v>715</v>
      </c>
      <c r="AD83" t="s">
        <v>715</v>
      </c>
      <c r="AE83" t="s">
        <v>715</v>
      </c>
      <c r="AF83" t="s">
        <v>715</v>
      </c>
      <c r="AG83" t="s">
        <v>715</v>
      </c>
      <c r="AH83" t="s">
        <v>715</v>
      </c>
      <c r="AI83" t="s">
        <v>715</v>
      </c>
      <c r="AJ83" t="s">
        <v>715</v>
      </c>
      <c r="AK83" t="s">
        <v>715</v>
      </c>
      <c r="AL83" t="s">
        <v>715</v>
      </c>
      <c r="AM83" t="s">
        <v>715</v>
      </c>
      <c r="AN83" t="s">
        <v>715</v>
      </c>
      <c r="AO83" t="s">
        <v>715</v>
      </c>
      <c r="AP83" t="s">
        <v>715</v>
      </c>
      <c r="AQ83" t="s">
        <v>715</v>
      </c>
      <c r="AR83" t="s">
        <v>715</v>
      </c>
      <c r="AS83" t="s">
        <v>715</v>
      </c>
      <c r="AT83" t="s">
        <v>715</v>
      </c>
      <c r="AU83" t="s">
        <v>715</v>
      </c>
      <c r="AV83" t="s">
        <v>715</v>
      </c>
      <c r="AW83" t="s">
        <v>715</v>
      </c>
      <c r="AX83" t="s">
        <v>715</v>
      </c>
      <c r="AY83" t="s">
        <v>715</v>
      </c>
      <c r="AZ83" t="s">
        <v>715</v>
      </c>
      <c r="BA83" t="s">
        <v>715</v>
      </c>
      <c r="BB83" t="s">
        <v>715</v>
      </c>
      <c r="BC83" t="s">
        <v>715</v>
      </c>
      <c r="BD83" t="s">
        <v>715</v>
      </c>
      <c r="BE83" t="s">
        <v>715</v>
      </c>
      <c r="BF83" t="s">
        <v>715</v>
      </c>
      <c r="BG83" t="s">
        <v>715</v>
      </c>
      <c r="BH83" t="s">
        <v>715</v>
      </c>
      <c r="BI83" t="s">
        <v>715</v>
      </c>
      <c r="BJ83" t="s">
        <v>715</v>
      </c>
      <c r="BK83" t="s">
        <v>715</v>
      </c>
      <c r="BL83" t="s">
        <v>715</v>
      </c>
      <c r="BM83" t="s">
        <v>715</v>
      </c>
      <c r="BN83" t="s">
        <v>715</v>
      </c>
      <c r="BO83" t="s">
        <v>715</v>
      </c>
      <c r="BP83" t="s">
        <v>715</v>
      </c>
      <c r="BQ83" t="s">
        <v>715</v>
      </c>
      <c r="BR83" t="s">
        <v>715</v>
      </c>
      <c r="BS83" t="s">
        <v>715</v>
      </c>
      <c r="BT83" t="s">
        <v>715</v>
      </c>
      <c r="BU83" t="s">
        <v>715</v>
      </c>
      <c r="BV83" t="s">
        <v>715</v>
      </c>
      <c r="BW83" t="s">
        <v>715</v>
      </c>
      <c r="BX83" t="s">
        <v>715</v>
      </c>
      <c r="BY83" t="s">
        <v>715</v>
      </c>
      <c r="BZ83" t="s">
        <v>715</v>
      </c>
      <c r="CA83" t="s">
        <v>715</v>
      </c>
      <c r="CB83" t="s">
        <v>715</v>
      </c>
      <c r="CC83" t="s">
        <v>715</v>
      </c>
      <c r="CD83" t="s">
        <v>715</v>
      </c>
    </row>
    <row r="84" spans="2:82">
      <c r="B84" s="805">
        <v>8</v>
      </c>
      <c r="C84" s="805" t="s">
        <v>741</v>
      </c>
      <c r="D84" s="805" t="s">
        <v>737</v>
      </c>
      <c r="E84" s="805" t="s">
        <v>1001</v>
      </c>
      <c r="F84" s="805" t="s">
        <v>881</v>
      </c>
      <c r="G84" s="805" t="s">
        <v>861</v>
      </c>
      <c r="H84" s="805" t="s">
        <v>1002</v>
      </c>
      <c r="I84" s="805" t="s">
        <v>728</v>
      </c>
      <c r="J84" s="805" t="s">
        <v>726</v>
      </c>
      <c r="K84" s="805" t="s">
        <v>724</v>
      </c>
      <c r="L84" s="805" t="s">
        <v>717</v>
      </c>
      <c r="M84" t="s">
        <v>717</v>
      </c>
      <c r="N84" t="s">
        <v>717</v>
      </c>
      <c r="O84" t="s">
        <v>717</v>
      </c>
      <c r="P84" t="s">
        <v>717</v>
      </c>
      <c r="Q84" t="s">
        <v>717</v>
      </c>
      <c r="R84" t="s">
        <v>717</v>
      </c>
      <c r="S84" t="s">
        <v>717</v>
      </c>
      <c r="T84" t="s">
        <v>717</v>
      </c>
      <c r="U84" t="s">
        <v>717</v>
      </c>
      <c r="V84" t="s">
        <v>717</v>
      </c>
      <c r="W84" t="s">
        <v>717</v>
      </c>
      <c r="X84" t="s">
        <v>717</v>
      </c>
      <c r="Y84" t="s">
        <v>717</v>
      </c>
      <c r="Z84" t="s">
        <v>717</v>
      </c>
      <c r="AA84" t="s">
        <v>717</v>
      </c>
      <c r="AB84" t="s">
        <v>717</v>
      </c>
      <c r="AC84" t="s">
        <v>717</v>
      </c>
      <c r="AD84" t="s">
        <v>717</v>
      </c>
      <c r="AE84" t="s">
        <v>717</v>
      </c>
      <c r="AF84" t="s">
        <v>717</v>
      </c>
      <c r="AG84" t="s">
        <v>717</v>
      </c>
      <c r="AH84" t="s">
        <v>717</v>
      </c>
      <c r="AI84" t="s">
        <v>717</v>
      </c>
      <c r="AJ84" t="s">
        <v>717</v>
      </c>
      <c r="AK84" t="s">
        <v>717</v>
      </c>
      <c r="AL84" t="s">
        <v>717</v>
      </c>
      <c r="AM84" t="s">
        <v>717</v>
      </c>
      <c r="AN84" t="s">
        <v>717</v>
      </c>
      <c r="AO84" t="s">
        <v>717</v>
      </c>
      <c r="AP84" t="s">
        <v>717</v>
      </c>
      <c r="AQ84" t="s">
        <v>717</v>
      </c>
      <c r="AR84" t="s">
        <v>717</v>
      </c>
      <c r="AS84" t="s">
        <v>717</v>
      </c>
      <c r="AT84" t="s">
        <v>717</v>
      </c>
      <c r="AU84" t="s">
        <v>717</v>
      </c>
      <c r="AV84" t="s">
        <v>717</v>
      </c>
      <c r="AW84" t="s">
        <v>717</v>
      </c>
      <c r="AX84" t="s">
        <v>717</v>
      </c>
      <c r="AY84" t="s">
        <v>717</v>
      </c>
      <c r="AZ84" t="s">
        <v>717</v>
      </c>
      <c r="BA84" t="s">
        <v>717</v>
      </c>
      <c r="BB84" t="s">
        <v>717</v>
      </c>
      <c r="BC84" t="s">
        <v>717</v>
      </c>
      <c r="BD84" t="s">
        <v>717</v>
      </c>
      <c r="BE84" t="s">
        <v>717</v>
      </c>
      <c r="BF84" t="s">
        <v>717</v>
      </c>
      <c r="BG84" t="s">
        <v>717</v>
      </c>
      <c r="BH84" t="s">
        <v>717</v>
      </c>
      <c r="BI84" t="s">
        <v>717</v>
      </c>
      <c r="BJ84" t="s">
        <v>717</v>
      </c>
      <c r="BK84" t="s">
        <v>717</v>
      </c>
      <c r="BL84" t="s">
        <v>717</v>
      </c>
      <c r="BM84" t="s">
        <v>717</v>
      </c>
      <c r="BN84" t="s">
        <v>717</v>
      </c>
      <c r="BO84" t="s">
        <v>717</v>
      </c>
      <c r="BP84" t="s">
        <v>717</v>
      </c>
      <c r="BQ84" t="s">
        <v>717</v>
      </c>
      <c r="BR84" t="s">
        <v>717</v>
      </c>
      <c r="BS84" t="s">
        <v>717</v>
      </c>
      <c r="BT84" t="s">
        <v>717</v>
      </c>
      <c r="BU84" t="s">
        <v>717</v>
      </c>
      <c r="BV84" t="s">
        <v>717</v>
      </c>
      <c r="BW84" t="s">
        <v>717</v>
      </c>
      <c r="BX84" t="s">
        <v>717</v>
      </c>
      <c r="BY84" t="s">
        <v>717</v>
      </c>
      <c r="BZ84" t="s">
        <v>717</v>
      </c>
      <c r="CA84" t="s">
        <v>717</v>
      </c>
      <c r="CB84" t="s">
        <v>717</v>
      </c>
      <c r="CC84" t="s">
        <v>717</v>
      </c>
      <c r="CD84" t="s">
        <v>717</v>
      </c>
    </row>
    <row r="85" spans="2:82">
      <c r="B85" s="805">
        <v>7</v>
      </c>
      <c r="C85" s="805" t="s">
        <v>1093</v>
      </c>
      <c r="D85" s="805" t="s">
        <v>1094</v>
      </c>
      <c r="E85" s="805" t="s">
        <v>1095</v>
      </c>
      <c r="F85" s="805" t="s">
        <v>888</v>
      </c>
      <c r="G85" s="805" t="s">
        <v>868</v>
      </c>
      <c r="H85" s="805" t="s">
        <v>1096</v>
      </c>
      <c r="I85" s="805" t="s">
        <v>973</v>
      </c>
      <c r="J85" s="805" t="s">
        <v>817</v>
      </c>
      <c r="K85" s="805" t="s">
        <v>800</v>
      </c>
      <c r="L85" s="805" t="s">
        <v>722</v>
      </c>
      <c r="M85" t="s">
        <v>722</v>
      </c>
      <c r="N85" t="s">
        <v>722</v>
      </c>
      <c r="O85" t="s">
        <v>722</v>
      </c>
      <c r="P85" t="s">
        <v>722</v>
      </c>
      <c r="Q85" t="s">
        <v>722</v>
      </c>
      <c r="R85" t="s">
        <v>722</v>
      </c>
      <c r="S85" t="s">
        <v>722</v>
      </c>
      <c r="T85" t="s">
        <v>722</v>
      </c>
      <c r="U85" t="s">
        <v>722</v>
      </c>
      <c r="V85" t="s">
        <v>722</v>
      </c>
      <c r="W85" t="s">
        <v>722</v>
      </c>
      <c r="X85" t="s">
        <v>722</v>
      </c>
      <c r="Y85" t="s">
        <v>722</v>
      </c>
      <c r="Z85" t="s">
        <v>722</v>
      </c>
      <c r="AA85" t="s">
        <v>722</v>
      </c>
      <c r="AB85" t="s">
        <v>722</v>
      </c>
      <c r="AC85" t="s">
        <v>722</v>
      </c>
      <c r="AD85" t="s">
        <v>722</v>
      </c>
      <c r="AE85" t="s">
        <v>722</v>
      </c>
      <c r="AF85" t="s">
        <v>722</v>
      </c>
      <c r="AG85" t="s">
        <v>722</v>
      </c>
      <c r="AH85" t="s">
        <v>722</v>
      </c>
      <c r="AI85" t="s">
        <v>722</v>
      </c>
      <c r="AJ85" t="s">
        <v>722</v>
      </c>
      <c r="AK85" t="s">
        <v>722</v>
      </c>
      <c r="AL85" t="s">
        <v>722</v>
      </c>
      <c r="AM85" t="s">
        <v>722</v>
      </c>
      <c r="AN85" t="s">
        <v>722</v>
      </c>
      <c r="AO85" t="s">
        <v>722</v>
      </c>
      <c r="AP85" t="s">
        <v>722</v>
      </c>
      <c r="AQ85" t="s">
        <v>722</v>
      </c>
      <c r="AR85" t="s">
        <v>722</v>
      </c>
      <c r="AS85" t="s">
        <v>722</v>
      </c>
      <c r="AT85" t="s">
        <v>722</v>
      </c>
      <c r="AU85" t="s">
        <v>722</v>
      </c>
      <c r="AV85" t="s">
        <v>722</v>
      </c>
      <c r="AW85" t="s">
        <v>722</v>
      </c>
      <c r="AX85" t="s">
        <v>722</v>
      </c>
      <c r="AY85" t="s">
        <v>722</v>
      </c>
      <c r="AZ85" t="s">
        <v>722</v>
      </c>
      <c r="BA85" t="s">
        <v>722</v>
      </c>
      <c r="BB85" t="s">
        <v>722</v>
      </c>
      <c r="BC85" t="s">
        <v>722</v>
      </c>
      <c r="BD85" t="s">
        <v>722</v>
      </c>
      <c r="BE85" t="s">
        <v>722</v>
      </c>
      <c r="BF85" t="s">
        <v>722</v>
      </c>
      <c r="BG85" t="s">
        <v>722</v>
      </c>
      <c r="BH85" t="s">
        <v>722</v>
      </c>
      <c r="BI85" t="s">
        <v>722</v>
      </c>
      <c r="BJ85" t="s">
        <v>722</v>
      </c>
      <c r="BK85" t="s">
        <v>722</v>
      </c>
      <c r="BL85" t="s">
        <v>722</v>
      </c>
      <c r="BM85" t="s">
        <v>722</v>
      </c>
      <c r="BN85" t="s">
        <v>722</v>
      </c>
      <c r="BO85" t="s">
        <v>722</v>
      </c>
      <c r="BP85" t="s">
        <v>722</v>
      </c>
      <c r="BQ85" t="s">
        <v>722</v>
      </c>
      <c r="BR85" t="s">
        <v>722</v>
      </c>
      <c r="BS85" t="s">
        <v>722</v>
      </c>
      <c r="BT85" t="s">
        <v>722</v>
      </c>
      <c r="BU85" t="s">
        <v>722</v>
      </c>
      <c r="BV85" t="s">
        <v>722</v>
      </c>
      <c r="BW85" t="s">
        <v>722</v>
      </c>
      <c r="BX85" t="s">
        <v>722</v>
      </c>
      <c r="BY85" t="s">
        <v>722</v>
      </c>
      <c r="BZ85" t="s">
        <v>722</v>
      </c>
      <c r="CA85" t="s">
        <v>722</v>
      </c>
      <c r="CB85" t="s">
        <v>722</v>
      </c>
      <c r="CC85" t="s">
        <v>722</v>
      </c>
      <c r="CD85" t="s">
        <v>722</v>
      </c>
    </row>
    <row r="86" spans="2:82">
      <c r="B86" s="805">
        <v>6</v>
      </c>
      <c r="C86" s="805" t="s">
        <v>1097</v>
      </c>
      <c r="D86" s="805" t="s">
        <v>892</v>
      </c>
      <c r="E86" s="805" t="s">
        <v>865</v>
      </c>
      <c r="F86" s="805" t="s">
        <v>1007</v>
      </c>
      <c r="G86" s="805" t="s">
        <v>843</v>
      </c>
      <c r="H86" s="805" t="s">
        <v>852</v>
      </c>
      <c r="I86" s="805" t="s">
        <v>875</v>
      </c>
      <c r="J86" s="805" t="s">
        <v>750</v>
      </c>
      <c r="K86" s="805" t="s">
        <v>745</v>
      </c>
      <c r="L86" s="805" t="s">
        <v>727</v>
      </c>
      <c r="M86" t="s">
        <v>727</v>
      </c>
      <c r="N86" t="s">
        <v>727</v>
      </c>
      <c r="O86" t="s">
        <v>727</v>
      </c>
      <c r="P86" t="s">
        <v>727</v>
      </c>
      <c r="Q86" t="s">
        <v>727</v>
      </c>
      <c r="R86" t="s">
        <v>727</v>
      </c>
      <c r="S86" t="s">
        <v>727</v>
      </c>
      <c r="T86" t="s">
        <v>727</v>
      </c>
      <c r="U86" t="s">
        <v>727</v>
      </c>
      <c r="V86" t="s">
        <v>727</v>
      </c>
      <c r="W86" t="s">
        <v>727</v>
      </c>
      <c r="X86" t="s">
        <v>727</v>
      </c>
      <c r="Y86" t="s">
        <v>727</v>
      </c>
      <c r="Z86" t="s">
        <v>727</v>
      </c>
      <c r="AA86" t="s">
        <v>727</v>
      </c>
      <c r="AB86" t="s">
        <v>727</v>
      </c>
      <c r="AC86" t="s">
        <v>727</v>
      </c>
      <c r="AD86" t="s">
        <v>727</v>
      </c>
      <c r="AE86" t="s">
        <v>727</v>
      </c>
      <c r="AF86" t="s">
        <v>727</v>
      </c>
      <c r="AG86" t="s">
        <v>727</v>
      </c>
      <c r="AH86" t="s">
        <v>727</v>
      </c>
      <c r="AI86" t="s">
        <v>727</v>
      </c>
      <c r="AJ86" t="s">
        <v>727</v>
      </c>
      <c r="AK86" t="s">
        <v>727</v>
      </c>
      <c r="AL86" t="s">
        <v>727</v>
      </c>
      <c r="AM86" t="s">
        <v>727</v>
      </c>
      <c r="AN86" t="s">
        <v>727</v>
      </c>
      <c r="AO86" t="s">
        <v>727</v>
      </c>
      <c r="AP86" t="s">
        <v>727</v>
      </c>
      <c r="AQ86" t="s">
        <v>727</v>
      </c>
      <c r="AR86" t="s">
        <v>727</v>
      </c>
      <c r="AS86" t="s">
        <v>727</v>
      </c>
      <c r="AT86" t="s">
        <v>727</v>
      </c>
      <c r="AU86" t="s">
        <v>727</v>
      </c>
      <c r="AV86" t="s">
        <v>727</v>
      </c>
      <c r="AW86" t="s">
        <v>727</v>
      </c>
      <c r="AX86" t="s">
        <v>727</v>
      </c>
      <c r="AY86" t="s">
        <v>727</v>
      </c>
      <c r="AZ86" t="s">
        <v>727</v>
      </c>
      <c r="BA86" t="s">
        <v>727</v>
      </c>
      <c r="BB86" t="s">
        <v>727</v>
      </c>
      <c r="BC86" t="s">
        <v>727</v>
      </c>
      <c r="BD86" t="s">
        <v>727</v>
      </c>
      <c r="BE86" t="s">
        <v>727</v>
      </c>
      <c r="BF86" t="s">
        <v>727</v>
      </c>
      <c r="BG86" t="s">
        <v>727</v>
      </c>
      <c r="BH86" t="s">
        <v>727</v>
      </c>
      <c r="BI86" t="s">
        <v>727</v>
      </c>
      <c r="BJ86" t="s">
        <v>727</v>
      </c>
      <c r="BK86" t="s">
        <v>727</v>
      </c>
      <c r="BL86" t="s">
        <v>727</v>
      </c>
      <c r="BM86" t="s">
        <v>727</v>
      </c>
      <c r="BN86" t="s">
        <v>727</v>
      </c>
      <c r="BO86" t="s">
        <v>727</v>
      </c>
      <c r="BP86" t="s">
        <v>727</v>
      </c>
      <c r="BQ86" t="s">
        <v>727</v>
      </c>
      <c r="BR86" t="s">
        <v>727</v>
      </c>
      <c r="BS86" t="s">
        <v>727</v>
      </c>
      <c r="BT86" t="s">
        <v>727</v>
      </c>
      <c r="BU86" t="s">
        <v>727</v>
      </c>
      <c r="BV86" t="s">
        <v>727</v>
      </c>
      <c r="BW86" t="s">
        <v>727</v>
      </c>
      <c r="BX86" t="s">
        <v>727</v>
      </c>
      <c r="BY86" t="s">
        <v>727</v>
      </c>
      <c r="BZ86" t="s">
        <v>727</v>
      </c>
      <c r="CA86" t="s">
        <v>727</v>
      </c>
      <c r="CB86" t="s">
        <v>727</v>
      </c>
      <c r="CC86" t="s">
        <v>727</v>
      </c>
      <c r="CD86" t="s">
        <v>727</v>
      </c>
    </row>
    <row r="87" spans="2:82">
      <c r="B87" s="805">
        <v>5</v>
      </c>
      <c r="C87" s="805" t="s">
        <v>1009</v>
      </c>
      <c r="D87" s="805" t="s">
        <v>1010</v>
      </c>
      <c r="E87" s="805" t="s">
        <v>1098</v>
      </c>
      <c r="F87" s="805" t="s">
        <v>1099</v>
      </c>
      <c r="G87" s="805" t="s">
        <v>1087</v>
      </c>
      <c r="H87" s="805" t="s">
        <v>1088</v>
      </c>
      <c r="I87" s="805" t="s">
        <v>1100</v>
      </c>
      <c r="J87" s="805" t="s">
        <v>889</v>
      </c>
      <c r="K87" s="805" t="s">
        <v>746</v>
      </c>
      <c r="L87" s="805" t="s">
        <v>732</v>
      </c>
      <c r="M87" t="s">
        <v>732</v>
      </c>
      <c r="N87" t="s">
        <v>732</v>
      </c>
      <c r="O87" t="s">
        <v>732</v>
      </c>
      <c r="P87" t="s">
        <v>732</v>
      </c>
      <c r="Q87" t="s">
        <v>732</v>
      </c>
      <c r="R87" t="s">
        <v>732</v>
      </c>
      <c r="S87" t="s">
        <v>732</v>
      </c>
      <c r="T87" t="s">
        <v>732</v>
      </c>
      <c r="U87" t="s">
        <v>732</v>
      </c>
      <c r="V87" t="s">
        <v>732</v>
      </c>
      <c r="W87" t="s">
        <v>732</v>
      </c>
      <c r="X87" t="s">
        <v>732</v>
      </c>
      <c r="Y87" t="s">
        <v>732</v>
      </c>
      <c r="Z87" t="s">
        <v>732</v>
      </c>
      <c r="AA87" t="s">
        <v>732</v>
      </c>
      <c r="AB87" t="s">
        <v>732</v>
      </c>
      <c r="AC87" t="s">
        <v>732</v>
      </c>
      <c r="AD87" t="s">
        <v>732</v>
      </c>
      <c r="AE87" t="s">
        <v>732</v>
      </c>
      <c r="AF87" t="s">
        <v>732</v>
      </c>
      <c r="AG87" t="s">
        <v>732</v>
      </c>
      <c r="AH87" t="s">
        <v>732</v>
      </c>
      <c r="AI87" t="s">
        <v>732</v>
      </c>
      <c r="AJ87" t="s">
        <v>732</v>
      </c>
      <c r="AK87" t="s">
        <v>732</v>
      </c>
      <c r="AL87" t="s">
        <v>732</v>
      </c>
      <c r="AM87" t="s">
        <v>732</v>
      </c>
      <c r="AN87" t="s">
        <v>732</v>
      </c>
      <c r="AO87" t="s">
        <v>732</v>
      </c>
      <c r="AP87" t="s">
        <v>732</v>
      </c>
      <c r="AQ87" t="s">
        <v>732</v>
      </c>
      <c r="AR87" t="s">
        <v>732</v>
      </c>
      <c r="AS87" t="s">
        <v>732</v>
      </c>
      <c r="AT87" t="s">
        <v>732</v>
      </c>
      <c r="AU87" t="s">
        <v>732</v>
      </c>
      <c r="AV87" t="s">
        <v>732</v>
      </c>
      <c r="AW87" t="s">
        <v>732</v>
      </c>
      <c r="AX87" t="s">
        <v>732</v>
      </c>
      <c r="AY87" t="s">
        <v>732</v>
      </c>
      <c r="AZ87" t="s">
        <v>732</v>
      </c>
      <c r="BA87" t="s">
        <v>732</v>
      </c>
      <c r="BB87" t="s">
        <v>732</v>
      </c>
      <c r="BC87" t="s">
        <v>732</v>
      </c>
      <c r="BD87" t="s">
        <v>732</v>
      </c>
      <c r="BE87" t="s">
        <v>732</v>
      </c>
      <c r="BF87" t="s">
        <v>732</v>
      </c>
      <c r="BG87" t="s">
        <v>732</v>
      </c>
      <c r="BH87" t="s">
        <v>732</v>
      </c>
      <c r="BI87" t="s">
        <v>732</v>
      </c>
      <c r="BJ87" t="s">
        <v>732</v>
      </c>
      <c r="BK87" t="s">
        <v>732</v>
      </c>
      <c r="BL87" t="s">
        <v>732</v>
      </c>
      <c r="BM87" t="s">
        <v>732</v>
      </c>
      <c r="BN87" t="s">
        <v>732</v>
      </c>
      <c r="BO87" t="s">
        <v>732</v>
      </c>
      <c r="BP87" t="s">
        <v>732</v>
      </c>
      <c r="BQ87" t="s">
        <v>732</v>
      </c>
      <c r="BR87" t="s">
        <v>732</v>
      </c>
      <c r="BS87" t="s">
        <v>732</v>
      </c>
      <c r="BT87" t="s">
        <v>732</v>
      </c>
      <c r="BU87" t="s">
        <v>732</v>
      </c>
      <c r="BV87" t="s">
        <v>732</v>
      </c>
      <c r="BW87" t="s">
        <v>732</v>
      </c>
      <c r="BX87" t="s">
        <v>732</v>
      </c>
      <c r="BY87" t="s">
        <v>732</v>
      </c>
      <c r="BZ87" t="s">
        <v>732</v>
      </c>
      <c r="CA87" t="s">
        <v>732</v>
      </c>
      <c r="CB87" t="s">
        <v>732</v>
      </c>
      <c r="CC87" t="s">
        <v>732</v>
      </c>
      <c r="CD87" t="s">
        <v>732</v>
      </c>
    </row>
    <row r="88" spans="2:82">
      <c r="B88" s="805">
        <v>4</v>
      </c>
      <c r="C88" s="805" t="s">
        <v>1101</v>
      </c>
      <c r="D88" s="805" t="s">
        <v>1102</v>
      </c>
      <c r="E88" s="805" t="s">
        <v>1103</v>
      </c>
      <c r="F88" s="805" t="s">
        <v>1013</v>
      </c>
      <c r="G88" s="805" t="s">
        <v>1104</v>
      </c>
      <c r="H88" s="805" t="s">
        <v>1105</v>
      </c>
      <c r="I88" s="805" t="s">
        <v>1106</v>
      </c>
      <c r="J88" s="805" t="s">
        <v>1008</v>
      </c>
      <c r="K88" s="805" t="s">
        <v>883</v>
      </c>
      <c r="L88" s="805" t="s">
        <v>735</v>
      </c>
      <c r="M88" t="s">
        <v>735</v>
      </c>
      <c r="N88" t="s">
        <v>735</v>
      </c>
      <c r="O88" t="s">
        <v>735</v>
      </c>
      <c r="P88" t="s">
        <v>735</v>
      </c>
      <c r="Q88" t="s">
        <v>735</v>
      </c>
      <c r="R88" t="s">
        <v>735</v>
      </c>
      <c r="S88" t="s">
        <v>735</v>
      </c>
      <c r="T88" t="s">
        <v>735</v>
      </c>
      <c r="U88" t="s">
        <v>735</v>
      </c>
      <c r="V88" t="s">
        <v>735</v>
      </c>
      <c r="W88" t="s">
        <v>735</v>
      </c>
      <c r="X88" t="s">
        <v>735</v>
      </c>
      <c r="Y88" t="s">
        <v>735</v>
      </c>
      <c r="Z88" t="s">
        <v>735</v>
      </c>
      <c r="AA88" t="s">
        <v>735</v>
      </c>
      <c r="AB88" t="s">
        <v>735</v>
      </c>
      <c r="AC88" t="s">
        <v>735</v>
      </c>
      <c r="AD88" t="s">
        <v>735</v>
      </c>
      <c r="AE88" t="s">
        <v>735</v>
      </c>
      <c r="AF88" t="s">
        <v>735</v>
      </c>
      <c r="AG88" t="s">
        <v>735</v>
      </c>
      <c r="AH88" t="s">
        <v>735</v>
      </c>
      <c r="AI88" t="s">
        <v>735</v>
      </c>
      <c r="AJ88" t="s">
        <v>735</v>
      </c>
      <c r="AK88" t="s">
        <v>735</v>
      </c>
      <c r="AL88" t="s">
        <v>735</v>
      </c>
      <c r="AM88" t="s">
        <v>735</v>
      </c>
      <c r="AN88" t="s">
        <v>735</v>
      </c>
      <c r="AO88" t="s">
        <v>735</v>
      </c>
      <c r="AP88" t="s">
        <v>735</v>
      </c>
      <c r="AQ88" t="s">
        <v>735</v>
      </c>
      <c r="AR88" t="s">
        <v>735</v>
      </c>
      <c r="AS88" t="s">
        <v>735</v>
      </c>
      <c r="AT88" t="s">
        <v>735</v>
      </c>
      <c r="AU88" t="s">
        <v>735</v>
      </c>
      <c r="AV88" t="s">
        <v>735</v>
      </c>
      <c r="AW88" t="s">
        <v>735</v>
      </c>
      <c r="AX88" t="s">
        <v>735</v>
      </c>
      <c r="AY88" t="s">
        <v>735</v>
      </c>
      <c r="AZ88" t="s">
        <v>735</v>
      </c>
      <c r="BA88" t="s">
        <v>735</v>
      </c>
      <c r="BB88" t="s">
        <v>735</v>
      </c>
      <c r="BC88" t="s">
        <v>735</v>
      </c>
      <c r="BD88" t="s">
        <v>735</v>
      </c>
      <c r="BE88" t="s">
        <v>735</v>
      </c>
      <c r="BF88" t="s">
        <v>735</v>
      </c>
      <c r="BG88" t="s">
        <v>735</v>
      </c>
      <c r="BH88" t="s">
        <v>735</v>
      </c>
      <c r="BI88" t="s">
        <v>735</v>
      </c>
      <c r="BJ88" t="s">
        <v>735</v>
      </c>
      <c r="BK88" t="s">
        <v>735</v>
      </c>
      <c r="BL88" t="s">
        <v>735</v>
      </c>
      <c r="BM88" t="s">
        <v>735</v>
      </c>
      <c r="BN88" t="s">
        <v>735</v>
      </c>
      <c r="BO88" t="s">
        <v>735</v>
      </c>
      <c r="BP88" t="s">
        <v>735</v>
      </c>
      <c r="BQ88" t="s">
        <v>735</v>
      </c>
      <c r="BR88" t="s">
        <v>735</v>
      </c>
      <c r="BS88" t="s">
        <v>735</v>
      </c>
      <c r="BT88" t="s">
        <v>735</v>
      </c>
      <c r="BU88" t="s">
        <v>735</v>
      </c>
      <c r="BV88" t="s">
        <v>735</v>
      </c>
      <c r="BW88" t="s">
        <v>735</v>
      </c>
      <c r="BX88" t="s">
        <v>735</v>
      </c>
      <c r="BY88" t="s">
        <v>735</v>
      </c>
      <c r="BZ88" t="s">
        <v>735</v>
      </c>
      <c r="CA88" t="s">
        <v>735</v>
      </c>
      <c r="CB88" t="s">
        <v>735</v>
      </c>
      <c r="CC88" t="s">
        <v>735</v>
      </c>
      <c r="CD88" t="s">
        <v>735</v>
      </c>
    </row>
    <row r="89" spans="2:82">
      <c r="B89" s="805">
        <v>3</v>
      </c>
      <c r="C89" s="805" t="s">
        <v>1016</v>
      </c>
      <c r="D89" s="805" t="s">
        <v>1107</v>
      </c>
      <c r="E89" s="805" t="s">
        <v>1108</v>
      </c>
      <c r="F89" s="805" t="s">
        <v>1109</v>
      </c>
      <c r="G89" s="805" t="s">
        <v>887</v>
      </c>
      <c r="H89" s="805" t="s">
        <v>1110</v>
      </c>
      <c r="I89" s="805" t="s">
        <v>1111</v>
      </c>
      <c r="J89" s="805" t="s">
        <v>868</v>
      </c>
      <c r="K89" s="805" t="s">
        <v>816</v>
      </c>
      <c r="L89" s="805" t="s">
        <v>742</v>
      </c>
      <c r="M89" t="s">
        <v>742</v>
      </c>
      <c r="N89" t="s">
        <v>742</v>
      </c>
      <c r="O89" t="s">
        <v>742</v>
      </c>
      <c r="P89" t="s">
        <v>742</v>
      </c>
      <c r="Q89" t="s">
        <v>742</v>
      </c>
      <c r="R89" t="s">
        <v>742</v>
      </c>
      <c r="S89" t="s">
        <v>742</v>
      </c>
      <c r="T89" t="s">
        <v>742</v>
      </c>
      <c r="U89" t="s">
        <v>742</v>
      </c>
      <c r="V89" t="s">
        <v>742</v>
      </c>
      <c r="W89" t="s">
        <v>742</v>
      </c>
      <c r="X89" t="s">
        <v>742</v>
      </c>
      <c r="Y89" t="s">
        <v>742</v>
      </c>
      <c r="Z89" t="s">
        <v>742</v>
      </c>
      <c r="AA89" t="s">
        <v>742</v>
      </c>
      <c r="AB89" t="s">
        <v>742</v>
      </c>
      <c r="AC89" t="s">
        <v>742</v>
      </c>
      <c r="AD89" t="s">
        <v>742</v>
      </c>
      <c r="AE89" t="s">
        <v>742</v>
      </c>
      <c r="AF89" t="s">
        <v>742</v>
      </c>
      <c r="AG89" t="s">
        <v>742</v>
      </c>
      <c r="AH89" t="s">
        <v>742</v>
      </c>
      <c r="AI89" t="s">
        <v>742</v>
      </c>
      <c r="AJ89" t="s">
        <v>742</v>
      </c>
      <c r="AK89" t="s">
        <v>742</v>
      </c>
      <c r="AL89" t="s">
        <v>742</v>
      </c>
      <c r="AM89" t="s">
        <v>742</v>
      </c>
      <c r="AN89" t="s">
        <v>742</v>
      </c>
      <c r="AO89" t="s">
        <v>742</v>
      </c>
      <c r="AP89" t="s">
        <v>742</v>
      </c>
      <c r="AQ89" t="s">
        <v>742</v>
      </c>
      <c r="AR89" t="s">
        <v>742</v>
      </c>
      <c r="AS89" t="s">
        <v>742</v>
      </c>
      <c r="AT89" t="s">
        <v>742</v>
      </c>
      <c r="AU89" t="s">
        <v>742</v>
      </c>
      <c r="AV89" t="s">
        <v>742</v>
      </c>
      <c r="AW89" t="s">
        <v>742</v>
      </c>
      <c r="AX89" t="s">
        <v>742</v>
      </c>
      <c r="AY89" t="s">
        <v>742</v>
      </c>
      <c r="AZ89" t="s">
        <v>742</v>
      </c>
      <c r="BA89" t="s">
        <v>742</v>
      </c>
      <c r="BB89" t="s">
        <v>742</v>
      </c>
      <c r="BC89" t="s">
        <v>742</v>
      </c>
      <c r="BD89" t="s">
        <v>742</v>
      </c>
      <c r="BE89" t="s">
        <v>742</v>
      </c>
      <c r="BF89" t="s">
        <v>742</v>
      </c>
      <c r="BG89" t="s">
        <v>742</v>
      </c>
      <c r="BH89" t="s">
        <v>742</v>
      </c>
      <c r="BI89" t="s">
        <v>742</v>
      </c>
      <c r="BJ89" t="s">
        <v>742</v>
      </c>
      <c r="BK89" t="s">
        <v>742</v>
      </c>
      <c r="BL89" t="s">
        <v>742</v>
      </c>
      <c r="BM89" t="s">
        <v>742</v>
      </c>
      <c r="BN89" t="s">
        <v>742</v>
      </c>
      <c r="BO89" t="s">
        <v>742</v>
      </c>
      <c r="BP89" t="s">
        <v>742</v>
      </c>
      <c r="BQ89" t="s">
        <v>742</v>
      </c>
      <c r="BR89" t="s">
        <v>742</v>
      </c>
      <c r="BS89" t="s">
        <v>742</v>
      </c>
      <c r="BT89" t="s">
        <v>742</v>
      </c>
      <c r="BU89" t="s">
        <v>742</v>
      </c>
      <c r="BV89" t="s">
        <v>742</v>
      </c>
      <c r="BW89" t="s">
        <v>742</v>
      </c>
      <c r="BX89" t="s">
        <v>742</v>
      </c>
      <c r="BY89" t="s">
        <v>742</v>
      </c>
      <c r="BZ89" t="s">
        <v>742</v>
      </c>
      <c r="CA89" t="s">
        <v>742</v>
      </c>
      <c r="CB89" t="s">
        <v>742</v>
      </c>
      <c r="CC89" t="s">
        <v>742</v>
      </c>
      <c r="CD89" t="s">
        <v>742</v>
      </c>
    </row>
    <row r="90" spans="2:82">
      <c r="B90" s="805">
        <v>2</v>
      </c>
      <c r="C90" s="805" t="s">
        <v>1022</v>
      </c>
      <c r="D90" s="805" t="s">
        <v>1023</v>
      </c>
      <c r="E90" s="805" t="s">
        <v>891</v>
      </c>
      <c r="F90" s="805" t="s">
        <v>892</v>
      </c>
      <c r="G90" s="805" t="s">
        <v>865</v>
      </c>
      <c r="H90" s="805" t="s">
        <v>1112</v>
      </c>
      <c r="I90" s="805" t="s">
        <v>874</v>
      </c>
      <c r="J90" s="805" t="s">
        <v>1113</v>
      </c>
      <c r="K90" s="805" t="s">
        <v>1078</v>
      </c>
      <c r="L90" s="805" t="s">
        <v>747</v>
      </c>
      <c r="M90" t="s">
        <v>747</v>
      </c>
      <c r="N90" t="s">
        <v>747</v>
      </c>
      <c r="O90" t="s">
        <v>747</v>
      </c>
      <c r="P90" t="s">
        <v>747</v>
      </c>
      <c r="Q90" t="s">
        <v>747</v>
      </c>
      <c r="R90" t="s">
        <v>747</v>
      </c>
      <c r="S90" t="s">
        <v>747</v>
      </c>
      <c r="T90" t="s">
        <v>747</v>
      </c>
      <c r="U90" t="s">
        <v>747</v>
      </c>
      <c r="V90" t="s">
        <v>747</v>
      </c>
      <c r="W90" t="s">
        <v>747</v>
      </c>
      <c r="X90" t="s">
        <v>747</v>
      </c>
      <c r="Y90" t="s">
        <v>747</v>
      </c>
      <c r="Z90" t="s">
        <v>747</v>
      </c>
      <c r="AA90" t="s">
        <v>747</v>
      </c>
      <c r="AB90" t="s">
        <v>747</v>
      </c>
      <c r="AC90" t="s">
        <v>747</v>
      </c>
      <c r="AD90" t="s">
        <v>747</v>
      </c>
      <c r="AE90" t="s">
        <v>747</v>
      </c>
      <c r="AF90" t="s">
        <v>747</v>
      </c>
      <c r="AG90" t="s">
        <v>747</v>
      </c>
      <c r="AH90" t="s">
        <v>747</v>
      </c>
      <c r="AI90" t="s">
        <v>747</v>
      </c>
      <c r="AJ90" t="s">
        <v>747</v>
      </c>
      <c r="AK90" t="s">
        <v>747</v>
      </c>
      <c r="AL90" t="s">
        <v>747</v>
      </c>
      <c r="AM90" t="s">
        <v>747</v>
      </c>
      <c r="AN90" t="s">
        <v>747</v>
      </c>
      <c r="AO90" t="s">
        <v>747</v>
      </c>
      <c r="AP90" t="s">
        <v>747</v>
      </c>
      <c r="AQ90" t="s">
        <v>747</v>
      </c>
      <c r="AR90" t="s">
        <v>747</v>
      </c>
      <c r="AS90" t="s">
        <v>747</v>
      </c>
      <c r="AT90" t="s">
        <v>747</v>
      </c>
      <c r="AU90" t="s">
        <v>747</v>
      </c>
      <c r="AV90" t="s">
        <v>747</v>
      </c>
      <c r="AW90" t="s">
        <v>747</v>
      </c>
      <c r="AX90" t="s">
        <v>747</v>
      </c>
      <c r="AY90" t="s">
        <v>747</v>
      </c>
      <c r="AZ90" t="s">
        <v>747</v>
      </c>
      <c r="BA90" t="s">
        <v>747</v>
      </c>
      <c r="BB90" t="s">
        <v>747</v>
      </c>
      <c r="BC90" t="s">
        <v>747</v>
      </c>
      <c r="BD90" t="s">
        <v>747</v>
      </c>
      <c r="BE90" t="s">
        <v>747</v>
      </c>
      <c r="BF90" t="s">
        <v>747</v>
      </c>
      <c r="BG90" t="s">
        <v>747</v>
      </c>
      <c r="BH90" t="s">
        <v>747</v>
      </c>
      <c r="BI90" t="s">
        <v>747</v>
      </c>
      <c r="BJ90" t="s">
        <v>747</v>
      </c>
      <c r="BK90" t="s">
        <v>747</v>
      </c>
      <c r="BL90" t="s">
        <v>747</v>
      </c>
      <c r="BM90" t="s">
        <v>747</v>
      </c>
      <c r="BN90" t="s">
        <v>747</v>
      </c>
      <c r="BO90" t="s">
        <v>747</v>
      </c>
      <c r="BP90" t="s">
        <v>747</v>
      </c>
      <c r="BQ90" t="s">
        <v>747</v>
      </c>
      <c r="BR90" t="s">
        <v>747</v>
      </c>
      <c r="BS90" t="s">
        <v>747</v>
      </c>
      <c r="BT90" t="s">
        <v>747</v>
      </c>
      <c r="BU90" t="s">
        <v>747</v>
      </c>
      <c r="BV90" t="s">
        <v>747</v>
      </c>
      <c r="BW90" t="s">
        <v>747</v>
      </c>
      <c r="BX90" t="s">
        <v>747</v>
      </c>
      <c r="BY90" t="s">
        <v>747</v>
      </c>
      <c r="BZ90" t="s">
        <v>747</v>
      </c>
      <c r="CA90" t="s">
        <v>747</v>
      </c>
      <c r="CB90" t="s">
        <v>747</v>
      </c>
      <c r="CC90" t="s">
        <v>747</v>
      </c>
      <c r="CD90" t="s">
        <v>747</v>
      </c>
    </row>
    <row r="91" spans="2:82">
      <c r="B91" s="805">
        <v>1</v>
      </c>
      <c r="C91" s="805" t="s">
        <v>1114</v>
      </c>
      <c r="D91" s="805" t="s">
        <v>1115</v>
      </c>
      <c r="E91" s="805" t="s">
        <v>1116</v>
      </c>
      <c r="F91" s="805" t="s">
        <v>1117</v>
      </c>
      <c r="G91" s="805" t="s">
        <v>1093</v>
      </c>
      <c r="H91" s="805" t="s">
        <v>1118</v>
      </c>
      <c r="I91" s="805" t="s">
        <v>1014</v>
      </c>
      <c r="J91" s="805" t="s">
        <v>1119</v>
      </c>
      <c r="K91" s="805" t="s">
        <v>919</v>
      </c>
      <c r="L91" s="805" t="s">
        <v>751</v>
      </c>
      <c r="M91" t="s">
        <v>751</v>
      </c>
      <c r="N91" t="s">
        <v>751</v>
      </c>
      <c r="O91" t="s">
        <v>751</v>
      </c>
      <c r="P91" t="s">
        <v>751</v>
      </c>
      <c r="Q91" t="s">
        <v>751</v>
      </c>
      <c r="R91" t="s">
        <v>751</v>
      </c>
      <c r="S91" t="s">
        <v>751</v>
      </c>
      <c r="T91" t="s">
        <v>751</v>
      </c>
      <c r="U91" t="s">
        <v>751</v>
      </c>
      <c r="V91" t="s">
        <v>751</v>
      </c>
      <c r="W91" t="s">
        <v>751</v>
      </c>
      <c r="X91" t="s">
        <v>751</v>
      </c>
      <c r="Y91" t="s">
        <v>751</v>
      </c>
      <c r="Z91" t="s">
        <v>751</v>
      </c>
      <c r="AA91" t="s">
        <v>751</v>
      </c>
      <c r="AB91" t="s">
        <v>751</v>
      </c>
      <c r="AC91" t="s">
        <v>751</v>
      </c>
      <c r="AD91" t="s">
        <v>751</v>
      </c>
      <c r="AE91" t="s">
        <v>751</v>
      </c>
      <c r="AF91" t="s">
        <v>751</v>
      </c>
      <c r="AG91" t="s">
        <v>751</v>
      </c>
      <c r="AH91" t="s">
        <v>751</v>
      </c>
      <c r="AI91" t="s">
        <v>751</v>
      </c>
      <c r="AJ91" t="s">
        <v>751</v>
      </c>
      <c r="AK91" t="s">
        <v>751</v>
      </c>
      <c r="AL91" t="s">
        <v>751</v>
      </c>
      <c r="AM91" t="s">
        <v>751</v>
      </c>
      <c r="AN91" t="s">
        <v>751</v>
      </c>
      <c r="AO91" t="s">
        <v>751</v>
      </c>
      <c r="AP91" t="s">
        <v>751</v>
      </c>
      <c r="AQ91" t="s">
        <v>751</v>
      </c>
      <c r="AR91" t="s">
        <v>751</v>
      </c>
      <c r="AS91" t="s">
        <v>751</v>
      </c>
      <c r="AT91" t="s">
        <v>751</v>
      </c>
      <c r="AU91" t="s">
        <v>751</v>
      </c>
      <c r="AV91" t="s">
        <v>751</v>
      </c>
      <c r="AW91" t="s">
        <v>751</v>
      </c>
      <c r="AX91" t="s">
        <v>751</v>
      </c>
      <c r="AY91" t="s">
        <v>751</v>
      </c>
      <c r="AZ91" t="s">
        <v>751</v>
      </c>
      <c r="BA91" t="s">
        <v>751</v>
      </c>
      <c r="BB91" t="s">
        <v>751</v>
      </c>
      <c r="BC91" t="s">
        <v>751</v>
      </c>
      <c r="BD91" t="s">
        <v>751</v>
      </c>
      <c r="BE91" t="s">
        <v>751</v>
      </c>
      <c r="BF91" t="s">
        <v>751</v>
      </c>
      <c r="BG91" t="s">
        <v>751</v>
      </c>
      <c r="BH91" t="s">
        <v>751</v>
      </c>
      <c r="BI91" t="s">
        <v>751</v>
      </c>
      <c r="BJ91" t="s">
        <v>751</v>
      </c>
      <c r="BK91" t="s">
        <v>751</v>
      </c>
      <c r="BL91" t="s">
        <v>751</v>
      </c>
      <c r="BM91" t="s">
        <v>751</v>
      </c>
      <c r="BN91" t="s">
        <v>751</v>
      </c>
      <c r="BO91" t="s">
        <v>751</v>
      </c>
      <c r="BP91" t="s">
        <v>751</v>
      </c>
      <c r="BQ91" t="s">
        <v>751</v>
      </c>
      <c r="BR91" t="s">
        <v>751</v>
      </c>
      <c r="BS91" t="s">
        <v>751</v>
      </c>
      <c r="BT91" t="s">
        <v>751</v>
      </c>
      <c r="BU91" t="s">
        <v>751</v>
      </c>
      <c r="BV91" t="s">
        <v>751</v>
      </c>
      <c r="BW91" t="s">
        <v>751</v>
      </c>
      <c r="BX91" t="s">
        <v>751</v>
      </c>
      <c r="BY91" t="s">
        <v>751</v>
      </c>
      <c r="BZ91" t="s">
        <v>751</v>
      </c>
      <c r="CA91" t="s">
        <v>751</v>
      </c>
      <c r="CB91" t="s">
        <v>751</v>
      </c>
      <c r="CC91" t="s">
        <v>751</v>
      </c>
      <c r="CD91" t="s">
        <v>751</v>
      </c>
    </row>
    <row r="95" spans="2:82" ht="16.2">
      <c r="B95" s="804" t="s">
        <v>1120</v>
      </c>
    </row>
    <row r="96" spans="2:82">
      <c r="B96" s="805" t="s">
        <v>642</v>
      </c>
      <c r="C96" s="805">
        <v>2024</v>
      </c>
      <c r="D96" s="805">
        <v>2025</v>
      </c>
      <c r="E96" s="805">
        <v>2026</v>
      </c>
      <c r="F96" s="805">
        <v>2027</v>
      </c>
      <c r="G96" s="805">
        <v>2028</v>
      </c>
      <c r="H96" s="805">
        <v>2029</v>
      </c>
      <c r="I96" s="805">
        <v>2030</v>
      </c>
      <c r="J96" s="805">
        <v>2031</v>
      </c>
      <c r="K96" s="805">
        <v>2032</v>
      </c>
      <c r="L96" s="805">
        <v>2033</v>
      </c>
      <c r="M96">
        <f>+L96+1</f>
        <v>2034</v>
      </c>
      <c r="N96">
        <f t="shared" ref="N96:BY96" si="6">+M96+1</f>
        <v>2035</v>
      </c>
      <c r="O96">
        <f t="shared" si="6"/>
        <v>2036</v>
      </c>
      <c r="P96">
        <f t="shared" si="6"/>
        <v>2037</v>
      </c>
      <c r="Q96">
        <f t="shared" si="6"/>
        <v>2038</v>
      </c>
      <c r="R96">
        <f t="shared" si="6"/>
        <v>2039</v>
      </c>
      <c r="S96">
        <f t="shared" si="6"/>
        <v>2040</v>
      </c>
      <c r="T96">
        <f t="shared" si="6"/>
        <v>2041</v>
      </c>
      <c r="U96">
        <f t="shared" si="6"/>
        <v>2042</v>
      </c>
      <c r="V96">
        <f t="shared" si="6"/>
        <v>2043</v>
      </c>
      <c r="W96">
        <f t="shared" si="6"/>
        <v>2044</v>
      </c>
      <c r="X96">
        <f t="shared" si="6"/>
        <v>2045</v>
      </c>
      <c r="Y96">
        <f t="shared" si="6"/>
        <v>2046</v>
      </c>
      <c r="Z96">
        <f t="shared" si="6"/>
        <v>2047</v>
      </c>
      <c r="AA96">
        <f t="shared" si="6"/>
        <v>2048</v>
      </c>
      <c r="AB96">
        <f t="shared" si="6"/>
        <v>2049</v>
      </c>
      <c r="AC96">
        <f t="shared" si="6"/>
        <v>2050</v>
      </c>
      <c r="AD96">
        <f t="shared" si="6"/>
        <v>2051</v>
      </c>
      <c r="AE96">
        <f t="shared" si="6"/>
        <v>2052</v>
      </c>
      <c r="AF96">
        <f t="shared" si="6"/>
        <v>2053</v>
      </c>
      <c r="AG96">
        <f t="shared" si="6"/>
        <v>2054</v>
      </c>
      <c r="AH96">
        <f t="shared" si="6"/>
        <v>2055</v>
      </c>
      <c r="AI96">
        <f t="shared" si="6"/>
        <v>2056</v>
      </c>
      <c r="AJ96">
        <f t="shared" si="6"/>
        <v>2057</v>
      </c>
      <c r="AK96">
        <f t="shared" si="6"/>
        <v>2058</v>
      </c>
      <c r="AL96">
        <f t="shared" si="6"/>
        <v>2059</v>
      </c>
      <c r="AM96">
        <f t="shared" si="6"/>
        <v>2060</v>
      </c>
      <c r="AN96">
        <f t="shared" si="6"/>
        <v>2061</v>
      </c>
      <c r="AO96">
        <f t="shared" si="6"/>
        <v>2062</v>
      </c>
      <c r="AP96">
        <f t="shared" si="6"/>
        <v>2063</v>
      </c>
      <c r="AQ96">
        <f t="shared" si="6"/>
        <v>2064</v>
      </c>
      <c r="AR96">
        <f t="shared" si="6"/>
        <v>2065</v>
      </c>
      <c r="AS96">
        <f t="shared" si="6"/>
        <v>2066</v>
      </c>
      <c r="AT96">
        <f t="shared" si="6"/>
        <v>2067</v>
      </c>
      <c r="AU96">
        <f t="shared" si="6"/>
        <v>2068</v>
      </c>
      <c r="AV96">
        <f t="shared" si="6"/>
        <v>2069</v>
      </c>
      <c r="AW96">
        <f t="shared" si="6"/>
        <v>2070</v>
      </c>
      <c r="AX96">
        <f t="shared" si="6"/>
        <v>2071</v>
      </c>
      <c r="AY96">
        <f t="shared" si="6"/>
        <v>2072</v>
      </c>
      <c r="AZ96">
        <f t="shared" si="6"/>
        <v>2073</v>
      </c>
      <c r="BA96">
        <f t="shared" si="6"/>
        <v>2074</v>
      </c>
      <c r="BB96">
        <f t="shared" si="6"/>
        <v>2075</v>
      </c>
      <c r="BC96">
        <f t="shared" si="6"/>
        <v>2076</v>
      </c>
      <c r="BD96">
        <f t="shared" si="6"/>
        <v>2077</v>
      </c>
      <c r="BE96">
        <f>+BD96+1</f>
        <v>2078</v>
      </c>
      <c r="BF96">
        <f t="shared" si="6"/>
        <v>2079</v>
      </c>
      <c r="BG96">
        <f t="shared" si="6"/>
        <v>2080</v>
      </c>
      <c r="BH96">
        <f t="shared" si="6"/>
        <v>2081</v>
      </c>
      <c r="BI96">
        <f t="shared" si="6"/>
        <v>2082</v>
      </c>
      <c r="BJ96">
        <f t="shared" si="6"/>
        <v>2083</v>
      </c>
      <c r="BK96">
        <f t="shared" si="6"/>
        <v>2084</v>
      </c>
      <c r="BL96">
        <f t="shared" si="6"/>
        <v>2085</v>
      </c>
      <c r="BM96">
        <f t="shared" si="6"/>
        <v>2086</v>
      </c>
      <c r="BN96">
        <f t="shared" si="6"/>
        <v>2087</v>
      </c>
      <c r="BO96">
        <f t="shared" si="6"/>
        <v>2088</v>
      </c>
      <c r="BP96">
        <f t="shared" si="6"/>
        <v>2089</v>
      </c>
      <c r="BQ96">
        <f t="shared" si="6"/>
        <v>2090</v>
      </c>
      <c r="BR96">
        <f t="shared" si="6"/>
        <v>2091</v>
      </c>
      <c r="BS96">
        <f t="shared" si="6"/>
        <v>2092</v>
      </c>
      <c r="BT96">
        <f t="shared" si="6"/>
        <v>2093</v>
      </c>
      <c r="BU96">
        <f t="shared" si="6"/>
        <v>2094</v>
      </c>
      <c r="BV96">
        <f t="shared" si="6"/>
        <v>2095</v>
      </c>
      <c r="BW96">
        <f>+BV96+1</f>
        <v>2096</v>
      </c>
      <c r="BX96">
        <f t="shared" si="6"/>
        <v>2097</v>
      </c>
      <c r="BY96">
        <f t="shared" si="6"/>
        <v>2098</v>
      </c>
      <c r="BZ96">
        <f t="shared" ref="BZ96:CD96" si="7">+BY96+1</f>
        <v>2099</v>
      </c>
      <c r="CA96">
        <f t="shared" si="7"/>
        <v>2100</v>
      </c>
      <c r="CB96">
        <f t="shared" si="7"/>
        <v>2101</v>
      </c>
      <c r="CC96">
        <f t="shared" si="7"/>
        <v>2102</v>
      </c>
      <c r="CD96">
        <f t="shared" si="7"/>
        <v>2103</v>
      </c>
    </row>
    <row r="97" spans="2:82">
      <c r="B97" s="805">
        <v>24</v>
      </c>
      <c r="C97" s="805" t="s">
        <v>935</v>
      </c>
      <c r="D97" s="805" t="s">
        <v>959</v>
      </c>
      <c r="E97" s="805" t="s">
        <v>1121</v>
      </c>
      <c r="F97" s="805" t="s">
        <v>675</v>
      </c>
      <c r="G97" s="805" t="s">
        <v>921</v>
      </c>
      <c r="H97" s="805" t="s">
        <v>1122</v>
      </c>
      <c r="I97" s="805" t="s">
        <v>933</v>
      </c>
      <c r="J97" s="805" t="s">
        <v>1123</v>
      </c>
      <c r="K97" s="805" t="s">
        <v>1124</v>
      </c>
      <c r="L97" s="805" t="s">
        <v>652</v>
      </c>
      <c r="M97" t="s">
        <v>652</v>
      </c>
      <c r="N97" t="s">
        <v>652</v>
      </c>
      <c r="O97" t="s">
        <v>652</v>
      </c>
      <c r="P97" t="s">
        <v>652</v>
      </c>
      <c r="Q97" t="s">
        <v>652</v>
      </c>
      <c r="R97" t="s">
        <v>652</v>
      </c>
      <c r="S97" t="s">
        <v>652</v>
      </c>
      <c r="T97" t="s">
        <v>652</v>
      </c>
      <c r="U97" t="s">
        <v>652</v>
      </c>
      <c r="V97" t="s">
        <v>652</v>
      </c>
      <c r="W97" t="s">
        <v>652</v>
      </c>
      <c r="X97" t="s">
        <v>652</v>
      </c>
      <c r="Y97" t="s">
        <v>652</v>
      </c>
      <c r="Z97" t="s">
        <v>652</v>
      </c>
      <c r="AA97" t="s">
        <v>652</v>
      </c>
      <c r="AB97" t="s">
        <v>652</v>
      </c>
      <c r="AC97" t="s">
        <v>652</v>
      </c>
      <c r="AD97" t="s">
        <v>652</v>
      </c>
      <c r="AE97" t="s">
        <v>652</v>
      </c>
      <c r="AF97" t="s">
        <v>652</v>
      </c>
      <c r="AG97" t="s">
        <v>652</v>
      </c>
      <c r="AH97" t="s">
        <v>652</v>
      </c>
      <c r="AI97" t="s">
        <v>652</v>
      </c>
      <c r="AJ97" t="s">
        <v>652</v>
      </c>
      <c r="AK97" t="s">
        <v>652</v>
      </c>
      <c r="AL97" t="s">
        <v>652</v>
      </c>
      <c r="AM97" t="s">
        <v>652</v>
      </c>
      <c r="AN97" t="s">
        <v>652</v>
      </c>
      <c r="AO97" t="s">
        <v>652</v>
      </c>
      <c r="AP97" t="s">
        <v>652</v>
      </c>
      <c r="AQ97" t="s">
        <v>652</v>
      </c>
      <c r="AR97" t="s">
        <v>652</v>
      </c>
      <c r="AS97" t="s">
        <v>652</v>
      </c>
      <c r="AT97" t="s">
        <v>652</v>
      </c>
      <c r="AU97" t="s">
        <v>652</v>
      </c>
      <c r="AV97" t="s">
        <v>652</v>
      </c>
      <c r="AW97" t="s">
        <v>652</v>
      </c>
      <c r="AX97" t="s">
        <v>652</v>
      </c>
      <c r="AY97" t="s">
        <v>652</v>
      </c>
      <c r="AZ97" t="s">
        <v>652</v>
      </c>
      <c r="BA97" t="s">
        <v>652</v>
      </c>
      <c r="BB97" t="s">
        <v>652</v>
      </c>
      <c r="BC97" t="s">
        <v>652</v>
      </c>
      <c r="BD97" t="s">
        <v>652</v>
      </c>
      <c r="BE97" t="s">
        <v>652</v>
      </c>
      <c r="BF97" t="s">
        <v>652</v>
      </c>
      <c r="BG97" t="s">
        <v>652</v>
      </c>
      <c r="BH97" t="s">
        <v>652</v>
      </c>
      <c r="BI97" t="s">
        <v>652</v>
      </c>
      <c r="BJ97" t="s">
        <v>652</v>
      </c>
      <c r="BK97" t="s">
        <v>652</v>
      </c>
      <c r="BL97" t="s">
        <v>652</v>
      </c>
      <c r="BM97" t="s">
        <v>652</v>
      </c>
      <c r="BN97" t="s">
        <v>652</v>
      </c>
      <c r="BO97" t="s">
        <v>652</v>
      </c>
      <c r="BP97" t="s">
        <v>652</v>
      </c>
      <c r="BQ97" t="s">
        <v>652</v>
      </c>
      <c r="BR97" t="s">
        <v>652</v>
      </c>
      <c r="BS97" t="s">
        <v>652</v>
      </c>
      <c r="BT97" t="s">
        <v>652</v>
      </c>
      <c r="BU97" t="s">
        <v>652</v>
      </c>
      <c r="BV97" t="s">
        <v>652</v>
      </c>
      <c r="BW97" t="s">
        <v>652</v>
      </c>
      <c r="BX97" t="s">
        <v>652</v>
      </c>
      <c r="BY97" t="s">
        <v>652</v>
      </c>
      <c r="BZ97" t="s">
        <v>652</v>
      </c>
      <c r="CA97" t="s">
        <v>652</v>
      </c>
      <c r="CB97" t="s">
        <v>652</v>
      </c>
      <c r="CC97" t="s">
        <v>652</v>
      </c>
      <c r="CD97" t="s">
        <v>652</v>
      </c>
    </row>
    <row r="98" spans="2:82">
      <c r="B98" s="805">
        <v>23</v>
      </c>
      <c r="C98" s="805" t="s">
        <v>842</v>
      </c>
      <c r="D98" s="805" t="s">
        <v>695</v>
      </c>
      <c r="E98" s="805" t="s">
        <v>1125</v>
      </c>
      <c r="F98" s="805" t="s">
        <v>771</v>
      </c>
      <c r="G98" s="805" t="s">
        <v>673</v>
      </c>
      <c r="H98" s="805" t="s">
        <v>671</v>
      </c>
      <c r="I98" s="805" t="s">
        <v>1039</v>
      </c>
      <c r="J98" s="805" t="s">
        <v>774</v>
      </c>
      <c r="K98" s="805" t="s">
        <v>1123</v>
      </c>
      <c r="L98" s="805" t="s">
        <v>655</v>
      </c>
      <c r="M98" t="s">
        <v>655</v>
      </c>
      <c r="N98" t="s">
        <v>655</v>
      </c>
      <c r="O98" t="s">
        <v>655</v>
      </c>
      <c r="P98" t="s">
        <v>655</v>
      </c>
      <c r="Q98" t="s">
        <v>655</v>
      </c>
      <c r="R98" t="s">
        <v>655</v>
      </c>
      <c r="S98" t="s">
        <v>655</v>
      </c>
      <c r="T98" t="s">
        <v>655</v>
      </c>
      <c r="U98" t="s">
        <v>655</v>
      </c>
      <c r="V98" t="s">
        <v>655</v>
      </c>
      <c r="W98" t="s">
        <v>655</v>
      </c>
      <c r="X98" t="s">
        <v>655</v>
      </c>
      <c r="Y98" t="s">
        <v>655</v>
      </c>
      <c r="Z98" t="s">
        <v>655</v>
      </c>
      <c r="AA98" t="s">
        <v>655</v>
      </c>
      <c r="AB98" t="s">
        <v>655</v>
      </c>
      <c r="AC98" t="s">
        <v>655</v>
      </c>
      <c r="AD98" t="s">
        <v>655</v>
      </c>
      <c r="AE98" t="s">
        <v>655</v>
      </c>
      <c r="AF98" t="s">
        <v>655</v>
      </c>
      <c r="AG98" t="s">
        <v>655</v>
      </c>
      <c r="AH98" t="s">
        <v>655</v>
      </c>
      <c r="AI98" t="s">
        <v>655</v>
      </c>
      <c r="AJ98" t="s">
        <v>655</v>
      </c>
      <c r="AK98" t="s">
        <v>655</v>
      </c>
      <c r="AL98" t="s">
        <v>655</v>
      </c>
      <c r="AM98" t="s">
        <v>655</v>
      </c>
      <c r="AN98" t="s">
        <v>655</v>
      </c>
      <c r="AO98" t="s">
        <v>655</v>
      </c>
      <c r="AP98" t="s">
        <v>655</v>
      </c>
      <c r="AQ98" t="s">
        <v>655</v>
      </c>
      <c r="AR98" t="s">
        <v>655</v>
      </c>
      <c r="AS98" t="s">
        <v>655</v>
      </c>
      <c r="AT98" t="s">
        <v>655</v>
      </c>
      <c r="AU98" t="s">
        <v>655</v>
      </c>
      <c r="AV98" t="s">
        <v>655</v>
      </c>
      <c r="AW98" t="s">
        <v>655</v>
      </c>
      <c r="AX98" t="s">
        <v>655</v>
      </c>
      <c r="AY98" t="s">
        <v>655</v>
      </c>
      <c r="AZ98" t="s">
        <v>655</v>
      </c>
      <c r="BA98" t="s">
        <v>655</v>
      </c>
      <c r="BB98" t="s">
        <v>655</v>
      </c>
      <c r="BC98" t="s">
        <v>655</v>
      </c>
      <c r="BD98" t="s">
        <v>655</v>
      </c>
      <c r="BE98" t="s">
        <v>655</v>
      </c>
      <c r="BF98" t="s">
        <v>655</v>
      </c>
      <c r="BG98" t="s">
        <v>655</v>
      </c>
      <c r="BH98" t="s">
        <v>655</v>
      </c>
      <c r="BI98" t="s">
        <v>655</v>
      </c>
      <c r="BJ98" t="s">
        <v>655</v>
      </c>
      <c r="BK98" t="s">
        <v>655</v>
      </c>
      <c r="BL98" t="s">
        <v>655</v>
      </c>
      <c r="BM98" t="s">
        <v>655</v>
      </c>
      <c r="BN98" t="s">
        <v>655</v>
      </c>
      <c r="BO98" t="s">
        <v>655</v>
      </c>
      <c r="BP98" t="s">
        <v>655</v>
      </c>
      <c r="BQ98" t="s">
        <v>655</v>
      </c>
      <c r="BR98" t="s">
        <v>655</v>
      </c>
      <c r="BS98" t="s">
        <v>655</v>
      </c>
      <c r="BT98" t="s">
        <v>655</v>
      </c>
      <c r="BU98" t="s">
        <v>655</v>
      </c>
      <c r="BV98" t="s">
        <v>655</v>
      </c>
      <c r="BW98" t="s">
        <v>655</v>
      </c>
      <c r="BX98" t="s">
        <v>655</v>
      </c>
      <c r="BY98" t="s">
        <v>655</v>
      </c>
      <c r="BZ98" t="s">
        <v>655</v>
      </c>
      <c r="CA98" t="s">
        <v>655</v>
      </c>
      <c r="CB98" t="s">
        <v>655</v>
      </c>
      <c r="CC98" t="s">
        <v>655</v>
      </c>
      <c r="CD98" t="s">
        <v>655</v>
      </c>
    </row>
    <row r="99" spans="2:82">
      <c r="B99" s="805">
        <v>22</v>
      </c>
      <c r="C99" s="805" t="s">
        <v>1084</v>
      </c>
      <c r="D99" s="805" t="s">
        <v>958</v>
      </c>
      <c r="E99" s="805" t="s">
        <v>1053</v>
      </c>
      <c r="F99" s="805" t="s">
        <v>1036</v>
      </c>
      <c r="G99" s="805" t="s">
        <v>699</v>
      </c>
      <c r="H99" s="805" t="s">
        <v>1126</v>
      </c>
      <c r="I99" s="805" t="s">
        <v>1127</v>
      </c>
      <c r="J99" s="805" t="s">
        <v>1039</v>
      </c>
      <c r="K99" s="805" t="s">
        <v>933</v>
      </c>
      <c r="L99" s="805" t="s">
        <v>658</v>
      </c>
      <c r="M99" t="s">
        <v>658</v>
      </c>
      <c r="N99" t="s">
        <v>658</v>
      </c>
      <c r="O99" t="s">
        <v>658</v>
      </c>
      <c r="P99" t="s">
        <v>658</v>
      </c>
      <c r="Q99" t="s">
        <v>658</v>
      </c>
      <c r="R99" t="s">
        <v>658</v>
      </c>
      <c r="S99" t="s">
        <v>658</v>
      </c>
      <c r="T99" t="s">
        <v>658</v>
      </c>
      <c r="U99" t="s">
        <v>658</v>
      </c>
      <c r="V99" t="s">
        <v>658</v>
      </c>
      <c r="W99" t="s">
        <v>658</v>
      </c>
      <c r="X99" t="s">
        <v>658</v>
      </c>
      <c r="Y99" t="s">
        <v>658</v>
      </c>
      <c r="Z99" t="s">
        <v>658</v>
      </c>
      <c r="AA99" t="s">
        <v>658</v>
      </c>
      <c r="AB99" t="s">
        <v>658</v>
      </c>
      <c r="AC99" t="s">
        <v>658</v>
      </c>
      <c r="AD99" t="s">
        <v>658</v>
      </c>
      <c r="AE99" t="s">
        <v>658</v>
      </c>
      <c r="AF99" t="s">
        <v>658</v>
      </c>
      <c r="AG99" t="s">
        <v>658</v>
      </c>
      <c r="AH99" t="s">
        <v>658</v>
      </c>
      <c r="AI99" t="s">
        <v>658</v>
      </c>
      <c r="AJ99" t="s">
        <v>658</v>
      </c>
      <c r="AK99" t="s">
        <v>658</v>
      </c>
      <c r="AL99" t="s">
        <v>658</v>
      </c>
      <c r="AM99" t="s">
        <v>658</v>
      </c>
      <c r="AN99" t="s">
        <v>658</v>
      </c>
      <c r="AO99" t="s">
        <v>658</v>
      </c>
      <c r="AP99" t="s">
        <v>658</v>
      </c>
      <c r="AQ99" t="s">
        <v>658</v>
      </c>
      <c r="AR99" t="s">
        <v>658</v>
      </c>
      <c r="AS99" t="s">
        <v>658</v>
      </c>
      <c r="AT99" t="s">
        <v>658</v>
      </c>
      <c r="AU99" t="s">
        <v>658</v>
      </c>
      <c r="AV99" t="s">
        <v>658</v>
      </c>
      <c r="AW99" t="s">
        <v>658</v>
      </c>
      <c r="AX99" t="s">
        <v>658</v>
      </c>
      <c r="AY99" t="s">
        <v>658</v>
      </c>
      <c r="AZ99" t="s">
        <v>658</v>
      </c>
      <c r="BA99" t="s">
        <v>658</v>
      </c>
      <c r="BB99" t="s">
        <v>658</v>
      </c>
      <c r="BC99" t="s">
        <v>658</v>
      </c>
      <c r="BD99" t="s">
        <v>658</v>
      </c>
      <c r="BE99" t="s">
        <v>658</v>
      </c>
      <c r="BF99" t="s">
        <v>658</v>
      </c>
      <c r="BG99" t="s">
        <v>658</v>
      </c>
      <c r="BH99" t="s">
        <v>658</v>
      </c>
      <c r="BI99" t="s">
        <v>658</v>
      </c>
      <c r="BJ99" t="s">
        <v>658</v>
      </c>
      <c r="BK99" t="s">
        <v>658</v>
      </c>
      <c r="BL99" t="s">
        <v>658</v>
      </c>
      <c r="BM99" t="s">
        <v>658</v>
      </c>
      <c r="BN99" t="s">
        <v>658</v>
      </c>
      <c r="BO99" t="s">
        <v>658</v>
      </c>
      <c r="BP99" t="s">
        <v>658</v>
      </c>
      <c r="BQ99" t="s">
        <v>658</v>
      </c>
      <c r="BR99" t="s">
        <v>658</v>
      </c>
      <c r="BS99" t="s">
        <v>658</v>
      </c>
      <c r="BT99" t="s">
        <v>658</v>
      </c>
      <c r="BU99" t="s">
        <v>658</v>
      </c>
      <c r="BV99" t="s">
        <v>658</v>
      </c>
      <c r="BW99" t="s">
        <v>658</v>
      </c>
      <c r="BX99" t="s">
        <v>658</v>
      </c>
      <c r="BY99" t="s">
        <v>658</v>
      </c>
      <c r="BZ99" t="s">
        <v>658</v>
      </c>
      <c r="CA99" t="s">
        <v>658</v>
      </c>
      <c r="CB99" t="s">
        <v>658</v>
      </c>
      <c r="CC99" t="s">
        <v>658</v>
      </c>
      <c r="CD99" t="s">
        <v>658</v>
      </c>
    </row>
    <row r="100" spans="2:82">
      <c r="B100" s="805">
        <v>21</v>
      </c>
      <c r="C100" s="805" t="s">
        <v>1051</v>
      </c>
      <c r="D100" s="805" t="s">
        <v>842</v>
      </c>
      <c r="E100" s="805" t="s">
        <v>1052</v>
      </c>
      <c r="F100" s="805" t="s">
        <v>1053</v>
      </c>
      <c r="G100" s="805" t="s">
        <v>1054</v>
      </c>
      <c r="H100" s="805" t="s">
        <v>755</v>
      </c>
      <c r="I100" s="805" t="s">
        <v>1055</v>
      </c>
      <c r="J100" s="805" t="s">
        <v>1056</v>
      </c>
      <c r="K100" s="805" t="s">
        <v>1057</v>
      </c>
      <c r="L100" s="805" t="s">
        <v>664</v>
      </c>
      <c r="M100" t="s">
        <v>664</v>
      </c>
      <c r="N100" t="s">
        <v>664</v>
      </c>
      <c r="O100" t="s">
        <v>664</v>
      </c>
      <c r="P100" t="s">
        <v>664</v>
      </c>
      <c r="Q100" t="s">
        <v>664</v>
      </c>
      <c r="R100" t="s">
        <v>664</v>
      </c>
      <c r="S100" t="s">
        <v>664</v>
      </c>
      <c r="T100" t="s">
        <v>664</v>
      </c>
      <c r="U100" t="s">
        <v>664</v>
      </c>
      <c r="V100" t="s">
        <v>664</v>
      </c>
      <c r="W100" t="s">
        <v>664</v>
      </c>
      <c r="X100" t="s">
        <v>664</v>
      </c>
      <c r="Y100" t="s">
        <v>664</v>
      </c>
      <c r="Z100" t="s">
        <v>664</v>
      </c>
      <c r="AA100" t="s">
        <v>664</v>
      </c>
      <c r="AB100" t="s">
        <v>664</v>
      </c>
      <c r="AC100" t="s">
        <v>664</v>
      </c>
      <c r="AD100" t="s">
        <v>664</v>
      </c>
      <c r="AE100" t="s">
        <v>664</v>
      </c>
      <c r="AF100" t="s">
        <v>664</v>
      </c>
      <c r="AG100" t="s">
        <v>664</v>
      </c>
      <c r="AH100" t="s">
        <v>664</v>
      </c>
      <c r="AI100" t="s">
        <v>664</v>
      </c>
      <c r="AJ100" t="s">
        <v>664</v>
      </c>
      <c r="AK100" t="s">
        <v>664</v>
      </c>
      <c r="AL100" t="s">
        <v>664</v>
      </c>
      <c r="AM100" t="s">
        <v>664</v>
      </c>
      <c r="AN100" t="s">
        <v>664</v>
      </c>
      <c r="AO100" t="s">
        <v>664</v>
      </c>
      <c r="AP100" t="s">
        <v>664</v>
      </c>
      <c r="AQ100" t="s">
        <v>664</v>
      </c>
      <c r="AR100" t="s">
        <v>664</v>
      </c>
      <c r="AS100" t="s">
        <v>664</v>
      </c>
      <c r="AT100" t="s">
        <v>664</v>
      </c>
      <c r="AU100" t="s">
        <v>664</v>
      </c>
      <c r="AV100" t="s">
        <v>664</v>
      </c>
      <c r="AW100" t="s">
        <v>664</v>
      </c>
      <c r="AX100" t="s">
        <v>664</v>
      </c>
      <c r="AY100" t="s">
        <v>664</v>
      </c>
      <c r="AZ100" t="s">
        <v>664</v>
      </c>
      <c r="BA100" t="s">
        <v>664</v>
      </c>
      <c r="BB100" t="s">
        <v>664</v>
      </c>
      <c r="BC100" t="s">
        <v>664</v>
      </c>
      <c r="BD100" t="s">
        <v>664</v>
      </c>
      <c r="BE100" t="s">
        <v>664</v>
      </c>
      <c r="BF100" t="s">
        <v>664</v>
      </c>
      <c r="BG100" t="s">
        <v>664</v>
      </c>
      <c r="BH100" t="s">
        <v>664</v>
      </c>
      <c r="BI100" t="s">
        <v>664</v>
      </c>
      <c r="BJ100" t="s">
        <v>664</v>
      </c>
      <c r="BK100" t="s">
        <v>664</v>
      </c>
      <c r="BL100" t="s">
        <v>664</v>
      </c>
      <c r="BM100" t="s">
        <v>664</v>
      </c>
      <c r="BN100" t="s">
        <v>664</v>
      </c>
      <c r="BO100" t="s">
        <v>664</v>
      </c>
      <c r="BP100" t="s">
        <v>664</v>
      </c>
      <c r="BQ100" t="s">
        <v>664</v>
      </c>
      <c r="BR100" t="s">
        <v>664</v>
      </c>
      <c r="BS100" t="s">
        <v>664</v>
      </c>
      <c r="BT100" t="s">
        <v>664</v>
      </c>
      <c r="BU100" t="s">
        <v>664</v>
      </c>
      <c r="BV100" t="s">
        <v>664</v>
      </c>
      <c r="BW100" t="s">
        <v>664</v>
      </c>
      <c r="BX100" t="s">
        <v>664</v>
      </c>
      <c r="BY100" t="s">
        <v>664</v>
      </c>
      <c r="BZ100" t="s">
        <v>664</v>
      </c>
      <c r="CA100" t="s">
        <v>664</v>
      </c>
      <c r="CB100" t="s">
        <v>664</v>
      </c>
      <c r="CC100" t="s">
        <v>664</v>
      </c>
      <c r="CD100" t="s">
        <v>664</v>
      </c>
    </row>
    <row r="101" spans="2:82">
      <c r="B101" s="805">
        <v>20</v>
      </c>
      <c r="C101" s="805" t="s">
        <v>1128</v>
      </c>
      <c r="D101" s="805" t="s">
        <v>819</v>
      </c>
      <c r="E101" s="805" t="s">
        <v>1129</v>
      </c>
      <c r="F101" s="805" t="s">
        <v>954</v>
      </c>
      <c r="G101" s="805" t="s">
        <v>1130</v>
      </c>
      <c r="H101" s="805" t="s">
        <v>1131</v>
      </c>
      <c r="I101" s="805" t="s">
        <v>1132</v>
      </c>
      <c r="J101" s="805" t="s">
        <v>1133</v>
      </c>
      <c r="K101" s="805" t="s">
        <v>1134</v>
      </c>
      <c r="L101" s="805" t="s">
        <v>666</v>
      </c>
      <c r="M101" t="s">
        <v>666</v>
      </c>
      <c r="N101" t="s">
        <v>666</v>
      </c>
      <c r="O101" t="s">
        <v>666</v>
      </c>
      <c r="P101" t="s">
        <v>666</v>
      </c>
      <c r="Q101" t="s">
        <v>666</v>
      </c>
      <c r="R101" t="s">
        <v>666</v>
      </c>
      <c r="S101" t="s">
        <v>666</v>
      </c>
      <c r="T101" t="s">
        <v>666</v>
      </c>
      <c r="U101" t="s">
        <v>666</v>
      </c>
      <c r="V101" t="s">
        <v>666</v>
      </c>
      <c r="W101" t="s">
        <v>666</v>
      </c>
      <c r="X101" t="s">
        <v>666</v>
      </c>
      <c r="Y101" t="s">
        <v>666</v>
      </c>
      <c r="Z101" t="s">
        <v>666</v>
      </c>
      <c r="AA101" t="s">
        <v>666</v>
      </c>
      <c r="AB101" t="s">
        <v>666</v>
      </c>
      <c r="AC101" t="s">
        <v>666</v>
      </c>
      <c r="AD101" t="s">
        <v>666</v>
      </c>
      <c r="AE101" t="s">
        <v>666</v>
      </c>
      <c r="AF101" t="s">
        <v>666</v>
      </c>
      <c r="AG101" t="s">
        <v>666</v>
      </c>
      <c r="AH101" t="s">
        <v>666</v>
      </c>
      <c r="AI101" t="s">
        <v>666</v>
      </c>
      <c r="AJ101" t="s">
        <v>666</v>
      </c>
      <c r="AK101" t="s">
        <v>666</v>
      </c>
      <c r="AL101" t="s">
        <v>666</v>
      </c>
      <c r="AM101" t="s">
        <v>666</v>
      </c>
      <c r="AN101" t="s">
        <v>666</v>
      </c>
      <c r="AO101" t="s">
        <v>666</v>
      </c>
      <c r="AP101" t="s">
        <v>666</v>
      </c>
      <c r="AQ101" t="s">
        <v>666</v>
      </c>
      <c r="AR101" t="s">
        <v>666</v>
      </c>
      <c r="AS101" t="s">
        <v>666</v>
      </c>
      <c r="AT101" t="s">
        <v>666</v>
      </c>
      <c r="AU101" t="s">
        <v>666</v>
      </c>
      <c r="AV101" t="s">
        <v>666</v>
      </c>
      <c r="AW101" t="s">
        <v>666</v>
      </c>
      <c r="AX101" t="s">
        <v>666</v>
      </c>
      <c r="AY101" t="s">
        <v>666</v>
      </c>
      <c r="AZ101" t="s">
        <v>666</v>
      </c>
      <c r="BA101" t="s">
        <v>666</v>
      </c>
      <c r="BB101" t="s">
        <v>666</v>
      </c>
      <c r="BC101" t="s">
        <v>666</v>
      </c>
      <c r="BD101" t="s">
        <v>666</v>
      </c>
      <c r="BE101" t="s">
        <v>666</v>
      </c>
      <c r="BF101" t="s">
        <v>666</v>
      </c>
      <c r="BG101" t="s">
        <v>666</v>
      </c>
      <c r="BH101" t="s">
        <v>666</v>
      </c>
      <c r="BI101" t="s">
        <v>666</v>
      </c>
      <c r="BJ101" t="s">
        <v>666</v>
      </c>
      <c r="BK101" t="s">
        <v>666</v>
      </c>
      <c r="BL101" t="s">
        <v>666</v>
      </c>
      <c r="BM101" t="s">
        <v>666</v>
      </c>
      <c r="BN101" t="s">
        <v>666</v>
      </c>
      <c r="BO101" t="s">
        <v>666</v>
      </c>
      <c r="BP101" t="s">
        <v>666</v>
      </c>
      <c r="BQ101" t="s">
        <v>666</v>
      </c>
      <c r="BR101" t="s">
        <v>666</v>
      </c>
      <c r="BS101" t="s">
        <v>666</v>
      </c>
      <c r="BT101" t="s">
        <v>666</v>
      </c>
      <c r="BU101" t="s">
        <v>666</v>
      </c>
      <c r="BV101" t="s">
        <v>666</v>
      </c>
      <c r="BW101" t="s">
        <v>666</v>
      </c>
      <c r="BX101" t="s">
        <v>666</v>
      </c>
      <c r="BY101" t="s">
        <v>666</v>
      </c>
      <c r="BZ101" t="s">
        <v>666</v>
      </c>
      <c r="CA101" t="s">
        <v>666</v>
      </c>
      <c r="CB101" t="s">
        <v>666</v>
      </c>
      <c r="CC101" t="s">
        <v>666</v>
      </c>
      <c r="CD101" t="s">
        <v>666</v>
      </c>
    </row>
    <row r="102" spans="2:82">
      <c r="B102" s="805">
        <v>19</v>
      </c>
      <c r="C102" s="805" t="s">
        <v>1135</v>
      </c>
      <c r="D102" s="805" t="s">
        <v>964</v>
      </c>
      <c r="E102" s="805" t="s">
        <v>1136</v>
      </c>
      <c r="F102" s="805" t="s">
        <v>1137</v>
      </c>
      <c r="G102" s="805" t="s">
        <v>1138</v>
      </c>
      <c r="H102" s="805" t="s">
        <v>1139</v>
      </c>
      <c r="I102" s="805" t="s">
        <v>1140</v>
      </c>
      <c r="J102" s="805" t="s">
        <v>1141</v>
      </c>
      <c r="K102" s="805" t="s">
        <v>1142</v>
      </c>
      <c r="L102" s="805" t="s">
        <v>670</v>
      </c>
      <c r="M102" t="s">
        <v>670</v>
      </c>
      <c r="N102" t="s">
        <v>670</v>
      </c>
      <c r="O102" t="s">
        <v>670</v>
      </c>
      <c r="P102" t="s">
        <v>670</v>
      </c>
      <c r="Q102" t="s">
        <v>670</v>
      </c>
      <c r="R102" t="s">
        <v>670</v>
      </c>
      <c r="S102" t="s">
        <v>670</v>
      </c>
      <c r="T102" t="s">
        <v>670</v>
      </c>
      <c r="U102" t="s">
        <v>670</v>
      </c>
      <c r="V102" t="s">
        <v>670</v>
      </c>
      <c r="W102" t="s">
        <v>670</v>
      </c>
      <c r="X102" t="s">
        <v>670</v>
      </c>
      <c r="Y102" t="s">
        <v>670</v>
      </c>
      <c r="Z102" t="s">
        <v>670</v>
      </c>
      <c r="AA102" t="s">
        <v>670</v>
      </c>
      <c r="AB102" t="s">
        <v>670</v>
      </c>
      <c r="AC102" t="s">
        <v>670</v>
      </c>
      <c r="AD102" t="s">
        <v>670</v>
      </c>
      <c r="AE102" t="s">
        <v>670</v>
      </c>
      <c r="AF102" t="s">
        <v>670</v>
      </c>
      <c r="AG102" t="s">
        <v>670</v>
      </c>
      <c r="AH102" t="s">
        <v>670</v>
      </c>
      <c r="AI102" t="s">
        <v>670</v>
      </c>
      <c r="AJ102" t="s">
        <v>670</v>
      </c>
      <c r="AK102" t="s">
        <v>670</v>
      </c>
      <c r="AL102" t="s">
        <v>670</v>
      </c>
      <c r="AM102" t="s">
        <v>670</v>
      </c>
      <c r="AN102" t="s">
        <v>670</v>
      </c>
      <c r="AO102" t="s">
        <v>670</v>
      </c>
      <c r="AP102" t="s">
        <v>670</v>
      </c>
      <c r="AQ102" t="s">
        <v>670</v>
      </c>
      <c r="AR102" t="s">
        <v>670</v>
      </c>
      <c r="AS102" t="s">
        <v>670</v>
      </c>
      <c r="AT102" t="s">
        <v>670</v>
      </c>
      <c r="AU102" t="s">
        <v>670</v>
      </c>
      <c r="AV102" t="s">
        <v>670</v>
      </c>
      <c r="AW102" t="s">
        <v>670</v>
      </c>
      <c r="AX102" t="s">
        <v>670</v>
      </c>
      <c r="AY102" t="s">
        <v>670</v>
      </c>
      <c r="AZ102" t="s">
        <v>670</v>
      </c>
      <c r="BA102" t="s">
        <v>670</v>
      </c>
      <c r="BB102" t="s">
        <v>670</v>
      </c>
      <c r="BC102" t="s">
        <v>670</v>
      </c>
      <c r="BD102" t="s">
        <v>670</v>
      </c>
      <c r="BE102" t="s">
        <v>670</v>
      </c>
      <c r="BF102" t="s">
        <v>670</v>
      </c>
      <c r="BG102" t="s">
        <v>670</v>
      </c>
      <c r="BH102" t="s">
        <v>670</v>
      </c>
      <c r="BI102" t="s">
        <v>670</v>
      </c>
      <c r="BJ102" t="s">
        <v>670</v>
      </c>
      <c r="BK102" t="s">
        <v>670</v>
      </c>
      <c r="BL102" t="s">
        <v>670</v>
      </c>
      <c r="BM102" t="s">
        <v>670</v>
      </c>
      <c r="BN102" t="s">
        <v>670</v>
      </c>
      <c r="BO102" t="s">
        <v>670</v>
      </c>
      <c r="BP102" t="s">
        <v>670</v>
      </c>
      <c r="BQ102" t="s">
        <v>670</v>
      </c>
      <c r="BR102" t="s">
        <v>670</v>
      </c>
      <c r="BS102" t="s">
        <v>670</v>
      </c>
      <c r="BT102" t="s">
        <v>670</v>
      </c>
      <c r="BU102" t="s">
        <v>670</v>
      </c>
      <c r="BV102" t="s">
        <v>670</v>
      </c>
      <c r="BW102" t="s">
        <v>670</v>
      </c>
      <c r="BX102" t="s">
        <v>670</v>
      </c>
      <c r="BY102" t="s">
        <v>670</v>
      </c>
      <c r="BZ102" t="s">
        <v>670</v>
      </c>
      <c r="CA102" t="s">
        <v>670</v>
      </c>
      <c r="CB102" t="s">
        <v>670</v>
      </c>
      <c r="CC102" t="s">
        <v>670</v>
      </c>
      <c r="CD102" t="s">
        <v>670</v>
      </c>
    </row>
    <row r="103" spans="2:82">
      <c r="B103" s="805">
        <v>18</v>
      </c>
      <c r="C103" s="805" t="s">
        <v>951</v>
      </c>
      <c r="D103" s="805" t="s">
        <v>876</v>
      </c>
      <c r="E103" s="805" t="s">
        <v>1143</v>
      </c>
      <c r="F103" s="805" t="s">
        <v>1070</v>
      </c>
      <c r="G103" s="805" t="s">
        <v>971</v>
      </c>
      <c r="H103" s="805" t="s">
        <v>1144</v>
      </c>
      <c r="I103" s="805" t="s">
        <v>780</v>
      </c>
      <c r="J103" s="805" t="s">
        <v>1145</v>
      </c>
      <c r="K103" s="805" t="s">
        <v>1146</v>
      </c>
      <c r="L103" s="805" t="s">
        <v>675</v>
      </c>
      <c r="M103" t="s">
        <v>675</v>
      </c>
      <c r="N103" t="s">
        <v>675</v>
      </c>
      <c r="O103" t="s">
        <v>675</v>
      </c>
      <c r="P103" t="s">
        <v>675</v>
      </c>
      <c r="Q103" t="s">
        <v>675</v>
      </c>
      <c r="R103" t="s">
        <v>675</v>
      </c>
      <c r="S103" t="s">
        <v>675</v>
      </c>
      <c r="T103" t="s">
        <v>675</v>
      </c>
      <c r="U103" t="s">
        <v>675</v>
      </c>
      <c r="V103" t="s">
        <v>675</v>
      </c>
      <c r="W103" t="s">
        <v>675</v>
      </c>
      <c r="X103" t="s">
        <v>675</v>
      </c>
      <c r="Y103" t="s">
        <v>675</v>
      </c>
      <c r="Z103" t="s">
        <v>675</v>
      </c>
      <c r="AA103" t="s">
        <v>675</v>
      </c>
      <c r="AB103" t="s">
        <v>675</v>
      </c>
      <c r="AC103" t="s">
        <v>675</v>
      </c>
      <c r="AD103" t="s">
        <v>675</v>
      </c>
      <c r="AE103" t="s">
        <v>675</v>
      </c>
      <c r="AF103" t="s">
        <v>675</v>
      </c>
      <c r="AG103" t="s">
        <v>675</v>
      </c>
      <c r="AH103" t="s">
        <v>675</v>
      </c>
      <c r="AI103" t="s">
        <v>675</v>
      </c>
      <c r="AJ103" t="s">
        <v>675</v>
      </c>
      <c r="AK103" t="s">
        <v>675</v>
      </c>
      <c r="AL103" t="s">
        <v>675</v>
      </c>
      <c r="AM103" t="s">
        <v>675</v>
      </c>
      <c r="AN103" t="s">
        <v>675</v>
      </c>
      <c r="AO103" t="s">
        <v>675</v>
      </c>
      <c r="AP103" t="s">
        <v>675</v>
      </c>
      <c r="AQ103" t="s">
        <v>675</v>
      </c>
      <c r="AR103" t="s">
        <v>675</v>
      </c>
      <c r="AS103" t="s">
        <v>675</v>
      </c>
      <c r="AT103" t="s">
        <v>675</v>
      </c>
      <c r="AU103" t="s">
        <v>675</v>
      </c>
      <c r="AV103" t="s">
        <v>675</v>
      </c>
      <c r="AW103" t="s">
        <v>675</v>
      </c>
      <c r="AX103" t="s">
        <v>675</v>
      </c>
      <c r="AY103" t="s">
        <v>675</v>
      </c>
      <c r="AZ103" t="s">
        <v>675</v>
      </c>
      <c r="BA103" t="s">
        <v>675</v>
      </c>
      <c r="BB103" t="s">
        <v>675</v>
      </c>
      <c r="BC103" t="s">
        <v>675</v>
      </c>
      <c r="BD103" t="s">
        <v>675</v>
      </c>
      <c r="BE103" t="s">
        <v>675</v>
      </c>
      <c r="BF103" t="s">
        <v>675</v>
      </c>
      <c r="BG103" t="s">
        <v>675</v>
      </c>
      <c r="BH103" t="s">
        <v>675</v>
      </c>
      <c r="BI103" t="s">
        <v>675</v>
      </c>
      <c r="BJ103" t="s">
        <v>675</v>
      </c>
      <c r="BK103" t="s">
        <v>675</v>
      </c>
      <c r="BL103" t="s">
        <v>675</v>
      </c>
      <c r="BM103" t="s">
        <v>675</v>
      </c>
      <c r="BN103" t="s">
        <v>675</v>
      </c>
      <c r="BO103" t="s">
        <v>675</v>
      </c>
      <c r="BP103" t="s">
        <v>675</v>
      </c>
      <c r="BQ103" t="s">
        <v>675</v>
      </c>
      <c r="BR103" t="s">
        <v>675</v>
      </c>
      <c r="BS103" t="s">
        <v>675</v>
      </c>
      <c r="BT103" t="s">
        <v>675</v>
      </c>
      <c r="BU103" t="s">
        <v>675</v>
      </c>
      <c r="BV103" t="s">
        <v>675</v>
      </c>
      <c r="BW103" t="s">
        <v>675</v>
      </c>
      <c r="BX103" t="s">
        <v>675</v>
      </c>
      <c r="BY103" t="s">
        <v>675</v>
      </c>
      <c r="BZ103" t="s">
        <v>675</v>
      </c>
      <c r="CA103" t="s">
        <v>675</v>
      </c>
      <c r="CB103" t="s">
        <v>675</v>
      </c>
      <c r="CC103" t="s">
        <v>675</v>
      </c>
      <c r="CD103" t="s">
        <v>675</v>
      </c>
    </row>
    <row r="104" spans="2:82">
      <c r="B104" s="805">
        <v>17</v>
      </c>
      <c r="C104" s="805" t="s">
        <v>999</v>
      </c>
      <c r="D104" s="805" t="s">
        <v>818</v>
      </c>
      <c r="E104" s="805" t="s">
        <v>1086</v>
      </c>
      <c r="F104" s="805" t="s">
        <v>1147</v>
      </c>
      <c r="G104" s="805" t="s">
        <v>1148</v>
      </c>
      <c r="H104" s="805" t="s">
        <v>1149</v>
      </c>
      <c r="I104" s="805" t="s">
        <v>1150</v>
      </c>
      <c r="J104" s="805" t="s">
        <v>770</v>
      </c>
      <c r="K104" s="805" t="s">
        <v>1151</v>
      </c>
      <c r="L104" s="805" t="s">
        <v>678</v>
      </c>
      <c r="M104" t="s">
        <v>678</v>
      </c>
      <c r="N104" t="s">
        <v>678</v>
      </c>
      <c r="O104" t="s">
        <v>678</v>
      </c>
      <c r="P104" t="s">
        <v>678</v>
      </c>
      <c r="Q104" t="s">
        <v>678</v>
      </c>
      <c r="R104" t="s">
        <v>678</v>
      </c>
      <c r="S104" t="s">
        <v>678</v>
      </c>
      <c r="T104" t="s">
        <v>678</v>
      </c>
      <c r="U104" t="s">
        <v>678</v>
      </c>
      <c r="V104" t="s">
        <v>678</v>
      </c>
      <c r="W104" t="s">
        <v>678</v>
      </c>
      <c r="X104" t="s">
        <v>678</v>
      </c>
      <c r="Y104" t="s">
        <v>678</v>
      </c>
      <c r="Z104" t="s">
        <v>678</v>
      </c>
      <c r="AA104" t="s">
        <v>678</v>
      </c>
      <c r="AB104" t="s">
        <v>678</v>
      </c>
      <c r="AC104" t="s">
        <v>678</v>
      </c>
      <c r="AD104" t="s">
        <v>678</v>
      </c>
      <c r="AE104" t="s">
        <v>678</v>
      </c>
      <c r="AF104" t="s">
        <v>678</v>
      </c>
      <c r="AG104" t="s">
        <v>678</v>
      </c>
      <c r="AH104" t="s">
        <v>678</v>
      </c>
      <c r="AI104" t="s">
        <v>678</v>
      </c>
      <c r="AJ104" t="s">
        <v>678</v>
      </c>
      <c r="AK104" t="s">
        <v>678</v>
      </c>
      <c r="AL104" t="s">
        <v>678</v>
      </c>
      <c r="AM104" t="s">
        <v>678</v>
      </c>
      <c r="AN104" t="s">
        <v>678</v>
      </c>
      <c r="AO104" t="s">
        <v>678</v>
      </c>
      <c r="AP104" t="s">
        <v>678</v>
      </c>
      <c r="AQ104" t="s">
        <v>678</v>
      </c>
      <c r="AR104" t="s">
        <v>678</v>
      </c>
      <c r="AS104" t="s">
        <v>678</v>
      </c>
      <c r="AT104" t="s">
        <v>678</v>
      </c>
      <c r="AU104" t="s">
        <v>678</v>
      </c>
      <c r="AV104" t="s">
        <v>678</v>
      </c>
      <c r="AW104" t="s">
        <v>678</v>
      </c>
      <c r="AX104" t="s">
        <v>678</v>
      </c>
      <c r="AY104" t="s">
        <v>678</v>
      </c>
      <c r="AZ104" t="s">
        <v>678</v>
      </c>
      <c r="BA104" t="s">
        <v>678</v>
      </c>
      <c r="BB104" t="s">
        <v>678</v>
      </c>
      <c r="BC104" t="s">
        <v>678</v>
      </c>
      <c r="BD104" t="s">
        <v>678</v>
      </c>
      <c r="BE104" t="s">
        <v>678</v>
      </c>
      <c r="BF104" t="s">
        <v>678</v>
      </c>
      <c r="BG104" t="s">
        <v>678</v>
      </c>
      <c r="BH104" t="s">
        <v>678</v>
      </c>
      <c r="BI104" t="s">
        <v>678</v>
      </c>
      <c r="BJ104" t="s">
        <v>678</v>
      </c>
      <c r="BK104" t="s">
        <v>678</v>
      </c>
      <c r="BL104" t="s">
        <v>678</v>
      </c>
      <c r="BM104" t="s">
        <v>678</v>
      </c>
      <c r="BN104" t="s">
        <v>678</v>
      </c>
      <c r="BO104" t="s">
        <v>678</v>
      </c>
      <c r="BP104" t="s">
        <v>678</v>
      </c>
      <c r="BQ104" t="s">
        <v>678</v>
      </c>
      <c r="BR104" t="s">
        <v>678</v>
      </c>
      <c r="BS104" t="s">
        <v>678</v>
      </c>
      <c r="BT104" t="s">
        <v>678</v>
      </c>
      <c r="BU104" t="s">
        <v>678</v>
      </c>
      <c r="BV104" t="s">
        <v>678</v>
      </c>
      <c r="BW104" t="s">
        <v>678</v>
      </c>
      <c r="BX104" t="s">
        <v>678</v>
      </c>
      <c r="BY104" t="s">
        <v>678</v>
      </c>
      <c r="BZ104" t="s">
        <v>678</v>
      </c>
      <c r="CA104" t="s">
        <v>678</v>
      </c>
      <c r="CB104" t="s">
        <v>678</v>
      </c>
      <c r="CC104" t="s">
        <v>678</v>
      </c>
      <c r="CD104" t="s">
        <v>678</v>
      </c>
    </row>
    <row r="105" spans="2:82">
      <c r="B105" s="805">
        <v>16</v>
      </c>
      <c r="C105" s="805" t="s">
        <v>735</v>
      </c>
      <c r="D105" s="805" t="s">
        <v>734</v>
      </c>
      <c r="E105" s="805" t="s">
        <v>717</v>
      </c>
      <c r="F105" s="805" t="s">
        <v>1074</v>
      </c>
      <c r="G105" s="805" t="s">
        <v>709</v>
      </c>
      <c r="H105" s="805" t="s">
        <v>701</v>
      </c>
      <c r="I105" s="805" t="s">
        <v>696</v>
      </c>
      <c r="J105" s="805" t="s">
        <v>1061</v>
      </c>
      <c r="K105" s="805" t="s">
        <v>691</v>
      </c>
      <c r="L105" s="805" t="s">
        <v>682</v>
      </c>
      <c r="M105" t="s">
        <v>682</v>
      </c>
      <c r="N105" t="s">
        <v>682</v>
      </c>
      <c r="O105" t="s">
        <v>682</v>
      </c>
      <c r="P105" t="s">
        <v>682</v>
      </c>
      <c r="Q105" t="s">
        <v>682</v>
      </c>
      <c r="R105" t="s">
        <v>682</v>
      </c>
      <c r="S105" t="s">
        <v>682</v>
      </c>
      <c r="T105" t="s">
        <v>682</v>
      </c>
      <c r="U105" t="s">
        <v>682</v>
      </c>
      <c r="V105" t="s">
        <v>682</v>
      </c>
      <c r="W105" t="s">
        <v>682</v>
      </c>
      <c r="X105" t="s">
        <v>682</v>
      </c>
      <c r="Y105" t="s">
        <v>682</v>
      </c>
      <c r="Z105" t="s">
        <v>682</v>
      </c>
      <c r="AA105" t="s">
        <v>682</v>
      </c>
      <c r="AB105" t="s">
        <v>682</v>
      </c>
      <c r="AC105" t="s">
        <v>682</v>
      </c>
      <c r="AD105" t="s">
        <v>682</v>
      </c>
      <c r="AE105" t="s">
        <v>682</v>
      </c>
      <c r="AF105" t="s">
        <v>682</v>
      </c>
      <c r="AG105" t="s">
        <v>682</v>
      </c>
      <c r="AH105" t="s">
        <v>682</v>
      </c>
      <c r="AI105" t="s">
        <v>682</v>
      </c>
      <c r="AJ105" t="s">
        <v>682</v>
      </c>
      <c r="AK105" t="s">
        <v>682</v>
      </c>
      <c r="AL105" t="s">
        <v>682</v>
      </c>
      <c r="AM105" t="s">
        <v>682</v>
      </c>
      <c r="AN105" t="s">
        <v>682</v>
      </c>
      <c r="AO105" t="s">
        <v>682</v>
      </c>
      <c r="AP105" t="s">
        <v>682</v>
      </c>
      <c r="AQ105" t="s">
        <v>682</v>
      </c>
      <c r="AR105" t="s">
        <v>682</v>
      </c>
      <c r="AS105" t="s">
        <v>682</v>
      </c>
      <c r="AT105" t="s">
        <v>682</v>
      </c>
      <c r="AU105" t="s">
        <v>682</v>
      </c>
      <c r="AV105" t="s">
        <v>682</v>
      </c>
      <c r="AW105" t="s">
        <v>682</v>
      </c>
      <c r="AX105" t="s">
        <v>682</v>
      </c>
      <c r="AY105" t="s">
        <v>682</v>
      </c>
      <c r="AZ105" t="s">
        <v>682</v>
      </c>
      <c r="BA105" t="s">
        <v>682</v>
      </c>
      <c r="BB105" t="s">
        <v>682</v>
      </c>
      <c r="BC105" t="s">
        <v>682</v>
      </c>
      <c r="BD105" t="s">
        <v>682</v>
      </c>
      <c r="BE105" t="s">
        <v>682</v>
      </c>
      <c r="BF105" t="s">
        <v>682</v>
      </c>
      <c r="BG105" t="s">
        <v>682</v>
      </c>
      <c r="BH105" t="s">
        <v>682</v>
      </c>
      <c r="BI105" t="s">
        <v>682</v>
      </c>
      <c r="BJ105" t="s">
        <v>682</v>
      </c>
      <c r="BK105" t="s">
        <v>682</v>
      </c>
      <c r="BL105" t="s">
        <v>682</v>
      </c>
      <c r="BM105" t="s">
        <v>682</v>
      </c>
      <c r="BN105" t="s">
        <v>682</v>
      </c>
      <c r="BO105" t="s">
        <v>682</v>
      </c>
      <c r="BP105" t="s">
        <v>682</v>
      </c>
      <c r="BQ105" t="s">
        <v>682</v>
      </c>
      <c r="BR105" t="s">
        <v>682</v>
      </c>
      <c r="BS105" t="s">
        <v>682</v>
      </c>
      <c r="BT105" t="s">
        <v>682</v>
      </c>
      <c r="BU105" t="s">
        <v>682</v>
      </c>
      <c r="BV105" t="s">
        <v>682</v>
      </c>
      <c r="BW105" t="s">
        <v>682</v>
      </c>
      <c r="BX105" t="s">
        <v>682</v>
      </c>
      <c r="BY105" t="s">
        <v>682</v>
      </c>
      <c r="BZ105" t="s">
        <v>682</v>
      </c>
      <c r="CA105" t="s">
        <v>682</v>
      </c>
      <c r="CB105" t="s">
        <v>682</v>
      </c>
      <c r="CC105" t="s">
        <v>682</v>
      </c>
      <c r="CD105" t="s">
        <v>682</v>
      </c>
    </row>
    <row r="106" spans="2:82">
      <c r="B106" s="805">
        <v>15</v>
      </c>
      <c r="C106" s="805" t="s">
        <v>830</v>
      </c>
      <c r="D106" s="805" t="s">
        <v>736</v>
      </c>
      <c r="E106" s="805" t="s">
        <v>831</v>
      </c>
      <c r="F106" s="805" t="s">
        <v>998</v>
      </c>
      <c r="G106" s="805" t="s">
        <v>1152</v>
      </c>
      <c r="H106" s="805" t="s">
        <v>1153</v>
      </c>
      <c r="I106" s="805" t="s">
        <v>1154</v>
      </c>
      <c r="J106" s="805" t="s">
        <v>704</v>
      </c>
      <c r="K106" s="805" t="s">
        <v>1155</v>
      </c>
      <c r="L106" s="805" t="s">
        <v>689</v>
      </c>
      <c r="M106" t="s">
        <v>689</v>
      </c>
      <c r="N106" t="s">
        <v>689</v>
      </c>
      <c r="O106" t="s">
        <v>689</v>
      </c>
      <c r="P106" t="s">
        <v>689</v>
      </c>
      <c r="Q106" t="s">
        <v>689</v>
      </c>
      <c r="R106" t="s">
        <v>689</v>
      </c>
      <c r="S106" t="s">
        <v>689</v>
      </c>
      <c r="T106" t="s">
        <v>689</v>
      </c>
      <c r="U106" t="s">
        <v>689</v>
      </c>
      <c r="V106" t="s">
        <v>689</v>
      </c>
      <c r="W106" t="s">
        <v>689</v>
      </c>
      <c r="X106" t="s">
        <v>689</v>
      </c>
      <c r="Y106" t="s">
        <v>689</v>
      </c>
      <c r="Z106" t="s">
        <v>689</v>
      </c>
      <c r="AA106" t="s">
        <v>689</v>
      </c>
      <c r="AB106" t="s">
        <v>689</v>
      </c>
      <c r="AC106" t="s">
        <v>689</v>
      </c>
      <c r="AD106" t="s">
        <v>689</v>
      </c>
      <c r="AE106" t="s">
        <v>689</v>
      </c>
      <c r="AF106" t="s">
        <v>689</v>
      </c>
      <c r="AG106" t="s">
        <v>689</v>
      </c>
      <c r="AH106" t="s">
        <v>689</v>
      </c>
      <c r="AI106" t="s">
        <v>689</v>
      </c>
      <c r="AJ106" t="s">
        <v>689</v>
      </c>
      <c r="AK106" t="s">
        <v>689</v>
      </c>
      <c r="AL106" t="s">
        <v>689</v>
      </c>
      <c r="AM106" t="s">
        <v>689</v>
      </c>
      <c r="AN106" t="s">
        <v>689</v>
      </c>
      <c r="AO106" t="s">
        <v>689</v>
      </c>
      <c r="AP106" t="s">
        <v>689</v>
      </c>
      <c r="AQ106" t="s">
        <v>689</v>
      </c>
      <c r="AR106" t="s">
        <v>689</v>
      </c>
      <c r="AS106" t="s">
        <v>689</v>
      </c>
      <c r="AT106" t="s">
        <v>689</v>
      </c>
      <c r="AU106" t="s">
        <v>689</v>
      </c>
      <c r="AV106" t="s">
        <v>689</v>
      </c>
      <c r="AW106" t="s">
        <v>689</v>
      </c>
      <c r="AX106" t="s">
        <v>689</v>
      </c>
      <c r="AY106" t="s">
        <v>689</v>
      </c>
      <c r="AZ106" t="s">
        <v>689</v>
      </c>
      <c r="BA106" t="s">
        <v>689</v>
      </c>
      <c r="BB106" t="s">
        <v>689</v>
      </c>
      <c r="BC106" t="s">
        <v>689</v>
      </c>
      <c r="BD106" t="s">
        <v>689</v>
      </c>
      <c r="BE106" t="s">
        <v>689</v>
      </c>
      <c r="BF106" t="s">
        <v>689</v>
      </c>
      <c r="BG106" t="s">
        <v>689</v>
      </c>
      <c r="BH106" t="s">
        <v>689</v>
      </c>
      <c r="BI106" t="s">
        <v>689</v>
      </c>
      <c r="BJ106" t="s">
        <v>689</v>
      </c>
      <c r="BK106" t="s">
        <v>689</v>
      </c>
      <c r="BL106" t="s">
        <v>689</v>
      </c>
      <c r="BM106" t="s">
        <v>689</v>
      </c>
      <c r="BN106" t="s">
        <v>689</v>
      </c>
      <c r="BO106" t="s">
        <v>689</v>
      </c>
      <c r="BP106" t="s">
        <v>689</v>
      </c>
      <c r="BQ106" t="s">
        <v>689</v>
      </c>
      <c r="BR106" t="s">
        <v>689</v>
      </c>
      <c r="BS106" t="s">
        <v>689</v>
      </c>
      <c r="BT106" t="s">
        <v>689</v>
      </c>
      <c r="BU106" t="s">
        <v>689</v>
      </c>
      <c r="BV106" t="s">
        <v>689</v>
      </c>
      <c r="BW106" t="s">
        <v>689</v>
      </c>
      <c r="BX106" t="s">
        <v>689</v>
      </c>
      <c r="BY106" t="s">
        <v>689</v>
      </c>
      <c r="BZ106" t="s">
        <v>689</v>
      </c>
      <c r="CA106" t="s">
        <v>689</v>
      </c>
      <c r="CB106" t="s">
        <v>689</v>
      </c>
      <c r="CC106" t="s">
        <v>689</v>
      </c>
      <c r="CD106" t="s">
        <v>689</v>
      </c>
    </row>
    <row r="107" spans="2:82">
      <c r="B107" s="805">
        <v>14</v>
      </c>
      <c r="C107" s="805" t="s">
        <v>1015</v>
      </c>
      <c r="D107" s="805" t="s">
        <v>912</v>
      </c>
      <c r="E107" s="805" t="s">
        <v>745</v>
      </c>
      <c r="F107" s="805" t="s">
        <v>734</v>
      </c>
      <c r="G107" s="805" t="s">
        <v>1156</v>
      </c>
      <c r="H107" s="805" t="s">
        <v>1157</v>
      </c>
      <c r="I107" s="805" t="s">
        <v>1158</v>
      </c>
      <c r="J107" s="805" t="s">
        <v>1070</v>
      </c>
      <c r="K107" s="805" t="s">
        <v>1065</v>
      </c>
      <c r="L107" s="805" t="s">
        <v>693</v>
      </c>
      <c r="M107" t="s">
        <v>693</v>
      </c>
      <c r="N107" t="s">
        <v>693</v>
      </c>
      <c r="O107" t="s">
        <v>693</v>
      </c>
      <c r="P107" t="s">
        <v>693</v>
      </c>
      <c r="Q107" t="s">
        <v>693</v>
      </c>
      <c r="R107" t="s">
        <v>693</v>
      </c>
      <c r="S107" t="s">
        <v>693</v>
      </c>
      <c r="T107" t="s">
        <v>693</v>
      </c>
      <c r="U107" t="s">
        <v>693</v>
      </c>
      <c r="V107" t="s">
        <v>693</v>
      </c>
      <c r="W107" t="s">
        <v>693</v>
      </c>
      <c r="X107" t="s">
        <v>693</v>
      </c>
      <c r="Y107" t="s">
        <v>693</v>
      </c>
      <c r="Z107" t="s">
        <v>693</v>
      </c>
      <c r="AA107" t="s">
        <v>693</v>
      </c>
      <c r="AB107" t="s">
        <v>693</v>
      </c>
      <c r="AC107" t="s">
        <v>693</v>
      </c>
      <c r="AD107" t="s">
        <v>693</v>
      </c>
      <c r="AE107" t="s">
        <v>693</v>
      </c>
      <c r="AF107" t="s">
        <v>693</v>
      </c>
      <c r="AG107" t="s">
        <v>693</v>
      </c>
      <c r="AH107" t="s">
        <v>693</v>
      </c>
      <c r="AI107" t="s">
        <v>693</v>
      </c>
      <c r="AJ107" t="s">
        <v>693</v>
      </c>
      <c r="AK107" t="s">
        <v>693</v>
      </c>
      <c r="AL107" t="s">
        <v>693</v>
      </c>
      <c r="AM107" t="s">
        <v>693</v>
      </c>
      <c r="AN107" t="s">
        <v>693</v>
      </c>
      <c r="AO107" t="s">
        <v>693</v>
      </c>
      <c r="AP107" t="s">
        <v>693</v>
      </c>
      <c r="AQ107" t="s">
        <v>693</v>
      </c>
      <c r="AR107" t="s">
        <v>693</v>
      </c>
      <c r="AS107" t="s">
        <v>693</v>
      </c>
      <c r="AT107" t="s">
        <v>693</v>
      </c>
      <c r="AU107" t="s">
        <v>693</v>
      </c>
      <c r="AV107" t="s">
        <v>693</v>
      </c>
      <c r="AW107" t="s">
        <v>693</v>
      </c>
      <c r="AX107" t="s">
        <v>693</v>
      </c>
      <c r="AY107" t="s">
        <v>693</v>
      </c>
      <c r="AZ107" t="s">
        <v>693</v>
      </c>
      <c r="BA107" t="s">
        <v>693</v>
      </c>
      <c r="BB107" t="s">
        <v>693</v>
      </c>
      <c r="BC107" t="s">
        <v>693</v>
      </c>
      <c r="BD107" t="s">
        <v>693</v>
      </c>
      <c r="BE107" t="s">
        <v>693</v>
      </c>
      <c r="BF107" t="s">
        <v>693</v>
      </c>
      <c r="BG107" t="s">
        <v>693</v>
      </c>
      <c r="BH107" t="s">
        <v>693</v>
      </c>
      <c r="BI107" t="s">
        <v>693</v>
      </c>
      <c r="BJ107" t="s">
        <v>693</v>
      </c>
      <c r="BK107" t="s">
        <v>693</v>
      </c>
      <c r="BL107" t="s">
        <v>693</v>
      </c>
      <c r="BM107" t="s">
        <v>693</v>
      </c>
      <c r="BN107" t="s">
        <v>693</v>
      </c>
      <c r="BO107" t="s">
        <v>693</v>
      </c>
      <c r="BP107" t="s">
        <v>693</v>
      </c>
      <c r="BQ107" t="s">
        <v>693</v>
      </c>
      <c r="BR107" t="s">
        <v>693</v>
      </c>
      <c r="BS107" t="s">
        <v>693</v>
      </c>
      <c r="BT107" t="s">
        <v>693</v>
      </c>
      <c r="BU107" t="s">
        <v>693</v>
      </c>
      <c r="BV107" t="s">
        <v>693</v>
      </c>
      <c r="BW107" t="s">
        <v>693</v>
      </c>
      <c r="BX107" t="s">
        <v>693</v>
      </c>
      <c r="BY107" t="s">
        <v>693</v>
      </c>
      <c r="BZ107" t="s">
        <v>693</v>
      </c>
      <c r="CA107" t="s">
        <v>693</v>
      </c>
      <c r="CB107" t="s">
        <v>693</v>
      </c>
      <c r="CC107" t="s">
        <v>693</v>
      </c>
      <c r="CD107" t="s">
        <v>693</v>
      </c>
    </row>
    <row r="108" spans="2:82">
      <c r="B108" s="805">
        <v>13</v>
      </c>
      <c r="C108" s="805" t="s">
        <v>1159</v>
      </c>
      <c r="D108" s="805" t="s">
        <v>1160</v>
      </c>
      <c r="E108" s="805" t="s">
        <v>846</v>
      </c>
      <c r="F108" s="805" t="s">
        <v>870</v>
      </c>
      <c r="G108" s="805" t="s">
        <v>1161</v>
      </c>
      <c r="H108" s="805" t="s">
        <v>1058</v>
      </c>
      <c r="I108" s="805" t="s">
        <v>811</v>
      </c>
      <c r="J108" s="805" t="s">
        <v>1147</v>
      </c>
      <c r="K108" s="805" t="s">
        <v>1162</v>
      </c>
      <c r="L108" s="805" t="s">
        <v>697</v>
      </c>
      <c r="M108" t="s">
        <v>697</v>
      </c>
      <c r="N108" t="s">
        <v>697</v>
      </c>
      <c r="O108" t="s">
        <v>697</v>
      </c>
      <c r="P108" t="s">
        <v>697</v>
      </c>
      <c r="Q108" t="s">
        <v>697</v>
      </c>
      <c r="R108" t="s">
        <v>697</v>
      </c>
      <c r="S108" t="s">
        <v>697</v>
      </c>
      <c r="T108" t="s">
        <v>697</v>
      </c>
      <c r="U108" t="s">
        <v>697</v>
      </c>
      <c r="V108" t="s">
        <v>697</v>
      </c>
      <c r="W108" t="s">
        <v>697</v>
      </c>
      <c r="X108" t="s">
        <v>697</v>
      </c>
      <c r="Y108" t="s">
        <v>697</v>
      </c>
      <c r="Z108" t="s">
        <v>697</v>
      </c>
      <c r="AA108" t="s">
        <v>697</v>
      </c>
      <c r="AB108" t="s">
        <v>697</v>
      </c>
      <c r="AC108" t="s">
        <v>697</v>
      </c>
      <c r="AD108" t="s">
        <v>697</v>
      </c>
      <c r="AE108" t="s">
        <v>697</v>
      </c>
      <c r="AF108" t="s">
        <v>697</v>
      </c>
      <c r="AG108" t="s">
        <v>697</v>
      </c>
      <c r="AH108" t="s">
        <v>697</v>
      </c>
      <c r="AI108" t="s">
        <v>697</v>
      </c>
      <c r="AJ108" t="s">
        <v>697</v>
      </c>
      <c r="AK108" t="s">
        <v>697</v>
      </c>
      <c r="AL108" t="s">
        <v>697</v>
      </c>
      <c r="AM108" t="s">
        <v>697</v>
      </c>
      <c r="AN108" t="s">
        <v>697</v>
      </c>
      <c r="AO108" t="s">
        <v>697</v>
      </c>
      <c r="AP108" t="s">
        <v>697</v>
      </c>
      <c r="AQ108" t="s">
        <v>697</v>
      </c>
      <c r="AR108" t="s">
        <v>697</v>
      </c>
      <c r="AS108" t="s">
        <v>697</v>
      </c>
      <c r="AT108" t="s">
        <v>697</v>
      </c>
      <c r="AU108" t="s">
        <v>697</v>
      </c>
      <c r="AV108" t="s">
        <v>697</v>
      </c>
      <c r="AW108" t="s">
        <v>697</v>
      </c>
      <c r="AX108" t="s">
        <v>697</v>
      </c>
      <c r="AY108" t="s">
        <v>697</v>
      </c>
      <c r="AZ108" t="s">
        <v>697</v>
      </c>
      <c r="BA108" t="s">
        <v>697</v>
      </c>
      <c r="BB108" t="s">
        <v>697</v>
      </c>
      <c r="BC108" t="s">
        <v>697</v>
      </c>
      <c r="BD108" t="s">
        <v>697</v>
      </c>
      <c r="BE108" t="s">
        <v>697</v>
      </c>
      <c r="BF108" t="s">
        <v>697</v>
      </c>
      <c r="BG108" t="s">
        <v>697</v>
      </c>
      <c r="BH108" t="s">
        <v>697</v>
      </c>
      <c r="BI108" t="s">
        <v>697</v>
      </c>
      <c r="BJ108" t="s">
        <v>697</v>
      </c>
      <c r="BK108" t="s">
        <v>697</v>
      </c>
      <c r="BL108" t="s">
        <v>697</v>
      </c>
      <c r="BM108" t="s">
        <v>697</v>
      </c>
      <c r="BN108" t="s">
        <v>697</v>
      </c>
      <c r="BO108" t="s">
        <v>697</v>
      </c>
      <c r="BP108" t="s">
        <v>697</v>
      </c>
      <c r="BQ108" t="s">
        <v>697</v>
      </c>
      <c r="BR108" t="s">
        <v>697</v>
      </c>
      <c r="BS108" t="s">
        <v>697</v>
      </c>
      <c r="BT108" t="s">
        <v>697</v>
      </c>
      <c r="BU108" t="s">
        <v>697</v>
      </c>
      <c r="BV108" t="s">
        <v>697</v>
      </c>
      <c r="BW108" t="s">
        <v>697</v>
      </c>
      <c r="BX108" t="s">
        <v>697</v>
      </c>
      <c r="BY108" t="s">
        <v>697</v>
      </c>
      <c r="BZ108" t="s">
        <v>697</v>
      </c>
      <c r="CA108" t="s">
        <v>697</v>
      </c>
      <c r="CB108" t="s">
        <v>697</v>
      </c>
      <c r="CC108" t="s">
        <v>697</v>
      </c>
      <c r="CD108" t="s">
        <v>697</v>
      </c>
    </row>
    <row r="109" spans="2:82">
      <c r="B109" s="805">
        <v>12</v>
      </c>
      <c r="C109" s="805" t="s">
        <v>1163</v>
      </c>
      <c r="D109" s="805" t="s">
        <v>1164</v>
      </c>
      <c r="E109" s="805" t="s">
        <v>1165</v>
      </c>
      <c r="F109" s="805" t="s">
        <v>883</v>
      </c>
      <c r="G109" s="805" t="s">
        <v>745</v>
      </c>
      <c r="H109" s="805" t="s">
        <v>731</v>
      </c>
      <c r="I109" s="805" t="s">
        <v>952</v>
      </c>
      <c r="J109" s="805" t="s">
        <v>719</v>
      </c>
      <c r="K109" s="805" t="s">
        <v>964</v>
      </c>
      <c r="L109" s="805" t="s">
        <v>703</v>
      </c>
      <c r="M109" t="s">
        <v>703</v>
      </c>
      <c r="N109" t="s">
        <v>703</v>
      </c>
      <c r="O109" t="s">
        <v>703</v>
      </c>
      <c r="P109" t="s">
        <v>703</v>
      </c>
      <c r="Q109" t="s">
        <v>703</v>
      </c>
      <c r="R109" t="s">
        <v>703</v>
      </c>
      <c r="S109" t="s">
        <v>703</v>
      </c>
      <c r="T109" t="s">
        <v>703</v>
      </c>
      <c r="U109" t="s">
        <v>703</v>
      </c>
      <c r="V109" t="s">
        <v>703</v>
      </c>
      <c r="W109" t="s">
        <v>703</v>
      </c>
      <c r="X109" t="s">
        <v>703</v>
      </c>
      <c r="Y109" t="s">
        <v>703</v>
      </c>
      <c r="Z109" t="s">
        <v>703</v>
      </c>
      <c r="AA109" t="s">
        <v>703</v>
      </c>
      <c r="AB109" t="s">
        <v>703</v>
      </c>
      <c r="AC109" t="s">
        <v>703</v>
      </c>
      <c r="AD109" t="s">
        <v>703</v>
      </c>
      <c r="AE109" t="s">
        <v>703</v>
      </c>
      <c r="AF109" t="s">
        <v>703</v>
      </c>
      <c r="AG109" t="s">
        <v>703</v>
      </c>
      <c r="AH109" t="s">
        <v>703</v>
      </c>
      <c r="AI109" t="s">
        <v>703</v>
      </c>
      <c r="AJ109" t="s">
        <v>703</v>
      </c>
      <c r="AK109" t="s">
        <v>703</v>
      </c>
      <c r="AL109" t="s">
        <v>703</v>
      </c>
      <c r="AM109" t="s">
        <v>703</v>
      </c>
      <c r="AN109" t="s">
        <v>703</v>
      </c>
      <c r="AO109" t="s">
        <v>703</v>
      </c>
      <c r="AP109" t="s">
        <v>703</v>
      </c>
      <c r="AQ109" t="s">
        <v>703</v>
      </c>
      <c r="AR109" t="s">
        <v>703</v>
      </c>
      <c r="AS109" t="s">
        <v>703</v>
      </c>
      <c r="AT109" t="s">
        <v>703</v>
      </c>
      <c r="AU109" t="s">
        <v>703</v>
      </c>
      <c r="AV109" t="s">
        <v>703</v>
      </c>
      <c r="AW109" t="s">
        <v>703</v>
      </c>
      <c r="AX109" t="s">
        <v>703</v>
      </c>
      <c r="AY109" t="s">
        <v>703</v>
      </c>
      <c r="AZ109" t="s">
        <v>703</v>
      </c>
      <c r="BA109" t="s">
        <v>703</v>
      </c>
      <c r="BB109" t="s">
        <v>703</v>
      </c>
      <c r="BC109" t="s">
        <v>703</v>
      </c>
      <c r="BD109" t="s">
        <v>703</v>
      </c>
      <c r="BE109" t="s">
        <v>703</v>
      </c>
      <c r="BF109" t="s">
        <v>703</v>
      </c>
      <c r="BG109" t="s">
        <v>703</v>
      </c>
      <c r="BH109" t="s">
        <v>703</v>
      </c>
      <c r="BI109" t="s">
        <v>703</v>
      </c>
      <c r="BJ109" t="s">
        <v>703</v>
      </c>
      <c r="BK109" t="s">
        <v>703</v>
      </c>
      <c r="BL109" t="s">
        <v>703</v>
      </c>
      <c r="BM109" t="s">
        <v>703</v>
      </c>
      <c r="BN109" t="s">
        <v>703</v>
      </c>
      <c r="BO109" t="s">
        <v>703</v>
      </c>
      <c r="BP109" t="s">
        <v>703</v>
      </c>
      <c r="BQ109" t="s">
        <v>703</v>
      </c>
      <c r="BR109" t="s">
        <v>703</v>
      </c>
      <c r="BS109" t="s">
        <v>703</v>
      </c>
      <c r="BT109" t="s">
        <v>703</v>
      </c>
      <c r="BU109" t="s">
        <v>703</v>
      </c>
      <c r="BV109" t="s">
        <v>703</v>
      </c>
      <c r="BW109" t="s">
        <v>703</v>
      </c>
      <c r="BX109" t="s">
        <v>703</v>
      </c>
      <c r="BY109" t="s">
        <v>703</v>
      </c>
      <c r="BZ109" t="s">
        <v>703</v>
      </c>
      <c r="CA109" t="s">
        <v>703</v>
      </c>
      <c r="CB109" t="s">
        <v>703</v>
      </c>
      <c r="CC109" t="s">
        <v>703</v>
      </c>
      <c r="CD109" t="s">
        <v>703</v>
      </c>
    </row>
    <row r="110" spans="2:82">
      <c r="B110" s="805">
        <v>11</v>
      </c>
      <c r="C110" s="805" t="s">
        <v>1001</v>
      </c>
      <c r="D110" s="805" t="s">
        <v>1088</v>
      </c>
      <c r="E110" s="805" t="s">
        <v>1100</v>
      </c>
      <c r="F110" s="805" t="s">
        <v>1166</v>
      </c>
      <c r="G110" s="805" t="s">
        <v>869</v>
      </c>
      <c r="H110" s="805" t="s">
        <v>732</v>
      </c>
      <c r="I110" s="805" t="s">
        <v>855</v>
      </c>
      <c r="J110" s="805" t="s">
        <v>1167</v>
      </c>
      <c r="K110" s="805" t="s">
        <v>711</v>
      </c>
      <c r="L110" s="805" t="s">
        <v>707</v>
      </c>
      <c r="M110" t="s">
        <v>707</v>
      </c>
      <c r="N110" t="s">
        <v>707</v>
      </c>
      <c r="O110" t="s">
        <v>707</v>
      </c>
      <c r="P110" t="s">
        <v>707</v>
      </c>
      <c r="Q110" t="s">
        <v>707</v>
      </c>
      <c r="R110" t="s">
        <v>707</v>
      </c>
      <c r="S110" t="s">
        <v>707</v>
      </c>
      <c r="T110" t="s">
        <v>707</v>
      </c>
      <c r="U110" t="s">
        <v>707</v>
      </c>
      <c r="V110" t="s">
        <v>707</v>
      </c>
      <c r="W110" t="s">
        <v>707</v>
      </c>
      <c r="X110" t="s">
        <v>707</v>
      </c>
      <c r="Y110" t="s">
        <v>707</v>
      </c>
      <c r="Z110" t="s">
        <v>707</v>
      </c>
      <c r="AA110" t="s">
        <v>707</v>
      </c>
      <c r="AB110" t="s">
        <v>707</v>
      </c>
      <c r="AC110" t="s">
        <v>707</v>
      </c>
      <c r="AD110" t="s">
        <v>707</v>
      </c>
      <c r="AE110" t="s">
        <v>707</v>
      </c>
      <c r="AF110" t="s">
        <v>707</v>
      </c>
      <c r="AG110" t="s">
        <v>707</v>
      </c>
      <c r="AH110" t="s">
        <v>707</v>
      </c>
      <c r="AI110" t="s">
        <v>707</v>
      </c>
      <c r="AJ110" t="s">
        <v>707</v>
      </c>
      <c r="AK110" t="s">
        <v>707</v>
      </c>
      <c r="AL110" t="s">
        <v>707</v>
      </c>
      <c r="AM110" t="s">
        <v>707</v>
      </c>
      <c r="AN110" t="s">
        <v>707</v>
      </c>
      <c r="AO110" t="s">
        <v>707</v>
      </c>
      <c r="AP110" t="s">
        <v>707</v>
      </c>
      <c r="AQ110" t="s">
        <v>707</v>
      </c>
      <c r="AR110" t="s">
        <v>707</v>
      </c>
      <c r="AS110" t="s">
        <v>707</v>
      </c>
      <c r="AT110" t="s">
        <v>707</v>
      </c>
      <c r="AU110" t="s">
        <v>707</v>
      </c>
      <c r="AV110" t="s">
        <v>707</v>
      </c>
      <c r="AW110" t="s">
        <v>707</v>
      </c>
      <c r="AX110" t="s">
        <v>707</v>
      </c>
      <c r="AY110" t="s">
        <v>707</v>
      </c>
      <c r="AZ110" t="s">
        <v>707</v>
      </c>
      <c r="BA110" t="s">
        <v>707</v>
      </c>
      <c r="BB110" t="s">
        <v>707</v>
      </c>
      <c r="BC110" t="s">
        <v>707</v>
      </c>
      <c r="BD110" t="s">
        <v>707</v>
      </c>
      <c r="BE110" t="s">
        <v>707</v>
      </c>
      <c r="BF110" t="s">
        <v>707</v>
      </c>
      <c r="BG110" t="s">
        <v>707</v>
      </c>
      <c r="BH110" t="s">
        <v>707</v>
      </c>
      <c r="BI110" t="s">
        <v>707</v>
      </c>
      <c r="BJ110" t="s">
        <v>707</v>
      </c>
      <c r="BK110" t="s">
        <v>707</v>
      </c>
      <c r="BL110" t="s">
        <v>707</v>
      </c>
      <c r="BM110" t="s">
        <v>707</v>
      </c>
      <c r="BN110" t="s">
        <v>707</v>
      </c>
      <c r="BO110" t="s">
        <v>707</v>
      </c>
      <c r="BP110" t="s">
        <v>707</v>
      </c>
      <c r="BQ110" t="s">
        <v>707</v>
      </c>
      <c r="BR110" t="s">
        <v>707</v>
      </c>
      <c r="BS110" t="s">
        <v>707</v>
      </c>
      <c r="BT110" t="s">
        <v>707</v>
      </c>
      <c r="BU110" t="s">
        <v>707</v>
      </c>
      <c r="BV110" t="s">
        <v>707</v>
      </c>
      <c r="BW110" t="s">
        <v>707</v>
      </c>
      <c r="BX110" t="s">
        <v>707</v>
      </c>
      <c r="BY110" t="s">
        <v>707</v>
      </c>
      <c r="BZ110" t="s">
        <v>707</v>
      </c>
      <c r="CA110" t="s">
        <v>707</v>
      </c>
      <c r="CB110" t="s">
        <v>707</v>
      </c>
      <c r="CC110" t="s">
        <v>707</v>
      </c>
      <c r="CD110" t="s">
        <v>707</v>
      </c>
    </row>
    <row r="111" spans="2:82">
      <c r="B111" s="805">
        <v>10</v>
      </c>
      <c r="C111" s="805" t="s">
        <v>1014</v>
      </c>
      <c r="D111" s="805" t="s">
        <v>860</v>
      </c>
      <c r="E111" s="805" t="s">
        <v>997</v>
      </c>
      <c r="F111" s="805" t="s">
        <v>1096</v>
      </c>
      <c r="G111" s="805" t="s">
        <v>750</v>
      </c>
      <c r="H111" s="805" t="s">
        <v>735</v>
      </c>
      <c r="I111" s="805" t="s">
        <v>890</v>
      </c>
      <c r="J111" s="805" t="s">
        <v>818</v>
      </c>
      <c r="K111" s="805" t="s">
        <v>717</v>
      </c>
      <c r="L111" s="805" t="s">
        <v>711</v>
      </c>
      <c r="M111" t="s">
        <v>711</v>
      </c>
      <c r="N111" t="s">
        <v>711</v>
      </c>
      <c r="O111" t="s">
        <v>711</v>
      </c>
      <c r="P111" t="s">
        <v>711</v>
      </c>
      <c r="Q111" t="s">
        <v>711</v>
      </c>
      <c r="R111" t="s">
        <v>711</v>
      </c>
      <c r="S111" t="s">
        <v>711</v>
      </c>
      <c r="T111" t="s">
        <v>711</v>
      </c>
      <c r="U111" t="s">
        <v>711</v>
      </c>
      <c r="V111" t="s">
        <v>711</v>
      </c>
      <c r="W111" t="s">
        <v>711</v>
      </c>
      <c r="X111" t="s">
        <v>711</v>
      </c>
      <c r="Y111" t="s">
        <v>711</v>
      </c>
      <c r="Z111" t="s">
        <v>711</v>
      </c>
      <c r="AA111" t="s">
        <v>711</v>
      </c>
      <c r="AB111" t="s">
        <v>711</v>
      </c>
      <c r="AC111" t="s">
        <v>711</v>
      </c>
      <c r="AD111" t="s">
        <v>711</v>
      </c>
      <c r="AE111" t="s">
        <v>711</v>
      </c>
      <c r="AF111" t="s">
        <v>711</v>
      </c>
      <c r="AG111" t="s">
        <v>711</v>
      </c>
      <c r="AH111" t="s">
        <v>711</v>
      </c>
      <c r="AI111" t="s">
        <v>711</v>
      </c>
      <c r="AJ111" t="s">
        <v>711</v>
      </c>
      <c r="AK111" t="s">
        <v>711</v>
      </c>
      <c r="AL111" t="s">
        <v>711</v>
      </c>
      <c r="AM111" t="s">
        <v>711</v>
      </c>
      <c r="AN111" t="s">
        <v>711</v>
      </c>
      <c r="AO111" t="s">
        <v>711</v>
      </c>
      <c r="AP111" t="s">
        <v>711</v>
      </c>
      <c r="AQ111" t="s">
        <v>711</v>
      </c>
      <c r="AR111" t="s">
        <v>711</v>
      </c>
      <c r="AS111" t="s">
        <v>711</v>
      </c>
      <c r="AT111" t="s">
        <v>711</v>
      </c>
      <c r="AU111" t="s">
        <v>711</v>
      </c>
      <c r="AV111" t="s">
        <v>711</v>
      </c>
      <c r="AW111" t="s">
        <v>711</v>
      </c>
      <c r="AX111" t="s">
        <v>711</v>
      </c>
      <c r="AY111" t="s">
        <v>711</v>
      </c>
      <c r="AZ111" t="s">
        <v>711</v>
      </c>
      <c r="BA111" t="s">
        <v>711</v>
      </c>
      <c r="BB111" t="s">
        <v>711</v>
      </c>
      <c r="BC111" t="s">
        <v>711</v>
      </c>
      <c r="BD111" t="s">
        <v>711</v>
      </c>
      <c r="BE111" t="s">
        <v>711</v>
      </c>
      <c r="BF111" t="s">
        <v>711</v>
      </c>
      <c r="BG111" t="s">
        <v>711</v>
      </c>
      <c r="BH111" t="s">
        <v>711</v>
      </c>
      <c r="BI111" t="s">
        <v>711</v>
      </c>
      <c r="BJ111" t="s">
        <v>711</v>
      </c>
      <c r="BK111" t="s">
        <v>711</v>
      </c>
      <c r="BL111" t="s">
        <v>711</v>
      </c>
      <c r="BM111" t="s">
        <v>711</v>
      </c>
      <c r="BN111" t="s">
        <v>711</v>
      </c>
      <c r="BO111" t="s">
        <v>711</v>
      </c>
      <c r="BP111" t="s">
        <v>711</v>
      </c>
      <c r="BQ111" t="s">
        <v>711</v>
      </c>
      <c r="BR111" t="s">
        <v>711</v>
      </c>
      <c r="BS111" t="s">
        <v>711</v>
      </c>
      <c r="BT111" t="s">
        <v>711</v>
      </c>
      <c r="BU111" t="s">
        <v>711</v>
      </c>
      <c r="BV111" t="s">
        <v>711</v>
      </c>
      <c r="BW111" t="s">
        <v>711</v>
      </c>
      <c r="BX111" t="s">
        <v>711</v>
      </c>
      <c r="BY111" t="s">
        <v>711</v>
      </c>
      <c r="BZ111" t="s">
        <v>711</v>
      </c>
      <c r="CA111" t="s">
        <v>711</v>
      </c>
      <c r="CB111" t="s">
        <v>711</v>
      </c>
      <c r="CC111" t="s">
        <v>711</v>
      </c>
      <c r="CD111" t="s">
        <v>711</v>
      </c>
    </row>
    <row r="112" spans="2:82">
      <c r="B112" s="805">
        <v>9</v>
      </c>
      <c r="C112" s="805" t="s">
        <v>741</v>
      </c>
      <c r="D112" s="805" t="s">
        <v>737</v>
      </c>
      <c r="E112" s="805" t="s">
        <v>1001</v>
      </c>
      <c r="F112" s="805" t="s">
        <v>881</v>
      </c>
      <c r="G112" s="805" t="s">
        <v>861</v>
      </c>
      <c r="H112" s="805" t="s">
        <v>1002</v>
      </c>
      <c r="I112" s="805" t="s">
        <v>728</v>
      </c>
      <c r="J112" s="805" t="s">
        <v>726</v>
      </c>
      <c r="K112" s="805" t="s">
        <v>724</v>
      </c>
      <c r="L112" s="805" t="s">
        <v>717</v>
      </c>
      <c r="M112" t="s">
        <v>717</v>
      </c>
      <c r="N112" t="s">
        <v>717</v>
      </c>
      <c r="O112" t="s">
        <v>717</v>
      </c>
      <c r="P112" t="s">
        <v>717</v>
      </c>
      <c r="Q112" t="s">
        <v>717</v>
      </c>
      <c r="R112" t="s">
        <v>717</v>
      </c>
      <c r="S112" t="s">
        <v>717</v>
      </c>
      <c r="T112" t="s">
        <v>717</v>
      </c>
      <c r="U112" t="s">
        <v>717</v>
      </c>
      <c r="V112" t="s">
        <v>717</v>
      </c>
      <c r="W112" t="s">
        <v>717</v>
      </c>
      <c r="X112" t="s">
        <v>717</v>
      </c>
      <c r="Y112" t="s">
        <v>717</v>
      </c>
      <c r="Z112" t="s">
        <v>717</v>
      </c>
      <c r="AA112" t="s">
        <v>717</v>
      </c>
      <c r="AB112" t="s">
        <v>717</v>
      </c>
      <c r="AC112" t="s">
        <v>717</v>
      </c>
      <c r="AD112" t="s">
        <v>717</v>
      </c>
      <c r="AE112" t="s">
        <v>717</v>
      </c>
      <c r="AF112" t="s">
        <v>717</v>
      </c>
      <c r="AG112" t="s">
        <v>717</v>
      </c>
      <c r="AH112" t="s">
        <v>717</v>
      </c>
      <c r="AI112" t="s">
        <v>717</v>
      </c>
      <c r="AJ112" t="s">
        <v>717</v>
      </c>
      <c r="AK112" t="s">
        <v>717</v>
      </c>
      <c r="AL112" t="s">
        <v>717</v>
      </c>
      <c r="AM112" t="s">
        <v>717</v>
      </c>
      <c r="AN112" t="s">
        <v>717</v>
      </c>
      <c r="AO112" t="s">
        <v>717</v>
      </c>
      <c r="AP112" t="s">
        <v>717</v>
      </c>
      <c r="AQ112" t="s">
        <v>717</v>
      </c>
      <c r="AR112" t="s">
        <v>717</v>
      </c>
      <c r="AS112" t="s">
        <v>717</v>
      </c>
      <c r="AT112" t="s">
        <v>717</v>
      </c>
      <c r="AU112" t="s">
        <v>717</v>
      </c>
      <c r="AV112" t="s">
        <v>717</v>
      </c>
      <c r="AW112" t="s">
        <v>717</v>
      </c>
      <c r="AX112" t="s">
        <v>717</v>
      </c>
      <c r="AY112" t="s">
        <v>717</v>
      </c>
      <c r="AZ112" t="s">
        <v>717</v>
      </c>
      <c r="BA112" t="s">
        <v>717</v>
      </c>
      <c r="BB112" t="s">
        <v>717</v>
      </c>
      <c r="BC112" t="s">
        <v>717</v>
      </c>
      <c r="BD112" t="s">
        <v>717</v>
      </c>
      <c r="BE112" t="s">
        <v>717</v>
      </c>
      <c r="BF112" t="s">
        <v>717</v>
      </c>
      <c r="BG112" t="s">
        <v>717</v>
      </c>
      <c r="BH112" t="s">
        <v>717</v>
      </c>
      <c r="BI112" t="s">
        <v>717</v>
      </c>
      <c r="BJ112" t="s">
        <v>717</v>
      </c>
      <c r="BK112" t="s">
        <v>717</v>
      </c>
      <c r="BL112" t="s">
        <v>717</v>
      </c>
      <c r="BM112" t="s">
        <v>717</v>
      </c>
      <c r="BN112" t="s">
        <v>717</v>
      </c>
      <c r="BO112" t="s">
        <v>717</v>
      </c>
      <c r="BP112" t="s">
        <v>717</v>
      </c>
      <c r="BQ112" t="s">
        <v>717</v>
      </c>
      <c r="BR112" t="s">
        <v>717</v>
      </c>
      <c r="BS112" t="s">
        <v>717</v>
      </c>
      <c r="BT112" t="s">
        <v>717</v>
      </c>
      <c r="BU112" t="s">
        <v>717</v>
      </c>
      <c r="BV112" t="s">
        <v>717</v>
      </c>
      <c r="BW112" t="s">
        <v>717</v>
      </c>
      <c r="BX112" t="s">
        <v>717</v>
      </c>
      <c r="BY112" t="s">
        <v>717</v>
      </c>
      <c r="BZ112" t="s">
        <v>717</v>
      </c>
      <c r="CA112" t="s">
        <v>717</v>
      </c>
      <c r="CB112" t="s">
        <v>717</v>
      </c>
      <c r="CC112" t="s">
        <v>717</v>
      </c>
      <c r="CD112" t="s">
        <v>717</v>
      </c>
    </row>
    <row r="113" spans="2:82">
      <c r="B113" s="805">
        <v>8</v>
      </c>
      <c r="C113" s="805" t="s">
        <v>1093</v>
      </c>
      <c r="D113" s="805" t="s">
        <v>1094</v>
      </c>
      <c r="E113" s="805" t="s">
        <v>1095</v>
      </c>
      <c r="F113" s="805" t="s">
        <v>888</v>
      </c>
      <c r="G113" s="805" t="s">
        <v>980</v>
      </c>
      <c r="H113" s="805" t="s">
        <v>824</v>
      </c>
      <c r="I113" s="805" t="s">
        <v>750</v>
      </c>
      <c r="J113" s="805" t="s">
        <v>993</v>
      </c>
      <c r="K113" s="805" t="s">
        <v>1168</v>
      </c>
      <c r="L113" s="805" t="s">
        <v>720</v>
      </c>
      <c r="M113" t="s">
        <v>720</v>
      </c>
      <c r="N113" t="s">
        <v>720</v>
      </c>
      <c r="O113" t="s">
        <v>720</v>
      </c>
      <c r="P113" t="s">
        <v>720</v>
      </c>
      <c r="Q113" t="s">
        <v>720</v>
      </c>
      <c r="R113" t="s">
        <v>720</v>
      </c>
      <c r="S113" t="s">
        <v>720</v>
      </c>
      <c r="T113" t="s">
        <v>720</v>
      </c>
      <c r="U113" t="s">
        <v>720</v>
      </c>
      <c r="V113" t="s">
        <v>720</v>
      </c>
      <c r="W113" t="s">
        <v>720</v>
      </c>
      <c r="X113" t="s">
        <v>720</v>
      </c>
      <c r="Y113" t="s">
        <v>720</v>
      </c>
      <c r="Z113" t="s">
        <v>720</v>
      </c>
      <c r="AA113" t="s">
        <v>720</v>
      </c>
      <c r="AB113" t="s">
        <v>720</v>
      </c>
      <c r="AC113" t="s">
        <v>720</v>
      </c>
      <c r="AD113" t="s">
        <v>720</v>
      </c>
      <c r="AE113" t="s">
        <v>720</v>
      </c>
      <c r="AF113" t="s">
        <v>720</v>
      </c>
      <c r="AG113" t="s">
        <v>720</v>
      </c>
      <c r="AH113" t="s">
        <v>720</v>
      </c>
      <c r="AI113" t="s">
        <v>720</v>
      </c>
      <c r="AJ113" t="s">
        <v>720</v>
      </c>
      <c r="AK113" t="s">
        <v>720</v>
      </c>
      <c r="AL113" t="s">
        <v>720</v>
      </c>
      <c r="AM113" t="s">
        <v>720</v>
      </c>
      <c r="AN113" t="s">
        <v>720</v>
      </c>
      <c r="AO113" t="s">
        <v>720</v>
      </c>
      <c r="AP113" t="s">
        <v>720</v>
      </c>
      <c r="AQ113" t="s">
        <v>720</v>
      </c>
      <c r="AR113" t="s">
        <v>720</v>
      </c>
      <c r="AS113" t="s">
        <v>720</v>
      </c>
      <c r="AT113" t="s">
        <v>720</v>
      </c>
      <c r="AU113" t="s">
        <v>720</v>
      </c>
      <c r="AV113" t="s">
        <v>720</v>
      </c>
      <c r="AW113" t="s">
        <v>720</v>
      </c>
      <c r="AX113" t="s">
        <v>720</v>
      </c>
      <c r="AY113" t="s">
        <v>720</v>
      </c>
      <c r="AZ113" t="s">
        <v>720</v>
      </c>
      <c r="BA113" t="s">
        <v>720</v>
      </c>
      <c r="BB113" t="s">
        <v>720</v>
      </c>
      <c r="BC113" t="s">
        <v>720</v>
      </c>
      <c r="BD113" t="s">
        <v>720</v>
      </c>
      <c r="BE113" t="s">
        <v>720</v>
      </c>
      <c r="BF113" t="s">
        <v>720</v>
      </c>
      <c r="BG113" t="s">
        <v>720</v>
      </c>
      <c r="BH113" t="s">
        <v>720</v>
      </c>
      <c r="BI113" t="s">
        <v>720</v>
      </c>
      <c r="BJ113" t="s">
        <v>720</v>
      </c>
      <c r="BK113" t="s">
        <v>720</v>
      </c>
      <c r="BL113" t="s">
        <v>720</v>
      </c>
      <c r="BM113" t="s">
        <v>720</v>
      </c>
      <c r="BN113" t="s">
        <v>720</v>
      </c>
      <c r="BO113" t="s">
        <v>720</v>
      </c>
      <c r="BP113" t="s">
        <v>720</v>
      </c>
      <c r="BQ113" t="s">
        <v>720</v>
      </c>
      <c r="BR113" t="s">
        <v>720</v>
      </c>
      <c r="BS113" t="s">
        <v>720</v>
      </c>
      <c r="BT113" t="s">
        <v>720</v>
      </c>
      <c r="BU113" t="s">
        <v>720</v>
      </c>
      <c r="BV113" t="s">
        <v>720</v>
      </c>
      <c r="BW113" t="s">
        <v>720</v>
      </c>
      <c r="BX113" t="s">
        <v>720</v>
      </c>
      <c r="BY113" t="s">
        <v>720</v>
      </c>
      <c r="BZ113" t="s">
        <v>720</v>
      </c>
      <c r="CA113" t="s">
        <v>720</v>
      </c>
      <c r="CB113" t="s">
        <v>720</v>
      </c>
      <c r="CC113" t="s">
        <v>720</v>
      </c>
      <c r="CD113" t="s">
        <v>720</v>
      </c>
    </row>
    <row r="114" spans="2:82">
      <c r="B114" s="805">
        <v>7</v>
      </c>
      <c r="C114" s="805" t="s">
        <v>901</v>
      </c>
      <c r="D114" s="805" t="s">
        <v>1169</v>
      </c>
      <c r="E114" s="805" t="s">
        <v>1020</v>
      </c>
      <c r="F114" s="805" t="s">
        <v>836</v>
      </c>
      <c r="G114" s="805" t="s">
        <v>1113</v>
      </c>
      <c r="H114" s="805" t="s">
        <v>1170</v>
      </c>
      <c r="I114" s="805" t="s">
        <v>889</v>
      </c>
      <c r="J114" s="805" t="s">
        <v>742</v>
      </c>
      <c r="K114" s="805" t="s">
        <v>1171</v>
      </c>
      <c r="L114" s="805" t="s">
        <v>723</v>
      </c>
      <c r="M114" t="s">
        <v>723</v>
      </c>
      <c r="N114" t="s">
        <v>723</v>
      </c>
      <c r="O114" t="s">
        <v>723</v>
      </c>
      <c r="P114" t="s">
        <v>723</v>
      </c>
      <c r="Q114" t="s">
        <v>723</v>
      </c>
      <c r="R114" t="s">
        <v>723</v>
      </c>
      <c r="S114" t="s">
        <v>723</v>
      </c>
      <c r="T114" t="s">
        <v>723</v>
      </c>
      <c r="U114" t="s">
        <v>723</v>
      </c>
      <c r="V114" t="s">
        <v>723</v>
      </c>
      <c r="W114" t="s">
        <v>723</v>
      </c>
      <c r="X114" t="s">
        <v>723</v>
      </c>
      <c r="Y114" t="s">
        <v>723</v>
      </c>
      <c r="Z114" t="s">
        <v>723</v>
      </c>
      <c r="AA114" t="s">
        <v>723</v>
      </c>
      <c r="AB114" t="s">
        <v>723</v>
      </c>
      <c r="AC114" t="s">
        <v>723</v>
      </c>
      <c r="AD114" t="s">
        <v>723</v>
      </c>
      <c r="AE114" t="s">
        <v>723</v>
      </c>
      <c r="AF114" t="s">
        <v>723</v>
      </c>
      <c r="AG114" t="s">
        <v>723</v>
      </c>
      <c r="AH114" t="s">
        <v>723</v>
      </c>
      <c r="AI114" t="s">
        <v>723</v>
      </c>
      <c r="AJ114" t="s">
        <v>723</v>
      </c>
      <c r="AK114" t="s">
        <v>723</v>
      </c>
      <c r="AL114" t="s">
        <v>723</v>
      </c>
      <c r="AM114" t="s">
        <v>723</v>
      </c>
      <c r="AN114" t="s">
        <v>723</v>
      </c>
      <c r="AO114" t="s">
        <v>723</v>
      </c>
      <c r="AP114" t="s">
        <v>723</v>
      </c>
      <c r="AQ114" t="s">
        <v>723</v>
      </c>
      <c r="AR114" t="s">
        <v>723</v>
      </c>
      <c r="AS114" t="s">
        <v>723</v>
      </c>
      <c r="AT114" t="s">
        <v>723</v>
      </c>
      <c r="AU114" t="s">
        <v>723</v>
      </c>
      <c r="AV114" t="s">
        <v>723</v>
      </c>
      <c r="AW114" t="s">
        <v>723</v>
      </c>
      <c r="AX114" t="s">
        <v>723</v>
      </c>
      <c r="AY114" t="s">
        <v>723</v>
      </c>
      <c r="AZ114" t="s">
        <v>723</v>
      </c>
      <c r="BA114" t="s">
        <v>723</v>
      </c>
      <c r="BB114" t="s">
        <v>723</v>
      </c>
      <c r="BC114" t="s">
        <v>723</v>
      </c>
      <c r="BD114" t="s">
        <v>723</v>
      </c>
      <c r="BE114" t="s">
        <v>723</v>
      </c>
      <c r="BF114" t="s">
        <v>723</v>
      </c>
      <c r="BG114" t="s">
        <v>723</v>
      </c>
      <c r="BH114" t="s">
        <v>723</v>
      </c>
      <c r="BI114" t="s">
        <v>723</v>
      </c>
      <c r="BJ114" t="s">
        <v>723</v>
      </c>
      <c r="BK114" t="s">
        <v>723</v>
      </c>
      <c r="BL114" t="s">
        <v>723</v>
      </c>
      <c r="BM114" t="s">
        <v>723</v>
      </c>
      <c r="BN114" t="s">
        <v>723</v>
      </c>
      <c r="BO114" t="s">
        <v>723</v>
      </c>
      <c r="BP114" t="s">
        <v>723</v>
      </c>
      <c r="BQ114" t="s">
        <v>723</v>
      </c>
      <c r="BR114" t="s">
        <v>723</v>
      </c>
      <c r="BS114" t="s">
        <v>723</v>
      </c>
      <c r="BT114" t="s">
        <v>723</v>
      </c>
      <c r="BU114" t="s">
        <v>723</v>
      </c>
      <c r="BV114" t="s">
        <v>723</v>
      </c>
      <c r="BW114" t="s">
        <v>723</v>
      </c>
      <c r="BX114" t="s">
        <v>723</v>
      </c>
      <c r="BY114" t="s">
        <v>723</v>
      </c>
      <c r="BZ114" t="s">
        <v>723</v>
      </c>
      <c r="CA114" t="s">
        <v>723</v>
      </c>
      <c r="CB114" t="s">
        <v>723</v>
      </c>
      <c r="CC114" t="s">
        <v>723</v>
      </c>
      <c r="CD114" t="s">
        <v>723</v>
      </c>
    </row>
    <row r="115" spans="2:82">
      <c r="B115" s="805">
        <v>6</v>
      </c>
      <c r="C115" s="805" t="s">
        <v>1009</v>
      </c>
      <c r="D115" s="805" t="s">
        <v>1172</v>
      </c>
      <c r="E115" s="805" t="s">
        <v>1098</v>
      </c>
      <c r="F115" s="805" t="s">
        <v>1118</v>
      </c>
      <c r="G115" s="805" t="s">
        <v>910</v>
      </c>
      <c r="H115" s="805" t="s">
        <v>1119</v>
      </c>
      <c r="I115" s="805" t="s">
        <v>1173</v>
      </c>
      <c r="J115" s="805" t="s">
        <v>751</v>
      </c>
      <c r="K115" s="805" t="s">
        <v>1174</v>
      </c>
      <c r="L115" s="805" t="s">
        <v>729</v>
      </c>
      <c r="M115" t="s">
        <v>729</v>
      </c>
      <c r="N115" t="s">
        <v>729</v>
      </c>
      <c r="O115" t="s">
        <v>729</v>
      </c>
      <c r="P115" t="s">
        <v>729</v>
      </c>
      <c r="Q115" t="s">
        <v>729</v>
      </c>
      <c r="R115" t="s">
        <v>729</v>
      </c>
      <c r="S115" t="s">
        <v>729</v>
      </c>
      <c r="T115" t="s">
        <v>729</v>
      </c>
      <c r="U115" t="s">
        <v>729</v>
      </c>
      <c r="V115" t="s">
        <v>729</v>
      </c>
      <c r="W115" t="s">
        <v>729</v>
      </c>
      <c r="X115" t="s">
        <v>729</v>
      </c>
      <c r="Y115" t="s">
        <v>729</v>
      </c>
      <c r="Z115" t="s">
        <v>729</v>
      </c>
      <c r="AA115" t="s">
        <v>729</v>
      </c>
      <c r="AB115" t="s">
        <v>729</v>
      </c>
      <c r="AC115" t="s">
        <v>729</v>
      </c>
      <c r="AD115" t="s">
        <v>729</v>
      </c>
      <c r="AE115" t="s">
        <v>729</v>
      </c>
      <c r="AF115" t="s">
        <v>729</v>
      </c>
      <c r="AG115" t="s">
        <v>729</v>
      </c>
      <c r="AH115" t="s">
        <v>729</v>
      </c>
      <c r="AI115" t="s">
        <v>729</v>
      </c>
      <c r="AJ115" t="s">
        <v>729</v>
      </c>
      <c r="AK115" t="s">
        <v>729</v>
      </c>
      <c r="AL115" t="s">
        <v>729</v>
      </c>
      <c r="AM115" t="s">
        <v>729</v>
      </c>
      <c r="AN115" t="s">
        <v>729</v>
      </c>
      <c r="AO115" t="s">
        <v>729</v>
      </c>
      <c r="AP115" t="s">
        <v>729</v>
      </c>
      <c r="AQ115" t="s">
        <v>729</v>
      </c>
      <c r="AR115" t="s">
        <v>729</v>
      </c>
      <c r="AS115" t="s">
        <v>729</v>
      </c>
      <c r="AT115" t="s">
        <v>729</v>
      </c>
      <c r="AU115" t="s">
        <v>729</v>
      </c>
      <c r="AV115" t="s">
        <v>729</v>
      </c>
      <c r="AW115" t="s">
        <v>729</v>
      </c>
      <c r="AX115" t="s">
        <v>729</v>
      </c>
      <c r="AY115" t="s">
        <v>729</v>
      </c>
      <c r="AZ115" t="s">
        <v>729</v>
      </c>
      <c r="BA115" t="s">
        <v>729</v>
      </c>
      <c r="BB115" t="s">
        <v>729</v>
      </c>
      <c r="BC115" t="s">
        <v>729</v>
      </c>
      <c r="BD115" t="s">
        <v>729</v>
      </c>
      <c r="BE115" t="s">
        <v>729</v>
      </c>
      <c r="BF115" t="s">
        <v>729</v>
      </c>
      <c r="BG115" t="s">
        <v>729</v>
      </c>
      <c r="BH115" t="s">
        <v>729</v>
      </c>
      <c r="BI115" t="s">
        <v>729</v>
      </c>
      <c r="BJ115" t="s">
        <v>729</v>
      </c>
      <c r="BK115" t="s">
        <v>729</v>
      </c>
      <c r="BL115" t="s">
        <v>729</v>
      </c>
      <c r="BM115" t="s">
        <v>729</v>
      </c>
      <c r="BN115" t="s">
        <v>729</v>
      </c>
      <c r="BO115" t="s">
        <v>729</v>
      </c>
      <c r="BP115" t="s">
        <v>729</v>
      </c>
      <c r="BQ115" t="s">
        <v>729</v>
      </c>
      <c r="BR115" t="s">
        <v>729</v>
      </c>
      <c r="BS115" t="s">
        <v>729</v>
      </c>
      <c r="BT115" t="s">
        <v>729</v>
      </c>
      <c r="BU115" t="s">
        <v>729</v>
      </c>
      <c r="BV115" t="s">
        <v>729</v>
      </c>
      <c r="BW115" t="s">
        <v>729</v>
      </c>
      <c r="BX115" t="s">
        <v>729</v>
      </c>
      <c r="BY115" t="s">
        <v>729</v>
      </c>
      <c r="BZ115" t="s">
        <v>729</v>
      </c>
      <c r="CA115" t="s">
        <v>729</v>
      </c>
      <c r="CB115" t="s">
        <v>729</v>
      </c>
      <c r="CC115" t="s">
        <v>729</v>
      </c>
      <c r="CD115" t="s">
        <v>729</v>
      </c>
    </row>
    <row r="116" spans="2:82">
      <c r="B116" s="805">
        <v>5</v>
      </c>
      <c r="C116" s="805" t="s">
        <v>1101</v>
      </c>
      <c r="D116" s="805" t="s">
        <v>1175</v>
      </c>
      <c r="E116" s="805" t="s">
        <v>1176</v>
      </c>
      <c r="F116" s="805" t="s">
        <v>1169</v>
      </c>
      <c r="G116" s="805" t="s">
        <v>1177</v>
      </c>
      <c r="H116" s="805" t="s">
        <v>996</v>
      </c>
      <c r="I116" s="805" t="s">
        <v>903</v>
      </c>
      <c r="J116" s="805" t="s">
        <v>830</v>
      </c>
      <c r="K116" s="805" t="s">
        <v>862</v>
      </c>
      <c r="L116" s="805" t="s">
        <v>733</v>
      </c>
      <c r="M116" t="s">
        <v>733</v>
      </c>
      <c r="N116" t="s">
        <v>733</v>
      </c>
      <c r="O116" t="s">
        <v>733</v>
      </c>
      <c r="P116" t="s">
        <v>733</v>
      </c>
      <c r="Q116" t="s">
        <v>733</v>
      </c>
      <c r="R116" t="s">
        <v>733</v>
      </c>
      <c r="S116" t="s">
        <v>733</v>
      </c>
      <c r="T116" t="s">
        <v>733</v>
      </c>
      <c r="U116" t="s">
        <v>733</v>
      </c>
      <c r="V116" t="s">
        <v>733</v>
      </c>
      <c r="W116" t="s">
        <v>733</v>
      </c>
      <c r="X116" t="s">
        <v>733</v>
      </c>
      <c r="Y116" t="s">
        <v>733</v>
      </c>
      <c r="Z116" t="s">
        <v>733</v>
      </c>
      <c r="AA116" t="s">
        <v>733</v>
      </c>
      <c r="AB116" t="s">
        <v>733</v>
      </c>
      <c r="AC116" t="s">
        <v>733</v>
      </c>
      <c r="AD116" t="s">
        <v>733</v>
      </c>
      <c r="AE116" t="s">
        <v>733</v>
      </c>
      <c r="AF116" t="s">
        <v>733</v>
      </c>
      <c r="AG116" t="s">
        <v>733</v>
      </c>
      <c r="AH116" t="s">
        <v>733</v>
      </c>
      <c r="AI116" t="s">
        <v>733</v>
      </c>
      <c r="AJ116" t="s">
        <v>733</v>
      </c>
      <c r="AK116" t="s">
        <v>733</v>
      </c>
      <c r="AL116" t="s">
        <v>733</v>
      </c>
      <c r="AM116" t="s">
        <v>733</v>
      </c>
      <c r="AN116" t="s">
        <v>733</v>
      </c>
      <c r="AO116" t="s">
        <v>733</v>
      </c>
      <c r="AP116" t="s">
        <v>733</v>
      </c>
      <c r="AQ116" t="s">
        <v>733</v>
      </c>
      <c r="AR116" t="s">
        <v>733</v>
      </c>
      <c r="AS116" t="s">
        <v>733</v>
      </c>
      <c r="AT116" t="s">
        <v>733</v>
      </c>
      <c r="AU116" t="s">
        <v>733</v>
      </c>
      <c r="AV116" t="s">
        <v>733</v>
      </c>
      <c r="AW116" t="s">
        <v>733</v>
      </c>
      <c r="AX116" t="s">
        <v>733</v>
      </c>
      <c r="AY116" t="s">
        <v>733</v>
      </c>
      <c r="AZ116" t="s">
        <v>733</v>
      </c>
      <c r="BA116" t="s">
        <v>733</v>
      </c>
      <c r="BB116" t="s">
        <v>733</v>
      </c>
      <c r="BC116" t="s">
        <v>733</v>
      </c>
      <c r="BD116" t="s">
        <v>733</v>
      </c>
      <c r="BE116" t="s">
        <v>733</v>
      </c>
      <c r="BF116" t="s">
        <v>733</v>
      </c>
      <c r="BG116" t="s">
        <v>733</v>
      </c>
      <c r="BH116" t="s">
        <v>733</v>
      </c>
      <c r="BI116" t="s">
        <v>733</v>
      </c>
      <c r="BJ116" t="s">
        <v>733</v>
      </c>
      <c r="BK116" t="s">
        <v>733</v>
      </c>
      <c r="BL116" t="s">
        <v>733</v>
      </c>
      <c r="BM116" t="s">
        <v>733</v>
      </c>
      <c r="BN116" t="s">
        <v>733</v>
      </c>
      <c r="BO116" t="s">
        <v>733</v>
      </c>
      <c r="BP116" t="s">
        <v>733</v>
      </c>
      <c r="BQ116" t="s">
        <v>733</v>
      </c>
      <c r="BR116" t="s">
        <v>733</v>
      </c>
      <c r="BS116" t="s">
        <v>733</v>
      </c>
      <c r="BT116" t="s">
        <v>733</v>
      </c>
      <c r="BU116" t="s">
        <v>733</v>
      </c>
      <c r="BV116" t="s">
        <v>733</v>
      </c>
      <c r="BW116" t="s">
        <v>733</v>
      </c>
      <c r="BX116" t="s">
        <v>733</v>
      </c>
      <c r="BY116" t="s">
        <v>733</v>
      </c>
      <c r="BZ116" t="s">
        <v>733</v>
      </c>
      <c r="CA116" t="s">
        <v>733</v>
      </c>
      <c r="CB116" t="s">
        <v>733</v>
      </c>
      <c r="CC116" t="s">
        <v>733</v>
      </c>
      <c r="CD116" t="s">
        <v>733</v>
      </c>
    </row>
    <row r="117" spans="2:82">
      <c r="B117" s="805">
        <v>4</v>
      </c>
      <c r="C117" s="805" t="s">
        <v>1178</v>
      </c>
      <c r="D117" s="805" t="s">
        <v>1179</v>
      </c>
      <c r="E117" s="805" t="s">
        <v>908</v>
      </c>
      <c r="F117" s="805" t="s">
        <v>1019</v>
      </c>
      <c r="G117" s="805" t="s">
        <v>1180</v>
      </c>
      <c r="H117" s="805" t="s">
        <v>1083</v>
      </c>
      <c r="I117" s="805" t="s">
        <v>911</v>
      </c>
      <c r="J117" s="805" t="s">
        <v>1100</v>
      </c>
      <c r="K117" s="805" t="s">
        <v>845</v>
      </c>
      <c r="L117" s="805" t="s">
        <v>736</v>
      </c>
      <c r="M117" t="s">
        <v>736</v>
      </c>
      <c r="N117" t="s">
        <v>736</v>
      </c>
      <c r="O117" t="s">
        <v>736</v>
      </c>
      <c r="P117" t="s">
        <v>736</v>
      </c>
      <c r="Q117" t="s">
        <v>736</v>
      </c>
      <c r="R117" t="s">
        <v>736</v>
      </c>
      <c r="S117" t="s">
        <v>736</v>
      </c>
      <c r="T117" t="s">
        <v>736</v>
      </c>
      <c r="U117" t="s">
        <v>736</v>
      </c>
      <c r="V117" t="s">
        <v>736</v>
      </c>
      <c r="W117" t="s">
        <v>736</v>
      </c>
      <c r="X117" t="s">
        <v>736</v>
      </c>
      <c r="Y117" t="s">
        <v>736</v>
      </c>
      <c r="Z117" t="s">
        <v>736</v>
      </c>
      <c r="AA117" t="s">
        <v>736</v>
      </c>
      <c r="AB117" t="s">
        <v>736</v>
      </c>
      <c r="AC117" t="s">
        <v>736</v>
      </c>
      <c r="AD117" t="s">
        <v>736</v>
      </c>
      <c r="AE117" t="s">
        <v>736</v>
      </c>
      <c r="AF117" t="s">
        <v>736</v>
      </c>
      <c r="AG117" t="s">
        <v>736</v>
      </c>
      <c r="AH117" t="s">
        <v>736</v>
      </c>
      <c r="AI117" t="s">
        <v>736</v>
      </c>
      <c r="AJ117" t="s">
        <v>736</v>
      </c>
      <c r="AK117" t="s">
        <v>736</v>
      </c>
      <c r="AL117" t="s">
        <v>736</v>
      </c>
      <c r="AM117" t="s">
        <v>736</v>
      </c>
      <c r="AN117" t="s">
        <v>736</v>
      </c>
      <c r="AO117" t="s">
        <v>736</v>
      </c>
      <c r="AP117" t="s">
        <v>736</v>
      </c>
      <c r="AQ117" t="s">
        <v>736</v>
      </c>
      <c r="AR117" t="s">
        <v>736</v>
      </c>
      <c r="AS117" t="s">
        <v>736</v>
      </c>
      <c r="AT117" t="s">
        <v>736</v>
      </c>
      <c r="AU117" t="s">
        <v>736</v>
      </c>
      <c r="AV117" t="s">
        <v>736</v>
      </c>
      <c r="AW117" t="s">
        <v>736</v>
      </c>
      <c r="AX117" t="s">
        <v>736</v>
      </c>
      <c r="AY117" t="s">
        <v>736</v>
      </c>
      <c r="AZ117" t="s">
        <v>736</v>
      </c>
      <c r="BA117" t="s">
        <v>736</v>
      </c>
      <c r="BB117" t="s">
        <v>736</v>
      </c>
      <c r="BC117" t="s">
        <v>736</v>
      </c>
      <c r="BD117" t="s">
        <v>736</v>
      </c>
      <c r="BE117" t="s">
        <v>736</v>
      </c>
      <c r="BF117" t="s">
        <v>736</v>
      </c>
      <c r="BG117" t="s">
        <v>736</v>
      </c>
      <c r="BH117" t="s">
        <v>736</v>
      </c>
      <c r="BI117" t="s">
        <v>736</v>
      </c>
      <c r="BJ117" t="s">
        <v>736</v>
      </c>
      <c r="BK117" t="s">
        <v>736</v>
      </c>
      <c r="BL117" t="s">
        <v>736</v>
      </c>
      <c r="BM117" t="s">
        <v>736</v>
      </c>
      <c r="BN117" t="s">
        <v>736</v>
      </c>
      <c r="BO117" t="s">
        <v>736</v>
      </c>
      <c r="BP117" t="s">
        <v>736</v>
      </c>
      <c r="BQ117" t="s">
        <v>736</v>
      </c>
      <c r="BR117" t="s">
        <v>736</v>
      </c>
      <c r="BS117" t="s">
        <v>736</v>
      </c>
      <c r="BT117" t="s">
        <v>736</v>
      </c>
      <c r="BU117" t="s">
        <v>736</v>
      </c>
      <c r="BV117" t="s">
        <v>736</v>
      </c>
      <c r="BW117" t="s">
        <v>736</v>
      </c>
      <c r="BX117" t="s">
        <v>736</v>
      </c>
      <c r="BY117" t="s">
        <v>736</v>
      </c>
      <c r="BZ117" t="s">
        <v>736</v>
      </c>
      <c r="CA117" t="s">
        <v>736</v>
      </c>
      <c r="CB117" t="s">
        <v>736</v>
      </c>
      <c r="CC117" t="s">
        <v>736</v>
      </c>
      <c r="CD117" t="s">
        <v>736</v>
      </c>
    </row>
    <row r="118" spans="2:82">
      <c r="B118" s="805">
        <v>3</v>
      </c>
      <c r="C118" s="805" t="s">
        <v>1114</v>
      </c>
      <c r="D118" s="805" t="s">
        <v>1181</v>
      </c>
      <c r="E118" s="805" t="s">
        <v>1097</v>
      </c>
      <c r="F118" s="805" t="s">
        <v>1182</v>
      </c>
      <c r="G118" s="805" t="s">
        <v>872</v>
      </c>
      <c r="H118" s="805" t="s">
        <v>1183</v>
      </c>
      <c r="I118" s="805" t="s">
        <v>1163</v>
      </c>
      <c r="J118" s="805" t="s">
        <v>992</v>
      </c>
      <c r="K118" s="805" t="s">
        <v>1015</v>
      </c>
      <c r="L118" s="805" t="s">
        <v>744</v>
      </c>
      <c r="M118" t="s">
        <v>744</v>
      </c>
      <c r="N118" t="s">
        <v>744</v>
      </c>
      <c r="O118" t="s">
        <v>744</v>
      </c>
      <c r="P118" t="s">
        <v>744</v>
      </c>
      <c r="Q118" t="s">
        <v>744</v>
      </c>
      <c r="R118" t="s">
        <v>744</v>
      </c>
      <c r="S118" t="s">
        <v>744</v>
      </c>
      <c r="T118" t="s">
        <v>744</v>
      </c>
      <c r="U118" t="s">
        <v>744</v>
      </c>
      <c r="V118" t="s">
        <v>744</v>
      </c>
      <c r="W118" t="s">
        <v>744</v>
      </c>
      <c r="X118" t="s">
        <v>744</v>
      </c>
      <c r="Y118" t="s">
        <v>744</v>
      </c>
      <c r="Z118" t="s">
        <v>744</v>
      </c>
      <c r="AA118" t="s">
        <v>744</v>
      </c>
      <c r="AB118" t="s">
        <v>744</v>
      </c>
      <c r="AC118" t="s">
        <v>744</v>
      </c>
      <c r="AD118" t="s">
        <v>744</v>
      </c>
      <c r="AE118" t="s">
        <v>744</v>
      </c>
      <c r="AF118" t="s">
        <v>744</v>
      </c>
      <c r="AG118" t="s">
        <v>744</v>
      </c>
      <c r="AH118" t="s">
        <v>744</v>
      </c>
      <c r="AI118" t="s">
        <v>744</v>
      </c>
      <c r="AJ118" t="s">
        <v>744</v>
      </c>
      <c r="AK118" t="s">
        <v>744</v>
      </c>
      <c r="AL118" t="s">
        <v>744</v>
      </c>
      <c r="AM118" t="s">
        <v>744</v>
      </c>
      <c r="AN118" t="s">
        <v>744</v>
      </c>
      <c r="AO118" t="s">
        <v>744</v>
      </c>
      <c r="AP118" t="s">
        <v>744</v>
      </c>
      <c r="AQ118" t="s">
        <v>744</v>
      </c>
      <c r="AR118" t="s">
        <v>744</v>
      </c>
      <c r="AS118" t="s">
        <v>744</v>
      </c>
      <c r="AT118" t="s">
        <v>744</v>
      </c>
      <c r="AU118" t="s">
        <v>744</v>
      </c>
      <c r="AV118" t="s">
        <v>744</v>
      </c>
      <c r="AW118" t="s">
        <v>744</v>
      </c>
      <c r="AX118" t="s">
        <v>744</v>
      </c>
      <c r="AY118" t="s">
        <v>744</v>
      </c>
      <c r="AZ118" t="s">
        <v>744</v>
      </c>
      <c r="BA118" t="s">
        <v>744</v>
      </c>
      <c r="BB118" t="s">
        <v>744</v>
      </c>
      <c r="BC118" t="s">
        <v>744</v>
      </c>
      <c r="BD118" t="s">
        <v>744</v>
      </c>
      <c r="BE118" t="s">
        <v>744</v>
      </c>
      <c r="BF118" t="s">
        <v>744</v>
      </c>
      <c r="BG118" t="s">
        <v>744</v>
      </c>
      <c r="BH118" t="s">
        <v>744</v>
      </c>
      <c r="BI118" t="s">
        <v>744</v>
      </c>
      <c r="BJ118" t="s">
        <v>744</v>
      </c>
      <c r="BK118" t="s">
        <v>744</v>
      </c>
      <c r="BL118" t="s">
        <v>744</v>
      </c>
      <c r="BM118" t="s">
        <v>744</v>
      </c>
      <c r="BN118" t="s">
        <v>744</v>
      </c>
      <c r="BO118" t="s">
        <v>744</v>
      </c>
      <c r="BP118" t="s">
        <v>744</v>
      </c>
      <c r="BQ118" t="s">
        <v>744</v>
      </c>
      <c r="BR118" t="s">
        <v>744</v>
      </c>
      <c r="BS118" t="s">
        <v>744</v>
      </c>
      <c r="BT118" t="s">
        <v>744</v>
      </c>
      <c r="BU118" t="s">
        <v>744</v>
      </c>
      <c r="BV118" t="s">
        <v>744</v>
      </c>
      <c r="BW118" t="s">
        <v>744</v>
      </c>
      <c r="BX118" t="s">
        <v>744</v>
      </c>
      <c r="BY118" t="s">
        <v>744</v>
      </c>
      <c r="BZ118" t="s">
        <v>744</v>
      </c>
      <c r="CA118" t="s">
        <v>744</v>
      </c>
      <c r="CB118" t="s">
        <v>744</v>
      </c>
      <c r="CC118" t="s">
        <v>744</v>
      </c>
      <c r="CD118" t="s">
        <v>744</v>
      </c>
    </row>
    <row r="119" spans="2:82">
      <c r="B119" s="805">
        <v>2</v>
      </c>
      <c r="C119" s="805" t="s">
        <v>1184</v>
      </c>
      <c r="D119" s="805" t="s">
        <v>1185</v>
      </c>
      <c r="E119" s="805" t="s">
        <v>1101</v>
      </c>
      <c r="F119" s="805" t="s">
        <v>1102</v>
      </c>
      <c r="G119" s="805" t="s">
        <v>901</v>
      </c>
      <c r="H119" s="805" t="s">
        <v>1186</v>
      </c>
      <c r="I119" s="805" t="s">
        <v>1095</v>
      </c>
      <c r="J119" s="805" t="s">
        <v>860</v>
      </c>
      <c r="K119" s="805" t="s">
        <v>1021</v>
      </c>
      <c r="L119" s="805" t="s">
        <v>748</v>
      </c>
      <c r="M119" t="s">
        <v>748</v>
      </c>
      <c r="N119" t="s">
        <v>748</v>
      </c>
      <c r="O119" t="s">
        <v>748</v>
      </c>
      <c r="P119" t="s">
        <v>748</v>
      </c>
      <c r="Q119" t="s">
        <v>748</v>
      </c>
      <c r="R119" t="s">
        <v>748</v>
      </c>
      <c r="S119" t="s">
        <v>748</v>
      </c>
      <c r="T119" t="s">
        <v>748</v>
      </c>
      <c r="U119" t="s">
        <v>748</v>
      </c>
      <c r="V119" t="s">
        <v>748</v>
      </c>
      <c r="W119" t="s">
        <v>748</v>
      </c>
      <c r="X119" t="s">
        <v>748</v>
      </c>
      <c r="Y119" t="s">
        <v>748</v>
      </c>
      <c r="Z119" t="s">
        <v>748</v>
      </c>
      <c r="AA119" t="s">
        <v>748</v>
      </c>
      <c r="AB119" t="s">
        <v>748</v>
      </c>
      <c r="AC119" t="s">
        <v>748</v>
      </c>
      <c r="AD119" t="s">
        <v>748</v>
      </c>
      <c r="AE119" t="s">
        <v>748</v>
      </c>
      <c r="AF119" t="s">
        <v>748</v>
      </c>
      <c r="AG119" t="s">
        <v>748</v>
      </c>
      <c r="AH119" t="s">
        <v>748</v>
      </c>
      <c r="AI119" t="s">
        <v>748</v>
      </c>
      <c r="AJ119" t="s">
        <v>748</v>
      </c>
      <c r="AK119" t="s">
        <v>748</v>
      </c>
      <c r="AL119" t="s">
        <v>748</v>
      </c>
      <c r="AM119" t="s">
        <v>748</v>
      </c>
      <c r="AN119" t="s">
        <v>748</v>
      </c>
      <c r="AO119" t="s">
        <v>748</v>
      </c>
      <c r="AP119" t="s">
        <v>748</v>
      </c>
      <c r="AQ119" t="s">
        <v>748</v>
      </c>
      <c r="AR119" t="s">
        <v>748</v>
      </c>
      <c r="AS119" t="s">
        <v>748</v>
      </c>
      <c r="AT119" t="s">
        <v>748</v>
      </c>
      <c r="AU119" t="s">
        <v>748</v>
      </c>
      <c r="AV119" t="s">
        <v>748</v>
      </c>
      <c r="AW119" t="s">
        <v>748</v>
      </c>
      <c r="AX119" t="s">
        <v>748</v>
      </c>
      <c r="AY119" t="s">
        <v>748</v>
      </c>
      <c r="AZ119" t="s">
        <v>748</v>
      </c>
      <c r="BA119" t="s">
        <v>748</v>
      </c>
      <c r="BB119" t="s">
        <v>748</v>
      </c>
      <c r="BC119" t="s">
        <v>748</v>
      </c>
      <c r="BD119" t="s">
        <v>748</v>
      </c>
      <c r="BE119" t="s">
        <v>748</v>
      </c>
      <c r="BF119" t="s">
        <v>748</v>
      </c>
      <c r="BG119" t="s">
        <v>748</v>
      </c>
      <c r="BH119" t="s">
        <v>748</v>
      </c>
      <c r="BI119" t="s">
        <v>748</v>
      </c>
      <c r="BJ119" t="s">
        <v>748</v>
      </c>
      <c r="BK119" t="s">
        <v>748</v>
      </c>
      <c r="BL119" t="s">
        <v>748</v>
      </c>
      <c r="BM119" t="s">
        <v>748</v>
      </c>
      <c r="BN119" t="s">
        <v>748</v>
      </c>
      <c r="BO119" t="s">
        <v>748</v>
      </c>
      <c r="BP119" t="s">
        <v>748</v>
      </c>
      <c r="BQ119" t="s">
        <v>748</v>
      </c>
      <c r="BR119" t="s">
        <v>748</v>
      </c>
      <c r="BS119" t="s">
        <v>748</v>
      </c>
      <c r="BT119" t="s">
        <v>748</v>
      </c>
      <c r="BU119" t="s">
        <v>748</v>
      </c>
      <c r="BV119" t="s">
        <v>748</v>
      </c>
      <c r="BW119" t="s">
        <v>748</v>
      </c>
      <c r="BX119" t="s">
        <v>748</v>
      </c>
      <c r="BY119" t="s">
        <v>748</v>
      </c>
      <c r="BZ119" t="s">
        <v>748</v>
      </c>
      <c r="CA119" t="s">
        <v>748</v>
      </c>
      <c r="CB119" t="s">
        <v>748</v>
      </c>
      <c r="CC119" t="s">
        <v>748</v>
      </c>
      <c r="CD119" t="s">
        <v>748</v>
      </c>
    </row>
    <row r="120" spans="2:82">
      <c r="B120" s="805">
        <v>1</v>
      </c>
      <c r="C120" s="805" t="s">
        <v>1187</v>
      </c>
      <c r="D120" s="805" t="s">
        <v>1188</v>
      </c>
      <c r="E120" s="805" t="s">
        <v>1189</v>
      </c>
      <c r="F120" s="805" t="s">
        <v>1190</v>
      </c>
      <c r="G120" s="805" t="s">
        <v>1191</v>
      </c>
      <c r="H120" s="805" t="s">
        <v>1192</v>
      </c>
      <c r="I120" s="805" t="s">
        <v>1110</v>
      </c>
      <c r="J120" s="805" t="s">
        <v>836</v>
      </c>
      <c r="K120" s="805" t="s">
        <v>852</v>
      </c>
      <c r="L120" s="805" t="s">
        <v>752</v>
      </c>
      <c r="M120" t="s">
        <v>752</v>
      </c>
      <c r="N120" t="s">
        <v>752</v>
      </c>
      <c r="O120" t="s">
        <v>752</v>
      </c>
      <c r="P120" t="s">
        <v>752</v>
      </c>
      <c r="Q120" t="s">
        <v>752</v>
      </c>
      <c r="R120" t="s">
        <v>752</v>
      </c>
      <c r="S120" t="s">
        <v>752</v>
      </c>
      <c r="T120" t="s">
        <v>752</v>
      </c>
      <c r="U120" t="s">
        <v>752</v>
      </c>
      <c r="V120" t="s">
        <v>752</v>
      </c>
      <c r="W120" t="s">
        <v>752</v>
      </c>
      <c r="X120" t="s">
        <v>752</v>
      </c>
      <c r="Y120" t="s">
        <v>752</v>
      </c>
      <c r="Z120" t="s">
        <v>752</v>
      </c>
      <c r="AA120" t="s">
        <v>752</v>
      </c>
      <c r="AB120" t="s">
        <v>752</v>
      </c>
      <c r="AC120" t="s">
        <v>752</v>
      </c>
      <c r="AD120" t="s">
        <v>752</v>
      </c>
      <c r="AE120" t="s">
        <v>752</v>
      </c>
      <c r="AF120" t="s">
        <v>752</v>
      </c>
      <c r="AG120" t="s">
        <v>752</v>
      </c>
      <c r="AH120" t="s">
        <v>752</v>
      </c>
      <c r="AI120" t="s">
        <v>752</v>
      </c>
      <c r="AJ120" t="s">
        <v>752</v>
      </c>
      <c r="AK120" t="s">
        <v>752</v>
      </c>
      <c r="AL120" t="s">
        <v>752</v>
      </c>
      <c r="AM120" t="s">
        <v>752</v>
      </c>
      <c r="AN120" t="s">
        <v>752</v>
      </c>
      <c r="AO120" t="s">
        <v>752</v>
      </c>
      <c r="AP120" t="s">
        <v>752</v>
      </c>
      <c r="AQ120" t="s">
        <v>752</v>
      </c>
      <c r="AR120" t="s">
        <v>752</v>
      </c>
      <c r="AS120" t="s">
        <v>752</v>
      </c>
      <c r="AT120" t="s">
        <v>752</v>
      </c>
      <c r="AU120" t="s">
        <v>752</v>
      </c>
      <c r="AV120" t="s">
        <v>752</v>
      </c>
      <c r="AW120" t="s">
        <v>752</v>
      </c>
      <c r="AX120" t="s">
        <v>752</v>
      </c>
      <c r="AY120" t="s">
        <v>752</v>
      </c>
      <c r="AZ120" t="s">
        <v>752</v>
      </c>
      <c r="BA120" t="s">
        <v>752</v>
      </c>
      <c r="BB120" t="s">
        <v>752</v>
      </c>
      <c r="BC120" t="s">
        <v>752</v>
      </c>
      <c r="BD120" t="s">
        <v>752</v>
      </c>
      <c r="BE120" t="s">
        <v>752</v>
      </c>
      <c r="BF120" t="s">
        <v>752</v>
      </c>
      <c r="BG120" t="s">
        <v>752</v>
      </c>
      <c r="BH120" t="s">
        <v>752</v>
      </c>
      <c r="BI120" t="s">
        <v>752</v>
      </c>
      <c r="BJ120" t="s">
        <v>752</v>
      </c>
      <c r="BK120" t="s">
        <v>752</v>
      </c>
      <c r="BL120" t="s">
        <v>752</v>
      </c>
      <c r="BM120" t="s">
        <v>752</v>
      </c>
      <c r="BN120" t="s">
        <v>752</v>
      </c>
      <c r="BO120" t="s">
        <v>752</v>
      </c>
      <c r="BP120" t="s">
        <v>752</v>
      </c>
      <c r="BQ120" t="s">
        <v>752</v>
      </c>
      <c r="BR120" t="s">
        <v>752</v>
      </c>
      <c r="BS120" t="s">
        <v>752</v>
      </c>
      <c r="BT120" t="s">
        <v>752</v>
      </c>
      <c r="BU120" t="s">
        <v>752</v>
      </c>
      <c r="BV120" t="s">
        <v>752</v>
      </c>
      <c r="BW120" t="s">
        <v>752</v>
      </c>
      <c r="BX120" t="s">
        <v>752</v>
      </c>
      <c r="BY120" t="s">
        <v>752</v>
      </c>
      <c r="BZ120" t="s">
        <v>752</v>
      </c>
      <c r="CA120" t="s">
        <v>752</v>
      </c>
      <c r="CB120" t="s">
        <v>752</v>
      </c>
      <c r="CC120" t="s">
        <v>752</v>
      </c>
      <c r="CD120" t="s">
        <v>752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1:Y39"/>
  <sheetViews>
    <sheetView zoomScaleNormal="100" workbookViewId="0">
      <selection activeCell="N5" sqref="N5"/>
    </sheetView>
  </sheetViews>
  <sheetFormatPr defaultColWidth="8.6640625" defaultRowHeight="14.4"/>
  <cols>
    <col min="7" max="7" width="8.6640625" customWidth="1"/>
    <col min="8" max="8" width="12.33203125" bestFit="1" customWidth="1"/>
    <col min="12" max="12" width="26.33203125" bestFit="1" customWidth="1"/>
    <col min="13" max="13" width="11.33203125" bestFit="1" customWidth="1"/>
    <col min="14" max="14" width="11.88671875" bestFit="1" customWidth="1"/>
    <col min="15" max="15" width="10.6640625" bestFit="1" customWidth="1"/>
    <col min="16" max="18" width="10.6640625" customWidth="1"/>
    <col min="19" max="19" width="28.109375" bestFit="1" customWidth="1"/>
    <col min="20" max="20" width="13.88671875" customWidth="1"/>
    <col min="21" max="21" width="10.6640625" bestFit="1" customWidth="1"/>
    <col min="22" max="22" width="17.88671875" customWidth="1"/>
    <col min="23" max="23" width="11.33203125" bestFit="1" customWidth="1"/>
    <col min="24" max="24" width="10.6640625" bestFit="1" customWidth="1"/>
    <col min="26" max="27" width="10.6640625" bestFit="1" customWidth="1"/>
    <col min="30" max="30" width="10.6640625" bestFit="1" customWidth="1"/>
  </cols>
  <sheetData>
    <row r="1" spans="3:25">
      <c r="L1" s="154" t="s">
        <v>220</v>
      </c>
      <c r="M1" s="6">
        <f ca="1">TODAY()</f>
        <v>45558</v>
      </c>
      <c r="O1" s="123"/>
    </row>
    <row r="2" spans="3:25">
      <c r="L2" s="154" t="s">
        <v>221</v>
      </c>
      <c r="M2" s="6">
        <f>'Simulador - Datos personales'!E7</f>
        <v>28309</v>
      </c>
      <c r="O2" s="123"/>
    </row>
    <row r="3" spans="3:25">
      <c r="L3" s="154" t="s">
        <v>222</v>
      </c>
      <c r="M3" s="155">
        <f>'Simulador - Datos personales'!E18+'Simulador - Datos personales'!E19/12</f>
        <v>0</v>
      </c>
    </row>
    <row r="4" spans="3:25">
      <c r="L4" s="154" t="s">
        <v>223</v>
      </c>
      <c r="M4" s="7">
        <f ca="1">MAX((DATE(YEAR(M2)+65,MONTH(M2),DAY(M2))-M1)/365.25,0)</f>
        <v>17.774127310061601</v>
      </c>
      <c r="N4" s="7">
        <f ca="1">MAX((T7-M1)/365.25,0)</f>
        <v>17.774127310061601</v>
      </c>
      <c r="V4" s="123"/>
    </row>
    <row r="5" spans="3:25">
      <c r="N5" t="s">
        <v>631</v>
      </c>
    </row>
    <row r="6" spans="3:25">
      <c r="M6" s="123">
        <f ca="1">IF(P12&gt;=L12,M12,IF(YEAR(M12)=YEAR(N12),N12,IF(P13&gt;=L13,M13,IF(YEAR(M13)=YEAR(N13),N13,IF(P14&gt;=L14,M14,N14)))))</f>
        <v>52781</v>
      </c>
      <c r="N6" s="244">
        <f ca="1">IF(P12&gt;=L12,M12,IF(YEAR(M12)=YEAR(N12),N12,IF(AND(P13&gt;=L13,N13=M13),M13,IF(YEAR(M13)=YEAR(N13),N13,IF(AND(P14&gt;=L14,M14=N14),M14,N14)))))</f>
        <v>52781</v>
      </c>
      <c r="P6" t="s">
        <v>350</v>
      </c>
    </row>
    <row r="7" spans="3:25">
      <c r="C7" s="154" t="s">
        <v>31</v>
      </c>
      <c r="D7" s="154" t="s">
        <v>73</v>
      </c>
      <c r="E7" s="154" t="s">
        <v>72</v>
      </c>
      <c r="F7" s="154" t="s">
        <v>74</v>
      </c>
      <c r="G7" s="154" t="s">
        <v>235</v>
      </c>
      <c r="H7" s="154" t="s">
        <v>236</v>
      </c>
      <c r="L7" s="154" t="s">
        <v>224</v>
      </c>
      <c r="M7" s="6">
        <f ca="1">U12</f>
        <v>52781</v>
      </c>
      <c r="N7" s="255">
        <f ca="1">M7</f>
        <v>52781</v>
      </c>
      <c r="O7" s="254">
        <f ca="1">MAX(INT((P7-M7)/365.25),0)</f>
        <v>0</v>
      </c>
      <c r="P7" s="248">
        <f ca="1">IF(M7&lt;M1,M1,M7)</f>
        <v>52781</v>
      </c>
      <c r="Q7" s="254">
        <f ca="1">MAX(IF(AND(M7&lt;M1,O7='Simulador - 1º Pilar'!E99),(MONTH(M1)-MONTH(M7)),0),0)</f>
        <v>0</v>
      </c>
      <c r="S7" s="154" t="s">
        <v>184</v>
      </c>
      <c r="T7" s="6">
        <f ca="1">DATE(YEAR(M7)-2,MONTH(M7),DAY(M7))</f>
        <v>52050</v>
      </c>
      <c r="U7" s="6">
        <f ca="1">DATE(YEAR(M1)-'Simulador - Datos personales'!E18+35,MONTH(M1)-'Simulador - Datos personales'!$E$19,DAY(M1))</f>
        <v>58341</v>
      </c>
      <c r="V7" s="158">
        <f ca="1">IF(IF(IF(U7&lt;T7,T7,U7)&lt;M1,M1,IF(U7&lt;T7,T7,U7))&gt;N7,N7,IF(U7&lt;T7,T7,U7))</f>
        <v>52781</v>
      </c>
    </row>
    <row r="8" spans="3:25">
      <c r="C8">
        <v>1996</v>
      </c>
      <c r="D8">
        <v>0</v>
      </c>
      <c r="E8">
        <v>65</v>
      </c>
      <c r="F8">
        <f>E8</f>
        <v>65</v>
      </c>
      <c r="G8">
        <v>0</v>
      </c>
      <c r="H8">
        <v>0</v>
      </c>
      <c r="L8" s="154" t="s">
        <v>134</v>
      </c>
      <c r="M8" s="7">
        <f ca="1">_xlfn.IFNA(VLOOKUP(M7,$M$12:$O$14,3,0),VLOOKUP(M7,$N$12:$O$14,2,0))</f>
        <v>67</v>
      </c>
      <c r="O8" s="242" t="s">
        <v>336</v>
      </c>
      <c r="Q8" s="242" t="s">
        <v>29</v>
      </c>
      <c r="S8" s="154" t="s">
        <v>134</v>
      </c>
      <c r="T8" s="4"/>
      <c r="U8" s="4"/>
      <c r="V8" s="159">
        <f ca="1">(V7-M2)/365.25</f>
        <v>67.000684462696782</v>
      </c>
    </row>
    <row r="9" spans="3:25">
      <c r="C9">
        <v>1997</v>
      </c>
      <c r="D9">
        <v>0</v>
      </c>
      <c r="E9">
        <v>65</v>
      </c>
      <c r="F9">
        <f t="shared" ref="F9:F24" si="0">E9</f>
        <v>65</v>
      </c>
      <c r="G9">
        <v>0</v>
      </c>
      <c r="H9">
        <v>0</v>
      </c>
      <c r="L9" s="154" t="s">
        <v>187</v>
      </c>
      <c r="M9" s="7">
        <f ca="1">_xlfn.IFNA(VLOOKUP(M7,$M$12:$P$14,4,0),VLOOKUP(M7,$N$12:$P$14,3,0))</f>
        <v>19.774127310061601</v>
      </c>
      <c r="P9" s="123"/>
      <c r="Q9" s="249"/>
      <c r="S9" s="154" t="s">
        <v>187</v>
      </c>
      <c r="T9" s="7">
        <f ca="1">(T7-$M$1)/365.25+$M$3</f>
        <v>17.774127310061601</v>
      </c>
      <c r="U9" s="7">
        <f ca="1">(U7-$M$1)/365.25+$M$3</f>
        <v>34.997946611909654</v>
      </c>
      <c r="V9" s="159">
        <f ca="1">(V7-$M$1)/365.25+$M$3</f>
        <v>19.775496235455169</v>
      </c>
    </row>
    <row r="10" spans="3:25">
      <c r="C10">
        <v>1998</v>
      </c>
      <c r="D10">
        <v>0</v>
      </c>
      <c r="E10">
        <v>65</v>
      </c>
      <c r="F10">
        <f t="shared" si="0"/>
        <v>65</v>
      </c>
      <c r="G10">
        <v>0</v>
      </c>
      <c r="H10">
        <v>0</v>
      </c>
      <c r="Q10" s="250">
        <f ca="1">IF(Q12&gt;=L12,M12,IF(YEAR(M12)=YEAR(N12),N12,IF(AND(Q13&gt;=L13,N13=M13),M13,IF(YEAR(M13)=YEAR(N13),N13,IF(AND(Q14&gt;=L14,M14=N14),M14,N14)))))</f>
        <v>52781</v>
      </c>
    </row>
    <row r="11" spans="3:25">
      <c r="C11">
        <v>1999</v>
      </c>
      <c r="D11">
        <v>0</v>
      </c>
      <c r="E11">
        <v>65</v>
      </c>
      <c r="F11">
        <f t="shared" si="0"/>
        <v>65</v>
      </c>
      <c r="G11">
        <v>0</v>
      </c>
      <c r="H11">
        <v>0</v>
      </c>
      <c r="L11" s="154" t="s">
        <v>5</v>
      </c>
      <c r="M11" s="909" t="s">
        <v>225</v>
      </c>
      <c r="N11" s="909"/>
      <c r="O11" s="909"/>
      <c r="P11" s="909"/>
      <c r="Q11" s="251" t="s">
        <v>351</v>
      </c>
      <c r="R11" s="6">
        <f ca="1">DATE(YEAR(M1)-'Simulador - Datos personales'!E18,MONTH('Fecha Jubilación'!M1)-'Simulador - Datos personales'!E19,DAY('Fecha Jubilación'!M1))</f>
        <v>45558</v>
      </c>
    </row>
    <row r="12" spans="3:25">
      <c r="C12">
        <v>2000</v>
      </c>
      <c r="D12">
        <v>0</v>
      </c>
      <c r="E12">
        <v>65</v>
      </c>
      <c r="F12">
        <f t="shared" si="0"/>
        <v>65</v>
      </c>
      <c r="G12">
        <v>0</v>
      </c>
      <c r="H12">
        <v>0</v>
      </c>
      <c r="L12" s="153">
        <f>IF(YEAR(M12)&gt;2027,38.5,VLOOKUP(YEAR(M12),$C$8:$D$39,2,0))</f>
        <v>38.5</v>
      </c>
      <c r="M12" s="156">
        <f>DATE(YEAR(M2)+65,MONTH(M2),DAY(M2))</f>
        <v>52050</v>
      </c>
      <c r="N12" s="156">
        <f>DATE(YEAR($M$2)+65,MONTH($M$2)+IF(YEAR(M12)&gt;2027,(VLOOKUP(2027,$C$8:$H$39,6,0)),(VLOOKUP(YEAR(M12),$C$8:$H$39,6,0))),DAY($M$2))</f>
        <v>52781</v>
      </c>
      <c r="O12" s="157">
        <f>65+IF(YEAR(M12)&gt;2027,VLOOKUP(2027,$C$8:$H$39,6,0),VLOOKUP(YEAR(M12),$C$8:$H$39,6,0))/12</f>
        <v>67</v>
      </c>
      <c r="P12" s="157">
        <f ca="1">M4+M3</f>
        <v>17.774127310061601</v>
      </c>
      <c r="Q12" s="157">
        <f ca="1">M3-($M$1-M12)/365.25</f>
        <v>17.774127310061601</v>
      </c>
      <c r="R12" s="157">
        <f ca="1">(M12-$R$11)/365.25</f>
        <v>17.774127310061601</v>
      </c>
      <c r="T12" s="253" t="s">
        <v>349</v>
      </c>
      <c r="U12" s="6">
        <f ca="1">_xlfn.IFNA(IF(U13&gt;M12,MIN(IF(M1&gt;M12,Q10,N6),U13),M12),IF(M1&gt;M12,Q10,N6))</f>
        <v>52781</v>
      </c>
      <c r="W12" s="55"/>
      <c r="X12" s="55"/>
      <c r="Y12" s="55"/>
    </row>
    <row r="13" spans="3:25">
      <c r="C13">
        <v>2001</v>
      </c>
      <c r="D13">
        <v>0</v>
      </c>
      <c r="E13">
        <v>65</v>
      </c>
      <c r="F13">
        <f t="shared" si="0"/>
        <v>65</v>
      </c>
      <c r="G13">
        <v>0</v>
      </c>
      <c r="H13">
        <v>0</v>
      </c>
      <c r="L13" s="153">
        <f>IF(YEAR(M13)&gt;2027,38.5,VLOOKUP(YEAR(M13),$C$8:$D$39,2,0))</f>
        <v>38.5</v>
      </c>
      <c r="M13" s="156">
        <f>N12</f>
        <v>52781</v>
      </c>
      <c r="N13" s="156">
        <f>DATE(YEAR($M$2)+65,MONTH($M$2)+IF(YEAR(M13)&gt;2027,(VLOOKUP(2027,$C$8:$H$39,6,0)),(VLOOKUP(YEAR(M13),$C$8:$H$39,6,0))),DAY($M$2))</f>
        <v>52781</v>
      </c>
      <c r="O13" s="157">
        <f>65+IF(YEAR(M13)&gt;2027,VLOOKUP(2027,$C$8:$H$39,6,0),VLOOKUP(YEAR(M13),$C$8:$H$39,6,0))/12</f>
        <v>67</v>
      </c>
      <c r="P13" s="157">
        <f ca="1">M4+M3+O13-65</f>
        <v>19.774127310061601</v>
      </c>
      <c r="Q13" s="157">
        <f ca="1">Q12+O13-65</f>
        <v>19.774127310061601</v>
      </c>
      <c r="R13" s="157">
        <f ca="1">(M13-$R$11)/365.25</f>
        <v>19.775496235455169</v>
      </c>
      <c r="S13" s="55"/>
      <c r="T13" s="245" t="s">
        <v>348</v>
      </c>
      <c r="U13" s="6" t="e">
        <f ca="1">VLOOKUP("Si",$T$16:$W$30,4,0)</f>
        <v>#N/A</v>
      </c>
      <c r="W13" s="55"/>
      <c r="X13" s="55"/>
      <c r="Y13" s="55"/>
    </row>
    <row r="14" spans="3:25">
      <c r="C14">
        <v>2002</v>
      </c>
      <c r="D14">
        <v>0</v>
      </c>
      <c r="E14">
        <v>65</v>
      </c>
      <c r="F14">
        <f t="shared" si="0"/>
        <v>65</v>
      </c>
      <c r="G14">
        <v>0</v>
      </c>
      <c r="H14">
        <v>0</v>
      </c>
      <c r="L14" s="153">
        <f>IF(YEAR(M14)&gt;2027,38.5,VLOOKUP(YEAR(M14),$C$8:$D$39,2,0))</f>
        <v>38.5</v>
      </c>
      <c r="M14" s="156">
        <f>N13</f>
        <v>52781</v>
      </c>
      <c r="N14" s="156">
        <f>DATE(YEAR($M$2)+65,MONTH($M$2)+IF(YEAR(M14)&gt;2027,(VLOOKUP(2027,$C$8:$H$39,6,0)),(VLOOKUP(YEAR(M14),$C$8:$H$39,6,0))),DAY($M$2))</f>
        <v>52781</v>
      </c>
      <c r="O14" s="157">
        <f>65+IF(YEAR(M14)&gt;2027,VLOOKUP(2027,$C$8:$H$39,6,0),VLOOKUP(YEAR(M14),$C$8:$H$39,6,0))/12</f>
        <v>67</v>
      </c>
      <c r="P14" s="157">
        <f ca="1">M3+M4+O14-65</f>
        <v>19.774127310061601</v>
      </c>
      <c r="Q14" s="157">
        <f ca="1">Q13+O14-O13</f>
        <v>19.774127310061601</v>
      </c>
      <c r="R14" s="157">
        <f ca="1">(M14-$R$11)/365.25</f>
        <v>19.775496235455169</v>
      </c>
      <c r="S14" s="55"/>
      <c r="W14" s="55"/>
      <c r="X14" s="55"/>
      <c r="Y14" s="55"/>
    </row>
    <row r="15" spans="3:25">
      <c r="C15">
        <v>2003</v>
      </c>
      <c r="D15">
        <v>0</v>
      </c>
      <c r="E15">
        <v>65</v>
      </c>
      <c r="F15">
        <f t="shared" si="0"/>
        <v>65</v>
      </c>
      <c r="G15">
        <v>0</v>
      </c>
      <c r="H15">
        <v>0</v>
      </c>
      <c r="Q15" s="249"/>
      <c r="T15" s="247" t="s">
        <v>347</v>
      </c>
      <c r="U15" s="245" t="s">
        <v>346</v>
      </c>
      <c r="V15" s="245" t="s">
        <v>187</v>
      </c>
      <c r="W15" s="246" t="s">
        <v>1</v>
      </c>
    </row>
    <row r="16" spans="3:25">
      <c r="C16">
        <v>2004</v>
      </c>
      <c r="D16">
        <v>0</v>
      </c>
      <c r="E16">
        <v>65</v>
      </c>
      <c r="F16">
        <f t="shared" si="0"/>
        <v>65</v>
      </c>
      <c r="G16">
        <v>0</v>
      </c>
      <c r="H16">
        <v>0</v>
      </c>
      <c r="P16" s="55"/>
      <c r="Q16" s="55"/>
      <c r="R16" s="55"/>
      <c r="T16" s="4" t="str">
        <f ca="1">IF(YEAR(W16)=U16,"Si","No")</f>
        <v>No</v>
      </c>
      <c r="U16" s="7">
        <f>YEAR($M$12)</f>
        <v>2042</v>
      </c>
      <c r="V16" s="4">
        <f>IF(U16&gt;2027,38.5,VLOOKUP(U16,$C$8:$D$39,2,0))</f>
        <v>38.5</v>
      </c>
      <c r="W16" s="6">
        <f ca="1">DATE(YEAR($M$1)+INT(V16)-'Simulador - Datos personales'!$E$18,MONTH($M$1)+(V16-INT(V16))*12-'Simulador - Datos personales'!$E$19,DAY($M$1))</f>
        <v>59618</v>
      </c>
      <c r="X16" s="55">
        <f ca="1">(W16-$R$11)/365.25</f>
        <v>38.494182067077347</v>
      </c>
    </row>
    <row r="17" spans="3:24">
      <c r="C17">
        <v>2005</v>
      </c>
      <c r="D17">
        <v>0</v>
      </c>
      <c r="E17">
        <v>65</v>
      </c>
      <c r="F17">
        <f t="shared" si="0"/>
        <v>65</v>
      </c>
      <c r="G17">
        <v>0</v>
      </c>
      <c r="H17">
        <v>0</v>
      </c>
      <c r="L17" s="154" t="s">
        <v>238</v>
      </c>
      <c r="M17" s="6">
        <f ca="1">MAX(N17,M1)</f>
        <v>75790</v>
      </c>
      <c r="N17" s="6">
        <f ca="1">DATE(YEAR(N7)+L18,MONTH('Fecha Jubilación'!N7),DAY('Fecha Jubilación'!N7))</f>
        <v>75790</v>
      </c>
      <c r="P17" s="55"/>
      <c r="Q17" s="55"/>
      <c r="R17" s="55"/>
      <c r="T17" s="4" t="str">
        <f t="shared" ref="T17:T30" ca="1" si="1">IF(YEAR(W17)=U17,"Si","No")</f>
        <v>No</v>
      </c>
      <c r="U17" s="7">
        <f>YEAR($M$12)+1</f>
        <v>2043</v>
      </c>
      <c r="V17" s="4">
        <f>IF(U17&gt;2027,38.5,VLOOKUP(U17,$C$8:$D$39,2,0))</f>
        <v>38.5</v>
      </c>
      <c r="W17" s="6">
        <f ca="1">DATE(YEAR($M$1)+INT(V17)-'Simulador - Datos personales'!$E$18,MONTH($M$1)+(V17-INT(V17))*12-'Simulador - Datos personales'!$E$19,DAY($M$1))</f>
        <v>59618</v>
      </c>
      <c r="X17" s="55">
        <f t="shared" ref="X17:X39" ca="1" si="2">(W17-$R$11)/365.25</f>
        <v>38.494182067077347</v>
      </c>
    </row>
    <row r="18" spans="3:24">
      <c r="C18">
        <v>2006</v>
      </c>
      <c r="D18">
        <v>0</v>
      </c>
      <c r="E18">
        <v>65</v>
      </c>
      <c r="F18">
        <f t="shared" si="0"/>
        <v>65</v>
      </c>
      <c r="G18">
        <v>0</v>
      </c>
      <c r="H18">
        <v>0</v>
      </c>
      <c r="L18" s="4">
        <f>'Simulador - 1º Pilar'!E99</f>
        <v>63</v>
      </c>
      <c r="Q18" s="249"/>
      <c r="T18" s="4" t="str">
        <f t="shared" ca="1" si="1"/>
        <v>No</v>
      </c>
      <c r="U18" s="7">
        <f>U17+1</f>
        <v>2044</v>
      </c>
      <c r="V18" s="4">
        <f t="shared" ref="V18:V29" si="3">IF(U18&gt;2027,38.5,VLOOKUP(U18,$C$8:$D$39,2,0))</f>
        <v>38.5</v>
      </c>
      <c r="W18" s="6">
        <f ca="1">DATE(YEAR($M$1)+INT(V18)-'Simulador - Datos personales'!$E$18,MONTH($M$1)+(V18-INT(V18))*12-'Simulador - Datos personales'!$E$19,DAY($M$1))</f>
        <v>59618</v>
      </c>
      <c r="X18" s="55">
        <f t="shared" ca="1" si="2"/>
        <v>38.494182067077347</v>
      </c>
    </row>
    <row r="19" spans="3:24">
      <c r="C19">
        <v>2007</v>
      </c>
      <c r="D19">
        <v>0</v>
      </c>
      <c r="E19">
        <v>65</v>
      </c>
      <c r="F19">
        <f t="shared" si="0"/>
        <v>65</v>
      </c>
      <c r="G19">
        <v>0</v>
      </c>
      <c r="H19">
        <v>0</v>
      </c>
      <c r="T19" s="4" t="str">
        <f t="shared" ca="1" si="1"/>
        <v>No</v>
      </c>
      <c r="U19" s="7">
        <f t="shared" ref="U19:U30" si="4">U18+1</f>
        <v>2045</v>
      </c>
      <c r="V19" s="4">
        <f t="shared" si="3"/>
        <v>38.5</v>
      </c>
      <c r="W19" s="6">
        <f ca="1">DATE(YEAR($M$1)+INT(V19)-'Simulador - Datos personales'!$E$18,MONTH($M$1)+(V19-INT(V19))*12-'Simulador - Datos personales'!$E$19,DAY($M$1))</f>
        <v>59618</v>
      </c>
      <c r="X19" s="55">
        <f t="shared" ca="1" si="2"/>
        <v>38.494182067077347</v>
      </c>
    </row>
    <row r="20" spans="3:24">
      <c r="C20">
        <v>2008</v>
      </c>
      <c r="D20">
        <v>0</v>
      </c>
      <c r="E20">
        <v>65</v>
      </c>
      <c r="F20">
        <f t="shared" si="0"/>
        <v>65</v>
      </c>
      <c r="G20">
        <v>0</v>
      </c>
      <c r="H20">
        <v>0</v>
      </c>
      <c r="L20" s="154" t="s">
        <v>332</v>
      </c>
      <c r="M20" s="228">
        <f ca="1">DATE(YEAR(V7),MONTH(V7),DAY(V7))</f>
        <v>52781</v>
      </c>
      <c r="T20" s="4" t="str">
        <f t="shared" ca="1" si="1"/>
        <v>No</v>
      </c>
      <c r="U20" s="7">
        <f t="shared" si="4"/>
        <v>2046</v>
      </c>
      <c r="V20" s="4">
        <f t="shared" si="3"/>
        <v>38.5</v>
      </c>
      <c r="W20" s="6">
        <f ca="1">DATE(YEAR($M$1)+INT(V20)-'Simulador - Datos personales'!$E$18,MONTH($M$1)+(V20-INT(V20))*12-'Simulador - Datos personales'!$E$19,DAY($M$1))</f>
        <v>59618</v>
      </c>
      <c r="X20" s="55">
        <f t="shared" ca="1" si="2"/>
        <v>38.494182067077347</v>
      </c>
    </row>
    <row r="21" spans="3:24">
      <c r="C21">
        <v>2009</v>
      </c>
      <c r="D21">
        <v>0</v>
      </c>
      <c r="E21">
        <v>65</v>
      </c>
      <c r="F21">
        <f t="shared" si="0"/>
        <v>65</v>
      </c>
      <c r="G21">
        <v>0</v>
      </c>
      <c r="H21">
        <v>0</v>
      </c>
      <c r="K21" s="4" t="s">
        <v>333</v>
      </c>
      <c r="L21" s="156">
        <f>'Simulador - 1º Pilar'!G16</f>
        <v>0</v>
      </c>
      <c r="O21" s="6">
        <f ca="1">'Simulador - 1º Pilar'!G5</f>
        <v>52781</v>
      </c>
      <c r="T21" s="4" t="str">
        <f t="shared" ca="1" si="1"/>
        <v>No</v>
      </c>
      <c r="U21" s="7">
        <f t="shared" si="4"/>
        <v>2047</v>
      </c>
      <c r="V21" s="4">
        <f t="shared" si="3"/>
        <v>38.5</v>
      </c>
      <c r="W21" s="6">
        <f ca="1">DATE(YEAR($M$1)+INT(V21)-'Simulador - Datos personales'!$E$18,MONTH($M$1)+(V21-INT(V21))*12-'Simulador - Datos personales'!$E$19,DAY($M$1))</f>
        <v>59618</v>
      </c>
      <c r="X21" s="55">
        <f t="shared" ca="1" si="2"/>
        <v>38.494182067077347</v>
      </c>
    </row>
    <row r="22" spans="3:24">
      <c r="C22">
        <v>2010</v>
      </c>
      <c r="D22">
        <v>0</v>
      </c>
      <c r="E22">
        <v>65</v>
      </c>
      <c r="F22">
        <f t="shared" si="0"/>
        <v>65</v>
      </c>
      <c r="G22">
        <v>0</v>
      </c>
      <c r="H22">
        <v>0</v>
      </c>
      <c r="K22" s="4" t="s">
        <v>334</v>
      </c>
      <c r="L22" s="223">
        <f ca="1">_xlfn.DAYS(M20,L21)</f>
        <v>52781</v>
      </c>
      <c r="O22" s="232">
        <f ca="1">'Simulador - 1º Pilar'!E5</f>
        <v>52781</v>
      </c>
      <c r="T22" s="4" t="str">
        <f t="shared" ca="1" si="1"/>
        <v>No</v>
      </c>
      <c r="U22" s="7">
        <f t="shared" si="4"/>
        <v>2048</v>
      </c>
      <c r="V22" s="4">
        <f t="shared" si="3"/>
        <v>38.5</v>
      </c>
      <c r="W22" s="6">
        <f ca="1">DATE(YEAR($M$1)+INT(V22)-'Simulador - Datos personales'!$E$18,MONTH($M$1)+(V22-INT(V22))*12-'Simulador - Datos personales'!$E$19,DAY($M$1))</f>
        <v>59618</v>
      </c>
      <c r="X22" s="55">
        <f t="shared" ca="1" si="2"/>
        <v>38.494182067077347</v>
      </c>
    </row>
    <row r="23" spans="3:24">
      <c r="C23">
        <v>2011</v>
      </c>
      <c r="D23">
        <v>0</v>
      </c>
      <c r="E23">
        <v>65</v>
      </c>
      <c r="F23">
        <f t="shared" si="0"/>
        <v>65</v>
      </c>
      <c r="G23">
        <v>0</v>
      </c>
      <c r="H23">
        <v>0</v>
      </c>
      <c r="K23" s="229" t="s">
        <v>335</v>
      </c>
      <c r="L23" s="156">
        <f ca="1">M20+L22</f>
        <v>105562</v>
      </c>
      <c r="O23" s="6" t="str">
        <f>'Simulador - 1º Pilar'!G10</f>
        <v>Jubilación ordinaria</v>
      </c>
      <c r="P23" s="4"/>
      <c r="T23" s="4" t="str">
        <f t="shared" ca="1" si="1"/>
        <v>No</v>
      </c>
      <c r="U23" s="7">
        <f t="shared" si="4"/>
        <v>2049</v>
      </c>
      <c r="V23" s="4">
        <f t="shared" si="3"/>
        <v>38.5</v>
      </c>
      <c r="W23" s="6">
        <f ca="1">DATE(YEAR($M$1)+INT(V23)-'Simulador - Datos personales'!$E$18,MONTH($M$1)+(V23-INT(V23))*12-'Simulador - Datos personales'!$E$19,DAY($M$1))</f>
        <v>59618</v>
      </c>
      <c r="X23" s="55">
        <f t="shared" ca="1" si="2"/>
        <v>38.494182067077347</v>
      </c>
    </row>
    <row r="24" spans="3:24" ht="15">
      <c r="C24">
        <v>2012</v>
      </c>
      <c r="D24">
        <v>0</v>
      </c>
      <c r="E24">
        <v>65</v>
      </c>
      <c r="F24">
        <f t="shared" si="0"/>
        <v>65</v>
      </c>
      <c r="G24">
        <v>0</v>
      </c>
      <c r="H24">
        <v>0</v>
      </c>
      <c r="L24" s="230">
        <f ca="1">+IF($O$23="Jubilación anticipada",DATE(YEAR($O$22)-13,MONTH($O$22),DAY($O$22)),IF($O$23="Jubilación ordinaria",DATE(YEAR($O$21)-13,MONTH($O$21),DAY($O$21)),""))</f>
        <v>48032</v>
      </c>
      <c r="T24" s="4" t="str">
        <f t="shared" ca="1" si="1"/>
        <v>No</v>
      </c>
      <c r="U24" s="7">
        <f t="shared" si="4"/>
        <v>2050</v>
      </c>
      <c r="V24" s="4">
        <f t="shared" si="3"/>
        <v>38.5</v>
      </c>
      <c r="W24" s="6">
        <f ca="1">DATE(YEAR($M$1)+INT(V24)-'Simulador - Datos personales'!$E$18,MONTH($M$1)+(V24-INT(V24))*12-'Simulador - Datos personales'!$E$19,DAY($M$1))</f>
        <v>59618</v>
      </c>
      <c r="X24" s="55">
        <f t="shared" ca="1" si="2"/>
        <v>38.494182067077347</v>
      </c>
    </row>
    <row r="25" spans="3:24">
      <c r="C25">
        <v>2013</v>
      </c>
      <c r="D25">
        <f t="shared" ref="D25:D29" si="5">D26-0.25</f>
        <v>35.25</v>
      </c>
      <c r="E25">
        <v>65</v>
      </c>
      <c r="F25" s="55">
        <f t="shared" ref="F25:F29" si="6">F26-1/12</f>
        <v>65.1666666666667</v>
      </c>
      <c r="G25" s="55">
        <f>F25-E25</f>
        <v>0.16666666666669983</v>
      </c>
      <c r="H25">
        <v>2.0000000000003979</v>
      </c>
      <c r="T25" s="4" t="str">
        <f t="shared" ca="1" si="1"/>
        <v>No</v>
      </c>
      <c r="U25" s="7">
        <f t="shared" si="4"/>
        <v>2051</v>
      </c>
      <c r="V25" s="4">
        <f t="shared" si="3"/>
        <v>38.5</v>
      </c>
      <c r="W25" s="6">
        <f ca="1">DATE(YEAR($M$1)+INT(V25)-'Simulador - Datos personales'!$E$18,MONTH($M$1)+(V25-INT(V25))*12-'Simulador - Datos personales'!$E$19,DAY($M$1))</f>
        <v>59618</v>
      </c>
      <c r="X25" s="55">
        <f t="shared" ca="1" si="2"/>
        <v>38.494182067077347</v>
      </c>
    </row>
    <row r="26" spans="3:24">
      <c r="C26">
        <v>2014</v>
      </c>
      <c r="D26">
        <f t="shared" si="5"/>
        <v>35.5</v>
      </c>
      <c r="E26">
        <v>65</v>
      </c>
      <c r="F26" s="55">
        <f t="shared" si="6"/>
        <v>65.250000000000028</v>
      </c>
      <c r="G26" s="55">
        <f t="shared" ref="G26:G30" si="7">F26-E26</f>
        <v>0.25000000000002842</v>
      </c>
      <c r="H26">
        <v>3.0000000000003411</v>
      </c>
      <c r="T26" s="4" t="str">
        <f t="shared" ca="1" si="1"/>
        <v>No</v>
      </c>
      <c r="U26" s="7">
        <f t="shared" si="4"/>
        <v>2052</v>
      </c>
      <c r="V26" s="4">
        <f t="shared" si="3"/>
        <v>38.5</v>
      </c>
      <c r="W26" s="6">
        <f ca="1">DATE(YEAR($M$1)+INT(V26)-'Simulador - Datos personales'!$E$18,MONTH($M$1)+(V26-INT(V26))*12-'Simulador - Datos personales'!$E$19,DAY($M$1))</f>
        <v>59618</v>
      </c>
      <c r="X26" s="55">
        <f t="shared" ca="1" si="2"/>
        <v>38.494182067077347</v>
      </c>
    </row>
    <row r="27" spans="3:24">
      <c r="C27">
        <v>2015</v>
      </c>
      <c r="D27">
        <f t="shared" si="5"/>
        <v>35.75</v>
      </c>
      <c r="E27">
        <v>65</v>
      </c>
      <c r="F27" s="55">
        <f t="shared" si="6"/>
        <v>65.333333333333357</v>
      </c>
      <c r="G27" s="55">
        <f t="shared" si="7"/>
        <v>0.33333333333335702</v>
      </c>
      <c r="H27">
        <v>4.0000000000002842</v>
      </c>
      <c r="T27" s="4" t="str">
        <f t="shared" ca="1" si="1"/>
        <v>No</v>
      </c>
      <c r="U27" s="7">
        <f t="shared" si="4"/>
        <v>2053</v>
      </c>
      <c r="V27" s="4">
        <f t="shared" si="3"/>
        <v>38.5</v>
      </c>
      <c r="W27" s="6">
        <f ca="1">DATE(YEAR($M$1)+INT(V27)-'Simulador - Datos personales'!$E$18,MONTH($M$1)+(V27-INT(V27))*12-'Simulador - Datos personales'!$E$19,DAY($M$1))</f>
        <v>59618</v>
      </c>
      <c r="X27" s="55">
        <f t="shared" ca="1" si="2"/>
        <v>38.494182067077347</v>
      </c>
    </row>
    <row r="28" spans="3:24">
      <c r="C28">
        <v>2016</v>
      </c>
      <c r="D28">
        <f t="shared" si="5"/>
        <v>36</v>
      </c>
      <c r="E28">
        <v>65</v>
      </c>
      <c r="F28" s="55">
        <f t="shared" si="6"/>
        <v>65.416666666666686</v>
      </c>
      <c r="G28" s="55">
        <f t="shared" si="7"/>
        <v>0.41666666666668561</v>
      </c>
      <c r="H28">
        <v>5.0000000000002274</v>
      </c>
      <c r="T28" s="4" t="str">
        <f t="shared" ca="1" si="1"/>
        <v>No</v>
      </c>
      <c r="U28" s="7">
        <f t="shared" si="4"/>
        <v>2054</v>
      </c>
      <c r="V28" s="4">
        <f t="shared" si="3"/>
        <v>38.5</v>
      </c>
      <c r="W28" s="6">
        <f ca="1">DATE(YEAR($M$1)+INT(V28)-'Simulador - Datos personales'!$E$18,MONTH($M$1)+(V28-INT(V28))*12-'Simulador - Datos personales'!$E$19,DAY($M$1))</f>
        <v>59618</v>
      </c>
      <c r="X28" s="55">
        <f t="shared" ca="1" si="2"/>
        <v>38.494182067077347</v>
      </c>
    </row>
    <row r="29" spans="3:24">
      <c r="C29">
        <v>2017</v>
      </c>
      <c r="D29">
        <f t="shared" si="5"/>
        <v>36.25</v>
      </c>
      <c r="E29">
        <v>65</v>
      </c>
      <c r="F29" s="55">
        <f t="shared" si="6"/>
        <v>65.500000000000014</v>
      </c>
      <c r="G29" s="55">
        <f t="shared" si="7"/>
        <v>0.50000000000001421</v>
      </c>
      <c r="H29">
        <v>6.0000000000001705</v>
      </c>
      <c r="T29" s="4" t="str">
        <f t="shared" ca="1" si="1"/>
        <v>No</v>
      </c>
      <c r="U29" s="7">
        <f t="shared" si="4"/>
        <v>2055</v>
      </c>
      <c r="V29" s="4">
        <f t="shared" si="3"/>
        <v>38.5</v>
      </c>
      <c r="W29" s="6">
        <f ca="1">DATE(YEAR($M$1)+INT(V29)-'Simulador - Datos personales'!$E$18,MONTH($M$1)+(V29-INT(V29))*12-'Simulador - Datos personales'!$E$19,DAY($M$1))</f>
        <v>59618</v>
      </c>
      <c r="X29" s="55">
        <f t="shared" ca="1" si="2"/>
        <v>38.494182067077347</v>
      </c>
    </row>
    <row r="30" spans="3:24">
      <c r="C30">
        <v>2018</v>
      </c>
      <c r="D30">
        <f>D31-0.25</f>
        <v>36.5</v>
      </c>
      <c r="E30">
        <v>65</v>
      </c>
      <c r="F30" s="55">
        <f>F31-1/12</f>
        <v>65.583333333333343</v>
      </c>
      <c r="G30" s="55">
        <f t="shared" si="7"/>
        <v>0.58333333333334281</v>
      </c>
      <c r="H30">
        <v>7.0000000000001137</v>
      </c>
      <c r="T30" s="4" t="str">
        <f t="shared" ca="1" si="1"/>
        <v>No</v>
      </c>
      <c r="U30" s="7">
        <f t="shared" si="4"/>
        <v>2056</v>
      </c>
      <c r="V30" s="4">
        <f>IF(U30&gt;2027,38.5,VLOOKUP(U30,$C$8:$D$39,2,0))</f>
        <v>38.5</v>
      </c>
      <c r="W30" s="6">
        <f ca="1">DATE(YEAR($M$1)+INT(V30)-'Simulador - Datos personales'!$E$18,MONTH($M$1)+(V30-INT(V30))*12-'Simulador - Datos personales'!$E$19,DAY($M$1))</f>
        <v>59618</v>
      </c>
      <c r="X30" s="55">
        <f t="shared" ca="1" si="2"/>
        <v>38.494182067077347</v>
      </c>
    </row>
    <row r="31" spans="3:24">
      <c r="C31">
        <v>2019</v>
      </c>
      <c r="D31">
        <v>36.75</v>
      </c>
      <c r="E31">
        <v>65</v>
      </c>
      <c r="F31" s="55">
        <f>E31+G31</f>
        <v>65.666666666666671</v>
      </c>
      <c r="G31" s="55">
        <f>8/12</f>
        <v>0.66666666666666663</v>
      </c>
      <c r="H31">
        <v>8</v>
      </c>
      <c r="T31" s="4" t="str">
        <f t="shared" ref="T31:T39" ca="1" si="8">IF(YEAR(W31)=U31,"Si","No")</f>
        <v>No</v>
      </c>
      <c r="U31" s="7">
        <f t="shared" ref="U31:U39" si="9">U30+1</f>
        <v>2057</v>
      </c>
      <c r="V31" s="4">
        <f t="shared" ref="V31:V39" si="10">IF(U31&gt;2027,38.5,VLOOKUP(U31,$C$8:$D$39,2,0))</f>
        <v>38.5</v>
      </c>
      <c r="W31" s="6">
        <f ca="1">DATE(YEAR($M$1)+INT(V31)-'Simulador - Datos personales'!$E$18,MONTH($M$1)+(V31-INT(V31))*12-'Simulador - Datos personales'!$E$19,DAY($M$1))</f>
        <v>59618</v>
      </c>
      <c r="X31" s="55">
        <f t="shared" ca="1" si="2"/>
        <v>38.494182067077347</v>
      </c>
    </row>
    <row r="32" spans="3:24">
      <c r="C32">
        <v>2020</v>
      </c>
      <c r="D32">
        <v>37</v>
      </c>
      <c r="E32">
        <v>65</v>
      </c>
      <c r="F32" s="55">
        <f t="shared" ref="F32:F39" si="11">E32+G32</f>
        <v>65.833333333333329</v>
      </c>
      <c r="G32" s="55">
        <f>10/12</f>
        <v>0.83333333333333337</v>
      </c>
      <c r="H32">
        <v>10</v>
      </c>
      <c r="T32" s="4" t="str">
        <f t="shared" ca="1" si="8"/>
        <v>No</v>
      </c>
      <c r="U32" s="7">
        <f t="shared" si="9"/>
        <v>2058</v>
      </c>
      <c r="V32" s="4">
        <f t="shared" si="10"/>
        <v>38.5</v>
      </c>
      <c r="W32" s="6">
        <f ca="1">DATE(YEAR($M$1)+INT(V32)-'Simulador - Datos personales'!$E$18,MONTH($M$1)+(V32-INT(V32))*12-'Simulador - Datos personales'!$E$19,DAY($M$1))</f>
        <v>59618</v>
      </c>
      <c r="X32" s="55">
        <f t="shared" ca="1" si="2"/>
        <v>38.494182067077347</v>
      </c>
    </row>
    <row r="33" spans="3:24">
      <c r="C33">
        <v>2021</v>
      </c>
      <c r="D33">
        <v>37.25</v>
      </c>
      <c r="E33">
        <v>65</v>
      </c>
      <c r="F33" s="55">
        <f t="shared" si="11"/>
        <v>66</v>
      </c>
      <c r="G33" s="55">
        <v>1</v>
      </c>
      <c r="H33">
        <v>12</v>
      </c>
      <c r="T33" s="4" t="str">
        <f t="shared" ca="1" si="8"/>
        <v>No</v>
      </c>
      <c r="U33" s="7">
        <f t="shared" si="9"/>
        <v>2059</v>
      </c>
      <c r="V33" s="4">
        <f t="shared" si="10"/>
        <v>38.5</v>
      </c>
      <c r="W33" s="6">
        <f ca="1">DATE(YEAR($M$1)+INT(V33)-'Simulador - Datos personales'!$E$18,MONTH($M$1)+(V33-INT(V33))*12-'Simulador - Datos personales'!$E$19,DAY($M$1))</f>
        <v>59618</v>
      </c>
      <c r="X33" s="55">
        <f t="shared" ca="1" si="2"/>
        <v>38.494182067077347</v>
      </c>
    </row>
    <row r="34" spans="3:24">
      <c r="C34">
        <v>2022</v>
      </c>
      <c r="D34">
        <v>37.5</v>
      </c>
      <c r="E34">
        <v>65</v>
      </c>
      <c r="F34" s="55">
        <f t="shared" si="11"/>
        <v>66.166666666666671</v>
      </c>
      <c r="G34" s="55">
        <f>1+2/12</f>
        <v>1.1666666666666667</v>
      </c>
      <c r="H34">
        <v>14</v>
      </c>
      <c r="T34" s="4" t="str">
        <f t="shared" ca="1" si="8"/>
        <v>No</v>
      </c>
      <c r="U34" s="7">
        <f t="shared" si="9"/>
        <v>2060</v>
      </c>
      <c r="V34" s="4">
        <f t="shared" si="10"/>
        <v>38.5</v>
      </c>
      <c r="W34" s="6">
        <f ca="1">DATE(YEAR($M$1)+INT(V34)-'Simulador - Datos personales'!$E$18,MONTH($M$1)+(V34-INT(V34))*12-'Simulador - Datos personales'!$E$19,DAY($M$1))</f>
        <v>59618</v>
      </c>
      <c r="X34" s="55">
        <f t="shared" ca="1" si="2"/>
        <v>38.494182067077347</v>
      </c>
    </row>
    <row r="35" spans="3:24">
      <c r="C35">
        <v>2023</v>
      </c>
      <c r="D35">
        <v>37.75</v>
      </c>
      <c r="E35">
        <v>65</v>
      </c>
      <c r="F35" s="55">
        <f t="shared" si="11"/>
        <v>66.333333333333329</v>
      </c>
      <c r="G35" s="55">
        <f>1+4/12</f>
        <v>1.3333333333333333</v>
      </c>
      <c r="H35">
        <v>16</v>
      </c>
      <c r="T35" s="4" t="str">
        <f t="shared" ca="1" si="8"/>
        <v>No</v>
      </c>
      <c r="U35" s="7">
        <f t="shared" si="9"/>
        <v>2061</v>
      </c>
      <c r="V35" s="4">
        <f t="shared" si="10"/>
        <v>38.5</v>
      </c>
      <c r="W35" s="6">
        <f ca="1">DATE(YEAR($M$1)+INT(V35)-'Simulador - Datos personales'!$E$18,MONTH($M$1)+(V35-INT(V35))*12-'Simulador - Datos personales'!$E$19,DAY($M$1))</f>
        <v>59618</v>
      </c>
      <c r="X35" s="55">
        <f t="shared" ca="1" si="2"/>
        <v>38.494182067077347</v>
      </c>
    </row>
    <row r="36" spans="3:24">
      <c r="C36">
        <v>2024</v>
      </c>
      <c r="D36">
        <v>38</v>
      </c>
      <c r="E36">
        <v>65</v>
      </c>
      <c r="F36" s="55">
        <f t="shared" si="11"/>
        <v>66.5</v>
      </c>
      <c r="G36" s="55">
        <f>1+0.5</f>
        <v>1.5</v>
      </c>
      <c r="H36">
        <v>18</v>
      </c>
      <c r="T36" s="4" t="str">
        <f t="shared" ca="1" si="8"/>
        <v>No</v>
      </c>
      <c r="U36" s="7">
        <f t="shared" si="9"/>
        <v>2062</v>
      </c>
      <c r="V36" s="4">
        <f t="shared" si="10"/>
        <v>38.5</v>
      </c>
      <c r="W36" s="6">
        <f ca="1">DATE(YEAR($M$1)+INT(V36)-'Simulador - Datos personales'!$E$18,MONTH($M$1)+(V36-INT(V36))*12-'Simulador - Datos personales'!$E$19,DAY($M$1))</f>
        <v>59618</v>
      </c>
      <c r="X36" s="55">
        <f t="shared" ca="1" si="2"/>
        <v>38.494182067077347</v>
      </c>
    </row>
    <row r="37" spans="3:24">
      <c r="C37">
        <v>2025</v>
      </c>
      <c r="D37">
        <v>38.25</v>
      </c>
      <c r="E37">
        <v>65</v>
      </c>
      <c r="F37" s="55">
        <f t="shared" si="11"/>
        <v>66.666666666666671</v>
      </c>
      <c r="G37" s="55">
        <f>1+8/12</f>
        <v>1.6666666666666665</v>
      </c>
      <c r="H37">
        <v>20</v>
      </c>
      <c r="T37" s="4" t="str">
        <f t="shared" ca="1" si="8"/>
        <v>Si</v>
      </c>
      <c r="U37" s="7">
        <f t="shared" si="9"/>
        <v>2063</v>
      </c>
      <c r="V37" s="4">
        <f t="shared" si="10"/>
        <v>38.5</v>
      </c>
      <c r="W37" s="6">
        <f ca="1">DATE(YEAR($M$1)+INT(V37)-'Simulador - Datos personales'!$E$18,MONTH($M$1)+(V37-INT(V37))*12-'Simulador - Datos personales'!$E$19,DAY($M$1))</f>
        <v>59618</v>
      </c>
      <c r="X37" s="55">
        <f t="shared" ca="1" si="2"/>
        <v>38.494182067077347</v>
      </c>
    </row>
    <row r="38" spans="3:24">
      <c r="C38">
        <v>2026</v>
      </c>
      <c r="D38">
        <v>38.25</v>
      </c>
      <c r="E38">
        <v>65</v>
      </c>
      <c r="F38" s="55">
        <f t="shared" si="11"/>
        <v>66.833333333333329</v>
      </c>
      <c r="G38" s="55">
        <f>1+10/12</f>
        <v>1.8333333333333335</v>
      </c>
      <c r="H38">
        <v>22</v>
      </c>
      <c r="T38" s="4" t="str">
        <f t="shared" ca="1" si="8"/>
        <v>No</v>
      </c>
      <c r="U38" s="7">
        <f t="shared" si="9"/>
        <v>2064</v>
      </c>
      <c r="V38" s="4">
        <f t="shared" si="10"/>
        <v>38.5</v>
      </c>
      <c r="W38" s="6">
        <f ca="1">DATE(YEAR($M$1)+INT(V38)-'Simulador - Datos personales'!$E$18,MONTH($M$1)+(V38-INT(V38))*12-'Simulador - Datos personales'!$E$19,DAY($M$1))</f>
        <v>59618</v>
      </c>
      <c r="X38" s="55">
        <f t="shared" ca="1" si="2"/>
        <v>38.494182067077347</v>
      </c>
    </row>
    <row r="39" spans="3:24">
      <c r="C39">
        <v>2027</v>
      </c>
      <c r="D39">
        <v>38.5</v>
      </c>
      <c r="E39">
        <v>65</v>
      </c>
      <c r="F39" s="55">
        <f t="shared" si="11"/>
        <v>67</v>
      </c>
      <c r="G39" s="55">
        <v>2</v>
      </c>
      <c r="H39">
        <v>24</v>
      </c>
      <c r="T39" s="4" t="str">
        <f t="shared" ca="1" si="8"/>
        <v>No</v>
      </c>
      <c r="U39" s="7">
        <f t="shared" si="9"/>
        <v>2065</v>
      </c>
      <c r="V39" s="4">
        <f t="shared" si="10"/>
        <v>38.5</v>
      </c>
      <c r="W39" s="6">
        <f ca="1">DATE(YEAR($M$1)+INT(V39)-'Simulador - Datos personales'!$E$18,MONTH($M$1)+(V39-INT(V39))*12-'Simulador - Datos personales'!$E$19,DAY($M$1))</f>
        <v>59618</v>
      </c>
      <c r="X39" s="55">
        <f t="shared" ca="1" si="2"/>
        <v>38.494182067077347</v>
      </c>
    </row>
  </sheetData>
  <mergeCells count="1">
    <mergeCell ref="M11:P11"/>
  </mergeCells>
  <conditionalFormatting sqref="L24">
    <cfRule type="expression" dxfId="42" priority="1">
      <formula>+AND($F$13&lt;$F$14,$F$12="Si")</formula>
    </cfRule>
  </conditionalFormatting>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M305"/>
  <sheetViews>
    <sheetView zoomScale="130" zoomScaleNormal="130" workbookViewId="0">
      <pane ySplit="3" topLeftCell="A27" activePane="bottomLeft" state="frozen"/>
      <selection activeCell="O1" sqref="O1"/>
      <selection pane="bottomLeft" activeCell="D36" sqref="D36"/>
    </sheetView>
  </sheetViews>
  <sheetFormatPr defaultColWidth="8.6640625" defaultRowHeight="14.4"/>
  <cols>
    <col min="1" max="1" width="32" customWidth="1"/>
    <col min="2" max="2" width="13" bestFit="1" customWidth="1"/>
    <col min="3" max="3" width="10.6640625" bestFit="1" customWidth="1"/>
    <col min="4" max="4" width="22.5546875" customWidth="1"/>
    <col min="5" max="5" width="16" customWidth="1"/>
    <col min="6" max="6" width="10.6640625" bestFit="1" customWidth="1"/>
    <col min="8" max="8" width="32.6640625" customWidth="1"/>
    <col min="9" max="9" width="16.109375" bestFit="1" customWidth="1"/>
    <col min="11" max="11" width="10.109375" bestFit="1" customWidth="1"/>
    <col min="13" max="13" width="10.5546875" bestFit="1" customWidth="1"/>
    <col min="19" max="19" width="10.109375" bestFit="1" customWidth="1"/>
    <col min="20" max="20" width="11.33203125" style="126" bestFit="1" customWidth="1"/>
    <col min="21" max="21" width="12.88671875" bestFit="1" customWidth="1"/>
    <col min="22" max="22" width="11.5546875" bestFit="1" customWidth="1"/>
    <col min="23" max="23" width="15.88671875" bestFit="1" customWidth="1"/>
    <col min="24" max="24" width="12.5546875" customWidth="1"/>
    <col min="26" max="26" width="24.33203125" customWidth="1"/>
    <col min="27" max="27" width="26.33203125" bestFit="1" customWidth="1"/>
    <col min="28" max="28" width="18.33203125" bestFit="1" customWidth="1"/>
    <col min="30" max="30" width="17.109375" customWidth="1"/>
    <col min="34" max="34" width="15" customWidth="1"/>
    <col min="38" max="38" width="16.88671875" customWidth="1"/>
    <col min="39" max="39" width="16" bestFit="1" customWidth="1"/>
    <col min="40" max="40" width="12.109375" bestFit="1" customWidth="1"/>
  </cols>
  <sheetData>
    <row r="1" spans="1:39" ht="15" thickBot="1">
      <c r="E1" s="55"/>
      <c r="T1"/>
      <c r="W1" s="149"/>
      <c r="AL1" t="s">
        <v>80</v>
      </c>
    </row>
    <row r="2" spans="1:39" ht="36.75" customHeight="1" thickBot="1">
      <c r="B2" s="123">
        <f ca="1">+TODAY()</f>
        <v>45558</v>
      </c>
      <c r="M2">
        <f ca="1">SUM(M4:M268)</f>
        <v>0.10829999999999995</v>
      </c>
      <c r="O2" s="252">
        <f ca="1">IF(Q4=12,YEAR(B7)-1+IF('Simulador - 1º Pilar'!G10="Jubilación prolongada",'Simulador - 1º Pilar'!E99,0),YEAR(B7)+IF('Simulador - 1º Pilar'!G10="Jubilación prolongada",'Simulador - 1º Pilar'!E99,0))</f>
        <v>2044</v>
      </c>
      <c r="P2" s="252">
        <f ca="1">IF(MONTH(B7)=1,12,IF(DAY(B7)&gt;=1,MONTH(B7)-1,MONTH(B7)))</f>
        <v>6</v>
      </c>
      <c r="Q2" s="4">
        <f ca="1">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v>6</v>
      </c>
      <c r="R2">
        <f t="shared" ref="R2" si="0">SUM(R4:R268)</f>
        <v>0</v>
      </c>
      <c r="S2" s="280">
        <f ca="1">SUM(S4:S305)</f>
        <v>44687.560781514898</v>
      </c>
      <c r="T2" s="281">
        <f ca="1">SUM(T4:T305)</f>
        <v>6711582.3862045519</v>
      </c>
      <c r="U2" s="280">
        <f t="shared" ref="U2:W2" ca="1" si="1">SUM(U4:U305)</f>
        <v>1602629.604567528</v>
      </c>
      <c r="V2" s="280">
        <f t="shared" ca="1" si="1"/>
        <v>1602629.604567528</v>
      </c>
      <c r="W2" s="280">
        <f t="shared" ca="1" si="1"/>
        <v>2054699.9556135738</v>
      </c>
      <c r="Z2" s="53" t="s">
        <v>31</v>
      </c>
      <c r="AA2" s="53" t="s">
        <v>71</v>
      </c>
      <c r="AB2" s="53" t="s">
        <v>72</v>
      </c>
      <c r="AE2" s="54" t="s">
        <v>31</v>
      </c>
      <c r="AF2" s="54" t="s">
        <v>73</v>
      </c>
      <c r="AG2" s="54" t="s">
        <v>72</v>
      </c>
      <c r="AH2" s="54" t="s">
        <v>74</v>
      </c>
      <c r="AL2" t="s">
        <v>75</v>
      </c>
    </row>
    <row r="3" spans="1:39">
      <c r="A3" s="868" t="s">
        <v>0</v>
      </c>
      <c r="B3" s="868"/>
      <c r="L3" s="13" t="s">
        <v>29</v>
      </c>
      <c r="M3" s="13" t="s">
        <v>30</v>
      </c>
      <c r="N3" s="10"/>
      <c r="O3" s="258" t="s">
        <v>31</v>
      </c>
      <c r="P3" s="256" t="s">
        <v>32</v>
      </c>
      <c r="Q3" s="257" t="s">
        <v>33</v>
      </c>
      <c r="S3" s="258" t="s">
        <v>34</v>
      </c>
      <c r="T3" s="256" t="s">
        <v>35</v>
      </c>
      <c r="U3" s="256" t="s">
        <v>36</v>
      </c>
      <c r="V3" s="256" t="s">
        <v>37</v>
      </c>
      <c r="W3" s="256" t="s">
        <v>38</v>
      </c>
      <c r="X3" s="163" t="s">
        <v>239</v>
      </c>
      <c r="Z3" t="s">
        <v>31</v>
      </c>
      <c r="AA3" t="s">
        <v>71</v>
      </c>
      <c r="AB3" t="s">
        <v>72</v>
      </c>
      <c r="AD3" s="123">
        <f>DATE(YEAR(B6)+65,MONTH(B6)+8,DAY(B6))</f>
        <v>52293</v>
      </c>
      <c r="AE3">
        <v>2013</v>
      </c>
      <c r="AF3">
        <f t="shared" ref="AF3:AF7" si="2">AF4-0.25</f>
        <v>35.25</v>
      </c>
      <c r="AG3">
        <v>65</v>
      </c>
      <c r="AH3" s="55">
        <f t="shared" ref="AH3:AH7" si="3">AH4-1/12</f>
        <v>65.1666666666667</v>
      </c>
      <c r="AI3" s="55">
        <f>AH3-AG3</f>
        <v>0.16666666666669983</v>
      </c>
      <c r="AL3" t="s">
        <v>76</v>
      </c>
    </row>
    <row r="4" spans="1:39" ht="15.6">
      <c r="A4" s="3" t="s">
        <v>173</v>
      </c>
      <c r="B4" s="6">
        <f ca="1">+DATE(YEAR($B$2)-'Simulador - Datos personales'!$E$18,MONTH($B$2)-'Simulador - Datos personales'!$E$19,DAY($B$2))</f>
        <v>45558</v>
      </c>
      <c r="H4" s="914" t="s">
        <v>102</v>
      </c>
      <c r="I4" s="915"/>
      <c r="J4" s="11"/>
      <c r="K4" s="854">
        <f>180+184</f>
        <v>364</v>
      </c>
      <c r="L4" s="4">
        <v>1</v>
      </c>
      <c r="M4" s="4">
        <f ca="1">IF(L4&lt;=$C$22,$B$22,IF(L4&lt;=$C$23+$C$22,$B$23,0))</f>
        <v>1.9E-3</v>
      </c>
      <c r="N4" s="12"/>
      <c r="O4" s="4">
        <f ca="1">IF(Q4=12,YEAR(B7)-1+IF('Simulador - 1º Pilar'!G10="Jubilación prolongada",'Simulador - 1º Pilar'!E99,0),YEAR(B7)+IF('Simulador - 1º Pilar'!G10="Jubilación prolongada",'Simulador - 1º Pilar'!E99,0))+IF(AND('Simulador - 1º Pilar'!G10="Jubilación prolongada",'Fecha Jubilación'!M1&gt;'Fecha Jubilación'!M7,Q2&lt;P2),1,0)</f>
        <v>2044</v>
      </c>
      <c r="P4" s="4">
        <v>1</v>
      </c>
      <c r="Q4" s="14">
        <f ca="1">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v>6</v>
      </c>
      <c r="S4" s="125">
        <f ca="1">HLOOKUP(O4,'Datos SS'!$B$4:$CZZ$16,(Q4+1),0)</f>
        <v>199.77053742457159</v>
      </c>
      <c r="T4" s="125">
        <f ca="1">IF(O4=YEAR($B$5),($B$9/12),IF(O4&gt;MIN(YEAR($B$7),YEAR($B$5)),($B$9/12)*(1+HLOOKUP(O4,'Datos SS'!$B$31:$CZZ$32,2,0))^(O4-YEAR($B$5)),$B$9/12/(1+HLOOKUP(O4,'Datos SS'!$B$31:$CZZ$32,2,0))))</f>
        <v>30041.301405323917</v>
      </c>
      <c r="U4" s="7">
        <f ca="1">IF(O4=2018,IF(Q4&lt;8,HLOOKUP(O4,'Datos SS'!$B$25:$BZZ$27,3,0)/12,HLOOKUP(O4,'Datos SS'!$B$25:$BZZ$26,2,0)/12),HLOOKUP(O4,'Datos SS'!$B$25:$BZZ$26,2,0)/12)</f>
        <v>7126.2726431430447</v>
      </c>
      <c r="V4" s="165">
        <f ca="1">MAX(X4,MIN(T4,U4))</f>
        <v>7126.2726431430447</v>
      </c>
      <c r="W4" s="7">
        <f ca="1">IF($E$19="NO",IF(P4&lt;=180,IF(P4&lt;25,V4,V4*$S$28/S4),0),IF(P4&gt;$B$15,0,IF(P4&lt;25,V4,V4*$S$28/S4)))</f>
        <v>7126.2726431430447</v>
      </c>
      <c r="X4" s="149">
        <f ca="1">HLOOKUP(O4,'Datos SS'!$K$37:$EP$38,2,0)</f>
        <v>1852.8412166455778</v>
      </c>
      <c r="Y4">
        <f ca="1">MAX(D40,0)</f>
        <v>1734.12</v>
      </c>
      <c r="Z4">
        <v>2013</v>
      </c>
      <c r="AA4" t="s">
        <v>192</v>
      </c>
      <c r="AB4" t="s">
        <v>45</v>
      </c>
      <c r="AC4" s="648">
        <v>2364.8104797315082</v>
      </c>
      <c r="AD4" s="650">
        <f ca="1">+AC4-W4</f>
        <v>-4761.4621634115365</v>
      </c>
      <c r="AE4">
        <v>2014</v>
      </c>
      <c r="AF4">
        <f t="shared" si="2"/>
        <v>35.5</v>
      </c>
      <c r="AG4">
        <v>65</v>
      </c>
      <c r="AH4" s="55">
        <f t="shared" si="3"/>
        <v>65.250000000000028</v>
      </c>
      <c r="AI4" s="55">
        <f t="shared" ref="AI4:AI8" si="4">AH4-AG4</f>
        <v>0.25000000000002842</v>
      </c>
      <c r="AL4" t="s">
        <v>77</v>
      </c>
    </row>
    <row r="5" spans="1:39">
      <c r="A5" s="1" t="s">
        <v>1</v>
      </c>
      <c r="B5" s="6">
        <f ca="1">TODAY()</f>
        <v>45558</v>
      </c>
      <c r="E5" s="123"/>
      <c r="H5" s="9" t="s">
        <v>9</v>
      </c>
      <c r="I5" s="64">
        <f ca="1">B21</f>
        <v>5870.5713017530679</v>
      </c>
      <c r="J5" s="492"/>
      <c r="K5" s="11"/>
      <c r="L5" s="4">
        <v>2</v>
      </c>
      <c r="M5" s="4">
        <f t="shared" ref="M5:M69" ca="1" si="5">IF(L5&lt;=$C$22,$B$22,IF(L5&lt;=$C$23+$C$22,$B$23,0))</f>
        <v>1.9E-3</v>
      </c>
      <c r="N5" s="12"/>
      <c r="O5" s="4">
        <f ca="1">IF(Q5=12,O4-1,O4)</f>
        <v>2044</v>
      </c>
      <c r="P5" s="4">
        <v>2</v>
      </c>
      <c r="Q5" s="4">
        <f ca="1">IF(Q4=1,12,Q4-1)</f>
        <v>5</v>
      </c>
      <c r="S5" s="125">
        <f ca="1">HLOOKUP(O5,'Datos SS'!$B$4:$CZZ$16,(Q5+1),0)</f>
        <v>199.35988869508563</v>
      </c>
      <c r="T5" s="125">
        <f ca="1">IF(O5=YEAR($B$5),($B$9/12),IF(O5&gt;MIN(YEAR($B$7),YEAR($B$5)),($B$9/12)*(1+HLOOKUP(O5,'Datos SS'!$B$31:$CZZ$32,2,0))^(O5-YEAR($B$5)),$B$9/12/(1+HLOOKUP(O5,'Datos SS'!$B$31:$CZZ$32,2,0))))</f>
        <v>30041.301405323917</v>
      </c>
      <c r="U5" s="7">
        <f ca="1">IF(O5=2018,IF(Q5&lt;8,HLOOKUP(O5,'Datos SS'!$B$25:$BZZ$27,3,0)/12,HLOOKUP(O5,'Datos SS'!$B$25:$BZZ$26,2,0)/12),HLOOKUP(O5,'Datos SS'!$B$25:$BZZ$26,2,0)/12)</f>
        <v>7126.2726431430447</v>
      </c>
      <c r="V5" s="165">
        <f t="shared" ref="V5:V69" ca="1" si="6">MAX(X5,MIN(T5,U5))</f>
        <v>7126.2726431430447</v>
      </c>
      <c r="W5" s="7">
        <f t="shared" ref="W5:W68" ca="1" si="7">IF($E$19="NO",IF(P5&lt;=180,IF(P5&lt;25,V5,V5*$S$28/S5),0),IF(P5&gt;$B$15,0,IF(P5&lt;25,V5,V5*$S$28/S5)))</f>
        <v>7126.2726431430447</v>
      </c>
      <c r="X5" s="149">
        <f ca="1">HLOOKUP(O5,'Datos SS'!$K$37:$EP$38,2,0)</f>
        <v>1852.8412166455778</v>
      </c>
      <c r="Y5">
        <f ca="1">MAX(INT(Y4)-1,0)</f>
        <v>1733</v>
      </c>
      <c r="AA5" t="s">
        <v>193</v>
      </c>
      <c r="AB5" t="s">
        <v>194</v>
      </c>
      <c r="AC5" s="648">
        <v>2364.8104797315082</v>
      </c>
      <c r="AD5" s="650">
        <f t="shared" ref="AD5:AD69" ca="1" si="8">+AC5-W5</f>
        <v>-4761.4621634115365</v>
      </c>
      <c r="AE5">
        <v>2015</v>
      </c>
      <c r="AF5">
        <f t="shared" si="2"/>
        <v>35.75</v>
      </c>
      <c r="AG5">
        <v>65</v>
      </c>
      <c r="AH5" s="55">
        <f t="shared" si="3"/>
        <v>65.333333333333357</v>
      </c>
      <c r="AI5" s="55">
        <f t="shared" si="4"/>
        <v>0.33333333333335702</v>
      </c>
      <c r="AL5" t="s">
        <v>78</v>
      </c>
    </row>
    <row r="6" spans="1:39">
      <c r="A6" s="1" t="s">
        <v>2</v>
      </c>
      <c r="B6" s="232">
        <f>'Simulador - Datos personales'!E7</f>
        <v>28309</v>
      </c>
      <c r="C6" s="125"/>
      <c r="D6" t="s">
        <v>1207</v>
      </c>
      <c r="H6" s="9" t="s">
        <v>10</v>
      </c>
      <c r="I6" s="65">
        <f ca="1">B26</f>
        <v>0.60829999999999995</v>
      </c>
      <c r="J6" s="11"/>
      <c r="K6" s="11"/>
      <c r="L6" s="4">
        <v>3</v>
      </c>
      <c r="M6" s="4">
        <f t="shared" ca="1" si="5"/>
        <v>1.9E-3</v>
      </c>
      <c r="N6" s="12"/>
      <c r="O6" s="4">
        <f t="shared" ref="O6:O70" ca="1" si="9">IF(Q6=12,O5-1,O5)</f>
        <v>2044</v>
      </c>
      <c r="P6" s="4">
        <v>3</v>
      </c>
      <c r="Q6" s="4">
        <f t="shared" ref="Q6:Q70" ca="1" si="10">IF(Q5=1,12,Q5-1)</f>
        <v>4</v>
      </c>
      <c r="S6" s="125">
        <f ca="1">HLOOKUP(O6,'Datos SS'!$B$4:$CZZ$16,(Q6+1),0)</f>
        <v>198.95008409597648</v>
      </c>
      <c r="T6" s="125">
        <f ca="1">IF(O6=YEAR($B$5),($B$9/12),IF(O6&gt;MIN(YEAR($B$7),YEAR($B$5)),($B$9/12)*(1+HLOOKUP(O6,'Datos SS'!$B$31:$CZZ$32,2,0))^(O6-YEAR($B$5)),$B$9/12/(1+HLOOKUP(O6,'Datos SS'!$B$31:$CZZ$32,2,0))))</f>
        <v>30041.301405323917</v>
      </c>
      <c r="U6" s="7">
        <f ca="1">IF(O6=2018,IF(Q6&lt;8,HLOOKUP(O6,'Datos SS'!$B$25:$BZZ$27,3,0)/12,HLOOKUP(O6,'Datos SS'!$B$25:$BZZ$26,2,0)/12),HLOOKUP(O6,'Datos SS'!$B$25:$BZZ$26,2,0)/12)</f>
        <v>7126.2726431430447</v>
      </c>
      <c r="V6" s="165">
        <f t="shared" ca="1" si="6"/>
        <v>7126.2726431430447</v>
      </c>
      <c r="W6" s="7">
        <f ca="1">IF($E$19="NO",IF(P6&lt;=180,IF(P6&lt;25,V6,V6*$S$28/S6),0),IF(P6&gt;$B$15,0,IF(P6&lt;25,V6,V6*$S$28/S6)))</f>
        <v>7126.2726431430447</v>
      </c>
      <c r="X6" s="149">
        <f ca="1">HLOOKUP(O6,'Datos SS'!$K$37:$EP$38,2,0)</f>
        <v>1852.8412166455778</v>
      </c>
      <c r="Y6">
        <f t="shared" ref="Y6:Y70" ca="1" si="11">MAX(INT(Y5)-1,0)</f>
        <v>1732</v>
      </c>
      <c r="Z6">
        <v>2014</v>
      </c>
      <c r="AA6" t="s">
        <v>195</v>
      </c>
      <c r="AB6" t="s">
        <v>45</v>
      </c>
      <c r="AC6" s="648">
        <v>2364.8104797315082</v>
      </c>
      <c r="AD6" s="650">
        <f t="shared" ca="1" si="8"/>
        <v>-4761.4621634115365</v>
      </c>
      <c r="AE6">
        <v>2016</v>
      </c>
      <c r="AF6">
        <f t="shared" si="2"/>
        <v>36</v>
      </c>
      <c r="AG6">
        <v>65</v>
      </c>
      <c r="AH6" s="55">
        <f t="shared" si="3"/>
        <v>65.416666666666686</v>
      </c>
      <c r="AI6" s="55">
        <f t="shared" si="4"/>
        <v>0.41666666666668561</v>
      </c>
      <c r="AL6" t="s">
        <v>79</v>
      </c>
    </row>
    <row r="7" spans="1:39">
      <c r="A7" s="1" t="s">
        <v>7</v>
      </c>
      <c r="B7" s="6">
        <f ca="1">IF('Simulador - 1º Pilar'!G10="Jubilación prolongada",'Simulador - 1º Pilar'!G5,'Simulador - 1º Pilar'!G20)</f>
        <v>52781</v>
      </c>
      <c r="C7" s="125">
        <f ca="1">+(B7-B4)/365.25</f>
        <v>19.775496235455169</v>
      </c>
      <c r="D7" s="816">
        <f ca="1">('Simulador - 1º Pilar'!G5-PJSS!B7)/365.25</f>
        <v>0</v>
      </c>
      <c r="E7" s="816">
        <f ca="1">+D7*12</f>
        <v>0</v>
      </c>
      <c r="F7" s="816">
        <f ca="1">+D7*4</f>
        <v>0</v>
      </c>
      <c r="H7" s="66" t="s">
        <v>11</v>
      </c>
      <c r="I7" s="67">
        <f>B25</f>
        <v>0</v>
      </c>
      <c r="J7" s="11"/>
      <c r="K7" s="8"/>
      <c r="L7" s="4">
        <v>4</v>
      </c>
      <c r="M7" s="4">
        <f ca="1">IF(L7&lt;=$C$22,$B$22,IF(L7&lt;=$C$23+$C$22,$B$23,0))</f>
        <v>1.9E-3</v>
      </c>
      <c r="N7" s="12"/>
      <c r="O7" s="4">
        <f t="shared" ca="1" si="9"/>
        <v>2044</v>
      </c>
      <c r="P7" s="4">
        <v>4</v>
      </c>
      <c r="Q7" s="4">
        <f t="shared" ca="1" si="10"/>
        <v>3</v>
      </c>
      <c r="S7" s="125">
        <f ca="1">HLOOKUP(O7,'Datos SS'!$B$4:$CZZ$16,(Q7+1),0)</f>
        <v>198.54112189204798</v>
      </c>
      <c r="T7" s="125">
        <f ca="1">IF(O7=YEAR($B$5),($B$9/12),IF(O7&gt;MIN(YEAR($B$7),YEAR($B$5)),($B$9/12)*(1+HLOOKUP(O7,'Datos SS'!$B$31:$CZZ$32,2,0))^(O7-YEAR($B$5)),$B$9/12/(1+HLOOKUP(O7,'Datos SS'!$B$31:$CZZ$32,2,0))))</f>
        <v>30041.301405323917</v>
      </c>
      <c r="U7" s="7">
        <f ca="1">IF(O7=2018,IF(Q7&lt;8,HLOOKUP(O7,'Datos SS'!$B$25:$BZZ$27,3,0)/12,HLOOKUP(O7,'Datos SS'!$B$25:$BZZ$26,2,0)/12),HLOOKUP(O7,'Datos SS'!$B$25:$BZZ$26,2,0)/12)</f>
        <v>7126.2726431430447</v>
      </c>
      <c r="V7" s="165">
        <f ca="1">MAX(X7,MIN(T7,U7))</f>
        <v>7126.2726431430447</v>
      </c>
      <c r="W7" s="7">
        <f t="shared" ca="1" si="7"/>
        <v>7126.2726431430447</v>
      </c>
      <c r="X7" s="149">
        <f ca="1">HLOOKUP(O7,'Datos SS'!$K$37:$EP$38,2,0)</f>
        <v>1852.8412166455778</v>
      </c>
      <c r="Y7">
        <f t="shared" ca="1" si="11"/>
        <v>1731</v>
      </c>
      <c r="AA7" t="s">
        <v>196</v>
      </c>
      <c r="AB7" t="s">
        <v>197</v>
      </c>
      <c r="AC7" s="648">
        <v>2364.8104797315082</v>
      </c>
      <c r="AD7" s="650">
        <f t="shared" ca="1" si="8"/>
        <v>-4761.4621634115365</v>
      </c>
      <c r="AE7">
        <v>2017</v>
      </c>
      <c r="AF7">
        <f t="shared" si="2"/>
        <v>36.25</v>
      </c>
      <c r="AG7">
        <v>65</v>
      </c>
      <c r="AH7" s="55">
        <f t="shared" si="3"/>
        <v>65.500000000000014</v>
      </c>
      <c r="AI7" s="55">
        <f t="shared" si="4"/>
        <v>0.50000000000001421</v>
      </c>
    </row>
    <row r="8" spans="1:39" ht="15" thickBot="1">
      <c r="A8" s="2" t="s">
        <v>3</v>
      </c>
      <c r="B8" s="302">
        <f ca="1">ROUND((IF('Simulador - 1º Pilar'!E99="Si",'Simulador - 1º Pilar'!G16,B7)-B5)/365.25,2)+'Simulador - Datos personales'!$F$20</f>
        <v>19.78</v>
      </c>
      <c r="C8" s="303">
        <f ca="1">ROUND((MAX(TODAY(),B7)-B5)/365.25,2)+'Simulador - Datos personales'!$F$20+IF('Simulador - 1º Pilar'!G10="Jubilación prolongada",'Simulador - 1º Pilar'!E99,0)</f>
        <v>19.78</v>
      </c>
      <c r="D8" s="55">
        <f ca="1">+MAX(0,C8-15)*IF(B8&gt;15,0,1)</f>
        <v>0</v>
      </c>
      <c r="E8" s="823">
        <f ca="1">1-(E7-INT(E7))</f>
        <v>1</v>
      </c>
      <c r="H8" s="9" t="s">
        <v>12</v>
      </c>
      <c r="I8" s="7">
        <f ca="1">IF(B25&gt;0,MIN(B30,B33),MIN(B30,B29))</f>
        <v>3571.0685228563912</v>
      </c>
      <c r="J8" s="671" t="s">
        <v>1225</v>
      </c>
      <c r="K8" s="11"/>
      <c r="L8" s="4">
        <v>5</v>
      </c>
      <c r="M8" s="4">
        <f ca="1">IF(L8&lt;=$C$22,$B$22,IF(L8&lt;=$C$23+$C$22,$B$23,0))</f>
        <v>1.9E-3</v>
      </c>
      <c r="N8" s="12"/>
      <c r="O8" s="4">
        <f t="shared" ca="1" si="9"/>
        <v>2044</v>
      </c>
      <c r="P8" s="4">
        <v>5</v>
      </c>
      <c r="Q8" s="4">
        <f t="shared" ca="1" si="10"/>
        <v>2</v>
      </c>
      <c r="S8" s="125">
        <f ca="1">HLOOKUP(O8,'Datos SS'!$B$4:$CZZ$16,(Q8+1),0)</f>
        <v>198.13300035167086</v>
      </c>
      <c r="T8" s="125">
        <f ca="1">IF(O8=YEAR($B$5),($B$9/12),IF(O8&gt;MIN(YEAR($B$7),YEAR($B$5)),($B$9/12)*(1+HLOOKUP(O8,'Datos SS'!$B$31:$CZZ$32,2,0))^(O8-YEAR($B$5)),$B$9/12/(1+HLOOKUP(O8,'Datos SS'!$B$31:$CZZ$32,2,0))))</f>
        <v>30041.301405323917</v>
      </c>
      <c r="U8" s="7">
        <f ca="1">IF(O8=2018,IF(Q8&lt;8,HLOOKUP(O8,'Datos SS'!$B$25:$BZZ$27,3,0)/12,HLOOKUP(O8,'Datos SS'!$B$25:$BZZ$26,2,0)/12),HLOOKUP(O8,'Datos SS'!$B$25:$BZZ$26,2,0)/12)</f>
        <v>7126.2726431430447</v>
      </c>
      <c r="V8" s="165">
        <f t="shared" ca="1" si="6"/>
        <v>7126.2726431430447</v>
      </c>
      <c r="W8" s="7">
        <f t="shared" ca="1" si="7"/>
        <v>7126.2726431430447</v>
      </c>
      <c r="X8" s="149">
        <f ca="1">HLOOKUP(O8,'Datos SS'!$K$37:$EP$38,2,0)</f>
        <v>1852.8412166455778</v>
      </c>
      <c r="Y8">
        <f t="shared" ca="1" si="11"/>
        <v>1730</v>
      </c>
      <c r="Z8">
        <v>2015</v>
      </c>
      <c r="AA8" t="s">
        <v>198</v>
      </c>
      <c r="AB8" t="s">
        <v>45</v>
      </c>
      <c r="AC8" s="648">
        <v>2364.8104797315082</v>
      </c>
      <c r="AD8" s="650">
        <f t="shared" ca="1" si="8"/>
        <v>-4761.4621634115365</v>
      </c>
      <c r="AE8">
        <v>2018</v>
      </c>
      <c r="AF8">
        <f>AF9-0.25</f>
        <v>36.5</v>
      </c>
      <c r="AG8">
        <v>65</v>
      </c>
      <c r="AH8" s="55">
        <f>AH9-1/12</f>
        <v>65.583333333333343</v>
      </c>
      <c r="AI8" s="55">
        <f t="shared" si="4"/>
        <v>0.58333333333334281</v>
      </c>
      <c r="AL8" s="56" t="s">
        <v>73</v>
      </c>
      <c r="AM8" s="56" t="s">
        <v>72</v>
      </c>
    </row>
    <row r="9" spans="1:39" ht="15" thickBot="1">
      <c r="A9" s="3" t="s">
        <v>4</v>
      </c>
      <c r="B9" s="4">
        <f>'Simulador - Datos personales'!E13</f>
        <v>220000</v>
      </c>
      <c r="E9" s="816">
        <f ca="1">+IF(E8&lt;=0.04,INT(E7)+1,INT(E7))</f>
        <v>0</v>
      </c>
      <c r="G9" s="235">
        <f ca="1">I9-I8</f>
        <v>0</v>
      </c>
      <c r="H9" s="124" t="s">
        <v>497</v>
      </c>
      <c r="I9" s="820">
        <f ca="1">IF('Simulador - 1º Pilar'!$G$10="Jubilación ordinaria",B55,IF('Simulador - 1º Pilar'!$G$10="Jubilación anticipada",B56,IF(AND('Simulador - 1º Pilar'!$G$10="Jubilación prolongada",'Simulador - 1º Pilar'!H94="Complemento vitalicio"),PJSS!B57,PJSS!B58)))</f>
        <v>3571.0685228563912</v>
      </c>
      <c r="J9" s="11"/>
      <c r="K9" s="11"/>
      <c r="L9" s="4">
        <v>6</v>
      </c>
      <c r="M9" s="4">
        <f t="shared" ca="1" si="5"/>
        <v>1.9E-3</v>
      </c>
      <c r="N9" s="12"/>
      <c r="O9" s="4">
        <f t="shared" ca="1" si="9"/>
        <v>2044</v>
      </c>
      <c r="P9" s="4">
        <v>6</v>
      </c>
      <c r="Q9" s="4">
        <f t="shared" ca="1" si="10"/>
        <v>1</v>
      </c>
      <c r="S9" s="125">
        <f ca="1">HLOOKUP(O9,'Datos SS'!$B$4:$CZZ$16,(Q9+1),0)</f>
        <v>197.72571774677536</v>
      </c>
      <c r="T9" s="125">
        <f ca="1">IF(O9=YEAR($B$5),($B$9/12),IF(O9&gt;MIN(YEAR($B$7),YEAR($B$5)),($B$9/12)*(1+HLOOKUP(O9,'Datos SS'!$B$31:$CZZ$32,2,0))^(O9-YEAR($B$5)),$B$9/12/(1+HLOOKUP(O9,'Datos SS'!$B$31:$CZZ$32,2,0))))</f>
        <v>30041.301405323917</v>
      </c>
      <c r="U9" s="7">
        <f ca="1">IF(O9=2018,IF(Q9&lt;8,HLOOKUP(O9,'Datos SS'!$B$25:$BZZ$27,3,0)/12,HLOOKUP(O9,'Datos SS'!$B$25:$BZZ$26,2,0)/12),HLOOKUP(O9,'Datos SS'!$B$25:$BZZ$26,2,0)/12)</f>
        <v>7126.2726431430447</v>
      </c>
      <c r="V9" s="165">
        <f t="shared" ca="1" si="6"/>
        <v>7126.2726431430447</v>
      </c>
      <c r="W9" s="7">
        <f t="shared" ca="1" si="7"/>
        <v>7126.2726431430447</v>
      </c>
      <c r="X9" s="149">
        <f ca="1">HLOOKUP(O9,'Datos SS'!$K$37:$EP$38,2,0)</f>
        <v>1852.8412166455778</v>
      </c>
      <c r="Y9">
        <f t="shared" ca="1" si="11"/>
        <v>1729</v>
      </c>
      <c r="AA9" t="s">
        <v>199</v>
      </c>
      <c r="AB9" t="s">
        <v>200</v>
      </c>
      <c r="AC9" s="648">
        <v>2364.8104797315082</v>
      </c>
      <c r="AD9" s="650">
        <f t="shared" ca="1" si="8"/>
        <v>-4761.4621634115365</v>
      </c>
      <c r="AE9">
        <v>2019</v>
      </c>
      <c r="AF9">
        <v>36.75</v>
      </c>
      <c r="AG9">
        <v>65</v>
      </c>
      <c r="AH9" s="55">
        <f>AG9+AI9</f>
        <v>65.666666666666671</v>
      </c>
      <c r="AI9" s="55">
        <f>8/12</f>
        <v>0.66666666666666663</v>
      </c>
      <c r="AL9">
        <v>35</v>
      </c>
      <c r="AM9" t="s">
        <v>81</v>
      </c>
    </row>
    <row r="10" spans="1:39" ht="15" thickBot="1">
      <c r="A10" s="3" t="s">
        <v>101</v>
      </c>
      <c r="B10" s="222">
        <f ca="1">ROUND((B7-B6)/365.25,2)</f>
        <v>67</v>
      </c>
      <c r="E10">
        <f ca="1">+E9/3</f>
        <v>0</v>
      </c>
      <c r="G10" s="236">
        <f ca="1">I10-I9</f>
        <v>0</v>
      </c>
      <c r="H10" s="124" t="s">
        <v>171</v>
      </c>
      <c r="I10" s="7">
        <f ca="1">+I9+B32</f>
        <v>3571.0685228563912</v>
      </c>
      <c r="J10" s="537"/>
      <c r="K10" s="11"/>
      <c r="L10" s="4">
        <v>7</v>
      </c>
      <c r="M10" s="4">
        <f t="shared" ca="1" si="5"/>
        <v>1.9E-3</v>
      </c>
      <c r="N10" s="12"/>
      <c r="O10" s="4">
        <f t="shared" ca="1" si="9"/>
        <v>2043</v>
      </c>
      <c r="P10" s="4">
        <v>7</v>
      </c>
      <c r="Q10" s="4">
        <f t="shared" ca="1" si="10"/>
        <v>12</v>
      </c>
      <c r="S10" s="125">
        <f ca="1">HLOOKUP(O10,'Datos SS'!$B$4:$CZZ$16,(Q10+1),0)</f>
        <v>197.319272352844</v>
      </c>
      <c r="T10" s="125">
        <f ca="1">IF(O10=YEAR($B$5),($B$9/12),IF(O10&gt;MIN(YEAR($B$7),YEAR($B$5)),($B$9/12)*(1+HLOOKUP(O10,'Datos SS'!$B$31:$CZZ$32,2,0))^(O10-YEAR($B$5)),$B$9/12/(1+HLOOKUP(O10,'Datos SS'!$B$31:$CZZ$32,2,0))))</f>
        <v>29308.586736901387</v>
      </c>
      <c r="U10" s="7">
        <f ca="1">IF(O10=2018,IF(Q10&lt;8,HLOOKUP(O10,'Datos SS'!$B$25:$BZZ$27,3,0)/12,HLOOKUP(O10,'Datos SS'!$B$25:$BZZ$26,2,0)/12),HLOOKUP(O10,'Datos SS'!$B$25:$BZZ$26,2,0)/12)</f>
        <v>6952.4611152615071</v>
      </c>
      <c r="V10" s="165">
        <f t="shared" ca="1" si="6"/>
        <v>6952.4611152615071</v>
      </c>
      <c r="W10" s="7">
        <f t="shared" ca="1" si="7"/>
        <v>6952.4611152615071</v>
      </c>
      <c r="X10" s="149">
        <f ca="1">HLOOKUP(O10,'Datos SS'!$K$37:$EP$38,2,0)</f>
        <v>1807.6499674591005</v>
      </c>
      <c r="Y10">
        <f t="shared" ca="1" si="11"/>
        <v>1728</v>
      </c>
      <c r="Z10">
        <v>2016</v>
      </c>
      <c r="AA10" t="s">
        <v>201</v>
      </c>
      <c r="AB10" t="s">
        <v>45</v>
      </c>
      <c r="AC10" s="648">
        <v>2364.8104797315082</v>
      </c>
      <c r="AD10" s="650">
        <f t="shared" ca="1" si="8"/>
        <v>-4587.6506355299989</v>
      </c>
      <c r="AE10">
        <v>2020</v>
      </c>
      <c r="AF10">
        <v>37</v>
      </c>
      <c r="AG10">
        <v>65</v>
      </c>
      <c r="AH10" s="55">
        <f t="shared" ref="AH10:AH17" si="12">AG10+AI10</f>
        <v>65.833333333333329</v>
      </c>
      <c r="AI10" s="55">
        <f>10/12</f>
        <v>0.83333333333333337</v>
      </c>
      <c r="AL10">
        <v>38.5</v>
      </c>
      <c r="AM10">
        <v>0.02</v>
      </c>
    </row>
    <row r="11" spans="1:39">
      <c r="A11" s="3" t="s">
        <v>126</v>
      </c>
      <c r="B11" s="142" t="str">
        <f>'Simulador - Datos personales'!F9</f>
        <v>Hombre</v>
      </c>
      <c r="D11">
        <f ca="1">+B8*12</f>
        <v>237.36</v>
      </c>
      <c r="H11" s="9" t="s">
        <v>125</v>
      </c>
      <c r="I11" s="7">
        <f ca="1">0.52*I5</f>
        <v>3052.6970769115956</v>
      </c>
      <c r="J11" s="11"/>
      <c r="K11" s="11"/>
      <c r="L11" s="4">
        <v>8</v>
      </c>
      <c r="M11" s="4">
        <f t="shared" ca="1" si="5"/>
        <v>1.9E-3</v>
      </c>
      <c r="N11" s="12"/>
      <c r="O11" s="4">
        <f t="shared" ca="1" si="9"/>
        <v>2043</v>
      </c>
      <c r="P11" s="4">
        <v>8</v>
      </c>
      <c r="Q11" s="4">
        <f t="shared" ca="1" si="10"/>
        <v>11</v>
      </c>
      <c r="S11" s="125">
        <f ca="1">HLOOKUP(O11,'Datos SS'!$B$4:$CZZ$16,(Q11+1),0)</f>
        <v>196.91366244890418</v>
      </c>
      <c r="T11" s="125">
        <f ca="1">IF(O11=YEAR($B$5),($B$9/12),IF(O11&gt;MIN(YEAR($B$7),YEAR($B$5)),($B$9/12)*(1+HLOOKUP(O11,'Datos SS'!$B$31:$CZZ$32,2,0))^(O11-YEAR($B$5)),$B$9/12/(1+HLOOKUP(O11,'Datos SS'!$B$31:$CZZ$32,2,0))))</f>
        <v>29308.586736901387</v>
      </c>
      <c r="U11" s="7">
        <f ca="1">IF(O11=2018,IF(Q11&lt;8,HLOOKUP(O11,'Datos SS'!$B$25:$BZZ$27,3,0)/12,HLOOKUP(O11,'Datos SS'!$B$25:$BZZ$26,2,0)/12),HLOOKUP(O11,'Datos SS'!$B$25:$BZZ$26,2,0)/12)</f>
        <v>6952.4611152615071</v>
      </c>
      <c r="V11" s="165">
        <f t="shared" ca="1" si="6"/>
        <v>6952.4611152615071</v>
      </c>
      <c r="W11" s="7">
        <f t="shared" ca="1" si="7"/>
        <v>6952.4611152615071</v>
      </c>
      <c r="X11" s="149">
        <f ca="1">HLOOKUP(O11,'Datos SS'!$K$37:$EP$38,2,0)</f>
        <v>1807.6499674591005</v>
      </c>
      <c r="Y11">
        <f t="shared" ca="1" si="11"/>
        <v>1727</v>
      </c>
      <c r="AA11" t="s">
        <v>202</v>
      </c>
      <c r="AB11" t="s">
        <v>203</v>
      </c>
      <c r="AC11" s="648">
        <v>2364.8104797315082</v>
      </c>
      <c r="AD11" s="650">
        <f t="shared" ca="1" si="8"/>
        <v>-4587.6506355299989</v>
      </c>
      <c r="AE11">
        <v>2021</v>
      </c>
      <c r="AF11">
        <v>37.25</v>
      </c>
      <c r="AG11">
        <v>65</v>
      </c>
      <c r="AH11" s="55">
        <f t="shared" si="12"/>
        <v>66</v>
      </c>
      <c r="AI11" s="55">
        <v>1</v>
      </c>
      <c r="AL11">
        <v>41.5</v>
      </c>
      <c r="AM11">
        <v>1.8749999999999999E-2</v>
      </c>
    </row>
    <row r="12" spans="1:39">
      <c r="A12" s="3" t="s">
        <v>109</v>
      </c>
      <c r="B12" s="4">
        <f>'Simulador - Datos personales'!E11</f>
        <v>0</v>
      </c>
      <c r="I12" s="55"/>
      <c r="L12" s="4">
        <v>9</v>
      </c>
      <c r="M12" s="4">
        <f t="shared" ca="1" si="5"/>
        <v>1.9E-3</v>
      </c>
      <c r="O12" s="4">
        <f t="shared" ca="1" si="9"/>
        <v>2043</v>
      </c>
      <c r="P12" s="4">
        <v>9</v>
      </c>
      <c r="Q12" s="4">
        <f t="shared" ca="1" si="10"/>
        <v>10</v>
      </c>
      <c r="S12" s="125">
        <f ca="1">HLOOKUP(O12,'Datos SS'!$B$4:$CZZ$16,(Q12+1),0)</f>
        <v>196.50888631752093</v>
      </c>
      <c r="T12" s="125">
        <f ca="1">IF(O12=YEAR($B$5),($B$9/12),IF(O12&gt;MIN(YEAR($B$7),YEAR($B$5)),($B$9/12)*(1+HLOOKUP(O12,'Datos SS'!$B$31:$CZZ$32,2,0))^(O12-YEAR($B$5)),$B$9/12/(1+HLOOKUP(O12,'Datos SS'!$B$31:$CZZ$32,2,0))))</f>
        <v>29308.586736901387</v>
      </c>
      <c r="U12" s="7">
        <f ca="1">IF(O12=2018,IF(Q12&lt;8,HLOOKUP(O12,'Datos SS'!$B$25:$BZZ$27,3,0)/12,HLOOKUP(O12,'Datos SS'!$B$25:$BZZ$26,2,0)/12),HLOOKUP(O12,'Datos SS'!$B$25:$BZZ$26,2,0)/12)</f>
        <v>6952.4611152615071</v>
      </c>
      <c r="V12" s="165">
        <f t="shared" ca="1" si="6"/>
        <v>6952.4611152615071</v>
      </c>
      <c r="W12" s="7">
        <f t="shared" ca="1" si="7"/>
        <v>6952.4611152615071</v>
      </c>
      <c r="X12" s="149">
        <f ca="1">HLOOKUP(O12,'Datos SS'!$K$37:$EP$38,2,0)</f>
        <v>1807.6499674591005</v>
      </c>
      <c r="Y12">
        <f t="shared" ca="1" si="11"/>
        <v>1726</v>
      </c>
      <c r="Z12">
        <v>2017</v>
      </c>
      <c r="AA12" t="s">
        <v>204</v>
      </c>
      <c r="AB12" t="s">
        <v>45</v>
      </c>
      <c r="AC12" s="648">
        <v>2364.8104797315082</v>
      </c>
      <c r="AD12" s="650">
        <f t="shared" ca="1" si="8"/>
        <v>-4587.6506355299989</v>
      </c>
      <c r="AE12">
        <v>2022</v>
      </c>
      <c r="AF12">
        <v>37.5</v>
      </c>
      <c r="AG12">
        <v>65</v>
      </c>
      <c r="AH12" s="55">
        <f t="shared" si="12"/>
        <v>66.166666666666671</v>
      </c>
      <c r="AI12" s="55">
        <f>1+2/12</f>
        <v>1.1666666666666667</v>
      </c>
      <c r="AL12">
        <v>44.5</v>
      </c>
      <c r="AM12">
        <v>1.7500000000000002E-2</v>
      </c>
    </row>
    <row r="13" spans="1:39">
      <c r="A13" s="5" t="s">
        <v>5</v>
      </c>
      <c r="B13" s="4">
        <f ca="1">IF(YEAR(B7)&gt;2027,38.5,VLOOKUP(YEAR(B7),$AE$3:$AH$17,2,0))</f>
        <v>38.5</v>
      </c>
      <c r="L13" s="4">
        <v>10</v>
      </c>
      <c r="M13" s="4">
        <f t="shared" ca="1" si="5"/>
        <v>1.9E-3</v>
      </c>
      <c r="O13" s="4">
        <f t="shared" ca="1" si="9"/>
        <v>2043</v>
      </c>
      <c r="P13" s="4">
        <v>10</v>
      </c>
      <c r="Q13" s="4">
        <f t="shared" ca="1" si="10"/>
        <v>9</v>
      </c>
      <c r="S13" s="125">
        <f ca="1">HLOOKUP(O13,'Datos SS'!$B$4:$CZZ$16,(Q13+1),0)</f>
        <v>196.1049422447897</v>
      </c>
      <c r="T13" s="125">
        <f ca="1">IF(O13=YEAR($B$5),($B$9/12),IF(O13&gt;MIN(YEAR($B$7),YEAR($B$5)),($B$9/12)*(1+HLOOKUP(O13,'Datos SS'!$B$31:$CZZ$32,2,0))^(O13-YEAR($B$5)),$B$9/12/(1+HLOOKUP(O13,'Datos SS'!$B$31:$CZZ$32,2,0))))</f>
        <v>29308.586736901387</v>
      </c>
      <c r="U13" s="7">
        <f ca="1">IF(O13=2018,IF(Q13&lt;8,HLOOKUP(O13,'Datos SS'!$B$25:$BZZ$27,3,0)/12,HLOOKUP(O13,'Datos SS'!$B$25:$BZZ$26,2,0)/12),HLOOKUP(O13,'Datos SS'!$B$25:$BZZ$26,2,0)/12)</f>
        <v>6952.4611152615071</v>
      </c>
      <c r="V13" s="165">
        <f t="shared" ca="1" si="6"/>
        <v>6952.4611152615071</v>
      </c>
      <c r="W13" s="7">
        <f t="shared" ca="1" si="7"/>
        <v>6952.4611152615071</v>
      </c>
      <c r="X13" s="149">
        <f ca="1">HLOOKUP(O13,'Datos SS'!$K$37:$EP$38,2,0)</f>
        <v>1807.6499674591005</v>
      </c>
      <c r="Y13">
        <f t="shared" ca="1" si="11"/>
        <v>1725</v>
      </c>
      <c r="AA13" t="s">
        <v>205</v>
      </c>
      <c r="AB13" t="s">
        <v>206</v>
      </c>
      <c r="AC13" s="648">
        <v>2318.4416467955962</v>
      </c>
      <c r="AD13" s="650">
        <f t="shared" ca="1" si="8"/>
        <v>-4634.0194684659109</v>
      </c>
      <c r="AE13">
        <v>2023</v>
      </c>
      <c r="AF13">
        <v>37.75</v>
      </c>
      <c r="AG13">
        <v>65</v>
      </c>
      <c r="AH13" s="55">
        <f t="shared" si="12"/>
        <v>66.333333333333329</v>
      </c>
      <c r="AI13" s="55">
        <f>1+4/12</f>
        <v>1.3333333333333333</v>
      </c>
      <c r="AL13">
        <v>44.5</v>
      </c>
      <c r="AM13">
        <v>1.6250000000000001E-2</v>
      </c>
    </row>
    <row r="14" spans="1:39">
      <c r="A14" s="5" t="s">
        <v>82</v>
      </c>
      <c r="B14" s="222">
        <f ca="1">ROUND('Simulador - 1º Pilar'!D45,2)</f>
        <v>67</v>
      </c>
      <c r="H14" s="55"/>
      <c r="I14" s="55"/>
      <c r="L14" s="4">
        <v>11</v>
      </c>
      <c r="M14" s="4">
        <f t="shared" ca="1" si="5"/>
        <v>1.9E-3</v>
      </c>
      <c r="O14" s="4">
        <f t="shared" ca="1" si="9"/>
        <v>2043</v>
      </c>
      <c r="P14" s="4">
        <v>11</v>
      </c>
      <c r="Q14" s="4">
        <f t="shared" ca="1" si="10"/>
        <v>8</v>
      </c>
      <c r="S14" s="125">
        <f ca="1">HLOOKUP(O14,'Datos SS'!$B$4:$CZZ$16,(Q14+1),0)</f>
        <v>195.70182852032897</v>
      </c>
      <c r="T14" s="125">
        <f ca="1">IF(O14=YEAR($B$5),($B$9/12),IF(O14&gt;MIN(YEAR($B$7),YEAR($B$5)),($B$9/12)*(1+HLOOKUP(O14,'Datos SS'!$B$31:$CZZ$32,2,0))^(O14-YEAR($B$5)),$B$9/12/(1+HLOOKUP(O14,'Datos SS'!$B$31:$CZZ$32,2,0))))</f>
        <v>29308.586736901387</v>
      </c>
      <c r="U14" s="7">
        <f ca="1">IF(O14=2018,IF(Q14&lt;8,HLOOKUP(O14,'Datos SS'!$B$25:$BZZ$27,3,0)/12,HLOOKUP(O14,'Datos SS'!$B$25:$BZZ$26,2,0)/12),HLOOKUP(O14,'Datos SS'!$B$25:$BZZ$26,2,0)/12)</f>
        <v>6952.4611152615071</v>
      </c>
      <c r="V14" s="165">
        <f t="shared" ca="1" si="6"/>
        <v>6952.4611152615071</v>
      </c>
      <c r="W14" s="7">
        <f t="shared" ca="1" si="7"/>
        <v>6952.4611152615071</v>
      </c>
      <c r="X14" s="149">
        <f ca="1">HLOOKUP(O14,'Datos SS'!$K$37:$EP$38,2,0)</f>
        <v>1807.6499674591005</v>
      </c>
      <c r="Y14">
        <f t="shared" ca="1" si="11"/>
        <v>1724</v>
      </c>
      <c r="Z14">
        <v>2018</v>
      </c>
      <c r="AA14" t="s">
        <v>207</v>
      </c>
      <c r="AB14" t="s">
        <v>45</v>
      </c>
      <c r="AC14" s="648">
        <v>2318.4416467955962</v>
      </c>
      <c r="AD14" s="650">
        <f t="shared" ca="1" si="8"/>
        <v>-4634.0194684659109</v>
      </c>
      <c r="AE14">
        <v>2024</v>
      </c>
      <c r="AF14">
        <v>38</v>
      </c>
      <c r="AG14">
        <v>65</v>
      </c>
      <c r="AH14" s="55">
        <f t="shared" si="12"/>
        <v>66.5</v>
      </c>
      <c r="AI14" s="55">
        <f>1+0.5</f>
        <v>1.5</v>
      </c>
    </row>
    <row r="15" spans="1:39" ht="15.75" customHeight="1">
      <c r="A15" s="5" t="s">
        <v>97</v>
      </c>
      <c r="B15" s="4">
        <f ca="1">IF(AND(YEAR(B7)&lt;2023,YEAR(B7)&gt;=2013),VLOOKUP(YEAR(B7),$Z$49:$AB$58,2,0),IF(YEAR(B7)&gt;=2023,300,192))</f>
        <v>300</v>
      </c>
      <c r="G15" s="55"/>
      <c r="L15" s="4">
        <v>12</v>
      </c>
      <c r="M15" s="4">
        <f t="shared" ca="1" si="5"/>
        <v>1.9E-3</v>
      </c>
      <c r="O15" s="4">
        <f t="shared" ca="1" si="9"/>
        <v>2043</v>
      </c>
      <c r="P15" s="4">
        <v>12</v>
      </c>
      <c r="Q15" s="4">
        <f t="shared" ca="1" si="10"/>
        <v>7</v>
      </c>
      <c r="S15" s="125">
        <f ca="1">HLOOKUP(O15,'Datos SS'!$B$4:$CZZ$16,(Q15+1),0)</f>
        <v>195.29954343727314</v>
      </c>
      <c r="T15" s="125">
        <f ca="1">IF(O15=YEAR($B$5),($B$9/12),IF(O15&gt;MIN(YEAR($B$7),YEAR($B$5)),($B$9/12)*(1+HLOOKUP(O15,'Datos SS'!$B$31:$CZZ$32,2,0))^(O15-YEAR($B$5)),$B$9/12/(1+HLOOKUP(O15,'Datos SS'!$B$31:$CZZ$32,2,0))))</f>
        <v>29308.586736901387</v>
      </c>
      <c r="U15" s="7">
        <f ca="1">IF(O15=2018,IF(Q15&lt;8,HLOOKUP(O15,'Datos SS'!$B$25:$BZZ$27,3,0)/12,HLOOKUP(O15,'Datos SS'!$B$25:$BZZ$26,2,0)/12),HLOOKUP(O15,'Datos SS'!$B$25:$BZZ$26,2,0)/12)</f>
        <v>6952.4611152615071</v>
      </c>
      <c r="V15" s="165">
        <f t="shared" ca="1" si="6"/>
        <v>6952.4611152615071</v>
      </c>
      <c r="W15" s="7">
        <f t="shared" ca="1" si="7"/>
        <v>6952.4611152615071</v>
      </c>
      <c r="X15" s="149">
        <f ca="1">HLOOKUP(O15,'Datos SS'!$K$37:$EP$38,2,0)</f>
        <v>1807.6499674591005</v>
      </c>
      <c r="Y15">
        <f t="shared" ca="1" si="11"/>
        <v>1723</v>
      </c>
      <c r="AA15" t="s">
        <v>208</v>
      </c>
      <c r="AB15" t="s">
        <v>209</v>
      </c>
      <c r="AC15" s="648">
        <v>2318.4416467955962</v>
      </c>
      <c r="AD15" s="650">
        <f t="shared" ca="1" si="8"/>
        <v>-4634.0194684659109</v>
      </c>
      <c r="AE15">
        <v>2025</v>
      </c>
      <c r="AF15">
        <v>38.25</v>
      </c>
      <c r="AG15">
        <v>65</v>
      </c>
      <c r="AH15" s="55">
        <f t="shared" si="12"/>
        <v>66.666666666666671</v>
      </c>
      <c r="AI15" s="55">
        <f>1+8/12</f>
        <v>1.6666666666666665</v>
      </c>
      <c r="AL15" t="s">
        <v>89</v>
      </c>
    </row>
    <row r="16" spans="1:39">
      <c r="A16" s="5" t="s">
        <v>98</v>
      </c>
      <c r="B16" s="4">
        <f ca="1">IF(AND(YEAR(B7)&lt;2023,YEAR(B7)&gt;=2013),VLOOKUP(YEAR(B7),$Z$49:$AB$58,3,0),IF(YEAR(B7)&gt;=2023,350,224))</f>
        <v>350</v>
      </c>
      <c r="L16" s="4">
        <v>13</v>
      </c>
      <c r="M16" s="4">
        <f t="shared" ca="1" si="5"/>
        <v>1.9E-3</v>
      </c>
      <c r="O16" s="4">
        <f t="shared" ca="1" si="9"/>
        <v>2043</v>
      </c>
      <c r="P16" s="4">
        <v>13</v>
      </c>
      <c r="Q16" s="4">
        <f t="shared" ca="1" si="10"/>
        <v>6</v>
      </c>
      <c r="S16" s="125">
        <f ca="1">HLOOKUP(O16,'Datos SS'!$B$4:$CZZ$16,(Q16+1),0)</f>
        <v>194.89808529226522</v>
      </c>
      <c r="T16" s="814">
        <f ca="1">IF(O16=YEAR($B$5),($B$9/12),IF(O16&gt;MIN(YEAR($B$7),YEAR($B$5)),($B$9/12)*(1+HLOOKUP(O16,'Datos SS'!$B$31:$CZZ$32,2,0))^(O16-YEAR($B$5)),T4/(1+HLOOKUP(O16,'Datos SS'!$B$31:$CZZ$32,2,0))))</f>
        <v>29308.586736901387</v>
      </c>
      <c r="U16" s="7">
        <f ca="1">IF(O16=2018,IF(Q16&lt;8,HLOOKUP(O16,'Datos SS'!$B$25:$BZZ$27,3,0)/12,HLOOKUP(O16,'Datos SS'!$B$25:$BZZ$26,2,0)/12),HLOOKUP(O16,'Datos SS'!$B$25:$BZZ$26,2,0)/12)</f>
        <v>6952.4611152615071</v>
      </c>
      <c r="V16" s="165">
        <f t="shared" ca="1" si="6"/>
        <v>6952.4611152615071</v>
      </c>
      <c r="W16" s="7">
        <f t="shared" ca="1" si="7"/>
        <v>6952.4611152615071</v>
      </c>
      <c r="X16" s="149">
        <f ca="1">HLOOKUP(O16,'Datos SS'!$K$37:$EP$38,2,0)</f>
        <v>1807.6499674591005</v>
      </c>
      <c r="Y16">
        <f t="shared" ca="1" si="11"/>
        <v>1722</v>
      </c>
      <c r="Z16">
        <v>2019</v>
      </c>
      <c r="AA16" t="s">
        <v>44</v>
      </c>
      <c r="AB16" t="s">
        <v>45</v>
      </c>
      <c r="AC16" s="648">
        <v>2318.4416467955962</v>
      </c>
      <c r="AD16" s="650">
        <f t="shared" ca="1" si="8"/>
        <v>-4634.0194684659109</v>
      </c>
      <c r="AE16">
        <v>2026</v>
      </c>
      <c r="AF16">
        <v>38.25</v>
      </c>
      <c r="AG16">
        <v>65</v>
      </c>
      <c r="AH16" s="55">
        <f t="shared" si="12"/>
        <v>66.833333333333329</v>
      </c>
      <c r="AI16" s="55">
        <f>1+10/12</f>
        <v>1.8333333333333335</v>
      </c>
      <c r="AL16" t="s">
        <v>90</v>
      </c>
    </row>
    <row r="17" spans="1:38">
      <c r="A17" s="5" t="s">
        <v>84</v>
      </c>
      <c r="B17" s="7">
        <f ca="1">IF(D8&gt;0,(C8-15)*12,(B8-15)*12)</f>
        <v>57.360000000000014</v>
      </c>
      <c r="L17" s="4">
        <v>14</v>
      </c>
      <c r="M17" s="4">
        <f t="shared" ca="1" si="5"/>
        <v>1.9E-3</v>
      </c>
      <c r="O17" s="4">
        <f t="shared" ca="1" si="9"/>
        <v>2043</v>
      </c>
      <c r="P17" s="4">
        <v>14</v>
      </c>
      <c r="Q17" s="4">
        <f t="shared" ca="1" si="10"/>
        <v>5</v>
      </c>
      <c r="S17" s="125">
        <f ca="1">HLOOKUP(O17,'Datos SS'!$B$4:$CZZ$16,(Q17+1),0)</f>
        <v>194.49745238544966</v>
      </c>
      <c r="T17" s="815">
        <f ca="1">IF(O17=YEAR($B$5),($B$9/12),IF(O17&gt;MIN(YEAR($B$7),YEAR($B$5)),($B$9/12)*(1+HLOOKUP(O17,'Datos SS'!$B$31:$CZZ$32,2,0))^(O17-YEAR($B$5)),T5/(1+HLOOKUP(O17,'Datos SS'!$B$31:$CZZ$32,2,0))))</f>
        <v>29308.586736901387</v>
      </c>
      <c r="U17" s="7">
        <f ca="1">IF(O17=2018,IF(Q17&lt;8,HLOOKUP(O17,'Datos SS'!$B$25:$BZZ$27,3,0)/12,HLOOKUP(O17,'Datos SS'!$B$25:$BZZ$26,2,0)/12),HLOOKUP(O17,'Datos SS'!$B$25:$BZZ$26,2,0)/12)</f>
        <v>6952.4611152615071</v>
      </c>
      <c r="V17" s="165">
        <f t="shared" ca="1" si="6"/>
        <v>6952.4611152615071</v>
      </c>
      <c r="W17" s="7">
        <f t="shared" ca="1" si="7"/>
        <v>6952.4611152615071</v>
      </c>
      <c r="X17" s="149">
        <f ca="1">HLOOKUP(O17,'Datos SS'!$K$37:$EP$38,2,0)</f>
        <v>1807.6499674591005</v>
      </c>
      <c r="Y17">
        <f t="shared" ca="1" si="11"/>
        <v>1721</v>
      </c>
      <c r="AA17" t="s">
        <v>46</v>
      </c>
      <c r="AB17" t="s">
        <v>47</v>
      </c>
      <c r="AC17" s="648">
        <v>2318.4416467955962</v>
      </c>
      <c r="AD17" s="650">
        <f t="shared" ca="1" si="8"/>
        <v>-4634.0194684659109</v>
      </c>
      <c r="AE17">
        <v>2027</v>
      </c>
      <c r="AF17">
        <v>38.5</v>
      </c>
      <c r="AG17">
        <v>65</v>
      </c>
      <c r="AH17" s="55">
        <f t="shared" si="12"/>
        <v>67</v>
      </c>
      <c r="AI17" s="55">
        <v>2</v>
      </c>
    </row>
    <row r="18" spans="1:38">
      <c r="A18" s="1" t="s">
        <v>1232</v>
      </c>
      <c r="B18" s="6">
        <f ca="1">+'Simulador - 1º Pilar'!G20</f>
        <v>52781</v>
      </c>
      <c r="L18" s="4">
        <v>15</v>
      </c>
      <c r="M18" s="4">
        <f t="shared" ca="1" si="5"/>
        <v>1.9E-3</v>
      </c>
      <c r="O18" s="4">
        <f t="shared" ca="1" si="9"/>
        <v>2043</v>
      </c>
      <c r="P18" s="4">
        <v>15</v>
      </c>
      <c r="Q18" s="4">
        <f t="shared" ca="1" si="10"/>
        <v>4</v>
      </c>
      <c r="S18" s="125">
        <f ca="1">HLOOKUP(O18,'Datos SS'!$B$4:$CZZ$16,(Q18+1),0)</f>
        <v>194.09764302046511</v>
      </c>
      <c r="T18" s="815">
        <f ca="1">IF(O18=YEAR($B$5),($B$9/12),IF(O18&gt;MIN(YEAR($B$7),YEAR($B$5)),($B$9/12)*(1+HLOOKUP(O18,'Datos SS'!$B$31:$CZZ$32,2,0))^(O18-YEAR($B$5)),T6/(1+HLOOKUP(O18,'Datos SS'!$B$31:$CZZ$32,2,0))))</f>
        <v>29308.586736901387</v>
      </c>
      <c r="U18" s="7">
        <f ca="1">IF(O18=2018,IF(Q18&lt;8,HLOOKUP(O18,'Datos SS'!$B$25:$BZZ$27,3,0)/12,HLOOKUP(O18,'Datos SS'!$B$25:$BZZ$26,2,0)/12),HLOOKUP(O18,'Datos SS'!$B$25:$BZZ$26,2,0)/12)</f>
        <v>6952.4611152615071</v>
      </c>
      <c r="V18" s="165">
        <f t="shared" ca="1" si="6"/>
        <v>6952.4611152615071</v>
      </c>
      <c r="W18" s="7">
        <f t="shared" ca="1" si="7"/>
        <v>6952.4611152615071</v>
      </c>
      <c r="X18" s="149">
        <f ca="1">HLOOKUP(O18,'Datos SS'!$K$37:$EP$38,2,0)</f>
        <v>1807.6499674591005</v>
      </c>
      <c r="Y18">
        <f t="shared" ca="1" si="11"/>
        <v>1720</v>
      </c>
      <c r="Z18">
        <v>2020</v>
      </c>
      <c r="AA18" t="s">
        <v>48</v>
      </c>
      <c r="AB18" t="s">
        <v>45</v>
      </c>
      <c r="AC18" s="648">
        <v>2318.4416467955962</v>
      </c>
      <c r="AD18" s="650">
        <f t="shared" ca="1" si="8"/>
        <v>-4634.0194684659109</v>
      </c>
      <c r="AI18" s="55"/>
    </row>
    <row r="19" spans="1:38">
      <c r="A19" s="868" t="s">
        <v>83</v>
      </c>
      <c r="B19" s="868"/>
      <c r="K19" s="851">
        <f>180+16</f>
        <v>196</v>
      </c>
      <c r="L19" s="4">
        <v>16</v>
      </c>
      <c r="M19" s="4">
        <f t="shared" ca="1" si="5"/>
        <v>1.9E-3</v>
      </c>
      <c r="O19" s="4">
        <f t="shared" ca="1" si="9"/>
        <v>2043</v>
      </c>
      <c r="P19" s="4">
        <v>16</v>
      </c>
      <c r="Q19" s="4">
        <f t="shared" ca="1" si="10"/>
        <v>3</v>
      </c>
      <c r="S19" s="125">
        <f ca="1">HLOOKUP(O19,'Datos SS'!$B$4:$CZZ$16,(Q19+1),0)</f>
        <v>193.69865550443731</v>
      </c>
      <c r="T19" s="815">
        <f ca="1">IF(O19=YEAR($B$5),($B$9/12),IF(O19&gt;MIN(YEAR($B$7),YEAR($B$5)),($B$9/12)*(1+HLOOKUP(O19,'Datos SS'!$B$31:$CZZ$32,2,0))^(O19-YEAR($B$5)),T7/(1+HLOOKUP(O19,'Datos SS'!$B$31:$CZZ$32,2,0))))</f>
        <v>29308.586736901387</v>
      </c>
      <c r="U19" s="7">
        <f ca="1">IF(O19=2018,IF(Q19&lt;8,HLOOKUP(O19,'Datos SS'!$B$25:$BZZ$27,3,0)/12,HLOOKUP(O19,'Datos SS'!$B$25:$BZZ$26,2,0)/12),HLOOKUP(O19,'Datos SS'!$B$25:$BZZ$26,2,0)/12)</f>
        <v>6952.4611152615071</v>
      </c>
      <c r="V19" s="165">
        <f t="shared" ca="1" si="6"/>
        <v>6952.4611152615071</v>
      </c>
      <c r="W19" s="7">
        <f t="shared" ca="1" si="7"/>
        <v>6952.4611152615071</v>
      </c>
      <c r="X19" s="149">
        <f ca="1">HLOOKUP(O19,'Datos SS'!$K$37:$EP$38,2,0)</f>
        <v>1807.6499674591005</v>
      </c>
      <c r="Y19">
        <f t="shared" ca="1" si="11"/>
        <v>1719</v>
      </c>
      <c r="AA19" t="s">
        <v>49</v>
      </c>
      <c r="AB19" t="s">
        <v>50</v>
      </c>
      <c r="AC19" s="648">
        <v>2318.4416467955962</v>
      </c>
      <c r="AD19" s="650">
        <f t="shared" ca="1" si="8"/>
        <v>-4634.0194684659109</v>
      </c>
    </row>
    <row r="20" spans="1:38">
      <c r="A20" s="61" t="s">
        <v>1193</v>
      </c>
      <c r="B20" s="119">
        <f ca="1">SUM(W4:W304)</f>
        <v>2054699.9556135738</v>
      </c>
      <c r="E20" s="149"/>
      <c r="L20" s="4">
        <v>17</v>
      </c>
      <c r="M20" s="4">
        <f t="shared" ca="1" si="5"/>
        <v>1.9E-3</v>
      </c>
      <c r="O20" s="4">
        <f t="shared" ca="1" si="9"/>
        <v>2043</v>
      </c>
      <c r="P20" s="4">
        <v>17</v>
      </c>
      <c r="Q20" s="4">
        <f t="shared" ca="1" si="10"/>
        <v>2</v>
      </c>
      <c r="S20" s="125">
        <f ca="1">HLOOKUP(O20,'Datos SS'!$B$4:$CZZ$16,(Q20+1),0)</f>
        <v>193.30048814797181</v>
      </c>
      <c r="T20" s="815">
        <f ca="1">IF(O20=YEAR($B$5),($B$9/12),IF(O20&gt;MIN(YEAR($B$7),YEAR($B$5)),($B$9/12)*(1+HLOOKUP(O20,'Datos SS'!$B$31:$CZZ$32,2,0))^(O20-YEAR($B$5)),T8/(1+HLOOKUP(O20,'Datos SS'!$B$31:$CZZ$32,2,0))))</f>
        <v>29308.586736901387</v>
      </c>
      <c r="U20" s="7">
        <f ca="1">IF(O20=2018,IF(Q20&lt;8,HLOOKUP(O20,'Datos SS'!$B$25:$BZZ$27,3,0)/12,HLOOKUP(O20,'Datos SS'!$B$25:$BZZ$26,2,0)/12),HLOOKUP(O20,'Datos SS'!$B$25:$BZZ$26,2,0)/12)</f>
        <v>6952.4611152615071</v>
      </c>
      <c r="V20" s="165">
        <f t="shared" ca="1" si="6"/>
        <v>6952.4611152615071</v>
      </c>
      <c r="W20" s="7">
        <f t="shared" ca="1" si="7"/>
        <v>6952.4611152615071</v>
      </c>
      <c r="X20" s="149">
        <f ca="1">HLOOKUP(O20,'Datos SS'!$K$37:$EP$38,2,0)</f>
        <v>1807.6499674591005</v>
      </c>
      <c r="Y20">
        <f t="shared" ca="1" si="11"/>
        <v>1718</v>
      </c>
      <c r="Z20">
        <v>2021</v>
      </c>
      <c r="AA20" t="s">
        <v>51</v>
      </c>
      <c r="AB20" t="s">
        <v>45</v>
      </c>
      <c r="AC20" s="648">
        <v>2318.4416467955962</v>
      </c>
      <c r="AD20" s="650">
        <f t="shared" ca="1" si="8"/>
        <v>-4634.0194684659109</v>
      </c>
      <c r="AL20" s="68" t="s">
        <v>107</v>
      </c>
    </row>
    <row r="21" spans="1:38">
      <c r="A21" s="57" t="s">
        <v>85</v>
      </c>
      <c r="B21" s="846">
        <f ca="1">B20*1/B16</f>
        <v>5870.5713017530679</v>
      </c>
      <c r="C21" s="125">
        <f ca="1">B21*14</f>
        <v>82187.998224542956</v>
      </c>
      <c r="E21" s="149"/>
      <c r="L21" s="4">
        <v>18</v>
      </c>
      <c r="M21" s="4">
        <f t="shared" ca="1" si="5"/>
        <v>1.9E-3</v>
      </c>
      <c r="O21" s="4">
        <f t="shared" ca="1" si="9"/>
        <v>2043</v>
      </c>
      <c r="P21" s="4">
        <v>18</v>
      </c>
      <c r="Q21" s="4">
        <f t="shared" ca="1" si="10"/>
        <v>1</v>
      </c>
      <c r="S21" s="125">
        <f ca="1">HLOOKUP(O21,'Datos SS'!$B$4:$CZZ$16,(Q21+1),0)</f>
        <v>192.90313926514693</v>
      </c>
      <c r="T21" s="815">
        <f ca="1">IF(O21=YEAR($B$5),($B$9/12),IF(O21&gt;MIN(YEAR($B$7),YEAR($B$5)),($B$9/12)*(1+HLOOKUP(O21,'Datos SS'!$B$31:$CZZ$32,2,0))^(O21-YEAR($B$5)),T9/(1+HLOOKUP(O21,'Datos SS'!$B$31:$CZZ$32,2,0))))</f>
        <v>29308.586736901387</v>
      </c>
      <c r="U21" s="7">
        <f ca="1">IF(O21=2018,IF(Q21&lt;8,HLOOKUP(O21,'Datos SS'!$B$25:$BZZ$27,3,0)/12,HLOOKUP(O21,'Datos SS'!$B$25:$BZZ$26,2,0)/12),HLOOKUP(O21,'Datos SS'!$B$25:$BZZ$26,2,0)/12)</f>
        <v>6952.4611152615071</v>
      </c>
      <c r="V21" s="165">
        <f t="shared" ca="1" si="6"/>
        <v>6952.4611152615071</v>
      </c>
      <c r="W21" s="7">
        <f t="shared" ca="1" si="7"/>
        <v>6952.4611152615071</v>
      </c>
      <c r="X21" s="149">
        <f ca="1">HLOOKUP(O21,'Datos SS'!$K$37:$EP$38,2,0)</f>
        <v>1807.6499674591005</v>
      </c>
      <c r="Y21">
        <f t="shared" ca="1" si="11"/>
        <v>1717</v>
      </c>
      <c r="AA21" t="s">
        <v>52</v>
      </c>
      <c r="AB21" t="s">
        <v>53</v>
      </c>
      <c r="AC21" s="648">
        <v>2318.4416467955962</v>
      </c>
      <c r="AD21" s="650">
        <f t="shared" ca="1" si="8"/>
        <v>-4634.0194684659109</v>
      </c>
      <c r="AL21" t="s">
        <v>106</v>
      </c>
    </row>
    <row r="22" spans="1:38">
      <c r="A22" s="57" t="s">
        <v>86</v>
      </c>
      <c r="B22" s="60">
        <f ca="1">IF(YEAR(B18)&lt;=2019,VLOOKUP(2019,$E$27:$H$30,3,0),IF(YEAR(B18)&lt;=2022,VLOOKUP(2022,$E$27:$H$30,3,0),IF(YEAR(B18)&lt;=2026,VLOOKUP(2026,$E$27:$H$30,3,0),IF(YEAR(B18)&gt;2026,VLOOKUP(2027,$E$27:$H$30,3,0)))))</f>
        <v>1.9E-3</v>
      </c>
      <c r="C22" s="4">
        <f ca="1">MIN(B17,IF(YEAR(B18)&lt;=2019,VLOOKUP(2019,$E$27:$H$30,2,0),IF(YEAR(B18)&lt;=2022,VLOOKUP(2022,$E$27:$H$30,2,0),IF(YEAR(B18)&lt;=2026,VLOOKUP(2026,$E$27:$H$30,2,0),IF(YEAR(B18)&gt;2026,VLOOKUP(2027,$E$27:$H$30,2,0))))))</f>
        <v>57.360000000000014</v>
      </c>
      <c r="D22" s="11"/>
      <c r="L22" s="4">
        <v>19</v>
      </c>
      <c r="M22" s="4">
        <f t="shared" ca="1" si="5"/>
        <v>1.9E-3</v>
      </c>
      <c r="O22" s="4">
        <f ca="1">IF(Q22=12,O21-1,O21)</f>
        <v>2042</v>
      </c>
      <c r="P22" s="4">
        <v>19</v>
      </c>
      <c r="Q22" s="4">
        <f ca="1">IF(Q21=1,12,Q21-1)</f>
        <v>12</v>
      </c>
      <c r="S22" s="125">
        <f ca="1">HLOOKUP(O22,'Datos SS'!$B$4:$CZZ$16,(Q22+1),0)</f>
        <v>192.50660717350658</v>
      </c>
      <c r="T22" s="815">
        <f ca="1">IF(O22=YEAR($B$5),($B$9/12),IF(O22&gt;MIN(YEAR($B$7),YEAR($B$5)),($B$9/12)*(1+HLOOKUP(O22,'Datos SS'!$B$31:$CZZ$32,2,0))^(O22-YEAR($B$5)),T10/(1+HLOOKUP(O22,'Datos SS'!$B$31:$CZZ$32,2,0))))</f>
        <v>28593.743157952573</v>
      </c>
      <c r="U22" s="7">
        <f ca="1">IF(O22=2018,IF(Q22&lt;8,HLOOKUP(O22,'Datos SS'!$B$25:$BZZ$27,3,0)/12,HLOOKUP(O22,'Datos SS'!$B$25:$BZZ$26,2,0)/12),HLOOKUP(O22,'Datos SS'!$B$25:$BZZ$26,2,0)/12)</f>
        <v>6782.8888929380564</v>
      </c>
      <c r="V22" s="165">
        <f t="shared" ca="1" si="6"/>
        <v>6782.8888929380564</v>
      </c>
      <c r="W22" s="7">
        <f t="shared" ca="1" si="7"/>
        <v>6782.8888929380564</v>
      </c>
      <c r="X22" s="149">
        <f ca="1">HLOOKUP(O22,'Datos SS'!$K$37:$EP$38,2,0)</f>
        <v>1763.5609438625372</v>
      </c>
      <c r="Y22">
        <f t="shared" ca="1" si="11"/>
        <v>1716</v>
      </c>
      <c r="Z22">
        <v>2022</v>
      </c>
      <c r="AA22" t="s">
        <v>54</v>
      </c>
      <c r="AB22" t="s">
        <v>45</v>
      </c>
      <c r="AC22" s="648">
        <v>2318.4416467955962</v>
      </c>
      <c r="AD22" s="650">
        <f t="shared" ca="1" si="8"/>
        <v>-4464.4472461424602</v>
      </c>
      <c r="AL22" t="s">
        <v>103</v>
      </c>
    </row>
    <row r="23" spans="1:38">
      <c r="A23" s="57" t="s">
        <v>87</v>
      </c>
      <c r="B23" s="60">
        <f ca="1">IF(YEAR(B18)&lt;=2019,VLOOKUP(2019,$E$27:$H$30,4,0),IF(YEAR(B18)&lt;=2022,VLOOKUP(2022,$E$27:$H$30,4,0),IF(YEAR(B18)&lt;=2026,VLOOKUP(2026,$E$27:$H$30,4,0),IF(YEAR(B18)&gt;2026,VLOOKUP(2027,$E$27:$H$30,4,0)))))</f>
        <v>1.8E-3</v>
      </c>
      <c r="C23" s="4">
        <f ca="1">MIN(B17-C22,IF(YEAR(B18)&lt;=2019,VLOOKUP(2019,$E$27:$I$30,5,0),IF(YEAR(B18)&lt;=2022,VLOOKUP(2022,$E$27:$I$30,5,0),IF(YEAR(B18)&lt;=2026,VLOOKUP(2026,$E$27:$I$30,5,0),IF(YEAR(B18)&gt;2026,VLOOKUP(2027,$E$27:$I$30,5,0))))))</f>
        <v>0</v>
      </c>
      <c r="D23" s="11"/>
      <c r="L23" s="4">
        <v>20</v>
      </c>
      <c r="M23" s="4">
        <f t="shared" ca="1" si="5"/>
        <v>1.9E-3</v>
      </c>
      <c r="O23" s="4">
        <f t="shared" ca="1" si="9"/>
        <v>2042</v>
      </c>
      <c r="P23" s="4">
        <v>20</v>
      </c>
      <c r="Q23" s="4">
        <f t="shared" ca="1" si="10"/>
        <v>11</v>
      </c>
      <c r="S23" s="125">
        <f ca="1">HLOOKUP(O23,'Datos SS'!$B$4:$CZZ$16,(Q23+1),0)</f>
        <v>192.1108901940531</v>
      </c>
      <c r="T23" s="815">
        <f ca="1">IF(O23=YEAR($B$5),($B$9/12),IF(O23&gt;MIN(YEAR($B$7),YEAR($B$5)),($B$9/12)*(1+HLOOKUP(O23,'Datos SS'!$B$31:$CZZ$32,2,0))^(O23-YEAR($B$5)),T11/(1+HLOOKUP(O23,'Datos SS'!$B$31:$CZZ$32,2,0))))</f>
        <v>28593.743157952573</v>
      </c>
      <c r="U23" s="7">
        <f ca="1">IF(O23=2018,IF(Q23&lt;8,HLOOKUP(O23,'Datos SS'!$B$25:$BZZ$27,3,0)/12,HLOOKUP(O23,'Datos SS'!$B$25:$BZZ$26,2,0)/12),HLOOKUP(O23,'Datos SS'!$B$25:$BZZ$26,2,0)/12)</f>
        <v>6782.8888929380564</v>
      </c>
      <c r="V23" s="165">
        <f t="shared" ca="1" si="6"/>
        <v>6782.8888929380564</v>
      </c>
      <c r="W23" s="7">
        <f t="shared" ca="1" si="7"/>
        <v>6782.8888929380564</v>
      </c>
      <c r="X23" s="149">
        <f ca="1">HLOOKUP(O23,'Datos SS'!$K$37:$EP$38,2,0)</f>
        <v>1763.5609438625372</v>
      </c>
      <c r="Y23">
        <f t="shared" ca="1" si="11"/>
        <v>1715</v>
      </c>
      <c r="AA23" t="s">
        <v>55</v>
      </c>
      <c r="AB23" t="s">
        <v>56</v>
      </c>
      <c r="AC23" s="648">
        <v>2318.4416467955962</v>
      </c>
      <c r="AD23" s="650">
        <f t="shared" ca="1" si="8"/>
        <v>-4464.4472461424602</v>
      </c>
      <c r="AL23" t="s">
        <v>104</v>
      </c>
    </row>
    <row r="24" spans="1:38">
      <c r="B24" s="148"/>
      <c r="L24" s="4">
        <v>21</v>
      </c>
      <c r="M24" s="4">
        <f t="shared" ca="1" si="5"/>
        <v>1.9E-3</v>
      </c>
      <c r="O24" s="4">
        <f t="shared" ca="1" si="9"/>
        <v>2042</v>
      </c>
      <c r="P24" s="4">
        <v>21</v>
      </c>
      <c r="Q24" s="4">
        <f t="shared" ca="1" si="10"/>
        <v>10</v>
      </c>
      <c r="S24" s="125">
        <f ca="1">HLOOKUP(O24,'Datos SS'!$B$4:$CZZ$16,(Q24+1),0)</f>
        <v>191.7159866512402</v>
      </c>
      <c r="T24" s="815">
        <f ca="1">IF(O24=YEAR($B$5),($B$9/12),IF(O24&gt;MIN(YEAR($B$7),YEAR($B$5)),($B$9/12)*(1+HLOOKUP(O24,'Datos SS'!$B$31:$CZZ$32,2,0))^(O24-YEAR($B$5)),T12/(1+HLOOKUP(O24,'Datos SS'!$B$31:$CZZ$32,2,0))))</f>
        <v>28593.743157952573</v>
      </c>
      <c r="U24" s="7">
        <f ca="1">IF(O24=2018,IF(Q24&lt;8,HLOOKUP(O24,'Datos SS'!$B$25:$BZZ$27,3,0)/12,HLOOKUP(O24,'Datos SS'!$B$25:$BZZ$26,2,0)/12),HLOOKUP(O24,'Datos SS'!$B$25:$BZZ$26,2,0)/12)</f>
        <v>6782.8888929380564</v>
      </c>
      <c r="V24" s="165">
        <f t="shared" ca="1" si="6"/>
        <v>6782.8888929380564</v>
      </c>
      <c r="W24" s="7">
        <f t="shared" ca="1" si="7"/>
        <v>6782.8888929380564</v>
      </c>
      <c r="X24" s="149">
        <f ca="1">HLOOKUP(O24,'Datos SS'!$K$37:$EP$38,2,0)</f>
        <v>1763.5609438625372</v>
      </c>
      <c r="Y24">
        <f t="shared" ca="1" si="11"/>
        <v>1714</v>
      </c>
      <c r="Z24">
        <v>2023</v>
      </c>
      <c r="AA24" t="s">
        <v>57</v>
      </c>
      <c r="AB24" t="s">
        <v>45</v>
      </c>
      <c r="AC24" s="648">
        <v>2318.4416467955962</v>
      </c>
      <c r="AD24" s="650">
        <f t="shared" ca="1" si="8"/>
        <v>-4464.4472461424602</v>
      </c>
      <c r="AL24" t="s">
        <v>105</v>
      </c>
    </row>
    <row r="25" spans="1:38">
      <c r="A25" s="806" t="s">
        <v>1203</v>
      </c>
      <c r="B25" s="171">
        <f>IF('Simulador - 1º Pilar'!$G$10="Jubilación anticipada",IF(B10&lt;B14,IF(B8&lt;35,100%,IF(AND(35&lt;=B8,B8&lt;38.5),0.02*D7*4,IF(AND(38.5&lt;=B8,B8&lt;41.5),0.01875*(D7*4),IF(AND(41.5&lt;=B8,B8&lt;44.5),0.0175*(D7*4),IF(B8&gt;=44.5,0.01625*(D7*4)))))),0),0)</f>
        <v>0</v>
      </c>
      <c r="C25" s="808">
        <f ca="1">IF(B10&lt;B14,IF(B8&lt;35,"La jubilación anticipada no es posible",IF(AND(35&lt;=B8,B8&lt;38.5),0.02,IF(AND(38.5&lt;=B8,B8&lt;41.5),0.01875,IF(AND(41.5&lt;=B8,B8&lt;44.5),0.0175,IF(B8&gt;=44.5,0.01625))))),0)</f>
        <v>0</v>
      </c>
      <c r="D25" s="537" t="s">
        <v>1210</v>
      </c>
      <c r="F25" s="69"/>
      <c r="L25" s="4">
        <v>22</v>
      </c>
      <c r="M25" s="4">
        <f t="shared" ca="1" si="5"/>
        <v>1.9E-3</v>
      </c>
      <c r="O25" s="4">
        <f ca="1">IF(Q25=12,O24-1,O24)</f>
        <v>2042</v>
      </c>
      <c r="P25" s="4">
        <v>22</v>
      </c>
      <c r="Q25" s="4">
        <f ca="1">IF(Q24=1,12,Q24-1)</f>
        <v>9</v>
      </c>
      <c r="S25" s="125">
        <f ca="1">HLOOKUP(O25,'Datos SS'!$B$4:$CZZ$16,(Q25+1),0)</f>
        <v>191.32189487296583</v>
      </c>
      <c r="T25" s="815">
        <f ca="1">IF(O25=YEAR($B$5),($B$9/12),IF(O25&gt;MIN(YEAR($B$7),YEAR($B$5)),($B$9/12)*(1+HLOOKUP(O25,'Datos SS'!$B$31:$CZZ$32,2,0))^(O25-YEAR($B$5)),T13/(1+HLOOKUP(O25,'Datos SS'!$B$31:$CZZ$32,2,0))))</f>
        <v>28593.743157952573</v>
      </c>
      <c r="U25" s="7">
        <f ca="1">IF(O25=2018,IF(Q25&lt;8,HLOOKUP(O25,'Datos SS'!$B$25:$BZZ$27,3,0)/12,HLOOKUP(O25,'Datos SS'!$B$25:$BZZ$26,2,0)/12),HLOOKUP(O25,'Datos SS'!$B$25:$BZZ$26,2,0)/12)</f>
        <v>6782.8888929380564</v>
      </c>
      <c r="V25" s="165">
        <f t="shared" ca="1" si="6"/>
        <v>6782.8888929380564</v>
      </c>
      <c r="W25" s="7">
        <f t="shared" ca="1" si="7"/>
        <v>6782.8888929380564</v>
      </c>
      <c r="X25" s="149">
        <f ca="1">HLOOKUP(O25,'Datos SS'!$K$37:$EP$38,2,0)</f>
        <v>1763.5609438625372</v>
      </c>
      <c r="Y25">
        <f t="shared" ca="1" si="11"/>
        <v>1713</v>
      </c>
      <c r="AA25" t="s">
        <v>58</v>
      </c>
      <c r="AB25" t="s">
        <v>59</v>
      </c>
      <c r="AC25" s="648">
        <v>2272.9820066623492</v>
      </c>
      <c r="AD25" s="650">
        <f t="shared" ca="1" si="8"/>
        <v>-4509.9068862757067</v>
      </c>
    </row>
    <row r="26" spans="1:38">
      <c r="A26" s="57" t="s">
        <v>1194</v>
      </c>
      <c r="B26" s="60">
        <f ca="1">0.5+SUM(M4:M402)</f>
        <v>0.60829999999999995</v>
      </c>
      <c r="C26" s="161">
        <f ca="1">B26+B35</f>
        <v>0.60829999999999995</v>
      </c>
      <c r="E26" s="913" t="s">
        <v>99</v>
      </c>
      <c r="F26" s="913"/>
      <c r="G26" s="913"/>
      <c r="H26" s="913"/>
      <c r="I26" s="913"/>
      <c r="L26" s="4">
        <v>23</v>
      </c>
      <c r="M26" s="4">
        <f t="shared" ca="1" si="5"/>
        <v>1.9E-3</v>
      </c>
      <c r="O26" s="4">
        <f t="shared" ca="1" si="9"/>
        <v>2042</v>
      </c>
      <c r="P26" s="4">
        <v>23</v>
      </c>
      <c r="Q26" s="4">
        <f t="shared" ca="1" si="10"/>
        <v>8</v>
      </c>
      <c r="S26" s="125">
        <f ca="1">HLOOKUP(O26,'Datos SS'!$B$4:$CZZ$16,(Q26+1),0)</f>
        <v>190.92861319056513</v>
      </c>
      <c r="T26" s="815">
        <f ca="1">IF(O26=YEAR($B$5),($B$9/12),IF(O26&gt;MIN(YEAR($B$7),YEAR($B$5)),($B$9/12)*(1+HLOOKUP(O26,'Datos SS'!$B$31:$CZZ$32,2,0))^(O26-YEAR($B$5)),T14/(1+HLOOKUP(O26,'Datos SS'!$B$31:$CZZ$32,2,0))))</f>
        <v>28593.743157952573</v>
      </c>
      <c r="U26" s="7">
        <f ca="1">IF(O26=2018,IF(Q26&lt;8,HLOOKUP(O26,'Datos SS'!$B$25:$BZZ$27,3,0)/12,HLOOKUP(O26,'Datos SS'!$B$25:$BZZ$26,2,0)/12),HLOOKUP(O26,'Datos SS'!$B$25:$BZZ$26,2,0)/12)</f>
        <v>6782.8888929380564</v>
      </c>
      <c r="V26" s="165">
        <f t="shared" ca="1" si="6"/>
        <v>6782.8888929380564</v>
      </c>
      <c r="W26" s="7">
        <f t="shared" ca="1" si="7"/>
        <v>6782.8888929380564</v>
      </c>
      <c r="X26" s="149">
        <f ca="1">HLOOKUP(O26,'Datos SS'!$K$37:$EP$38,2,0)</f>
        <v>1763.5609438625372</v>
      </c>
      <c r="Y26">
        <f t="shared" ca="1" si="11"/>
        <v>1712</v>
      </c>
      <c r="Z26">
        <v>2024</v>
      </c>
      <c r="AA26" t="s">
        <v>60</v>
      </c>
      <c r="AB26" t="s">
        <v>45</v>
      </c>
      <c r="AC26" s="648">
        <v>2272.9820066623492</v>
      </c>
      <c r="AD26" s="650">
        <f t="shared" ca="1" si="8"/>
        <v>-4509.9068862757067</v>
      </c>
    </row>
    <row r="27" spans="1:38">
      <c r="E27" s="4">
        <v>2019</v>
      </c>
      <c r="F27" s="4">
        <v>163</v>
      </c>
      <c r="G27" s="4">
        <v>2.0999999999999999E-3</v>
      </c>
      <c r="H27" s="4">
        <v>1.9E-3</v>
      </c>
      <c r="I27" s="9">
        <v>83</v>
      </c>
      <c r="L27" s="4">
        <v>24</v>
      </c>
      <c r="M27" s="4">
        <f t="shared" ca="1" si="5"/>
        <v>1.9E-3</v>
      </c>
      <c r="O27" s="4">
        <f t="shared" ca="1" si="9"/>
        <v>2042</v>
      </c>
      <c r="P27" s="4">
        <v>24</v>
      </c>
      <c r="Q27" s="4">
        <f t="shared" ca="1" si="10"/>
        <v>7</v>
      </c>
      <c r="S27" s="125">
        <f ca="1">HLOOKUP(O27,'Datos SS'!$B$4:$CZZ$16,(Q27+1),0)</f>
        <v>190.53613993880336</v>
      </c>
      <c r="T27" s="815">
        <f ca="1">IF(O27=YEAR($B$5),($B$9/12),IF(O27&gt;MIN(YEAR($B$7),YEAR($B$5)),($B$9/12)*(1+HLOOKUP(O27,'Datos SS'!$B$31:$CZZ$32,2,0))^(O27-YEAR($B$5)),T15/(1+HLOOKUP(O27,'Datos SS'!$B$31:$CZZ$32,2,0))))</f>
        <v>28593.743157952573</v>
      </c>
      <c r="U27" s="7">
        <f ca="1">IF(O27=2018,IF(Q27&lt;8,HLOOKUP(O27,'Datos SS'!$B$25:$BZZ$27,3,0)/12,HLOOKUP(O27,'Datos SS'!$B$25:$BZZ$26,2,0)/12),HLOOKUP(O27,'Datos SS'!$B$25:$BZZ$26,2,0)/12)</f>
        <v>6782.8888929380564</v>
      </c>
      <c r="V27" s="165">
        <f t="shared" ca="1" si="6"/>
        <v>6782.8888929380564</v>
      </c>
      <c r="W27" s="7">
        <f t="shared" ca="1" si="7"/>
        <v>6782.8888929380564</v>
      </c>
      <c r="X27" s="149">
        <f ca="1">HLOOKUP(O27,'Datos SS'!$K$37:$EP$38,2,0)</f>
        <v>1763.5609438625372</v>
      </c>
      <c r="Y27">
        <f t="shared" ca="1" si="11"/>
        <v>1711</v>
      </c>
      <c r="AA27" t="s">
        <v>61</v>
      </c>
      <c r="AB27" t="s">
        <v>62</v>
      </c>
      <c r="AC27" s="648">
        <v>2272.9820066623492</v>
      </c>
      <c r="AD27" s="650">
        <f t="shared" ca="1" si="8"/>
        <v>-4509.9068862757067</v>
      </c>
      <c r="AL27" s="68" t="s">
        <v>124</v>
      </c>
    </row>
    <row r="28" spans="1:38">
      <c r="A28" s="63" t="s">
        <v>1195</v>
      </c>
      <c r="B28" s="125">
        <f ca="1">B21*(B26)*(1-B25)</f>
        <v>3571.0685228563912</v>
      </c>
      <c r="C28" s="847">
        <f ca="1">C26*B21</f>
        <v>3571.0685228563912</v>
      </c>
      <c r="E28" s="4">
        <v>2022</v>
      </c>
      <c r="F28" s="4">
        <v>106</v>
      </c>
      <c r="G28" s="4">
        <v>2.0999999999999999E-3</v>
      </c>
      <c r="H28" s="4">
        <v>1.9E-3</v>
      </c>
      <c r="I28" s="9">
        <v>146</v>
      </c>
      <c r="L28" s="4">
        <v>25</v>
      </c>
      <c r="M28" s="4">
        <f t="shared" ca="1" si="5"/>
        <v>1.9E-3</v>
      </c>
      <c r="O28" s="4">
        <f t="shared" ca="1" si="9"/>
        <v>2042</v>
      </c>
      <c r="P28" s="4">
        <v>25</v>
      </c>
      <c r="Q28" s="4">
        <f t="shared" ca="1" si="10"/>
        <v>6</v>
      </c>
      <c r="S28" s="125">
        <f ca="1">HLOOKUP(O28,'Datos SS'!$B$4:$CZZ$16,(Q28+1),0)</f>
        <v>190.14447345586882</v>
      </c>
      <c r="T28" s="815">
        <f ca="1">IF(O28=YEAR($B$5),($B$9/12),IF(O28&gt;MIN(YEAR($B$7),YEAR($B$5)),($B$9/12)*(1+HLOOKUP(O28,'Datos SS'!$B$31:$CZZ$32,2,0))^(O28-YEAR($B$5)),T16/(1+HLOOKUP(O28,'Datos SS'!$B$31:$CZZ$32,2,0))))</f>
        <v>28593.743157952573</v>
      </c>
      <c r="U28" s="7">
        <f ca="1">IF(O28=2018,IF(Q28&lt;8,HLOOKUP(O28,'Datos SS'!$B$25:$BZZ$27,3,0)/12,HLOOKUP(O28,'Datos SS'!$B$25:$BZZ$26,2,0)/12),HLOOKUP(O28,'Datos SS'!$B$25:$BZZ$26,2,0)/12)</f>
        <v>6782.8888929380564</v>
      </c>
      <c r="V28" s="165">
        <f t="shared" ca="1" si="6"/>
        <v>6782.8888929380564</v>
      </c>
      <c r="W28" s="7">
        <f t="shared" ca="1" si="7"/>
        <v>6782.8888929380564</v>
      </c>
      <c r="X28" s="149">
        <f ca="1">HLOOKUP(O28,'Datos SS'!$K$37:$EP$38,2,0)</f>
        <v>1763.5609438625372</v>
      </c>
      <c r="Y28">
        <f t="shared" ca="1" si="11"/>
        <v>1710</v>
      </c>
      <c r="Z28">
        <v>2025</v>
      </c>
      <c r="AA28" t="s">
        <v>63</v>
      </c>
      <c r="AB28" t="s">
        <v>45</v>
      </c>
      <c r="AC28" s="648">
        <v>2272.9820066623492</v>
      </c>
      <c r="AD28" s="650">
        <f t="shared" ca="1" si="8"/>
        <v>-4509.9068862757067</v>
      </c>
      <c r="AL28" t="s">
        <v>110</v>
      </c>
    </row>
    <row r="29" spans="1:38" ht="15" thickBot="1">
      <c r="A29" s="62" t="s">
        <v>100</v>
      </c>
      <c r="B29" s="848">
        <f ca="1">IF(B25&gt;0,(HLOOKUP(YEAR(B7),'Datos SS'!B20:BZO21,2,0)/14)*(1+(B10-B14)*4*0.005),(HLOOKUP(YEAR(B7)+IF('Simulador - 1º Pilar'!G10="Jubilación prolongada",'Simulador - 1º Pilar'!E99,0),'Datos SS'!B20:BZO21,2,0)/14))</f>
        <v>4853.419652629852</v>
      </c>
      <c r="C29" s="126"/>
      <c r="E29" s="4">
        <v>2026</v>
      </c>
      <c r="F29" s="4">
        <v>49</v>
      </c>
      <c r="G29" s="4">
        <v>2.0999999999999999E-3</v>
      </c>
      <c r="H29" s="4">
        <v>1.9E-3</v>
      </c>
      <c r="I29" s="9">
        <v>209</v>
      </c>
      <c r="L29" s="4">
        <v>26</v>
      </c>
      <c r="M29" s="4">
        <f t="shared" ca="1" si="5"/>
        <v>1.9E-3</v>
      </c>
      <c r="O29" s="4">
        <f t="shared" ca="1" si="9"/>
        <v>2042</v>
      </c>
      <c r="P29" s="4">
        <v>26</v>
      </c>
      <c r="Q29" s="4">
        <f t="shared" ca="1" si="10"/>
        <v>5</v>
      </c>
      <c r="S29" s="125">
        <f ca="1">HLOOKUP(O29,'Datos SS'!$B$4:$CZZ$16,(Q29+1),0)</f>
        <v>189.75361208336582</v>
      </c>
      <c r="T29" s="815">
        <f ca="1">IF(O29=YEAR($B$5),($B$9/12),IF(O29&gt;MIN(YEAR($B$7),YEAR($B$5)),($B$9/12)*(1+HLOOKUP(O29,'Datos SS'!$B$31:$CZZ$32,2,0))^(O29-YEAR($B$5)),T17/(1+HLOOKUP(O29,'Datos SS'!$B$31:$CZZ$32,2,0))))</f>
        <v>28593.743157952573</v>
      </c>
      <c r="U29" s="7">
        <f ca="1">IF(O29=2018,IF(Q29&lt;8,HLOOKUP(O29,'Datos SS'!$B$25:$BZZ$27,3,0)/12,HLOOKUP(O29,'Datos SS'!$B$25:$BZZ$26,2,0)/12),HLOOKUP(O29,'Datos SS'!$B$25:$BZZ$26,2,0)/12)</f>
        <v>6782.8888929380564</v>
      </c>
      <c r="V29" s="165">
        <f t="shared" ca="1" si="6"/>
        <v>6782.8888929380564</v>
      </c>
      <c r="W29" s="7">
        <f t="shared" ca="1" si="7"/>
        <v>6796.8605334940439</v>
      </c>
      <c r="X29" s="149">
        <f ca="1">HLOOKUP(O29,'Datos SS'!$K$37:$EP$38,2,0)</f>
        <v>1763.5609438625372</v>
      </c>
      <c r="Y29">
        <f t="shared" ca="1" si="11"/>
        <v>1709</v>
      </c>
      <c r="AA29" t="s">
        <v>64</v>
      </c>
      <c r="AB29" t="s">
        <v>65</v>
      </c>
      <c r="AC29" s="648">
        <v>2274.8675318700989</v>
      </c>
      <c r="AD29" s="650">
        <f t="shared" ca="1" si="8"/>
        <v>-4521.993001623945</v>
      </c>
      <c r="AL29" t="s">
        <v>111</v>
      </c>
    </row>
    <row r="30" spans="1:38" ht="15" thickBot="1">
      <c r="A30" s="282" t="s">
        <v>88</v>
      </c>
      <c r="B30" s="849">
        <f ca="1">IF($B$31*B28&lt;$B$29,$B$31*B28,$B$29)</f>
        <v>3571.0685228563912</v>
      </c>
      <c r="C30" s="850">
        <f ca="1">IF($B$31*C28&lt;$B$29,$B$31*C28,$B$29)</f>
        <v>3571.0685228563912</v>
      </c>
      <c r="E30" s="4">
        <v>2027</v>
      </c>
      <c r="F30" s="4">
        <v>248</v>
      </c>
      <c r="G30" s="4">
        <v>1.9E-3</v>
      </c>
      <c r="H30" s="4">
        <v>1.8E-3</v>
      </c>
      <c r="I30" s="9">
        <v>16</v>
      </c>
      <c r="L30" s="4">
        <v>27</v>
      </c>
      <c r="M30" s="4">
        <f t="shared" ca="1" si="5"/>
        <v>1.9E-3</v>
      </c>
      <c r="O30" s="4">
        <f t="shared" ca="1" si="9"/>
        <v>2042</v>
      </c>
      <c r="P30" s="4">
        <v>27</v>
      </c>
      <c r="Q30" s="4">
        <f t="shared" ca="1" si="10"/>
        <v>4</v>
      </c>
      <c r="S30" s="125">
        <f ca="1">HLOOKUP(O30,'Datos SS'!$B$4:$CZZ$16,(Q30+1),0)</f>
        <v>189.36355416630772</v>
      </c>
      <c r="T30" s="815">
        <f ca="1">IF(O30=YEAR($B$5),($B$9/12),IF(O30&gt;MIN(YEAR($B$7),YEAR($B$5)),($B$9/12)*(1+HLOOKUP(O30,'Datos SS'!$B$31:$CZZ$32,2,0))^(O30-YEAR($B$5)),T18/(1+HLOOKUP(O30,'Datos SS'!$B$31:$CZZ$32,2,0))))</f>
        <v>28593.743157952573</v>
      </c>
      <c r="U30" s="7">
        <f ca="1">IF(O30=2018,IF(Q30&lt;8,HLOOKUP(O30,'Datos SS'!$B$25:$BZZ$27,3,0)/12,HLOOKUP(O30,'Datos SS'!$B$25:$BZZ$26,2,0)/12),HLOOKUP(O30,'Datos SS'!$B$25:$BZZ$26,2,0)/12)</f>
        <v>6782.8888929380564</v>
      </c>
      <c r="V30" s="165">
        <f t="shared" ca="1" si="6"/>
        <v>6782.8888929380564</v>
      </c>
      <c r="W30" s="7">
        <f t="shared" ca="1" si="7"/>
        <v>6810.8609533419976</v>
      </c>
      <c r="X30" s="149">
        <f ca="1">HLOOKUP(O30,'Datos SS'!$K$37:$EP$38,2,0)</f>
        <v>1763.5609438625372</v>
      </c>
      <c r="Y30">
        <f t="shared" ca="1" si="11"/>
        <v>1708</v>
      </c>
      <c r="Z30">
        <v>2026</v>
      </c>
      <c r="AA30" t="s">
        <v>63</v>
      </c>
      <c r="AB30" t="s">
        <v>45</v>
      </c>
      <c r="AC30" s="648">
        <v>2276.7546211928734</v>
      </c>
      <c r="AD30" s="650">
        <f t="shared" ca="1" si="8"/>
        <v>-4534.1063321491238</v>
      </c>
      <c r="AL30" t="s">
        <v>112</v>
      </c>
    </row>
    <row r="31" spans="1:38">
      <c r="A31" s="283" t="s">
        <v>177</v>
      </c>
      <c r="B31" s="283">
        <v>1</v>
      </c>
      <c r="C31" s="666"/>
      <c r="L31" s="4">
        <v>28</v>
      </c>
      <c r="M31" s="4">
        <f t="shared" ca="1" si="5"/>
        <v>1.9E-3</v>
      </c>
      <c r="O31" s="4">
        <f t="shared" ca="1" si="9"/>
        <v>2042</v>
      </c>
      <c r="P31" s="4">
        <v>28</v>
      </c>
      <c r="Q31" s="4">
        <f t="shared" ca="1" si="10"/>
        <v>3</v>
      </c>
      <c r="S31" s="125">
        <f ca="1">HLOOKUP(O31,'Datos SS'!$B$4:$CZZ$16,(Q31+1),0)</f>
        <v>188.97429805310986</v>
      </c>
      <c r="T31" s="815">
        <f ca="1">IF(O31=YEAR($B$5),($B$9/12),IF(O31&gt;MIN(YEAR($B$7),YEAR($B$5)),($B$9/12)*(1+HLOOKUP(O31,'Datos SS'!$B$31:$CZZ$32,2,0))^(O31-YEAR($B$5)),T19/(1+HLOOKUP(O31,'Datos SS'!$B$31:$CZZ$32,2,0))))</f>
        <v>28593.743157952573</v>
      </c>
      <c r="U31" s="7">
        <f ca="1">IF(O31=2018,IF(Q31&lt;8,HLOOKUP(O31,'Datos SS'!$B$25:$BZZ$27,3,0)/12,HLOOKUP(O31,'Datos SS'!$B$25:$BZZ$26,2,0)/12),HLOOKUP(O31,'Datos SS'!$B$25:$BZZ$26,2,0)/12)</f>
        <v>6782.8888929380564</v>
      </c>
      <c r="V31" s="165">
        <f t="shared" ca="1" si="6"/>
        <v>6782.8888929380564</v>
      </c>
      <c r="W31" s="7">
        <f t="shared" ca="1" si="7"/>
        <v>6824.8902117625476</v>
      </c>
      <c r="X31" s="149">
        <f ca="1">HLOOKUP(O31,'Datos SS'!$K$37:$EP$38,2,0)</f>
        <v>1763.5609438625372</v>
      </c>
      <c r="Y31">
        <f t="shared" ca="1" si="11"/>
        <v>1707</v>
      </c>
      <c r="AA31" t="s">
        <v>64</v>
      </c>
      <c r="AB31" t="s">
        <v>66</v>
      </c>
      <c r="AC31" s="648">
        <v>2278.6432759281665</v>
      </c>
      <c r="AD31" s="650">
        <f t="shared" ca="1" si="8"/>
        <v>-4546.2469358343806</v>
      </c>
      <c r="AL31" t="s">
        <v>113</v>
      </c>
    </row>
    <row r="32" spans="1:38">
      <c r="A32" s="283" t="s">
        <v>108</v>
      </c>
      <c r="B32" s="283">
        <f ca="1">+IF(B11="Mujer",MIN(B12,4)*28,0)*(1+Hipótesis!$E$11)^(YEAR(PJSS!$B$39)-YEAR(Hipótesis!$E$5))</f>
        <v>0</v>
      </c>
      <c r="C32" s="537"/>
      <c r="L32" s="4">
        <v>29</v>
      </c>
      <c r="M32" s="4">
        <f t="shared" ca="1" si="5"/>
        <v>1.9E-3</v>
      </c>
      <c r="O32" s="4">
        <f ca="1">IF(Q32=12,O31-1,O31)</f>
        <v>2042</v>
      </c>
      <c r="P32" s="4">
        <v>29</v>
      </c>
      <c r="Q32" s="4">
        <f ca="1">IF(Q31=1,12,Q31-1)</f>
        <v>2</v>
      </c>
      <c r="S32" s="125">
        <f ca="1">HLOOKUP(O32,'Datos SS'!$B$4:$CZZ$16,(Q32+1),0)</f>
        <v>188.58584209558254</v>
      </c>
      <c r="T32" s="815">
        <f ca="1">IF(O32=YEAR($B$5),($B$9/12),IF(O32&gt;MIN(YEAR($B$7),YEAR($B$5)),($B$9/12)*(1+HLOOKUP(O32,'Datos SS'!$B$31:$CZZ$32,2,0))^(O32-YEAR($B$5)),T20/(1+HLOOKUP(O32,'Datos SS'!$B$31:$CZZ$32,2,0))))</f>
        <v>28593.743157952573</v>
      </c>
      <c r="U32" s="7">
        <f ca="1">IF(O32=2018,IF(Q32&lt;8,HLOOKUP(O32,'Datos SS'!$B$25:$BZZ$27,3,0)/12,HLOOKUP(O32,'Datos SS'!$B$25:$BZZ$26,2,0)/12),HLOOKUP(O32,'Datos SS'!$B$25:$BZZ$26,2,0)/12)</f>
        <v>6782.8888929380564</v>
      </c>
      <c r="V32" s="165">
        <f t="shared" ca="1" si="6"/>
        <v>6782.8888929380564</v>
      </c>
      <c r="W32" s="7">
        <f t="shared" ca="1" si="7"/>
        <v>6838.9483681584306</v>
      </c>
      <c r="X32" s="149">
        <f ca="1">HLOOKUP(O32,'Datos SS'!$K$37:$EP$38,2,0)</f>
        <v>1763.5609438625372</v>
      </c>
      <c r="Y32">
        <f t="shared" ca="1" si="11"/>
        <v>1706</v>
      </c>
      <c r="Z32" t="s">
        <v>67</v>
      </c>
      <c r="AA32" t="s">
        <v>68</v>
      </c>
      <c r="AB32" t="s">
        <v>45</v>
      </c>
      <c r="AC32" s="648">
        <v>2280.5334973745476</v>
      </c>
      <c r="AD32" s="650">
        <f t="shared" ca="1" si="8"/>
        <v>-4558.4148707838831</v>
      </c>
      <c r="AL32" t="s">
        <v>114</v>
      </c>
    </row>
    <row r="33" spans="1:38">
      <c r="A33" s="144" t="s">
        <v>217</v>
      </c>
      <c r="B33" s="7">
        <f ca="1">IF(B25&gt;0,(HLOOKUP(YEAR(B7),'Datos SS'!B20:BZO21,2,0)/14)*(1+(B10-B14)*4*0.005),(HLOOKUP(YEAR(B7),'Datos SS'!B20:BZO21,2,0)/14))</f>
        <v>4853.419652629852</v>
      </c>
      <c r="C33" s="4">
        <f ca="1">IF(B10&lt;B14,IF(B14-B10&lt;0.25,1,IF(AND(0.25&lt;B14-B10,B14-B10&lt;=0.5),2,IF(AND(0.5&lt;B14-B10,B14-B10&lt;=0.75),3,IF(AND(0.75&lt;B14-B10,B14-B10&lt;=1),4,IF(AND(1&lt;B14-B10,B14-B10&lt;=1.25),5,IF(AND(1.25&lt;B14-B10,B14-B10&lt;=1.5),6,IF(AND(1.5&lt;B14-B10,B14-B10&lt;=1.75),7,IF(AND(1.75&lt;B14-B10,B14-B10&lt;=2),8,0)))))))),0)</f>
        <v>0</v>
      </c>
      <c r="L33" s="4">
        <v>30</v>
      </c>
      <c r="M33" s="4">
        <f t="shared" ca="1" si="5"/>
        <v>1.9E-3</v>
      </c>
      <c r="O33" s="4">
        <f t="shared" ca="1" si="9"/>
        <v>2042</v>
      </c>
      <c r="P33" s="4">
        <v>30</v>
      </c>
      <c r="Q33" s="4">
        <f t="shared" ca="1" si="10"/>
        <v>1</v>
      </c>
      <c r="S33" s="125">
        <f ca="1">HLOOKUP(O33,'Datos SS'!$B$4:$CZZ$16,(Q33+1),0)</f>
        <v>188.19818464892413</v>
      </c>
      <c r="T33" s="815">
        <f ca="1">IF(O33=YEAR($B$5),($B$9/12),IF(O33&gt;MIN(YEAR($B$7),YEAR($B$5)),($B$9/12)*(1+HLOOKUP(O33,'Datos SS'!$B$31:$CZZ$32,2,0))^(O33-YEAR($B$5)),T21/(1+HLOOKUP(O33,'Datos SS'!$B$31:$CZZ$32,2,0))))</f>
        <v>28593.743157952573</v>
      </c>
      <c r="U33" s="7">
        <f ca="1">IF(O33=2018,IF(Q33&lt;8,HLOOKUP(O33,'Datos SS'!$B$25:$BZZ$27,3,0)/12,HLOOKUP(O33,'Datos SS'!$B$25:$BZZ$26,2,0)/12),HLOOKUP(O33,'Datos SS'!$B$25:$BZZ$26,2,0)/12)</f>
        <v>6782.8888929380564</v>
      </c>
      <c r="V33" s="165">
        <f t="shared" ca="1" si="6"/>
        <v>6782.8888929380564</v>
      </c>
      <c r="W33" s="7">
        <f t="shared" ca="1" si="7"/>
        <v>6853.0354820547454</v>
      </c>
      <c r="X33" s="149">
        <f ca="1">HLOOKUP(O33,'Datos SS'!$K$37:$EP$38,2,0)</f>
        <v>1763.5609438625372</v>
      </c>
      <c r="Y33">
        <f t="shared" ca="1" si="11"/>
        <v>1705</v>
      </c>
      <c r="AA33" t="s">
        <v>69</v>
      </c>
      <c r="AB33" t="s">
        <v>70</v>
      </c>
      <c r="AC33" s="648">
        <v>2282.425286831663</v>
      </c>
      <c r="AD33" s="650">
        <f t="shared" ca="1" si="8"/>
        <v>-4570.610195223082</v>
      </c>
      <c r="AL33" t="s">
        <v>115</v>
      </c>
    </row>
    <row r="34" spans="1:38" ht="15" thickBot="1">
      <c r="L34" s="4">
        <v>31</v>
      </c>
      <c r="M34" s="4">
        <f t="shared" ca="1" si="5"/>
        <v>1.9E-3</v>
      </c>
      <c r="O34" s="4">
        <f t="shared" ca="1" si="9"/>
        <v>2041</v>
      </c>
      <c r="P34" s="4">
        <v>31</v>
      </c>
      <c r="Q34" s="4">
        <f t="shared" ca="1" si="10"/>
        <v>12</v>
      </c>
      <c r="S34" s="125">
        <f ca="1">HLOOKUP(O34,'Datos SS'!$B$4:$CZZ$16,(Q34+1),0)</f>
        <v>187.81132407171401</v>
      </c>
      <c r="T34" s="815">
        <f ca="1">IF(O34=YEAR($B$5),($B$9/12),IF(O34&gt;MIN(YEAR($B$7),YEAR($B$5)),($B$9/12)*(1+HLOOKUP(O34,'Datos SS'!$B$31:$CZZ$32,2,0))^(O34-YEAR($B$5)),T22/(1+HLOOKUP(O34,'Datos SS'!$B$31:$CZZ$32,2,0))))</f>
        <v>27896.334788246411</v>
      </c>
      <c r="U34" s="7">
        <f ca="1">IF(O34=2018,IF(Q34&lt;8,HLOOKUP(O34,'Datos SS'!$B$25:$BZZ$27,3,0)/12,HLOOKUP(O34,'Datos SS'!$B$25:$BZZ$26,2,0)/12),HLOOKUP(O34,'Datos SS'!$B$25:$BZZ$26,2,0)/12)</f>
        <v>6617.4525784761536</v>
      </c>
      <c r="V34" s="165">
        <f t="shared" ca="1" si="6"/>
        <v>6617.4525784761536</v>
      </c>
      <c r="W34" s="7">
        <f t="shared" ca="1" si="7"/>
        <v>6699.6601103406856</v>
      </c>
      <c r="X34" s="149">
        <f ca="1">HLOOKUP(O34,'Datos SS'!$K$37:$EP$38,2,0)</f>
        <v>1720.5472623049145</v>
      </c>
      <c r="Y34">
        <f t="shared" ca="1" si="11"/>
        <v>1704</v>
      </c>
      <c r="AC34" s="648">
        <v>2284.3186456002372</v>
      </c>
      <c r="AD34" s="650">
        <f t="shared" ca="1" si="8"/>
        <v>-4415.3414647404479</v>
      </c>
      <c r="AL34" t="s">
        <v>116</v>
      </c>
    </row>
    <row r="35" spans="1:38" ht="15" thickBot="1">
      <c r="A35" s="160" t="s">
        <v>237</v>
      </c>
      <c r="B35" s="807">
        <f ca="1">IF(D8&gt;0,ROUNDDOWN(D8,0)*0.04,IF('Simulador - 1º Pilar'!G10="Jubilación prolongada",'Simulador - 1º Pilar'!$E$99*0.04,0))*IF(B8&lt;15,0,1)</f>
        <v>0</v>
      </c>
      <c r="C35" s="821">
        <f ca="1">ROUNDUP(B35-(C30/B30-1),2)</f>
        <v>0</v>
      </c>
      <c r="L35" s="4">
        <v>32</v>
      </c>
      <c r="M35" s="4">
        <f t="shared" ca="1" si="5"/>
        <v>1.9E-3</v>
      </c>
      <c r="O35" s="4">
        <f t="shared" ca="1" si="9"/>
        <v>2041</v>
      </c>
      <c r="P35" s="4">
        <v>32</v>
      </c>
      <c r="Q35" s="4">
        <f t="shared" ca="1" si="10"/>
        <v>11</v>
      </c>
      <c r="S35" s="125">
        <f ca="1">HLOOKUP(O35,'Datos SS'!$B$4:$CZZ$16,(Q35+1),0)</f>
        <v>187.42525872590573</v>
      </c>
      <c r="T35" s="815">
        <f ca="1">IF(O35=YEAR($B$5),($B$9/12),IF(O35&gt;MIN(YEAR($B$7),YEAR($B$5)),($B$9/12)*(1+HLOOKUP(O35,'Datos SS'!$B$31:$CZZ$32,2,0))^(O35-YEAR($B$5)),T23/(1+HLOOKUP(O35,'Datos SS'!$B$31:$CZZ$32,2,0))))</f>
        <v>27896.334788246411</v>
      </c>
      <c r="U35" s="7">
        <f ca="1">IF(O35=2018,IF(Q35&lt;8,HLOOKUP(O35,'Datos SS'!$B$25:$BZZ$27,3,0)/12,HLOOKUP(O35,'Datos SS'!$B$25:$BZZ$26,2,0)/12),HLOOKUP(O35,'Datos SS'!$B$25:$BZZ$26,2,0)/12)</f>
        <v>6617.4525784761536</v>
      </c>
      <c r="V35" s="165">
        <f t="shared" ca="1" si="6"/>
        <v>6617.4525784761536</v>
      </c>
      <c r="W35" s="7">
        <f t="shared" ca="1" si="7"/>
        <v>6713.4603132315842</v>
      </c>
      <c r="X35" s="149">
        <f ca="1">HLOOKUP(O35,'Datos SS'!$K$37:$EP$38,2,0)</f>
        <v>1720.5472623049145</v>
      </c>
      <c r="Y35">
        <f t="shared" ca="1" si="11"/>
        <v>1703</v>
      </c>
      <c r="Z35" s="53" t="s">
        <v>31</v>
      </c>
      <c r="AA35" s="53" t="s">
        <v>95</v>
      </c>
      <c r="AB35" s="53" t="s">
        <v>96</v>
      </c>
      <c r="AC35" s="648">
        <v>2286.2135749820745</v>
      </c>
      <c r="AD35" s="650">
        <f t="shared" ca="1" si="8"/>
        <v>-4427.2467382495097</v>
      </c>
      <c r="AL35" t="s">
        <v>117</v>
      </c>
    </row>
    <row r="36" spans="1:38" ht="15" thickBot="1">
      <c r="L36" s="4">
        <v>33</v>
      </c>
      <c r="M36" s="4">
        <f t="shared" ca="1" si="5"/>
        <v>1.9E-3</v>
      </c>
      <c r="O36" s="4">
        <f t="shared" ca="1" si="9"/>
        <v>2041</v>
      </c>
      <c r="P36" s="4">
        <v>33</v>
      </c>
      <c r="Q36" s="4">
        <f t="shared" ca="1" si="10"/>
        <v>10</v>
      </c>
      <c r="S36" s="125">
        <f ca="1">HLOOKUP(O36,'Datos SS'!$B$4:$CZZ$16,(Q36+1),0)</f>
        <v>187.03998697681996</v>
      </c>
      <c r="T36" s="815">
        <f ca="1">IF(O36=YEAR($B$5),($B$9/12),IF(O36&gt;MIN(YEAR($B$7),YEAR($B$5)),($B$9/12)*(1+HLOOKUP(O36,'Datos SS'!$B$31:$CZZ$32,2,0))^(O36-YEAR($B$5)),T24/(1+HLOOKUP(O36,'Datos SS'!$B$31:$CZZ$32,2,0))))</f>
        <v>27896.334788246411</v>
      </c>
      <c r="U36" s="7">
        <f ca="1">IF(O36=2018,IF(Q36&lt;8,HLOOKUP(O36,'Datos SS'!$B$25:$BZZ$27,3,0)/12,HLOOKUP(O36,'Datos SS'!$B$25:$BZZ$26,2,0)/12),HLOOKUP(O36,'Datos SS'!$B$25:$BZZ$26,2,0)/12)</f>
        <v>6617.4525784761536</v>
      </c>
      <c r="V36" s="165">
        <f t="shared" ca="1" si="6"/>
        <v>6617.4525784761536</v>
      </c>
      <c r="W36" s="7">
        <f t="shared" ca="1" si="7"/>
        <v>6727.2889422809285</v>
      </c>
      <c r="X36" s="149">
        <f ca="1">HLOOKUP(O36,'Datos SS'!$K$37:$EP$38,2,0)</f>
        <v>1720.5472623049145</v>
      </c>
      <c r="Y36">
        <f t="shared" ca="1" si="11"/>
        <v>1702</v>
      </c>
      <c r="Z36" s="52">
        <v>2013</v>
      </c>
      <c r="AA36" s="52" t="s">
        <v>210</v>
      </c>
      <c r="AB36" s="52">
        <v>16</v>
      </c>
      <c r="AC36" s="648">
        <v>2288.1100762800579</v>
      </c>
      <c r="AD36" s="650">
        <f t="shared" ca="1" si="8"/>
        <v>-4439.1788660008706</v>
      </c>
    </row>
    <row r="37" spans="1:38" ht="15" thickBot="1">
      <c r="L37" s="4">
        <v>34</v>
      </c>
      <c r="M37" s="4">
        <f t="shared" ca="1" si="5"/>
        <v>1.9E-3</v>
      </c>
      <c r="O37" s="4">
        <f t="shared" ca="1" si="9"/>
        <v>2041</v>
      </c>
      <c r="P37" s="4">
        <v>34</v>
      </c>
      <c r="Q37" s="4">
        <f t="shared" ca="1" si="10"/>
        <v>9</v>
      </c>
      <c r="S37" s="125">
        <f ca="1">HLOOKUP(O37,'Datos SS'!$B$4:$CZZ$16,(Q37+1),0)</f>
        <v>186.65550719313765</v>
      </c>
      <c r="T37" s="815">
        <f ca="1">IF(O37=YEAR($B$5),($B$9/12),IF(O37&gt;MIN(YEAR($B$7),YEAR($B$5)),($B$9/12)*(1+HLOOKUP(O37,'Datos SS'!$B$31:$CZZ$32,2,0))^(O37-YEAR($B$5)),T25/(1+HLOOKUP(O37,'Datos SS'!$B$31:$CZZ$32,2,0))))</f>
        <v>27896.334788246411</v>
      </c>
      <c r="U37" s="7">
        <f ca="1">IF(O37=2018,IF(Q37&lt;8,HLOOKUP(O37,'Datos SS'!$B$25:$BZZ$27,3,0)/12,HLOOKUP(O37,'Datos SS'!$B$25:$BZZ$26,2,0)/12),HLOOKUP(O37,'Datos SS'!$B$25:$BZZ$26,2,0)/12)</f>
        <v>6617.4525784761536</v>
      </c>
      <c r="V37" s="165">
        <f t="shared" ca="1" si="6"/>
        <v>6617.4525784761536</v>
      </c>
      <c r="W37" s="7">
        <f t="shared" ca="1" si="7"/>
        <v>6741.14605604195</v>
      </c>
      <c r="X37" s="149">
        <f ca="1">HLOOKUP(O37,'Datos SS'!$K$37:$EP$38,2,0)</f>
        <v>1720.5472623049145</v>
      </c>
      <c r="Y37">
        <f t="shared" ca="1" si="11"/>
        <v>1701</v>
      </c>
      <c r="Z37" s="52">
        <v>2014</v>
      </c>
      <c r="AA37" s="52" t="s">
        <v>211</v>
      </c>
      <c r="AB37" s="52">
        <v>17</v>
      </c>
      <c r="AC37" s="648">
        <v>2245.1060301942662</v>
      </c>
      <c r="AD37" s="650">
        <f t="shared" ca="1" si="8"/>
        <v>-4496.0400258476839</v>
      </c>
      <c r="AL37" t="s">
        <v>118</v>
      </c>
    </row>
    <row r="38" spans="1:38" ht="15" thickBot="1">
      <c r="A38" s="166" t="s">
        <v>242</v>
      </c>
      <c r="B38" s="167">
        <f>IF('Simulador - 1º Pilar'!G16&lt;'Simulador - 1º Pilar'!E107,'Simulador - 1º Pilar'!E107,'Simulador - 1º Pilar'!G16)</f>
        <v>0</v>
      </c>
      <c r="C38" s="4" t="s">
        <v>243</v>
      </c>
      <c r="D38" s="4" t="s">
        <v>244</v>
      </c>
      <c r="E38" s="537" t="s">
        <v>481</v>
      </c>
      <c r="L38" s="4">
        <v>35</v>
      </c>
      <c r="M38" s="4">
        <f t="shared" ca="1" si="5"/>
        <v>1.9E-3</v>
      </c>
      <c r="O38" s="4">
        <f t="shared" ca="1" si="9"/>
        <v>2041</v>
      </c>
      <c r="P38" s="4">
        <v>35</v>
      </c>
      <c r="Q38" s="4">
        <f t="shared" ca="1" si="10"/>
        <v>8</v>
      </c>
      <c r="S38" s="125">
        <f ca="1">HLOOKUP(O38,'Datos SS'!$B$4:$CZZ$16,(Q38+1),0)</f>
        <v>186.27181774689308</v>
      </c>
      <c r="T38" s="815">
        <f ca="1">IF(O38=YEAR($B$5),($B$9/12),IF(O38&gt;MIN(YEAR($B$7),YEAR($B$5)),($B$9/12)*(1+HLOOKUP(O38,'Datos SS'!$B$31:$CZZ$32,2,0))^(O38-YEAR($B$5)),T26/(1+HLOOKUP(O38,'Datos SS'!$B$31:$CZZ$32,2,0))))</f>
        <v>27896.334788246411</v>
      </c>
      <c r="U38" s="7">
        <f ca="1">IF(O38=2018,IF(Q38&lt;8,HLOOKUP(O38,'Datos SS'!$B$25:$BZZ$27,3,0)/12,HLOOKUP(O38,'Datos SS'!$B$25:$BZZ$26,2,0)/12),HLOOKUP(O38,'Datos SS'!$B$25:$BZZ$26,2,0)/12)</f>
        <v>6617.4525784761536</v>
      </c>
      <c r="V38" s="165">
        <f t="shared" ca="1" si="6"/>
        <v>6617.4525784761536</v>
      </c>
      <c r="W38" s="7">
        <f t="shared" ca="1" si="7"/>
        <v>6755.0317131884922</v>
      </c>
      <c r="X38" s="149">
        <f ca="1">HLOOKUP(O38,'Datos SS'!$K$37:$EP$38,2,0)</f>
        <v>1720.5472623049145</v>
      </c>
      <c r="Y38">
        <f t="shared" ca="1" si="11"/>
        <v>1700</v>
      </c>
      <c r="Z38" s="52">
        <v>2015</v>
      </c>
      <c r="AA38" s="52" t="s">
        <v>212</v>
      </c>
      <c r="AB38" s="52">
        <v>18</v>
      </c>
      <c r="AC38" s="648">
        <v>2246.9684312170607</v>
      </c>
      <c r="AD38" s="650">
        <f t="shared" ca="1" si="8"/>
        <v>-4508.0632819714319</v>
      </c>
      <c r="AL38" t="s">
        <v>119</v>
      </c>
    </row>
    <row r="39" spans="1:38" ht="15" thickBot="1">
      <c r="A39" s="166" t="s">
        <v>534</v>
      </c>
      <c r="B39" s="168">
        <f ca="1">'Simulador - 1º Pilar'!G20</f>
        <v>52781</v>
      </c>
      <c r="C39" s="162">
        <f ca="1">MAX(ROUND((B38-B5)/365.25,2),0)+'Simulador - Datos personales'!$F$20</f>
        <v>0</v>
      </c>
      <c r="D39" s="162">
        <f ca="1">MAX(ROUND((B39-B38)/365.25,2),0)</f>
        <v>144.51</v>
      </c>
      <c r="L39" s="4">
        <v>36</v>
      </c>
      <c r="M39" s="4">
        <f t="shared" ca="1" si="5"/>
        <v>1.9E-3</v>
      </c>
      <c r="O39" s="4">
        <f t="shared" ca="1" si="9"/>
        <v>2041</v>
      </c>
      <c r="P39" s="4">
        <v>36</v>
      </c>
      <c r="Q39" s="4">
        <f t="shared" ca="1" si="10"/>
        <v>7</v>
      </c>
      <c r="S39" s="125">
        <f ca="1">HLOOKUP(O39,'Datos SS'!$B$4:$CZZ$16,(Q39+1),0)</f>
        <v>185.88891701346694</v>
      </c>
      <c r="T39" s="815">
        <f ca="1">IF(O39=YEAR($B$5),($B$9/12),IF(O39&gt;MIN(YEAR($B$7),YEAR($B$5)),($B$9/12)*(1+HLOOKUP(O39,'Datos SS'!$B$31:$CZZ$32,2,0))^(O39-YEAR($B$5)),T27/(1+HLOOKUP(O39,'Datos SS'!$B$31:$CZZ$32,2,0))))</f>
        <v>27896.334788246411</v>
      </c>
      <c r="U39" s="7">
        <f ca="1">IF(O39=2018,IF(Q39&lt;8,HLOOKUP(O39,'Datos SS'!$B$25:$BZZ$27,3,0)/12,HLOOKUP(O39,'Datos SS'!$B$25:$BZZ$26,2,0)/12),HLOOKUP(O39,'Datos SS'!$B$25:$BZZ$26,2,0)/12)</f>
        <v>6617.4525784761536</v>
      </c>
      <c r="V39" s="165">
        <f t="shared" ca="1" si="6"/>
        <v>6617.4525784761536</v>
      </c>
      <c r="W39" s="7">
        <f t="shared" ca="1" si="7"/>
        <v>6768.9459725152565</v>
      </c>
      <c r="X39" s="149">
        <f ca="1">HLOOKUP(O39,'Datos SS'!$K$37:$EP$38,2,0)</f>
        <v>1720.5472623049145</v>
      </c>
      <c r="Y39">
        <f t="shared" ca="1" si="11"/>
        <v>1699</v>
      </c>
      <c r="Z39" s="52">
        <v>2016</v>
      </c>
      <c r="AA39" s="52" t="s">
        <v>213</v>
      </c>
      <c r="AB39" s="52">
        <v>19</v>
      </c>
      <c r="AC39" s="648">
        <v>2248.8323771724877</v>
      </c>
      <c r="AD39" s="650">
        <f t="shared" ca="1" si="8"/>
        <v>-4520.1135953427693</v>
      </c>
      <c r="AL39" t="s">
        <v>120</v>
      </c>
    </row>
    <row r="40" spans="1:38" ht="15" thickBot="1">
      <c r="D40" s="162">
        <f ca="1">D39*12</f>
        <v>1734.12</v>
      </c>
      <c r="L40" s="4">
        <v>37</v>
      </c>
      <c r="M40" s="4">
        <f t="shared" ca="1" si="5"/>
        <v>1.9E-3</v>
      </c>
      <c r="O40" s="4">
        <f t="shared" ca="1" si="9"/>
        <v>2041</v>
      </c>
      <c r="P40" s="4">
        <v>37</v>
      </c>
      <c r="Q40" s="4">
        <f t="shared" ca="1" si="10"/>
        <v>6</v>
      </c>
      <c r="S40" s="125">
        <f ca="1">HLOOKUP(O40,'Datos SS'!$B$4:$CZZ$16,(Q40+1),0)</f>
        <v>185.50680337157957</v>
      </c>
      <c r="T40" s="815">
        <f ca="1">IF(O40=YEAR($B$5),($B$9/12),IF(O40&gt;MIN(YEAR($B$7),YEAR($B$5)),($B$9/12)*(1+HLOOKUP(O40,'Datos SS'!$B$31:$CZZ$32,2,0))^(O40-YEAR($B$5)),T28/(1+HLOOKUP(O40,'Datos SS'!$B$31:$CZZ$32,2,0))))</f>
        <v>27896.334788246411</v>
      </c>
      <c r="U40" s="7">
        <f ca="1">IF(O40=2018,IF(Q40&lt;8,HLOOKUP(O40,'Datos SS'!$B$25:$BZZ$27,3,0)/12,HLOOKUP(O40,'Datos SS'!$B$25:$BZZ$26,2,0)/12),HLOOKUP(O40,'Datos SS'!$B$25:$BZZ$26,2,0)/12)</f>
        <v>6617.4525784761536</v>
      </c>
      <c r="V40" s="165">
        <f t="shared" ca="1" si="6"/>
        <v>6617.4525784761536</v>
      </c>
      <c r="W40" s="7">
        <f t="shared" ca="1" si="7"/>
        <v>6782.88889293805</v>
      </c>
      <c r="X40" s="149">
        <f ca="1">HLOOKUP(O40,'Datos SS'!$K$37:$EP$38,2,0)</f>
        <v>1720.5472623049145</v>
      </c>
      <c r="Y40">
        <f t="shared" ca="1" si="11"/>
        <v>1698</v>
      </c>
      <c r="Z40" s="52">
        <v>2017</v>
      </c>
      <c r="AA40" s="52" t="s">
        <v>214</v>
      </c>
      <c r="AB40" s="52">
        <v>20</v>
      </c>
      <c r="AC40" s="648">
        <v>2250.6978693421283</v>
      </c>
      <c r="AD40" s="650">
        <f t="shared" ca="1" si="8"/>
        <v>-4532.1910235959222</v>
      </c>
      <c r="AL40" t="s">
        <v>121</v>
      </c>
    </row>
    <row r="41" spans="1:38" ht="15" thickBot="1">
      <c r="B41" s="123"/>
      <c r="L41" s="4">
        <v>38</v>
      </c>
      <c r="M41" s="4">
        <f t="shared" ca="1" si="5"/>
        <v>1.9E-3</v>
      </c>
      <c r="O41" s="4">
        <f t="shared" ca="1" si="9"/>
        <v>2041</v>
      </c>
      <c r="P41" s="4">
        <v>38</v>
      </c>
      <c r="Q41" s="4">
        <f t="shared" ca="1" si="10"/>
        <v>5</v>
      </c>
      <c r="S41" s="125">
        <f ca="1">HLOOKUP(O41,'Datos SS'!$B$4:$CZZ$16,(Q41+1),0)</f>
        <v>185.12547520328397</v>
      </c>
      <c r="T41" s="815">
        <f ca="1">IF(O41=YEAR($B$5),($B$9/12),IF(O41&gt;MIN(YEAR($B$7),YEAR($B$5)),($B$9/12)*(1+HLOOKUP(O41,'Datos SS'!$B$31:$CZZ$32,2,0))^(O41-YEAR($B$5)),T29/(1+HLOOKUP(O41,'Datos SS'!$B$31:$CZZ$32,2,0))))</f>
        <v>27896.334788246411</v>
      </c>
      <c r="U41" s="7">
        <f ca="1">IF(O41=2018,IF(Q41&lt;8,HLOOKUP(O41,'Datos SS'!$B$25:$BZZ$27,3,0)/12,HLOOKUP(O41,'Datos SS'!$B$25:$BZZ$26,2,0)/12),HLOOKUP(O41,'Datos SS'!$B$25:$BZZ$26,2,0)/12)</f>
        <v>6617.4525784761536</v>
      </c>
      <c r="V41" s="165">
        <f t="shared" ca="1" si="6"/>
        <v>6617.4525784761536</v>
      </c>
      <c r="W41" s="7">
        <f t="shared" ca="1" si="7"/>
        <v>6796.8605334940366</v>
      </c>
      <c r="X41" s="149">
        <f ca="1">HLOOKUP(O41,'Datos SS'!$K$37:$EP$38,2,0)</f>
        <v>1720.5472623049145</v>
      </c>
      <c r="Y41">
        <f t="shared" ca="1" si="11"/>
        <v>1697</v>
      </c>
      <c r="Z41" s="52">
        <v>2018</v>
      </c>
      <c r="AA41" s="52" t="s">
        <v>215</v>
      </c>
      <c r="AB41" s="52">
        <v>21</v>
      </c>
      <c r="AC41" s="648">
        <v>2252.5649090086249</v>
      </c>
      <c r="AD41" s="650">
        <f t="shared" ca="1" si="8"/>
        <v>-4544.2956244854122</v>
      </c>
      <c r="AL41" t="s">
        <v>122</v>
      </c>
    </row>
    <row r="42" spans="1:38" ht="15" thickBot="1">
      <c r="L42" s="4">
        <v>39</v>
      </c>
      <c r="M42" s="4">
        <f t="shared" ca="1" si="5"/>
        <v>1.9E-3</v>
      </c>
      <c r="O42" s="4">
        <f t="shared" ca="1" si="9"/>
        <v>2041</v>
      </c>
      <c r="P42" s="4">
        <v>39</v>
      </c>
      <c r="Q42" s="4">
        <f t="shared" ca="1" si="10"/>
        <v>4</v>
      </c>
      <c r="S42" s="125">
        <f ca="1">HLOOKUP(O42,'Datos SS'!$B$4:$CZZ$16,(Q42+1),0)</f>
        <v>184.74493089395901</v>
      </c>
      <c r="T42" s="815">
        <f ca="1">IF(O42=YEAR($B$5),($B$9/12),IF(O42&gt;MIN(YEAR($B$7),YEAR($B$5)),($B$9/12)*(1+HLOOKUP(O42,'Datos SS'!$B$31:$CZZ$32,2,0))^(O42-YEAR($B$5)),T30/(1+HLOOKUP(O42,'Datos SS'!$B$31:$CZZ$32,2,0))))</f>
        <v>27896.334788246411</v>
      </c>
      <c r="U42" s="7">
        <f ca="1">IF(O42=2018,IF(Q42&lt;8,HLOOKUP(O42,'Datos SS'!$B$25:$BZZ$27,3,0)/12,HLOOKUP(O42,'Datos SS'!$B$25:$BZZ$26,2,0)/12),HLOOKUP(O42,'Datos SS'!$B$25:$BZZ$26,2,0)/12)</f>
        <v>6617.4525784761536</v>
      </c>
      <c r="V42" s="165">
        <f t="shared" ca="1" si="6"/>
        <v>6617.4525784761536</v>
      </c>
      <c r="W42" s="7">
        <f t="shared" ca="1" si="7"/>
        <v>6810.8609533419904</v>
      </c>
      <c r="X42" s="149">
        <f ca="1">HLOOKUP(O42,'Datos SS'!$K$37:$EP$38,2,0)</f>
        <v>1720.5472623049145</v>
      </c>
      <c r="Y42">
        <f t="shared" ca="1" si="11"/>
        <v>1696</v>
      </c>
      <c r="Z42" s="52">
        <v>2019</v>
      </c>
      <c r="AA42" s="52" t="s">
        <v>91</v>
      </c>
      <c r="AB42" s="52">
        <v>22</v>
      </c>
      <c r="AC42" s="648">
        <v>2254.4334974556864</v>
      </c>
      <c r="AD42" s="650">
        <f t="shared" ca="1" si="8"/>
        <v>-4556.4274558863035</v>
      </c>
      <c r="AL42" t="s">
        <v>123</v>
      </c>
    </row>
    <row r="43" spans="1:38" ht="15" thickBot="1">
      <c r="A43" s="910" t="s">
        <v>1200</v>
      </c>
      <c r="B43" s="910"/>
      <c r="L43" s="4">
        <v>40</v>
      </c>
      <c r="M43" s="4">
        <f t="shared" ca="1" si="5"/>
        <v>1.9E-3</v>
      </c>
      <c r="O43" s="4">
        <f t="shared" ca="1" si="9"/>
        <v>2041</v>
      </c>
      <c r="P43" s="4">
        <v>40</v>
      </c>
      <c r="Q43" s="4">
        <f t="shared" ca="1" si="10"/>
        <v>3</v>
      </c>
      <c r="S43" s="125">
        <f ca="1">HLOOKUP(O43,'Datos SS'!$B$4:$CZZ$16,(Q43+1),0)</f>
        <v>184.36516883230254</v>
      </c>
      <c r="T43" s="815">
        <f ca="1">IF(O43=YEAR($B$5),($B$9/12),IF(O43&gt;MIN(YEAR($B$7),YEAR($B$5)),($B$9/12)*(1+HLOOKUP(O43,'Datos SS'!$B$31:$CZZ$32,2,0))^(O43-YEAR($B$5)),T31/(1+HLOOKUP(O43,'Datos SS'!$B$31:$CZZ$32,2,0))))</f>
        <v>27896.334788246411</v>
      </c>
      <c r="U43" s="7">
        <f ca="1">IF(O43=2018,IF(Q43&lt;8,HLOOKUP(O43,'Datos SS'!$B$25:$BZZ$27,3,0)/12,HLOOKUP(O43,'Datos SS'!$B$25:$BZZ$26,2,0)/12),HLOOKUP(O43,'Datos SS'!$B$25:$BZZ$26,2,0)/12)</f>
        <v>6617.4525784761536</v>
      </c>
      <c r="V43" s="165">
        <f t="shared" ca="1" si="6"/>
        <v>6617.4525784761536</v>
      </c>
      <c r="W43" s="7">
        <f t="shared" ca="1" si="7"/>
        <v>6824.8902117625403</v>
      </c>
      <c r="X43" s="149">
        <f ca="1">HLOOKUP(O43,'Datos SS'!$K$37:$EP$38,2,0)</f>
        <v>1720.5472623049145</v>
      </c>
      <c r="Y43">
        <f t="shared" ca="1" si="11"/>
        <v>1695</v>
      </c>
      <c r="Z43" s="52">
        <v>2020</v>
      </c>
      <c r="AA43" s="52" t="s">
        <v>92</v>
      </c>
      <c r="AB43" s="52">
        <v>23</v>
      </c>
      <c r="AC43" s="648">
        <v>2256.3036359680846</v>
      </c>
      <c r="AD43" s="650">
        <f t="shared" ca="1" si="8"/>
        <v>-4568.5865757944557</v>
      </c>
    </row>
    <row r="44" spans="1:38" ht="15" thickBot="1">
      <c r="A44" s="810" t="s">
        <v>0</v>
      </c>
      <c r="B44" s="817" t="s">
        <v>1201</v>
      </c>
      <c r="L44" s="4">
        <v>41</v>
      </c>
      <c r="M44" s="4">
        <f t="shared" ca="1" si="5"/>
        <v>1.9E-3</v>
      </c>
      <c r="O44" s="4">
        <f t="shared" ca="1" si="9"/>
        <v>2041</v>
      </c>
      <c r="P44" s="4">
        <v>41</v>
      </c>
      <c r="Q44" s="4">
        <f t="shared" ca="1" si="10"/>
        <v>2</v>
      </c>
      <c r="S44" s="125">
        <f ca="1">HLOOKUP(O44,'Datos SS'!$B$4:$CZZ$16,(Q44+1),0)</f>
        <v>183.98618741032467</v>
      </c>
      <c r="T44" s="815">
        <f ca="1">IF(O44=YEAR($B$5),($B$9/12),IF(O44&gt;MIN(YEAR($B$7),YEAR($B$5)),($B$9/12)*(1+HLOOKUP(O44,'Datos SS'!$B$31:$CZZ$32,2,0))^(O44-YEAR($B$5)),T32/(1+HLOOKUP(O44,'Datos SS'!$B$31:$CZZ$32,2,0))))</f>
        <v>27896.334788246411</v>
      </c>
      <c r="U44" s="7">
        <f ca="1">IF(O44=2018,IF(Q44&lt;8,HLOOKUP(O44,'Datos SS'!$B$25:$BZZ$27,3,0)/12,HLOOKUP(O44,'Datos SS'!$B$25:$BZZ$26,2,0)/12),HLOOKUP(O44,'Datos SS'!$B$25:$BZZ$26,2,0)/12)</f>
        <v>6617.4525784761536</v>
      </c>
      <c r="V44" s="165">
        <f t="shared" ca="1" si="6"/>
        <v>6617.4525784761536</v>
      </c>
      <c r="W44" s="7">
        <f t="shared" ca="1" si="7"/>
        <v>6838.9483681584234</v>
      </c>
      <c r="X44" s="149">
        <f ca="1">HLOOKUP(O44,'Datos SS'!$K$37:$EP$38,2,0)</f>
        <v>1720.5472623049145</v>
      </c>
      <c r="Y44">
        <f t="shared" ca="1" si="11"/>
        <v>1694</v>
      </c>
      <c r="Z44" s="52">
        <v>2021</v>
      </c>
      <c r="AA44" s="52" t="s">
        <v>93</v>
      </c>
      <c r="AB44" s="52">
        <v>24</v>
      </c>
      <c r="AC44" s="648">
        <v>2258.175325831658</v>
      </c>
      <c r="AD44" s="650">
        <f t="shared" ca="1" si="8"/>
        <v>-4580.7730423267658</v>
      </c>
    </row>
    <row r="45" spans="1:38" ht="15" thickBot="1">
      <c r="A45" s="809" t="s">
        <v>1199</v>
      </c>
      <c r="B45" s="817">
        <f ca="1">+HLOOKUP(YEAR('Simulador - 1º Pilar'!G20),'Datos SS'!$B$20:$DM$21,2,0)/14</f>
        <v>4853.419652629852</v>
      </c>
      <c r="L45" s="4">
        <v>42</v>
      </c>
      <c r="M45" s="4">
        <f t="shared" ca="1" si="5"/>
        <v>1.9E-3</v>
      </c>
      <c r="O45" s="4">
        <f t="shared" ca="1" si="9"/>
        <v>2041</v>
      </c>
      <c r="P45" s="4">
        <v>42</v>
      </c>
      <c r="Q45" s="4">
        <f t="shared" ca="1" si="10"/>
        <v>1</v>
      </c>
      <c r="S45" s="125">
        <f ca="1">HLOOKUP(O45,'Datos SS'!$B$4:$CZZ$16,(Q45+1),0)</f>
        <v>183.60798502334086</v>
      </c>
      <c r="T45" s="815">
        <f ca="1">IF(O45=YEAR($B$5),($B$9/12),IF(O45&gt;MIN(YEAR($B$7),YEAR($B$5)),($B$9/12)*(1+HLOOKUP(O45,'Datos SS'!$B$31:$CZZ$32,2,0))^(O45-YEAR($B$5)),T33/(1+HLOOKUP(O45,'Datos SS'!$B$31:$CZZ$32,2,0))))</f>
        <v>27896.334788246411</v>
      </c>
      <c r="U45" s="7">
        <f ca="1">IF(O45=2018,IF(Q45&lt;8,HLOOKUP(O45,'Datos SS'!$B$25:$BZZ$27,3,0)/12,HLOOKUP(O45,'Datos SS'!$B$25:$BZZ$26,2,0)/12),HLOOKUP(O45,'Datos SS'!$B$25:$BZZ$26,2,0)/12)</f>
        <v>6617.4525784761536</v>
      </c>
      <c r="V45" s="165">
        <f t="shared" ca="1" si="6"/>
        <v>6617.4525784761536</v>
      </c>
      <c r="W45" s="7">
        <f t="shared" ca="1" si="7"/>
        <v>6853.0354820547373</v>
      </c>
      <c r="X45" s="149">
        <f ca="1">HLOOKUP(O45,'Datos SS'!$K$37:$EP$38,2,0)</f>
        <v>1720.5472623049145</v>
      </c>
      <c r="Y45">
        <f t="shared" ca="1" si="11"/>
        <v>1693</v>
      </c>
      <c r="Z45" s="51">
        <v>2022</v>
      </c>
      <c r="AA45" s="51" t="s">
        <v>94</v>
      </c>
      <c r="AB45" s="51">
        <v>25</v>
      </c>
      <c r="AC45" s="648">
        <v>2260.0485683333113</v>
      </c>
      <c r="AD45" s="650">
        <f t="shared" ca="1" si="8"/>
        <v>-4592.9869137214264</v>
      </c>
    </row>
    <row r="46" spans="1:38">
      <c r="A46" s="809" t="s">
        <v>85</v>
      </c>
      <c r="B46" s="817">
        <f ca="1">+B21</f>
        <v>5870.5713017530679</v>
      </c>
      <c r="L46" s="4">
        <v>43</v>
      </c>
      <c r="M46" s="4">
        <f t="shared" ca="1" si="5"/>
        <v>1.9E-3</v>
      </c>
      <c r="O46" s="4">
        <f t="shared" ca="1" si="9"/>
        <v>2040</v>
      </c>
      <c r="P46" s="4">
        <v>43</v>
      </c>
      <c r="Q46" s="4">
        <f t="shared" ca="1" si="10"/>
        <v>12</v>
      </c>
      <c r="S46" s="125">
        <f ca="1">HLOOKUP(O46,'Datos SS'!$B$4:$CZZ$16,(Q46+1),0)</f>
        <v>183.23056006996515</v>
      </c>
      <c r="T46" s="815">
        <f ca="1">IF(O46=YEAR($B$5),($B$9/12),IF(O46&gt;MIN(YEAR($B$7),YEAR($B$5)),($B$9/12)*(1+HLOOKUP(O46,'Datos SS'!$B$31:$CZZ$32,2,0))^(O46-YEAR($B$5)),T34/(1+HLOOKUP(O46,'Datos SS'!$B$31:$CZZ$32,2,0))))</f>
        <v>27215.936378776987</v>
      </c>
      <c r="U46" s="7">
        <f ca="1">IF(O46=2018,IF(Q46&lt;8,HLOOKUP(O46,'Datos SS'!$B$25:$BZZ$27,3,0)/12,HLOOKUP(O46,'Datos SS'!$B$25:$BZZ$26,2,0)/12),HLOOKUP(O46,'Datos SS'!$B$25:$BZZ$26,2,0)/12)</f>
        <v>6456.0512960742963</v>
      </c>
      <c r="V46" s="165">
        <f t="shared" ca="1" si="6"/>
        <v>6456.0512960742963</v>
      </c>
      <c r="W46" s="7">
        <f t="shared" ca="1" si="7"/>
        <v>6699.6601103406756</v>
      </c>
      <c r="X46" s="149">
        <f ca="1">HLOOKUP(O46,'Datos SS'!$K$37:$EP$38,2,0)</f>
        <v>1678.582694931624</v>
      </c>
      <c r="Y46">
        <f t="shared" ca="1" si="11"/>
        <v>1692</v>
      </c>
      <c r="AC46" s="648">
        <v>2261.9233647610176</v>
      </c>
      <c r="AD46" s="650">
        <f t="shared" ca="1" si="8"/>
        <v>-4437.7367455796575</v>
      </c>
    </row>
    <row r="47" spans="1:38">
      <c r="A47" s="809" t="s">
        <v>1206</v>
      </c>
      <c r="B47" s="817">
        <f ca="1">+MIN(B46,B45)</f>
        <v>4853.419652629852</v>
      </c>
      <c r="L47" s="4"/>
      <c r="M47" s="4"/>
      <c r="O47" s="4"/>
      <c r="P47" s="4"/>
      <c r="Q47" s="4"/>
      <c r="S47" s="125"/>
      <c r="T47" s="815"/>
      <c r="U47" s="7"/>
      <c r="V47" s="165"/>
      <c r="W47" s="7"/>
      <c r="X47" s="149"/>
      <c r="AC47" s="648"/>
      <c r="AD47" s="650"/>
    </row>
    <row r="48" spans="1:38">
      <c r="A48" s="809" t="s">
        <v>1194</v>
      </c>
      <c r="B48" s="812">
        <f ca="1">+B26</f>
        <v>0.60829999999999995</v>
      </c>
      <c r="L48" s="4">
        <v>44</v>
      </c>
      <c r="M48" s="4">
        <f t="shared" ca="1" si="5"/>
        <v>1.9E-3</v>
      </c>
      <c r="O48" s="4">
        <f ca="1">IF(Q48=12,O46-1,O46)</f>
        <v>2040</v>
      </c>
      <c r="P48" s="4">
        <v>44</v>
      </c>
      <c r="Q48" s="4">
        <f ca="1">IF(Q46=1,12,Q46-1)</f>
        <v>11</v>
      </c>
      <c r="S48" s="125">
        <f ca="1">HLOOKUP(O48,'Datos SS'!$B$4:$CZZ$16,(Q48+1),0)</f>
        <v>182.8539109521034</v>
      </c>
      <c r="T48" s="815">
        <f ca="1">IF(O48=YEAR($B$5),($B$9/12),IF(O48&gt;MIN(YEAR($B$7),YEAR($B$5)),($B$9/12)*(1+HLOOKUP(O48,'Datos SS'!$B$31:$CZZ$32,2,0))^(O48-YEAR($B$5)),T35/(1+HLOOKUP(O48,'Datos SS'!$B$31:$CZZ$32,2,0))))</f>
        <v>27215.936378776987</v>
      </c>
      <c r="U48" s="7">
        <f ca="1">IF(O48=2018,IF(Q48&lt;8,HLOOKUP(O48,'Datos SS'!$B$25:$BZZ$27,3,0)/12,HLOOKUP(O48,'Datos SS'!$B$25:$BZZ$26,2,0)/12),HLOOKUP(O48,'Datos SS'!$B$25:$BZZ$26,2,0)/12)</f>
        <v>6456.0512960742963</v>
      </c>
      <c r="V48" s="165">
        <f t="shared" ca="1" si="6"/>
        <v>6456.0512960742963</v>
      </c>
      <c r="W48" s="7">
        <f t="shared" ca="1" si="7"/>
        <v>6713.4603132315742</v>
      </c>
      <c r="X48" s="149">
        <f ca="1">HLOOKUP(O48,'Datos SS'!$K$37:$EP$38,2,0)</f>
        <v>1678.582694931624</v>
      </c>
      <c r="Y48">
        <f ca="1">MAX(INT(Y46)-1,0)</f>
        <v>1691</v>
      </c>
      <c r="Z48" s="59" t="s">
        <v>31</v>
      </c>
      <c r="AA48" s="911" t="s">
        <v>95</v>
      </c>
      <c r="AB48" s="912"/>
      <c r="AC48" s="648">
        <v>2263.799716403817</v>
      </c>
      <c r="AD48" s="650">
        <f t="shared" ca="1" si="8"/>
        <v>-4449.6605968277572</v>
      </c>
    </row>
    <row r="49" spans="1:30">
      <c r="A49" s="809" t="s">
        <v>1205</v>
      </c>
      <c r="B49" s="812">
        <f ca="1">+B35</f>
        <v>0</v>
      </c>
      <c r="L49" s="4">
        <v>45</v>
      </c>
      <c r="M49" s="4">
        <f t="shared" ca="1" si="5"/>
        <v>1.9E-3</v>
      </c>
      <c r="O49" s="4">
        <f t="shared" ca="1" si="9"/>
        <v>2040</v>
      </c>
      <c r="P49" s="4">
        <v>45</v>
      </c>
      <c r="Q49" s="4">
        <f t="shared" ca="1" si="10"/>
        <v>10</v>
      </c>
      <c r="S49" s="125">
        <f ca="1">HLOOKUP(O49,'Datos SS'!$B$4:$CZZ$16,(Q49+1),0)</f>
        <v>182.47803607494654</v>
      </c>
      <c r="T49" s="815">
        <f ca="1">IF(O49=YEAR($B$5),($B$9/12),IF(O49&gt;MIN(YEAR($B$7),YEAR($B$5)),($B$9/12)*(1+HLOOKUP(O49,'Datos SS'!$B$31:$CZZ$32,2,0))^(O49-YEAR($B$5)),T36/(1+HLOOKUP(O49,'Datos SS'!$B$31:$CZZ$32,2,0))))</f>
        <v>27215.936378776987</v>
      </c>
      <c r="U49" s="7">
        <f ca="1">IF(O49=2018,IF(Q49&lt;8,HLOOKUP(O49,'Datos SS'!$B$25:$BZZ$27,3,0)/12,HLOOKUP(O49,'Datos SS'!$B$25:$BZZ$26,2,0)/12),HLOOKUP(O49,'Datos SS'!$B$25:$BZZ$26,2,0)/12)</f>
        <v>6456.0512960742963</v>
      </c>
      <c r="V49" s="165">
        <f t="shared" ca="1" si="6"/>
        <v>6456.0512960742963</v>
      </c>
      <c r="W49" s="7">
        <f t="shared" ca="1" si="7"/>
        <v>6727.2889422809194</v>
      </c>
      <c r="X49" s="149">
        <f ca="1">HLOOKUP(O49,'Datos SS'!$K$37:$EP$38,2,0)</f>
        <v>1678.582694931624</v>
      </c>
      <c r="Y49">
        <f t="shared" ca="1" si="11"/>
        <v>1690</v>
      </c>
      <c r="Z49" s="58">
        <v>2013</v>
      </c>
      <c r="AA49" s="142" t="str">
        <f t="shared" ref="AA49:AA54" si="13">LEFT(AA36,3)</f>
        <v>192</v>
      </c>
      <c r="AB49" s="142" t="str">
        <f t="shared" ref="AB49:AB54" si="14">RIGHT(AA36,3)</f>
        <v>224</v>
      </c>
      <c r="AC49" s="648">
        <v>2265.6776245518204</v>
      </c>
      <c r="AD49" s="650">
        <f t="shared" ca="1" si="8"/>
        <v>-4461.611317729099</v>
      </c>
    </row>
    <row r="50" spans="1:30">
      <c r="A50" s="809" t="s">
        <v>1202</v>
      </c>
      <c r="B50" s="811">
        <f ca="1">+_xlfn.IFNA(IF(B8&lt;38.5,VLOOKUP(INT(E9),'Coef Reductores Anticipada'!$B$11:$D$34,3,0),IF(B8&lt;41.5,VLOOKUP(INT(E9),'Coef Reductores Anticipada'!$F$11:$H$34,3,0),IF(B8&lt;44.5,VLOOKUP(INT(E9),'Coef Reductores Anticipada'!$J$11:$L$34,3,0),VLOOKUP(INT(E9),'Coef Reductores Anticipada'!$N$11:$P$34,3,0)))),0)</f>
        <v>0</v>
      </c>
      <c r="L50" s="4">
        <v>46</v>
      </c>
      <c r="M50" s="4">
        <f t="shared" ca="1" si="5"/>
        <v>1.9E-3</v>
      </c>
      <c r="O50" s="4">
        <f t="shared" ca="1" si="9"/>
        <v>2040</v>
      </c>
      <c r="P50" s="4">
        <v>46</v>
      </c>
      <c r="Q50" s="4">
        <f t="shared" ca="1" si="10"/>
        <v>9</v>
      </c>
      <c r="S50" s="125">
        <f ca="1">HLOOKUP(O50,'Datos SS'!$B$4:$CZZ$16,(Q50+1),0)</f>
        <v>182.10293384696379</v>
      </c>
      <c r="T50" s="815">
        <f ca="1">IF(O50=YEAR($B$5),($B$9/12),IF(O50&gt;MIN(YEAR($B$7),YEAR($B$5)),($B$9/12)*(1+HLOOKUP(O50,'Datos SS'!$B$31:$CZZ$32,2,0))^(O50-YEAR($B$5)),T37/(1+HLOOKUP(O50,'Datos SS'!$B$31:$CZZ$32,2,0))))</f>
        <v>27215.936378776987</v>
      </c>
      <c r="U50" s="7">
        <f ca="1">IF(O50=2018,IF(Q50&lt;8,HLOOKUP(O50,'Datos SS'!$B$25:$BZZ$27,3,0)/12,HLOOKUP(O50,'Datos SS'!$B$25:$BZZ$26,2,0)/12),HLOOKUP(O50,'Datos SS'!$B$25:$BZZ$26,2,0)/12)</f>
        <v>6456.0512960742963</v>
      </c>
      <c r="V50" s="165">
        <f t="shared" ca="1" si="6"/>
        <v>6456.0512960742963</v>
      </c>
      <c r="W50" s="7">
        <f t="shared" ca="1" si="7"/>
        <v>6741.1460560419409</v>
      </c>
      <c r="X50" s="149">
        <f ca="1">HLOOKUP(O50,'Datos SS'!$K$37:$EP$38,2,0)</f>
        <v>1678.582694931624</v>
      </c>
      <c r="Y50">
        <f t="shared" ca="1" si="11"/>
        <v>1689</v>
      </c>
      <c r="Z50" s="58">
        <v>2014</v>
      </c>
      <c r="AA50" s="142" t="str">
        <f t="shared" si="13"/>
        <v>204</v>
      </c>
      <c r="AB50" s="142" t="str">
        <f t="shared" si="14"/>
        <v>238</v>
      </c>
      <c r="AC50" s="648">
        <v>2223.0951867609879</v>
      </c>
      <c r="AD50" s="650">
        <f t="shared" ca="1" si="8"/>
        <v>-4518.0508692809526</v>
      </c>
    </row>
    <row r="51" spans="1:30">
      <c r="A51" s="809" t="s">
        <v>1244</v>
      </c>
      <c r="B51" s="817">
        <f ca="1">+B46*B48*(1-B50)</f>
        <v>3571.0685228563912</v>
      </c>
      <c r="L51" s="4">
        <v>47</v>
      </c>
      <c r="M51" s="4">
        <f t="shared" ca="1" si="5"/>
        <v>1.9E-3</v>
      </c>
      <c r="O51" s="4">
        <f t="shared" ca="1" si="9"/>
        <v>2040</v>
      </c>
      <c r="P51" s="4">
        <v>47</v>
      </c>
      <c r="Q51" s="4">
        <f t="shared" ca="1" si="10"/>
        <v>8</v>
      </c>
      <c r="S51" s="125">
        <f ca="1">HLOOKUP(O51,'Datos SS'!$B$4:$CZZ$16,(Q51+1),0)</f>
        <v>181.72860267989591</v>
      </c>
      <c r="T51" s="815">
        <f ca="1">IF(O51=YEAR($B$5),($B$9/12),IF(O51&gt;MIN(YEAR($B$7),YEAR($B$5)),($B$9/12)*(1+HLOOKUP(O51,'Datos SS'!$B$31:$CZZ$32,2,0))^(O51-YEAR($B$5)),T38/(1+HLOOKUP(O51,'Datos SS'!$B$31:$CZZ$32,2,0))))</f>
        <v>27215.936378776987</v>
      </c>
      <c r="U51" s="7">
        <f ca="1">IF(O51=2018,IF(Q51&lt;8,HLOOKUP(O51,'Datos SS'!$B$25:$BZZ$27,3,0)/12,HLOOKUP(O51,'Datos SS'!$B$25:$BZZ$26,2,0)/12),HLOOKUP(O51,'Datos SS'!$B$25:$BZZ$26,2,0)/12)</f>
        <v>6456.0512960742963</v>
      </c>
      <c r="V51" s="165">
        <f t="shared" ca="1" si="6"/>
        <v>6456.0512960742963</v>
      </c>
      <c r="W51" s="7">
        <f t="shared" ca="1" si="7"/>
        <v>6755.0317131884831</v>
      </c>
      <c r="X51" s="149">
        <f ca="1">HLOOKUP(O51,'Datos SS'!$K$37:$EP$38,2,0)</f>
        <v>1678.582694931624</v>
      </c>
      <c r="Y51">
        <f t="shared" ca="1" si="11"/>
        <v>1688</v>
      </c>
      <c r="Z51" s="58">
        <v>2015</v>
      </c>
      <c r="AA51" s="142" t="str">
        <f t="shared" si="13"/>
        <v>216</v>
      </c>
      <c r="AB51" s="142" t="str">
        <f t="shared" si="14"/>
        <v>252</v>
      </c>
      <c r="AC51" s="648">
        <v>2224.9393289502254</v>
      </c>
      <c r="AD51" s="650">
        <f t="shared" ca="1" si="8"/>
        <v>-4530.0923842382581</v>
      </c>
    </row>
    <row r="52" spans="1:30">
      <c r="A52" s="809" t="s">
        <v>1204</v>
      </c>
      <c r="B52" s="811">
        <f ca="1">+_xlfn.IFNA(IF(B8&lt;38.5,VLOOKUP(INT(E9),'periodo transitorio coef REDUCT'!$B$9:$CD$33,MATCH(YEAR(B7),'periodo transitorio coef REDUCT'!$B$9:$CD$9,0),0),IF(B8&lt;41.5,VLOOKUP(INT(E9),'periodo transitorio coef REDUCT'!$B$38:$CD$62,MATCH(YEAR(B7),'periodo transitorio coef REDUCT'!$B$38:$CD$38,0),0),IF(B8&lt;44.5,VLOOKUP(INT(E9),'periodo transitorio coef REDUCT'!$B$67:$CD$91,MATCH(YEAR(B7),'periodo transitorio coef REDUCT'!$B$67:$CD$67,0),0),VLOOKUP(INT(E9),'periodo transitorio coef REDUCT'!$B$96:$CD$120,MATCH(YEAR(B7),'periodo transitorio coef REDUCT'!$B$96:$CD$96,0),0)))),0)</f>
        <v>0</v>
      </c>
      <c r="L52" s="4">
        <v>48</v>
      </c>
      <c r="M52" s="4">
        <f t="shared" ca="1" si="5"/>
        <v>1.9E-3</v>
      </c>
      <c r="O52" s="4">
        <f t="shared" ca="1" si="9"/>
        <v>2040</v>
      </c>
      <c r="P52" s="4">
        <v>48</v>
      </c>
      <c r="Q52" s="4">
        <f t="shared" ca="1" si="10"/>
        <v>7</v>
      </c>
      <c r="S52" s="125">
        <f ca="1">HLOOKUP(O52,'Datos SS'!$B$4:$CZZ$16,(Q52+1),0)</f>
        <v>181.35504098874847</v>
      </c>
      <c r="T52" s="815">
        <f ca="1">IF(O52=YEAR($B$5),($B$9/12),IF(O52&gt;MIN(YEAR($B$7),YEAR($B$5)),($B$9/12)*(1+HLOOKUP(O52,'Datos SS'!$B$31:$CZZ$32,2,0))^(O52-YEAR($B$5)),T39/(1+HLOOKUP(O52,'Datos SS'!$B$31:$CZZ$32,2,0))))</f>
        <v>27215.936378776987</v>
      </c>
      <c r="U52" s="7">
        <f ca="1">IF(O52=2018,IF(Q52&lt;8,HLOOKUP(O52,'Datos SS'!$B$25:$BZZ$27,3,0)/12,HLOOKUP(O52,'Datos SS'!$B$25:$BZZ$26,2,0)/12),HLOOKUP(O52,'Datos SS'!$B$25:$BZZ$26,2,0)/12)</f>
        <v>6456.0512960742963</v>
      </c>
      <c r="V52" s="165">
        <f t="shared" ca="1" si="6"/>
        <v>6456.0512960742963</v>
      </c>
      <c r="W52" s="7">
        <f t="shared" ca="1" si="7"/>
        <v>6768.9459725152474</v>
      </c>
      <c r="X52" s="149">
        <f ca="1">HLOOKUP(O52,'Datos SS'!$K$37:$EP$38,2,0)</f>
        <v>1678.582694931624</v>
      </c>
      <c r="Y52">
        <f t="shared" ca="1" si="11"/>
        <v>1687</v>
      </c>
      <c r="Z52" s="58">
        <v>2016</v>
      </c>
      <c r="AA52" s="142" t="str">
        <f t="shared" si="13"/>
        <v>228</v>
      </c>
      <c r="AB52" s="142" t="str">
        <f t="shared" si="14"/>
        <v>266</v>
      </c>
      <c r="AC52" s="648">
        <v>2226.7850009256972</v>
      </c>
      <c r="AD52" s="650">
        <f t="shared" ca="1" si="8"/>
        <v>-4542.1609715895502</v>
      </c>
    </row>
    <row r="53" spans="1:30">
      <c r="A53" s="809" t="s">
        <v>1228</v>
      </c>
      <c r="B53" s="811">
        <f ca="1">+IF(B47=B46,B50,IF(AND(B47=B45,B52&gt;0),B52,0.5%*F7))</f>
        <v>0</v>
      </c>
      <c r="L53" s="4">
        <v>49</v>
      </c>
      <c r="M53" s="4">
        <f t="shared" ca="1" si="5"/>
        <v>1.9E-3</v>
      </c>
      <c r="O53" s="4">
        <f t="shared" ca="1" si="9"/>
        <v>2040</v>
      </c>
      <c r="P53" s="4">
        <v>49</v>
      </c>
      <c r="Q53" s="4">
        <f t="shared" ca="1" si="10"/>
        <v>6</v>
      </c>
      <c r="S53" s="125">
        <f ca="1">HLOOKUP(O53,'Datos SS'!$B$4:$CZZ$16,(Q53+1),0)</f>
        <v>180.98224719178518</v>
      </c>
      <c r="T53" s="815">
        <f ca="1">IF(O53=YEAR($B$5),($B$9/12),IF(O53&gt;MIN(YEAR($B$7),YEAR($B$5)),($B$9/12)*(1+HLOOKUP(O53,'Datos SS'!$B$31:$CZZ$32,2,0))^(O53-YEAR($B$5)),T40/(1+HLOOKUP(O53,'Datos SS'!$B$31:$CZZ$32,2,0))))</f>
        <v>27215.936378776987</v>
      </c>
      <c r="U53" s="7">
        <f ca="1">IF(O53=2018,IF(Q53&lt;8,HLOOKUP(O53,'Datos SS'!$B$25:$BZZ$27,3,0)/12,HLOOKUP(O53,'Datos SS'!$B$25:$BZZ$26,2,0)/12),HLOOKUP(O53,'Datos SS'!$B$25:$BZZ$26,2,0)/12)</f>
        <v>6456.0512960742963</v>
      </c>
      <c r="V53" s="165">
        <f t="shared" ca="1" si="6"/>
        <v>6456.0512960742963</v>
      </c>
      <c r="W53" s="7">
        <f t="shared" ca="1" si="7"/>
        <v>6782.88889293804</v>
      </c>
      <c r="X53" s="149">
        <f ca="1">HLOOKUP(O53,'Datos SS'!$K$37:$EP$38,2,0)</f>
        <v>1678.582694931624</v>
      </c>
      <c r="Y53">
        <f t="shared" ca="1" si="11"/>
        <v>1686</v>
      </c>
      <c r="Z53" s="58">
        <v>2017</v>
      </c>
      <c r="AA53" s="142" t="str">
        <f t="shared" si="13"/>
        <v>240</v>
      </c>
      <c r="AB53" s="142" t="str">
        <f t="shared" si="14"/>
        <v>280</v>
      </c>
      <c r="AC53" s="648">
        <v>2228.6322039564193</v>
      </c>
      <c r="AD53" s="650">
        <f t="shared" ca="1" si="8"/>
        <v>-4554.2566889816208</v>
      </c>
    </row>
    <row r="54" spans="1:30">
      <c r="A54" s="810" t="s">
        <v>130</v>
      </c>
      <c r="B54" s="817" t="s">
        <v>1201</v>
      </c>
      <c r="L54" s="4">
        <v>50</v>
      </c>
      <c r="M54" s="4">
        <f t="shared" ca="1" si="5"/>
        <v>1.9E-3</v>
      </c>
      <c r="O54" s="4">
        <f t="shared" ca="1" si="9"/>
        <v>2040</v>
      </c>
      <c r="P54" s="4">
        <v>50</v>
      </c>
      <c r="Q54" s="4">
        <f t="shared" ca="1" si="10"/>
        <v>5</v>
      </c>
      <c r="S54" s="125">
        <f ca="1">HLOOKUP(O54,'Datos SS'!$B$4:$CZZ$16,(Q54+1),0)</f>
        <v>180.61021971052119</v>
      </c>
      <c r="T54" s="815">
        <f ca="1">IF(O54=YEAR($B$5),($B$9/12),IF(O54&gt;MIN(YEAR($B$7),YEAR($B$5)),($B$9/12)*(1+HLOOKUP(O54,'Datos SS'!$B$31:$CZZ$32,2,0))^(O54-YEAR($B$5)),T41/(1+HLOOKUP(O54,'Datos SS'!$B$31:$CZZ$32,2,0))))</f>
        <v>27215.936378776987</v>
      </c>
      <c r="U54" s="7">
        <f ca="1">IF(O54=2018,IF(Q54&lt;8,HLOOKUP(O54,'Datos SS'!$B$25:$BZZ$27,3,0)/12,HLOOKUP(O54,'Datos SS'!$B$25:$BZZ$26,2,0)/12),HLOOKUP(O54,'Datos SS'!$B$25:$BZZ$26,2,0)/12)</f>
        <v>6456.0512960742963</v>
      </c>
      <c r="V54" s="165">
        <f t="shared" ca="1" si="6"/>
        <v>6456.0512960742963</v>
      </c>
      <c r="W54" s="7">
        <f t="shared" ca="1" si="7"/>
        <v>6796.8605334940266</v>
      </c>
      <c r="X54" s="149">
        <f ca="1">HLOOKUP(O54,'Datos SS'!$K$37:$EP$38,2,0)</f>
        <v>1678.582694931624</v>
      </c>
      <c r="Y54">
        <f t="shared" ca="1" si="11"/>
        <v>1685</v>
      </c>
      <c r="Z54" s="58">
        <v>2018</v>
      </c>
      <c r="AA54" s="142" t="str">
        <f t="shared" si="13"/>
        <v>252</v>
      </c>
      <c r="AB54" s="142" t="str">
        <f t="shared" si="14"/>
        <v>294</v>
      </c>
      <c r="AC54" s="648">
        <v>2230.4809393124606</v>
      </c>
      <c r="AD54" s="650">
        <f t="shared" ca="1" si="8"/>
        <v>-4566.3795941815661</v>
      </c>
    </row>
    <row r="55" spans="1:30">
      <c r="A55" s="819" t="s">
        <v>1208</v>
      </c>
      <c r="B55" s="818">
        <f ca="1">+MIN(B46*B48,B45)</f>
        <v>3571.0685228563912</v>
      </c>
      <c r="L55" s="4">
        <v>51</v>
      </c>
      <c r="M55" s="4">
        <f t="shared" ca="1" si="5"/>
        <v>1.9E-3</v>
      </c>
      <c r="O55" s="4">
        <f t="shared" ca="1" si="9"/>
        <v>2040</v>
      </c>
      <c r="P55" s="4">
        <v>51</v>
      </c>
      <c r="Q55" s="4">
        <f t="shared" ca="1" si="10"/>
        <v>4</v>
      </c>
      <c r="S55" s="125">
        <f ca="1">HLOOKUP(O55,'Datos SS'!$B$4:$CZZ$16,(Q55+1),0)</f>
        <v>180.23895696971636</v>
      </c>
      <c r="T55" s="815">
        <f ca="1">IF(O55=YEAR($B$5),($B$9/12),IF(O55&gt;MIN(YEAR($B$7),YEAR($B$5)),($B$9/12)*(1+HLOOKUP(O55,'Datos SS'!$B$31:$CZZ$32,2,0))^(O55-YEAR($B$5)),T42/(1+HLOOKUP(O55,'Datos SS'!$B$31:$CZZ$32,2,0))))</f>
        <v>27215.936378776987</v>
      </c>
      <c r="U55" s="7">
        <f ca="1">IF(O55=2018,IF(Q55&lt;8,HLOOKUP(O55,'Datos SS'!$B$25:$BZZ$27,3,0)/12,HLOOKUP(O55,'Datos SS'!$B$25:$BZZ$26,2,0)/12),HLOOKUP(O55,'Datos SS'!$B$25:$BZZ$26,2,0)/12)</f>
        <v>6456.0512960742963</v>
      </c>
      <c r="V55" s="165">
        <f t="shared" ca="1" si="6"/>
        <v>6456.0512960742963</v>
      </c>
      <c r="W55" s="7">
        <f t="shared" ca="1" si="7"/>
        <v>6810.8609533419803</v>
      </c>
      <c r="X55" s="149">
        <f ca="1">HLOOKUP(O55,'Datos SS'!$K$37:$EP$38,2,0)</f>
        <v>1678.582694931624</v>
      </c>
      <c r="Y55">
        <f t="shared" ca="1" si="11"/>
        <v>1684</v>
      </c>
      <c r="Z55" s="58">
        <v>2019</v>
      </c>
      <c r="AA55" s="4">
        <v>264</v>
      </c>
      <c r="AB55" s="4">
        <v>308</v>
      </c>
      <c r="AC55" s="648">
        <v>2232.3312082649427</v>
      </c>
      <c r="AD55" s="650">
        <f t="shared" ca="1" si="8"/>
        <v>-4578.5297450770377</v>
      </c>
    </row>
    <row r="56" spans="1:30">
      <c r="A56" s="819" t="s">
        <v>1209</v>
      </c>
      <c r="B56" s="818">
        <f ca="1">+IF(B47=B46,B46*B48*(1-B50),IF(AND(B47=B45,B52&gt;0),B47*(1-B52),IF(AND(B52=0,B51&gt;B45*(1-(0.5%*F7))),B45*(1-(0.5%*F7)),B51)))</f>
        <v>3571.0685228563912</v>
      </c>
      <c r="L56" s="4">
        <v>52</v>
      </c>
      <c r="M56" s="4">
        <f t="shared" ca="1" si="5"/>
        <v>1.9E-3</v>
      </c>
      <c r="O56" s="4">
        <f t="shared" ca="1" si="9"/>
        <v>2040</v>
      </c>
      <c r="P56" s="4">
        <v>52</v>
      </c>
      <c r="Q56" s="4">
        <f t="shared" ca="1" si="10"/>
        <v>3</v>
      </c>
      <c r="S56" s="125">
        <f ca="1">HLOOKUP(O56,'Datos SS'!$B$4:$CZZ$16,(Q56+1),0)</f>
        <v>179.86845739736859</v>
      </c>
      <c r="T56" s="815">
        <f ca="1">IF(O56=YEAR($B$5),($B$9/12),IF(O56&gt;MIN(YEAR($B$7),YEAR($B$5)),($B$9/12)*(1+HLOOKUP(O56,'Datos SS'!$B$31:$CZZ$32,2,0))^(O56-YEAR($B$5)),T43/(1+HLOOKUP(O56,'Datos SS'!$B$31:$CZZ$32,2,0))))</f>
        <v>27215.936378776987</v>
      </c>
      <c r="U56" s="7">
        <f ca="1">IF(O56=2018,IF(Q56&lt;8,HLOOKUP(O56,'Datos SS'!$B$25:$BZZ$27,3,0)/12,HLOOKUP(O56,'Datos SS'!$B$25:$BZZ$26,2,0)/12),HLOOKUP(O56,'Datos SS'!$B$25:$BZZ$26,2,0)/12)</f>
        <v>6456.0512960742963</v>
      </c>
      <c r="V56" s="165">
        <f t="shared" ca="1" si="6"/>
        <v>6456.0512960742963</v>
      </c>
      <c r="W56" s="7">
        <f t="shared" ca="1" si="7"/>
        <v>6824.8902117625303</v>
      </c>
      <c r="X56" s="149">
        <f ca="1">HLOOKUP(O56,'Datos SS'!$K$37:$EP$38,2,0)</f>
        <v>1678.582694931624</v>
      </c>
      <c r="Y56">
        <f t="shared" ca="1" si="11"/>
        <v>1683</v>
      </c>
      <c r="Z56" s="58">
        <v>2020</v>
      </c>
      <c r="AA56" s="4">
        <v>276</v>
      </c>
      <c r="AB56" s="4">
        <v>322</v>
      </c>
      <c r="AC56" s="648">
        <v>2234.1830120860432</v>
      </c>
      <c r="AD56" s="650">
        <f t="shared" ca="1" si="8"/>
        <v>-4590.7071996764871</v>
      </c>
    </row>
    <row r="57" spans="1:30">
      <c r="A57" s="819" t="s">
        <v>1212</v>
      </c>
      <c r="B57" s="818">
        <f ca="1">+IF(B8&lt;15,B55,B71)</f>
        <v>3571.0685228563912</v>
      </c>
      <c r="L57" s="4">
        <v>53</v>
      </c>
      <c r="M57" s="4">
        <f t="shared" ca="1" si="5"/>
        <v>1.9E-3</v>
      </c>
      <c r="O57" s="4">
        <f t="shared" ca="1" si="9"/>
        <v>2040</v>
      </c>
      <c r="P57" s="4">
        <v>53</v>
      </c>
      <c r="Q57" s="4">
        <f t="shared" ca="1" si="10"/>
        <v>2</v>
      </c>
      <c r="S57" s="125">
        <f ca="1">HLOOKUP(O57,'Datos SS'!$B$4:$CZZ$16,(Q57+1),0)</f>
        <v>179.49871942470725</v>
      </c>
      <c r="T57" s="815">
        <f ca="1">IF(O57=YEAR($B$5),($B$9/12),IF(O57&gt;MIN(YEAR($B$7),YEAR($B$5)),($B$9/12)*(1+HLOOKUP(O57,'Datos SS'!$B$31:$CZZ$32,2,0))^(O57-YEAR($B$5)),T44/(1+HLOOKUP(O57,'Datos SS'!$B$31:$CZZ$32,2,0))))</f>
        <v>27215.936378776987</v>
      </c>
      <c r="U57" s="7">
        <f ca="1">IF(O57=2018,IF(Q57&lt;8,HLOOKUP(O57,'Datos SS'!$B$25:$BZZ$27,3,0)/12,HLOOKUP(O57,'Datos SS'!$B$25:$BZZ$26,2,0)/12),HLOOKUP(O57,'Datos SS'!$B$25:$BZZ$26,2,0)/12)</f>
        <v>6456.0512960742963</v>
      </c>
      <c r="V57" s="165">
        <f t="shared" ca="1" si="6"/>
        <v>6456.0512960742963</v>
      </c>
      <c r="W57" s="7">
        <f t="shared" ca="1" si="7"/>
        <v>6838.9483681584134</v>
      </c>
      <c r="X57" s="149">
        <f ca="1">HLOOKUP(O57,'Datos SS'!$K$37:$EP$38,2,0)</f>
        <v>1678.582694931624</v>
      </c>
      <c r="Y57">
        <f t="shared" ca="1" si="11"/>
        <v>1682</v>
      </c>
      <c r="Z57" s="58">
        <v>2021</v>
      </c>
      <c r="AA57" s="4">
        <v>288</v>
      </c>
      <c r="AB57" s="4">
        <v>336</v>
      </c>
      <c r="AC57" s="648">
        <v>2236.0363520489932</v>
      </c>
      <c r="AD57" s="650">
        <f t="shared" ca="1" si="8"/>
        <v>-4602.9120161094197</v>
      </c>
    </row>
    <row r="58" spans="1:30">
      <c r="A58" s="819" t="s">
        <v>1211</v>
      </c>
      <c r="B58" s="818">
        <f ca="1">+B55</f>
        <v>3571.0685228563912</v>
      </c>
      <c r="L58" s="4">
        <v>54</v>
      </c>
      <c r="M58" s="4">
        <f t="shared" ca="1" si="5"/>
        <v>1.9E-3</v>
      </c>
      <c r="O58" s="4">
        <f t="shared" ca="1" si="9"/>
        <v>2040</v>
      </c>
      <c r="P58" s="4">
        <v>54</v>
      </c>
      <c r="Q58" s="4">
        <f t="shared" ca="1" si="10"/>
        <v>1</v>
      </c>
      <c r="S58" s="125">
        <f ca="1">HLOOKUP(O58,'Datos SS'!$B$4:$CZZ$16,(Q58+1),0)</f>
        <v>179.12974148618645</v>
      </c>
      <c r="T58" s="815">
        <f ca="1">IF(O58=YEAR($B$5),($B$9/12),IF(O58&gt;MIN(YEAR($B$7),YEAR($B$5)),($B$9/12)*(1+HLOOKUP(O58,'Datos SS'!$B$31:$CZZ$32,2,0))^(O58-YEAR($B$5)),T45/(1+HLOOKUP(O58,'Datos SS'!$B$31:$CZZ$32,2,0))))</f>
        <v>27215.936378776987</v>
      </c>
      <c r="U58" s="7">
        <f ca="1">IF(O58=2018,IF(Q58&lt;8,HLOOKUP(O58,'Datos SS'!$B$25:$BZZ$27,3,0)/12,HLOOKUP(O58,'Datos SS'!$B$25:$BZZ$26,2,0)/12),HLOOKUP(O58,'Datos SS'!$B$25:$BZZ$26,2,0)/12)</f>
        <v>6456.0512960742963</v>
      </c>
      <c r="V58" s="165">
        <f t="shared" ca="1" si="6"/>
        <v>6456.0512960742963</v>
      </c>
      <c r="W58" s="7">
        <f t="shared" ca="1" si="7"/>
        <v>6853.0354820547282</v>
      </c>
      <c r="X58" s="149">
        <f ca="1">HLOOKUP(O58,'Datos SS'!$K$37:$EP$38,2,0)</f>
        <v>1678.582694931624</v>
      </c>
      <c r="Y58">
        <f t="shared" ca="1" si="11"/>
        <v>1681</v>
      </c>
      <c r="Z58" s="58">
        <v>2022</v>
      </c>
      <c r="AA58" s="4">
        <v>300</v>
      </c>
      <c r="AB58" s="4">
        <v>350</v>
      </c>
      <c r="AC58" s="648">
        <v>2237.8912294280813</v>
      </c>
      <c r="AD58" s="650">
        <f t="shared" ca="1" si="8"/>
        <v>-4615.1442526266474</v>
      </c>
    </row>
    <row r="59" spans="1:30">
      <c r="L59" s="4">
        <v>55</v>
      </c>
      <c r="M59" s="4">
        <f t="shared" ca="1" si="5"/>
        <v>1.9E-3</v>
      </c>
      <c r="O59" s="4">
        <f t="shared" ca="1" si="9"/>
        <v>2039</v>
      </c>
      <c r="P59" s="4">
        <v>55</v>
      </c>
      <c r="Q59" s="4">
        <f t="shared" ca="1" si="10"/>
        <v>12</v>
      </c>
      <c r="S59" s="125">
        <f ca="1">HLOOKUP(O59,'Datos SS'!$B$4:$CZZ$16,(Q59+1),0)</f>
        <v>178.76152201947843</v>
      </c>
      <c r="T59" s="815">
        <f ca="1">IF(O59=YEAR($B$5),($B$9/12),IF(O59&gt;MIN(YEAR($B$7),YEAR($B$5)),($B$9/12)*(1+HLOOKUP(O59,'Datos SS'!$B$31:$CZZ$32,2,0))^(O59-YEAR($B$5)),T46/(1+HLOOKUP(O59,'Datos SS'!$B$31:$CZZ$32,2,0))))</f>
        <v>26552.133052465357</v>
      </c>
      <c r="U59" s="7">
        <f ca="1">IF(O59=2018,IF(Q59&lt;8,HLOOKUP(O59,'Datos SS'!$B$25:$BZZ$27,3,0)/12,HLOOKUP(O59,'Datos SS'!$B$25:$BZZ$26,2,0)/12),HLOOKUP(O59,'Datos SS'!$B$25:$BZZ$26,2,0)/12)</f>
        <v>6298.5866303163866</v>
      </c>
      <c r="V59" s="165">
        <f t="shared" ca="1" si="6"/>
        <v>6298.5866303163866</v>
      </c>
      <c r="W59" s="7">
        <f t="shared" ca="1" si="7"/>
        <v>6699.6601103406665</v>
      </c>
      <c r="X59" s="149">
        <f ca="1">HLOOKUP(O59,'Datos SS'!$K$37:$EP$38,2,0)</f>
        <v>1637.6416535918283</v>
      </c>
      <c r="Y59">
        <f t="shared" ca="1" si="11"/>
        <v>1680</v>
      </c>
      <c r="AC59" s="648">
        <v>2239.7476454986527</v>
      </c>
      <c r="AD59" s="650">
        <f t="shared" ca="1" si="8"/>
        <v>-4459.9124648420138</v>
      </c>
    </row>
    <row r="60" spans="1:30">
      <c r="A60" s="910" t="s">
        <v>1215</v>
      </c>
      <c r="B60" s="910" t="s">
        <v>1201</v>
      </c>
      <c r="L60" s="4">
        <v>56</v>
      </c>
      <c r="M60" s="4">
        <f t="shared" ca="1" si="5"/>
        <v>1.9E-3</v>
      </c>
      <c r="O60" s="4">
        <f t="shared" ca="1" si="9"/>
        <v>2039</v>
      </c>
      <c r="P60" s="4">
        <v>56</v>
      </c>
      <c r="Q60" s="4">
        <f t="shared" ca="1" si="10"/>
        <v>11</v>
      </c>
      <c r="S60" s="125">
        <f ca="1">HLOOKUP(O60,'Datos SS'!$B$4:$CZZ$16,(Q60+1),0)</f>
        <v>178.394059465467</v>
      </c>
      <c r="T60" s="815">
        <f ca="1">IF(O60=YEAR($B$5),($B$9/12),IF(O60&gt;MIN(YEAR($B$7),YEAR($B$5)),($B$9/12)*(1+HLOOKUP(O60,'Datos SS'!$B$31:$CZZ$32,2,0))^(O60-YEAR($B$5)),T48/(1+HLOOKUP(O60,'Datos SS'!$B$31:$CZZ$32,2,0))))</f>
        <v>26552.133052465357</v>
      </c>
      <c r="U60" s="7">
        <f ca="1">IF(O60=2018,IF(Q60&lt;8,HLOOKUP(O60,'Datos SS'!$B$25:$BZZ$27,3,0)/12,HLOOKUP(O60,'Datos SS'!$B$25:$BZZ$26,2,0)/12),HLOOKUP(O60,'Datos SS'!$B$25:$BZZ$26,2,0)/12)</f>
        <v>6298.5866303163866</v>
      </c>
      <c r="V60" s="165">
        <f t="shared" ca="1" si="6"/>
        <v>6298.5866303163866</v>
      </c>
      <c r="W60" s="7">
        <f t="shared" ca="1" si="7"/>
        <v>6713.4603132315642</v>
      </c>
      <c r="X60" s="149">
        <f ca="1">HLOOKUP(O60,'Datos SS'!$K$37:$EP$38,2,0)</f>
        <v>1637.6416535918283</v>
      </c>
      <c r="Y60">
        <f t="shared" ca="1" si="11"/>
        <v>1679</v>
      </c>
      <c r="AC60" s="648">
        <v>2241.6056015371109</v>
      </c>
      <c r="AD60" s="650">
        <f t="shared" ca="1" si="8"/>
        <v>-4471.8547116944537</v>
      </c>
    </row>
    <row r="61" spans="1:30">
      <c r="A61" s="809" t="s">
        <v>1220</v>
      </c>
      <c r="B61" s="822">
        <f ca="1">+B35</f>
        <v>0</v>
      </c>
      <c r="L61" s="4">
        <v>57</v>
      </c>
      <c r="M61" s="4">
        <f t="shared" ca="1" si="5"/>
        <v>1.9E-3</v>
      </c>
      <c r="O61" s="4">
        <f t="shared" ca="1" si="9"/>
        <v>2039</v>
      </c>
      <c r="P61" s="4">
        <v>57</v>
      </c>
      <c r="Q61" s="4">
        <f t="shared" ca="1" si="10"/>
        <v>10</v>
      </c>
      <c r="S61" s="125">
        <f ca="1">HLOOKUP(O61,'Datos SS'!$B$4:$CZZ$16,(Q61+1),0)</f>
        <v>178.0273522682408</v>
      </c>
      <c r="T61" s="815">
        <f ca="1">IF(O61=YEAR($B$5),($B$9/12),IF(O61&gt;MIN(YEAR($B$7),YEAR($B$5)),($B$9/12)*(1+HLOOKUP(O61,'Datos SS'!$B$31:$CZZ$32,2,0))^(O61-YEAR($B$5)),T49/(1+HLOOKUP(O61,'Datos SS'!$B$31:$CZZ$32,2,0))))</f>
        <v>26552.133052465357</v>
      </c>
      <c r="U61" s="7">
        <f ca="1">IF(O61=2018,IF(Q61&lt;8,HLOOKUP(O61,'Datos SS'!$B$25:$BZZ$27,3,0)/12,HLOOKUP(O61,'Datos SS'!$B$25:$BZZ$26,2,0)/12),HLOOKUP(O61,'Datos SS'!$B$25:$BZZ$26,2,0)/12)</f>
        <v>6298.5866303163866</v>
      </c>
      <c r="V61" s="165">
        <f t="shared" ca="1" si="6"/>
        <v>6298.5866303163866</v>
      </c>
      <c r="W61" s="7">
        <f t="shared" ca="1" si="7"/>
        <v>6727.2889422809085</v>
      </c>
      <c r="X61" s="149">
        <f ca="1">HLOOKUP(O61,'Datos SS'!$K$37:$EP$38,2,0)</f>
        <v>1637.6416535918283</v>
      </c>
      <c r="Y61">
        <f t="shared" ca="1" si="11"/>
        <v>1678</v>
      </c>
      <c r="AC61" s="648">
        <v>2243.4650988209178</v>
      </c>
      <c r="AD61" s="650">
        <f t="shared" ca="1" si="8"/>
        <v>-4483.8238434599907</v>
      </c>
    </row>
    <row r="62" spans="1:30">
      <c r="A62" s="809" t="s">
        <v>1213</v>
      </c>
      <c r="B62" s="817">
        <f ca="1">+B46*B48</f>
        <v>3571.0685228563912</v>
      </c>
      <c r="C62" s="126"/>
      <c r="F62" s="148"/>
      <c r="L62" s="4">
        <v>58</v>
      </c>
      <c r="M62" s="4">
        <f t="shared" ca="1" si="5"/>
        <v>0</v>
      </c>
      <c r="O62" s="4">
        <f t="shared" ca="1" si="9"/>
        <v>2039</v>
      </c>
      <c r="P62" s="4">
        <v>58</v>
      </c>
      <c r="Q62" s="4">
        <f t="shared" ca="1" si="10"/>
        <v>9</v>
      </c>
      <c r="S62" s="125">
        <f ca="1">HLOOKUP(O62,'Datos SS'!$B$4:$CZZ$16,(Q62+1),0)</f>
        <v>177.66139887508689</v>
      </c>
      <c r="T62" s="815">
        <f ca="1">IF(O62=YEAR($B$5),($B$9/12),IF(O62&gt;MIN(YEAR($B$7),YEAR($B$5)),($B$9/12)*(1+HLOOKUP(O62,'Datos SS'!$B$31:$CZZ$32,2,0))^(O62-YEAR($B$5)),T50/(1+HLOOKUP(O62,'Datos SS'!$B$31:$CZZ$32,2,0))))</f>
        <v>26552.133052465357</v>
      </c>
      <c r="U62" s="7">
        <f ca="1">IF(O62=2018,IF(Q62&lt;8,HLOOKUP(O62,'Datos SS'!$B$25:$BZZ$27,3,0)/12,HLOOKUP(O62,'Datos SS'!$B$25:$BZZ$26,2,0)/12),HLOOKUP(O62,'Datos SS'!$B$25:$BZZ$26,2,0)/12)</f>
        <v>6298.5866303163866</v>
      </c>
      <c r="V62" s="165">
        <f t="shared" ca="1" si="6"/>
        <v>6298.5866303163866</v>
      </c>
      <c r="W62" s="7">
        <f t="shared" ca="1" si="7"/>
        <v>6741.1460560419309</v>
      </c>
      <c r="X62" s="149">
        <f ca="1">HLOOKUP(O62,'Datos SS'!$K$37:$EP$38,2,0)</f>
        <v>1637.6416535918283</v>
      </c>
      <c r="Y62">
        <f t="shared" ca="1" si="11"/>
        <v>1677</v>
      </c>
      <c r="AC62" s="648">
        <v>2201.3001359103873</v>
      </c>
      <c r="AD62" s="650">
        <f t="shared" ca="1" si="8"/>
        <v>-4539.8459201315436</v>
      </c>
    </row>
    <row r="63" spans="1:30">
      <c r="A63" s="809" t="s">
        <v>1214</v>
      </c>
      <c r="B63" s="817">
        <f ca="1">+B46*(B48+B49)</f>
        <v>3571.0685228563912</v>
      </c>
      <c r="C63" s="126"/>
      <c r="F63" s="148"/>
      <c r="L63" s="4">
        <v>59</v>
      </c>
      <c r="M63" s="4">
        <f t="shared" ca="1" si="5"/>
        <v>0</v>
      </c>
      <c r="O63" s="4">
        <f t="shared" ca="1" si="9"/>
        <v>2039</v>
      </c>
      <c r="P63" s="4">
        <v>59</v>
      </c>
      <c r="Q63" s="4">
        <f t="shared" ca="1" si="10"/>
        <v>8</v>
      </c>
      <c r="S63" s="125">
        <f ca="1">HLOOKUP(O63,'Datos SS'!$B$4:$CZZ$16,(Q63+1),0)</f>
        <v>177.29619773648406</v>
      </c>
      <c r="T63" s="815">
        <f ca="1">IF(O63=YEAR($B$5),($B$9/12),IF(O63&gt;MIN(YEAR($B$7),YEAR($B$5)),($B$9/12)*(1+HLOOKUP(O63,'Datos SS'!$B$31:$CZZ$32,2,0))^(O63-YEAR($B$5)),T51/(1+HLOOKUP(O63,'Datos SS'!$B$31:$CZZ$32,2,0))))</f>
        <v>26552.133052465357</v>
      </c>
      <c r="U63" s="7">
        <f ca="1">IF(O63=2018,IF(Q63&lt;8,HLOOKUP(O63,'Datos SS'!$B$25:$BZZ$27,3,0)/12,HLOOKUP(O63,'Datos SS'!$B$25:$BZZ$26,2,0)/12),HLOOKUP(O63,'Datos SS'!$B$25:$BZZ$26,2,0)/12)</f>
        <v>6298.5866303163866</v>
      </c>
      <c r="V63" s="165">
        <f t="shared" ca="1" si="6"/>
        <v>6298.5866303163866</v>
      </c>
      <c r="W63" s="7">
        <f t="shared" ca="1" si="7"/>
        <v>6755.031713188474</v>
      </c>
      <c r="X63" s="149">
        <f ca="1">HLOOKUP(O63,'Datos SS'!$K$37:$EP$38,2,0)</f>
        <v>1637.6416535918283</v>
      </c>
      <c r="Y63">
        <f t="shared" ca="1" si="11"/>
        <v>1676</v>
      </c>
      <c r="AC63" s="648">
        <v>2203.1261982742403</v>
      </c>
      <c r="AD63" s="650">
        <f t="shared" ca="1" si="8"/>
        <v>-4551.9055149142332</v>
      </c>
    </row>
    <row r="64" spans="1:30">
      <c r="A64" s="809" t="s">
        <v>1216</v>
      </c>
      <c r="B64" s="822">
        <f ca="1">+MAX(MIN((B45-B62)/B46,B61),0)</f>
        <v>0</v>
      </c>
      <c r="C64" s="148"/>
      <c r="D64" s="148">
        <f ca="1">+B64+B48</f>
        <v>0.60829999999999995</v>
      </c>
      <c r="E64">
        <f ca="1">+D64*B46</f>
        <v>3571.0685228563912</v>
      </c>
      <c r="F64" s="151"/>
      <c r="L64" s="4">
        <v>60</v>
      </c>
      <c r="M64" s="4">
        <f t="shared" ca="1" si="5"/>
        <v>0</v>
      </c>
      <c r="O64" s="4">
        <f t="shared" ca="1" si="9"/>
        <v>2039</v>
      </c>
      <c r="P64" s="4">
        <v>60</v>
      </c>
      <c r="Q64" s="4">
        <f t="shared" ca="1" si="10"/>
        <v>7</v>
      </c>
      <c r="S64" s="125">
        <f ca="1">HLOOKUP(O64,'Datos SS'!$B$4:$CZZ$16,(Q64+1),0)</f>
        <v>176.93174730609633</v>
      </c>
      <c r="T64" s="815">
        <f ca="1">IF(O64=YEAR($B$5),($B$9/12),IF(O64&gt;MIN(YEAR($B$7),YEAR($B$5)),($B$9/12)*(1+HLOOKUP(O64,'Datos SS'!$B$31:$CZZ$32,2,0))^(O64-YEAR($B$5)),T52/(1+HLOOKUP(O64,'Datos SS'!$B$31:$CZZ$32,2,0))))</f>
        <v>26552.133052465357</v>
      </c>
      <c r="U64" s="7">
        <f ca="1">IF(O64=2018,IF(Q64&lt;8,HLOOKUP(O64,'Datos SS'!$B$25:$BZZ$27,3,0)/12,HLOOKUP(O64,'Datos SS'!$B$25:$BZZ$26,2,0)/12),HLOOKUP(O64,'Datos SS'!$B$25:$BZZ$26,2,0)/12)</f>
        <v>6298.5866303163866</v>
      </c>
      <c r="V64" s="165">
        <f t="shared" ca="1" si="6"/>
        <v>6298.5866303163866</v>
      </c>
      <c r="W64" s="7">
        <f t="shared" ca="1" si="7"/>
        <v>6768.9459725152374</v>
      </c>
      <c r="X64" s="149">
        <f ca="1">HLOOKUP(O64,'Datos SS'!$K$37:$EP$38,2,0)</f>
        <v>1637.6416535918283</v>
      </c>
      <c r="Y64">
        <f t="shared" ca="1" si="11"/>
        <v>1675</v>
      </c>
      <c r="AC64" s="648">
        <v>2204.9537754264238</v>
      </c>
      <c r="AD64" s="650">
        <f t="shared" ca="1" si="8"/>
        <v>-4563.9921970888136</v>
      </c>
    </row>
    <row r="65" spans="1:30">
      <c r="A65" s="809" t="s">
        <v>1217</v>
      </c>
      <c r="B65" s="817">
        <f ca="1">+B64*B46</f>
        <v>0</v>
      </c>
      <c r="D65" s="126"/>
      <c r="F65" s="126"/>
      <c r="L65" s="4">
        <v>61</v>
      </c>
      <c r="M65" s="4">
        <f t="shared" ca="1" si="5"/>
        <v>0</v>
      </c>
      <c r="O65" s="4">
        <f t="shared" ca="1" si="9"/>
        <v>2039</v>
      </c>
      <c r="P65" s="4">
        <v>61</v>
      </c>
      <c r="Q65" s="4">
        <f t="shared" ca="1" si="10"/>
        <v>6</v>
      </c>
      <c r="S65" s="125">
        <f ca="1">HLOOKUP(O65,'Datos SS'!$B$4:$CZZ$16,(Q65+1),0)</f>
        <v>176.56804604076629</v>
      </c>
      <c r="T65" s="815">
        <f ca="1">IF(O65=YEAR($B$5),($B$9/12),IF(O65&gt;MIN(YEAR($B$7),YEAR($B$5)),($B$9/12)*(1+HLOOKUP(O65,'Datos SS'!$B$31:$CZZ$32,2,0))^(O65-YEAR($B$5)),T53/(1+HLOOKUP(O65,'Datos SS'!$B$31:$CZZ$32,2,0))))</f>
        <v>26552.133052465357</v>
      </c>
      <c r="U65" s="7">
        <f ca="1">IF(O65=2018,IF(Q65&lt;8,HLOOKUP(O65,'Datos SS'!$B$25:$BZZ$27,3,0)/12,HLOOKUP(O65,'Datos SS'!$B$25:$BZZ$26,2,0)/12),HLOOKUP(O65,'Datos SS'!$B$25:$BZZ$26,2,0)/12)</f>
        <v>6298.5866303163866</v>
      </c>
      <c r="V65" s="165">
        <f t="shared" ca="1" si="6"/>
        <v>6298.5866303163866</v>
      </c>
      <c r="W65" s="7">
        <f t="shared" ca="1" si="7"/>
        <v>6782.88889293803</v>
      </c>
      <c r="X65" s="149">
        <f ca="1">HLOOKUP(O65,'Datos SS'!$K$37:$EP$38,2,0)</f>
        <v>1637.6416535918283</v>
      </c>
      <c r="Y65">
        <f t="shared" ca="1" si="11"/>
        <v>1674</v>
      </c>
      <c r="AC65" s="648">
        <v>2206.7828686235111</v>
      </c>
      <c r="AD65" s="650">
        <f t="shared" ca="1" si="8"/>
        <v>-4576.1060243145184</v>
      </c>
    </row>
    <row r="66" spans="1:30">
      <c r="A66" s="809" t="s">
        <v>1218</v>
      </c>
      <c r="B66" s="822">
        <f ca="1">+ROUNDUP(B61-B64,2)</f>
        <v>0</v>
      </c>
      <c r="C66" s="148"/>
      <c r="D66" s="148">
        <f ca="1">+B61-B64</f>
        <v>0</v>
      </c>
      <c r="E66">
        <f ca="1">+B66*B45</f>
        <v>0</v>
      </c>
      <c r="F66" s="148"/>
      <c r="L66" s="4">
        <v>62</v>
      </c>
      <c r="M66" s="4">
        <f t="shared" ca="1" si="5"/>
        <v>0</v>
      </c>
      <c r="O66" s="4">
        <f t="shared" ca="1" si="9"/>
        <v>2039</v>
      </c>
      <c r="P66" s="4">
        <v>62</v>
      </c>
      <c r="Q66" s="4">
        <f t="shared" ca="1" si="10"/>
        <v>5</v>
      </c>
      <c r="S66" s="125">
        <f ca="1">HLOOKUP(O66,'Datos SS'!$B$4:$CZZ$16,(Q66+1),0)</f>
        <v>176.20509240050873</v>
      </c>
      <c r="T66" s="815">
        <f ca="1">IF(O66=YEAR($B$5),($B$9/12),IF(O66&gt;MIN(YEAR($B$7),YEAR($B$5)),($B$9/12)*(1+HLOOKUP(O66,'Datos SS'!$B$31:$CZZ$32,2,0))^(O66-YEAR($B$5)),T54/(1+HLOOKUP(O66,'Datos SS'!$B$31:$CZZ$32,2,0))))</f>
        <v>26552.133052465357</v>
      </c>
      <c r="U66" s="7">
        <f ca="1">IF(O66=2018,IF(Q66&lt;8,HLOOKUP(O66,'Datos SS'!$B$25:$BZZ$27,3,0)/12,HLOOKUP(O66,'Datos SS'!$B$25:$BZZ$26,2,0)/12),HLOOKUP(O66,'Datos SS'!$B$25:$BZZ$26,2,0)/12)</f>
        <v>6298.5866303163866</v>
      </c>
      <c r="V66" s="165">
        <f t="shared" ca="1" si="6"/>
        <v>6298.5866303163866</v>
      </c>
      <c r="W66" s="7">
        <f t="shared" ca="1" si="7"/>
        <v>6796.8605334940175</v>
      </c>
      <c r="X66" s="149">
        <f ca="1">HLOOKUP(O66,'Datos SS'!$K$37:$EP$38,2,0)</f>
        <v>1637.6416535918283</v>
      </c>
      <c r="Y66">
        <f t="shared" ca="1" si="11"/>
        <v>1673</v>
      </c>
      <c r="AC66" s="648">
        <v>2208.6134791231207</v>
      </c>
      <c r="AD66" s="650">
        <f t="shared" ca="1" si="8"/>
        <v>-4588.2470543708969</v>
      </c>
    </row>
    <row r="67" spans="1:30">
      <c r="A67" s="809" t="s">
        <v>1219</v>
      </c>
      <c r="B67" s="817">
        <f ca="1">+B66*B45</f>
        <v>0</v>
      </c>
      <c r="L67" s="4">
        <v>63</v>
      </c>
      <c r="M67" s="4">
        <f t="shared" ca="1" si="5"/>
        <v>0</v>
      </c>
      <c r="O67" s="4">
        <f t="shared" ca="1" si="9"/>
        <v>2039</v>
      </c>
      <c r="P67" s="4">
        <v>63</v>
      </c>
      <c r="Q67" s="4">
        <f t="shared" ca="1" si="10"/>
        <v>4</v>
      </c>
      <c r="S67" s="125">
        <f ca="1">HLOOKUP(O67,'Datos SS'!$B$4:$CZZ$16,(Q67+1),0)</f>
        <v>175.84288484850401</v>
      </c>
      <c r="T67" s="815">
        <f ca="1">IF(O67=YEAR($B$5),($B$9/12),IF(O67&gt;MIN(YEAR($B$7),YEAR($B$5)),($B$9/12)*(1+HLOOKUP(O67,'Datos SS'!$B$31:$CZZ$32,2,0))^(O67-YEAR($B$5)),T55/(1+HLOOKUP(O67,'Datos SS'!$B$31:$CZZ$32,2,0))))</f>
        <v>26552.133052465357</v>
      </c>
      <c r="U67" s="7">
        <f ca="1">IF(O67=2018,IF(Q67&lt;8,HLOOKUP(O67,'Datos SS'!$B$25:$BZZ$27,3,0)/12,HLOOKUP(O67,'Datos SS'!$B$25:$BZZ$26,2,0)/12),HLOOKUP(O67,'Datos SS'!$B$25:$BZZ$26,2,0)/12)</f>
        <v>6298.5866303163866</v>
      </c>
      <c r="V67" s="165">
        <f t="shared" ca="1" si="6"/>
        <v>6298.5866303163866</v>
      </c>
      <c r="W67" s="7">
        <f t="shared" ca="1" si="7"/>
        <v>6810.8609533419703</v>
      </c>
      <c r="X67" s="149">
        <f ca="1">HLOOKUP(O67,'Datos SS'!$K$37:$EP$38,2,0)</f>
        <v>1637.6416535918283</v>
      </c>
      <c r="Y67">
        <f t="shared" ca="1" si="11"/>
        <v>1672</v>
      </c>
      <c r="AC67" s="648">
        <v>2210.4456081839121</v>
      </c>
      <c r="AD67" s="650">
        <f t="shared" ca="1" si="8"/>
        <v>-4600.4153451580587</v>
      </c>
    </row>
    <row r="68" spans="1:30">
      <c r="A68" s="809" t="s">
        <v>1221</v>
      </c>
      <c r="B68" s="817">
        <f ca="1">+B67+B65</f>
        <v>0</v>
      </c>
      <c r="L68" s="4">
        <v>64</v>
      </c>
      <c r="M68" s="4">
        <f t="shared" ca="1" si="5"/>
        <v>0</v>
      </c>
      <c r="O68" s="4">
        <f t="shared" ca="1" si="9"/>
        <v>2039</v>
      </c>
      <c r="P68" s="4">
        <v>64</v>
      </c>
      <c r="Q68" s="4">
        <f t="shared" ca="1" si="10"/>
        <v>3</v>
      </c>
      <c r="S68" s="125">
        <f ca="1">HLOOKUP(O68,'Datos SS'!$B$4:$CZZ$16,(Q68+1),0)</f>
        <v>175.48142185109157</v>
      </c>
      <c r="T68" s="815">
        <f ca="1">IF(O68=YEAR($B$5),($B$9/12),IF(O68&gt;MIN(YEAR($B$7),YEAR($B$5)),($B$9/12)*(1+HLOOKUP(O68,'Datos SS'!$B$31:$CZZ$32,2,0))^(O68-YEAR($B$5)),T56/(1+HLOOKUP(O68,'Datos SS'!$B$31:$CZZ$32,2,0))))</f>
        <v>26552.133052465357</v>
      </c>
      <c r="U68" s="7">
        <f ca="1">IF(O68=2018,IF(Q68&lt;8,HLOOKUP(O68,'Datos SS'!$B$25:$BZZ$27,3,0)/12,HLOOKUP(O68,'Datos SS'!$B$25:$BZZ$26,2,0)/12),HLOOKUP(O68,'Datos SS'!$B$25:$BZZ$26,2,0)/12)</f>
        <v>6298.5866303163866</v>
      </c>
      <c r="V68" s="165">
        <f t="shared" ca="1" si="6"/>
        <v>6298.5866303163866</v>
      </c>
      <c r="W68" s="7">
        <f t="shared" ca="1" si="7"/>
        <v>6824.8902117625194</v>
      </c>
      <c r="X68" s="149">
        <f ca="1">HLOOKUP(O68,'Datos SS'!$K$37:$EP$38,2,0)</f>
        <v>1637.6416535918283</v>
      </c>
      <c r="Y68">
        <f t="shared" ca="1" si="11"/>
        <v>1671</v>
      </c>
      <c r="AC68" s="648">
        <v>2212.2792570655897</v>
      </c>
      <c r="AD68" s="650">
        <f t="shared" ca="1" si="8"/>
        <v>-4612.6109546969292</v>
      </c>
    </row>
    <row r="69" spans="1:30">
      <c r="A69" s="852" t="s">
        <v>1222</v>
      </c>
      <c r="B69" s="853">
        <f ca="1">+MIN(B65+B62,B45)+B67</f>
        <v>3571.0685228563912</v>
      </c>
      <c r="D69" s="126">
        <f ca="1">+B46*(B48+B64)+B45*B66</f>
        <v>3571.0685228563912</v>
      </c>
      <c r="L69" s="4">
        <v>65</v>
      </c>
      <c r="M69" s="4">
        <f t="shared" ca="1" si="5"/>
        <v>0</v>
      </c>
      <c r="O69" s="4">
        <f t="shared" ca="1" si="9"/>
        <v>2039</v>
      </c>
      <c r="P69" s="4">
        <v>65</v>
      </c>
      <c r="Q69" s="4">
        <f t="shared" ca="1" si="10"/>
        <v>2</v>
      </c>
      <c r="S69" s="125">
        <f ca="1">HLOOKUP(O69,'Datos SS'!$B$4:$CZZ$16,(Q69+1),0)</f>
        <v>175.12070187776342</v>
      </c>
      <c r="T69" s="815">
        <f ca="1">IF(O69=YEAR($B$5),($B$9/12),IF(O69&gt;MIN(YEAR($B$7),YEAR($B$5)),($B$9/12)*(1+HLOOKUP(O69,'Datos SS'!$B$31:$CZZ$32,2,0))^(O69-YEAR($B$5)),T57/(1+HLOOKUP(O69,'Datos SS'!$B$31:$CZZ$32,2,0))))</f>
        <v>26552.133052465357</v>
      </c>
      <c r="U69" s="7">
        <f ca="1">IF(O69=2018,IF(Q69&lt;8,HLOOKUP(O69,'Datos SS'!$B$25:$BZZ$27,3,0)/12,HLOOKUP(O69,'Datos SS'!$B$25:$BZZ$26,2,0)/12),HLOOKUP(O69,'Datos SS'!$B$25:$BZZ$26,2,0)/12)</f>
        <v>6298.5866303163866</v>
      </c>
      <c r="V69" s="165">
        <f t="shared" ca="1" si="6"/>
        <v>6298.5866303163866</v>
      </c>
      <c r="W69" s="7">
        <f t="shared" ref="W69:W132" ca="1" si="15">IF($E$19="NO",IF(P69&lt;=180,IF(P69&lt;25,V69,V69*$S$28/S69),0),IF(P69&gt;$B$15,0,IF(P69&lt;25,V69,V69*$S$28/S69)))</f>
        <v>6838.9483681584034</v>
      </c>
      <c r="X69" s="149">
        <f ca="1">HLOOKUP(O69,'Datos SS'!$K$37:$EP$38,2,0)</f>
        <v>1637.6416535918283</v>
      </c>
      <c r="Y69">
        <f t="shared" ca="1" si="11"/>
        <v>1670</v>
      </c>
      <c r="AC69" s="648">
        <v>2214.1144270289033</v>
      </c>
      <c r="AD69" s="650">
        <f t="shared" ca="1" si="8"/>
        <v>-4624.8339411295001</v>
      </c>
    </row>
    <row r="70" spans="1:30">
      <c r="A70" s="809" t="s">
        <v>1223</v>
      </c>
      <c r="B70" s="817">
        <f ca="1">+HLOOKUP(YEAR('Simulador - 1º Pilar'!G20),'Datos SS'!$B$25:$DM$26,2,0)/14</f>
        <v>6108.2336941226094</v>
      </c>
      <c r="L70" s="4">
        <v>66</v>
      </c>
      <c r="M70" s="4">
        <f t="shared" ref="M70:M133" ca="1" si="16">IF(L70&lt;=$C$22,$B$22,IF(L70&lt;=$C$23+$C$22,$B$23,0))</f>
        <v>0</v>
      </c>
      <c r="O70" s="4">
        <f t="shared" ca="1" si="9"/>
        <v>2039</v>
      </c>
      <c r="P70" s="4">
        <v>66</v>
      </c>
      <c r="Q70" s="4">
        <f t="shared" ca="1" si="10"/>
        <v>1</v>
      </c>
      <c r="S70" s="125">
        <f ca="1">HLOOKUP(O70,'Datos SS'!$B$4:$CZZ$16,(Q70+1),0)</f>
        <v>174.76072340115778</v>
      </c>
      <c r="T70" s="815">
        <f ca="1">IF(O70=YEAR($B$5),($B$9/12),IF(O70&gt;MIN(YEAR($B$7),YEAR($B$5)),($B$9/12)*(1+HLOOKUP(O70,'Datos SS'!$B$31:$CZZ$32,2,0))^(O70-YEAR($B$5)),T58/(1+HLOOKUP(O70,'Datos SS'!$B$31:$CZZ$32,2,0))))</f>
        <v>26552.133052465357</v>
      </c>
      <c r="U70" s="7">
        <f ca="1">IF(O70=2018,IF(Q70&lt;8,HLOOKUP(O70,'Datos SS'!$B$25:$BZZ$27,3,0)/12,HLOOKUP(O70,'Datos SS'!$B$25:$BZZ$26,2,0)/12),HLOOKUP(O70,'Datos SS'!$B$25:$BZZ$26,2,0)/12)</f>
        <v>6298.5866303163866</v>
      </c>
      <c r="V70" s="165">
        <f t="shared" ref="V70:V133" ca="1" si="17">MAX(X70,MIN(T70,U70))</f>
        <v>6298.5866303163866</v>
      </c>
      <c r="W70" s="7">
        <f t="shared" ca="1" si="15"/>
        <v>6853.0354820547172</v>
      </c>
      <c r="X70" s="149">
        <f ca="1">HLOOKUP(O70,'Datos SS'!$K$37:$EP$38,2,0)</f>
        <v>1637.6416535918283</v>
      </c>
      <c r="Y70">
        <f t="shared" ca="1" si="11"/>
        <v>1669</v>
      </c>
      <c r="AC70" s="648">
        <v>2215.9511193356475</v>
      </c>
      <c r="AD70" s="650">
        <f t="shared" ref="AD70:AD133" ca="1" si="18">+AC70-W70</f>
        <v>-4637.0843627190698</v>
      </c>
    </row>
    <row r="71" spans="1:30">
      <c r="A71" s="809" t="s">
        <v>1224</v>
      </c>
      <c r="B71" s="818">
        <f ca="1">+MIN(B69,B70)</f>
        <v>3571.0685228563912</v>
      </c>
      <c r="C71" s="845"/>
      <c r="D71" s="845"/>
      <c r="L71" s="4">
        <v>67</v>
      </c>
      <c r="M71" s="4">
        <f t="shared" ca="1" si="16"/>
        <v>0</v>
      </c>
      <c r="O71" s="4">
        <f t="shared" ref="O71:O134" ca="1" si="19">IF(Q71=12,O70-1,O70)</f>
        <v>2038</v>
      </c>
      <c r="P71" s="4">
        <v>67</v>
      </c>
      <c r="Q71" s="4">
        <f t="shared" ref="Q71:Q134" ca="1" si="20">IF(Q70=1,12,Q70-1)</f>
        <v>12</v>
      </c>
      <c r="S71" s="125">
        <f ca="1">HLOOKUP(O71,'Datos SS'!$B$4:$CZZ$16,(Q71+1),0)</f>
        <v>174.4014848970524</v>
      </c>
      <c r="T71" s="815">
        <f ca="1">IF(O71=YEAR($B$5),($B$9/12),IF(O71&gt;MIN(YEAR($B$7),YEAR($B$5)),($B$9/12)*(1+HLOOKUP(O71,'Datos SS'!$B$31:$CZZ$32,2,0))^(O71-YEAR($B$5)),T59/(1+HLOOKUP(O71,'Datos SS'!$B$31:$CZZ$32,2,0))))</f>
        <v>25904.520051185711</v>
      </c>
      <c r="U71" s="7">
        <f ca="1">IF(O71=2018,IF(Q71&lt;8,HLOOKUP(O71,'Datos SS'!$B$25:$BZZ$27,3,0)/12,HLOOKUP(O71,'Datos SS'!$B$25:$BZZ$26,2,0)/12),HLOOKUP(O71,'Datos SS'!$B$25:$BZZ$26,2,0)/12)</f>
        <v>6144.9625661623295</v>
      </c>
      <c r="V71" s="165">
        <f t="shared" ca="1" si="17"/>
        <v>6144.9625661623295</v>
      </c>
      <c r="W71" s="7">
        <f t="shared" ca="1" si="15"/>
        <v>6699.6601103406574</v>
      </c>
      <c r="X71" s="149">
        <f ca="1">HLOOKUP(O71,'Datos SS'!$K$37:$EP$38,2,0)</f>
        <v>1597.6991742359303</v>
      </c>
      <c r="Y71">
        <f t="shared" ref="Y71:Y134" ca="1" si="21">MAX(INT(Y70)-1,0)</f>
        <v>1668</v>
      </c>
      <c r="AC71" s="648">
        <v>2217.7893352486644</v>
      </c>
      <c r="AD71" s="650">
        <f t="shared" ca="1" si="18"/>
        <v>-4481.870775091993</v>
      </c>
    </row>
    <row r="72" spans="1:30">
      <c r="L72" s="4">
        <v>68</v>
      </c>
      <c r="M72" s="4">
        <f t="shared" ca="1" si="16"/>
        <v>0</v>
      </c>
      <c r="O72" s="4">
        <f t="shared" ca="1" si="19"/>
        <v>2038</v>
      </c>
      <c r="P72" s="4">
        <v>68</v>
      </c>
      <c r="Q72" s="4">
        <f t="shared" ca="1" si="20"/>
        <v>11</v>
      </c>
      <c r="S72" s="125">
        <f ca="1">HLOOKUP(O72,'Datos SS'!$B$4:$CZZ$16,(Q72+1),0)</f>
        <v>174.0429848443583</v>
      </c>
      <c r="T72" s="815">
        <f ca="1">IF(O72=YEAR($B$5),($B$9/12),IF(O72&gt;MIN(YEAR($B$7),YEAR($B$5)),($B$9/12)*(1+HLOOKUP(O72,'Datos SS'!$B$31:$CZZ$32,2,0))^(O72-YEAR($B$5)),T60/(1+HLOOKUP(O72,'Datos SS'!$B$31:$CZZ$32,2,0))))</f>
        <v>25904.520051185711</v>
      </c>
      <c r="U72" s="7">
        <f ca="1">IF(O72=2018,IF(Q72&lt;8,HLOOKUP(O72,'Datos SS'!$B$25:$BZZ$27,3,0)/12,HLOOKUP(O72,'Datos SS'!$B$25:$BZZ$26,2,0)/12),HLOOKUP(O72,'Datos SS'!$B$25:$BZZ$26,2,0)/12)</f>
        <v>6144.9625661623295</v>
      </c>
      <c r="V72" s="165">
        <f t="shared" ca="1" si="17"/>
        <v>6144.9625661623295</v>
      </c>
      <c r="W72" s="7">
        <f t="shared" ca="1" si="15"/>
        <v>6713.4603132315551</v>
      </c>
      <c r="X72" s="149">
        <f ca="1">HLOOKUP(O72,'Datos SS'!$K$37:$EP$38,2,0)</f>
        <v>1597.6991742359303</v>
      </c>
      <c r="Y72">
        <f t="shared" ca="1" si="21"/>
        <v>1667</v>
      </c>
      <c r="AC72" s="648">
        <v>2219.6290760318439</v>
      </c>
      <c r="AD72" s="650">
        <f t="shared" ca="1" si="18"/>
        <v>-4493.8312371997108</v>
      </c>
    </row>
    <row r="73" spans="1:30">
      <c r="L73" s="4">
        <v>69</v>
      </c>
      <c r="M73" s="4">
        <f t="shared" ca="1" si="16"/>
        <v>0</v>
      </c>
      <c r="O73" s="4">
        <f t="shared" ca="1" si="19"/>
        <v>2038</v>
      </c>
      <c r="P73" s="4">
        <v>69</v>
      </c>
      <c r="Q73" s="4">
        <f t="shared" ca="1" si="20"/>
        <v>10</v>
      </c>
      <c r="S73" s="125">
        <f ca="1">HLOOKUP(O73,'Datos SS'!$B$4:$CZZ$16,(Q73+1),0)</f>
        <v>173.68522172511322</v>
      </c>
      <c r="T73" s="815">
        <f ca="1">IF(O73=YEAR($B$5),($B$9/12),IF(O73&gt;MIN(YEAR($B$7),YEAR($B$5)),($B$9/12)*(1+HLOOKUP(O73,'Datos SS'!$B$31:$CZZ$32,2,0))^(O73-YEAR($B$5)),T61/(1+HLOOKUP(O73,'Datos SS'!$B$31:$CZZ$32,2,0))))</f>
        <v>25904.520051185711</v>
      </c>
      <c r="U73" s="7">
        <f ca="1">IF(O73=2018,IF(Q73&lt;8,HLOOKUP(O73,'Datos SS'!$B$25:$BZZ$27,3,0)/12,HLOOKUP(O73,'Datos SS'!$B$25:$BZZ$26,2,0)/12),HLOOKUP(O73,'Datos SS'!$B$25:$BZZ$26,2,0)/12)</f>
        <v>6144.9625661623295</v>
      </c>
      <c r="V73" s="165">
        <f t="shared" ca="1" si="17"/>
        <v>6144.9625661623295</v>
      </c>
      <c r="W73" s="7">
        <f t="shared" ca="1" si="15"/>
        <v>6727.2889422808994</v>
      </c>
      <c r="X73" s="149">
        <f ca="1">HLOOKUP(O73,'Datos SS'!$K$37:$EP$38,2,0)</f>
        <v>1597.6991742359303</v>
      </c>
      <c r="Y73">
        <f t="shared" ca="1" si="21"/>
        <v>1666</v>
      </c>
      <c r="AC73" s="648">
        <v>2221.4703429501233</v>
      </c>
      <c r="AD73" s="650">
        <f t="shared" ca="1" si="18"/>
        <v>-4505.8185993307761</v>
      </c>
    </row>
    <row r="74" spans="1:30">
      <c r="A74" s="910" t="s">
        <v>625</v>
      </c>
      <c r="B74" s="910"/>
      <c r="L74" s="4">
        <v>70</v>
      </c>
      <c r="M74" s="4">
        <f t="shared" ca="1" si="16"/>
        <v>0</v>
      </c>
      <c r="O74" s="4">
        <f t="shared" ca="1" si="19"/>
        <v>2038</v>
      </c>
      <c r="P74" s="4">
        <v>70</v>
      </c>
      <c r="Q74" s="4">
        <f t="shared" ca="1" si="20"/>
        <v>9</v>
      </c>
      <c r="S74" s="125">
        <f ca="1">HLOOKUP(O74,'Datos SS'!$B$4:$CZZ$16,(Q74+1),0)</f>
        <v>173.32819402447527</v>
      </c>
      <c r="T74" s="815">
        <f ca="1">IF(O74=YEAR($B$5),($B$9/12),IF(O74&gt;MIN(YEAR($B$7),YEAR($B$5)),($B$9/12)*(1+HLOOKUP(O74,'Datos SS'!$B$31:$CZZ$32,2,0))^(O74-YEAR($B$5)),T62/(1+HLOOKUP(O74,'Datos SS'!$B$31:$CZZ$32,2,0))))</f>
        <v>25904.520051185711</v>
      </c>
      <c r="U74" s="7">
        <f ca="1">IF(O74=2018,IF(Q74&lt;8,HLOOKUP(O74,'Datos SS'!$B$25:$BZZ$27,3,0)/12,HLOOKUP(O74,'Datos SS'!$B$25:$BZZ$26,2,0)/12),HLOOKUP(O74,'Datos SS'!$B$25:$BZZ$26,2,0)/12)</f>
        <v>6144.9625661623295</v>
      </c>
      <c r="V74" s="165">
        <f t="shared" ca="1" si="17"/>
        <v>6144.9625661623295</v>
      </c>
      <c r="W74" s="7">
        <f t="shared" ca="1" si="15"/>
        <v>6741.1460560419218</v>
      </c>
      <c r="X74" s="149">
        <f ca="1">HLOOKUP(O74,'Datos SS'!$K$37:$EP$38,2,0)</f>
        <v>1597.6991742359303</v>
      </c>
      <c r="Y74">
        <f t="shared" ca="1" si="21"/>
        <v>1665</v>
      </c>
      <c r="AC74" s="648">
        <v>2179.7187620289114</v>
      </c>
      <c r="AD74" s="650">
        <f t="shared" ca="1" si="18"/>
        <v>-4561.4272940130104</v>
      </c>
    </row>
    <row r="75" spans="1:30">
      <c r="A75" s="809" t="s">
        <v>626</v>
      </c>
      <c r="B75" s="817">
        <f ca="1">+C7</f>
        <v>19.775496235455169</v>
      </c>
      <c r="L75" s="4">
        <v>71</v>
      </c>
      <c r="M75" s="4">
        <f t="shared" ca="1" si="16"/>
        <v>0</v>
      </c>
      <c r="O75" s="4">
        <f t="shared" ca="1" si="19"/>
        <v>2038</v>
      </c>
      <c r="P75" s="4">
        <v>71</v>
      </c>
      <c r="Q75" s="4">
        <f t="shared" ca="1" si="20"/>
        <v>8</v>
      </c>
      <c r="S75" s="125">
        <f ca="1">HLOOKUP(O75,'Datos SS'!$B$4:$CZZ$16,(Q75+1),0)</f>
        <v>172.97190023071641</v>
      </c>
      <c r="T75" s="815">
        <f ca="1">IF(O75=YEAR($B$5),($B$9/12),IF(O75&gt;MIN(YEAR($B$7),YEAR($B$5)),($B$9/12)*(1+HLOOKUP(O75,'Datos SS'!$B$31:$CZZ$32,2,0))^(O75-YEAR($B$5)),T63/(1+HLOOKUP(O75,'Datos SS'!$B$31:$CZZ$32,2,0))))</f>
        <v>25904.520051185711</v>
      </c>
      <c r="U75" s="7">
        <f ca="1">IF(O75=2018,IF(Q75&lt;8,HLOOKUP(O75,'Datos SS'!$B$25:$BZZ$27,3,0)/12,HLOOKUP(O75,'Datos SS'!$B$25:$BZZ$26,2,0)/12),HLOOKUP(O75,'Datos SS'!$B$25:$BZZ$26,2,0)/12)</f>
        <v>6144.9625661623295</v>
      </c>
      <c r="V75" s="165">
        <f t="shared" ca="1" si="17"/>
        <v>6144.9625661623295</v>
      </c>
      <c r="W75" s="7">
        <f t="shared" ca="1" si="15"/>
        <v>6755.0317131884649</v>
      </c>
      <c r="X75" s="149">
        <f ca="1">HLOOKUP(O75,'Datos SS'!$K$37:$EP$38,2,0)</f>
        <v>1597.6991742359303</v>
      </c>
      <c r="Y75">
        <f t="shared" ca="1" si="21"/>
        <v>1664</v>
      </c>
      <c r="AC75" s="648">
        <v>2181.5269218205699</v>
      </c>
      <c r="AD75" s="650">
        <f t="shared" ca="1" si="18"/>
        <v>-4573.5047913678955</v>
      </c>
    </row>
    <row r="76" spans="1:30">
      <c r="A76" s="809" t="s">
        <v>627</v>
      </c>
      <c r="B76" s="817">
        <f ca="1">+MIN(B45,B46*B48)*14</f>
        <v>49994.959319989473</v>
      </c>
      <c r="L76" s="4">
        <v>72</v>
      </c>
      <c r="M76" s="4">
        <f t="shared" ca="1" si="16"/>
        <v>0</v>
      </c>
      <c r="O76" s="4">
        <f t="shared" ca="1" si="19"/>
        <v>2038</v>
      </c>
      <c r="P76" s="4">
        <v>72</v>
      </c>
      <c r="Q76" s="4">
        <f t="shared" ca="1" si="20"/>
        <v>7</v>
      </c>
      <c r="S76" s="125">
        <f ca="1">HLOOKUP(O76,'Datos SS'!$B$4:$CZZ$16,(Q76+1),0)</f>
        <v>172.61633883521617</v>
      </c>
      <c r="T76" s="815">
        <f ca="1">IF(O76=YEAR($B$5),($B$9/12),IF(O76&gt;MIN(YEAR($B$7),YEAR($B$5)),($B$9/12)*(1+HLOOKUP(O76,'Datos SS'!$B$31:$CZZ$32,2,0))^(O76-YEAR($B$5)),T64/(1+HLOOKUP(O76,'Datos SS'!$B$31:$CZZ$32,2,0))))</f>
        <v>25904.520051185711</v>
      </c>
      <c r="U76" s="7">
        <f ca="1">IF(O76=2018,IF(Q76&lt;8,HLOOKUP(O76,'Datos SS'!$B$25:$BZZ$27,3,0)/12,HLOOKUP(O76,'Datos SS'!$B$25:$BZZ$26,2,0)/12),HLOOKUP(O76,'Datos SS'!$B$25:$BZZ$26,2,0)/12)</f>
        <v>6144.9625661623295</v>
      </c>
      <c r="V76" s="165">
        <f t="shared" ca="1" si="17"/>
        <v>6144.9625661623295</v>
      </c>
      <c r="W76" s="7">
        <f t="shared" ca="1" si="15"/>
        <v>6768.9459725152283</v>
      </c>
      <c r="X76" s="149">
        <f ca="1">HLOOKUP(O76,'Datos SS'!$K$37:$EP$38,2,0)</f>
        <v>1597.6991742359303</v>
      </c>
      <c r="Y76">
        <f t="shared" ca="1" si="21"/>
        <v>1663</v>
      </c>
      <c r="AC76" s="648">
        <v>2183.3365815496923</v>
      </c>
      <c r="AD76" s="650">
        <f t="shared" ca="1" si="18"/>
        <v>-4585.6093909655356</v>
      </c>
    </row>
    <row r="77" spans="1:30">
      <c r="A77" s="809" t="s">
        <v>628</v>
      </c>
      <c r="B77" s="817">
        <f ca="1">+IF(B75&lt;44.5,800*(B76/500)^(1/1.65),880*(B76/500)^(1/1.65))</f>
        <v>13037.210049998854</v>
      </c>
      <c r="L77" s="4">
        <v>73</v>
      </c>
      <c r="M77" s="4">
        <f t="shared" ca="1" si="16"/>
        <v>0</v>
      </c>
      <c r="O77" s="4">
        <f t="shared" ca="1" si="19"/>
        <v>2038</v>
      </c>
      <c r="P77" s="4">
        <v>73</v>
      </c>
      <c r="Q77" s="4">
        <f t="shared" ca="1" si="20"/>
        <v>6</v>
      </c>
      <c r="S77" s="125">
        <f ca="1">HLOOKUP(O77,'Datos SS'!$B$4:$CZZ$16,(Q77+1),0)</f>
        <v>172.26150833245515</v>
      </c>
      <c r="T77" s="815">
        <f ca="1">IF(O77=YEAR($B$5),($B$9/12),IF(O77&gt;MIN(YEAR($B$7),YEAR($B$5)),($B$9/12)*(1+HLOOKUP(O77,'Datos SS'!$B$31:$CZZ$32,2,0))^(O77-YEAR($B$5)),T65/(1+HLOOKUP(O77,'Datos SS'!$B$31:$CZZ$32,2,0))))</f>
        <v>25904.520051185711</v>
      </c>
      <c r="U77" s="7">
        <f ca="1">IF(O77=2018,IF(Q77&lt;8,HLOOKUP(O77,'Datos SS'!$B$25:$BZZ$27,3,0)/12,HLOOKUP(O77,'Datos SS'!$B$25:$BZZ$26,2,0)/12),HLOOKUP(O77,'Datos SS'!$B$25:$BZZ$26,2,0)/12)</f>
        <v>6144.9625661623295</v>
      </c>
      <c r="V77" s="165">
        <f t="shared" ca="1" si="17"/>
        <v>6144.9625661623295</v>
      </c>
      <c r="W77" s="7">
        <f t="shared" ca="1" si="15"/>
        <v>6782.8888929380219</v>
      </c>
      <c r="X77" s="149">
        <f ca="1">HLOOKUP(O77,'Datos SS'!$K$37:$EP$38,2,0)</f>
        <v>1597.6991742359303</v>
      </c>
      <c r="Y77">
        <f t="shared" ca="1" si="21"/>
        <v>1662</v>
      </c>
      <c r="AC77" s="648">
        <v>2185.1477424605341</v>
      </c>
      <c r="AD77" s="650">
        <f t="shared" ca="1" si="18"/>
        <v>-4597.7411504774882</v>
      </c>
    </row>
    <row r="78" spans="1:30">
      <c r="A78" s="809" t="s">
        <v>629</v>
      </c>
      <c r="B78" s="818">
        <f ca="1">+B77*'Simulador - 1º Pilar'!$H$93</f>
        <v>39111.630149996563</v>
      </c>
      <c r="L78" s="4">
        <v>74</v>
      </c>
      <c r="M78" s="4">
        <f t="shared" ca="1" si="16"/>
        <v>0</v>
      </c>
      <c r="O78" s="4">
        <f t="shared" ca="1" si="19"/>
        <v>2038</v>
      </c>
      <c r="P78" s="4">
        <v>74</v>
      </c>
      <c r="Q78" s="4">
        <f t="shared" ca="1" si="20"/>
        <v>5</v>
      </c>
      <c r="S78" s="125">
        <f ca="1">HLOOKUP(O78,'Datos SS'!$B$4:$CZZ$16,(Q78+1),0)</f>
        <v>171.90740722000876</v>
      </c>
      <c r="T78" s="815">
        <f ca="1">IF(O78=YEAR($B$5),($B$9/12),IF(O78&gt;MIN(YEAR($B$7),YEAR($B$5)),($B$9/12)*(1+HLOOKUP(O78,'Datos SS'!$B$31:$CZZ$32,2,0))^(O78-YEAR($B$5)),T66/(1+HLOOKUP(O78,'Datos SS'!$B$31:$CZZ$32,2,0))))</f>
        <v>25904.520051185711</v>
      </c>
      <c r="U78" s="7">
        <f ca="1">IF(O78=2018,IF(Q78&lt;8,HLOOKUP(O78,'Datos SS'!$B$25:$BZZ$27,3,0)/12,HLOOKUP(O78,'Datos SS'!$B$25:$BZZ$26,2,0)/12),HLOOKUP(O78,'Datos SS'!$B$25:$BZZ$26,2,0)/12)</f>
        <v>6144.9625661623295</v>
      </c>
      <c r="V78" s="165">
        <f t="shared" ca="1" si="17"/>
        <v>6144.9625661623295</v>
      </c>
      <c r="W78" s="7">
        <f t="shared" ca="1" si="15"/>
        <v>6796.8605334940085</v>
      </c>
      <c r="X78" s="149">
        <f ca="1">HLOOKUP(O78,'Datos SS'!$K$37:$EP$38,2,0)</f>
        <v>1597.6991742359303</v>
      </c>
      <c r="Y78">
        <f t="shared" ca="1" si="21"/>
        <v>1661</v>
      </c>
      <c r="AC78" s="648">
        <v>2186.9604057983825</v>
      </c>
      <c r="AD78" s="650">
        <f t="shared" ca="1" si="18"/>
        <v>-4609.900127695626</v>
      </c>
    </row>
    <row r="79" spans="1:30">
      <c r="L79" s="4">
        <v>75</v>
      </c>
      <c r="M79" s="4">
        <f t="shared" ca="1" si="16"/>
        <v>0</v>
      </c>
      <c r="O79" s="4">
        <f t="shared" ca="1" si="19"/>
        <v>2038</v>
      </c>
      <c r="P79" s="4">
        <v>75</v>
      </c>
      <c r="Q79" s="4">
        <f t="shared" ca="1" si="20"/>
        <v>4</v>
      </c>
      <c r="S79" s="125">
        <f ca="1">HLOOKUP(O79,'Datos SS'!$B$4:$CZZ$16,(Q79+1),0)</f>
        <v>171.55403399854075</v>
      </c>
      <c r="T79" s="815">
        <f ca="1">IF(O79=YEAR($B$5),($B$9/12),IF(O79&gt;MIN(YEAR($B$7),YEAR($B$5)),($B$9/12)*(1+HLOOKUP(O79,'Datos SS'!$B$31:$CZZ$32,2,0))^(O79-YEAR($B$5)),T67/(1+HLOOKUP(O79,'Datos SS'!$B$31:$CZZ$32,2,0))))</f>
        <v>25904.520051185711</v>
      </c>
      <c r="U79" s="7">
        <f ca="1">IF(O79=2018,IF(Q79&lt;8,HLOOKUP(O79,'Datos SS'!$B$25:$BZZ$27,3,0)/12,HLOOKUP(O79,'Datos SS'!$B$25:$BZZ$26,2,0)/12),HLOOKUP(O79,'Datos SS'!$B$25:$BZZ$26,2,0)/12)</f>
        <v>6144.9625661623295</v>
      </c>
      <c r="V79" s="165">
        <f t="shared" ca="1" si="17"/>
        <v>6144.9625661623295</v>
      </c>
      <c r="W79" s="7">
        <f t="shared" ca="1" si="15"/>
        <v>6810.8609533419612</v>
      </c>
      <c r="X79" s="149">
        <f ca="1">HLOOKUP(O79,'Datos SS'!$K$37:$EP$38,2,0)</f>
        <v>1597.6991742359303</v>
      </c>
      <c r="Y79">
        <f t="shared" ca="1" si="21"/>
        <v>1660</v>
      </c>
      <c r="AC79" s="648">
        <v>2188.7745728095583</v>
      </c>
      <c r="AD79" s="650">
        <f t="shared" ca="1" si="18"/>
        <v>-4622.0863805324025</v>
      </c>
    </row>
    <row r="80" spans="1:30">
      <c r="L80" s="4">
        <v>76</v>
      </c>
      <c r="M80" s="4">
        <f t="shared" ca="1" si="16"/>
        <v>0</v>
      </c>
      <c r="O80" s="4">
        <f t="shared" ca="1" si="19"/>
        <v>2038</v>
      </c>
      <c r="P80" s="4">
        <v>76</v>
      </c>
      <c r="Q80" s="4">
        <f t="shared" ca="1" si="20"/>
        <v>3</v>
      </c>
      <c r="S80" s="125">
        <f ca="1">HLOOKUP(O80,'Datos SS'!$B$4:$CZZ$16,(Q80+1),0)</f>
        <v>171.20138717179688</v>
      </c>
      <c r="T80" s="815">
        <f ca="1">IF(O80=YEAR($B$5),($B$9/12),IF(O80&gt;MIN(YEAR($B$7),YEAR($B$5)),($B$9/12)*(1+HLOOKUP(O80,'Datos SS'!$B$31:$CZZ$32,2,0))^(O80-YEAR($B$5)),T68/(1+HLOOKUP(O80,'Datos SS'!$B$31:$CZZ$32,2,0))))</f>
        <v>25904.520051185711</v>
      </c>
      <c r="U80" s="7">
        <f ca="1">IF(O80=2018,IF(Q80&lt;8,HLOOKUP(O80,'Datos SS'!$B$25:$BZZ$27,3,0)/12,HLOOKUP(O80,'Datos SS'!$B$25:$BZZ$26,2,0)/12),HLOOKUP(O80,'Datos SS'!$B$25:$BZZ$26,2,0)/12)</f>
        <v>6144.9625661623295</v>
      </c>
      <c r="V80" s="165">
        <f t="shared" ca="1" si="17"/>
        <v>6144.9625661623295</v>
      </c>
      <c r="W80" s="7">
        <f t="shared" ca="1" si="15"/>
        <v>6824.8902117625112</v>
      </c>
      <c r="X80" s="149">
        <f ca="1">HLOOKUP(O80,'Datos SS'!$K$37:$EP$38,2,0)</f>
        <v>1597.6991742359303</v>
      </c>
      <c r="Y80">
        <f t="shared" ca="1" si="21"/>
        <v>1659</v>
      </c>
      <c r="AC80" s="648">
        <v>2190.5902447414155</v>
      </c>
      <c r="AD80" s="650">
        <f t="shared" ca="1" si="18"/>
        <v>-4634.2999670210957</v>
      </c>
    </row>
    <row r="81" spans="12:30">
      <c r="L81" s="4">
        <v>77</v>
      </c>
      <c r="M81" s="4">
        <f t="shared" ca="1" si="16"/>
        <v>0</v>
      </c>
      <c r="O81" s="4">
        <f t="shared" ca="1" si="19"/>
        <v>2038</v>
      </c>
      <c r="P81" s="4">
        <v>77</v>
      </c>
      <c r="Q81" s="4">
        <f t="shared" ca="1" si="20"/>
        <v>2</v>
      </c>
      <c r="S81" s="125">
        <f ca="1">HLOOKUP(O81,'Datos SS'!$B$4:$CZZ$16,(Q81+1),0)</f>
        <v>170.8494652465987</v>
      </c>
      <c r="T81" s="815">
        <f ca="1">IF(O81=YEAR($B$5),($B$9/12),IF(O81&gt;MIN(YEAR($B$7),YEAR($B$5)),($B$9/12)*(1+HLOOKUP(O81,'Datos SS'!$B$31:$CZZ$32,2,0))^(O81-YEAR($B$5)),T69/(1+HLOOKUP(O81,'Datos SS'!$B$31:$CZZ$32,2,0))))</f>
        <v>25904.520051185711</v>
      </c>
      <c r="U81" s="7">
        <f ca="1">IF(O81=2018,IF(Q81&lt;8,HLOOKUP(O81,'Datos SS'!$B$25:$BZZ$27,3,0)/12,HLOOKUP(O81,'Datos SS'!$B$25:$BZZ$26,2,0)/12),HLOOKUP(O81,'Datos SS'!$B$25:$BZZ$26,2,0)/12)</f>
        <v>6144.9625661623295</v>
      </c>
      <c r="V81" s="165">
        <f t="shared" ca="1" si="17"/>
        <v>6144.9625661623295</v>
      </c>
      <c r="W81" s="7">
        <f t="shared" ca="1" si="15"/>
        <v>6838.9483681583943</v>
      </c>
      <c r="X81" s="149">
        <f ca="1">HLOOKUP(O81,'Datos SS'!$K$37:$EP$38,2,0)</f>
        <v>1597.6991742359303</v>
      </c>
      <c r="Y81">
        <f t="shared" ca="1" si="21"/>
        <v>1658</v>
      </c>
      <c r="AC81" s="648">
        <v>2192.4074228423433</v>
      </c>
      <c r="AD81" s="650">
        <f t="shared" ca="1" si="18"/>
        <v>-4646.540945316051</v>
      </c>
    </row>
    <row r="82" spans="12:30">
      <c r="L82" s="4">
        <v>78</v>
      </c>
      <c r="M82" s="4">
        <f t="shared" ca="1" si="16"/>
        <v>0</v>
      </c>
      <c r="O82" s="4">
        <f t="shared" ca="1" si="19"/>
        <v>2038</v>
      </c>
      <c r="P82" s="4">
        <v>78</v>
      </c>
      <c r="Q82" s="4">
        <f t="shared" ca="1" si="20"/>
        <v>1</v>
      </c>
      <c r="S82" s="125">
        <f ca="1">HLOOKUP(O82,'Datos SS'!$B$4:$CZZ$16,(Q82+1),0)</f>
        <v>170.49826673283707</v>
      </c>
      <c r="T82" s="815">
        <f ca="1">IF(O82=YEAR($B$5),($B$9/12),IF(O82&gt;MIN(YEAR($B$7),YEAR($B$5)),($B$9/12)*(1+HLOOKUP(O82,'Datos SS'!$B$31:$CZZ$32,2,0))^(O82-YEAR($B$5)),T70/(1+HLOOKUP(O82,'Datos SS'!$B$31:$CZZ$32,2,0))))</f>
        <v>25904.520051185711</v>
      </c>
      <c r="U82" s="7">
        <f ca="1">IF(O82=2018,IF(Q82&lt;8,HLOOKUP(O82,'Datos SS'!$B$25:$BZZ$27,3,0)/12,HLOOKUP(O82,'Datos SS'!$B$25:$BZZ$26,2,0)/12),HLOOKUP(O82,'Datos SS'!$B$25:$BZZ$26,2,0)/12)</f>
        <v>6144.9625661623295</v>
      </c>
      <c r="V82" s="165">
        <f t="shared" ca="1" si="17"/>
        <v>6144.9625661623295</v>
      </c>
      <c r="W82" s="7">
        <f t="shared" ca="1" si="15"/>
        <v>6853.0354820547091</v>
      </c>
      <c r="X82" s="149">
        <f ca="1">HLOOKUP(O82,'Datos SS'!$K$37:$EP$38,2,0)</f>
        <v>1597.6991742359303</v>
      </c>
      <c r="Y82">
        <f t="shared" ca="1" si="21"/>
        <v>1657</v>
      </c>
      <c r="AC82" s="648">
        <v>2194.2261083617668</v>
      </c>
      <c r="AD82" s="650">
        <f t="shared" ca="1" si="18"/>
        <v>-4658.8093736929422</v>
      </c>
    </row>
    <row r="83" spans="12:30">
      <c r="L83" s="4">
        <v>79</v>
      </c>
      <c r="M83" s="4">
        <f t="shared" ca="1" si="16"/>
        <v>0</v>
      </c>
      <c r="O83" s="4">
        <f t="shared" ca="1" si="19"/>
        <v>2037</v>
      </c>
      <c r="P83" s="4">
        <v>79</v>
      </c>
      <c r="Q83" s="4">
        <f t="shared" ca="1" si="20"/>
        <v>12</v>
      </c>
      <c r="S83" s="125">
        <f ca="1">HLOOKUP(O83,'Datos SS'!$B$4:$CZZ$16,(Q83+1),0)</f>
        <v>170.14779014346595</v>
      </c>
      <c r="T83" s="815">
        <f ca="1">IF(O83=YEAR($B$5),($B$9/12),IF(O83&gt;MIN(YEAR($B$7),YEAR($B$5)),($B$9/12)*(1+HLOOKUP(O83,'Datos SS'!$B$31:$CZZ$32,2,0))^(O83-YEAR($B$5)),T71/(1+HLOOKUP(O83,'Datos SS'!$B$31:$CZZ$32,2,0))))</f>
        <v>25272.702488961673</v>
      </c>
      <c r="U83" s="7">
        <f ca="1">IF(O83=2018,IF(Q83&lt;8,HLOOKUP(O83,'Datos SS'!$B$25:$BZZ$27,3,0)/12,HLOOKUP(O83,'Datos SS'!$B$25:$BZZ$26,2,0)/12),HLOOKUP(O83,'Datos SS'!$B$25:$BZZ$26,2,0)/12)</f>
        <v>5995.0854304022732</v>
      </c>
      <c r="V83" s="165">
        <f t="shared" ca="1" si="17"/>
        <v>5995.0854304022732</v>
      </c>
      <c r="W83" s="7">
        <f t="shared" ca="1" si="15"/>
        <v>6699.6601103406501</v>
      </c>
      <c r="X83" s="149">
        <f ca="1">HLOOKUP(O83,'Datos SS'!$K$37:$EP$38,2,0)</f>
        <v>1558.7309016935906</v>
      </c>
      <c r="Y83">
        <f t="shared" ca="1" si="21"/>
        <v>1656</v>
      </c>
      <c r="AC83" s="648">
        <v>2196.0463025501463</v>
      </c>
      <c r="AD83" s="650">
        <f t="shared" ca="1" si="18"/>
        <v>-4503.6138077905034</v>
      </c>
    </row>
    <row r="84" spans="12:30">
      <c r="L84" s="4">
        <v>80</v>
      </c>
      <c r="M84" s="4">
        <f t="shared" ca="1" si="16"/>
        <v>0</v>
      </c>
      <c r="O84" s="4">
        <f t="shared" ca="1" si="19"/>
        <v>2037</v>
      </c>
      <c r="P84" s="4">
        <v>80</v>
      </c>
      <c r="Q84" s="4">
        <f t="shared" ca="1" si="20"/>
        <v>11</v>
      </c>
      <c r="S84" s="125">
        <f ca="1">HLOOKUP(O84,'Datos SS'!$B$4:$CZZ$16,(Q84+1),0)</f>
        <v>169.79803399449611</v>
      </c>
      <c r="T84" s="815">
        <f ca="1">IF(O84=YEAR($B$5),($B$9/12),IF(O84&gt;MIN(YEAR($B$7),YEAR($B$5)),($B$9/12)*(1+HLOOKUP(O84,'Datos SS'!$B$31:$CZZ$32,2,0))^(O84-YEAR($B$5)),T72/(1+HLOOKUP(O84,'Datos SS'!$B$31:$CZZ$32,2,0))))</f>
        <v>25272.702488961673</v>
      </c>
      <c r="U84" s="7">
        <f ca="1">IF(O84=2018,IF(Q84&lt;8,HLOOKUP(O84,'Datos SS'!$B$25:$BZZ$27,3,0)/12,HLOOKUP(O84,'Datos SS'!$B$25:$BZZ$26,2,0)/12),HLOOKUP(O84,'Datos SS'!$B$25:$BZZ$26,2,0)/12)</f>
        <v>5995.0854304022732</v>
      </c>
      <c r="V84" s="165">
        <f t="shared" ca="1" si="17"/>
        <v>5995.0854304022732</v>
      </c>
      <c r="W84" s="7">
        <f t="shared" ca="1" si="15"/>
        <v>6713.4603132315478</v>
      </c>
      <c r="X84" s="149">
        <f ca="1">HLOOKUP(O84,'Datos SS'!$K$37:$EP$38,2,0)</f>
        <v>1558.7309016935906</v>
      </c>
      <c r="Y84">
        <f t="shared" ca="1" si="21"/>
        <v>1655</v>
      </c>
      <c r="AC84" s="648">
        <v>2197.8680066589804</v>
      </c>
      <c r="AD84" s="650">
        <f t="shared" ca="1" si="18"/>
        <v>-4515.5923065725674</v>
      </c>
    </row>
    <row r="85" spans="12:30">
      <c r="L85" s="4">
        <v>81</v>
      </c>
      <c r="M85" s="4">
        <f t="shared" ca="1" si="16"/>
        <v>0</v>
      </c>
      <c r="O85" s="4">
        <f t="shared" ca="1" si="19"/>
        <v>2037</v>
      </c>
      <c r="P85" s="4">
        <v>81</v>
      </c>
      <c r="Q85" s="4">
        <f t="shared" ca="1" si="20"/>
        <v>10</v>
      </c>
      <c r="S85" s="125">
        <f ca="1">HLOOKUP(O85,'Datos SS'!$B$4:$CZZ$16,(Q85+1),0)</f>
        <v>169.44899680498872</v>
      </c>
      <c r="T85" s="815">
        <f ca="1">IF(O85=YEAR($B$5),($B$9/12),IF(O85&gt;MIN(YEAR($B$7),YEAR($B$5)),($B$9/12)*(1+HLOOKUP(O85,'Datos SS'!$B$31:$CZZ$32,2,0))^(O85-YEAR($B$5)),T73/(1+HLOOKUP(O85,'Datos SS'!$B$31:$CZZ$32,2,0))))</f>
        <v>25272.702488961673</v>
      </c>
      <c r="U85" s="7">
        <f ca="1">IF(O85=2018,IF(Q85&lt;8,HLOOKUP(O85,'Datos SS'!$B$25:$BZZ$27,3,0)/12,HLOOKUP(O85,'Datos SS'!$B$25:$BZZ$26,2,0)/12),HLOOKUP(O85,'Datos SS'!$B$25:$BZZ$26,2,0)/12)</f>
        <v>5995.0854304022732</v>
      </c>
      <c r="V85" s="165">
        <f t="shared" ca="1" si="17"/>
        <v>5995.0854304022732</v>
      </c>
      <c r="W85" s="7">
        <f t="shared" ca="1" si="15"/>
        <v>6727.2889422808921</v>
      </c>
      <c r="X85" s="149">
        <f ca="1">HLOOKUP(O85,'Datos SS'!$K$37:$EP$38,2,0)</f>
        <v>1558.7309016935906</v>
      </c>
      <c r="Y85">
        <f t="shared" ca="1" si="21"/>
        <v>1654</v>
      </c>
      <c r="AC85" s="648">
        <v>2199.6912219408059</v>
      </c>
      <c r="AD85" s="650">
        <f t="shared" ca="1" si="18"/>
        <v>-4527.5977203400862</v>
      </c>
    </row>
    <row r="86" spans="12:30">
      <c r="L86" s="4">
        <v>82</v>
      </c>
      <c r="M86" s="4">
        <f t="shared" ca="1" si="16"/>
        <v>0</v>
      </c>
      <c r="O86" s="4">
        <f t="shared" ca="1" si="19"/>
        <v>2037</v>
      </c>
      <c r="P86" s="4">
        <v>82</v>
      </c>
      <c r="Q86" s="4">
        <f t="shared" ca="1" si="20"/>
        <v>9</v>
      </c>
      <c r="S86" s="125">
        <f ca="1">HLOOKUP(O86,'Datos SS'!$B$4:$CZZ$16,(Q86+1),0)</f>
        <v>169.10067709704924</v>
      </c>
      <c r="T86" s="815">
        <f ca="1">IF(O86=YEAR($B$5),($B$9/12),IF(O86&gt;MIN(YEAR($B$7),YEAR($B$5)),($B$9/12)*(1+HLOOKUP(O86,'Datos SS'!$B$31:$CZZ$32,2,0))^(O86-YEAR($B$5)),T74/(1+HLOOKUP(O86,'Datos SS'!$B$31:$CZZ$32,2,0))))</f>
        <v>25272.702488961673</v>
      </c>
      <c r="U86" s="7">
        <f ca="1">IF(O86=2018,IF(Q86&lt;8,HLOOKUP(O86,'Datos SS'!$B$25:$BZZ$27,3,0)/12,HLOOKUP(O86,'Datos SS'!$B$25:$BZZ$26,2,0)/12),HLOOKUP(O86,'Datos SS'!$B$25:$BZZ$26,2,0)/12)</f>
        <v>5995.0854304022732</v>
      </c>
      <c r="V86" s="165">
        <f t="shared" ca="1" si="17"/>
        <v>5995.0854304022732</v>
      </c>
      <c r="W86" s="7">
        <f t="shared" ca="1" si="15"/>
        <v>6741.1460560419146</v>
      </c>
      <c r="X86" s="149">
        <f ca="1">HLOOKUP(O86,'Datos SS'!$K$37:$EP$38,2,0)</f>
        <v>1558.7309016935906</v>
      </c>
      <c r="Y86">
        <f t="shared" ca="1" si="21"/>
        <v>1653</v>
      </c>
      <c r="AC86" s="648">
        <v>2158.3489702443121</v>
      </c>
      <c r="AD86" s="650">
        <f t="shared" ca="1" si="18"/>
        <v>-4582.7970857976024</v>
      </c>
    </row>
    <row r="87" spans="12:30">
      <c r="L87" s="4">
        <v>83</v>
      </c>
      <c r="M87" s="4">
        <f t="shared" ca="1" si="16"/>
        <v>0</v>
      </c>
      <c r="O87" s="4">
        <f t="shared" ca="1" si="19"/>
        <v>2037</v>
      </c>
      <c r="P87" s="4">
        <v>83</v>
      </c>
      <c r="Q87" s="4">
        <f t="shared" ca="1" si="20"/>
        <v>8</v>
      </c>
      <c r="S87" s="125">
        <f ca="1">HLOOKUP(O87,'Datos SS'!$B$4:$CZZ$16,(Q87+1),0)</f>
        <v>168.7530733958211</v>
      </c>
      <c r="T87" s="815">
        <f ca="1">IF(O87=YEAR($B$5),($B$9/12),IF(O87&gt;MIN(YEAR($B$7),YEAR($B$5)),($B$9/12)*(1+HLOOKUP(O87,'Datos SS'!$B$31:$CZZ$32,2,0))^(O87-YEAR($B$5)),T75/(1+HLOOKUP(O87,'Datos SS'!$B$31:$CZZ$32,2,0))))</f>
        <v>25272.702488961673</v>
      </c>
      <c r="U87" s="7">
        <f ca="1">IF(O87=2018,IF(Q87&lt;8,HLOOKUP(O87,'Datos SS'!$B$25:$BZZ$27,3,0)/12,HLOOKUP(O87,'Datos SS'!$B$25:$BZZ$26,2,0)/12),HLOOKUP(O87,'Datos SS'!$B$25:$BZZ$26,2,0)/12)</f>
        <v>5995.0854304022732</v>
      </c>
      <c r="V87" s="165">
        <f t="shared" ca="1" si="17"/>
        <v>5995.0854304022732</v>
      </c>
      <c r="W87" s="7">
        <f t="shared" ca="1" si="15"/>
        <v>6755.0317131884567</v>
      </c>
      <c r="X87" s="149">
        <f ca="1">HLOOKUP(O87,'Datos SS'!$K$37:$EP$38,2,0)</f>
        <v>1558.7309016935906</v>
      </c>
      <c r="Y87">
        <f t="shared" ca="1" si="21"/>
        <v>1652</v>
      </c>
      <c r="AC87" s="648">
        <v>2160.1394029791895</v>
      </c>
      <c r="AD87" s="650">
        <f t="shared" ca="1" si="18"/>
        <v>-4594.8923102092667</v>
      </c>
    </row>
    <row r="88" spans="12:30">
      <c r="L88" s="4">
        <v>84</v>
      </c>
      <c r="M88" s="4">
        <f t="shared" ca="1" si="16"/>
        <v>0</v>
      </c>
      <c r="O88" s="4">
        <f t="shared" ca="1" si="19"/>
        <v>2037</v>
      </c>
      <c r="P88" s="4">
        <v>84</v>
      </c>
      <c r="Q88" s="4">
        <f t="shared" ca="1" si="20"/>
        <v>7</v>
      </c>
      <c r="S88" s="125">
        <f ca="1">HLOOKUP(O88,'Datos SS'!$B$4:$CZZ$16,(Q88+1),0)</f>
        <v>168.40618422947941</v>
      </c>
      <c r="T88" s="815">
        <f ca="1">IF(O88=YEAR($B$5),($B$9/12),IF(O88&gt;MIN(YEAR($B$7),YEAR($B$5)),($B$9/12)*(1+HLOOKUP(O88,'Datos SS'!$B$31:$CZZ$32,2,0))^(O88-YEAR($B$5)),T76/(1+HLOOKUP(O88,'Datos SS'!$B$31:$CZZ$32,2,0))))</f>
        <v>25272.702488961673</v>
      </c>
      <c r="U88" s="7">
        <f ca="1">IF(O88=2018,IF(Q88&lt;8,HLOOKUP(O88,'Datos SS'!$B$25:$BZZ$27,3,0)/12,HLOOKUP(O88,'Datos SS'!$B$25:$BZZ$26,2,0)/12),HLOOKUP(O88,'Datos SS'!$B$25:$BZZ$26,2,0)/12)</f>
        <v>5995.0854304022732</v>
      </c>
      <c r="V88" s="165">
        <f t="shared" ca="1" si="17"/>
        <v>5995.0854304022732</v>
      </c>
      <c r="W88" s="7">
        <f t="shared" ca="1" si="15"/>
        <v>6768.9459725152201</v>
      </c>
      <c r="X88" s="149">
        <f ca="1">HLOOKUP(O88,'Datos SS'!$K$37:$EP$38,2,0)</f>
        <v>1558.7309016935906</v>
      </c>
      <c r="Y88">
        <f t="shared" ca="1" si="21"/>
        <v>1651</v>
      </c>
      <c r="AC88" s="648">
        <v>2161.9313209462616</v>
      </c>
      <c r="AD88" s="650">
        <f t="shared" ca="1" si="18"/>
        <v>-4607.0146515689585</v>
      </c>
    </row>
    <row r="89" spans="12:30">
      <c r="L89" s="4">
        <v>85</v>
      </c>
      <c r="M89" s="4">
        <f t="shared" ca="1" si="16"/>
        <v>0</v>
      </c>
      <c r="O89" s="4">
        <f t="shared" ca="1" si="19"/>
        <v>2037</v>
      </c>
      <c r="P89" s="4">
        <v>85</v>
      </c>
      <c r="Q89" s="4">
        <f t="shared" ca="1" si="20"/>
        <v>6</v>
      </c>
      <c r="S89" s="125">
        <f ca="1">HLOOKUP(O89,'Datos SS'!$B$4:$CZZ$16,(Q89+1),0)</f>
        <v>168.06000812922477</v>
      </c>
      <c r="T89" s="815">
        <f ca="1">IF(O89=YEAR($B$5),($B$9/12),IF(O89&gt;MIN(YEAR($B$7),YEAR($B$5)),($B$9/12)*(1+HLOOKUP(O89,'Datos SS'!$B$31:$CZZ$32,2,0))^(O89-YEAR($B$5)),T77/(1+HLOOKUP(O89,'Datos SS'!$B$31:$CZZ$32,2,0))))</f>
        <v>25272.702488961673</v>
      </c>
      <c r="U89" s="7">
        <f ca="1">IF(O89=2018,IF(Q89&lt;8,HLOOKUP(O89,'Datos SS'!$B$25:$BZZ$27,3,0)/12,HLOOKUP(O89,'Datos SS'!$B$25:$BZZ$26,2,0)/12),HLOOKUP(O89,'Datos SS'!$B$25:$BZZ$26,2,0)/12)</f>
        <v>5995.0854304022732</v>
      </c>
      <c r="V89" s="165">
        <f t="shared" ca="1" si="17"/>
        <v>5995.0854304022732</v>
      </c>
      <c r="W89" s="7">
        <f t="shared" ca="1" si="15"/>
        <v>6782.8888929380128</v>
      </c>
      <c r="X89" s="149">
        <f ca="1">HLOOKUP(O89,'Datos SS'!$K$37:$EP$38,2,0)</f>
        <v>1558.7309016935906</v>
      </c>
      <c r="Y89">
        <f t="shared" ca="1" si="21"/>
        <v>1650</v>
      </c>
      <c r="AC89" s="648">
        <v>2163.7247253775854</v>
      </c>
      <c r="AD89" s="650">
        <f t="shared" ca="1" si="18"/>
        <v>-4619.1641675604278</v>
      </c>
    </row>
    <row r="90" spans="12:30">
      <c r="L90" s="4">
        <v>86</v>
      </c>
      <c r="M90" s="4">
        <f t="shared" ca="1" si="16"/>
        <v>0</v>
      </c>
      <c r="O90" s="4">
        <f t="shared" ca="1" si="19"/>
        <v>2037</v>
      </c>
      <c r="P90" s="4">
        <v>86</v>
      </c>
      <c r="Q90" s="4">
        <f t="shared" ca="1" si="20"/>
        <v>5</v>
      </c>
      <c r="S90" s="125">
        <f ca="1">HLOOKUP(O90,'Datos SS'!$B$4:$CZZ$16,(Q90+1),0)</f>
        <v>167.71454362927707</v>
      </c>
      <c r="T90" s="815">
        <f ca="1">IF(O90=YEAR($B$5),($B$9/12),IF(O90&gt;MIN(YEAR($B$7),YEAR($B$5)),($B$9/12)*(1+HLOOKUP(O90,'Datos SS'!$B$31:$CZZ$32,2,0))^(O90-YEAR($B$5)),T78/(1+HLOOKUP(O90,'Datos SS'!$B$31:$CZZ$32,2,0))))</f>
        <v>25272.702488961673</v>
      </c>
      <c r="U90" s="7">
        <f ca="1">IF(O90=2018,IF(Q90&lt;8,HLOOKUP(O90,'Datos SS'!$B$25:$BZZ$27,3,0)/12,HLOOKUP(O90,'Datos SS'!$B$25:$BZZ$26,2,0)/12),HLOOKUP(O90,'Datos SS'!$B$25:$BZZ$26,2,0)/12)</f>
        <v>5995.0854304022732</v>
      </c>
      <c r="V90" s="165">
        <f t="shared" ca="1" si="17"/>
        <v>5995.0854304022732</v>
      </c>
      <c r="W90" s="7">
        <f t="shared" ca="1" si="15"/>
        <v>6796.8605334939994</v>
      </c>
      <c r="X90" s="149">
        <f ca="1">HLOOKUP(O90,'Datos SS'!$K$37:$EP$38,2,0)</f>
        <v>1558.7309016935906</v>
      </c>
      <c r="Y90">
        <f t="shared" ca="1" si="21"/>
        <v>1649</v>
      </c>
      <c r="AC90" s="648">
        <v>2165.5196175062397</v>
      </c>
      <c r="AD90" s="650">
        <f t="shared" ca="1" si="18"/>
        <v>-4631.3409159877592</v>
      </c>
    </row>
    <row r="91" spans="12:30">
      <c r="L91" s="4">
        <v>87</v>
      </c>
      <c r="M91" s="4">
        <f t="shared" ca="1" si="16"/>
        <v>0</v>
      </c>
      <c r="O91" s="4">
        <f t="shared" ca="1" si="19"/>
        <v>2037</v>
      </c>
      <c r="P91" s="4">
        <v>87</v>
      </c>
      <c r="Q91" s="4">
        <f t="shared" ca="1" si="20"/>
        <v>4</v>
      </c>
      <c r="S91" s="125">
        <f ca="1">HLOOKUP(O91,'Datos SS'!$B$4:$CZZ$16,(Q91+1),0)</f>
        <v>167.36978926686925</v>
      </c>
      <c r="T91" s="815">
        <f ca="1">IF(O91=YEAR($B$5),($B$9/12),IF(O91&gt;MIN(YEAR($B$7),YEAR($B$5)),($B$9/12)*(1+HLOOKUP(O91,'Datos SS'!$B$31:$CZZ$32,2,0))^(O91-YEAR($B$5)),T79/(1+HLOOKUP(O91,'Datos SS'!$B$31:$CZZ$32,2,0))))</f>
        <v>25272.702488961673</v>
      </c>
      <c r="U91" s="7">
        <f ca="1">IF(O91=2018,IF(Q91&lt;8,HLOOKUP(O91,'Datos SS'!$B$25:$BZZ$27,3,0)/12,HLOOKUP(O91,'Datos SS'!$B$25:$BZZ$26,2,0)/12),HLOOKUP(O91,'Datos SS'!$B$25:$BZZ$26,2,0)/12)</f>
        <v>5995.0854304022732</v>
      </c>
      <c r="V91" s="165">
        <f t="shared" ca="1" si="17"/>
        <v>5995.0854304022732</v>
      </c>
      <c r="W91" s="7">
        <f t="shared" ca="1" si="15"/>
        <v>6810.8609533419531</v>
      </c>
      <c r="X91" s="149">
        <f ca="1">HLOOKUP(O91,'Datos SS'!$K$37:$EP$38,2,0)</f>
        <v>1558.7309016935906</v>
      </c>
      <c r="Y91">
        <f t="shared" ca="1" si="21"/>
        <v>1648</v>
      </c>
      <c r="AC91" s="648">
        <v>2167.3159985663251</v>
      </c>
      <c r="AD91" s="650">
        <f t="shared" ca="1" si="18"/>
        <v>-4643.544954775628</v>
      </c>
    </row>
    <row r="92" spans="12:30">
      <c r="L92" s="4">
        <v>88</v>
      </c>
      <c r="M92" s="4">
        <f t="shared" ca="1" si="16"/>
        <v>0</v>
      </c>
      <c r="O92" s="4">
        <f t="shared" ca="1" si="19"/>
        <v>2037</v>
      </c>
      <c r="P92" s="4">
        <v>88</v>
      </c>
      <c r="Q92" s="4">
        <f t="shared" ca="1" si="20"/>
        <v>3</v>
      </c>
      <c r="S92" s="125">
        <f ca="1">HLOOKUP(O92,'Datos SS'!$B$4:$CZZ$16,(Q92+1),0)</f>
        <v>167.02574358224109</v>
      </c>
      <c r="T92" s="815">
        <f ca="1">IF(O92=YEAR($B$5),($B$9/12),IF(O92&gt;MIN(YEAR($B$7),YEAR($B$5)),($B$9/12)*(1+HLOOKUP(O92,'Datos SS'!$B$31:$CZZ$32,2,0))^(O92-YEAR($B$5)),T80/(1+HLOOKUP(O92,'Datos SS'!$B$31:$CZZ$32,2,0))))</f>
        <v>25272.702488961673</v>
      </c>
      <c r="U92" s="7">
        <f ca="1">IF(O92=2018,IF(Q92&lt;8,HLOOKUP(O92,'Datos SS'!$B$25:$BZZ$27,3,0)/12,HLOOKUP(O92,'Datos SS'!$B$25:$BZZ$26,2,0)/12),HLOOKUP(O92,'Datos SS'!$B$25:$BZZ$26,2,0)/12)</f>
        <v>5995.0854304022732</v>
      </c>
      <c r="V92" s="165">
        <f t="shared" ca="1" si="17"/>
        <v>5995.0854304022732</v>
      </c>
      <c r="W92" s="7">
        <f t="shared" ca="1" si="15"/>
        <v>6824.890211762503</v>
      </c>
      <c r="X92" s="149">
        <f ca="1">HLOOKUP(O92,'Datos SS'!$K$37:$EP$38,2,0)</f>
        <v>1558.7309016935906</v>
      </c>
      <c r="Y92">
        <f t="shared" ca="1" si="21"/>
        <v>1647</v>
      </c>
      <c r="AC92" s="648">
        <v>2169.1138697929682</v>
      </c>
      <c r="AD92" s="650">
        <f t="shared" ca="1" si="18"/>
        <v>-4655.7763419695348</v>
      </c>
    </row>
    <row r="93" spans="12:30">
      <c r="L93" s="4">
        <v>89</v>
      </c>
      <c r="M93" s="4">
        <f t="shared" ca="1" si="16"/>
        <v>0</v>
      </c>
      <c r="O93" s="4">
        <f t="shared" ca="1" si="19"/>
        <v>2037</v>
      </c>
      <c r="P93" s="4">
        <v>89</v>
      </c>
      <c r="Q93" s="4">
        <f t="shared" ca="1" si="20"/>
        <v>2</v>
      </c>
      <c r="S93" s="125">
        <f ca="1">HLOOKUP(O93,'Datos SS'!$B$4:$CZZ$16,(Q93+1),0)</f>
        <v>166.68240511863311</v>
      </c>
      <c r="T93" s="815">
        <f ca="1">IF(O93=YEAR($B$5),($B$9/12),IF(O93&gt;MIN(YEAR($B$7),YEAR($B$5)),($B$9/12)*(1+HLOOKUP(O93,'Datos SS'!$B$31:$CZZ$32,2,0))^(O93-YEAR($B$5)),T81/(1+HLOOKUP(O93,'Datos SS'!$B$31:$CZZ$32,2,0))))</f>
        <v>25272.702488961673</v>
      </c>
      <c r="U93" s="7">
        <f ca="1">IF(O93=2018,IF(Q93&lt;8,HLOOKUP(O93,'Datos SS'!$B$25:$BZZ$27,3,0)/12,HLOOKUP(O93,'Datos SS'!$B$25:$BZZ$26,2,0)/12),HLOOKUP(O93,'Datos SS'!$B$25:$BZZ$26,2,0)/12)</f>
        <v>5995.0854304022732</v>
      </c>
      <c r="V93" s="165">
        <f t="shared" ca="1" si="17"/>
        <v>5995.0854304022732</v>
      </c>
      <c r="W93" s="7">
        <f t="shared" ca="1" si="15"/>
        <v>6838.9483681583852</v>
      </c>
      <c r="X93" s="149">
        <f ca="1">HLOOKUP(O93,'Datos SS'!$K$37:$EP$38,2,0)</f>
        <v>1558.7309016935906</v>
      </c>
      <c r="Y93">
        <f t="shared" ca="1" si="21"/>
        <v>1646</v>
      </c>
      <c r="AC93" s="648">
        <v>2170.9132324223187</v>
      </c>
      <c r="AD93" s="650">
        <f t="shared" ca="1" si="18"/>
        <v>-4668.0351357360669</v>
      </c>
    </row>
    <row r="94" spans="12:30">
      <c r="L94" s="4">
        <v>90</v>
      </c>
      <c r="M94" s="4">
        <f t="shared" ca="1" si="16"/>
        <v>0</v>
      </c>
      <c r="O94" s="4">
        <f t="shared" ca="1" si="19"/>
        <v>2037</v>
      </c>
      <c r="P94" s="4">
        <v>90</v>
      </c>
      <c r="Q94" s="4">
        <f t="shared" ca="1" si="20"/>
        <v>1</v>
      </c>
      <c r="S94" s="125">
        <f ca="1">HLOOKUP(O94,'Datos SS'!$B$4:$CZZ$16,(Q94+1),0)</f>
        <v>166.3397724222803</v>
      </c>
      <c r="T94" s="815">
        <f ca="1">IF(O94=YEAR($B$5),($B$9/12),IF(O94&gt;MIN(YEAR($B$7),YEAR($B$5)),($B$9/12)*(1+HLOOKUP(O94,'Datos SS'!$B$31:$CZZ$32,2,0))^(O94-YEAR($B$5)),T82/(1+HLOOKUP(O94,'Datos SS'!$B$31:$CZZ$32,2,0))))</f>
        <v>25272.702488961673</v>
      </c>
      <c r="U94" s="7">
        <f ca="1">IF(O94=2018,IF(Q94&lt;8,HLOOKUP(O94,'Datos SS'!$B$25:$BZZ$27,3,0)/12,HLOOKUP(O94,'Datos SS'!$B$25:$BZZ$26,2,0)/12),HLOOKUP(O94,'Datos SS'!$B$25:$BZZ$26,2,0)/12)</f>
        <v>5995.0854304022732</v>
      </c>
      <c r="V94" s="165">
        <f t="shared" ca="1" si="17"/>
        <v>5995.0854304022732</v>
      </c>
      <c r="W94" s="7">
        <f t="shared" ca="1" si="15"/>
        <v>6853.0354820547</v>
      </c>
      <c r="X94" s="149">
        <f ca="1">HLOOKUP(O94,'Datos SS'!$K$37:$EP$38,2,0)</f>
        <v>1558.7309016935906</v>
      </c>
      <c r="Y94">
        <f t="shared" ca="1" si="21"/>
        <v>1645</v>
      </c>
      <c r="AC94" s="648">
        <v>2172.7140876915514</v>
      </c>
      <c r="AD94" s="650">
        <f t="shared" ca="1" si="18"/>
        <v>-4680.321394363149</v>
      </c>
    </row>
    <row r="95" spans="12:30">
      <c r="L95" s="4">
        <v>91</v>
      </c>
      <c r="M95" s="4">
        <f t="shared" ca="1" si="16"/>
        <v>0</v>
      </c>
      <c r="O95" s="4">
        <f t="shared" ca="1" si="19"/>
        <v>2036</v>
      </c>
      <c r="P95" s="4">
        <v>91</v>
      </c>
      <c r="Q95" s="4">
        <f t="shared" ca="1" si="20"/>
        <v>12</v>
      </c>
      <c r="S95" s="125">
        <f ca="1">HLOOKUP(O95,'Datos SS'!$B$4:$CZZ$16,(Q95+1),0)</f>
        <v>165.99784404240606</v>
      </c>
      <c r="T95" s="815">
        <f ca="1">IF(O95=YEAR($B$5),($B$9/12),IF(O95&gt;MIN(YEAR($B$7),YEAR($B$5)),($B$9/12)*(1+HLOOKUP(O95,'Datos SS'!$B$31:$CZZ$32,2,0))^(O95-YEAR($B$5)),T83/(1+HLOOKUP(O95,'Datos SS'!$B$31:$CZZ$32,2,0))))</f>
        <v>24656.29511118212</v>
      </c>
      <c r="U95" s="7">
        <f ca="1">IF(O95=2018,IF(Q95&lt;8,HLOOKUP(O95,'Datos SS'!$B$25:$BZZ$27,3,0)/12,HLOOKUP(O95,'Datos SS'!$B$25:$BZZ$26,2,0)/12),HLOOKUP(O95,'Datos SS'!$B$25:$BZZ$26,2,0)/12)</f>
        <v>5848.8638345388035</v>
      </c>
      <c r="V95" s="165">
        <f t="shared" ca="1" si="17"/>
        <v>5848.8638345388035</v>
      </c>
      <c r="W95" s="7">
        <f t="shared" ca="1" si="15"/>
        <v>6699.660110340641</v>
      </c>
      <c r="X95" s="149">
        <f ca="1">HLOOKUP(O95,'Datos SS'!$K$37:$EP$38,2,0)</f>
        <v>1520.7130748230154</v>
      </c>
      <c r="Y95">
        <f t="shared" ca="1" si="21"/>
        <v>1644</v>
      </c>
      <c r="AC95" s="648">
        <v>2174.5164368388682</v>
      </c>
      <c r="AD95" s="650">
        <f t="shared" ca="1" si="18"/>
        <v>-4525.1436735017724</v>
      </c>
    </row>
    <row r="96" spans="12:30">
      <c r="L96" s="4">
        <v>92</v>
      </c>
      <c r="M96" s="4">
        <f t="shared" ca="1" si="16"/>
        <v>0</v>
      </c>
      <c r="O96" s="4">
        <f t="shared" ca="1" si="19"/>
        <v>2036</v>
      </c>
      <c r="P96" s="4">
        <v>92</v>
      </c>
      <c r="Q96" s="4">
        <f t="shared" ca="1" si="20"/>
        <v>11</v>
      </c>
      <c r="S96" s="125">
        <f ca="1">HLOOKUP(O96,'Datos SS'!$B$4:$CZZ$16,(Q96+1),0)</f>
        <v>165.65661853121597</v>
      </c>
      <c r="T96" s="815">
        <f ca="1">IF(O96=YEAR($B$5),($B$9/12),IF(O96&gt;MIN(YEAR($B$7),YEAR($B$5)),($B$9/12)*(1+HLOOKUP(O96,'Datos SS'!$B$31:$CZZ$32,2,0))^(O96-YEAR($B$5)),T84/(1+HLOOKUP(O96,'Datos SS'!$B$31:$CZZ$32,2,0))))</f>
        <v>24656.29511118212</v>
      </c>
      <c r="U96" s="7">
        <f ca="1">IF(O96=2018,IF(Q96&lt;8,HLOOKUP(O96,'Datos SS'!$B$25:$BZZ$27,3,0)/12,HLOOKUP(O96,'Datos SS'!$B$25:$BZZ$26,2,0)/12),HLOOKUP(O96,'Datos SS'!$B$25:$BZZ$26,2,0)/12)</f>
        <v>5848.8638345388035</v>
      </c>
      <c r="V96" s="165">
        <f t="shared" ca="1" si="17"/>
        <v>5848.8638345388035</v>
      </c>
      <c r="W96" s="7">
        <f t="shared" ca="1" si="15"/>
        <v>6713.4603132315387</v>
      </c>
      <c r="X96" s="149">
        <f ca="1">HLOOKUP(O96,'Datos SS'!$K$37:$EP$38,2,0)</f>
        <v>1520.7130748230154</v>
      </c>
      <c r="Y96">
        <f t="shared" ca="1" si="21"/>
        <v>1643</v>
      </c>
      <c r="AC96" s="648">
        <v>2176.3202811034985</v>
      </c>
      <c r="AD96" s="650">
        <f t="shared" ca="1" si="18"/>
        <v>-4537.1400321280398</v>
      </c>
    </row>
    <row r="97" spans="11:30">
      <c r="L97" s="4">
        <v>93</v>
      </c>
      <c r="M97" s="4">
        <f t="shared" ca="1" si="16"/>
        <v>0</v>
      </c>
      <c r="O97" s="4">
        <f t="shared" ca="1" si="19"/>
        <v>2036</v>
      </c>
      <c r="P97" s="4">
        <v>93</v>
      </c>
      <c r="Q97" s="4">
        <f t="shared" ca="1" si="20"/>
        <v>10</v>
      </c>
      <c r="S97" s="125">
        <f ca="1">HLOOKUP(O97,'Datos SS'!$B$4:$CZZ$16,(Q97+1),0)</f>
        <v>165.3160944438917</v>
      </c>
      <c r="T97" s="815">
        <f ca="1">IF(O97=YEAR($B$5),($B$9/12),IF(O97&gt;MIN(YEAR($B$7),YEAR($B$5)),($B$9/12)*(1+HLOOKUP(O97,'Datos SS'!$B$31:$CZZ$32,2,0))^(O97-YEAR($B$5)),T85/(1+HLOOKUP(O97,'Datos SS'!$B$31:$CZZ$32,2,0))))</f>
        <v>24656.29511118212</v>
      </c>
      <c r="U97" s="7">
        <f ca="1">IF(O97=2018,IF(Q97&lt;8,HLOOKUP(O97,'Datos SS'!$B$25:$BZZ$27,3,0)/12,HLOOKUP(O97,'Datos SS'!$B$25:$BZZ$26,2,0)/12),HLOOKUP(O97,'Datos SS'!$B$25:$BZZ$26,2,0)/12)</f>
        <v>5848.8638345388035</v>
      </c>
      <c r="V97" s="165">
        <f t="shared" ca="1" si="17"/>
        <v>5848.8638345388035</v>
      </c>
      <c r="W97" s="7">
        <f t="shared" ca="1" si="15"/>
        <v>6727.2889422808821</v>
      </c>
      <c r="X97" s="149">
        <f ca="1">HLOOKUP(O97,'Datos SS'!$K$37:$EP$38,2,0)</f>
        <v>1520.7130748230154</v>
      </c>
      <c r="Y97">
        <f t="shared" ca="1" si="21"/>
        <v>1642</v>
      </c>
      <c r="AC97" s="648">
        <v>2178.1256217256982</v>
      </c>
      <c r="AD97" s="650">
        <f t="shared" ca="1" si="18"/>
        <v>-4549.1633205551843</v>
      </c>
    </row>
    <row r="98" spans="11:30">
      <c r="L98" s="4">
        <v>94</v>
      </c>
      <c r="M98" s="4">
        <f t="shared" ca="1" si="16"/>
        <v>0</v>
      </c>
      <c r="O98" s="4">
        <f t="shared" ca="1" si="19"/>
        <v>2036</v>
      </c>
      <c r="P98" s="4">
        <v>94</v>
      </c>
      <c r="Q98" s="4">
        <f t="shared" ca="1" si="20"/>
        <v>9</v>
      </c>
      <c r="S98" s="125">
        <f ca="1">HLOOKUP(O98,'Datos SS'!$B$4:$CZZ$16,(Q98+1),0)</f>
        <v>164.9762703385849</v>
      </c>
      <c r="T98" s="815">
        <f ca="1">IF(O98=YEAR($B$5),($B$9/12),IF(O98&gt;MIN(YEAR($B$7),YEAR($B$5)),($B$9/12)*(1+HLOOKUP(O98,'Datos SS'!$B$31:$CZZ$32,2,0))^(O98-YEAR($B$5)),T86/(1+HLOOKUP(O98,'Datos SS'!$B$31:$CZZ$32,2,0))))</f>
        <v>24656.29511118212</v>
      </c>
      <c r="U98" s="7">
        <f ca="1">IF(O98=2018,IF(Q98&lt;8,HLOOKUP(O98,'Datos SS'!$B$25:$BZZ$27,3,0)/12,HLOOKUP(O98,'Datos SS'!$B$25:$BZZ$26,2,0)/12),HLOOKUP(O98,'Datos SS'!$B$25:$BZZ$26,2,0)/12)</f>
        <v>5848.8638345388035</v>
      </c>
      <c r="V98" s="165">
        <f t="shared" ca="1" si="17"/>
        <v>5848.8638345388035</v>
      </c>
      <c r="W98" s="7">
        <f t="shared" ca="1" si="15"/>
        <v>6741.1460560419046</v>
      </c>
      <c r="X98" s="149">
        <f ca="1">HLOOKUP(O98,'Datos SS'!$K$37:$EP$38,2,0)</f>
        <v>1520.7130748230154</v>
      </c>
      <c r="Y98">
        <f t="shared" ca="1" si="21"/>
        <v>1641</v>
      </c>
      <c r="AC98" s="648">
        <v>2137.1886862223073</v>
      </c>
      <c r="AD98" s="650">
        <f t="shared" ca="1" si="18"/>
        <v>-4603.9573698195973</v>
      </c>
    </row>
    <row r="99" spans="11:30">
      <c r="L99" s="4">
        <v>95</v>
      </c>
      <c r="M99" s="4">
        <f t="shared" ca="1" si="16"/>
        <v>0</v>
      </c>
      <c r="O99" s="4">
        <f t="shared" ca="1" si="19"/>
        <v>2036</v>
      </c>
      <c r="P99" s="4">
        <v>95</v>
      </c>
      <c r="Q99" s="4">
        <f t="shared" ca="1" si="20"/>
        <v>8</v>
      </c>
      <c r="S99" s="125">
        <f ca="1">HLOOKUP(O99,'Datos SS'!$B$4:$CZZ$16,(Q99+1),0)</f>
        <v>164.63714477641111</v>
      </c>
      <c r="T99" s="815">
        <f ca="1">IF(O99=YEAR($B$5),($B$9/12),IF(O99&gt;MIN(YEAR($B$7),YEAR($B$5)),($B$9/12)*(1+HLOOKUP(O99,'Datos SS'!$B$31:$CZZ$32,2,0))^(O99-YEAR($B$5)),T87/(1+HLOOKUP(O99,'Datos SS'!$B$31:$CZZ$32,2,0))))</f>
        <v>24656.29511118212</v>
      </c>
      <c r="U99" s="7">
        <f ca="1">IF(O99=2018,IF(Q99&lt;8,HLOOKUP(O99,'Datos SS'!$B$25:$BZZ$27,3,0)/12,HLOOKUP(O99,'Datos SS'!$B$25:$BZZ$26,2,0)/12),HLOOKUP(O99,'Datos SS'!$B$25:$BZZ$26,2,0)/12)</f>
        <v>5848.8638345388035</v>
      </c>
      <c r="V99" s="165">
        <f t="shared" ca="1" si="17"/>
        <v>5848.8638345388035</v>
      </c>
      <c r="W99" s="7">
        <f t="shared" ca="1" si="15"/>
        <v>6755.0317131884467</v>
      </c>
      <c r="X99" s="149">
        <f ca="1">HLOOKUP(O99,'Datos SS'!$K$37:$EP$38,2,0)</f>
        <v>1520.7130748230154</v>
      </c>
      <c r="Y99">
        <f t="shared" ca="1" si="21"/>
        <v>1640</v>
      </c>
      <c r="AC99" s="648">
        <v>2138.9615656950782</v>
      </c>
      <c r="AD99" s="650">
        <f t="shared" ca="1" si="18"/>
        <v>-4616.0701474933685</v>
      </c>
    </row>
    <row r="100" spans="11:30">
      <c r="L100" s="4">
        <v>96</v>
      </c>
      <c r="M100" s="4">
        <f t="shared" ca="1" si="16"/>
        <v>0</v>
      </c>
      <c r="O100" s="4">
        <f t="shared" ca="1" si="19"/>
        <v>2036</v>
      </c>
      <c r="P100" s="4">
        <v>96</v>
      </c>
      <c r="Q100" s="4">
        <f t="shared" ca="1" si="20"/>
        <v>7</v>
      </c>
      <c r="S100" s="125">
        <f ca="1">HLOOKUP(O100,'Datos SS'!$B$4:$CZZ$16,(Q100+1),0)</f>
        <v>164.29871632144358</v>
      </c>
      <c r="T100" s="815">
        <f ca="1">IF(O100=YEAR($B$5),($B$9/12),IF(O100&gt;MIN(YEAR($B$7),YEAR($B$5)),($B$9/12)*(1+HLOOKUP(O100,'Datos SS'!$B$31:$CZZ$32,2,0))^(O100-YEAR($B$5)),T88/(1+HLOOKUP(O100,'Datos SS'!$B$31:$CZZ$32,2,0))))</f>
        <v>24656.29511118212</v>
      </c>
      <c r="U100" s="7">
        <f ca="1">IF(O100=2018,IF(Q100&lt;8,HLOOKUP(O100,'Datos SS'!$B$25:$BZZ$27,3,0)/12,HLOOKUP(O100,'Datos SS'!$B$25:$BZZ$26,2,0)/12),HLOOKUP(O100,'Datos SS'!$B$25:$BZZ$26,2,0)/12)</f>
        <v>5848.8638345388035</v>
      </c>
      <c r="V100" s="165">
        <f t="shared" ca="1" si="17"/>
        <v>5848.8638345388035</v>
      </c>
      <c r="W100" s="7">
        <f t="shared" ca="1" si="15"/>
        <v>6768.945972515211</v>
      </c>
      <c r="X100" s="149">
        <f ca="1">HLOOKUP(O100,'Datos SS'!$K$37:$EP$38,2,0)</f>
        <v>1520.7130748230154</v>
      </c>
      <c r="Y100">
        <f t="shared" ca="1" si="21"/>
        <v>1639</v>
      </c>
      <c r="AC100" s="648">
        <v>2140.7359158389436</v>
      </c>
      <c r="AD100" s="650">
        <f t="shared" ca="1" si="18"/>
        <v>-4628.2100566762674</v>
      </c>
    </row>
    <row r="101" spans="11:30">
      <c r="L101" s="4">
        <v>97</v>
      </c>
      <c r="M101" s="4">
        <f t="shared" ca="1" si="16"/>
        <v>0</v>
      </c>
      <c r="O101" s="4">
        <f t="shared" ca="1" si="19"/>
        <v>2036</v>
      </c>
      <c r="P101" s="4">
        <v>97</v>
      </c>
      <c r="Q101" s="4">
        <f t="shared" ca="1" si="20"/>
        <v>6</v>
      </c>
      <c r="S101" s="125">
        <f ca="1">HLOOKUP(O101,'Datos SS'!$B$4:$CZZ$16,(Q101+1),0)</f>
        <v>163.96098354070733</v>
      </c>
      <c r="T101" s="815">
        <f ca="1">IF(O101=YEAR($B$5),($B$9/12),IF(O101&gt;MIN(YEAR($B$7),YEAR($B$5)),($B$9/12)*(1+HLOOKUP(O101,'Datos SS'!$B$31:$CZZ$32,2,0))^(O101-YEAR($B$5)),T89/(1+HLOOKUP(O101,'Datos SS'!$B$31:$CZZ$32,2,0))))</f>
        <v>24656.29511118212</v>
      </c>
      <c r="U101" s="7">
        <f ca="1">IF(O101=2018,IF(Q101&lt;8,HLOOKUP(O101,'Datos SS'!$B$25:$BZZ$27,3,0)/12,HLOOKUP(O101,'Datos SS'!$B$25:$BZZ$26,2,0)/12),HLOOKUP(O101,'Datos SS'!$B$25:$BZZ$26,2,0)/12)</f>
        <v>5848.8638345388035</v>
      </c>
      <c r="V101" s="165">
        <f t="shared" ca="1" si="17"/>
        <v>5848.8638345388035</v>
      </c>
      <c r="W101" s="7">
        <f t="shared" ca="1" si="15"/>
        <v>6782.8888929380037</v>
      </c>
      <c r="X101" s="149">
        <f ca="1">HLOOKUP(O101,'Datos SS'!$K$37:$EP$38,2,0)</f>
        <v>1520.7130748230154</v>
      </c>
      <c r="Y101">
        <f t="shared" ca="1" si="21"/>
        <v>1638</v>
      </c>
      <c r="AC101" s="648">
        <v>2142.5117378738819</v>
      </c>
      <c r="AD101" s="650">
        <f t="shared" ca="1" si="18"/>
        <v>-4640.3771550641213</v>
      </c>
    </row>
    <row r="102" spans="11:30">
      <c r="L102" s="4">
        <v>98</v>
      </c>
      <c r="M102" s="4">
        <f t="shared" ca="1" si="16"/>
        <v>0</v>
      </c>
      <c r="O102" s="4">
        <f t="shared" ca="1" si="19"/>
        <v>2036</v>
      </c>
      <c r="P102" s="4">
        <v>98</v>
      </c>
      <c r="Q102" s="4">
        <f t="shared" ca="1" si="20"/>
        <v>5</v>
      </c>
      <c r="S102" s="125">
        <f ca="1">HLOOKUP(O102,'Datos SS'!$B$4:$CZZ$16,(Q102+1),0)</f>
        <v>163.62394500417298</v>
      </c>
      <c r="T102" s="815">
        <f ca="1">IF(O102=YEAR($B$5),($B$9/12),IF(O102&gt;MIN(YEAR($B$7),YEAR($B$5)),($B$9/12)*(1+HLOOKUP(O102,'Datos SS'!$B$31:$CZZ$32,2,0))^(O102-YEAR($B$5)),T90/(1+HLOOKUP(O102,'Datos SS'!$B$31:$CZZ$32,2,0))))</f>
        <v>24656.29511118212</v>
      </c>
      <c r="U102" s="7">
        <f ca="1">IF(O102=2018,IF(Q102&lt;8,HLOOKUP(O102,'Datos SS'!$B$25:$BZZ$27,3,0)/12,HLOOKUP(O102,'Datos SS'!$B$25:$BZZ$26,2,0)/12),HLOOKUP(O102,'Datos SS'!$B$25:$BZZ$26,2,0)/12)</f>
        <v>5848.8638345388035</v>
      </c>
      <c r="V102" s="165">
        <f t="shared" ca="1" si="17"/>
        <v>5848.8638345388035</v>
      </c>
      <c r="W102" s="7">
        <f t="shared" ca="1" si="15"/>
        <v>6796.8605334939912</v>
      </c>
      <c r="X102" s="149">
        <f ca="1">HLOOKUP(O102,'Datos SS'!$K$37:$EP$38,2,0)</f>
        <v>1520.7130748230154</v>
      </c>
      <c r="Y102">
        <f t="shared" ca="1" si="21"/>
        <v>1637</v>
      </c>
      <c r="AC102" s="648">
        <v>2144.289033020882</v>
      </c>
      <c r="AD102" s="650">
        <f t="shared" ca="1" si="18"/>
        <v>-4652.5715004731092</v>
      </c>
    </row>
    <row r="103" spans="11:30">
      <c r="L103" s="4">
        <v>99</v>
      </c>
      <c r="M103" s="4">
        <f t="shared" ca="1" si="16"/>
        <v>0</v>
      </c>
      <c r="O103" s="4">
        <f t="shared" ca="1" si="19"/>
        <v>2036</v>
      </c>
      <c r="P103" s="4">
        <v>99</v>
      </c>
      <c r="Q103" s="4">
        <f t="shared" ca="1" si="20"/>
        <v>4</v>
      </c>
      <c r="S103" s="125">
        <f ca="1">HLOOKUP(O103,'Datos SS'!$B$4:$CZZ$16,(Q103+1),0)</f>
        <v>163.28759928475071</v>
      </c>
      <c r="T103" s="815">
        <f ca="1">IF(O103=YEAR($B$5),($B$9/12),IF(O103&gt;MIN(YEAR($B$7),YEAR($B$5)),($B$9/12)*(1+HLOOKUP(O103,'Datos SS'!$B$31:$CZZ$32,2,0))^(O103-YEAR($B$5)),T91/(1+HLOOKUP(O103,'Datos SS'!$B$31:$CZZ$32,2,0))))</f>
        <v>24656.29511118212</v>
      </c>
      <c r="U103" s="7">
        <f ca="1">IF(O103=2018,IF(Q103&lt;8,HLOOKUP(O103,'Datos SS'!$B$25:$BZZ$27,3,0)/12,HLOOKUP(O103,'Datos SS'!$B$25:$BZZ$26,2,0)/12),HLOOKUP(O103,'Datos SS'!$B$25:$BZZ$26,2,0)/12)</f>
        <v>5848.8638345388035</v>
      </c>
      <c r="V103" s="165">
        <f t="shared" ca="1" si="17"/>
        <v>5848.8638345388035</v>
      </c>
      <c r="W103" s="7">
        <f t="shared" ca="1" si="15"/>
        <v>6810.8609533419449</v>
      </c>
      <c r="X103" s="149">
        <f ca="1">HLOOKUP(O103,'Datos SS'!$K$37:$EP$38,2,0)</f>
        <v>1520.7130748230154</v>
      </c>
      <c r="Y103">
        <f t="shared" ca="1" si="21"/>
        <v>1636</v>
      </c>
      <c r="AC103" s="648">
        <v>2146.0678025019474</v>
      </c>
      <c r="AD103" s="650">
        <f t="shared" ca="1" si="18"/>
        <v>-4664.7931508399979</v>
      </c>
    </row>
    <row r="104" spans="11:30">
      <c r="L104" s="4">
        <v>100</v>
      </c>
      <c r="M104" s="4">
        <f t="shared" ca="1" si="16"/>
        <v>0</v>
      </c>
      <c r="O104" s="4">
        <f t="shared" ca="1" si="19"/>
        <v>2036</v>
      </c>
      <c r="P104" s="4">
        <v>100</v>
      </c>
      <c r="Q104" s="4">
        <f t="shared" ca="1" si="20"/>
        <v>3</v>
      </c>
      <c r="S104" s="125">
        <f ca="1">HLOOKUP(O104,'Datos SS'!$B$4:$CZZ$16,(Q104+1),0)</f>
        <v>162.95194495828423</v>
      </c>
      <c r="T104" s="815">
        <f ca="1">IF(O104=YEAR($B$5),($B$9/12),IF(O104&gt;MIN(YEAR($B$7),YEAR($B$5)),($B$9/12)*(1+HLOOKUP(O104,'Datos SS'!$B$31:$CZZ$32,2,0))^(O104-YEAR($B$5)),T92/(1+HLOOKUP(O104,'Datos SS'!$B$31:$CZZ$32,2,0))))</f>
        <v>24656.29511118212</v>
      </c>
      <c r="U104" s="7">
        <f ca="1">IF(O104=2018,IF(Q104&lt;8,HLOOKUP(O104,'Datos SS'!$B$25:$BZZ$27,3,0)/12,HLOOKUP(O104,'Datos SS'!$B$25:$BZZ$26,2,0)/12),HLOOKUP(O104,'Datos SS'!$B$25:$BZZ$26,2,0)/12)</f>
        <v>5848.8638345388035</v>
      </c>
      <c r="V104" s="165">
        <f t="shared" ca="1" si="17"/>
        <v>5848.8638345388035</v>
      </c>
      <c r="W104" s="7">
        <f t="shared" ca="1" si="15"/>
        <v>6824.8902117624939</v>
      </c>
      <c r="X104" s="149">
        <f ca="1">HLOOKUP(O104,'Datos SS'!$K$37:$EP$38,2,0)</f>
        <v>1520.7130748230154</v>
      </c>
      <c r="Y104">
        <f t="shared" ca="1" si="21"/>
        <v>1635</v>
      </c>
      <c r="AC104" s="648">
        <v>2147.8480475400938</v>
      </c>
      <c r="AD104" s="650">
        <f t="shared" ca="1" si="18"/>
        <v>-4677.0421642224001</v>
      </c>
    </row>
    <row r="105" spans="11:30">
      <c r="L105" s="4">
        <v>101</v>
      </c>
      <c r="M105" s="4">
        <f t="shared" ca="1" si="16"/>
        <v>0</v>
      </c>
      <c r="O105" s="4">
        <f t="shared" ca="1" si="19"/>
        <v>2036</v>
      </c>
      <c r="P105" s="4">
        <v>101</v>
      </c>
      <c r="Q105" s="4">
        <f t="shared" ca="1" si="20"/>
        <v>2</v>
      </c>
      <c r="S105" s="125">
        <f ca="1">HLOOKUP(O105,'Datos SS'!$B$4:$CZZ$16,(Q105+1),0)</f>
        <v>162.61698060354473</v>
      </c>
      <c r="T105" s="815">
        <f ca="1">IF(O105=YEAR($B$5),($B$9/12),IF(O105&gt;MIN(YEAR($B$7),YEAR($B$5)),($B$9/12)*(1+HLOOKUP(O105,'Datos SS'!$B$31:$CZZ$32,2,0))^(O105-YEAR($B$5)),T93/(1+HLOOKUP(O105,'Datos SS'!$B$31:$CZZ$32,2,0))))</f>
        <v>24656.29511118212</v>
      </c>
      <c r="U105" s="7">
        <f ca="1">IF(O105=2018,IF(Q105&lt;8,HLOOKUP(O105,'Datos SS'!$B$25:$BZZ$27,3,0)/12,HLOOKUP(O105,'Datos SS'!$B$25:$BZZ$26,2,0)/12),HLOOKUP(O105,'Datos SS'!$B$25:$BZZ$26,2,0)/12)</f>
        <v>5848.8638345388035</v>
      </c>
      <c r="V105" s="165">
        <f t="shared" ca="1" si="17"/>
        <v>5848.8638345388035</v>
      </c>
      <c r="W105" s="7">
        <f t="shared" ca="1" si="15"/>
        <v>6838.948368158377</v>
      </c>
      <c r="X105" s="149">
        <f ca="1">HLOOKUP(O105,'Datos SS'!$K$37:$EP$38,2,0)</f>
        <v>1520.7130748230154</v>
      </c>
      <c r="Y105">
        <f t="shared" ca="1" si="21"/>
        <v>1634</v>
      </c>
      <c r="AC105" s="648">
        <v>2149.6297693593524</v>
      </c>
      <c r="AD105" s="650">
        <f t="shared" ca="1" si="18"/>
        <v>-4689.3185987990246</v>
      </c>
    </row>
    <row r="106" spans="11:30">
      <c r="L106" s="4">
        <v>102</v>
      </c>
      <c r="M106" s="4">
        <f t="shared" ca="1" si="16"/>
        <v>0</v>
      </c>
      <c r="O106" s="4">
        <f t="shared" ca="1" si="19"/>
        <v>2036</v>
      </c>
      <c r="P106" s="4">
        <v>102</v>
      </c>
      <c r="Q106" s="4">
        <f t="shared" ca="1" si="20"/>
        <v>1</v>
      </c>
      <c r="S106" s="125">
        <f ca="1">HLOOKUP(O106,'Datos SS'!$B$4:$CZZ$16,(Q106+1),0)</f>
        <v>162.28270480222491</v>
      </c>
      <c r="T106" s="815">
        <f ca="1">IF(O106=YEAR($B$5),($B$9/12),IF(O106&gt;MIN(YEAR($B$7),YEAR($B$5)),($B$9/12)*(1+HLOOKUP(O106,'Datos SS'!$B$31:$CZZ$32,2,0))^(O106-YEAR($B$5)),T94/(1+HLOOKUP(O106,'Datos SS'!$B$31:$CZZ$32,2,0))))</f>
        <v>24656.29511118212</v>
      </c>
      <c r="U106" s="7">
        <f ca="1">IF(O106=2018,IF(Q106&lt;8,HLOOKUP(O106,'Datos SS'!$B$25:$BZZ$27,3,0)/12,HLOOKUP(O106,'Datos SS'!$B$25:$BZZ$26,2,0)/12),HLOOKUP(O106,'Datos SS'!$B$25:$BZZ$26,2,0)/12)</f>
        <v>5848.8638345388035</v>
      </c>
      <c r="V106" s="165">
        <f t="shared" ca="1" si="17"/>
        <v>5848.8638345388035</v>
      </c>
      <c r="W106" s="7">
        <f t="shared" ca="1" si="15"/>
        <v>6853.0354820546918</v>
      </c>
      <c r="X106" s="149">
        <f ca="1">HLOOKUP(O106,'Datos SS'!$K$37:$EP$38,2,0)</f>
        <v>1520.7130748230154</v>
      </c>
      <c r="Y106">
        <f t="shared" ca="1" si="21"/>
        <v>1633</v>
      </c>
      <c r="AC106" s="648">
        <v>2151.4129691847693</v>
      </c>
      <c r="AD106" s="650">
        <f t="shared" ca="1" si="18"/>
        <v>-4701.6225128699225</v>
      </c>
    </row>
    <row r="107" spans="11:30">
      <c r="L107" s="4">
        <v>103</v>
      </c>
      <c r="M107" s="4">
        <f t="shared" ca="1" si="16"/>
        <v>0</v>
      </c>
      <c r="O107" s="4">
        <f t="shared" ca="1" si="19"/>
        <v>2035</v>
      </c>
      <c r="P107" s="4">
        <v>103</v>
      </c>
      <c r="Q107" s="4">
        <f t="shared" ca="1" si="20"/>
        <v>12</v>
      </c>
      <c r="S107" s="125">
        <f ca="1">HLOOKUP(O107,'Datos SS'!$B$4:$CZZ$16,(Q107+1),0)</f>
        <v>161.94911613893296</v>
      </c>
      <c r="T107" s="815">
        <f ca="1">IF(O107=YEAR($B$5),($B$9/12),IF(O107&gt;MIN(YEAR($B$7),YEAR($B$5)),($B$9/12)*(1+HLOOKUP(O107,'Datos SS'!$B$31:$CZZ$32,2,0))^(O107-YEAR($B$5)),T95/(1+HLOOKUP(O107,'Datos SS'!$B$31:$CZZ$32,2,0))))</f>
        <v>24054.922059689874</v>
      </c>
      <c r="U107" s="7">
        <f ca="1">IF(O107=2018,IF(Q107&lt;8,HLOOKUP(O107,'Datos SS'!$B$25:$BZZ$27,3,0)/12,HLOOKUP(O107,'Datos SS'!$B$25:$BZZ$26,2,0)/12),HLOOKUP(O107,'Datos SS'!$B$25:$BZZ$26,2,0)/12)</f>
        <v>5706.2086190622476</v>
      </c>
      <c r="V107" s="165">
        <f t="shared" ca="1" si="17"/>
        <v>5706.2086190622476</v>
      </c>
      <c r="W107" s="7">
        <f t="shared" ca="1" si="15"/>
        <v>6699.660110340631</v>
      </c>
      <c r="X107" s="149">
        <f ca="1">HLOOKUP(O107,'Datos SS'!$K$37:$EP$38,2,0)</f>
        <v>1483.6225120224542</v>
      </c>
      <c r="Y107">
        <f t="shared" ca="1" si="21"/>
        <v>1632</v>
      </c>
      <c r="AC107" s="648">
        <v>2153.1976482424066</v>
      </c>
      <c r="AD107" s="650">
        <f t="shared" ca="1" si="18"/>
        <v>-4546.4624620982249</v>
      </c>
    </row>
    <row r="108" spans="11:30">
      <c r="L108" s="4">
        <v>104</v>
      </c>
      <c r="M108" s="4">
        <f t="shared" ca="1" si="16"/>
        <v>0</v>
      </c>
      <c r="O108" s="4">
        <f t="shared" ca="1" si="19"/>
        <v>2035</v>
      </c>
      <c r="P108" s="4">
        <v>104</v>
      </c>
      <c r="Q108" s="4">
        <f t="shared" ca="1" si="20"/>
        <v>11</v>
      </c>
      <c r="S108" s="125">
        <f ca="1">HLOOKUP(O108,'Datos SS'!$B$4:$CZZ$16,(Q108+1),0)</f>
        <v>161.61621320118653</v>
      </c>
      <c r="T108" s="815">
        <f ca="1">IF(O108=YEAR($B$5),($B$9/12),IF(O108&gt;MIN(YEAR($B$7),YEAR($B$5)),($B$9/12)*(1+HLOOKUP(O108,'Datos SS'!$B$31:$CZZ$32,2,0))^(O108-YEAR($B$5)),T96/(1+HLOOKUP(O108,'Datos SS'!$B$31:$CZZ$32,2,0))))</f>
        <v>24054.922059689874</v>
      </c>
      <c r="U108" s="7">
        <f ca="1">IF(O108=2018,IF(Q108&lt;8,HLOOKUP(O108,'Datos SS'!$B$25:$BZZ$27,3,0)/12,HLOOKUP(O108,'Datos SS'!$B$25:$BZZ$26,2,0)/12),HLOOKUP(O108,'Datos SS'!$B$25:$BZZ$26,2,0)/12)</f>
        <v>5706.2086190622476</v>
      </c>
      <c r="V108" s="165">
        <f t="shared" ca="1" si="17"/>
        <v>5706.2086190622476</v>
      </c>
      <c r="W108" s="7">
        <f t="shared" ca="1" si="15"/>
        <v>6713.4603132315297</v>
      </c>
      <c r="X108" s="149">
        <f ca="1">HLOOKUP(O108,'Datos SS'!$K$37:$EP$38,2,0)</f>
        <v>1483.6225120224542</v>
      </c>
      <c r="Y108">
        <f t="shared" ca="1" si="21"/>
        <v>1631</v>
      </c>
      <c r="AC108" s="648">
        <v>2154.983807759344</v>
      </c>
      <c r="AD108" s="650">
        <f t="shared" ca="1" si="18"/>
        <v>-4558.4765054721856</v>
      </c>
    </row>
    <row r="109" spans="11:30">
      <c r="L109" s="4">
        <v>105</v>
      </c>
      <c r="M109" s="4">
        <f t="shared" ca="1" si="16"/>
        <v>0</v>
      </c>
      <c r="O109" s="4">
        <f t="shared" ca="1" si="19"/>
        <v>2035</v>
      </c>
      <c r="P109" s="4">
        <v>105</v>
      </c>
      <c r="Q109" s="4">
        <f t="shared" ca="1" si="20"/>
        <v>10</v>
      </c>
      <c r="S109" s="125">
        <f ca="1">HLOOKUP(O109,'Datos SS'!$B$4:$CZZ$16,(Q109+1),0)</f>
        <v>161.28399457940674</v>
      </c>
      <c r="T109" s="815">
        <f ca="1">IF(O109=YEAR($B$5),($B$9/12),IF(O109&gt;MIN(YEAR($B$7),YEAR($B$5)),($B$9/12)*(1+HLOOKUP(O109,'Datos SS'!$B$31:$CZZ$32,2,0))^(O109-YEAR($B$5)),T97/(1+HLOOKUP(O109,'Datos SS'!$B$31:$CZZ$32,2,0))))</f>
        <v>24054.922059689874</v>
      </c>
      <c r="U109" s="7">
        <f ca="1">IF(O109=2018,IF(Q109&lt;8,HLOOKUP(O109,'Datos SS'!$B$25:$BZZ$27,3,0)/12,HLOOKUP(O109,'Datos SS'!$B$25:$BZZ$26,2,0)/12),HLOOKUP(O109,'Datos SS'!$B$25:$BZZ$26,2,0)/12)</f>
        <v>5706.2086190622476</v>
      </c>
      <c r="V109" s="165">
        <f t="shared" ca="1" si="17"/>
        <v>5706.2086190622476</v>
      </c>
      <c r="W109" s="7">
        <f t="shared" ca="1" si="15"/>
        <v>6727.2889422808739</v>
      </c>
      <c r="X109" s="149">
        <f ca="1">HLOOKUP(O109,'Datos SS'!$K$37:$EP$38,2,0)</f>
        <v>1483.6225120224542</v>
      </c>
      <c r="Y109">
        <f t="shared" ca="1" si="21"/>
        <v>1630</v>
      </c>
      <c r="AC109" s="648">
        <v>2156.7714489636792</v>
      </c>
      <c r="AD109" s="650">
        <f t="shared" ca="1" si="18"/>
        <v>-4570.5174933171947</v>
      </c>
    </row>
    <row r="110" spans="11:30">
      <c r="L110" s="4">
        <v>106</v>
      </c>
      <c r="M110" s="4">
        <f t="shared" ca="1" si="16"/>
        <v>0</v>
      </c>
      <c r="O110" s="4">
        <f t="shared" ca="1" si="19"/>
        <v>2035</v>
      </c>
      <c r="P110" s="4">
        <v>106</v>
      </c>
      <c r="Q110" s="4">
        <f t="shared" ca="1" si="20"/>
        <v>9</v>
      </c>
      <c r="S110" s="125">
        <f ca="1">HLOOKUP(O110,'Datos SS'!$B$4:$CZZ$16,(Q110+1),0)</f>
        <v>160.95245886691231</v>
      </c>
      <c r="T110" s="815">
        <f ca="1">IF(O110=YEAR($B$5),($B$9/12),IF(O110&gt;MIN(YEAR($B$7),YEAR($B$5)),($B$9/12)*(1+HLOOKUP(O110,'Datos SS'!$B$31:$CZZ$32,2,0))^(O110-YEAR($B$5)),T98/(1+HLOOKUP(O110,'Datos SS'!$B$31:$CZZ$32,2,0))))</f>
        <v>24054.922059689874</v>
      </c>
      <c r="U110" s="7">
        <f ca="1">IF(O110=2018,IF(Q110&lt;8,HLOOKUP(O110,'Datos SS'!$B$25:$BZZ$27,3,0)/12,HLOOKUP(O110,'Datos SS'!$B$25:$BZZ$26,2,0)/12),HLOOKUP(O110,'Datos SS'!$B$25:$BZZ$26,2,0)/12)</f>
        <v>5706.2086190622476</v>
      </c>
      <c r="V110" s="165">
        <f t="shared" ca="1" si="17"/>
        <v>5706.2086190622476</v>
      </c>
      <c r="W110" s="7">
        <f t="shared" ca="1" si="15"/>
        <v>6741.1460560418955</v>
      </c>
      <c r="X110" s="149">
        <f ca="1">HLOOKUP(O110,'Datos SS'!$K$37:$EP$38,2,0)</f>
        <v>1483.6225120224542</v>
      </c>
      <c r="Y110">
        <f t="shared" ca="1" si="21"/>
        <v>1629</v>
      </c>
      <c r="AC110" s="648">
        <v>2116.2358559652239</v>
      </c>
      <c r="AD110" s="650">
        <f t="shared" ca="1" si="18"/>
        <v>-4624.9102000766716</v>
      </c>
    </row>
    <row r="111" spans="11:30">
      <c r="K111">
        <f>180+106</f>
        <v>286</v>
      </c>
      <c r="L111" s="4">
        <v>107</v>
      </c>
      <c r="M111" s="4">
        <f t="shared" ca="1" si="16"/>
        <v>0</v>
      </c>
      <c r="O111" s="4">
        <f t="shared" ca="1" si="19"/>
        <v>2035</v>
      </c>
      <c r="P111" s="4">
        <v>107</v>
      </c>
      <c r="Q111" s="4">
        <f t="shared" ca="1" si="20"/>
        <v>8</v>
      </c>
      <c r="S111" s="125">
        <f ca="1">HLOOKUP(O111,'Datos SS'!$B$4:$CZZ$16,(Q111+1),0)</f>
        <v>160.62160465991349</v>
      </c>
      <c r="T111" s="815">
        <f ca="1">IF(O111=YEAR($B$5),($B$9/12),IF(O111&gt;MIN(YEAR($B$7),YEAR($B$5)),($B$9/12)*(1+HLOOKUP(O111,'Datos SS'!$B$31:$CZZ$32,2,0))^(O111-YEAR($B$5)),T99/(1+HLOOKUP(O111,'Datos SS'!$B$31:$CZZ$32,2,0))))</f>
        <v>24054.922059689874</v>
      </c>
      <c r="U111" s="7">
        <f ca="1">IF(O111=2018,IF(Q111&lt;8,HLOOKUP(O111,'Datos SS'!$B$25:$BZZ$27,3,0)/12,HLOOKUP(O111,'Datos SS'!$B$25:$BZZ$26,2,0)/12),HLOOKUP(O111,'Datos SS'!$B$25:$BZZ$26,2,0)/12)</f>
        <v>5706.2086190622476</v>
      </c>
      <c r="V111" s="165">
        <f t="shared" ca="1" si="17"/>
        <v>5706.2086190622476</v>
      </c>
      <c r="W111" s="7">
        <f t="shared" ca="1" si="15"/>
        <v>6755.0317131884376</v>
      </c>
      <c r="X111" s="149">
        <f ca="1">HLOOKUP(O111,'Datos SS'!$K$37:$EP$38,2,0)</f>
        <v>1483.6225120224542</v>
      </c>
      <c r="Y111">
        <f t="shared" ca="1" si="21"/>
        <v>1628</v>
      </c>
      <c r="AC111" s="648">
        <v>2117.9913542666927</v>
      </c>
      <c r="AD111" s="650">
        <f t="shared" ca="1" si="18"/>
        <v>-4637.0403589217449</v>
      </c>
    </row>
    <row r="112" spans="11:30">
      <c r="L112" s="4">
        <v>108</v>
      </c>
      <c r="M112" s="4">
        <f t="shared" ca="1" si="16"/>
        <v>0</v>
      </c>
      <c r="O112" s="4">
        <f t="shared" ca="1" si="19"/>
        <v>2035</v>
      </c>
      <c r="P112" s="4">
        <v>108</v>
      </c>
      <c r="Q112" s="4">
        <f t="shared" ca="1" si="20"/>
        <v>7</v>
      </c>
      <c r="S112" s="125">
        <f ca="1">HLOOKUP(O112,'Datos SS'!$B$4:$CZZ$16,(Q112+1),0)</f>
        <v>160.29143055750615</v>
      </c>
      <c r="T112" s="815">
        <f ca="1">IF(O112=YEAR($B$5),($B$9/12),IF(O112&gt;MIN(YEAR($B$7),YEAR($B$5)),($B$9/12)*(1+HLOOKUP(O112,'Datos SS'!$B$31:$CZZ$32,2,0))^(O112-YEAR($B$5)),T100/(1+HLOOKUP(O112,'Datos SS'!$B$31:$CZZ$32,2,0))))</f>
        <v>24054.922059689874</v>
      </c>
      <c r="U112" s="7">
        <f ca="1">IF(O112=2018,IF(Q112&lt;8,HLOOKUP(O112,'Datos SS'!$B$25:$BZZ$27,3,0)/12,HLOOKUP(O112,'Datos SS'!$B$25:$BZZ$26,2,0)/12),HLOOKUP(O112,'Datos SS'!$B$25:$BZZ$26,2,0)/12)</f>
        <v>5706.2086190622476</v>
      </c>
      <c r="V112" s="165">
        <f t="shared" ca="1" si="17"/>
        <v>5706.2086190622476</v>
      </c>
      <c r="W112" s="7">
        <f t="shared" ca="1" si="15"/>
        <v>6768.9459725152019</v>
      </c>
      <c r="X112" s="149">
        <f ca="1">HLOOKUP(O112,'Datos SS'!$K$37:$EP$38,2,0)</f>
        <v>1483.6225120224542</v>
      </c>
      <c r="Y112">
        <f t="shared" ca="1" si="21"/>
        <v>1627</v>
      </c>
      <c r="AC112" s="648">
        <v>2119.7483088209124</v>
      </c>
      <c r="AD112" s="650">
        <f t="shared" ca="1" si="18"/>
        <v>-4649.1976636942891</v>
      </c>
    </row>
    <row r="113" spans="12:30">
      <c r="L113" s="4">
        <v>109</v>
      </c>
      <c r="M113" s="4">
        <f t="shared" ca="1" si="16"/>
        <v>0</v>
      </c>
      <c r="O113" s="4">
        <f t="shared" ca="1" si="19"/>
        <v>2035</v>
      </c>
      <c r="P113" s="4">
        <v>109</v>
      </c>
      <c r="Q113" s="4">
        <f t="shared" ca="1" si="20"/>
        <v>6</v>
      </c>
      <c r="S113" s="125">
        <f ca="1">HLOOKUP(O113,'Datos SS'!$B$4:$CZZ$16,(Q113+1),0)</f>
        <v>159.96193516166591</v>
      </c>
      <c r="T113" s="815">
        <f ca="1">IF(O113=YEAR($B$5),($B$9/12),IF(O113&gt;MIN(YEAR($B$7),YEAR($B$5)),($B$9/12)*(1+HLOOKUP(O113,'Datos SS'!$B$31:$CZZ$32,2,0))^(O113-YEAR($B$5)),T101/(1+HLOOKUP(O113,'Datos SS'!$B$31:$CZZ$32,2,0))))</f>
        <v>24054.922059689874</v>
      </c>
      <c r="U113" s="7">
        <f ca="1">IF(O113=2018,IF(Q113&lt;8,HLOOKUP(O113,'Datos SS'!$B$25:$BZZ$27,3,0)/12,HLOOKUP(O113,'Datos SS'!$B$25:$BZZ$26,2,0)/12),HLOOKUP(O113,'Datos SS'!$B$25:$BZZ$26,2,0)/12)</f>
        <v>5706.2086190622476</v>
      </c>
      <c r="V113" s="165">
        <f t="shared" ca="1" si="17"/>
        <v>5706.2086190622476</v>
      </c>
      <c r="W113" s="7">
        <f t="shared" ca="1" si="15"/>
        <v>6782.8888929379946</v>
      </c>
      <c r="X113" s="149">
        <f ca="1">HLOOKUP(O113,'Datos SS'!$K$37:$EP$38,2,0)</f>
        <v>1483.6225120224542</v>
      </c>
      <c r="Y113">
        <f t="shared" ca="1" si="21"/>
        <v>1626</v>
      </c>
      <c r="AC113" s="648">
        <v>2121.5067208359005</v>
      </c>
      <c r="AD113" s="650">
        <f t="shared" ca="1" si="18"/>
        <v>-4661.382172102094</v>
      </c>
    </row>
    <row r="114" spans="12:30">
      <c r="L114" s="4">
        <v>110</v>
      </c>
      <c r="M114" s="4">
        <f t="shared" ca="1" si="16"/>
        <v>0</v>
      </c>
      <c r="O114" s="4">
        <f t="shared" ca="1" si="19"/>
        <v>2035</v>
      </c>
      <c r="P114" s="4">
        <v>110</v>
      </c>
      <c r="Q114" s="4">
        <f t="shared" ca="1" si="20"/>
        <v>5</v>
      </c>
      <c r="S114" s="125">
        <f ca="1">HLOOKUP(O114,'Datos SS'!$B$4:$CZZ$16,(Q114+1),0)</f>
        <v>159.63311707724216</v>
      </c>
      <c r="T114" s="815">
        <f ca="1">IF(O114=YEAR($B$5),($B$9/12),IF(O114&gt;MIN(YEAR($B$7),YEAR($B$5)),($B$9/12)*(1+HLOOKUP(O114,'Datos SS'!$B$31:$CZZ$32,2,0))^(O114-YEAR($B$5)),T102/(1+HLOOKUP(O114,'Datos SS'!$B$31:$CZZ$32,2,0))))</f>
        <v>24054.922059689874</v>
      </c>
      <c r="U114" s="7">
        <f ca="1">IF(O114=2018,IF(Q114&lt;8,HLOOKUP(O114,'Datos SS'!$B$25:$BZZ$27,3,0)/12,HLOOKUP(O114,'Datos SS'!$B$25:$BZZ$26,2,0)/12),HLOOKUP(O114,'Datos SS'!$B$25:$BZZ$26,2,0)/12)</f>
        <v>5706.2086190622476</v>
      </c>
      <c r="V114" s="165">
        <f t="shared" ca="1" si="17"/>
        <v>5706.2086190622476</v>
      </c>
      <c r="W114" s="7">
        <f t="shared" ca="1" si="15"/>
        <v>6796.8605334939812</v>
      </c>
      <c r="X114" s="149">
        <f ca="1">HLOOKUP(O114,'Datos SS'!$K$37:$EP$38,2,0)</f>
        <v>1483.6225120224542</v>
      </c>
      <c r="Y114">
        <f t="shared" ca="1" si="21"/>
        <v>1625</v>
      </c>
      <c r="AC114" s="648">
        <v>2123.2665915206753</v>
      </c>
      <c r="AD114" s="650">
        <f t="shared" ca="1" si="18"/>
        <v>-4673.5939419733058</v>
      </c>
    </row>
    <row r="115" spans="12:30">
      <c r="L115" s="4">
        <v>111</v>
      </c>
      <c r="M115" s="4">
        <f t="shared" ca="1" si="16"/>
        <v>0</v>
      </c>
      <c r="O115" s="4">
        <f t="shared" ca="1" si="19"/>
        <v>2035</v>
      </c>
      <c r="P115" s="4">
        <v>111</v>
      </c>
      <c r="Q115" s="4">
        <f t="shared" ca="1" si="20"/>
        <v>4</v>
      </c>
      <c r="S115" s="125">
        <f ca="1">HLOOKUP(O115,'Datos SS'!$B$4:$CZZ$16,(Q115+1),0)</f>
        <v>159.30497491195214</v>
      </c>
      <c r="T115" s="815">
        <f ca="1">IF(O115=YEAR($B$5),($B$9/12),IF(O115&gt;MIN(YEAR($B$7),YEAR($B$5)),($B$9/12)*(1+HLOOKUP(O115,'Datos SS'!$B$31:$CZZ$32,2,0))^(O115-YEAR($B$5)),T103/(1+HLOOKUP(O115,'Datos SS'!$B$31:$CZZ$32,2,0))))</f>
        <v>24054.922059689874</v>
      </c>
      <c r="U115" s="7">
        <f ca="1">IF(O115=2018,IF(Q115&lt;8,HLOOKUP(O115,'Datos SS'!$B$25:$BZZ$27,3,0)/12,HLOOKUP(O115,'Datos SS'!$B$25:$BZZ$26,2,0)/12),HLOOKUP(O115,'Datos SS'!$B$25:$BZZ$26,2,0)/12)</f>
        <v>5706.2086190622476</v>
      </c>
      <c r="V115" s="165">
        <f t="shared" ca="1" si="17"/>
        <v>5706.2086190622476</v>
      </c>
      <c r="W115" s="7">
        <f t="shared" ca="1" si="15"/>
        <v>6810.8609533419349</v>
      </c>
      <c r="X115" s="149">
        <f ca="1">HLOOKUP(O115,'Datos SS'!$K$37:$EP$38,2,0)</f>
        <v>1483.6225120224542</v>
      </c>
      <c r="Y115">
        <f t="shared" ca="1" si="21"/>
        <v>1624</v>
      </c>
      <c r="AC115" s="648">
        <v>2125.0279220852599</v>
      </c>
      <c r="AD115" s="650">
        <f t="shared" ca="1" si="18"/>
        <v>-4685.833031256675</v>
      </c>
    </row>
    <row r="116" spans="12:30">
      <c r="L116" s="4">
        <v>112</v>
      </c>
      <c r="M116" s="4">
        <f t="shared" ca="1" si="16"/>
        <v>0</v>
      </c>
      <c r="O116" s="4">
        <f t="shared" ca="1" si="19"/>
        <v>2035</v>
      </c>
      <c r="P116" s="4">
        <v>112</v>
      </c>
      <c r="Q116" s="4">
        <f t="shared" ca="1" si="20"/>
        <v>3</v>
      </c>
      <c r="S116" s="125">
        <f ca="1">HLOOKUP(O116,'Datos SS'!$B$4:$CZZ$16,(Q116+1),0)</f>
        <v>158.97750727637506</v>
      </c>
      <c r="T116" s="815">
        <f ca="1">IF(O116=YEAR($B$5),($B$9/12),IF(O116&gt;MIN(YEAR($B$7),YEAR($B$5)),($B$9/12)*(1+HLOOKUP(O116,'Datos SS'!$B$31:$CZZ$32,2,0))^(O116-YEAR($B$5)),T104/(1+HLOOKUP(O116,'Datos SS'!$B$31:$CZZ$32,2,0))))</f>
        <v>24054.922059689874</v>
      </c>
      <c r="U116" s="7">
        <f ca="1">IF(O116=2018,IF(Q116&lt;8,HLOOKUP(O116,'Datos SS'!$B$25:$BZZ$27,3,0)/12,HLOOKUP(O116,'Datos SS'!$B$25:$BZZ$26,2,0)/12),HLOOKUP(O116,'Datos SS'!$B$25:$BZZ$26,2,0)/12)</f>
        <v>5706.2086190622476</v>
      </c>
      <c r="V116" s="165">
        <f t="shared" ca="1" si="17"/>
        <v>5706.2086190622476</v>
      </c>
      <c r="W116" s="7">
        <f t="shared" ca="1" si="15"/>
        <v>6824.8902117624848</v>
      </c>
      <c r="X116" s="149">
        <f ca="1">HLOOKUP(O116,'Datos SS'!$K$37:$EP$38,2,0)</f>
        <v>1483.6225120224542</v>
      </c>
      <c r="Y116">
        <f t="shared" ca="1" si="21"/>
        <v>1623</v>
      </c>
      <c r="AC116" s="648">
        <v>2126.7907137406792</v>
      </c>
      <c r="AD116" s="650">
        <f t="shared" ca="1" si="18"/>
        <v>-4698.0994980218056</v>
      </c>
    </row>
    <row r="117" spans="12:30">
      <c r="L117" s="4">
        <v>113</v>
      </c>
      <c r="M117" s="4">
        <f t="shared" ca="1" si="16"/>
        <v>0</v>
      </c>
      <c r="O117" s="4">
        <f t="shared" ca="1" si="19"/>
        <v>2035</v>
      </c>
      <c r="P117" s="4">
        <v>113</v>
      </c>
      <c r="Q117" s="4">
        <f t="shared" ca="1" si="20"/>
        <v>2</v>
      </c>
      <c r="S117" s="125">
        <f ca="1">HLOOKUP(O117,'Datos SS'!$B$4:$CZZ$16,(Q117+1),0)</f>
        <v>158.65071278394629</v>
      </c>
      <c r="T117" s="815">
        <f ca="1">IF(O117=YEAR($B$5),($B$9/12),IF(O117&gt;MIN(YEAR($B$7),YEAR($B$5)),($B$9/12)*(1+HLOOKUP(O117,'Datos SS'!$B$31:$CZZ$32,2,0))^(O117-YEAR($B$5)),T105/(1+HLOOKUP(O117,'Datos SS'!$B$31:$CZZ$32,2,0))))</f>
        <v>24054.922059689874</v>
      </c>
      <c r="U117" s="7">
        <f ca="1">IF(O117=2018,IF(Q117&lt;8,HLOOKUP(O117,'Datos SS'!$B$25:$BZZ$27,3,0)/12,HLOOKUP(O117,'Datos SS'!$B$25:$BZZ$26,2,0)/12),HLOOKUP(O117,'Datos SS'!$B$25:$BZZ$26,2,0)/12)</f>
        <v>5706.2086190622476</v>
      </c>
      <c r="V117" s="165">
        <f t="shared" ca="1" si="17"/>
        <v>5706.2086190622476</v>
      </c>
      <c r="W117" s="7">
        <f t="shared" ca="1" si="15"/>
        <v>6838.9483681583679</v>
      </c>
      <c r="X117" s="149">
        <f ca="1">HLOOKUP(O117,'Datos SS'!$K$37:$EP$38,2,0)</f>
        <v>1483.6225120224542</v>
      </c>
      <c r="Y117">
        <f t="shared" ca="1" si="21"/>
        <v>1622</v>
      </c>
      <c r="AC117" s="648">
        <v>2128.5549676989644</v>
      </c>
      <c r="AD117" s="650">
        <f t="shared" ca="1" si="18"/>
        <v>-4710.393400459403</v>
      </c>
    </row>
    <row r="118" spans="12:30">
      <c r="L118" s="4">
        <v>114</v>
      </c>
      <c r="M118" s="4">
        <f t="shared" ca="1" si="16"/>
        <v>0</v>
      </c>
      <c r="O118" s="4">
        <f t="shared" ca="1" si="19"/>
        <v>2035</v>
      </c>
      <c r="P118" s="4">
        <v>114</v>
      </c>
      <c r="Q118" s="4">
        <f t="shared" ca="1" si="20"/>
        <v>1</v>
      </c>
      <c r="S118" s="125">
        <f ca="1">HLOOKUP(O118,'Datos SS'!$B$4:$CZZ$16,(Q118+1),0)</f>
        <v>158.32459005095134</v>
      </c>
      <c r="T118" s="815">
        <f ca="1">IF(O118=YEAR($B$5),($B$9/12),IF(O118&gt;MIN(YEAR($B$7),YEAR($B$5)),($B$9/12)*(1+HLOOKUP(O118,'Datos SS'!$B$31:$CZZ$32,2,0))^(O118-YEAR($B$5)),T106/(1+HLOOKUP(O118,'Datos SS'!$B$31:$CZZ$32,2,0))))</f>
        <v>24054.922059689874</v>
      </c>
      <c r="U118" s="7">
        <f ca="1">IF(O118=2018,IF(Q118&lt;8,HLOOKUP(O118,'Datos SS'!$B$25:$BZZ$27,3,0)/12,HLOOKUP(O118,'Datos SS'!$B$25:$BZZ$26,2,0)/12),HLOOKUP(O118,'Datos SS'!$B$25:$BZZ$26,2,0)/12)</f>
        <v>5706.2086190622476</v>
      </c>
      <c r="V118" s="165">
        <f t="shared" ca="1" si="17"/>
        <v>5706.2086190622476</v>
      </c>
      <c r="W118" s="7">
        <f t="shared" ca="1" si="15"/>
        <v>6853.0354820546827</v>
      </c>
      <c r="X118" s="149">
        <f ca="1">HLOOKUP(O118,'Datos SS'!$K$37:$EP$38,2,0)</f>
        <v>1483.6225120224542</v>
      </c>
      <c r="Y118">
        <f t="shared" ca="1" si="21"/>
        <v>1621</v>
      </c>
      <c r="AC118" s="648">
        <v>2130.320685173152</v>
      </c>
      <c r="AD118" s="650">
        <f t="shared" ca="1" si="18"/>
        <v>-4722.7147968815307</v>
      </c>
    </row>
    <row r="119" spans="12:30">
      <c r="L119" s="4">
        <v>115</v>
      </c>
      <c r="M119" s="4">
        <f t="shared" ca="1" si="16"/>
        <v>0</v>
      </c>
      <c r="O119" s="4">
        <f t="shared" ca="1" si="19"/>
        <v>2034</v>
      </c>
      <c r="P119" s="4">
        <v>115</v>
      </c>
      <c r="Q119" s="4">
        <f t="shared" ca="1" si="20"/>
        <v>12</v>
      </c>
      <c r="S119" s="125">
        <f ca="1">HLOOKUP(O119,'Datos SS'!$B$4:$CZZ$16,(Q119+1),0)</f>
        <v>157.99913769652017</v>
      </c>
      <c r="T119" s="815">
        <f ca="1">IF(O119=YEAR($B$5),($B$9/12),IF(O119&gt;MIN(YEAR($B$7),YEAR($B$5)),($B$9/12)*(1+HLOOKUP(O119,'Datos SS'!$B$31:$CZZ$32,2,0))^(O119-YEAR($B$5)),T107/(1+HLOOKUP(O119,'Datos SS'!$B$31:$CZZ$32,2,0))))</f>
        <v>23468.216643599877</v>
      </c>
      <c r="U119" s="7">
        <f ca="1">IF(O119=2018,IF(Q119&lt;8,HLOOKUP(O119,'Datos SS'!$B$25:$BZZ$27,3,0)/12,HLOOKUP(O119,'Datos SS'!$B$25:$BZZ$26,2,0)/12),HLOOKUP(O119,'Datos SS'!$B$25:$BZZ$26,2,0)/12)</f>
        <v>5567.032799085121</v>
      </c>
      <c r="V119" s="165">
        <f t="shared" ca="1" si="17"/>
        <v>5567.032799085121</v>
      </c>
      <c r="W119" s="7">
        <f t="shared" ca="1" si="15"/>
        <v>6699.6601103406256</v>
      </c>
      <c r="X119" s="149">
        <f ca="1">HLOOKUP(O119,'Datos SS'!$K$37:$EP$38,2,0)</f>
        <v>1447.4365970950773</v>
      </c>
      <c r="Y119">
        <f t="shared" ca="1" si="21"/>
        <v>1620</v>
      </c>
      <c r="AC119" s="648">
        <v>2132.0878673772831</v>
      </c>
      <c r="AD119" s="650">
        <f t="shared" ca="1" si="18"/>
        <v>-4567.5722429633424</v>
      </c>
    </row>
    <row r="120" spans="12:30">
      <c r="L120" s="4">
        <v>116</v>
      </c>
      <c r="M120" s="4">
        <f t="shared" ca="1" si="16"/>
        <v>0</v>
      </c>
      <c r="O120" s="4">
        <f t="shared" ca="1" si="19"/>
        <v>2034</v>
      </c>
      <c r="P120" s="4">
        <v>116</v>
      </c>
      <c r="Q120" s="4">
        <f t="shared" ca="1" si="20"/>
        <v>11</v>
      </c>
      <c r="S120" s="125">
        <f ca="1">HLOOKUP(O120,'Datos SS'!$B$4:$CZZ$16,(Q120+1),0)</f>
        <v>157.6743543426212</v>
      </c>
      <c r="T120" s="815">
        <f ca="1">IF(O120=YEAR($B$5),($B$9/12),IF(O120&gt;MIN(YEAR($B$7),YEAR($B$5)),($B$9/12)*(1+HLOOKUP(O120,'Datos SS'!$B$31:$CZZ$32,2,0))^(O120-YEAR($B$5)),T108/(1+HLOOKUP(O120,'Datos SS'!$B$31:$CZZ$32,2,0))))</f>
        <v>23468.216643599877</v>
      </c>
      <c r="U120" s="7">
        <f ca="1">IF(O120=2018,IF(Q120&lt;8,HLOOKUP(O120,'Datos SS'!$B$25:$BZZ$27,3,0)/12,HLOOKUP(O120,'Datos SS'!$B$25:$BZZ$26,2,0)/12),HLOOKUP(O120,'Datos SS'!$B$25:$BZZ$26,2,0)/12)</f>
        <v>5567.032799085121</v>
      </c>
      <c r="V120" s="165">
        <f t="shared" ca="1" si="17"/>
        <v>5567.032799085121</v>
      </c>
      <c r="W120" s="7">
        <f t="shared" ca="1" si="15"/>
        <v>6713.4603132315242</v>
      </c>
      <c r="X120" s="149">
        <f ca="1">HLOOKUP(O120,'Datos SS'!$K$37:$EP$38,2,0)</f>
        <v>1447.4365970950773</v>
      </c>
      <c r="Y120">
        <f t="shared" ca="1" si="21"/>
        <v>1619</v>
      </c>
      <c r="AC120" s="648">
        <v>2133.8565155264077</v>
      </c>
      <c r="AD120" s="650">
        <f t="shared" ca="1" si="18"/>
        <v>-4579.6037977051164</v>
      </c>
    </row>
    <row r="121" spans="12:30">
      <c r="L121" s="4">
        <v>117</v>
      </c>
      <c r="M121" s="4">
        <f t="shared" ca="1" si="16"/>
        <v>0</v>
      </c>
      <c r="O121" s="4">
        <f t="shared" ca="1" si="19"/>
        <v>2034</v>
      </c>
      <c r="P121" s="4">
        <v>117</v>
      </c>
      <c r="Q121" s="4">
        <f t="shared" ca="1" si="20"/>
        <v>10</v>
      </c>
      <c r="S121" s="125">
        <f ca="1">HLOOKUP(O121,'Datos SS'!$B$4:$CZZ$16,(Q121+1),0)</f>
        <v>157.35023861405557</v>
      </c>
      <c r="T121" s="815">
        <f ca="1">IF(O121=YEAR($B$5),($B$9/12),IF(O121&gt;MIN(YEAR($B$7),YEAR($B$5)),($B$9/12)*(1+HLOOKUP(O121,'Datos SS'!$B$31:$CZZ$32,2,0))^(O121-YEAR($B$5)),T109/(1+HLOOKUP(O121,'Datos SS'!$B$31:$CZZ$32,2,0))))</f>
        <v>23468.216643599877</v>
      </c>
      <c r="U121" s="7">
        <f ca="1">IF(O121=2018,IF(Q121&lt;8,HLOOKUP(O121,'Datos SS'!$B$25:$BZZ$27,3,0)/12,HLOOKUP(O121,'Datos SS'!$B$25:$BZZ$26,2,0)/12),HLOOKUP(O121,'Datos SS'!$B$25:$BZZ$26,2,0)/12)</f>
        <v>5567.032799085121</v>
      </c>
      <c r="V121" s="165">
        <f t="shared" ca="1" si="17"/>
        <v>5567.032799085121</v>
      </c>
      <c r="W121" s="7">
        <f t="shared" ca="1" si="15"/>
        <v>6727.2889422808676</v>
      </c>
      <c r="X121" s="149">
        <f ca="1">HLOOKUP(O121,'Datos SS'!$K$37:$EP$38,2,0)</f>
        <v>1447.4365970950773</v>
      </c>
      <c r="Y121">
        <f t="shared" ca="1" si="21"/>
        <v>1618</v>
      </c>
      <c r="AC121" s="648">
        <v>2135.6266308365825</v>
      </c>
      <c r="AD121" s="650">
        <f t="shared" ca="1" si="18"/>
        <v>-4591.6623114442846</v>
      </c>
    </row>
    <row r="122" spans="12:30">
      <c r="L122" s="4">
        <v>118</v>
      </c>
      <c r="M122" s="4">
        <f t="shared" ca="1" si="16"/>
        <v>0</v>
      </c>
      <c r="O122" s="4">
        <f t="shared" ca="1" si="19"/>
        <v>2034</v>
      </c>
      <c r="P122" s="4">
        <v>118</v>
      </c>
      <c r="Q122" s="4">
        <f t="shared" ca="1" si="20"/>
        <v>9</v>
      </c>
      <c r="S122" s="125">
        <f ca="1">HLOOKUP(O122,'Datos SS'!$B$4:$CZZ$16,(Q122+1),0)</f>
        <v>157.02678913845125</v>
      </c>
      <c r="T122" s="815">
        <f ca="1">IF(O122=YEAR($B$5),($B$9/12),IF(O122&gt;MIN(YEAR($B$7),YEAR($B$5)),($B$9/12)*(1+HLOOKUP(O122,'Datos SS'!$B$31:$CZZ$32,2,0))^(O122-YEAR($B$5)),T110/(1+HLOOKUP(O122,'Datos SS'!$B$31:$CZZ$32,2,0))))</f>
        <v>23468.216643599877</v>
      </c>
      <c r="U122" s="7">
        <f ca="1">IF(O122=2018,IF(Q122&lt;8,HLOOKUP(O122,'Datos SS'!$B$25:$BZZ$27,3,0)/12,HLOOKUP(O122,'Datos SS'!$B$25:$BZZ$26,2,0)/12),HLOOKUP(O122,'Datos SS'!$B$25:$BZZ$26,2,0)/12)</f>
        <v>5567.032799085121</v>
      </c>
      <c r="V122" s="165">
        <f t="shared" ca="1" si="17"/>
        <v>5567.032799085121</v>
      </c>
      <c r="W122" s="7">
        <f t="shared" ca="1" si="15"/>
        <v>6741.1460560418891</v>
      </c>
      <c r="X122" s="149">
        <f ca="1">HLOOKUP(O122,'Datos SS'!$K$37:$EP$38,2,0)</f>
        <v>1447.4365970950773</v>
      </c>
      <c r="Y122">
        <f t="shared" ca="1" si="21"/>
        <v>1617</v>
      </c>
      <c r="AC122" s="648">
        <v>2095.4884456126215</v>
      </c>
      <c r="AD122" s="650">
        <f t="shared" ca="1" si="18"/>
        <v>-4645.6576104292672</v>
      </c>
    </row>
    <row r="123" spans="12:30">
      <c r="L123" s="4">
        <v>119</v>
      </c>
      <c r="M123" s="4">
        <f t="shared" ca="1" si="16"/>
        <v>0</v>
      </c>
      <c r="O123" s="4">
        <f t="shared" ca="1" si="19"/>
        <v>2034</v>
      </c>
      <c r="P123" s="4">
        <v>119</v>
      </c>
      <c r="Q123" s="4">
        <f t="shared" ca="1" si="20"/>
        <v>8</v>
      </c>
      <c r="S123" s="125">
        <f ca="1">HLOOKUP(O123,'Datos SS'!$B$4:$CZZ$16,(Q123+1),0)</f>
        <v>156.70400454625727</v>
      </c>
      <c r="T123" s="815">
        <f ca="1">IF(O123=YEAR($B$5),($B$9/12),IF(O123&gt;MIN(YEAR($B$7),YEAR($B$5)),($B$9/12)*(1+HLOOKUP(O123,'Datos SS'!$B$31:$CZZ$32,2,0))^(O123-YEAR($B$5)),T111/(1+HLOOKUP(O123,'Datos SS'!$B$31:$CZZ$32,2,0))))</f>
        <v>23468.216643599877</v>
      </c>
      <c r="U123" s="7">
        <f ca="1">IF(O123=2018,IF(Q123&lt;8,HLOOKUP(O123,'Datos SS'!$B$25:$BZZ$27,3,0)/12,HLOOKUP(O123,'Datos SS'!$B$25:$BZZ$26,2,0)/12),HLOOKUP(O123,'Datos SS'!$B$25:$BZZ$26,2,0)/12)</f>
        <v>5567.032799085121</v>
      </c>
      <c r="V123" s="165">
        <f t="shared" ca="1" si="17"/>
        <v>5567.032799085121</v>
      </c>
      <c r="W123" s="7">
        <f t="shared" ca="1" si="15"/>
        <v>6755.0317131884312</v>
      </c>
      <c r="X123" s="149">
        <f ca="1">HLOOKUP(O123,'Datos SS'!$K$37:$EP$38,2,0)</f>
        <v>1447.4365970950773</v>
      </c>
      <c r="Y123">
        <f t="shared" ca="1" si="21"/>
        <v>1616</v>
      </c>
      <c r="AC123" s="648">
        <v>2097.2267331464291</v>
      </c>
      <c r="AD123" s="650">
        <f t="shared" ca="1" si="18"/>
        <v>-4657.8049800420022</v>
      </c>
    </row>
    <row r="124" spans="12:30">
      <c r="L124" s="4">
        <v>120</v>
      </c>
      <c r="M124" s="4">
        <f t="shared" ca="1" si="16"/>
        <v>0</v>
      </c>
      <c r="O124" s="4">
        <f t="shared" ca="1" si="19"/>
        <v>2034</v>
      </c>
      <c r="P124" s="4">
        <v>120</v>
      </c>
      <c r="Q124" s="4">
        <f t="shared" ca="1" si="20"/>
        <v>7</v>
      </c>
      <c r="S124" s="125">
        <f ca="1">HLOOKUP(O124,'Datos SS'!$B$4:$CZZ$16,(Q124+1),0)</f>
        <v>156.38188347073793</v>
      </c>
      <c r="T124" s="815">
        <f ca="1">IF(O124=YEAR($B$5),($B$9/12),IF(O124&gt;MIN(YEAR($B$7),YEAR($B$5)),($B$9/12)*(1+HLOOKUP(O124,'Datos SS'!$B$31:$CZZ$32,2,0))^(O124-YEAR($B$5)),T112/(1+HLOOKUP(O124,'Datos SS'!$B$31:$CZZ$32,2,0))))</f>
        <v>23468.216643599877</v>
      </c>
      <c r="U124" s="7">
        <f ca="1">IF(O124=2018,IF(Q124&lt;8,HLOOKUP(O124,'Datos SS'!$B$25:$BZZ$27,3,0)/12,HLOOKUP(O124,'Datos SS'!$B$25:$BZZ$26,2,0)/12),HLOOKUP(O124,'Datos SS'!$B$25:$BZZ$26,2,0)/12)</f>
        <v>5567.032799085121</v>
      </c>
      <c r="V124" s="165">
        <f t="shared" ca="1" si="17"/>
        <v>5567.032799085121</v>
      </c>
      <c r="W124" s="7">
        <f t="shared" ca="1" si="15"/>
        <v>6768.9459725151946</v>
      </c>
      <c r="X124" s="149">
        <f ca="1">HLOOKUP(O124,'Datos SS'!$K$37:$EP$38,2,0)</f>
        <v>1447.4365970950773</v>
      </c>
      <c r="Y124">
        <f t="shared" ca="1" si="21"/>
        <v>1615</v>
      </c>
      <c r="AC124" s="648">
        <v>2098.9664626559997</v>
      </c>
      <c r="AD124" s="650">
        <f t="shared" ca="1" si="18"/>
        <v>-4669.9795098591949</v>
      </c>
    </row>
    <row r="125" spans="12:30">
      <c r="L125" s="4">
        <v>121</v>
      </c>
      <c r="M125" s="4">
        <f t="shared" ca="1" si="16"/>
        <v>0</v>
      </c>
      <c r="O125" s="4">
        <f t="shared" ca="1" si="19"/>
        <v>2034</v>
      </c>
      <c r="P125" s="4">
        <v>121</v>
      </c>
      <c r="Q125" s="4">
        <f t="shared" ca="1" si="20"/>
        <v>6</v>
      </c>
      <c r="S125" s="125">
        <f ca="1">HLOOKUP(O125,'Datos SS'!$B$4:$CZZ$16,(Q125+1),0)</f>
        <v>156.06042454796696</v>
      </c>
      <c r="T125" s="815">
        <f ca="1">IF(O125=YEAR($B$5),($B$9/12),IF(O125&gt;MIN(YEAR($B$7),YEAR($B$5)),($B$9/12)*(1+HLOOKUP(O125,'Datos SS'!$B$31:$CZZ$32,2,0))^(O125-YEAR($B$5)),T113/(1+HLOOKUP(O125,'Datos SS'!$B$31:$CZZ$32,2,0))))</f>
        <v>23468.216643599877</v>
      </c>
      <c r="U125" s="7">
        <f ca="1">IF(O125=2018,IF(Q125&lt;8,HLOOKUP(O125,'Datos SS'!$B$25:$BZZ$27,3,0)/12,HLOOKUP(O125,'Datos SS'!$B$25:$BZZ$26,2,0)/12),HLOOKUP(O125,'Datos SS'!$B$25:$BZZ$26,2,0)/12)</f>
        <v>5567.032799085121</v>
      </c>
      <c r="V125" s="165">
        <f t="shared" ca="1" si="17"/>
        <v>5567.032799085121</v>
      </c>
      <c r="W125" s="7">
        <f t="shared" ca="1" si="15"/>
        <v>6782.8888929379882</v>
      </c>
      <c r="X125" s="149">
        <f ca="1">HLOOKUP(O125,'Datos SS'!$K$37:$EP$38,2,0)</f>
        <v>1447.4365970950773</v>
      </c>
      <c r="Y125">
        <f t="shared" ca="1" si="21"/>
        <v>1614</v>
      </c>
      <c r="AC125" s="648">
        <v>2100.7076353375073</v>
      </c>
      <c r="AD125" s="650">
        <f t="shared" ca="1" si="18"/>
        <v>-4682.1812576004813</v>
      </c>
    </row>
    <row r="126" spans="12:30">
      <c r="L126" s="4">
        <v>122</v>
      </c>
      <c r="M126" s="4">
        <f t="shared" ca="1" si="16"/>
        <v>0</v>
      </c>
      <c r="O126" s="4">
        <f t="shared" ca="1" si="19"/>
        <v>2034</v>
      </c>
      <c r="P126" s="4">
        <v>122</v>
      </c>
      <c r="Q126" s="4">
        <f t="shared" ca="1" si="20"/>
        <v>5</v>
      </c>
      <c r="S126" s="125">
        <f ca="1">HLOOKUP(O126,'Datos SS'!$B$4:$CZZ$16,(Q126+1),0)</f>
        <v>155.73962641682184</v>
      </c>
      <c r="T126" s="815">
        <f ca="1">IF(O126=YEAR($B$5),($B$9/12),IF(O126&gt;MIN(YEAR($B$7),YEAR($B$5)),($B$9/12)*(1+HLOOKUP(O126,'Datos SS'!$B$31:$CZZ$32,2,0))^(O126-YEAR($B$5)),T114/(1+HLOOKUP(O126,'Datos SS'!$B$31:$CZZ$32,2,0))))</f>
        <v>23468.216643599877</v>
      </c>
      <c r="U126" s="7">
        <f ca="1">IF(O126=2018,IF(Q126&lt;8,HLOOKUP(O126,'Datos SS'!$B$25:$BZZ$27,3,0)/12,HLOOKUP(O126,'Datos SS'!$B$25:$BZZ$26,2,0)/12),HLOOKUP(O126,'Datos SS'!$B$25:$BZZ$26,2,0)/12)</f>
        <v>5567.032799085121</v>
      </c>
      <c r="V126" s="165">
        <f t="shared" ca="1" si="17"/>
        <v>5567.032799085121</v>
      </c>
      <c r="W126" s="7">
        <f t="shared" ca="1" si="15"/>
        <v>6796.8605334939748</v>
      </c>
      <c r="X126" s="149">
        <f ca="1">HLOOKUP(O126,'Datos SS'!$K$37:$EP$38,2,0)</f>
        <v>1447.4365970950773</v>
      </c>
      <c r="Y126">
        <f t="shared" ca="1" si="21"/>
        <v>1613</v>
      </c>
      <c r="AC126" s="648">
        <v>2102.4502523881174</v>
      </c>
      <c r="AD126" s="650">
        <f t="shared" ca="1" si="18"/>
        <v>-4694.4102811058574</v>
      </c>
    </row>
    <row r="127" spans="12:30">
      <c r="L127" s="4">
        <v>123</v>
      </c>
      <c r="M127" s="4">
        <f t="shared" ca="1" si="16"/>
        <v>0</v>
      </c>
      <c r="O127" s="4">
        <f t="shared" ca="1" si="19"/>
        <v>2034</v>
      </c>
      <c r="P127" s="4">
        <v>123</v>
      </c>
      <c r="Q127" s="4">
        <f t="shared" ca="1" si="20"/>
        <v>4</v>
      </c>
      <c r="S127" s="125">
        <f ca="1">HLOOKUP(O127,'Datos SS'!$B$4:$CZZ$16,(Q127+1),0)</f>
        <v>155.4194877189779</v>
      </c>
      <c r="T127" s="815">
        <f ca="1">IF(O127=YEAR($B$5),($B$9/12),IF(O127&gt;MIN(YEAR($B$7),YEAR($B$5)),($B$9/12)*(1+HLOOKUP(O127,'Datos SS'!$B$31:$CZZ$32,2,0))^(O127-YEAR($B$5)),T115/(1+HLOOKUP(O127,'Datos SS'!$B$31:$CZZ$32,2,0))))</f>
        <v>23468.216643599877</v>
      </c>
      <c r="U127" s="7">
        <f ca="1">IF(O127=2018,IF(Q127&lt;8,HLOOKUP(O127,'Datos SS'!$B$25:$BZZ$27,3,0)/12,HLOOKUP(O127,'Datos SS'!$B$25:$BZZ$26,2,0)/12),HLOOKUP(O127,'Datos SS'!$B$25:$BZZ$26,2,0)/12)</f>
        <v>5567.032799085121</v>
      </c>
      <c r="V127" s="165">
        <f t="shared" ca="1" si="17"/>
        <v>5567.032799085121</v>
      </c>
      <c r="W127" s="7">
        <f t="shared" ca="1" si="15"/>
        <v>6810.8609533419285</v>
      </c>
      <c r="X127" s="149">
        <f ca="1">HLOOKUP(O127,'Datos SS'!$K$37:$EP$38,2,0)</f>
        <v>1447.4365970950773</v>
      </c>
      <c r="Y127">
        <f t="shared" ca="1" si="21"/>
        <v>1612</v>
      </c>
      <c r="AC127" s="648">
        <v>2104.1943150059901</v>
      </c>
      <c r="AD127" s="650">
        <f t="shared" ca="1" si="18"/>
        <v>-4706.6666383359388</v>
      </c>
    </row>
    <row r="128" spans="12:30">
      <c r="L128" s="4">
        <v>124</v>
      </c>
      <c r="M128" s="4">
        <f t="shared" ca="1" si="16"/>
        <v>0</v>
      </c>
      <c r="O128" s="4">
        <f t="shared" ca="1" si="19"/>
        <v>2034</v>
      </c>
      <c r="P128" s="4">
        <v>124</v>
      </c>
      <c r="Q128" s="4">
        <f t="shared" ca="1" si="20"/>
        <v>3</v>
      </c>
      <c r="S128" s="125">
        <f ca="1">HLOOKUP(O128,'Datos SS'!$B$4:$CZZ$16,(Q128+1),0)</f>
        <v>155.10000709890272</v>
      </c>
      <c r="T128" s="815">
        <f ca="1">IF(O128=YEAR($B$5),($B$9/12),IF(O128&gt;MIN(YEAR($B$7),YEAR($B$5)),($B$9/12)*(1+HLOOKUP(O128,'Datos SS'!$B$31:$CZZ$32,2,0))^(O128-YEAR($B$5)),T116/(1+HLOOKUP(O128,'Datos SS'!$B$31:$CZZ$32,2,0))))</f>
        <v>23468.216643599877</v>
      </c>
      <c r="U128" s="7">
        <f ca="1">IF(O128=2018,IF(Q128&lt;8,HLOOKUP(O128,'Datos SS'!$B$25:$BZZ$27,3,0)/12,HLOOKUP(O128,'Datos SS'!$B$25:$BZZ$26,2,0)/12),HLOOKUP(O128,'Datos SS'!$B$25:$BZZ$26,2,0)/12)</f>
        <v>5567.032799085121</v>
      </c>
      <c r="V128" s="165">
        <f t="shared" ca="1" si="17"/>
        <v>5567.032799085121</v>
      </c>
      <c r="W128" s="7">
        <f t="shared" ca="1" si="15"/>
        <v>6824.8902117624775</v>
      </c>
      <c r="X128" s="149">
        <f ca="1">HLOOKUP(O128,'Datos SS'!$K$37:$EP$38,2,0)</f>
        <v>1447.4365970950773</v>
      </c>
      <c r="Y128">
        <f t="shared" ca="1" si="21"/>
        <v>1611</v>
      </c>
      <c r="AC128" s="648">
        <v>2105.9398243902779</v>
      </c>
      <c r="AD128" s="650">
        <f t="shared" ca="1" si="18"/>
        <v>-4718.9503873721997</v>
      </c>
    </row>
    <row r="129" spans="12:30">
      <c r="L129" s="4">
        <v>125</v>
      </c>
      <c r="M129" s="4">
        <f t="shared" ca="1" si="16"/>
        <v>0</v>
      </c>
      <c r="O129" s="4">
        <f t="shared" ca="1" si="19"/>
        <v>2034</v>
      </c>
      <c r="P129" s="4">
        <v>125</v>
      </c>
      <c r="Q129" s="4">
        <f t="shared" ca="1" si="20"/>
        <v>2</v>
      </c>
      <c r="S129" s="125">
        <f ca="1">HLOOKUP(O129,'Datos SS'!$B$4:$CZZ$16,(Q129+1),0)</f>
        <v>154.78118320385025</v>
      </c>
      <c r="T129" s="815">
        <f ca="1">IF(O129=YEAR($B$5),($B$9/12),IF(O129&gt;MIN(YEAR($B$7),YEAR($B$5)),($B$9/12)*(1+HLOOKUP(O129,'Datos SS'!$B$31:$CZZ$32,2,0))^(O129-YEAR($B$5)),T117/(1+HLOOKUP(O129,'Datos SS'!$B$31:$CZZ$32,2,0))))</f>
        <v>23468.216643599877</v>
      </c>
      <c r="U129" s="7">
        <f ca="1">IF(O129=2018,IF(Q129&lt;8,HLOOKUP(O129,'Datos SS'!$B$25:$BZZ$27,3,0)/12,HLOOKUP(O129,'Datos SS'!$B$25:$BZZ$26,2,0)/12),HLOOKUP(O129,'Datos SS'!$B$25:$BZZ$26,2,0)/12)</f>
        <v>5567.032799085121</v>
      </c>
      <c r="V129" s="165">
        <f t="shared" ca="1" si="17"/>
        <v>5567.032799085121</v>
      </c>
      <c r="W129" s="7">
        <f t="shared" ca="1" si="15"/>
        <v>6838.9483681583615</v>
      </c>
      <c r="X129" s="149">
        <f ca="1">HLOOKUP(O129,'Datos SS'!$K$37:$EP$38,2,0)</f>
        <v>1447.4365970950773</v>
      </c>
      <c r="Y129">
        <f t="shared" ca="1" si="21"/>
        <v>1610</v>
      </c>
      <c r="AC129" s="648">
        <v>2107.6867817411289</v>
      </c>
      <c r="AD129" s="650">
        <f t="shared" ca="1" si="18"/>
        <v>-4731.261586417233</v>
      </c>
    </row>
    <row r="130" spans="12:30">
      <c r="L130" s="4">
        <v>126</v>
      </c>
      <c r="M130" s="4">
        <f t="shared" ca="1" si="16"/>
        <v>0</v>
      </c>
      <c r="O130" s="4">
        <f t="shared" ca="1" si="19"/>
        <v>2034</v>
      </c>
      <c r="P130" s="4">
        <v>126</v>
      </c>
      <c r="Q130" s="4">
        <f t="shared" ca="1" si="20"/>
        <v>1</v>
      </c>
      <c r="S130" s="125">
        <f ca="1">HLOOKUP(O130,'Datos SS'!$B$4:$CZZ$16,(Q130+1),0)</f>
        <v>154.46301468385519</v>
      </c>
      <c r="T130" s="815">
        <f ca="1">IF(O130=YEAR($B$5),($B$9/12),IF(O130&gt;MIN(YEAR($B$7),YEAR($B$5)),($B$9/12)*(1+HLOOKUP(O130,'Datos SS'!$B$31:$CZZ$32,2,0))^(O130-YEAR($B$5)),T118/(1+HLOOKUP(O130,'Datos SS'!$B$31:$CZZ$32,2,0))))</f>
        <v>23468.216643599877</v>
      </c>
      <c r="U130" s="7">
        <f ca="1">IF(O130=2018,IF(Q130&lt;8,HLOOKUP(O130,'Datos SS'!$B$25:$BZZ$27,3,0)/12,HLOOKUP(O130,'Datos SS'!$B$25:$BZZ$26,2,0)/12),HLOOKUP(O130,'Datos SS'!$B$25:$BZZ$26,2,0)/12)</f>
        <v>5567.032799085121</v>
      </c>
      <c r="V130" s="165">
        <f t="shared" ca="1" si="17"/>
        <v>5567.032799085121</v>
      </c>
      <c r="W130" s="7">
        <f t="shared" ca="1" si="15"/>
        <v>6853.0354820546754</v>
      </c>
      <c r="X130" s="149">
        <f ca="1">HLOOKUP(O130,'Datos SS'!$K$37:$EP$38,2,0)</f>
        <v>1447.4365970950773</v>
      </c>
      <c r="Y130">
        <f t="shared" ca="1" si="21"/>
        <v>1609</v>
      </c>
      <c r="AC130" s="648">
        <v>2109.435188259687</v>
      </c>
      <c r="AD130" s="650">
        <f t="shared" ca="1" si="18"/>
        <v>-4743.6002937949888</v>
      </c>
    </row>
    <row r="131" spans="12:30">
      <c r="L131" s="4">
        <v>127</v>
      </c>
      <c r="M131" s="4">
        <f t="shared" ca="1" si="16"/>
        <v>0</v>
      </c>
      <c r="O131" s="4">
        <f t="shared" ca="1" si="19"/>
        <v>2033</v>
      </c>
      <c r="P131" s="4">
        <v>127</v>
      </c>
      <c r="Q131" s="4">
        <f t="shared" ca="1" si="20"/>
        <v>12</v>
      </c>
      <c r="S131" s="125">
        <f ca="1">HLOOKUP(O131,'Datos SS'!$B$4:$CZZ$16,(Q131+1),0)</f>
        <v>154.14550019172722</v>
      </c>
      <c r="T131" s="815">
        <f ca="1">IF(O131=YEAR($B$5),($B$9/12),IF(O131&gt;MIN(YEAR($B$7),YEAR($B$5)),($B$9/12)*(1+HLOOKUP(O131,'Datos SS'!$B$31:$CZZ$32,2,0))^(O131-YEAR($B$5)),T119/(1+HLOOKUP(O131,'Datos SS'!$B$31:$CZZ$32,2,0))))</f>
        <v>22895.821115707196</v>
      </c>
      <c r="U131" s="7">
        <f ca="1">IF(O131=2018,IF(Q131&lt;8,HLOOKUP(O131,'Datos SS'!$B$25:$BZZ$27,3,0)/12,HLOOKUP(O131,'Datos SS'!$B$25:$BZZ$26,2,0)/12),HLOOKUP(O131,'Datos SS'!$B$25:$BZZ$26,2,0)/12)</f>
        <v>5431.2515113025574</v>
      </c>
      <c r="V131" s="165">
        <f t="shared" ca="1" si="17"/>
        <v>5431.2515113025574</v>
      </c>
      <c r="W131" s="7">
        <f t="shared" ca="1" si="15"/>
        <v>6699.6601103406147</v>
      </c>
      <c r="X131" s="149">
        <f ca="1">HLOOKUP(O131,'Datos SS'!$K$37:$EP$38,2,0)</f>
        <v>1412.1332654586122</v>
      </c>
      <c r="Y131">
        <f t="shared" ca="1" si="21"/>
        <v>1608</v>
      </c>
      <c r="AC131" s="648">
        <v>2111.1850451480909</v>
      </c>
      <c r="AD131" s="650">
        <f t="shared" ca="1" si="18"/>
        <v>-4588.4750651925242</v>
      </c>
    </row>
    <row r="132" spans="12:30">
      <c r="L132" s="4">
        <v>128</v>
      </c>
      <c r="M132" s="4">
        <f t="shared" ca="1" si="16"/>
        <v>0</v>
      </c>
      <c r="O132" s="4">
        <f t="shared" ca="1" si="19"/>
        <v>2033</v>
      </c>
      <c r="P132" s="4">
        <v>128</v>
      </c>
      <c r="Q132" s="4">
        <f t="shared" ca="1" si="20"/>
        <v>11</v>
      </c>
      <c r="S132" s="125">
        <f ca="1">HLOOKUP(O132,'Datos SS'!$B$4:$CZZ$16,(Q132+1),0)</f>
        <v>153.8286383830453</v>
      </c>
      <c r="T132" s="815">
        <f ca="1">IF(O132=YEAR($B$5),($B$9/12),IF(O132&gt;MIN(YEAR($B$7),YEAR($B$5)),($B$9/12)*(1+HLOOKUP(O132,'Datos SS'!$B$31:$CZZ$32,2,0))^(O132-YEAR($B$5)),T120/(1+HLOOKUP(O132,'Datos SS'!$B$31:$CZZ$32,2,0))))</f>
        <v>22895.821115707196</v>
      </c>
      <c r="U132" s="7">
        <f ca="1">IF(O132=2018,IF(Q132&lt;8,HLOOKUP(O132,'Datos SS'!$B$25:$BZZ$27,3,0)/12,HLOOKUP(O132,'Datos SS'!$B$25:$BZZ$26,2,0)/12),HLOOKUP(O132,'Datos SS'!$B$25:$BZZ$26,2,0)/12)</f>
        <v>5431.2515113025574</v>
      </c>
      <c r="V132" s="165">
        <f t="shared" ca="1" si="17"/>
        <v>5431.2515113025574</v>
      </c>
      <c r="W132" s="7">
        <f t="shared" ca="1" si="15"/>
        <v>6713.4603132315133</v>
      </c>
      <c r="X132" s="149">
        <f ca="1">HLOOKUP(O132,'Datos SS'!$K$37:$EP$38,2,0)</f>
        <v>1412.1332654586122</v>
      </c>
      <c r="Y132">
        <f t="shared" ca="1" si="21"/>
        <v>1607</v>
      </c>
      <c r="AC132" s="648">
        <v>2112.9363536094793</v>
      </c>
      <c r="AD132" s="650">
        <f t="shared" ca="1" si="18"/>
        <v>-4600.5239596220345</v>
      </c>
    </row>
    <row r="133" spans="12:30">
      <c r="L133" s="4">
        <v>129</v>
      </c>
      <c r="M133" s="4">
        <f t="shared" ca="1" si="16"/>
        <v>0</v>
      </c>
      <c r="O133" s="4">
        <f t="shared" ca="1" si="19"/>
        <v>2033</v>
      </c>
      <c r="P133" s="4">
        <v>129</v>
      </c>
      <c r="Q133" s="4">
        <f t="shared" ca="1" si="20"/>
        <v>10</v>
      </c>
      <c r="S133" s="125">
        <f ca="1">HLOOKUP(O133,'Datos SS'!$B$4:$CZZ$16,(Q133+1),0)</f>
        <v>153.51242791615201</v>
      </c>
      <c r="T133" s="815">
        <f ca="1">IF(O133=YEAR($B$5),($B$9/12),IF(O133&gt;MIN(YEAR($B$7),YEAR($B$5)),($B$9/12)*(1+HLOOKUP(O133,'Datos SS'!$B$31:$CZZ$32,2,0))^(O133-YEAR($B$5)),T121/(1+HLOOKUP(O133,'Datos SS'!$B$31:$CZZ$32,2,0))))</f>
        <v>22895.821115707196</v>
      </c>
      <c r="U133" s="7">
        <f ca="1">IF(O133=2018,IF(Q133&lt;8,HLOOKUP(O133,'Datos SS'!$B$25:$BZZ$27,3,0)/12,HLOOKUP(O133,'Datos SS'!$B$25:$BZZ$26,2,0)/12),HLOOKUP(O133,'Datos SS'!$B$25:$BZZ$26,2,0)/12)</f>
        <v>5431.2515113025574</v>
      </c>
      <c r="V133" s="165">
        <f t="shared" ca="1" si="17"/>
        <v>5431.2515113025574</v>
      </c>
      <c r="W133" s="7">
        <f t="shared" ref="W133:W196" ca="1" si="22">IF($E$19="NO",IF(P133&lt;=180,IF(P133&lt;25,V133,V133*$S$28/S133),0),IF(P133&gt;$B$15,0,IF(P133&lt;25,V133,V133*$S$28/S133)))</f>
        <v>6727.2889422808566</v>
      </c>
      <c r="X133" s="149">
        <f ca="1">HLOOKUP(O133,'Datos SS'!$K$37:$EP$38,2,0)</f>
        <v>1412.1332654586122</v>
      </c>
      <c r="Y133">
        <f t="shared" ca="1" si="21"/>
        <v>1606</v>
      </c>
      <c r="AC133" s="648">
        <v>2114.6891148479858</v>
      </c>
      <c r="AD133" s="650">
        <f t="shared" ca="1" si="18"/>
        <v>-4612.5998274328704</v>
      </c>
    </row>
    <row r="134" spans="12:30">
      <c r="L134" s="4">
        <v>130</v>
      </c>
      <c r="M134" s="4">
        <f t="shared" ref="M134:M197" ca="1" si="23">IF(L134&lt;=$C$22,$B$22,IF(L134&lt;=$C$23+$C$22,$B$23,0))</f>
        <v>0</v>
      </c>
      <c r="O134" s="4">
        <f t="shared" ca="1" si="19"/>
        <v>2033</v>
      </c>
      <c r="P134" s="4">
        <v>130</v>
      </c>
      <c r="Q134" s="4">
        <f t="shared" ca="1" si="20"/>
        <v>9</v>
      </c>
      <c r="S134" s="125">
        <f ca="1">HLOOKUP(O134,'Datos SS'!$B$4:$CZZ$16,(Q134+1),0)</f>
        <v>153.19686745214779</v>
      </c>
      <c r="T134" s="815">
        <f ca="1">IF(O134=YEAR($B$5),($B$9/12),IF(O134&gt;MIN(YEAR($B$7),YEAR($B$5)),($B$9/12)*(1+HLOOKUP(O134,'Datos SS'!$B$31:$CZZ$32,2,0))^(O134-YEAR($B$5)),T122/(1+HLOOKUP(O134,'Datos SS'!$B$31:$CZZ$32,2,0))))</f>
        <v>22895.821115707196</v>
      </c>
      <c r="U134" s="7">
        <f ca="1">IF(O134=2018,IF(Q134&lt;8,HLOOKUP(O134,'Datos SS'!$B$25:$BZZ$27,3,0)/12,HLOOKUP(O134,'Datos SS'!$B$25:$BZZ$26,2,0)/12),HLOOKUP(O134,'Datos SS'!$B$25:$BZZ$26,2,0)/12)</f>
        <v>5431.2515113025574</v>
      </c>
      <c r="V134" s="165">
        <f t="shared" ref="V134:V197" ca="1" si="24">MAX(X134,MIN(T134,U134))</f>
        <v>5431.2515113025574</v>
      </c>
      <c r="W134" s="7">
        <f t="shared" ca="1" si="22"/>
        <v>6741.1460560418791</v>
      </c>
      <c r="X134" s="149">
        <f ca="1">HLOOKUP(O134,'Datos SS'!$K$37:$EP$38,2,0)</f>
        <v>1412.1332654586122</v>
      </c>
      <c r="Y134">
        <f t="shared" ca="1" si="21"/>
        <v>1605</v>
      </c>
      <c r="AC134" s="648">
        <v>2077.5879352974785</v>
      </c>
      <c r="AD134" s="650">
        <f t="shared" ref="AD134:AD197" ca="1" si="25">+AC134-W134</f>
        <v>-4663.5581207444011</v>
      </c>
    </row>
    <row r="135" spans="12:30">
      <c r="L135" s="4">
        <v>131</v>
      </c>
      <c r="M135" s="4">
        <f t="shared" ca="1" si="23"/>
        <v>0</v>
      </c>
      <c r="O135" s="4">
        <f t="shared" ref="O135:O198" ca="1" si="26">IF(Q135=12,O134-1,O134)</f>
        <v>2033</v>
      </c>
      <c r="P135" s="4">
        <v>131</v>
      </c>
      <c r="Q135" s="4">
        <f t="shared" ref="Q135:Q198" ca="1" si="27">IF(Q134=1,12,Q134-1)</f>
        <v>8</v>
      </c>
      <c r="S135" s="125">
        <f ca="1">HLOOKUP(O135,'Datos SS'!$B$4:$CZZ$16,(Q135+1),0)</f>
        <v>152.88195565488536</v>
      </c>
      <c r="T135" s="815">
        <f ca="1">IF(O135=YEAR($B$5),($B$9/12),IF(O135&gt;MIN(YEAR($B$7),YEAR($B$5)),($B$9/12)*(1+HLOOKUP(O135,'Datos SS'!$B$31:$CZZ$32,2,0))^(O135-YEAR($B$5)),T123/(1+HLOOKUP(O135,'Datos SS'!$B$31:$CZZ$32,2,0))))</f>
        <v>22895.821115707196</v>
      </c>
      <c r="U135" s="7">
        <f ca="1">IF(O135=2018,IF(Q135&lt;8,HLOOKUP(O135,'Datos SS'!$B$25:$BZZ$27,3,0)/12,HLOOKUP(O135,'Datos SS'!$B$25:$BZZ$26,2,0)/12),HLOOKUP(O135,'Datos SS'!$B$25:$BZZ$26,2,0)/12)</f>
        <v>5431.2515113025574</v>
      </c>
      <c r="V135" s="165">
        <f t="shared" ca="1" si="24"/>
        <v>5431.2515113025574</v>
      </c>
      <c r="W135" s="7">
        <f t="shared" ca="1" si="22"/>
        <v>6755.0317131884212</v>
      </c>
      <c r="X135" s="149">
        <f ca="1">HLOOKUP(O135,'Datos SS'!$K$37:$EP$38,2,0)</f>
        <v>1412.1332654586122</v>
      </c>
      <c r="Y135">
        <f t="shared" ref="Y135:Y198" ca="1" si="28">MAX(INT(Y134)-1,0)</f>
        <v>1604</v>
      </c>
      <c r="AC135" s="648">
        <v>2079.3113736757136</v>
      </c>
      <c r="AD135" s="650">
        <f t="shared" ca="1" si="25"/>
        <v>-4675.7203395127071</v>
      </c>
    </row>
    <row r="136" spans="12:30">
      <c r="L136" s="4">
        <v>132</v>
      </c>
      <c r="M136" s="4">
        <f t="shared" ca="1" si="23"/>
        <v>0</v>
      </c>
      <c r="O136" s="4">
        <f t="shared" ca="1" si="26"/>
        <v>2033</v>
      </c>
      <c r="P136" s="4">
        <v>132</v>
      </c>
      <c r="Q136" s="4">
        <f t="shared" ca="1" si="27"/>
        <v>7</v>
      </c>
      <c r="S136" s="125">
        <f ca="1">HLOOKUP(O136,'Datos SS'!$B$4:$CZZ$16,(Q136+1),0)</f>
        <v>152.56769119096404</v>
      </c>
      <c r="T136" s="815">
        <f ca="1">IF(O136=YEAR($B$5),($B$9/12),IF(O136&gt;MIN(YEAR($B$7),YEAR($B$5)),($B$9/12)*(1+HLOOKUP(O136,'Datos SS'!$B$31:$CZZ$32,2,0))^(O136-YEAR($B$5)),T124/(1+HLOOKUP(O136,'Datos SS'!$B$31:$CZZ$32,2,0))))</f>
        <v>22895.821115707196</v>
      </c>
      <c r="U136" s="7">
        <f ca="1">IF(O136=2018,IF(Q136&lt;8,HLOOKUP(O136,'Datos SS'!$B$25:$BZZ$27,3,0)/12,HLOOKUP(O136,'Datos SS'!$B$25:$BZZ$26,2,0)/12),HLOOKUP(O136,'Datos SS'!$B$25:$BZZ$26,2,0)/12)</f>
        <v>5431.2515113025574</v>
      </c>
      <c r="V136" s="165">
        <f t="shared" ca="1" si="24"/>
        <v>5431.2515113025574</v>
      </c>
      <c r="W136" s="7">
        <f t="shared" ca="1" si="22"/>
        <v>6768.9459725151846</v>
      </c>
      <c r="X136" s="149">
        <f ca="1">HLOOKUP(O136,'Datos SS'!$K$37:$EP$38,2,0)</f>
        <v>1412.1332654586122</v>
      </c>
      <c r="Y136">
        <f t="shared" ca="1" si="28"/>
        <v>1603</v>
      </c>
      <c r="AC136" s="648">
        <v>2081.0362417117708</v>
      </c>
      <c r="AD136" s="650">
        <f t="shared" ca="1" si="25"/>
        <v>-4687.9097308034143</v>
      </c>
    </row>
    <row r="137" spans="12:30">
      <c r="L137" s="4">
        <v>133</v>
      </c>
      <c r="M137" s="4">
        <f ca="1">IF(L137&lt;=$C$22,$B$22,IF(L137&lt;=$C$23+$C$22,$B$23,0))</f>
        <v>0</v>
      </c>
      <c r="O137" s="4">
        <f t="shared" ca="1" si="26"/>
        <v>2033</v>
      </c>
      <c r="P137" s="4">
        <v>133</v>
      </c>
      <c r="Q137" s="4">
        <f t="shared" ca="1" si="27"/>
        <v>6</v>
      </c>
      <c r="S137" s="125">
        <f ca="1">HLOOKUP(O137,'Datos SS'!$B$4:$CZZ$16,(Q137+1),0)</f>
        <v>152.25407272972407</v>
      </c>
      <c r="T137" s="815">
        <f ca="1">IF(O137=YEAR($B$5),($B$9/12),IF(O137&gt;MIN(YEAR($B$7),YEAR($B$5)),($B$9/12)*(1+HLOOKUP(O137,'Datos SS'!$B$31:$CZZ$32,2,0))^(O137-YEAR($B$5)),T125/(1+HLOOKUP(O137,'Datos SS'!$B$31:$CZZ$32,2,0))))</f>
        <v>22895.821115707196</v>
      </c>
      <c r="U137" s="7">
        <f ca="1">IF(O137=2018,IF(Q137&lt;8,HLOOKUP(O137,'Datos SS'!$B$25:$BZZ$27,3,0)/12,HLOOKUP(O137,'Datos SS'!$B$25:$BZZ$26,2,0)/12),HLOOKUP(O137,'Datos SS'!$B$25:$BZZ$26,2,0)/12)</f>
        <v>5431.2515113025574</v>
      </c>
      <c r="V137" s="165">
        <f t="shared" ca="1" si="24"/>
        <v>5431.2515113025574</v>
      </c>
      <c r="W137" s="7">
        <f t="shared" ca="1" si="22"/>
        <v>6782.8888929379782</v>
      </c>
      <c r="X137" s="149">
        <f ca="1">HLOOKUP(O137,'Datos SS'!$K$37:$EP$38,2,0)</f>
        <v>1412.1332654586122</v>
      </c>
      <c r="Y137">
        <f t="shared" ca="1" si="28"/>
        <v>1602</v>
      </c>
      <c r="AC137" s="648">
        <v>2082.7625405916065</v>
      </c>
      <c r="AD137" s="650">
        <f t="shared" ca="1" si="25"/>
        <v>-4700.1263523463713</v>
      </c>
    </row>
    <row r="138" spans="12:30">
      <c r="L138" s="4">
        <v>134</v>
      </c>
      <c r="M138" s="4">
        <f t="shared" ca="1" si="23"/>
        <v>0</v>
      </c>
      <c r="O138" s="4">
        <f t="shared" ca="1" si="26"/>
        <v>2033</v>
      </c>
      <c r="P138" s="4">
        <v>134</v>
      </c>
      <c r="Q138" s="4">
        <f t="shared" ca="1" si="27"/>
        <v>5</v>
      </c>
      <c r="S138" s="125">
        <f ca="1">HLOOKUP(O138,'Datos SS'!$B$4:$CZZ$16,(Q138+1),0)</f>
        <v>151.94109894324103</v>
      </c>
      <c r="T138" s="815">
        <f ca="1">IF(O138=YEAR($B$5),($B$9/12),IF(O138&gt;MIN(YEAR($B$7),YEAR($B$5)),($B$9/12)*(1+HLOOKUP(O138,'Datos SS'!$B$31:$CZZ$32,2,0))^(O138-YEAR($B$5)),T126/(1+HLOOKUP(O138,'Datos SS'!$B$31:$CZZ$32,2,0))))</f>
        <v>22895.821115707196</v>
      </c>
      <c r="U138" s="7">
        <f ca="1">IF(O138=2018,IF(Q138&lt;8,HLOOKUP(O138,'Datos SS'!$B$25:$BZZ$27,3,0)/12,HLOOKUP(O138,'Datos SS'!$B$25:$BZZ$26,2,0)/12),HLOOKUP(O138,'Datos SS'!$B$25:$BZZ$26,2,0)/12)</f>
        <v>5431.2515113025574</v>
      </c>
      <c r="V138" s="165">
        <f t="shared" ca="1" si="24"/>
        <v>5431.2515113025574</v>
      </c>
      <c r="W138" s="7">
        <f t="shared" ca="1" si="22"/>
        <v>6796.8605334939648</v>
      </c>
      <c r="X138" s="149">
        <f ca="1">HLOOKUP(O138,'Datos SS'!$K$37:$EP$38,2,0)</f>
        <v>1412.1332654586122</v>
      </c>
      <c r="Y138">
        <f t="shared" ca="1" si="28"/>
        <v>1601</v>
      </c>
      <c r="AC138" s="648">
        <v>2084.4902715021594</v>
      </c>
      <c r="AD138" s="650">
        <f t="shared" ca="1" si="25"/>
        <v>-4712.3702619918058</v>
      </c>
    </row>
    <row r="139" spans="12:30">
      <c r="L139" s="4">
        <v>135</v>
      </c>
      <c r="M139" s="4">
        <f t="shared" ca="1" si="23"/>
        <v>0</v>
      </c>
      <c r="O139" s="4">
        <f t="shared" ca="1" si="26"/>
        <v>2033</v>
      </c>
      <c r="P139" s="4">
        <v>135</v>
      </c>
      <c r="Q139" s="4">
        <f t="shared" ca="1" si="27"/>
        <v>4</v>
      </c>
      <c r="S139" s="125">
        <f ca="1">HLOOKUP(O139,'Datos SS'!$B$4:$CZZ$16,(Q139+1),0)</f>
        <v>151.62876850632011</v>
      </c>
      <c r="T139" s="815">
        <f ca="1">IF(O139=YEAR($B$5),($B$9/12),IF(O139&gt;MIN(YEAR($B$7),YEAR($B$5)),($B$9/12)*(1+HLOOKUP(O139,'Datos SS'!$B$31:$CZZ$32,2,0))^(O139-YEAR($B$5)),T127/(1+HLOOKUP(O139,'Datos SS'!$B$31:$CZZ$32,2,0))))</f>
        <v>22895.821115707196</v>
      </c>
      <c r="U139" s="7">
        <f ca="1">IF(O139=2018,IF(Q139&lt;8,HLOOKUP(O139,'Datos SS'!$B$25:$BZZ$27,3,0)/12,HLOOKUP(O139,'Datos SS'!$B$25:$BZZ$26,2,0)/12),HLOOKUP(O139,'Datos SS'!$B$25:$BZZ$26,2,0)/12)</f>
        <v>5431.2515113025574</v>
      </c>
      <c r="V139" s="165">
        <f t="shared" ca="1" si="24"/>
        <v>5431.2515113025574</v>
      </c>
      <c r="W139" s="7">
        <f t="shared" ca="1" si="22"/>
        <v>6810.8609533419185</v>
      </c>
      <c r="X139" s="149">
        <f ca="1">HLOOKUP(O139,'Datos SS'!$K$37:$EP$38,2,0)</f>
        <v>1412.1332654586122</v>
      </c>
      <c r="Y139">
        <f t="shared" ca="1" si="28"/>
        <v>1600</v>
      </c>
      <c r="AC139" s="648">
        <v>2086.2194356313539</v>
      </c>
      <c r="AD139" s="650">
        <f t="shared" ca="1" si="25"/>
        <v>-4724.6415177105646</v>
      </c>
    </row>
    <row r="140" spans="12:30">
      <c r="L140" s="4">
        <v>136</v>
      </c>
      <c r="M140" s="4">
        <f t="shared" ca="1" si="23"/>
        <v>0</v>
      </c>
      <c r="O140" s="4">
        <f t="shared" ca="1" si="26"/>
        <v>2033</v>
      </c>
      <c r="P140" s="4">
        <v>136</v>
      </c>
      <c r="Q140" s="4">
        <f t="shared" ca="1" si="27"/>
        <v>3</v>
      </c>
      <c r="S140" s="125">
        <f ca="1">HLOOKUP(O140,'Datos SS'!$B$4:$CZZ$16,(Q140+1),0)</f>
        <v>151.31708009649066</v>
      </c>
      <c r="T140" s="815">
        <f ca="1">IF(O140=YEAR($B$5),($B$9/12),IF(O140&gt;MIN(YEAR($B$7),YEAR($B$5)),($B$9/12)*(1+HLOOKUP(O140,'Datos SS'!$B$31:$CZZ$32,2,0))^(O140-YEAR($B$5)),T128/(1+HLOOKUP(O140,'Datos SS'!$B$31:$CZZ$32,2,0))))</f>
        <v>22895.821115707196</v>
      </c>
      <c r="U140" s="7">
        <f ca="1">IF(O140=2018,IF(Q140&lt;8,HLOOKUP(O140,'Datos SS'!$B$25:$BZZ$27,3,0)/12,HLOOKUP(O140,'Datos SS'!$B$25:$BZZ$26,2,0)/12),HLOOKUP(O140,'Datos SS'!$B$25:$BZZ$26,2,0)/12)</f>
        <v>5431.2515113025574</v>
      </c>
      <c r="V140" s="165">
        <f t="shared" ca="1" si="24"/>
        <v>5431.2515113025574</v>
      </c>
      <c r="W140" s="7">
        <f t="shared" ca="1" si="22"/>
        <v>6824.8902117624684</v>
      </c>
      <c r="X140" s="149">
        <f ca="1">HLOOKUP(O140,'Datos SS'!$K$37:$EP$38,2,0)</f>
        <v>1412.1332654586122</v>
      </c>
      <c r="Y140">
        <f t="shared" ca="1" si="28"/>
        <v>1599</v>
      </c>
      <c r="AC140" s="648">
        <v>2087.9500341681</v>
      </c>
      <c r="AD140" s="650">
        <f t="shared" ca="1" si="25"/>
        <v>-4736.9401775943679</v>
      </c>
    </row>
    <row r="141" spans="12:30">
      <c r="L141" s="4">
        <v>137</v>
      </c>
      <c r="M141" s="4">
        <f t="shared" ca="1" si="23"/>
        <v>0</v>
      </c>
      <c r="O141" s="4">
        <f t="shared" ca="1" si="26"/>
        <v>2033</v>
      </c>
      <c r="P141" s="4">
        <v>137</v>
      </c>
      <c r="Q141" s="4">
        <f t="shared" ca="1" si="27"/>
        <v>2</v>
      </c>
      <c r="S141" s="125">
        <f ca="1">HLOOKUP(O141,'Datos SS'!$B$4:$CZZ$16,(Q141+1),0)</f>
        <v>151.00603239400044</v>
      </c>
      <c r="T141" s="815">
        <f ca="1">IF(O141=YEAR($B$5),($B$9/12),IF(O141&gt;MIN(YEAR($B$7),YEAR($B$5)),($B$9/12)*(1+HLOOKUP(O141,'Datos SS'!$B$31:$CZZ$32,2,0))^(O141-YEAR($B$5)),T129/(1+HLOOKUP(O141,'Datos SS'!$B$31:$CZZ$32,2,0))))</f>
        <v>22895.821115707196</v>
      </c>
      <c r="U141" s="7">
        <f ca="1">IF(O141=2018,IF(Q141&lt;8,HLOOKUP(O141,'Datos SS'!$B$25:$BZZ$27,3,0)/12,HLOOKUP(O141,'Datos SS'!$B$25:$BZZ$26,2,0)/12),HLOOKUP(O141,'Datos SS'!$B$25:$BZZ$26,2,0)/12)</f>
        <v>5431.2515113025574</v>
      </c>
      <c r="V141" s="165">
        <f t="shared" ca="1" si="24"/>
        <v>5431.2515113025574</v>
      </c>
      <c r="W141" s="7">
        <f t="shared" ca="1" si="22"/>
        <v>6838.9483681583515</v>
      </c>
      <c r="X141" s="149">
        <f ca="1">HLOOKUP(O141,'Datos SS'!$K$37:$EP$38,2,0)</f>
        <v>1412.1332654586122</v>
      </c>
      <c r="Y141">
        <f t="shared" ca="1" si="28"/>
        <v>1598</v>
      </c>
      <c r="AC141" s="648">
        <v>2089.6820683022929</v>
      </c>
      <c r="AD141" s="650">
        <f t="shared" ca="1" si="25"/>
        <v>-4749.266299856059</v>
      </c>
    </row>
    <row r="142" spans="12:30">
      <c r="L142" s="4">
        <v>138</v>
      </c>
      <c r="M142" s="4">
        <f t="shared" ca="1" si="23"/>
        <v>0</v>
      </c>
      <c r="O142" s="4">
        <f t="shared" ca="1" si="26"/>
        <v>2033</v>
      </c>
      <c r="P142" s="4">
        <v>138</v>
      </c>
      <c r="Q142" s="4">
        <f t="shared" ca="1" si="27"/>
        <v>1</v>
      </c>
      <c r="S142" s="125">
        <f ca="1">HLOOKUP(O142,'Datos SS'!$B$4:$CZZ$16,(Q142+1),0)</f>
        <v>150.69562408181014</v>
      </c>
      <c r="T142" s="815">
        <f ca="1">IF(O142=YEAR($B$5),($B$9/12),IF(O142&gt;MIN(YEAR($B$7),YEAR($B$5)),($B$9/12)*(1+HLOOKUP(O142,'Datos SS'!$B$31:$CZZ$32,2,0))^(O142-YEAR($B$5)),T130/(1+HLOOKUP(O142,'Datos SS'!$B$31:$CZZ$32,2,0))))</f>
        <v>22895.821115707196</v>
      </c>
      <c r="U142" s="7">
        <f ca="1">IF(O142=2018,IF(Q142&lt;8,HLOOKUP(O142,'Datos SS'!$B$25:$BZZ$27,3,0)/12,HLOOKUP(O142,'Datos SS'!$B$25:$BZZ$26,2,0)/12),HLOOKUP(O142,'Datos SS'!$B$25:$BZZ$26,2,0)/12)</f>
        <v>5431.2515113025574</v>
      </c>
      <c r="V142" s="165">
        <f t="shared" ca="1" si="24"/>
        <v>5431.2515113025574</v>
      </c>
      <c r="W142" s="7">
        <f t="shared" ca="1" si="22"/>
        <v>6853.0354820546663</v>
      </c>
      <c r="X142" s="149">
        <f ca="1">HLOOKUP(O142,'Datos SS'!$K$37:$EP$38,2,0)</f>
        <v>1412.1332654586122</v>
      </c>
      <c r="Y142">
        <f t="shared" ca="1" si="28"/>
        <v>1597</v>
      </c>
      <c r="AC142" s="648">
        <v>2091.4155392248149</v>
      </c>
      <c r="AD142" s="650">
        <f t="shared" ca="1" si="25"/>
        <v>-4761.6199428298514</v>
      </c>
    </row>
    <row r="143" spans="12:30">
      <c r="L143" s="4">
        <v>139</v>
      </c>
      <c r="M143" s="4">
        <f t="shared" ca="1" si="23"/>
        <v>0</v>
      </c>
      <c r="O143" s="4">
        <f t="shared" ca="1" si="26"/>
        <v>2032</v>
      </c>
      <c r="P143" s="4">
        <v>139</v>
      </c>
      <c r="Q143" s="4">
        <f t="shared" ca="1" si="27"/>
        <v>12</v>
      </c>
      <c r="S143" s="125">
        <f ca="1">HLOOKUP(O143,'Datos SS'!$B$4:$CZZ$16,(Q143+1),0)</f>
        <v>150.38585384558772</v>
      </c>
      <c r="T143" s="815">
        <f ca="1">IF(O143=YEAR($B$5),($B$9/12),IF(O143&gt;MIN(YEAR($B$7),YEAR($B$5)),($B$9/12)*(1+HLOOKUP(O143,'Datos SS'!$B$31:$CZZ$32,2,0))^(O143-YEAR($B$5)),T131/(1+HLOOKUP(O143,'Datos SS'!$B$31:$CZZ$32,2,0))))</f>
        <v>22337.386454348489</v>
      </c>
      <c r="U143" s="7">
        <f ca="1">IF(O143=2018,IF(Q143&lt;8,HLOOKUP(O143,'Datos SS'!$B$25:$BZZ$27,3,0)/12,HLOOKUP(O143,'Datos SS'!$B$25:$BZZ$26,2,0)/12),HLOOKUP(O143,'Datos SS'!$B$25:$BZZ$26,2,0)/12)</f>
        <v>5298.7819622463976</v>
      </c>
      <c r="V143" s="165">
        <f t="shared" ca="1" si="24"/>
        <v>5298.7819622463976</v>
      </c>
      <c r="W143" s="7">
        <f t="shared" ca="1" si="22"/>
        <v>6699.6601103406074</v>
      </c>
      <c r="X143" s="149">
        <f ca="1">HLOOKUP(O143,'Datos SS'!$K$37:$EP$38,2,0)</f>
        <v>1377.690990691329</v>
      </c>
      <c r="Y143">
        <f t="shared" ca="1" si="28"/>
        <v>1596</v>
      </c>
      <c r="AC143" s="648">
        <v>2093.1504481275379</v>
      </c>
      <c r="AD143" s="650">
        <f t="shared" ca="1" si="25"/>
        <v>-4606.5096622130695</v>
      </c>
    </row>
    <row r="144" spans="12:30">
      <c r="L144" s="4">
        <v>140</v>
      </c>
      <c r="M144" s="4">
        <f t="shared" ca="1" si="23"/>
        <v>0</v>
      </c>
      <c r="O144" s="4">
        <f t="shared" ca="1" si="26"/>
        <v>2032</v>
      </c>
      <c r="P144" s="4">
        <v>140</v>
      </c>
      <c r="Q144" s="4">
        <f t="shared" ca="1" si="27"/>
        <v>11</v>
      </c>
      <c r="S144" s="125">
        <f ca="1">HLOOKUP(O144,'Datos SS'!$B$4:$CZZ$16,(Q144+1),0)</f>
        <v>150.07672037370293</v>
      </c>
      <c r="T144" s="815">
        <f ca="1">IF(O144=YEAR($B$5),($B$9/12),IF(O144&gt;MIN(YEAR($B$7),YEAR($B$5)),($B$9/12)*(1+HLOOKUP(O144,'Datos SS'!$B$31:$CZZ$32,2,0))^(O144-YEAR($B$5)),T132/(1+HLOOKUP(O144,'Datos SS'!$B$31:$CZZ$32,2,0))))</f>
        <v>22337.386454348489</v>
      </c>
      <c r="U144" s="7">
        <f ca="1">IF(O144=2018,IF(Q144&lt;8,HLOOKUP(O144,'Datos SS'!$B$25:$BZZ$27,3,0)/12,HLOOKUP(O144,'Datos SS'!$B$25:$BZZ$26,2,0)/12),HLOOKUP(O144,'Datos SS'!$B$25:$BZZ$26,2,0)/12)</f>
        <v>5298.7819622463976</v>
      </c>
      <c r="V144" s="165">
        <f t="shared" ca="1" si="24"/>
        <v>5298.7819622463976</v>
      </c>
      <c r="W144" s="7">
        <f t="shared" ca="1" si="22"/>
        <v>6713.4603132315051</v>
      </c>
      <c r="X144" s="149">
        <f ca="1">HLOOKUP(O144,'Datos SS'!$K$37:$EP$38,2,0)</f>
        <v>1377.690990691329</v>
      </c>
      <c r="Y144">
        <f t="shared" ca="1" si="28"/>
        <v>1595</v>
      </c>
      <c r="AC144" s="648">
        <v>2094.88679620332</v>
      </c>
      <c r="AD144" s="650">
        <f t="shared" ca="1" si="25"/>
        <v>-4618.5735170281851</v>
      </c>
    </row>
    <row r="145" spans="12:30">
      <c r="L145" s="4">
        <v>141</v>
      </c>
      <c r="M145" s="4">
        <f t="shared" ca="1" si="23"/>
        <v>0</v>
      </c>
      <c r="O145" s="4">
        <f t="shared" ca="1" si="26"/>
        <v>2032</v>
      </c>
      <c r="P145" s="4">
        <v>141</v>
      </c>
      <c r="Q145" s="4">
        <f t="shared" ca="1" si="27"/>
        <v>10</v>
      </c>
      <c r="S145" s="125">
        <f ca="1">HLOOKUP(O145,'Datos SS'!$B$4:$CZZ$16,(Q145+1),0)</f>
        <v>149.76822235722165</v>
      </c>
      <c r="T145" s="815">
        <f ca="1">IF(O145=YEAR($B$5),($B$9/12),IF(O145&gt;MIN(YEAR($B$7),YEAR($B$5)),($B$9/12)*(1+HLOOKUP(O145,'Datos SS'!$B$31:$CZZ$32,2,0))^(O145-YEAR($B$5)),T133/(1+HLOOKUP(O145,'Datos SS'!$B$31:$CZZ$32,2,0))))</f>
        <v>22337.386454348489</v>
      </c>
      <c r="U145" s="7">
        <f ca="1">IF(O145=2018,IF(Q145&lt;8,HLOOKUP(O145,'Datos SS'!$B$25:$BZZ$27,3,0)/12,HLOOKUP(O145,'Datos SS'!$B$25:$BZZ$26,2,0)/12),HLOOKUP(O145,'Datos SS'!$B$25:$BZZ$26,2,0)/12)</f>
        <v>5298.7819622463976</v>
      </c>
      <c r="V145" s="165">
        <f t="shared" ca="1" si="24"/>
        <v>5298.7819622463976</v>
      </c>
      <c r="W145" s="7">
        <f t="shared" ca="1" si="22"/>
        <v>6727.2889422808494</v>
      </c>
      <c r="X145" s="149">
        <f ca="1">HLOOKUP(O145,'Datos SS'!$K$37:$EP$38,2,0)</f>
        <v>1377.690990691329</v>
      </c>
      <c r="Y145">
        <f t="shared" ca="1" si="28"/>
        <v>1594</v>
      </c>
      <c r="AC145" s="648">
        <v>2096.6245846460115</v>
      </c>
      <c r="AD145" s="650">
        <f t="shared" ca="1" si="25"/>
        <v>-4630.6643576348379</v>
      </c>
    </row>
    <row r="146" spans="12:30">
      <c r="L146" s="4">
        <v>142</v>
      </c>
      <c r="M146" s="4">
        <f t="shared" ca="1" si="23"/>
        <v>0</v>
      </c>
      <c r="O146" s="4">
        <f t="shared" ca="1" si="26"/>
        <v>2032</v>
      </c>
      <c r="P146" s="4">
        <v>142</v>
      </c>
      <c r="Q146" s="4">
        <f t="shared" ca="1" si="27"/>
        <v>9</v>
      </c>
      <c r="S146" s="125">
        <f ca="1">HLOOKUP(O146,'Datos SS'!$B$4:$CZZ$16,(Q146+1),0)</f>
        <v>149.46035848990044</v>
      </c>
      <c r="T146" s="815">
        <f ca="1">IF(O146=YEAR($B$5),($B$9/12),IF(O146&gt;MIN(YEAR($B$7),YEAR($B$5)),($B$9/12)*(1+HLOOKUP(O146,'Datos SS'!$B$31:$CZZ$32,2,0))^(O146-YEAR($B$5)),T134/(1+HLOOKUP(O146,'Datos SS'!$B$31:$CZZ$32,2,0))))</f>
        <v>22337.386454348489</v>
      </c>
      <c r="U146" s="7">
        <f ca="1">IF(O146=2018,IF(Q146&lt;8,HLOOKUP(O146,'Datos SS'!$B$25:$BZZ$27,3,0)/12,HLOOKUP(O146,'Datos SS'!$B$25:$BZZ$26,2,0)/12),HLOOKUP(O146,'Datos SS'!$B$25:$BZZ$26,2,0)/12)</f>
        <v>5298.7819622463976</v>
      </c>
      <c r="V146" s="165">
        <f t="shared" ca="1" si="24"/>
        <v>5298.7819622463976</v>
      </c>
      <c r="W146" s="7">
        <f t="shared" ca="1" si="22"/>
        <v>6741.1460560418718</v>
      </c>
      <c r="X146" s="149">
        <f ca="1">HLOOKUP(O146,'Datos SS'!$K$37:$EP$38,2,0)</f>
        <v>1377.690990691329</v>
      </c>
      <c r="Y146">
        <f t="shared" ca="1" si="28"/>
        <v>1593</v>
      </c>
      <c r="AC146" s="648">
        <v>2067.3535119708872</v>
      </c>
      <c r="AD146" s="650">
        <f t="shared" ca="1" si="25"/>
        <v>-4673.7925440709841</v>
      </c>
    </row>
    <row r="147" spans="12:30">
      <c r="L147" s="4">
        <v>143</v>
      </c>
      <c r="M147" s="4">
        <f t="shared" ca="1" si="23"/>
        <v>0</v>
      </c>
      <c r="O147" s="4">
        <f t="shared" ca="1" si="26"/>
        <v>2032</v>
      </c>
      <c r="P147" s="4">
        <v>143</v>
      </c>
      <c r="Q147" s="4">
        <f t="shared" ca="1" si="27"/>
        <v>8</v>
      </c>
      <c r="S147" s="125">
        <f ca="1">HLOOKUP(O147,'Datos SS'!$B$4:$CZZ$16,(Q147+1),0)</f>
        <v>149.153127468181</v>
      </c>
      <c r="T147" s="815">
        <f ca="1">IF(O147=YEAR($B$5),($B$9/12),IF(O147&gt;MIN(YEAR($B$7),YEAR($B$5)),($B$9/12)*(1+HLOOKUP(O147,'Datos SS'!$B$31:$CZZ$32,2,0))^(O147-YEAR($B$5)),T135/(1+HLOOKUP(O147,'Datos SS'!$B$31:$CZZ$32,2,0))))</f>
        <v>22337.386454348489</v>
      </c>
      <c r="U147" s="7">
        <f ca="1">IF(O147=2018,IF(Q147&lt;8,HLOOKUP(O147,'Datos SS'!$B$25:$BZZ$27,3,0)/12,HLOOKUP(O147,'Datos SS'!$B$25:$BZZ$26,2,0)/12),HLOOKUP(O147,'Datos SS'!$B$25:$BZZ$26,2,0)/12)</f>
        <v>5298.7819622463976</v>
      </c>
      <c r="V147" s="165">
        <f t="shared" ca="1" si="24"/>
        <v>5298.7819622463976</v>
      </c>
      <c r="W147" s="7">
        <f t="shared" ca="1" si="22"/>
        <v>6755.0317131884149</v>
      </c>
      <c r="X147" s="149">
        <f ca="1">HLOOKUP(O147,'Datos SS'!$K$37:$EP$38,2,0)</f>
        <v>1377.690990691329</v>
      </c>
      <c r="Y147">
        <f t="shared" ca="1" si="28"/>
        <v>1592</v>
      </c>
      <c r="AC147" s="648">
        <v>2069.0684605048946</v>
      </c>
      <c r="AD147" s="650">
        <f t="shared" ca="1" si="25"/>
        <v>-4685.9632526835203</v>
      </c>
    </row>
    <row r="148" spans="12:30">
      <c r="L148" s="4">
        <v>144</v>
      </c>
      <c r="M148" s="4">
        <f t="shared" ca="1" si="23"/>
        <v>0</v>
      </c>
      <c r="O148" s="4">
        <f t="shared" ca="1" si="26"/>
        <v>2032</v>
      </c>
      <c r="P148" s="4">
        <v>144</v>
      </c>
      <c r="Q148" s="4">
        <f t="shared" ca="1" si="27"/>
        <v>7</v>
      </c>
      <c r="S148" s="125">
        <f ca="1">HLOOKUP(O148,'Datos SS'!$B$4:$CZZ$16,(Q148+1),0)</f>
        <v>148.84652799118459</v>
      </c>
      <c r="T148" s="815">
        <f ca="1">IF(O148=YEAR($B$5),($B$9/12),IF(O148&gt;MIN(YEAR($B$7),YEAR($B$5)),($B$9/12)*(1+HLOOKUP(O148,'Datos SS'!$B$31:$CZZ$32,2,0))^(O148-YEAR($B$5)),T136/(1+HLOOKUP(O148,'Datos SS'!$B$31:$CZZ$32,2,0))))</f>
        <v>22337.386454348489</v>
      </c>
      <c r="U148" s="7">
        <f ca="1">IF(O148=2018,IF(Q148&lt;8,HLOOKUP(O148,'Datos SS'!$B$25:$BZZ$27,3,0)/12,HLOOKUP(O148,'Datos SS'!$B$25:$BZZ$26,2,0)/12),HLOOKUP(O148,'Datos SS'!$B$25:$BZZ$26,2,0)/12)</f>
        <v>5298.7819622463976</v>
      </c>
      <c r="V148" s="165">
        <f t="shared" ca="1" si="24"/>
        <v>5298.7819622463976</v>
      </c>
      <c r="W148" s="7">
        <f t="shared" ca="1" si="22"/>
        <v>6768.9459725151783</v>
      </c>
      <c r="X148" s="149">
        <f ca="1">HLOOKUP(O148,'Datos SS'!$K$37:$EP$38,2,0)</f>
        <v>1377.690990691329</v>
      </c>
      <c r="Y148">
        <f t="shared" ca="1" si="28"/>
        <v>1591</v>
      </c>
      <c r="AC148" s="648">
        <v>2070.7848316540749</v>
      </c>
      <c r="AD148" s="650">
        <f t="shared" ca="1" si="25"/>
        <v>-4698.1611408611034</v>
      </c>
    </row>
    <row r="149" spans="12:30">
      <c r="L149" s="4">
        <v>145</v>
      </c>
      <c r="M149" s="4">
        <f t="shared" ca="1" si="23"/>
        <v>0</v>
      </c>
      <c r="O149" s="4">
        <f t="shared" ca="1" si="26"/>
        <v>2032</v>
      </c>
      <c r="P149" s="4">
        <v>145</v>
      </c>
      <c r="Q149" s="4">
        <f t="shared" ca="1" si="27"/>
        <v>6</v>
      </c>
      <c r="S149" s="125">
        <f ca="1">HLOOKUP(O149,'Datos SS'!$B$4:$CZZ$16,(Q149+1),0)</f>
        <v>148.54055876070657</v>
      </c>
      <c r="T149" s="815">
        <f ca="1">IF(O149=YEAR($B$5),($B$9/12),IF(O149&gt;MIN(YEAR($B$7),YEAR($B$5)),($B$9/12)*(1+HLOOKUP(O149,'Datos SS'!$B$31:$CZZ$32,2,0))^(O149-YEAR($B$5)),T137/(1+HLOOKUP(O149,'Datos SS'!$B$31:$CZZ$32,2,0))))</f>
        <v>22337.386454348489</v>
      </c>
      <c r="U149" s="7">
        <f ca="1">IF(O149=2018,IF(Q149&lt;8,HLOOKUP(O149,'Datos SS'!$B$25:$BZZ$27,3,0)/12,HLOOKUP(O149,'Datos SS'!$B$25:$BZZ$26,2,0)/12),HLOOKUP(O149,'Datos SS'!$B$25:$BZZ$26,2,0)/12)</f>
        <v>5298.7819622463976</v>
      </c>
      <c r="V149" s="165">
        <f t="shared" ca="1" si="24"/>
        <v>5298.7819622463976</v>
      </c>
      <c r="W149" s="7">
        <f t="shared" ca="1" si="22"/>
        <v>6782.8888929379709</v>
      </c>
      <c r="X149" s="149">
        <f ca="1">HLOOKUP(O149,'Datos SS'!$K$37:$EP$38,2,0)</f>
        <v>1377.690990691329</v>
      </c>
      <c r="Y149">
        <f t="shared" ca="1" si="28"/>
        <v>1590</v>
      </c>
      <c r="AC149" s="648">
        <v>2072.5026265985416</v>
      </c>
      <c r="AD149" s="650">
        <f t="shared" ca="1" si="25"/>
        <v>-4710.3862663394293</v>
      </c>
    </row>
    <row r="150" spans="12:30">
      <c r="L150" s="4">
        <v>146</v>
      </c>
      <c r="M150" s="4">
        <f t="shared" ca="1" si="23"/>
        <v>0</v>
      </c>
      <c r="O150" s="4">
        <f t="shared" ca="1" si="26"/>
        <v>2032</v>
      </c>
      <c r="P150" s="4">
        <v>146</v>
      </c>
      <c r="Q150" s="4">
        <f t="shared" ca="1" si="27"/>
        <v>5</v>
      </c>
      <c r="S150" s="125">
        <f ca="1">HLOOKUP(O150,'Datos SS'!$B$4:$CZZ$16,(Q150+1),0)</f>
        <v>148.23521848121092</v>
      </c>
      <c r="T150" s="815">
        <f ca="1">IF(O150=YEAR($B$5),($B$9/12),IF(O150&gt;MIN(YEAR($B$7),YEAR($B$5)),($B$9/12)*(1+HLOOKUP(O150,'Datos SS'!$B$31:$CZZ$32,2,0))^(O150-YEAR($B$5)),T138/(1+HLOOKUP(O150,'Datos SS'!$B$31:$CZZ$32,2,0))))</f>
        <v>22337.386454348489</v>
      </c>
      <c r="U150" s="7">
        <f ca="1">IF(O150=2018,IF(Q150&lt;8,HLOOKUP(O150,'Datos SS'!$B$25:$BZZ$27,3,0)/12,HLOOKUP(O150,'Datos SS'!$B$25:$BZZ$26,2,0)/12),HLOOKUP(O150,'Datos SS'!$B$25:$BZZ$26,2,0)/12)</f>
        <v>5298.7819622463976</v>
      </c>
      <c r="V150" s="165">
        <f t="shared" ca="1" si="24"/>
        <v>5298.7819622463976</v>
      </c>
      <c r="W150" s="7">
        <f t="shared" ca="1" si="22"/>
        <v>6796.8605334939575</v>
      </c>
      <c r="X150" s="149">
        <f ca="1">HLOOKUP(O150,'Datos SS'!$K$37:$EP$38,2,0)</f>
        <v>1377.690990691329</v>
      </c>
      <c r="Y150">
        <f t="shared" ca="1" si="28"/>
        <v>1589</v>
      </c>
      <c r="AC150" s="648">
        <v>2074.2218465193878</v>
      </c>
      <c r="AD150" s="650">
        <f t="shared" ca="1" si="25"/>
        <v>-4722.6386869745693</v>
      </c>
    </row>
    <row r="151" spans="12:30">
      <c r="L151" s="4">
        <v>147</v>
      </c>
      <c r="M151" s="4">
        <f t="shared" ca="1" si="23"/>
        <v>0</v>
      </c>
      <c r="O151" s="4">
        <f t="shared" ca="1" si="26"/>
        <v>2032</v>
      </c>
      <c r="P151" s="4">
        <v>147</v>
      </c>
      <c r="Q151" s="4">
        <f t="shared" ca="1" si="27"/>
        <v>4</v>
      </c>
      <c r="S151" s="125">
        <f ca="1">HLOOKUP(O151,'Datos SS'!$B$4:$CZZ$16,(Q151+1),0)</f>
        <v>147.93050585982468</v>
      </c>
      <c r="T151" s="815">
        <f ca="1">IF(O151=YEAR($B$5),($B$9/12),IF(O151&gt;MIN(YEAR($B$7),YEAR($B$5)),($B$9/12)*(1+HLOOKUP(O151,'Datos SS'!$B$31:$CZZ$32,2,0))^(O151-YEAR($B$5)),T139/(1+HLOOKUP(O151,'Datos SS'!$B$31:$CZZ$32,2,0))))</f>
        <v>22337.386454348489</v>
      </c>
      <c r="U151" s="7">
        <f ca="1">IF(O151=2018,IF(Q151&lt;8,HLOOKUP(O151,'Datos SS'!$B$25:$BZZ$27,3,0)/12,HLOOKUP(O151,'Datos SS'!$B$25:$BZZ$26,2,0)/12),HLOOKUP(O151,'Datos SS'!$B$25:$BZZ$26,2,0)/12)</f>
        <v>5298.7819622463976</v>
      </c>
      <c r="V151" s="165">
        <f t="shared" ca="1" si="24"/>
        <v>5298.7819622463976</v>
      </c>
      <c r="W151" s="7">
        <f t="shared" ca="1" si="22"/>
        <v>6810.8609533419112</v>
      </c>
      <c r="X151" s="149">
        <f ca="1">HLOOKUP(O151,'Datos SS'!$K$37:$EP$38,2,0)</f>
        <v>1377.690990691329</v>
      </c>
      <c r="Y151">
        <f t="shared" ca="1" si="28"/>
        <v>1588</v>
      </c>
      <c r="AC151" s="648">
        <v>2075.9424925986855</v>
      </c>
      <c r="AD151" s="650">
        <f t="shared" ca="1" si="25"/>
        <v>-4734.9184607432253</v>
      </c>
    </row>
    <row r="152" spans="12:30">
      <c r="L152" s="4">
        <v>148</v>
      </c>
      <c r="M152" s="4">
        <f t="shared" ca="1" si="23"/>
        <v>0</v>
      </c>
      <c r="O152" s="4">
        <f t="shared" ca="1" si="26"/>
        <v>2032</v>
      </c>
      <c r="P152" s="4">
        <v>148</v>
      </c>
      <c r="Q152" s="4">
        <f t="shared" ca="1" si="27"/>
        <v>3</v>
      </c>
      <c r="S152" s="125">
        <f ca="1">HLOOKUP(O152,'Datos SS'!$B$4:$CZZ$16,(Q152+1),0)</f>
        <v>147.62641960633252</v>
      </c>
      <c r="T152" s="815">
        <f ca="1">IF(O152=YEAR($B$5),($B$9/12),IF(O152&gt;MIN(YEAR($B$7),YEAR($B$5)),($B$9/12)*(1+HLOOKUP(O152,'Datos SS'!$B$31:$CZZ$32,2,0))^(O152-YEAR($B$5)),T140/(1+HLOOKUP(O152,'Datos SS'!$B$31:$CZZ$32,2,0))))</f>
        <v>22337.386454348489</v>
      </c>
      <c r="U152" s="7">
        <f ca="1">IF(O152=2018,IF(Q152&lt;8,HLOOKUP(O152,'Datos SS'!$B$25:$BZZ$27,3,0)/12,HLOOKUP(O152,'Datos SS'!$B$25:$BZZ$26,2,0)/12),HLOOKUP(O152,'Datos SS'!$B$25:$BZZ$26,2,0)/12)</f>
        <v>5298.7819622463976</v>
      </c>
      <c r="V152" s="165">
        <f t="shared" ca="1" si="24"/>
        <v>5298.7819622463976</v>
      </c>
      <c r="W152" s="7">
        <f t="shared" ca="1" si="22"/>
        <v>6824.8902117624611</v>
      </c>
      <c r="X152" s="149">
        <f ca="1">HLOOKUP(O152,'Datos SS'!$K$37:$EP$38,2,0)</f>
        <v>1377.690990691329</v>
      </c>
      <c r="Y152">
        <f t="shared" ca="1" si="28"/>
        <v>1587</v>
      </c>
      <c r="AC152" s="648">
        <v>2077.6645660194868</v>
      </c>
      <c r="AD152" s="650">
        <f t="shared" ca="1" si="25"/>
        <v>-4747.2256457429739</v>
      </c>
    </row>
    <row r="153" spans="12:30">
      <c r="L153" s="4">
        <v>149</v>
      </c>
      <c r="M153" s="4">
        <f t="shared" ca="1" si="23"/>
        <v>0</v>
      </c>
      <c r="O153" s="4">
        <f t="shared" ca="1" si="26"/>
        <v>2032</v>
      </c>
      <c r="P153" s="4">
        <v>149</v>
      </c>
      <c r="Q153" s="4">
        <f t="shared" ca="1" si="27"/>
        <v>2</v>
      </c>
      <c r="S153" s="125">
        <f ca="1">HLOOKUP(O153,'Datos SS'!$B$4:$CZZ$16,(Q153+1),0)</f>
        <v>147.32295843317135</v>
      </c>
      <c r="T153" s="815">
        <f ca="1">IF(O153=YEAR($B$5),($B$9/12),IF(O153&gt;MIN(YEAR($B$7),YEAR($B$5)),($B$9/12)*(1+HLOOKUP(O153,'Datos SS'!$B$31:$CZZ$32,2,0))^(O153-YEAR($B$5)),T141/(1+HLOOKUP(O153,'Datos SS'!$B$31:$CZZ$32,2,0))))</f>
        <v>22337.386454348489</v>
      </c>
      <c r="U153" s="7">
        <f ca="1">IF(O153=2018,IF(Q153&lt;8,HLOOKUP(O153,'Datos SS'!$B$25:$BZZ$27,3,0)/12,HLOOKUP(O153,'Datos SS'!$B$25:$BZZ$26,2,0)/12),HLOOKUP(O153,'Datos SS'!$B$25:$BZZ$26,2,0)/12)</f>
        <v>5298.7819622463976</v>
      </c>
      <c r="V153" s="165">
        <f t="shared" ca="1" si="24"/>
        <v>5298.7819622463976</v>
      </c>
      <c r="W153" s="7">
        <f t="shared" ca="1" si="22"/>
        <v>6838.9483681583433</v>
      </c>
      <c r="X153" s="149">
        <f ca="1">HLOOKUP(O153,'Datos SS'!$K$37:$EP$38,2,0)</f>
        <v>1377.690990691329</v>
      </c>
      <c r="Y153">
        <f t="shared" ca="1" si="28"/>
        <v>1586</v>
      </c>
      <c r="AC153" s="648">
        <v>2079.3880679658264</v>
      </c>
      <c r="AD153" s="650">
        <f t="shared" ca="1" si="25"/>
        <v>-4759.5603001925174</v>
      </c>
    </row>
    <row r="154" spans="12:30">
      <c r="L154" s="4">
        <v>150</v>
      </c>
      <c r="M154" s="4">
        <f t="shared" ca="1" si="23"/>
        <v>0</v>
      </c>
      <c r="O154" s="4">
        <f t="shared" ca="1" si="26"/>
        <v>2032</v>
      </c>
      <c r="P154" s="4">
        <v>150</v>
      </c>
      <c r="Q154" s="4">
        <f t="shared" ca="1" si="27"/>
        <v>1</v>
      </c>
      <c r="S154" s="125">
        <f ca="1">HLOOKUP(O154,'Datos SS'!$B$4:$CZZ$16,(Q154+1),0)</f>
        <v>147.02012105542471</v>
      </c>
      <c r="T154" s="815">
        <f ca="1">IF(O154=YEAR($B$5),($B$9/12),IF(O154&gt;MIN(YEAR($B$7),YEAR($B$5)),($B$9/12)*(1+HLOOKUP(O154,'Datos SS'!$B$31:$CZZ$32,2,0))^(O154-YEAR($B$5)),T142/(1+HLOOKUP(O154,'Datos SS'!$B$31:$CZZ$32,2,0))))</f>
        <v>22337.386454348489</v>
      </c>
      <c r="U154" s="7">
        <f ca="1">IF(O154=2018,IF(Q154&lt;8,HLOOKUP(O154,'Datos SS'!$B$25:$BZZ$27,3,0)/12,HLOOKUP(O154,'Datos SS'!$B$25:$BZZ$26,2,0)/12),HLOOKUP(O154,'Datos SS'!$B$25:$BZZ$26,2,0)/12)</f>
        <v>5298.7819622463976</v>
      </c>
      <c r="V154" s="165">
        <f t="shared" ca="1" si="24"/>
        <v>5298.7819622463976</v>
      </c>
      <c r="W154" s="7">
        <f t="shared" ca="1" si="22"/>
        <v>6853.0354820546581</v>
      </c>
      <c r="X154" s="149">
        <f ca="1">HLOOKUP(O154,'Datos SS'!$K$37:$EP$38,2,0)</f>
        <v>1377.690990691329</v>
      </c>
      <c r="Y154">
        <f t="shared" ca="1" si="28"/>
        <v>1585</v>
      </c>
      <c r="AC154" s="648">
        <v>2081.1129996227205</v>
      </c>
      <c r="AD154" s="650">
        <f t="shared" ca="1" si="25"/>
        <v>-4771.9224824319372</v>
      </c>
    </row>
    <row r="155" spans="12:30">
      <c r="L155" s="4">
        <v>151</v>
      </c>
      <c r="M155" s="4">
        <f t="shared" ca="1" si="23"/>
        <v>0</v>
      </c>
      <c r="O155" s="4">
        <f t="shared" ca="1" si="26"/>
        <v>2031</v>
      </c>
      <c r="P155" s="4">
        <v>151</v>
      </c>
      <c r="Q155" s="4">
        <f t="shared" ca="1" si="27"/>
        <v>12</v>
      </c>
      <c r="S155" s="125">
        <f ca="1">HLOOKUP(O155,'Datos SS'!$B$4:$CZZ$16,(Q155+1),0)</f>
        <v>146.71790619081747</v>
      </c>
      <c r="T155" s="815">
        <f ca="1">IF(O155=YEAR($B$5),($B$9/12),IF(O155&gt;MIN(YEAR($B$7),YEAR($B$5)),($B$9/12)*(1+HLOOKUP(O155,'Datos SS'!$B$31:$CZZ$32,2,0))^(O155-YEAR($B$5)),T143/(1+HLOOKUP(O155,'Datos SS'!$B$31:$CZZ$32,2,0))))</f>
        <v>21792.572150583896</v>
      </c>
      <c r="U155" s="7">
        <f ca="1">IF(O155=2018,IF(Q155&lt;8,HLOOKUP(O155,'Datos SS'!$B$25:$BZZ$27,3,0)/12,HLOOKUP(O155,'Datos SS'!$B$25:$BZZ$26,2,0)/12),HLOOKUP(O155,'Datos SS'!$B$25:$BZZ$26,2,0)/12)</f>
        <v>5169.5433778013639</v>
      </c>
      <c r="V155" s="165">
        <f t="shared" ca="1" si="24"/>
        <v>5169.5433778013639</v>
      </c>
      <c r="W155" s="7">
        <f t="shared" ca="1" si="22"/>
        <v>6699.6601103405992</v>
      </c>
      <c r="X155" s="149">
        <f ca="1">HLOOKUP(O155,'Datos SS'!$K$37:$EP$38,2,0)</f>
        <v>1344.0887714061748</v>
      </c>
      <c r="Y155">
        <f t="shared" ca="1" si="28"/>
        <v>1584</v>
      </c>
      <c r="AC155" s="648">
        <v>2082.8393621761688</v>
      </c>
      <c r="AD155" s="650">
        <f t="shared" ca="1" si="25"/>
        <v>-4616.8207481644304</v>
      </c>
    </row>
    <row r="156" spans="12:30">
      <c r="L156" s="4">
        <v>152</v>
      </c>
      <c r="M156" s="4">
        <f t="shared" ca="1" si="23"/>
        <v>0</v>
      </c>
      <c r="O156" s="4">
        <f t="shared" ca="1" si="26"/>
        <v>2031</v>
      </c>
      <c r="P156" s="4">
        <v>152</v>
      </c>
      <c r="Q156" s="4">
        <f t="shared" ca="1" si="27"/>
        <v>11</v>
      </c>
      <c r="S156" s="125">
        <f ca="1">HLOOKUP(O156,'Datos SS'!$B$4:$CZZ$16,(Q156+1),0)</f>
        <v>146.41631255971035</v>
      </c>
      <c r="T156" s="815">
        <f ca="1">IF(O156=YEAR($B$5),($B$9/12),IF(O156&gt;MIN(YEAR($B$7),YEAR($B$5)),($B$9/12)*(1+HLOOKUP(O156,'Datos SS'!$B$31:$CZZ$32,2,0))^(O156-YEAR($B$5)),T144/(1+HLOOKUP(O156,'Datos SS'!$B$31:$CZZ$32,2,0))))</f>
        <v>21792.572150583896</v>
      </c>
      <c r="U156" s="7">
        <f ca="1">IF(O156=2018,IF(Q156&lt;8,HLOOKUP(O156,'Datos SS'!$B$25:$BZZ$27,3,0)/12,HLOOKUP(O156,'Datos SS'!$B$25:$BZZ$26,2,0)/12),HLOOKUP(O156,'Datos SS'!$B$25:$BZZ$26,2,0)/12)</f>
        <v>5169.5433778013639</v>
      </c>
      <c r="V156" s="165">
        <f t="shared" ca="1" si="24"/>
        <v>5169.5433778013639</v>
      </c>
      <c r="W156" s="7">
        <f t="shared" ca="1" si="22"/>
        <v>6713.4603132314969</v>
      </c>
      <c r="X156" s="149">
        <f ca="1">HLOOKUP(O156,'Datos SS'!$K$37:$EP$38,2,0)</f>
        <v>1344.0887714061748</v>
      </c>
      <c r="Y156">
        <f t="shared" ca="1" si="28"/>
        <v>1583</v>
      </c>
      <c r="AC156" s="648">
        <v>2084.5671568131543</v>
      </c>
      <c r="AD156" s="650">
        <f t="shared" ca="1" si="25"/>
        <v>-4628.8931564183422</v>
      </c>
    </row>
    <row r="157" spans="12:30">
      <c r="L157" s="4">
        <v>153</v>
      </c>
      <c r="M157" s="4">
        <f t="shared" ca="1" si="23"/>
        <v>0</v>
      </c>
      <c r="O157" s="4">
        <f t="shared" ca="1" si="26"/>
        <v>2031</v>
      </c>
      <c r="P157" s="4">
        <v>153</v>
      </c>
      <c r="Q157" s="4">
        <f t="shared" ca="1" si="27"/>
        <v>10</v>
      </c>
      <c r="S157" s="125">
        <f ca="1">HLOOKUP(O157,'Datos SS'!$B$4:$CZZ$16,(Q157+1),0)</f>
        <v>146.11533888509447</v>
      </c>
      <c r="T157" s="815">
        <f ca="1">IF(O157=YEAR($B$5),($B$9/12),IF(O157&gt;MIN(YEAR($B$7),YEAR($B$5)),($B$9/12)*(1+HLOOKUP(O157,'Datos SS'!$B$31:$CZZ$32,2,0))^(O157-YEAR($B$5)),T145/(1+HLOOKUP(O157,'Datos SS'!$B$31:$CZZ$32,2,0))))</f>
        <v>21792.572150583896</v>
      </c>
      <c r="U157" s="7">
        <f ca="1">IF(O157=2018,IF(Q157&lt;8,HLOOKUP(O157,'Datos SS'!$B$25:$BZZ$27,3,0)/12,HLOOKUP(O157,'Datos SS'!$B$25:$BZZ$26,2,0)/12),HLOOKUP(O157,'Datos SS'!$B$25:$BZZ$26,2,0)/12)</f>
        <v>5169.5433778013639</v>
      </c>
      <c r="V157" s="165">
        <f t="shared" ca="1" si="24"/>
        <v>5169.5433778013639</v>
      </c>
      <c r="W157" s="7">
        <f t="shared" ca="1" si="22"/>
        <v>6727.2889422808412</v>
      </c>
      <c r="X157" s="149">
        <f ca="1">HLOOKUP(O157,'Datos SS'!$K$37:$EP$38,2,0)</f>
        <v>1344.0887714061748</v>
      </c>
      <c r="Y157">
        <f t="shared" ca="1" si="28"/>
        <v>1582</v>
      </c>
      <c r="AC157" s="648">
        <v>2086.2963847216447</v>
      </c>
      <c r="AD157" s="650">
        <f t="shared" ca="1" si="25"/>
        <v>-4640.9925575591969</v>
      </c>
    </row>
    <row r="158" spans="12:30">
      <c r="L158" s="4">
        <v>154</v>
      </c>
      <c r="M158" s="4">
        <f t="shared" ca="1" si="23"/>
        <v>0</v>
      </c>
      <c r="O158" s="4">
        <f t="shared" ca="1" si="26"/>
        <v>2031</v>
      </c>
      <c r="P158" s="4">
        <v>154</v>
      </c>
      <c r="Q158" s="4">
        <f t="shared" ca="1" si="27"/>
        <v>9</v>
      </c>
      <c r="S158" s="125">
        <f ca="1">HLOOKUP(O158,'Datos SS'!$B$4:$CZZ$16,(Q158+1),0)</f>
        <v>145.81498389258599</v>
      </c>
      <c r="T158" s="815">
        <f ca="1">IF(O158=YEAR($B$5),($B$9/12),IF(O158&gt;MIN(YEAR($B$7),YEAR($B$5)),($B$9/12)*(1+HLOOKUP(O158,'Datos SS'!$B$31:$CZZ$32,2,0))^(O158-YEAR($B$5)),T146/(1+HLOOKUP(O158,'Datos SS'!$B$31:$CZZ$32,2,0))))</f>
        <v>21792.572150583896</v>
      </c>
      <c r="U158" s="7">
        <f ca="1">IF(O158=2018,IF(Q158&lt;8,HLOOKUP(O158,'Datos SS'!$B$25:$BZZ$27,3,0)/12,HLOOKUP(O158,'Datos SS'!$B$25:$BZZ$26,2,0)/12),HLOOKUP(O158,'Datos SS'!$B$25:$BZZ$26,2,0)/12)</f>
        <v>5169.5433778013639</v>
      </c>
      <c r="V158" s="165">
        <f t="shared" ca="1" si="24"/>
        <v>5169.5433778013639</v>
      </c>
      <c r="W158" s="7">
        <f t="shared" ca="1" si="22"/>
        <v>6741.1460560418636</v>
      </c>
      <c r="X158" s="149">
        <f ca="1">HLOOKUP(O158,'Datos SS'!$K$37:$EP$38,2,0)</f>
        <v>1344.0887714061748</v>
      </c>
      <c r="Y158">
        <f t="shared" ca="1" si="28"/>
        <v>1581</v>
      </c>
      <c r="AC158" s="648">
        <v>2057.169504522753</v>
      </c>
      <c r="AD158" s="650">
        <f t="shared" ca="1" si="25"/>
        <v>-4683.9765515191102</v>
      </c>
    </row>
    <row r="159" spans="12:30">
      <c r="L159" s="4">
        <v>155</v>
      </c>
      <c r="M159" s="4">
        <f t="shared" ca="1" si="23"/>
        <v>0</v>
      </c>
      <c r="O159" s="4">
        <f t="shared" ca="1" si="26"/>
        <v>2031</v>
      </c>
      <c r="P159" s="4">
        <v>155</v>
      </c>
      <c r="Q159" s="4">
        <f t="shared" ca="1" si="27"/>
        <v>8</v>
      </c>
      <c r="S159" s="125">
        <f ca="1">HLOOKUP(O159,'Datos SS'!$B$4:$CZZ$16,(Q159+1),0)</f>
        <v>145.51524631042068</v>
      </c>
      <c r="T159" s="815">
        <f ca="1">IF(O159=YEAR($B$5),($B$9/12),IF(O159&gt;MIN(YEAR($B$7),YEAR($B$5)),($B$9/12)*(1+HLOOKUP(O159,'Datos SS'!$B$31:$CZZ$32,2,0))^(O159-YEAR($B$5)),T147/(1+HLOOKUP(O159,'Datos SS'!$B$31:$CZZ$32,2,0))))</f>
        <v>21792.572150583896</v>
      </c>
      <c r="U159" s="7">
        <f ca="1">IF(O159=2018,IF(Q159&lt;8,HLOOKUP(O159,'Datos SS'!$B$25:$BZZ$27,3,0)/12,HLOOKUP(O159,'Datos SS'!$B$25:$BZZ$26,2,0)/12),HLOOKUP(O159,'Datos SS'!$B$25:$BZZ$26,2,0)/12)</f>
        <v>5169.5433778013639</v>
      </c>
      <c r="V159" s="165">
        <f t="shared" ca="1" si="24"/>
        <v>5169.5433778013639</v>
      </c>
      <c r="W159" s="7">
        <f t="shared" ca="1" si="22"/>
        <v>6755.0317131884058</v>
      </c>
      <c r="X159" s="149">
        <f ca="1">HLOOKUP(O159,'Datos SS'!$K$37:$EP$38,2,0)</f>
        <v>1344.0887714061748</v>
      </c>
      <c r="Y159">
        <f t="shared" ca="1" si="28"/>
        <v>1580</v>
      </c>
      <c r="AC159" s="648">
        <v>2058.8760050344249</v>
      </c>
      <c r="AD159" s="650">
        <f t="shared" ca="1" si="25"/>
        <v>-4696.1557081539813</v>
      </c>
    </row>
    <row r="160" spans="12:30">
      <c r="L160" s="4">
        <v>156</v>
      </c>
      <c r="M160" s="4">
        <f t="shared" ca="1" si="23"/>
        <v>0</v>
      </c>
      <c r="O160" s="4">
        <f t="shared" ca="1" si="26"/>
        <v>2031</v>
      </c>
      <c r="P160" s="4">
        <v>156</v>
      </c>
      <c r="Q160" s="4">
        <f t="shared" ca="1" si="27"/>
        <v>7</v>
      </c>
      <c r="S160" s="125">
        <f ca="1">HLOOKUP(O160,'Datos SS'!$B$4:$CZZ$16,(Q160+1),0)</f>
        <v>145.21612486944858</v>
      </c>
      <c r="T160" s="815">
        <f ca="1">IF(O160=YEAR($B$5),($B$9/12),IF(O160&gt;MIN(YEAR($B$7),YEAR($B$5)),($B$9/12)*(1+HLOOKUP(O160,'Datos SS'!$B$31:$CZZ$32,2,0))^(O160-YEAR($B$5)),T148/(1+HLOOKUP(O160,'Datos SS'!$B$31:$CZZ$32,2,0))))</f>
        <v>21792.572150583896</v>
      </c>
      <c r="U160" s="7">
        <f ca="1">IF(O160=2018,IF(Q160&lt;8,HLOOKUP(O160,'Datos SS'!$B$25:$BZZ$27,3,0)/12,HLOOKUP(O160,'Datos SS'!$B$25:$BZZ$26,2,0)/12),HLOOKUP(O160,'Datos SS'!$B$25:$BZZ$26,2,0)/12)</f>
        <v>5169.5433778013639</v>
      </c>
      <c r="V160" s="165">
        <f t="shared" ca="1" si="24"/>
        <v>5169.5433778013639</v>
      </c>
      <c r="W160" s="7">
        <f t="shared" ca="1" si="22"/>
        <v>6768.9459725151692</v>
      </c>
      <c r="X160" s="149">
        <f ca="1">HLOOKUP(O160,'Datos SS'!$K$37:$EP$38,2,0)</f>
        <v>1344.0887714061748</v>
      </c>
      <c r="Y160">
        <f t="shared" ca="1" si="28"/>
        <v>1579</v>
      </c>
      <c r="AC160" s="648">
        <v>2060.5839211533139</v>
      </c>
      <c r="AD160" s="650">
        <f t="shared" ca="1" si="25"/>
        <v>-4708.3620513618553</v>
      </c>
    </row>
    <row r="161" spans="12:30">
      <c r="L161" s="4">
        <v>157</v>
      </c>
      <c r="M161" s="4">
        <f t="shared" ca="1" si="23"/>
        <v>0</v>
      </c>
      <c r="O161" s="4">
        <f t="shared" ca="1" si="26"/>
        <v>2031</v>
      </c>
      <c r="P161" s="4">
        <v>157</v>
      </c>
      <c r="Q161" s="4">
        <f t="shared" ca="1" si="27"/>
        <v>6</v>
      </c>
      <c r="S161" s="125">
        <f ca="1">HLOOKUP(O161,'Datos SS'!$B$4:$CZZ$16,(Q161+1),0)</f>
        <v>144.91761830312856</v>
      </c>
      <c r="T161" s="815">
        <f ca="1">IF(O161=YEAR($B$5),($B$9/12),IF(O161&gt;MIN(YEAR($B$7),YEAR($B$5)),($B$9/12)*(1+HLOOKUP(O161,'Datos SS'!$B$31:$CZZ$32,2,0))^(O161-YEAR($B$5)),T149/(1+HLOOKUP(O161,'Datos SS'!$B$31:$CZZ$32,2,0))))</f>
        <v>21792.572150583896</v>
      </c>
      <c r="U161" s="7">
        <f ca="1">IF(O161=2018,IF(Q161&lt;8,HLOOKUP(O161,'Datos SS'!$B$25:$BZZ$27,3,0)/12,HLOOKUP(O161,'Datos SS'!$B$25:$BZZ$26,2,0)/12),HLOOKUP(O161,'Datos SS'!$B$25:$BZZ$26,2,0)/12)</f>
        <v>5169.5433778013639</v>
      </c>
      <c r="V161" s="165">
        <f t="shared" ca="1" si="24"/>
        <v>5169.5433778013639</v>
      </c>
      <c r="W161" s="7">
        <f t="shared" ca="1" si="22"/>
        <v>6782.8888929379618</v>
      </c>
      <c r="X161" s="149">
        <f ca="1">HLOOKUP(O161,'Datos SS'!$K$37:$EP$38,2,0)</f>
        <v>1344.0887714061748</v>
      </c>
      <c r="Y161">
        <f t="shared" ca="1" si="28"/>
        <v>1578</v>
      </c>
      <c r="AC161" s="648">
        <v>2062.2932540537195</v>
      </c>
      <c r="AD161" s="650">
        <f t="shared" ca="1" si="25"/>
        <v>-4720.5956388842424</v>
      </c>
    </row>
    <row r="162" spans="12:30">
      <c r="L162" s="4">
        <v>158</v>
      </c>
      <c r="M162" s="4">
        <f t="shared" ca="1" si="23"/>
        <v>0</v>
      </c>
      <c r="O162" s="4">
        <f t="shared" ca="1" si="26"/>
        <v>2031</v>
      </c>
      <c r="P162" s="4">
        <v>158</v>
      </c>
      <c r="Q162" s="4">
        <f t="shared" ca="1" si="27"/>
        <v>5</v>
      </c>
      <c r="S162" s="125">
        <f ca="1">HLOOKUP(O162,'Datos SS'!$B$4:$CZZ$16,(Q162+1),0)</f>
        <v>144.61972534752303</v>
      </c>
      <c r="T162" s="815">
        <f ca="1">IF(O162=YEAR($B$5),($B$9/12),IF(O162&gt;MIN(YEAR($B$7),YEAR($B$5)),($B$9/12)*(1+HLOOKUP(O162,'Datos SS'!$B$31:$CZZ$32,2,0))^(O162-YEAR($B$5)),T150/(1+HLOOKUP(O162,'Datos SS'!$B$31:$CZZ$32,2,0))))</f>
        <v>21792.572150583896</v>
      </c>
      <c r="U162" s="7">
        <f ca="1">IF(O162=2018,IF(Q162&lt;8,HLOOKUP(O162,'Datos SS'!$B$25:$BZZ$27,3,0)/12,HLOOKUP(O162,'Datos SS'!$B$25:$BZZ$26,2,0)/12),HLOOKUP(O162,'Datos SS'!$B$25:$BZZ$26,2,0)/12)</f>
        <v>5169.5433778013639</v>
      </c>
      <c r="V162" s="165">
        <f t="shared" ca="1" si="24"/>
        <v>5169.5433778013639</v>
      </c>
      <c r="W162" s="7">
        <f t="shared" ca="1" si="22"/>
        <v>6796.8605334939493</v>
      </c>
      <c r="X162" s="149">
        <f ca="1">HLOOKUP(O162,'Datos SS'!$K$37:$EP$38,2,0)</f>
        <v>1344.0887714061748</v>
      </c>
      <c r="Y162">
        <f t="shared" ca="1" si="28"/>
        <v>1577</v>
      </c>
      <c r="AC162" s="648">
        <v>2064.0040049109157</v>
      </c>
      <c r="AD162" s="650">
        <f t="shared" ca="1" si="25"/>
        <v>-4732.8565285830337</v>
      </c>
    </row>
    <row r="163" spans="12:30">
      <c r="L163" s="4">
        <v>159</v>
      </c>
      <c r="M163" s="4">
        <f t="shared" ca="1" si="23"/>
        <v>0</v>
      </c>
      <c r="O163" s="4">
        <f t="shared" ca="1" si="26"/>
        <v>2031</v>
      </c>
      <c r="P163" s="4">
        <v>159</v>
      </c>
      <c r="Q163" s="4">
        <f t="shared" ca="1" si="27"/>
        <v>4</v>
      </c>
      <c r="S163" s="125">
        <f ca="1">HLOOKUP(O163,'Datos SS'!$B$4:$CZZ$16,(Q163+1),0)</f>
        <v>144.32244474129254</v>
      </c>
      <c r="T163" s="815">
        <f ca="1">IF(O163=YEAR($B$5),($B$9/12),IF(O163&gt;MIN(YEAR($B$7),YEAR($B$5)),($B$9/12)*(1+HLOOKUP(O163,'Datos SS'!$B$31:$CZZ$32,2,0))^(O163-YEAR($B$5)),T151/(1+HLOOKUP(O163,'Datos SS'!$B$31:$CZZ$32,2,0))))</f>
        <v>21792.572150583896</v>
      </c>
      <c r="U163" s="7">
        <f ca="1">IF(O163=2018,IF(Q163&lt;8,HLOOKUP(O163,'Datos SS'!$B$25:$BZZ$27,3,0)/12,HLOOKUP(O163,'Datos SS'!$B$25:$BZZ$26,2,0)/12),HLOOKUP(O163,'Datos SS'!$B$25:$BZZ$26,2,0)/12)</f>
        <v>5169.5433778013639</v>
      </c>
      <c r="V163" s="165">
        <f t="shared" ca="1" si="24"/>
        <v>5169.5433778013639</v>
      </c>
      <c r="W163" s="7">
        <f t="shared" ca="1" si="22"/>
        <v>6810.860953341903</v>
      </c>
      <c r="X163" s="149">
        <f ca="1">HLOOKUP(O163,'Datos SS'!$K$37:$EP$38,2,0)</f>
        <v>1344.0887714061748</v>
      </c>
      <c r="Y163">
        <f t="shared" ca="1" si="28"/>
        <v>1576</v>
      </c>
      <c r="AC163" s="648">
        <v>2065.7161749011525</v>
      </c>
      <c r="AD163" s="650">
        <f t="shared" ca="1" si="25"/>
        <v>-4745.1447784407501</v>
      </c>
    </row>
    <row r="164" spans="12:30">
      <c r="L164" s="4">
        <v>160</v>
      </c>
      <c r="M164" s="4">
        <f t="shared" ca="1" si="23"/>
        <v>0</v>
      </c>
      <c r="O164" s="4">
        <f t="shared" ca="1" si="26"/>
        <v>2031</v>
      </c>
      <c r="P164" s="4">
        <v>160</v>
      </c>
      <c r="Q164" s="4">
        <f t="shared" ca="1" si="27"/>
        <v>3</v>
      </c>
      <c r="S164" s="125">
        <f ca="1">HLOOKUP(O164,'Datos SS'!$B$4:$CZZ$16,(Q164+1),0)</f>
        <v>144.02577522569044</v>
      </c>
      <c r="T164" s="815">
        <f ca="1">IF(O164=YEAR($B$5),($B$9/12),IF(O164&gt;MIN(YEAR($B$7),YEAR($B$5)),($B$9/12)*(1+HLOOKUP(O164,'Datos SS'!$B$31:$CZZ$32,2,0))^(O164-YEAR($B$5)),T152/(1+HLOOKUP(O164,'Datos SS'!$B$31:$CZZ$32,2,0))))</f>
        <v>21792.572150583896</v>
      </c>
      <c r="U164" s="7">
        <f ca="1">IF(O164=2018,IF(Q164&lt;8,HLOOKUP(O164,'Datos SS'!$B$25:$BZZ$27,3,0)/12,HLOOKUP(O164,'Datos SS'!$B$25:$BZZ$26,2,0)/12),HLOOKUP(O164,'Datos SS'!$B$25:$BZZ$26,2,0)/12)</f>
        <v>5169.5433778013639</v>
      </c>
      <c r="V164" s="165">
        <f t="shared" ca="1" si="24"/>
        <v>5169.5433778013639</v>
      </c>
      <c r="W164" s="7">
        <f t="shared" ca="1" si="22"/>
        <v>6824.890211762453</v>
      </c>
      <c r="X164" s="149">
        <f ca="1">HLOOKUP(O164,'Datos SS'!$K$37:$EP$38,2,0)</f>
        <v>1344.0887714061748</v>
      </c>
      <c r="Y164">
        <f t="shared" ca="1" si="28"/>
        <v>1575</v>
      </c>
      <c r="AC164" s="648">
        <v>2067.4297652016544</v>
      </c>
      <c r="AD164" s="650">
        <f t="shared" ca="1" si="25"/>
        <v>-4757.460446560799</v>
      </c>
    </row>
    <row r="165" spans="12:30">
      <c r="L165" s="4">
        <v>161</v>
      </c>
      <c r="M165" s="4">
        <f t="shared" ca="1" si="23"/>
        <v>0</v>
      </c>
      <c r="O165" s="4">
        <f t="shared" ca="1" si="26"/>
        <v>2031</v>
      </c>
      <c r="P165" s="4">
        <v>161</v>
      </c>
      <c r="Q165" s="4">
        <f t="shared" ca="1" si="27"/>
        <v>2</v>
      </c>
      <c r="S165" s="125">
        <f ca="1">HLOOKUP(O165,'Datos SS'!$B$4:$CZZ$16,(Q165+1),0)</f>
        <v>143.72971554455759</v>
      </c>
      <c r="T165" s="815">
        <f ca="1">IF(O165=YEAR($B$5),($B$9/12),IF(O165&gt;MIN(YEAR($B$7),YEAR($B$5)),($B$9/12)*(1+HLOOKUP(O165,'Datos SS'!$B$31:$CZZ$32,2,0))^(O165-YEAR($B$5)),T153/(1+HLOOKUP(O165,'Datos SS'!$B$31:$CZZ$32,2,0))))</f>
        <v>21792.572150583896</v>
      </c>
      <c r="U165" s="7">
        <f ca="1">IF(O165=2018,IF(Q165&lt;8,HLOOKUP(O165,'Datos SS'!$B$25:$BZZ$27,3,0)/12,HLOOKUP(O165,'Datos SS'!$B$25:$BZZ$26,2,0)/12),HLOOKUP(O165,'Datos SS'!$B$25:$BZZ$26,2,0)/12)</f>
        <v>5169.5433778013639</v>
      </c>
      <c r="V165" s="165">
        <f t="shared" ca="1" si="24"/>
        <v>5169.5433778013639</v>
      </c>
      <c r="W165" s="7">
        <f t="shared" ca="1" si="22"/>
        <v>6838.9483681583351</v>
      </c>
      <c r="X165" s="149">
        <f ca="1">HLOOKUP(O165,'Datos SS'!$K$37:$EP$38,2,0)</f>
        <v>1344.0887714061748</v>
      </c>
      <c r="Y165">
        <f t="shared" ca="1" si="28"/>
        <v>1574</v>
      </c>
      <c r="AC165" s="648">
        <v>2069.1447769906226</v>
      </c>
      <c r="AD165" s="650">
        <f t="shared" ca="1" si="25"/>
        <v>-4769.8035911677125</v>
      </c>
    </row>
    <row r="166" spans="12:30">
      <c r="L166" s="4">
        <v>162</v>
      </c>
      <c r="M166" s="4">
        <f t="shared" ca="1" si="23"/>
        <v>0</v>
      </c>
      <c r="O166" s="4">
        <f t="shared" ca="1" si="26"/>
        <v>2031</v>
      </c>
      <c r="P166" s="4">
        <v>162</v>
      </c>
      <c r="Q166" s="4">
        <f t="shared" ca="1" si="27"/>
        <v>1</v>
      </c>
      <c r="S166" s="125">
        <f ca="1">HLOOKUP(O166,'Datos SS'!$B$4:$CZZ$16,(Q166+1),0)</f>
        <v>143.43426444431697</v>
      </c>
      <c r="T166" s="815">
        <f ca="1">IF(O166=YEAR($B$5),($B$9/12),IF(O166&gt;MIN(YEAR($B$7),YEAR($B$5)),($B$9/12)*(1+HLOOKUP(O166,'Datos SS'!$B$31:$CZZ$32,2,0))^(O166-YEAR($B$5)),T154/(1+HLOOKUP(O166,'Datos SS'!$B$31:$CZZ$32,2,0))))</f>
        <v>21792.572150583896</v>
      </c>
      <c r="U166" s="7">
        <f ca="1">IF(O166=2018,IF(Q166&lt;8,HLOOKUP(O166,'Datos SS'!$B$25:$BZZ$27,3,0)/12,HLOOKUP(O166,'Datos SS'!$B$25:$BZZ$26,2,0)/12),HLOOKUP(O166,'Datos SS'!$B$25:$BZZ$26,2,0)/12)</f>
        <v>5169.5433778013639</v>
      </c>
      <c r="V166" s="165">
        <f t="shared" ca="1" si="24"/>
        <v>5169.5433778013639</v>
      </c>
      <c r="W166" s="7">
        <f t="shared" ca="1" si="22"/>
        <v>6853.0354820546499</v>
      </c>
      <c r="X166" s="149">
        <f ca="1">HLOOKUP(O166,'Datos SS'!$K$37:$EP$38,2,0)</f>
        <v>1344.0887714061748</v>
      </c>
      <c r="Y166">
        <f t="shared" ca="1" si="28"/>
        <v>1573</v>
      </c>
      <c r="AC166" s="648">
        <v>2070.8612114472367</v>
      </c>
      <c r="AD166" s="650">
        <f t="shared" ca="1" si="25"/>
        <v>-4782.1742706074128</v>
      </c>
    </row>
    <row r="167" spans="12:30">
      <c r="L167" s="4">
        <v>163</v>
      </c>
      <c r="M167" s="4">
        <f t="shared" ca="1" si="23"/>
        <v>0</v>
      </c>
      <c r="O167" s="4">
        <f t="shared" ca="1" si="26"/>
        <v>2030</v>
      </c>
      <c r="P167" s="4">
        <v>163</v>
      </c>
      <c r="Q167" s="4">
        <f t="shared" ca="1" si="27"/>
        <v>12</v>
      </c>
      <c r="S167" s="125">
        <f ca="1">HLOOKUP(O167,'Datos SS'!$B$4:$CZZ$16,(Q167+1),0)</f>
        <v>143.13942067396846</v>
      </c>
      <c r="T167" s="815">
        <f ca="1">IF(O167=YEAR($B$5),($B$9/12),IF(O167&gt;MIN(YEAR($B$7),YEAR($B$5)),($B$9/12)*(1+HLOOKUP(O167,'Datos SS'!$B$31:$CZZ$32,2,0))^(O167-YEAR($B$5)),T155/(1+HLOOKUP(O167,'Datos SS'!$B$31:$CZZ$32,2,0))))</f>
        <v>21261.046000569651</v>
      </c>
      <c r="U167" s="7">
        <f ca="1">IF(O167=2018,IF(Q167&lt;8,HLOOKUP(O167,'Datos SS'!$B$25:$BZZ$27,3,0)/12,HLOOKUP(O167,'Datos SS'!$B$25:$BZZ$26,2,0)/12),HLOOKUP(O167,'Datos SS'!$B$25:$BZZ$26,2,0)/12)</f>
        <v>5043.456953952551</v>
      </c>
      <c r="V167" s="165">
        <f t="shared" ca="1" si="24"/>
        <v>5043.456953952551</v>
      </c>
      <c r="W167" s="7">
        <f t="shared" ca="1" si="22"/>
        <v>6699.6601103405919</v>
      </c>
      <c r="X167" s="149">
        <f ca="1">HLOOKUP(O167,'Datos SS'!$K$37:$EP$38,2,0)</f>
        <v>1311.3061184450487</v>
      </c>
      <c r="Y167">
        <f t="shared" ca="1" si="28"/>
        <v>1572</v>
      </c>
      <c r="AC167" s="648">
        <v>2072.5790697516532</v>
      </c>
      <c r="AD167" s="650">
        <f t="shared" ca="1" si="25"/>
        <v>-4627.0810405889388</v>
      </c>
    </row>
    <row r="168" spans="12:30">
      <c r="L168" s="4">
        <v>164</v>
      </c>
      <c r="M168" s="4">
        <f t="shared" ca="1" si="23"/>
        <v>0</v>
      </c>
      <c r="O168" s="4">
        <f t="shared" ca="1" si="26"/>
        <v>2030</v>
      </c>
      <c r="P168" s="4">
        <v>164</v>
      </c>
      <c r="Q168" s="4">
        <f t="shared" ca="1" si="27"/>
        <v>11</v>
      </c>
      <c r="S168" s="125">
        <f ca="1">HLOOKUP(O168,'Datos SS'!$B$4:$CZZ$16,(Q168+1),0)</f>
        <v>142.84518298508345</v>
      </c>
      <c r="T168" s="815">
        <f ca="1">IF(O168=YEAR($B$5),($B$9/12),IF(O168&gt;MIN(YEAR($B$7),YEAR($B$5)),($B$9/12)*(1+HLOOKUP(O168,'Datos SS'!$B$31:$CZZ$32,2,0))^(O168-YEAR($B$5)),T156/(1+HLOOKUP(O168,'Datos SS'!$B$31:$CZZ$32,2,0))))</f>
        <v>21261.046000569651</v>
      </c>
      <c r="U168" s="7">
        <f ca="1">IF(O168=2018,IF(Q168&lt;8,HLOOKUP(O168,'Datos SS'!$B$25:$BZZ$27,3,0)/12,HLOOKUP(O168,'Datos SS'!$B$25:$BZZ$26,2,0)/12),HLOOKUP(O168,'Datos SS'!$B$25:$BZZ$26,2,0)/12)</f>
        <v>5043.456953952551</v>
      </c>
      <c r="V168" s="165">
        <f t="shared" ca="1" si="24"/>
        <v>5043.456953952551</v>
      </c>
      <c r="W168" s="7">
        <f t="shared" ca="1" si="22"/>
        <v>6713.4603132314905</v>
      </c>
      <c r="X168" s="149">
        <f ca="1">HLOOKUP(O168,'Datos SS'!$K$37:$EP$38,2,0)</f>
        <v>1311.3061184450487</v>
      </c>
      <c r="Y168">
        <f t="shared" ca="1" si="28"/>
        <v>1571</v>
      </c>
      <c r="AC168" s="648">
        <v>2074.2983530850083</v>
      </c>
      <c r="AD168" s="650">
        <f t="shared" ca="1" si="25"/>
        <v>-4639.1619601464827</v>
      </c>
    </row>
    <row r="169" spans="12:30">
      <c r="L169" s="4">
        <v>165</v>
      </c>
      <c r="M169" s="4">
        <f t="shared" ca="1" si="23"/>
        <v>0</v>
      </c>
      <c r="O169" s="4">
        <f t="shared" ca="1" si="26"/>
        <v>2030</v>
      </c>
      <c r="P169" s="4">
        <v>165</v>
      </c>
      <c r="Q169" s="4">
        <f t="shared" ca="1" si="27"/>
        <v>10</v>
      </c>
      <c r="S169" s="125">
        <f ca="1">HLOOKUP(O169,'Datos SS'!$B$4:$CZZ$16,(Q169+1),0)</f>
        <v>142.55155013179967</v>
      </c>
      <c r="T169" s="815">
        <f ca="1">IF(O169=YEAR($B$5),($B$9/12),IF(O169&gt;MIN(YEAR($B$7),YEAR($B$5)),($B$9/12)*(1+HLOOKUP(O169,'Datos SS'!$B$31:$CZZ$32,2,0))^(O169-YEAR($B$5)),T157/(1+HLOOKUP(O169,'Datos SS'!$B$31:$CZZ$32,2,0))))</f>
        <v>21261.046000569651</v>
      </c>
      <c r="U169" s="7">
        <f ca="1">IF(O169=2018,IF(Q169&lt;8,HLOOKUP(O169,'Datos SS'!$B$25:$BZZ$27,3,0)/12,HLOOKUP(O169,'Datos SS'!$B$25:$BZZ$26,2,0)/12),HLOOKUP(O169,'Datos SS'!$B$25:$BZZ$26,2,0)/12)</f>
        <v>5043.456953952551</v>
      </c>
      <c r="V169" s="165">
        <f t="shared" ca="1" si="24"/>
        <v>5043.456953952551</v>
      </c>
      <c r="W169" s="7">
        <f t="shared" ca="1" si="22"/>
        <v>6727.2889422808339</v>
      </c>
      <c r="X169" s="149">
        <f ca="1">HLOOKUP(O169,'Datos SS'!$K$37:$EP$38,2,0)</f>
        <v>1311.3061184450487</v>
      </c>
      <c r="Y169">
        <f t="shared" ca="1" si="28"/>
        <v>1570</v>
      </c>
      <c r="AC169" s="648">
        <v>2076.0190626294179</v>
      </c>
      <c r="AD169" s="650">
        <f t="shared" ca="1" si="25"/>
        <v>-4651.269879651416</v>
      </c>
    </row>
    <row r="170" spans="12:30">
      <c r="L170" s="4">
        <v>166</v>
      </c>
      <c r="M170" s="4">
        <f t="shared" ca="1" si="23"/>
        <v>0</v>
      </c>
      <c r="O170" s="4">
        <f t="shared" ca="1" si="26"/>
        <v>2030</v>
      </c>
      <c r="P170" s="4">
        <v>166</v>
      </c>
      <c r="Q170" s="4">
        <f t="shared" ca="1" si="27"/>
        <v>9</v>
      </c>
      <c r="S170" s="125">
        <f ca="1">HLOOKUP(O170,'Datos SS'!$B$4:$CZZ$16,(Q170+1),0)</f>
        <v>142.25852087081577</v>
      </c>
      <c r="T170" s="815">
        <f ca="1">IF(O170=YEAR($B$5),($B$9/12),IF(O170&gt;MIN(YEAR($B$7),YEAR($B$5)),($B$9/12)*(1+HLOOKUP(O170,'Datos SS'!$B$31:$CZZ$32,2,0))^(O170-YEAR($B$5)),T158/(1+HLOOKUP(O170,'Datos SS'!$B$31:$CZZ$32,2,0))))</f>
        <v>21261.046000569651</v>
      </c>
      <c r="U170" s="7">
        <f ca="1">IF(O170=2018,IF(Q170&lt;8,HLOOKUP(O170,'Datos SS'!$B$25:$BZZ$27,3,0)/12,HLOOKUP(O170,'Datos SS'!$B$25:$BZZ$26,2,0)/12),HLOOKUP(O170,'Datos SS'!$B$25:$BZZ$26,2,0)/12)</f>
        <v>5043.456953952551</v>
      </c>
      <c r="V170" s="165">
        <f t="shared" ca="1" si="24"/>
        <v>5043.456953952551</v>
      </c>
      <c r="W170" s="7">
        <f t="shared" ca="1" si="22"/>
        <v>6741.1460560418564</v>
      </c>
      <c r="X170" s="149">
        <f ca="1">HLOOKUP(O170,'Datos SS'!$K$37:$EP$38,2,0)</f>
        <v>1311.3061184450487</v>
      </c>
      <c r="Y170">
        <f t="shared" ca="1" si="28"/>
        <v>1569</v>
      </c>
      <c r="AC170" s="648">
        <v>2047.0356645989934</v>
      </c>
      <c r="AD170" s="650">
        <f t="shared" ca="1" si="25"/>
        <v>-4694.1103914428631</v>
      </c>
    </row>
    <row r="171" spans="12:30">
      <c r="L171" s="4">
        <v>167</v>
      </c>
      <c r="M171" s="4">
        <f t="shared" ca="1" si="23"/>
        <v>0</v>
      </c>
      <c r="O171" s="4">
        <f t="shared" ca="1" si="26"/>
        <v>2030</v>
      </c>
      <c r="P171" s="4">
        <v>167</v>
      </c>
      <c r="Q171" s="4">
        <f t="shared" ca="1" si="27"/>
        <v>8</v>
      </c>
      <c r="S171" s="125">
        <f ca="1">HLOOKUP(O171,'Datos SS'!$B$4:$CZZ$16,(Q171+1),0)</f>
        <v>141.96609396138621</v>
      </c>
      <c r="T171" s="815">
        <f ca="1">IF(O171=YEAR($B$5),($B$9/12),IF(O171&gt;MIN(YEAR($B$7),YEAR($B$5)),($B$9/12)*(1+HLOOKUP(O171,'Datos SS'!$B$31:$CZZ$32,2,0))^(O171-YEAR($B$5)),T159/(1+HLOOKUP(O171,'Datos SS'!$B$31:$CZZ$32,2,0))))</f>
        <v>21261.046000569651</v>
      </c>
      <c r="U171" s="7">
        <f ca="1">IF(O171=2018,IF(Q171&lt;8,HLOOKUP(O171,'Datos SS'!$B$25:$BZZ$27,3,0)/12,HLOOKUP(O171,'Datos SS'!$B$25:$BZZ$26,2,0)/12),HLOOKUP(O171,'Datos SS'!$B$25:$BZZ$26,2,0)/12)</f>
        <v>5043.456953952551</v>
      </c>
      <c r="V171" s="165">
        <f t="shared" ca="1" si="24"/>
        <v>5043.456953952551</v>
      </c>
      <c r="W171" s="7">
        <f t="shared" ca="1" si="22"/>
        <v>6755.0317131883994</v>
      </c>
      <c r="X171" s="149">
        <f ca="1">HLOOKUP(O171,'Datos SS'!$K$37:$EP$38,2,0)</f>
        <v>1311.3061184450487</v>
      </c>
      <c r="Y171">
        <f t="shared" ca="1" si="28"/>
        <v>1568</v>
      </c>
      <c r="AC171" s="648">
        <v>2048.7337587042043</v>
      </c>
      <c r="AD171" s="650">
        <f t="shared" ca="1" si="25"/>
        <v>-4706.2979544841946</v>
      </c>
    </row>
    <row r="172" spans="12:30">
      <c r="L172" s="4">
        <v>168</v>
      </c>
      <c r="M172" s="4">
        <f t="shared" ca="1" si="23"/>
        <v>0</v>
      </c>
      <c r="O172" s="4">
        <f t="shared" ca="1" si="26"/>
        <v>2030</v>
      </c>
      <c r="P172" s="4">
        <v>168</v>
      </c>
      <c r="Q172" s="4">
        <f t="shared" ca="1" si="27"/>
        <v>7</v>
      </c>
      <c r="S172" s="125">
        <f ca="1">HLOOKUP(O172,'Datos SS'!$B$4:$CZZ$16,(Q172+1),0)</f>
        <v>141.67426816531585</v>
      </c>
      <c r="T172" s="815">
        <f ca="1">IF(O172=YEAR($B$5),($B$9/12),IF(O172&gt;MIN(YEAR($B$7),YEAR($B$5)),($B$9/12)*(1+HLOOKUP(O172,'Datos SS'!$B$31:$CZZ$32,2,0))^(O172-YEAR($B$5)),T160/(1+HLOOKUP(O172,'Datos SS'!$B$31:$CZZ$32,2,0))))</f>
        <v>21261.046000569651</v>
      </c>
      <c r="U172" s="7">
        <f ca="1">IF(O172=2018,IF(Q172&lt;8,HLOOKUP(O172,'Datos SS'!$B$25:$BZZ$27,3,0)/12,HLOOKUP(O172,'Datos SS'!$B$25:$BZZ$26,2,0)/12),HLOOKUP(O172,'Datos SS'!$B$25:$BZZ$26,2,0)/12)</f>
        <v>5043.456953952551</v>
      </c>
      <c r="V172" s="165">
        <f t="shared" ca="1" si="24"/>
        <v>5043.456953952551</v>
      </c>
      <c r="W172" s="7">
        <f t="shared" ca="1" si="22"/>
        <v>6768.9459725151628</v>
      </c>
      <c r="X172" s="149">
        <f ca="1">HLOOKUP(O172,'Datos SS'!$K$37:$EP$38,2,0)</f>
        <v>1311.3061184450487</v>
      </c>
      <c r="Y172">
        <f t="shared" ca="1" si="28"/>
        <v>1567</v>
      </c>
      <c r="AC172" s="648">
        <v>2050.4332614431969</v>
      </c>
      <c r="AD172" s="650">
        <f t="shared" ca="1" si="25"/>
        <v>-4718.5127110719659</v>
      </c>
    </row>
    <row r="173" spans="12:30">
      <c r="L173" s="4">
        <v>169</v>
      </c>
      <c r="M173" s="4">
        <f t="shared" ca="1" si="23"/>
        <v>0</v>
      </c>
      <c r="O173" s="4">
        <f t="shared" ca="1" si="26"/>
        <v>2030</v>
      </c>
      <c r="P173" s="4">
        <v>169</v>
      </c>
      <c r="Q173" s="4">
        <f t="shared" ca="1" si="27"/>
        <v>6</v>
      </c>
      <c r="S173" s="125">
        <f ca="1">HLOOKUP(O173,'Datos SS'!$B$4:$CZZ$16,(Q173+1),0)</f>
        <v>141.38304224695486</v>
      </c>
      <c r="T173" s="815">
        <f ca="1">IF(O173=YEAR($B$5),($B$9/12),IF(O173&gt;MIN(YEAR($B$7),YEAR($B$5)),($B$9/12)*(1+HLOOKUP(O173,'Datos SS'!$B$31:$CZZ$32,2,0))^(O173-YEAR($B$5)),T161/(1+HLOOKUP(O173,'Datos SS'!$B$31:$CZZ$32,2,0))))</f>
        <v>21261.046000569651</v>
      </c>
      <c r="U173" s="7">
        <f ca="1">IF(O173=2018,IF(Q173&lt;8,HLOOKUP(O173,'Datos SS'!$B$25:$BZZ$27,3,0)/12,HLOOKUP(O173,'Datos SS'!$B$25:$BZZ$26,2,0)/12),HLOOKUP(O173,'Datos SS'!$B$25:$BZZ$26,2,0)/12)</f>
        <v>5043.456953952551</v>
      </c>
      <c r="V173" s="165">
        <f t="shared" ca="1" si="24"/>
        <v>5043.456953952551</v>
      </c>
      <c r="W173" s="7">
        <f t="shared" ca="1" si="22"/>
        <v>6782.8888929379564</v>
      </c>
      <c r="X173" s="149">
        <f ca="1">HLOOKUP(O173,'Datos SS'!$K$37:$EP$38,2,0)</f>
        <v>1311.3061184450487</v>
      </c>
      <c r="Y173">
        <f t="shared" ca="1" si="28"/>
        <v>1566</v>
      </c>
      <c r="AC173" s="648">
        <v>2052.1341739844875</v>
      </c>
      <c r="AD173" s="650">
        <f t="shared" ca="1" si="25"/>
        <v>-4730.7547189534689</v>
      </c>
    </row>
    <row r="174" spans="12:30">
      <c r="L174" s="4">
        <v>170</v>
      </c>
      <c r="M174" s="4">
        <f t="shared" ca="1" si="23"/>
        <v>0</v>
      </c>
      <c r="O174" s="4">
        <f t="shared" ca="1" si="26"/>
        <v>2030</v>
      </c>
      <c r="P174" s="4">
        <v>170</v>
      </c>
      <c r="Q174" s="4">
        <f t="shared" ca="1" si="27"/>
        <v>5</v>
      </c>
      <c r="S174" s="125">
        <f ca="1">HLOOKUP(O174,'Datos SS'!$B$4:$CZZ$16,(Q174+1),0)</f>
        <v>141.09241497319337</v>
      </c>
      <c r="T174" s="815">
        <f ca="1">IF(O174=YEAR($B$5),($B$9/12),IF(O174&gt;MIN(YEAR($B$7),YEAR($B$5)),($B$9/12)*(1+HLOOKUP(O174,'Datos SS'!$B$31:$CZZ$32,2,0))^(O174-YEAR($B$5)),T162/(1+HLOOKUP(O174,'Datos SS'!$B$31:$CZZ$32,2,0))))</f>
        <v>21261.046000569651</v>
      </c>
      <c r="U174" s="7">
        <f ca="1">IF(O174=2018,IF(Q174&lt;8,HLOOKUP(O174,'Datos SS'!$B$25:$BZZ$27,3,0)/12,HLOOKUP(O174,'Datos SS'!$B$25:$BZZ$26,2,0)/12),HLOOKUP(O174,'Datos SS'!$B$25:$BZZ$26,2,0)/12)</f>
        <v>5043.456953952551</v>
      </c>
      <c r="V174" s="165">
        <f t="shared" ca="1" si="24"/>
        <v>5043.456953952551</v>
      </c>
      <c r="W174" s="7">
        <f t="shared" ca="1" si="22"/>
        <v>6796.860533493943</v>
      </c>
      <c r="X174" s="149">
        <f ca="1">HLOOKUP(O174,'Datos SS'!$K$37:$EP$38,2,0)</f>
        <v>1311.3061184450487</v>
      </c>
      <c r="Y174">
        <f t="shared" ca="1" si="28"/>
        <v>1565</v>
      </c>
      <c r="AC174" s="648">
        <v>2053.8364974975593</v>
      </c>
      <c r="AD174" s="650">
        <f t="shared" ca="1" si="25"/>
        <v>-4743.0240359963836</v>
      </c>
    </row>
    <row r="175" spans="12:30">
      <c r="L175" s="4">
        <v>171</v>
      </c>
      <c r="M175" s="4">
        <f t="shared" ca="1" si="23"/>
        <v>0</v>
      </c>
      <c r="O175" s="4">
        <f t="shared" ca="1" si="26"/>
        <v>2030</v>
      </c>
      <c r="P175" s="4">
        <v>171</v>
      </c>
      <c r="Q175" s="4">
        <f t="shared" ca="1" si="27"/>
        <v>4</v>
      </c>
      <c r="S175" s="125">
        <f ca="1">HLOOKUP(O175,'Datos SS'!$B$4:$CZZ$16,(Q175+1),0)</f>
        <v>140.8023851134563</v>
      </c>
      <c r="T175" s="815">
        <f ca="1">IF(O175=YEAR($B$5),($B$9/12),IF(O175&gt;MIN(YEAR($B$7),YEAR($B$5)),($B$9/12)*(1+HLOOKUP(O175,'Datos SS'!$B$31:$CZZ$32,2,0))^(O175-YEAR($B$5)),T163/(1+HLOOKUP(O175,'Datos SS'!$B$31:$CZZ$32,2,0))))</f>
        <v>21261.046000569651</v>
      </c>
      <c r="U175" s="7">
        <f ca="1">IF(O175=2018,IF(Q175&lt;8,HLOOKUP(O175,'Datos SS'!$B$25:$BZZ$27,3,0)/12,HLOOKUP(O175,'Datos SS'!$B$25:$BZZ$26,2,0)/12),HLOOKUP(O175,'Datos SS'!$B$25:$BZZ$26,2,0)/12)</f>
        <v>5043.456953952551</v>
      </c>
      <c r="V175" s="165">
        <f t="shared" ca="1" si="24"/>
        <v>5043.456953952551</v>
      </c>
      <c r="W175" s="7">
        <f t="shared" ca="1" si="22"/>
        <v>6810.8609533418976</v>
      </c>
      <c r="X175" s="149">
        <f ca="1">HLOOKUP(O175,'Datos SS'!$K$37:$EP$38,2,0)</f>
        <v>1311.3061184450487</v>
      </c>
      <c r="Y175">
        <f t="shared" ca="1" si="28"/>
        <v>1564</v>
      </c>
      <c r="AC175" s="648">
        <v>2055.540233152869</v>
      </c>
      <c r="AD175" s="650">
        <f t="shared" ca="1" si="25"/>
        <v>-4755.3207201890291</v>
      </c>
    </row>
    <row r="176" spans="12:30">
      <c r="L176" s="4">
        <v>172</v>
      </c>
      <c r="M176" s="4">
        <f t="shared" ca="1" si="23"/>
        <v>0</v>
      </c>
      <c r="O176" s="4">
        <f t="shared" ca="1" si="26"/>
        <v>2030</v>
      </c>
      <c r="P176" s="4">
        <v>172</v>
      </c>
      <c r="Q176" s="4">
        <f t="shared" ca="1" si="27"/>
        <v>3</v>
      </c>
      <c r="S176" s="125">
        <f ca="1">HLOOKUP(O176,'Datos SS'!$B$4:$CZZ$16,(Q176+1),0)</f>
        <v>140.51295143969816</v>
      </c>
      <c r="T176" s="815">
        <f ca="1">IF(O176=YEAR($B$5),($B$9/12),IF(O176&gt;MIN(YEAR($B$7),YEAR($B$5)),($B$9/12)*(1+HLOOKUP(O176,'Datos SS'!$B$31:$CZZ$32,2,0))^(O176-YEAR($B$5)),T164/(1+HLOOKUP(O176,'Datos SS'!$B$31:$CZZ$32,2,0))))</f>
        <v>21261.046000569651</v>
      </c>
      <c r="U176" s="7">
        <f ca="1">IF(O176=2018,IF(Q176&lt;8,HLOOKUP(O176,'Datos SS'!$B$25:$BZZ$27,3,0)/12,HLOOKUP(O176,'Datos SS'!$B$25:$BZZ$26,2,0)/12),HLOOKUP(O176,'Datos SS'!$B$25:$BZZ$26,2,0)/12)</f>
        <v>5043.456953952551</v>
      </c>
      <c r="V176" s="165">
        <f t="shared" ca="1" si="24"/>
        <v>5043.456953952551</v>
      </c>
      <c r="W176" s="7">
        <f t="shared" ca="1" si="22"/>
        <v>6824.8902117624466</v>
      </c>
      <c r="X176" s="149">
        <f ca="1">HLOOKUP(O176,'Datos SS'!$K$37:$EP$38,2,0)</f>
        <v>1311.3061184450487</v>
      </c>
      <c r="Y176">
        <f t="shared" ca="1" si="28"/>
        <v>1563</v>
      </c>
      <c r="AC176" s="648">
        <v>2057.245382121841</v>
      </c>
      <c r="AD176" s="650">
        <f t="shared" ca="1" si="25"/>
        <v>-4767.6448296406052</v>
      </c>
    </row>
    <row r="177" spans="12:30">
      <c r="L177" s="4">
        <v>173</v>
      </c>
      <c r="M177" s="4">
        <f t="shared" ca="1" si="23"/>
        <v>0</v>
      </c>
      <c r="O177" s="4">
        <f t="shared" ca="1" si="26"/>
        <v>2030</v>
      </c>
      <c r="P177" s="4">
        <v>173</v>
      </c>
      <c r="Q177" s="4">
        <f t="shared" ca="1" si="27"/>
        <v>2</v>
      </c>
      <c r="S177" s="125">
        <f ca="1">HLOOKUP(O177,'Datos SS'!$B$4:$CZZ$16,(Q177+1),0)</f>
        <v>140.22411272639781</v>
      </c>
      <c r="T177" s="815">
        <f ca="1">IF(O177=YEAR($B$5),($B$9/12),IF(O177&gt;MIN(YEAR($B$7),YEAR($B$5)),($B$9/12)*(1+HLOOKUP(O177,'Datos SS'!$B$31:$CZZ$32,2,0))^(O177-YEAR($B$5)),T165/(1+HLOOKUP(O177,'Datos SS'!$B$31:$CZZ$32,2,0))))</f>
        <v>21261.046000569651</v>
      </c>
      <c r="U177" s="7">
        <f ca="1">IF(O177=2018,IF(Q177&lt;8,HLOOKUP(O177,'Datos SS'!$B$25:$BZZ$27,3,0)/12,HLOOKUP(O177,'Datos SS'!$B$25:$BZZ$26,2,0)/12),HLOOKUP(O177,'Datos SS'!$B$25:$BZZ$26,2,0)/12)</f>
        <v>5043.456953952551</v>
      </c>
      <c r="V177" s="165">
        <f t="shared" ca="1" si="24"/>
        <v>5043.456953952551</v>
      </c>
      <c r="W177" s="7">
        <f t="shared" ca="1" si="22"/>
        <v>6838.9483681583297</v>
      </c>
      <c r="X177" s="149">
        <f ca="1">HLOOKUP(O177,'Datos SS'!$K$37:$EP$38,2,0)</f>
        <v>1311.3061184450487</v>
      </c>
      <c r="Y177">
        <f t="shared" ca="1" si="28"/>
        <v>1562</v>
      </c>
      <c r="AC177" s="648">
        <v>2058.9519455768741</v>
      </c>
      <c r="AD177" s="650">
        <f t="shared" ca="1" si="25"/>
        <v>-4779.9964225814556</v>
      </c>
    </row>
    <row r="178" spans="12:30">
      <c r="L178" s="4">
        <v>174</v>
      </c>
      <c r="M178" s="4">
        <f t="shared" ca="1" si="23"/>
        <v>0</v>
      </c>
      <c r="O178" s="4">
        <f t="shared" ca="1" si="26"/>
        <v>2030</v>
      </c>
      <c r="P178" s="4">
        <v>174</v>
      </c>
      <c r="Q178" s="4">
        <f t="shared" ca="1" si="27"/>
        <v>1</v>
      </c>
      <c r="S178" s="125">
        <f ca="1">HLOOKUP(O178,'Datos SS'!$B$4:$CZZ$16,(Q178+1),0)</f>
        <v>139.93586775055329</v>
      </c>
      <c r="T178" s="815">
        <f ca="1">IF(O178=YEAR($B$5),($B$9/12),IF(O178&gt;MIN(YEAR($B$7),YEAR($B$5)),($B$9/12)*(1+HLOOKUP(O178,'Datos SS'!$B$31:$CZZ$32,2,0))^(O178-YEAR($B$5)),T166/(1+HLOOKUP(O178,'Datos SS'!$B$31:$CZZ$32,2,0))))</f>
        <v>21261.046000569651</v>
      </c>
      <c r="U178" s="7">
        <f ca="1">IF(O178=2018,IF(Q178&lt;8,HLOOKUP(O178,'Datos SS'!$B$25:$BZZ$27,3,0)/12,HLOOKUP(O178,'Datos SS'!$B$25:$BZZ$26,2,0)/12),HLOOKUP(O178,'Datos SS'!$B$25:$BZZ$26,2,0)/12)</f>
        <v>5043.456953952551</v>
      </c>
      <c r="V178" s="165">
        <f t="shared" ca="1" si="24"/>
        <v>5043.456953952551</v>
      </c>
      <c r="W178" s="7">
        <f t="shared" ca="1" si="22"/>
        <v>6853.0354820546445</v>
      </c>
      <c r="X178" s="149">
        <f ca="1">HLOOKUP(O178,'Datos SS'!$K$37:$EP$38,2,0)</f>
        <v>1311.3061184450487</v>
      </c>
      <c r="Y178">
        <f t="shared" ca="1" si="28"/>
        <v>1561</v>
      </c>
      <c r="AC178" s="648">
        <v>2060.659924691337</v>
      </c>
      <c r="AD178" s="650">
        <f t="shared" ca="1" si="25"/>
        <v>-4792.375557363308</v>
      </c>
    </row>
    <row r="179" spans="12:30">
      <c r="L179" s="4">
        <v>175</v>
      </c>
      <c r="M179" s="4">
        <f t="shared" ca="1" si="23"/>
        <v>0</v>
      </c>
      <c r="O179" s="4">
        <f t="shared" ca="1" si="26"/>
        <v>2029</v>
      </c>
      <c r="P179" s="4">
        <v>175</v>
      </c>
      <c r="Q179" s="4">
        <f t="shared" ca="1" si="27"/>
        <v>12</v>
      </c>
      <c r="S179" s="125">
        <f ca="1">HLOOKUP(O179,'Datos SS'!$B$4:$CZZ$16,(Q179+1),0)</f>
        <v>139.64821529167668</v>
      </c>
      <c r="T179" s="815">
        <f ca="1">IF(O179=YEAR($B$5),($B$9/12),IF(O179&gt;MIN(YEAR($B$7),YEAR($B$5)),($B$9/12)*(1+HLOOKUP(O179,'Datos SS'!$B$31:$CZZ$32,2,0))^(O179-YEAR($B$5)),T167/(1+HLOOKUP(O179,'Datos SS'!$B$31:$CZZ$32,2,0))))</f>
        <v>20742.483902994783</v>
      </c>
      <c r="U179" s="7">
        <f ca="1">IF(O179=2018,IF(Q179&lt;8,HLOOKUP(O179,'Datos SS'!$B$25:$BZZ$27,3,0)/12,HLOOKUP(O179,'Datos SS'!$B$25:$BZZ$26,2,0)/12),HLOOKUP(O179,'Datos SS'!$B$25:$BZZ$26,2,0)/12)</f>
        <v>4920.4458087341964</v>
      </c>
      <c r="V179" s="165">
        <f t="shared" ca="1" si="24"/>
        <v>4920.4458087341964</v>
      </c>
      <c r="W179" s="7">
        <f t="shared" ca="1" si="22"/>
        <v>6699.6601103405856</v>
      </c>
      <c r="X179" s="149">
        <f ca="1">HLOOKUP(O179,'Datos SS'!$K$37:$EP$38,2,0)</f>
        <v>1279.3230423854134</v>
      </c>
      <c r="Y179">
        <f t="shared" ca="1" si="28"/>
        <v>1560</v>
      </c>
      <c r="AC179" s="648">
        <v>2062.3693206395742</v>
      </c>
      <c r="AD179" s="650">
        <f t="shared" ca="1" si="25"/>
        <v>-4637.2907897010118</v>
      </c>
    </row>
    <row r="180" spans="12:30">
      <c r="L180" s="4">
        <v>176</v>
      </c>
      <c r="M180" s="4">
        <f t="shared" ca="1" si="23"/>
        <v>0</v>
      </c>
      <c r="O180" s="4">
        <f t="shared" ca="1" si="26"/>
        <v>2029</v>
      </c>
      <c r="P180" s="4">
        <v>176</v>
      </c>
      <c r="Q180" s="4">
        <f t="shared" ca="1" si="27"/>
        <v>11</v>
      </c>
      <c r="S180" s="125">
        <f ca="1">HLOOKUP(O180,'Datos SS'!$B$4:$CZZ$16,(Q180+1),0)</f>
        <v>139.36115413178888</v>
      </c>
      <c r="T180" s="815">
        <f ca="1">IF(O180=YEAR($B$5),($B$9/12),IF(O180&gt;MIN(YEAR($B$7),YEAR($B$5)),($B$9/12)*(1+HLOOKUP(O180,'Datos SS'!$B$31:$CZZ$32,2,0))^(O180-YEAR($B$5)),T168/(1+HLOOKUP(O180,'Datos SS'!$B$31:$CZZ$32,2,0))))</f>
        <v>20742.483902994783</v>
      </c>
      <c r="U180" s="7">
        <f ca="1">IF(O180=2018,IF(Q180&lt;8,HLOOKUP(O180,'Datos SS'!$B$25:$BZZ$27,3,0)/12,HLOOKUP(O180,'Datos SS'!$B$25:$BZZ$26,2,0)/12),HLOOKUP(O180,'Datos SS'!$B$25:$BZZ$26,2,0)/12)</f>
        <v>4920.4458087341964</v>
      </c>
      <c r="V180" s="165">
        <f t="shared" ca="1" si="24"/>
        <v>4920.4458087341964</v>
      </c>
      <c r="W180" s="7">
        <f t="shared" ca="1" si="22"/>
        <v>6713.4603132314833</v>
      </c>
      <c r="X180" s="149">
        <f ca="1">HLOOKUP(O180,'Datos SS'!$K$37:$EP$38,2,0)</f>
        <v>1279.3230423854134</v>
      </c>
      <c r="Y180">
        <f t="shared" ca="1" si="28"/>
        <v>1559</v>
      </c>
      <c r="AC180" s="648">
        <v>2064.0801345969026</v>
      </c>
      <c r="AD180" s="650">
        <f t="shared" ca="1" si="25"/>
        <v>-4649.3801786345812</v>
      </c>
    </row>
    <row r="181" spans="12:30">
      <c r="L181" s="4">
        <v>177</v>
      </c>
      <c r="M181" s="4">
        <f t="shared" ca="1" si="23"/>
        <v>0</v>
      </c>
      <c r="O181" s="4">
        <f t="shared" ca="1" si="26"/>
        <v>2029</v>
      </c>
      <c r="P181" s="4">
        <v>177</v>
      </c>
      <c r="Q181" s="4">
        <f t="shared" ca="1" si="27"/>
        <v>10</v>
      </c>
      <c r="S181" s="125">
        <f ca="1">HLOOKUP(O181,'Datos SS'!$B$4:$CZZ$16,(Q181+1),0)</f>
        <v>139.07468305541445</v>
      </c>
      <c r="T181" s="815">
        <f ca="1">IF(O181=YEAR($B$5),($B$9/12),IF(O181&gt;MIN(YEAR($B$7),YEAR($B$5)),($B$9/12)*(1+HLOOKUP(O181,'Datos SS'!$B$31:$CZZ$32,2,0))^(O181-YEAR($B$5)),T169/(1+HLOOKUP(O181,'Datos SS'!$B$31:$CZZ$32,2,0))))</f>
        <v>20742.483902994783</v>
      </c>
      <c r="U181" s="7">
        <f ca="1">IF(O181=2018,IF(Q181&lt;8,HLOOKUP(O181,'Datos SS'!$B$25:$BZZ$27,3,0)/12,HLOOKUP(O181,'Datos SS'!$B$25:$BZZ$26,2,0)/12),HLOOKUP(O181,'Datos SS'!$B$25:$BZZ$26,2,0)/12)</f>
        <v>4920.4458087341964</v>
      </c>
      <c r="V181" s="165">
        <f t="shared" ca="1" si="24"/>
        <v>4920.4458087341964</v>
      </c>
      <c r="W181" s="7">
        <f t="shared" ca="1" si="22"/>
        <v>6727.2889422808275</v>
      </c>
      <c r="X181" s="149">
        <f ca="1">HLOOKUP(O181,'Datos SS'!$K$37:$EP$38,2,0)</f>
        <v>1279.3230423854134</v>
      </c>
      <c r="Y181">
        <f t="shared" ca="1" si="28"/>
        <v>1558</v>
      </c>
      <c r="AC181" s="648">
        <v>2065.7923677396157</v>
      </c>
      <c r="AD181" s="650">
        <f t="shared" ca="1" si="25"/>
        <v>-4661.4965745412119</v>
      </c>
    </row>
    <row r="182" spans="12:30">
      <c r="L182" s="4">
        <v>178</v>
      </c>
      <c r="M182" s="4">
        <f t="shared" ca="1" si="23"/>
        <v>0</v>
      </c>
      <c r="O182" s="4">
        <f t="shared" ca="1" si="26"/>
        <v>2029</v>
      </c>
      <c r="P182" s="4">
        <v>178</v>
      </c>
      <c r="Q182" s="4">
        <f t="shared" ca="1" si="27"/>
        <v>9</v>
      </c>
      <c r="S182" s="125">
        <f ca="1">HLOOKUP(O182,'Datos SS'!$B$4:$CZZ$16,(Q182+1),0)</f>
        <v>138.78880084957652</v>
      </c>
      <c r="T182" s="815">
        <f ca="1">IF(O182=YEAR($B$5),($B$9/12),IF(O182&gt;MIN(YEAR($B$7),YEAR($B$5)),($B$9/12)*(1+HLOOKUP(O182,'Datos SS'!$B$31:$CZZ$32,2,0))^(O182-YEAR($B$5)),T170/(1+HLOOKUP(O182,'Datos SS'!$B$31:$CZZ$32,2,0))))</f>
        <v>20742.483902994783</v>
      </c>
      <c r="U182" s="7">
        <f ca="1">IF(O182=2018,IF(Q182&lt;8,HLOOKUP(O182,'Datos SS'!$B$25:$BZZ$27,3,0)/12,HLOOKUP(O182,'Datos SS'!$B$25:$BZZ$26,2,0)/12),HLOOKUP(O182,'Datos SS'!$B$25:$BZZ$26,2,0)/12)</f>
        <v>4920.4458087341964</v>
      </c>
      <c r="V182" s="165">
        <f t="shared" ca="1" si="24"/>
        <v>4920.4458087341964</v>
      </c>
      <c r="W182" s="7">
        <f t="shared" ca="1" si="22"/>
        <v>6741.1460560418491</v>
      </c>
      <c r="X182" s="149">
        <f ca="1">HLOOKUP(O182,'Datos SS'!$K$37:$EP$38,2,0)</f>
        <v>1279.3230423854134</v>
      </c>
      <c r="Y182">
        <f t="shared" ca="1" si="28"/>
        <v>1557</v>
      </c>
      <c r="AC182" s="648">
        <v>2036.9517450689473</v>
      </c>
      <c r="AD182" s="650">
        <f t="shared" ca="1" si="25"/>
        <v>-4704.1943109729018</v>
      </c>
    </row>
    <row r="183" spans="12:30">
      <c r="L183" s="4">
        <v>179</v>
      </c>
      <c r="M183" s="4">
        <f t="shared" ca="1" si="23"/>
        <v>0</v>
      </c>
      <c r="O183" s="4">
        <f t="shared" ca="1" si="26"/>
        <v>2029</v>
      </c>
      <c r="P183" s="4">
        <v>179</v>
      </c>
      <c r="Q183" s="4">
        <f t="shared" ca="1" si="27"/>
        <v>8</v>
      </c>
      <c r="S183" s="125">
        <f ca="1">HLOOKUP(O183,'Datos SS'!$B$4:$CZZ$16,(Q183+1),0)</f>
        <v>138.50350630379157</v>
      </c>
      <c r="T183" s="815">
        <f ca="1">IF(O183=YEAR($B$5),($B$9/12),IF(O183&gt;MIN(YEAR($B$7),YEAR($B$5)),($B$9/12)*(1+HLOOKUP(O183,'Datos SS'!$B$31:$CZZ$32,2,0))^(O183-YEAR($B$5)),T171/(1+HLOOKUP(O183,'Datos SS'!$B$31:$CZZ$32,2,0))))</f>
        <v>20742.483902994783</v>
      </c>
      <c r="U183" s="7">
        <f ca="1">IF(O183=2018,IF(Q183&lt;8,HLOOKUP(O183,'Datos SS'!$B$25:$BZZ$27,3,0)/12,HLOOKUP(O183,'Datos SS'!$B$25:$BZZ$26,2,0)/12),HLOOKUP(O183,'Datos SS'!$B$25:$BZZ$26,2,0)/12)</f>
        <v>4920.4458087341964</v>
      </c>
      <c r="V183" s="165">
        <f t="shared" ca="1" si="24"/>
        <v>4920.4458087341964</v>
      </c>
      <c r="W183" s="7">
        <f t="shared" ca="1" si="22"/>
        <v>6755.0317131883921</v>
      </c>
      <c r="X183" s="149">
        <f ca="1">HLOOKUP(O183,'Datos SS'!$K$37:$EP$38,2,0)</f>
        <v>1279.3230423854134</v>
      </c>
      <c r="Y183">
        <f t="shared" ca="1" si="28"/>
        <v>1556</v>
      </c>
      <c r="AC183" s="648">
        <v>2038.6414741785659</v>
      </c>
      <c r="AD183" s="650">
        <f t="shared" ca="1" si="25"/>
        <v>-4716.3902390098265</v>
      </c>
    </row>
    <row r="184" spans="12:30">
      <c r="L184" s="4">
        <v>180</v>
      </c>
      <c r="M184" s="4">
        <f t="shared" ca="1" si="23"/>
        <v>0</v>
      </c>
      <c r="O184" s="4">
        <f t="shared" ca="1" si="26"/>
        <v>2029</v>
      </c>
      <c r="P184" s="4">
        <v>180</v>
      </c>
      <c r="Q184" s="4">
        <f t="shared" ca="1" si="27"/>
        <v>7</v>
      </c>
      <c r="S184" s="125">
        <f ca="1">HLOOKUP(O184,'Datos SS'!$B$4:$CZZ$16,(Q184+1),0)</f>
        <v>138.21879821006439</v>
      </c>
      <c r="T184" s="815">
        <f ca="1">IF(O184=YEAR($B$5),($B$9/12),IF(O184&gt;MIN(YEAR($B$7),YEAR($B$5)),($B$9/12)*(1+HLOOKUP(O184,'Datos SS'!$B$31:$CZZ$32,2,0))^(O184-YEAR($B$5)),T172/(1+HLOOKUP(O184,'Datos SS'!$B$31:$CZZ$32,2,0))))</f>
        <v>20742.483902994783</v>
      </c>
      <c r="U184" s="7">
        <f ca="1">IF(O184=2018,IF(Q184&lt;8,HLOOKUP(O184,'Datos SS'!$B$25:$BZZ$27,3,0)/12,HLOOKUP(O184,'Datos SS'!$B$25:$BZZ$26,2,0)/12),HLOOKUP(O184,'Datos SS'!$B$25:$BZZ$26,2,0)/12)</f>
        <v>4920.4458087341964</v>
      </c>
      <c r="V184" s="165">
        <f t="shared" ca="1" si="24"/>
        <v>4920.4458087341964</v>
      </c>
      <c r="W184" s="7">
        <f t="shared" ca="1" si="22"/>
        <v>6768.9459725151555</v>
      </c>
      <c r="X184" s="149">
        <f ca="1">HLOOKUP(O184,'Datos SS'!$K$37:$EP$38,2,0)</f>
        <v>1279.3230423854134</v>
      </c>
      <c r="Y184">
        <f t="shared" ca="1" si="28"/>
        <v>1555</v>
      </c>
      <c r="AC184" s="648">
        <v>2040.332604982884</v>
      </c>
      <c r="AD184" s="650">
        <f t="shared" ca="1" si="25"/>
        <v>-4728.6133675322717</v>
      </c>
    </row>
    <row r="185" spans="12:30">
      <c r="L185" s="4">
        <v>181</v>
      </c>
      <c r="M185" s="4">
        <f t="shared" ca="1" si="23"/>
        <v>0</v>
      </c>
      <c r="O185" s="4">
        <f t="shared" ca="1" si="26"/>
        <v>2029</v>
      </c>
      <c r="P185" s="4">
        <v>181</v>
      </c>
      <c r="Q185" s="4">
        <f t="shared" ca="1" si="27"/>
        <v>6</v>
      </c>
      <c r="S185" s="125">
        <f ca="1">HLOOKUP(O185,'Datos SS'!$B$4:$CZZ$16,(Q185+1),0)</f>
        <v>137.93467536288296</v>
      </c>
      <c r="T185" s="815">
        <f ca="1">IF(O185=YEAR($B$5),($B$9/12),IF(O185&gt;MIN(YEAR($B$7),YEAR($B$5)),($B$9/12)*(1+HLOOKUP(O185,'Datos SS'!$B$31:$CZZ$32,2,0))^(O185-YEAR($B$5)),T173/(1+HLOOKUP(O185,'Datos SS'!$B$31:$CZZ$32,2,0))))</f>
        <v>20742.483902994783</v>
      </c>
      <c r="U185" s="7">
        <f ca="1">IF(O185=2018,IF(Q185&lt;8,HLOOKUP(O185,'Datos SS'!$B$25:$BZZ$27,3,0)/12,HLOOKUP(O185,'Datos SS'!$B$25:$BZZ$26,2,0)/12),HLOOKUP(O185,'Datos SS'!$B$25:$BZZ$26,2,0)/12)</f>
        <v>4920.4458087341964</v>
      </c>
      <c r="V185" s="165">
        <f t="shared" ca="1" si="24"/>
        <v>4920.4458087341964</v>
      </c>
      <c r="W185" s="7">
        <f t="shared" ca="1" si="22"/>
        <v>6782.8888929379473</v>
      </c>
      <c r="X185" s="149">
        <f ca="1">HLOOKUP(O185,'Datos SS'!$K$37:$EP$38,2,0)</f>
        <v>1279.3230423854134</v>
      </c>
      <c r="Y185">
        <f t="shared" ca="1" si="28"/>
        <v>1554</v>
      </c>
      <c r="AC185" s="648">
        <v>2042.0251386446603</v>
      </c>
      <c r="AD185" s="650">
        <f t="shared" ca="1" si="25"/>
        <v>-4740.8637542932865</v>
      </c>
    </row>
    <row r="186" spans="12:30">
      <c r="L186" s="4">
        <v>182</v>
      </c>
      <c r="M186" s="4">
        <f t="shared" ca="1" si="23"/>
        <v>0</v>
      </c>
      <c r="O186" s="4">
        <f t="shared" ca="1" si="26"/>
        <v>2029</v>
      </c>
      <c r="P186" s="4">
        <v>182</v>
      </c>
      <c r="Q186" s="4">
        <f t="shared" ca="1" si="27"/>
        <v>5</v>
      </c>
      <c r="S186" s="125">
        <f ca="1">HLOOKUP(O186,'Datos SS'!$B$4:$CZZ$16,(Q186+1),0)</f>
        <v>137.6511365592132</v>
      </c>
      <c r="T186" s="815">
        <f ca="1">IF(O186=YEAR($B$5),($B$9/12),IF(O186&gt;MIN(YEAR($B$7),YEAR($B$5)),($B$9/12)*(1+HLOOKUP(O186,'Datos SS'!$B$31:$CZZ$32,2,0))^(O186-YEAR($B$5)),T174/(1+HLOOKUP(O186,'Datos SS'!$B$31:$CZZ$32,2,0))))</f>
        <v>20742.483902994783</v>
      </c>
      <c r="U186" s="7">
        <f ca="1">IF(O186=2018,IF(Q186&lt;8,HLOOKUP(O186,'Datos SS'!$B$25:$BZZ$27,3,0)/12,HLOOKUP(O186,'Datos SS'!$B$25:$BZZ$26,2,0)/12),HLOOKUP(O186,'Datos SS'!$B$25:$BZZ$26,2,0)/12)</f>
        <v>4920.4458087341964</v>
      </c>
      <c r="V186" s="165">
        <f t="shared" ca="1" si="24"/>
        <v>4920.4458087341964</v>
      </c>
      <c r="W186" s="7">
        <f t="shared" ca="1" si="22"/>
        <v>6796.8605334939357</v>
      </c>
      <c r="X186" s="149">
        <f ca="1">HLOOKUP(O186,'Datos SS'!$K$37:$EP$38,2,0)</f>
        <v>1279.3230423854134</v>
      </c>
      <c r="Y186">
        <f t="shared" ca="1" si="28"/>
        <v>1553</v>
      </c>
      <c r="AC186" s="648">
        <v>2043.7190763276192</v>
      </c>
      <c r="AD186" s="650">
        <f t="shared" ca="1" si="25"/>
        <v>-4753.1414571663163</v>
      </c>
    </row>
    <row r="187" spans="12:30">
      <c r="L187" s="4">
        <v>183</v>
      </c>
      <c r="M187" s="4">
        <f t="shared" ca="1" si="23"/>
        <v>0</v>
      </c>
      <c r="O187" s="4">
        <f t="shared" ca="1" si="26"/>
        <v>2029</v>
      </c>
      <c r="P187" s="4">
        <v>183</v>
      </c>
      <c r="Q187" s="4">
        <f t="shared" ca="1" si="27"/>
        <v>4</v>
      </c>
      <c r="S187" s="125">
        <f ca="1">HLOOKUP(O187,'Datos SS'!$B$4:$CZZ$16,(Q187+1),0)</f>
        <v>137.36818059849412</v>
      </c>
      <c r="T187" s="815">
        <f ca="1">IF(O187=YEAR($B$5),($B$9/12),IF(O187&gt;MIN(YEAR($B$7),YEAR($B$5)),($B$9/12)*(1+HLOOKUP(O187,'Datos SS'!$B$31:$CZZ$32,2,0))^(O187-YEAR($B$5)),T175/(1+HLOOKUP(O187,'Datos SS'!$B$31:$CZZ$32,2,0))))</f>
        <v>20742.483902994783</v>
      </c>
      <c r="U187" s="7">
        <f ca="1">IF(O187=2018,IF(Q187&lt;8,HLOOKUP(O187,'Datos SS'!$B$25:$BZZ$27,3,0)/12,HLOOKUP(O187,'Datos SS'!$B$25:$BZZ$26,2,0)/12),HLOOKUP(O187,'Datos SS'!$B$25:$BZZ$26,2,0)/12)</f>
        <v>4920.4458087341964</v>
      </c>
      <c r="V187" s="165">
        <f t="shared" ca="1" si="24"/>
        <v>4920.4458087341964</v>
      </c>
      <c r="W187" s="7">
        <f t="shared" ca="1" si="22"/>
        <v>6810.8609533418885</v>
      </c>
      <c r="X187" s="149">
        <f ca="1">HLOOKUP(O187,'Datos SS'!$K$37:$EP$38,2,0)</f>
        <v>1279.3230423854134</v>
      </c>
      <c r="Y187">
        <f t="shared" ca="1" si="28"/>
        <v>1552</v>
      </c>
      <c r="AC187" s="648">
        <v>2045.414419196449</v>
      </c>
      <c r="AD187" s="650">
        <f t="shared" ca="1" si="25"/>
        <v>-4765.4465341454397</v>
      </c>
    </row>
    <row r="188" spans="12:30">
      <c r="L188" s="4">
        <v>184</v>
      </c>
      <c r="M188" s="4">
        <f t="shared" ca="1" si="23"/>
        <v>0</v>
      </c>
      <c r="O188" s="4">
        <f t="shared" ca="1" si="26"/>
        <v>2029</v>
      </c>
      <c r="P188" s="4">
        <v>184</v>
      </c>
      <c r="Q188" s="4">
        <f t="shared" ca="1" si="27"/>
        <v>3</v>
      </c>
      <c r="S188" s="125">
        <f ca="1">HLOOKUP(O188,'Datos SS'!$B$4:$CZZ$16,(Q188+1),0)</f>
        <v>137.08580628263252</v>
      </c>
      <c r="T188" s="815">
        <f ca="1">IF(O188=YEAR($B$5),($B$9/12),IF(O188&gt;MIN(YEAR($B$7),YEAR($B$5)),($B$9/12)*(1+HLOOKUP(O188,'Datos SS'!$B$31:$CZZ$32,2,0))^(O188-YEAR($B$5)),T176/(1+HLOOKUP(O188,'Datos SS'!$B$31:$CZZ$32,2,0))))</f>
        <v>20742.483902994783</v>
      </c>
      <c r="U188" s="7">
        <f ca="1">IF(O188=2018,IF(Q188&lt;8,HLOOKUP(O188,'Datos SS'!$B$25:$BZZ$27,3,0)/12,HLOOKUP(O188,'Datos SS'!$B$25:$BZZ$26,2,0)/12),HLOOKUP(O188,'Datos SS'!$B$25:$BZZ$26,2,0)/12)</f>
        <v>4920.4458087341964</v>
      </c>
      <c r="V188" s="165">
        <f t="shared" ca="1" si="24"/>
        <v>4920.4458087341964</v>
      </c>
      <c r="W188" s="7">
        <f t="shared" ca="1" si="22"/>
        <v>6824.8902117624375</v>
      </c>
      <c r="X188" s="149">
        <f ca="1">HLOOKUP(O188,'Datos SS'!$K$37:$EP$38,2,0)</f>
        <v>1279.3230423854134</v>
      </c>
      <c r="Y188">
        <f t="shared" ca="1" si="28"/>
        <v>1551</v>
      </c>
      <c r="AC188" s="648">
        <v>2047.1111684168056</v>
      </c>
      <c r="AD188" s="650">
        <f t="shared" ca="1" si="25"/>
        <v>-4777.7790433456321</v>
      </c>
    </row>
    <row r="189" spans="12:30">
      <c r="L189" s="4">
        <v>185</v>
      </c>
      <c r="M189" s="4">
        <f t="shared" ca="1" si="23"/>
        <v>0</v>
      </c>
      <c r="O189" s="4">
        <f t="shared" ca="1" si="26"/>
        <v>2029</v>
      </c>
      <c r="P189" s="4">
        <v>185</v>
      </c>
      <c r="Q189" s="4">
        <f t="shared" ca="1" si="27"/>
        <v>2</v>
      </c>
      <c r="S189" s="125">
        <f ca="1">HLOOKUP(O189,'Datos SS'!$B$4:$CZZ$16,(Q189+1),0)</f>
        <v>136.80401241599802</v>
      </c>
      <c r="T189" s="815">
        <f ca="1">IF(O189=YEAR($B$5),($B$9/12),IF(O189&gt;MIN(YEAR($B$7),YEAR($B$5)),($B$9/12)*(1+HLOOKUP(O189,'Datos SS'!$B$31:$CZZ$32,2,0))^(O189-YEAR($B$5)),T177/(1+HLOOKUP(O189,'Datos SS'!$B$31:$CZZ$32,2,0))))</f>
        <v>20742.483902994783</v>
      </c>
      <c r="U189" s="7">
        <f ca="1">IF(O189=2018,IF(Q189&lt;8,HLOOKUP(O189,'Datos SS'!$B$25:$BZZ$27,3,0)/12,HLOOKUP(O189,'Datos SS'!$B$25:$BZZ$26,2,0)/12),HLOOKUP(O189,'Datos SS'!$B$25:$BZZ$26,2,0)/12)</f>
        <v>4920.4458087341964</v>
      </c>
      <c r="V189" s="165">
        <f t="shared" ca="1" si="24"/>
        <v>4920.4458087341964</v>
      </c>
      <c r="W189" s="7">
        <f t="shared" ca="1" si="22"/>
        <v>6838.9483681583215</v>
      </c>
      <c r="X189" s="149">
        <f ca="1">HLOOKUP(O189,'Datos SS'!$K$37:$EP$38,2,0)</f>
        <v>1279.3230423854134</v>
      </c>
      <c r="Y189">
        <f t="shared" ca="1" si="28"/>
        <v>1550</v>
      </c>
      <c r="AC189" s="648">
        <v>2048.8093251553109</v>
      </c>
      <c r="AD189" s="650">
        <f t="shared" ca="1" si="25"/>
        <v>-4790.1390430030106</v>
      </c>
    </row>
    <row r="190" spans="12:30">
      <c r="L190" s="4">
        <v>186</v>
      </c>
      <c r="M190" s="4">
        <f t="shared" ca="1" si="23"/>
        <v>0</v>
      </c>
      <c r="O190" s="4">
        <f t="shared" ca="1" si="26"/>
        <v>2029</v>
      </c>
      <c r="P190" s="4">
        <v>186</v>
      </c>
      <c r="Q190" s="4">
        <f t="shared" ca="1" si="27"/>
        <v>1</v>
      </c>
      <c r="S190" s="125">
        <f ca="1">HLOOKUP(O190,'Datos SS'!$B$4:$CZZ$16,(Q190+1),0)</f>
        <v>136.52279780541801</v>
      </c>
      <c r="T190" s="815">
        <f ca="1">IF(O190=YEAR($B$5),($B$9/12),IF(O190&gt;MIN(YEAR($B$7),YEAR($B$5)),($B$9/12)*(1+HLOOKUP(O190,'Datos SS'!$B$31:$CZZ$32,2,0))^(O190-YEAR($B$5)),T178/(1+HLOOKUP(O190,'Datos SS'!$B$31:$CZZ$32,2,0))))</f>
        <v>20742.483902994783</v>
      </c>
      <c r="U190" s="7">
        <f ca="1">IF(O190=2018,IF(Q190&lt;8,HLOOKUP(O190,'Datos SS'!$B$25:$BZZ$27,3,0)/12,HLOOKUP(O190,'Datos SS'!$B$25:$BZZ$26,2,0)/12),HLOOKUP(O190,'Datos SS'!$B$25:$BZZ$26,2,0)/12)</f>
        <v>4920.4458087341964</v>
      </c>
      <c r="V190" s="165">
        <f t="shared" ca="1" si="24"/>
        <v>4920.4458087341964</v>
      </c>
      <c r="W190" s="7">
        <f t="shared" ca="1" si="22"/>
        <v>6853.0354820546354</v>
      </c>
      <c r="X190" s="149">
        <f ca="1">HLOOKUP(O190,'Datos SS'!$K$37:$EP$38,2,0)</f>
        <v>1279.3230423854134</v>
      </c>
      <c r="Y190">
        <f t="shared" ca="1" si="28"/>
        <v>1549</v>
      </c>
      <c r="AC190" s="648">
        <v>2050.5088905795551</v>
      </c>
      <c r="AD190" s="650">
        <f t="shared" ca="1" si="25"/>
        <v>-4802.5265914750798</v>
      </c>
    </row>
    <row r="191" spans="12:30">
      <c r="L191" s="4">
        <v>187</v>
      </c>
      <c r="M191" s="4">
        <f t="shared" ca="1" si="23"/>
        <v>0</v>
      </c>
      <c r="O191" s="4">
        <f t="shared" ca="1" si="26"/>
        <v>2028</v>
      </c>
      <c r="P191" s="4">
        <v>187</v>
      </c>
      <c r="Q191" s="4">
        <f t="shared" ca="1" si="27"/>
        <v>12</v>
      </c>
      <c r="S191" s="125">
        <f ca="1">HLOOKUP(O191,'Datos SS'!$B$4:$CZZ$16,(Q191+1),0)</f>
        <v>136.24216126017254</v>
      </c>
      <c r="T191" s="815">
        <f ca="1">IF(O191=YEAR($B$5),($B$9/12),IF(O191&gt;MIN(YEAR($B$7),YEAR($B$5)),($B$9/12)*(1+HLOOKUP(O191,'Datos SS'!$B$31:$CZZ$32,2,0))^(O191-YEAR($B$5)),T179/(1+HLOOKUP(O191,'Datos SS'!$B$31:$CZZ$32,2,0))))</f>
        <v>20236.569661458328</v>
      </c>
      <c r="U191" s="7">
        <f ca="1">IF(O191=2018,IF(Q191&lt;8,HLOOKUP(O191,'Datos SS'!$B$25:$BZZ$27,3,0)/12,HLOOKUP(O191,'Datos SS'!$B$25:$BZZ$26,2,0)/12),HLOOKUP(O191,'Datos SS'!$B$25:$BZZ$26,2,0)/12)</f>
        <v>4800.4349353504358</v>
      </c>
      <c r="V191" s="165">
        <f t="shared" ca="1" si="24"/>
        <v>4800.4349353504358</v>
      </c>
      <c r="W191" s="7">
        <f t="shared" ca="1" si="22"/>
        <v>6699.6601103405774</v>
      </c>
      <c r="X191" s="149">
        <f ca="1">HLOOKUP(O191,'Datos SS'!$K$37:$EP$38,2,0)</f>
        <v>1248.1200413516228</v>
      </c>
      <c r="Y191">
        <f t="shared" ca="1" si="28"/>
        <v>1548</v>
      </c>
      <c r="AC191" s="648">
        <v>2052.2098658580962</v>
      </c>
      <c r="AD191" s="650">
        <f t="shared" ca="1" si="25"/>
        <v>-4647.4502444824811</v>
      </c>
    </row>
    <row r="192" spans="12:30">
      <c r="L192" s="4">
        <v>188</v>
      </c>
      <c r="M192" s="4">
        <f t="shared" ca="1" si="23"/>
        <v>0</v>
      </c>
      <c r="O192" s="4">
        <f t="shared" ca="1" si="26"/>
        <v>2028</v>
      </c>
      <c r="P192" s="4">
        <v>188</v>
      </c>
      <c r="Q192" s="4">
        <f t="shared" ca="1" si="27"/>
        <v>11</v>
      </c>
      <c r="S192" s="125">
        <f ca="1">HLOOKUP(O192,'Datos SS'!$B$4:$CZZ$16,(Q192+1),0)</f>
        <v>135.96210159198932</v>
      </c>
      <c r="T192" s="815">
        <f ca="1">IF(O192=YEAR($B$5),($B$9/12),IF(O192&gt;MIN(YEAR($B$7),YEAR($B$5)),($B$9/12)*(1+HLOOKUP(O192,'Datos SS'!$B$31:$CZZ$32,2,0))^(O192-YEAR($B$5)),T180/(1+HLOOKUP(O192,'Datos SS'!$B$31:$CZZ$32,2,0))))</f>
        <v>20236.569661458328</v>
      </c>
      <c r="U192" s="7">
        <f ca="1">IF(O192=2018,IF(Q192&lt;8,HLOOKUP(O192,'Datos SS'!$B$25:$BZZ$27,3,0)/12,HLOOKUP(O192,'Datos SS'!$B$25:$BZZ$26,2,0)/12),HLOOKUP(O192,'Datos SS'!$B$25:$BZZ$26,2,0)/12)</f>
        <v>4800.4349353504358</v>
      </c>
      <c r="V192" s="165">
        <f t="shared" ca="1" si="24"/>
        <v>4800.4349353504358</v>
      </c>
      <c r="W192" s="7">
        <f t="shared" ca="1" si="22"/>
        <v>6713.4603132314751</v>
      </c>
      <c r="X192" s="149">
        <f ca="1">HLOOKUP(O192,'Datos SS'!$K$37:$EP$38,2,0)</f>
        <v>1248.1200413516228</v>
      </c>
      <c r="Y192">
        <f t="shared" ca="1" si="28"/>
        <v>1547</v>
      </c>
      <c r="AC192" s="648">
        <v>2053.9122521604627</v>
      </c>
      <c r="AD192" s="650">
        <f t="shared" ca="1" si="25"/>
        <v>-4659.5480610710129</v>
      </c>
    </row>
    <row r="193" spans="12:30">
      <c r="L193" s="4">
        <v>189</v>
      </c>
      <c r="M193" s="4">
        <f t="shared" ca="1" si="23"/>
        <v>0</v>
      </c>
      <c r="O193" s="4">
        <f t="shared" ca="1" si="26"/>
        <v>2028</v>
      </c>
      <c r="P193" s="4">
        <v>189</v>
      </c>
      <c r="Q193" s="4">
        <f t="shared" ca="1" si="27"/>
        <v>10</v>
      </c>
      <c r="S193" s="125">
        <f ca="1">HLOOKUP(O193,'Datos SS'!$B$4:$CZZ$16,(Q193+1),0)</f>
        <v>135.68261761503865</v>
      </c>
      <c r="T193" s="815">
        <f ca="1">IF(O193=YEAR($B$5),($B$9/12),IF(O193&gt;MIN(YEAR($B$7),YEAR($B$5)),($B$9/12)*(1+HLOOKUP(O193,'Datos SS'!$B$31:$CZZ$32,2,0))^(O193-YEAR($B$5)),T181/(1+HLOOKUP(O193,'Datos SS'!$B$31:$CZZ$32,2,0))))</f>
        <v>20236.569661458328</v>
      </c>
      <c r="U193" s="7">
        <f ca="1">IF(O193=2018,IF(Q193&lt;8,HLOOKUP(O193,'Datos SS'!$B$25:$BZZ$27,3,0)/12,HLOOKUP(O193,'Datos SS'!$B$25:$BZZ$26,2,0)/12),HLOOKUP(O193,'Datos SS'!$B$25:$BZZ$26,2,0)/12)</f>
        <v>4800.4349353504358</v>
      </c>
      <c r="V193" s="165">
        <f t="shared" ca="1" si="24"/>
        <v>4800.4349353504358</v>
      </c>
      <c r="W193" s="7">
        <f t="shared" ca="1" si="22"/>
        <v>6727.2889422808203</v>
      </c>
      <c r="X193" s="149">
        <f ca="1">HLOOKUP(O193,'Datos SS'!$K$37:$EP$38,2,0)</f>
        <v>1248.1200413516228</v>
      </c>
      <c r="Y193">
        <f t="shared" ca="1" si="28"/>
        <v>1546</v>
      </c>
      <c r="AC193" s="648">
        <v>2055.6160506571523</v>
      </c>
      <c r="AD193" s="650">
        <f t="shared" ca="1" si="25"/>
        <v>-4671.672891623668</v>
      </c>
    </row>
    <row r="194" spans="12:30">
      <c r="L194" s="4">
        <v>190</v>
      </c>
      <c r="M194" s="4">
        <f t="shared" ca="1" si="23"/>
        <v>0</v>
      </c>
      <c r="O194" s="4">
        <f t="shared" ca="1" si="26"/>
        <v>2028</v>
      </c>
      <c r="P194" s="4">
        <v>190</v>
      </c>
      <c r="Q194" s="4">
        <f t="shared" ca="1" si="27"/>
        <v>9</v>
      </c>
      <c r="S194" s="125">
        <f ca="1">HLOOKUP(O194,'Datos SS'!$B$4:$CZZ$16,(Q194+1),0)</f>
        <v>135.40370814592848</v>
      </c>
      <c r="T194" s="815">
        <f ca="1">IF(O194=YEAR($B$5),($B$9/12),IF(O194&gt;MIN(YEAR($B$7),YEAR($B$5)),($B$9/12)*(1+HLOOKUP(O194,'Datos SS'!$B$31:$CZZ$32,2,0))^(O194-YEAR($B$5)),T182/(1+HLOOKUP(O194,'Datos SS'!$B$31:$CZZ$32,2,0))))</f>
        <v>20236.569661458328</v>
      </c>
      <c r="U194" s="7">
        <f ca="1">IF(O194=2018,IF(Q194&lt;8,HLOOKUP(O194,'Datos SS'!$B$25:$BZZ$27,3,0)/12,HLOOKUP(O194,'Datos SS'!$B$25:$BZZ$26,2,0)/12),HLOOKUP(O194,'Datos SS'!$B$25:$BZZ$26,2,0)/12)</f>
        <v>4800.4349353504358</v>
      </c>
      <c r="V194" s="165">
        <f t="shared" ca="1" si="24"/>
        <v>4800.4349353504358</v>
      </c>
      <c r="W194" s="7">
        <f t="shared" ca="1" si="22"/>
        <v>6741.1460560418418</v>
      </c>
      <c r="X194" s="149">
        <f ca="1">HLOOKUP(O194,'Datos SS'!$K$37:$EP$38,2,0)</f>
        <v>1248.1200413516228</v>
      </c>
      <c r="Y194">
        <f t="shared" ca="1" si="28"/>
        <v>1545</v>
      </c>
      <c r="AC194" s="648">
        <v>2026.9175000193441</v>
      </c>
      <c r="AD194" s="650">
        <f t="shared" ca="1" si="25"/>
        <v>-4714.2285560224973</v>
      </c>
    </row>
    <row r="195" spans="12:30">
      <c r="L195" s="4">
        <v>191</v>
      </c>
      <c r="M195" s="4">
        <f t="shared" ca="1" si="23"/>
        <v>0</v>
      </c>
      <c r="O195" s="4">
        <f t="shared" ca="1" si="26"/>
        <v>2028</v>
      </c>
      <c r="P195" s="4">
        <v>191</v>
      </c>
      <c r="Q195" s="4">
        <f t="shared" ca="1" si="27"/>
        <v>8</v>
      </c>
      <c r="S195" s="125">
        <f ca="1">HLOOKUP(O195,'Datos SS'!$B$4:$CZZ$16,(Q195+1),0)</f>
        <v>135.12537200369925</v>
      </c>
      <c r="T195" s="815">
        <f ca="1">IF(O195=YEAR($B$5),($B$9/12),IF(O195&gt;MIN(YEAR($B$7),YEAR($B$5)),($B$9/12)*(1+HLOOKUP(O195,'Datos SS'!$B$31:$CZZ$32,2,0))^(O195-YEAR($B$5)),T183/(1+HLOOKUP(O195,'Datos SS'!$B$31:$CZZ$32,2,0))))</f>
        <v>20236.569661458328</v>
      </c>
      <c r="U195" s="7">
        <f ca="1">IF(O195=2018,IF(Q195&lt;8,HLOOKUP(O195,'Datos SS'!$B$25:$BZZ$27,3,0)/12,HLOOKUP(O195,'Datos SS'!$B$25:$BZZ$26,2,0)/12),HLOOKUP(O195,'Datos SS'!$B$25:$BZZ$26,2,0)/12)</f>
        <v>4800.4349353504358</v>
      </c>
      <c r="V195" s="165">
        <f t="shared" ca="1" si="24"/>
        <v>4800.4349353504358</v>
      </c>
      <c r="W195" s="7">
        <f t="shared" ca="1" si="22"/>
        <v>6755.0317131883849</v>
      </c>
      <c r="X195" s="149">
        <f ca="1">HLOOKUP(O195,'Datos SS'!$K$37:$EP$38,2,0)</f>
        <v>1248.1200413516228</v>
      </c>
      <c r="Y195">
        <f t="shared" ca="1" si="28"/>
        <v>1544</v>
      </c>
      <c r="AC195" s="648">
        <v>2028.5989053402454</v>
      </c>
      <c r="AD195" s="650">
        <f t="shared" ca="1" si="25"/>
        <v>-4726.4328078481394</v>
      </c>
    </row>
    <row r="196" spans="12:30">
      <c r="L196" s="4">
        <v>192</v>
      </c>
      <c r="M196" s="4">
        <f t="shared" ca="1" si="23"/>
        <v>0</v>
      </c>
      <c r="O196" s="4">
        <f t="shared" ca="1" si="26"/>
        <v>2028</v>
      </c>
      <c r="P196" s="4">
        <v>192</v>
      </c>
      <c r="Q196" s="4">
        <f t="shared" ca="1" si="27"/>
        <v>7</v>
      </c>
      <c r="S196" s="125">
        <f ca="1">HLOOKUP(O196,'Datos SS'!$B$4:$CZZ$16,(Q196+1),0)</f>
        <v>134.84760800981908</v>
      </c>
      <c r="T196" s="815">
        <f ca="1">IF(O196=YEAR($B$5),($B$9/12),IF(O196&gt;MIN(YEAR($B$7),YEAR($B$5)),($B$9/12)*(1+HLOOKUP(O196,'Datos SS'!$B$31:$CZZ$32,2,0))^(O196-YEAR($B$5)),T184/(1+HLOOKUP(O196,'Datos SS'!$B$31:$CZZ$32,2,0))))</f>
        <v>20236.569661458328</v>
      </c>
      <c r="U196" s="7">
        <f ca="1">IF(O196=2018,IF(Q196&lt;8,HLOOKUP(O196,'Datos SS'!$B$25:$BZZ$27,3,0)/12,HLOOKUP(O196,'Datos SS'!$B$25:$BZZ$26,2,0)/12),HLOOKUP(O196,'Datos SS'!$B$25:$BZZ$26,2,0)/12)</f>
        <v>4800.4349353504358</v>
      </c>
      <c r="V196" s="165">
        <f t="shared" ca="1" si="24"/>
        <v>4800.4349353504358</v>
      </c>
      <c r="W196" s="7">
        <f t="shared" ca="1" si="22"/>
        <v>6768.9459725151482</v>
      </c>
      <c r="X196" s="149">
        <f ca="1">HLOOKUP(O196,'Datos SS'!$K$37:$EP$38,2,0)</f>
        <v>1248.1200413516228</v>
      </c>
      <c r="Y196">
        <f t="shared" ca="1" si="28"/>
        <v>1543</v>
      </c>
      <c r="AC196" s="648">
        <v>2030.2817054509462</v>
      </c>
      <c r="AD196" s="650">
        <f t="shared" ca="1" si="25"/>
        <v>-4738.6642670642022</v>
      </c>
    </row>
    <row r="197" spans="12:30">
      <c r="L197" s="4">
        <v>193</v>
      </c>
      <c r="M197" s="4">
        <f t="shared" ca="1" si="23"/>
        <v>0</v>
      </c>
      <c r="O197" s="4">
        <f t="shared" ca="1" si="26"/>
        <v>2028</v>
      </c>
      <c r="P197" s="4">
        <v>193</v>
      </c>
      <c r="Q197" s="4">
        <f t="shared" ca="1" si="27"/>
        <v>6</v>
      </c>
      <c r="S197" s="125">
        <f ca="1">HLOOKUP(O197,'Datos SS'!$B$4:$CZZ$16,(Q197+1),0)</f>
        <v>134.57041498817864</v>
      </c>
      <c r="T197" s="815">
        <f ca="1">IF(O197=YEAR($B$5),($B$9/12),IF(O197&gt;MIN(YEAR($B$7),YEAR($B$5)),($B$9/12)*(1+HLOOKUP(O197,'Datos SS'!$B$31:$CZZ$32,2,0))^(O197-YEAR($B$5)),T185/(1+HLOOKUP(O197,'Datos SS'!$B$31:$CZZ$32,2,0))))</f>
        <v>20236.569661458328</v>
      </c>
      <c r="U197" s="7">
        <f ca="1">IF(O197=2018,IF(Q197&lt;8,HLOOKUP(O197,'Datos SS'!$B$25:$BZZ$27,3,0)/12,HLOOKUP(O197,'Datos SS'!$B$25:$BZZ$26,2,0)/12),HLOOKUP(O197,'Datos SS'!$B$25:$BZZ$26,2,0)/12)</f>
        <v>4800.4349353504358</v>
      </c>
      <c r="V197" s="165">
        <f t="shared" ca="1" si="24"/>
        <v>4800.4349353504358</v>
      </c>
      <c r="W197" s="7">
        <f t="shared" ref="W197:W260" ca="1" si="29">IF($E$19="NO",IF(P197&lt;=180,IF(P197&lt;25,V197,V197*$S$28/S197),0),IF(P197&gt;$B$15,0,IF(P197&lt;25,V197,V197*$S$28/S197)))</f>
        <v>6782.8888929379409</v>
      </c>
      <c r="X197" s="149">
        <f ca="1">HLOOKUP(O197,'Datos SS'!$K$37:$EP$38,2,0)</f>
        <v>1248.1200413516228</v>
      </c>
      <c r="Y197">
        <f t="shared" ca="1" si="28"/>
        <v>1542</v>
      </c>
      <c r="AC197" s="648">
        <v>2031.9659015084774</v>
      </c>
      <c r="AD197" s="650">
        <f t="shared" ca="1" si="25"/>
        <v>-4750.9229914294638</v>
      </c>
    </row>
    <row r="198" spans="12:30">
      <c r="L198" s="4">
        <v>194</v>
      </c>
      <c r="M198" s="4">
        <f t="shared" ref="M198:M261" ca="1" si="30">IF(L198&lt;=$C$22,$B$22,IF(L198&lt;=$C$23+$C$22,$B$23,0))</f>
        <v>0</v>
      </c>
      <c r="O198" s="4">
        <f t="shared" ca="1" si="26"/>
        <v>2028</v>
      </c>
      <c r="P198" s="4">
        <v>194</v>
      </c>
      <c r="Q198" s="4">
        <f t="shared" ca="1" si="27"/>
        <v>5</v>
      </c>
      <c r="S198" s="125">
        <f ca="1">HLOOKUP(O198,'Datos SS'!$B$4:$CZZ$16,(Q198+1),0)</f>
        <v>134.29379176508621</v>
      </c>
      <c r="T198" s="815">
        <f ca="1">IF(O198=YEAR($B$5),($B$9/12),IF(O198&gt;MIN(YEAR($B$7),YEAR($B$5)),($B$9/12)*(1+HLOOKUP(O198,'Datos SS'!$B$31:$CZZ$32,2,0))^(O198-YEAR($B$5)),T186/(1+HLOOKUP(O198,'Datos SS'!$B$31:$CZZ$32,2,0))))</f>
        <v>20236.569661458328</v>
      </c>
      <c r="U198" s="7">
        <f ca="1">IF(O198=2018,IF(Q198&lt;8,HLOOKUP(O198,'Datos SS'!$B$25:$BZZ$27,3,0)/12,HLOOKUP(O198,'Datos SS'!$B$25:$BZZ$26,2,0)/12),HLOOKUP(O198,'Datos SS'!$B$25:$BZZ$26,2,0)/12)</f>
        <v>4800.4349353504358</v>
      </c>
      <c r="V198" s="165">
        <f t="shared" ref="V198:V261" ca="1" si="31">MAX(X198,MIN(T198,U198))</f>
        <v>4800.4349353504358</v>
      </c>
      <c r="W198" s="7">
        <f t="shared" ca="1" si="29"/>
        <v>6796.8605334939275</v>
      </c>
      <c r="X198" s="149">
        <f ca="1">HLOOKUP(O198,'Datos SS'!$K$37:$EP$38,2,0)</f>
        <v>1248.1200413516228</v>
      </c>
      <c r="Y198">
        <f t="shared" ca="1" si="28"/>
        <v>1541</v>
      </c>
      <c r="AC198" s="648">
        <v>2033.6514946708305</v>
      </c>
      <c r="AD198" s="650">
        <f t="shared" ref="AD198:AD261" ca="1" si="32">+AC198-W198</f>
        <v>-4763.2090388230972</v>
      </c>
    </row>
    <row r="199" spans="12:30">
      <c r="L199" s="4">
        <v>195</v>
      </c>
      <c r="M199" s="4">
        <f t="shared" ca="1" si="30"/>
        <v>0</v>
      </c>
      <c r="O199" s="4">
        <f t="shared" ref="O199:O262" ca="1" si="33">IF(Q199=12,O198-1,O198)</f>
        <v>2028</v>
      </c>
      <c r="P199" s="4">
        <v>195</v>
      </c>
      <c r="Q199" s="4">
        <f t="shared" ref="Q199:Q262" ca="1" si="34">IF(Q198=1,12,Q198-1)</f>
        <v>4</v>
      </c>
      <c r="S199" s="125">
        <f ca="1">HLOOKUP(O199,'Datos SS'!$B$4:$CZZ$16,(Q199+1),0)</f>
        <v>134.01773716926272</v>
      </c>
      <c r="T199" s="815">
        <f ca="1">IF(O199=YEAR($B$5),($B$9/12),IF(O199&gt;MIN(YEAR($B$7),YEAR($B$5)),($B$9/12)*(1+HLOOKUP(O199,'Datos SS'!$B$31:$CZZ$32,2,0))^(O199-YEAR($B$5)),T187/(1+HLOOKUP(O199,'Datos SS'!$B$31:$CZZ$32,2,0))))</f>
        <v>20236.569661458328</v>
      </c>
      <c r="U199" s="7">
        <f ca="1">IF(O199=2018,IF(Q199&lt;8,HLOOKUP(O199,'Datos SS'!$B$25:$BZZ$27,3,0)/12,HLOOKUP(O199,'Datos SS'!$B$25:$BZZ$26,2,0)/12),HLOOKUP(O199,'Datos SS'!$B$25:$BZZ$26,2,0)/12)</f>
        <v>4800.4349353504358</v>
      </c>
      <c r="V199" s="165">
        <f t="shared" ca="1" si="31"/>
        <v>4800.4349353504358</v>
      </c>
      <c r="W199" s="7">
        <f t="shared" ca="1" si="29"/>
        <v>6810.8609533418812</v>
      </c>
      <c r="X199" s="149">
        <f ca="1">HLOOKUP(O199,'Datos SS'!$K$37:$EP$38,2,0)</f>
        <v>1248.1200413516228</v>
      </c>
      <c r="Y199">
        <f t="shared" ref="Y199:Y262" ca="1" si="35">MAX(INT(Y198)-1,0)</f>
        <v>1540</v>
      </c>
      <c r="AC199" s="648">
        <v>2035.338486096957</v>
      </c>
      <c r="AD199" s="650">
        <f t="shared" ca="1" si="32"/>
        <v>-4775.522467244924</v>
      </c>
    </row>
    <row r="200" spans="12:30">
      <c r="L200" s="4">
        <v>196</v>
      </c>
      <c r="M200" s="4">
        <f t="shared" ca="1" si="30"/>
        <v>0</v>
      </c>
      <c r="O200" s="4">
        <f t="shared" ca="1" si="33"/>
        <v>2028</v>
      </c>
      <c r="P200" s="4">
        <v>196</v>
      </c>
      <c r="Q200" s="4">
        <f t="shared" ca="1" si="34"/>
        <v>3</v>
      </c>
      <c r="S200" s="125">
        <f ca="1">HLOOKUP(O200,'Datos SS'!$B$4:$CZZ$16,(Q200+1),0)</f>
        <v>133.74225003183676</v>
      </c>
      <c r="T200" s="815">
        <f ca="1">IF(O200=YEAR($B$5),($B$9/12),IF(O200&gt;MIN(YEAR($B$7),YEAR($B$5)),($B$9/12)*(1+HLOOKUP(O200,'Datos SS'!$B$31:$CZZ$32,2,0))^(O200-YEAR($B$5)),T188/(1+HLOOKUP(O200,'Datos SS'!$B$31:$CZZ$32,2,0))))</f>
        <v>20236.569661458328</v>
      </c>
      <c r="U200" s="7">
        <f ca="1">IF(O200=2018,IF(Q200&lt;8,HLOOKUP(O200,'Datos SS'!$B$25:$BZZ$27,3,0)/12,HLOOKUP(O200,'Datos SS'!$B$25:$BZZ$26,2,0)/12),HLOOKUP(O200,'Datos SS'!$B$25:$BZZ$26,2,0)/12)</f>
        <v>4800.4349353504358</v>
      </c>
      <c r="V200" s="165">
        <f t="shared" ca="1" si="31"/>
        <v>4800.4349353504358</v>
      </c>
      <c r="W200" s="7">
        <f t="shared" ca="1" si="29"/>
        <v>6824.8902117624302</v>
      </c>
      <c r="X200" s="149">
        <f ca="1">HLOOKUP(O200,'Datos SS'!$K$37:$EP$38,2,0)</f>
        <v>1248.1200413516228</v>
      </c>
      <c r="Y200">
        <f t="shared" ca="1" si="35"/>
        <v>1539</v>
      </c>
      <c r="AC200" s="648">
        <v>2037.02687694677</v>
      </c>
      <c r="AD200" s="650">
        <f t="shared" ca="1" si="32"/>
        <v>-4787.86333481566</v>
      </c>
    </row>
    <row r="201" spans="12:30">
      <c r="L201" s="4">
        <v>197</v>
      </c>
      <c r="M201" s="4">
        <f t="shared" ca="1" si="30"/>
        <v>0</v>
      </c>
      <c r="O201" s="4">
        <f t="shared" ca="1" si="33"/>
        <v>2028</v>
      </c>
      <c r="P201" s="4">
        <v>197</v>
      </c>
      <c r="Q201" s="4">
        <f t="shared" ca="1" si="34"/>
        <v>2</v>
      </c>
      <c r="S201" s="125">
        <f ca="1">HLOOKUP(O201,'Datos SS'!$B$4:$CZZ$16,(Q201+1),0)</f>
        <v>133.4673291863397</v>
      </c>
      <c r="T201" s="815">
        <f ca="1">IF(O201=YEAR($B$5),($B$9/12),IF(O201&gt;MIN(YEAR($B$7),YEAR($B$5)),($B$9/12)*(1+HLOOKUP(O201,'Datos SS'!$B$31:$CZZ$32,2,0))^(O201-YEAR($B$5)),T189/(1+HLOOKUP(O201,'Datos SS'!$B$31:$CZZ$32,2,0))))</f>
        <v>20236.569661458328</v>
      </c>
      <c r="U201" s="7">
        <f ca="1">IF(O201=2018,IF(Q201&lt;8,HLOOKUP(O201,'Datos SS'!$B$25:$BZZ$27,3,0)/12,HLOOKUP(O201,'Datos SS'!$B$25:$BZZ$26,2,0)/12),HLOOKUP(O201,'Datos SS'!$B$25:$BZZ$26,2,0)/12)</f>
        <v>4800.4349353504358</v>
      </c>
      <c r="V201" s="165">
        <f t="shared" ca="1" si="31"/>
        <v>4800.4349353504358</v>
      </c>
      <c r="W201" s="7">
        <f t="shared" ca="1" si="29"/>
        <v>6838.9483681583133</v>
      </c>
      <c r="X201" s="149">
        <f ca="1">HLOOKUP(O201,'Datos SS'!$K$37:$EP$38,2,0)</f>
        <v>1248.1200413516228</v>
      </c>
      <c r="Y201">
        <f t="shared" ca="1" si="35"/>
        <v>1538</v>
      </c>
      <c r="AC201" s="648">
        <v>2038.7166683811447</v>
      </c>
      <c r="AD201" s="650">
        <f t="shared" ca="1" si="32"/>
        <v>-4800.2316997771686</v>
      </c>
    </row>
    <row r="202" spans="12:30">
      <c r="L202" s="4">
        <v>198</v>
      </c>
      <c r="M202" s="4">
        <f t="shared" ca="1" si="30"/>
        <v>0</v>
      </c>
      <c r="O202" s="4">
        <f t="shared" ca="1" si="33"/>
        <v>2028</v>
      </c>
      <c r="P202" s="4">
        <v>198</v>
      </c>
      <c r="Q202" s="4">
        <f t="shared" ca="1" si="34"/>
        <v>1</v>
      </c>
      <c r="S202" s="125">
        <f ca="1">HLOOKUP(O202,'Datos SS'!$B$4:$CZZ$16,(Q202+1),0)</f>
        <v>133.19297346870067</v>
      </c>
      <c r="T202" s="815">
        <f ca="1">IF(O202=YEAR($B$5),($B$9/12),IF(O202&gt;MIN(YEAR($B$7),YEAR($B$5)),($B$9/12)*(1+HLOOKUP(O202,'Datos SS'!$B$31:$CZZ$32,2,0))^(O202-YEAR($B$5)),T190/(1+HLOOKUP(O202,'Datos SS'!$B$31:$CZZ$32,2,0))))</f>
        <v>20236.569661458328</v>
      </c>
      <c r="U202" s="7">
        <f ca="1">IF(O202=2018,IF(Q202&lt;8,HLOOKUP(O202,'Datos SS'!$B$25:$BZZ$27,3,0)/12,HLOOKUP(O202,'Datos SS'!$B$25:$BZZ$26,2,0)/12),HLOOKUP(O202,'Datos SS'!$B$25:$BZZ$26,2,0)/12)</f>
        <v>4800.4349353504358</v>
      </c>
      <c r="V202" s="165">
        <f t="shared" ca="1" si="31"/>
        <v>4800.4349353504358</v>
      </c>
      <c r="W202" s="7">
        <f t="shared" ca="1" si="29"/>
        <v>6853.0354820546272</v>
      </c>
      <c r="X202" s="149">
        <f ca="1">HLOOKUP(O202,'Datos SS'!$K$37:$EP$38,2,0)</f>
        <v>1248.1200413516228</v>
      </c>
      <c r="Y202">
        <f t="shared" ca="1" si="35"/>
        <v>1537</v>
      </c>
      <c r="AC202" s="648">
        <v>2040.4078615619196</v>
      </c>
      <c r="AD202" s="650">
        <f t="shared" ca="1" si="32"/>
        <v>-4812.6276204927071</v>
      </c>
    </row>
    <row r="203" spans="12:30">
      <c r="L203" s="4">
        <v>199</v>
      </c>
      <c r="M203" s="4">
        <f t="shared" ca="1" si="30"/>
        <v>0</v>
      </c>
      <c r="O203" s="4">
        <f t="shared" ca="1" si="33"/>
        <v>2027</v>
      </c>
      <c r="P203" s="4">
        <v>199</v>
      </c>
      <c r="Q203" s="4">
        <f t="shared" ca="1" si="34"/>
        <v>12</v>
      </c>
      <c r="S203" s="125">
        <f ca="1">HLOOKUP(O203,'Datos SS'!$B$4:$CZZ$16,(Q203+1),0)</f>
        <v>132.91918171724168</v>
      </c>
      <c r="T203" s="815">
        <f ca="1">IF(O203=YEAR($B$5),($B$9/12),IF(O203&gt;MIN(YEAR($B$7),YEAR($B$5)),($B$9/12)*(1+HLOOKUP(O203,'Datos SS'!$B$31:$CZZ$32,2,0))^(O203-YEAR($B$5)),T191/(1+HLOOKUP(O203,'Datos SS'!$B$31:$CZZ$32,2,0))))</f>
        <v>19742.994791666664</v>
      </c>
      <c r="U203" s="7">
        <f ca="1">IF(O203=2018,IF(Q203&lt;8,HLOOKUP(O203,'Datos SS'!$B$25:$BZZ$27,3,0)/12,HLOOKUP(O203,'Datos SS'!$B$25:$BZZ$26,2,0)/12),HLOOKUP(O203,'Datos SS'!$B$25:$BZZ$26,2,0)/12)</f>
        <v>4683.3511564394503</v>
      </c>
      <c r="V203" s="165">
        <f t="shared" ca="1" si="31"/>
        <v>4683.3511564394503</v>
      </c>
      <c r="W203" s="7">
        <f t="shared" ca="1" si="29"/>
        <v>6699.6601103405692</v>
      </c>
      <c r="X203" s="149">
        <f ca="1">HLOOKUP(O203,'Datos SS'!$K$37:$EP$38,2,0)</f>
        <v>1217.6780891235346</v>
      </c>
      <c r="Y203">
        <f t="shared" ca="1" si="35"/>
        <v>1536</v>
      </c>
      <c r="AC203" s="648">
        <v>2042.1004576518967</v>
      </c>
      <c r="AD203" s="650">
        <f t="shared" ca="1" si="32"/>
        <v>-4657.5596526886729</v>
      </c>
    </row>
    <row r="204" spans="12:30">
      <c r="L204" s="4">
        <v>200</v>
      </c>
      <c r="M204" s="4">
        <f ca="1">IF(L204&lt;=$C$22,$B$22,IF(L204&lt;=$C$23+$C$22,$B$23,0))</f>
        <v>0</v>
      </c>
      <c r="O204" s="4">
        <f t="shared" ca="1" si="33"/>
        <v>2027</v>
      </c>
      <c r="P204" s="4">
        <v>200</v>
      </c>
      <c r="Q204" s="4">
        <f t="shared" ca="1" si="34"/>
        <v>11</v>
      </c>
      <c r="S204" s="125">
        <f ca="1">HLOOKUP(O204,'Datos SS'!$B$4:$CZZ$16,(Q204+1),0)</f>
        <v>132.6459527726727</v>
      </c>
      <c r="T204" s="815">
        <f ca="1">IF(O204=YEAR($B$5),($B$9/12),IF(O204&gt;MIN(YEAR($B$7),YEAR($B$5)),($B$9/12)*(1+HLOOKUP(O204,'Datos SS'!$B$31:$CZZ$32,2,0))^(O204-YEAR($B$5)),T192/(1+HLOOKUP(O204,'Datos SS'!$B$31:$CZZ$32,2,0))))</f>
        <v>19742.994791666664</v>
      </c>
      <c r="U204" s="7">
        <f ca="1">IF(O204=2018,IF(Q204&lt;8,HLOOKUP(O204,'Datos SS'!$B$25:$BZZ$27,3,0)/12,HLOOKUP(O204,'Datos SS'!$B$25:$BZZ$26,2,0)/12),HLOOKUP(O204,'Datos SS'!$B$25:$BZZ$26,2,0)/12)</f>
        <v>4683.3511564394503</v>
      </c>
      <c r="V204" s="165">
        <f t="shared" ca="1" si="31"/>
        <v>4683.3511564394503</v>
      </c>
      <c r="W204" s="7">
        <f t="shared" ca="1" si="29"/>
        <v>6713.4603132314669</v>
      </c>
      <c r="X204" s="149">
        <f ca="1">HLOOKUP(O204,'Datos SS'!$K$37:$EP$38,2,0)</f>
        <v>1217.6780891235346</v>
      </c>
      <c r="Y204">
        <f t="shared" ca="1" si="35"/>
        <v>1535</v>
      </c>
      <c r="AC204" s="648">
        <v>2043.7944578148429</v>
      </c>
      <c r="AD204" s="650">
        <f t="shared" ca="1" si="32"/>
        <v>-4669.6658554166243</v>
      </c>
    </row>
    <row r="205" spans="12:30">
      <c r="L205" s="4">
        <v>201</v>
      </c>
      <c r="M205" s="4">
        <f t="shared" ca="1" si="30"/>
        <v>0</v>
      </c>
      <c r="O205" s="4">
        <f t="shared" ca="1" si="33"/>
        <v>2027</v>
      </c>
      <c r="P205" s="4">
        <v>201</v>
      </c>
      <c r="Q205" s="4">
        <f t="shared" ca="1" si="34"/>
        <v>10</v>
      </c>
      <c r="S205" s="125">
        <f ca="1">HLOOKUP(O205,'Datos SS'!$B$4:$CZZ$16,(Q205+1),0)</f>
        <v>132.3732854780867</v>
      </c>
      <c r="T205" s="815">
        <f ca="1">IF(O205=YEAR($B$5),($B$9/12),IF(O205&gt;MIN(YEAR($B$7),YEAR($B$5)),($B$9/12)*(1+HLOOKUP(O205,'Datos SS'!$B$31:$CZZ$32,2,0))^(O205-YEAR($B$5)),T193/(1+HLOOKUP(O205,'Datos SS'!$B$31:$CZZ$32,2,0))))</f>
        <v>19742.994791666664</v>
      </c>
      <c r="U205" s="7">
        <f ca="1">IF(O205=2018,IF(Q205&lt;8,HLOOKUP(O205,'Datos SS'!$B$25:$BZZ$27,3,0)/12,HLOOKUP(O205,'Datos SS'!$B$25:$BZZ$26,2,0)/12),HLOOKUP(O205,'Datos SS'!$B$25:$BZZ$26,2,0)/12)</f>
        <v>4683.3511564394503</v>
      </c>
      <c r="V205" s="165">
        <f t="shared" ca="1" si="31"/>
        <v>4683.3511564394503</v>
      </c>
      <c r="W205" s="7">
        <f t="shared" ca="1" si="29"/>
        <v>6727.2889422808103</v>
      </c>
      <c r="X205" s="149">
        <f ca="1">HLOOKUP(O205,'Datos SS'!$K$37:$EP$38,2,0)</f>
        <v>1217.6780891235346</v>
      </c>
      <c r="Y205">
        <f t="shared" ca="1" si="35"/>
        <v>1534</v>
      </c>
      <c r="AC205" s="648">
        <v>2045.4898632154895</v>
      </c>
      <c r="AD205" s="650">
        <f t="shared" ca="1" si="32"/>
        <v>-4681.7990790653203</v>
      </c>
    </row>
    <row r="206" spans="12:30">
      <c r="L206" s="4">
        <v>202</v>
      </c>
      <c r="M206" s="4">
        <f t="shared" ca="1" si="30"/>
        <v>0</v>
      </c>
      <c r="O206" s="4">
        <f t="shared" ca="1" si="33"/>
        <v>2027</v>
      </c>
      <c r="P206" s="4">
        <v>202</v>
      </c>
      <c r="Q206" s="4">
        <f t="shared" ca="1" si="34"/>
        <v>9</v>
      </c>
      <c r="S206" s="125">
        <f ca="1">HLOOKUP(O206,'Datos SS'!$B$4:$CZZ$16,(Q206+1),0)</f>
        <v>132.10117867895482</v>
      </c>
      <c r="T206" s="815">
        <f ca="1">IF(O206=YEAR($B$5),($B$9/12),IF(O206&gt;MIN(YEAR($B$7),YEAR($B$5)),($B$9/12)*(1+HLOOKUP(O206,'Datos SS'!$B$31:$CZZ$32,2,0))^(O206-YEAR($B$5)),T194/(1+HLOOKUP(O206,'Datos SS'!$B$31:$CZZ$32,2,0))))</f>
        <v>19742.994791666664</v>
      </c>
      <c r="U206" s="7">
        <f ca="1">IF(O206=2018,IF(Q206&lt;8,HLOOKUP(O206,'Datos SS'!$B$25:$BZZ$27,3,0)/12,HLOOKUP(O206,'Datos SS'!$B$25:$BZZ$26,2,0)/12),HLOOKUP(O206,'Datos SS'!$B$25:$BZZ$26,2,0)/12)</f>
        <v>4683.3511564394503</v>
      </c>
      <c r="V206" s="165">
        <f t="shared" ca="1" si="31"/>
        <v>4683.3511564394503</v>
      </c>
      <c r="W206" s="7">
        <f t="shared" ca="1" si="29"/>
        <v>6741.1460560418318</v>
      </c>
      <c r="X206" s="149">
        <f ca="1">HLOOKUP(O206,'Datos SS'!$K$37:$EP$38,2,0)</f>
        <v>1217.6780891235346</v>
      </c>
      <c r="Y206">
        <f t="shared" ca="1" si="35"/>
        <v>1533</v>
      </c>
      <c r="AC206" s="648">
        <v>2016.9326847483114</v>
      </c>
      <c r="AD206" s="650">
        <f t="shared" ca="1" si="32"/>
        <v>-4724.2133712935201</v>
      </c>
    </row>
    <row r="207" spans="12:30">
      <c r="L207" s="4">
        <v>203</v>
      </c>
      <c r="M207" s="4">
        <f t="shared" ca="1" si="30"/>
        <v>0</v>
      </c>
      <c r="O207" s="4">
        <f t="shared" ca="1" si="33"/>
        <v>2027</v>
      </c>
      <c r="P207" s="4">
        <v>203</v>
      </c>
      <c r="Q207" s="4">
        <f t="shared" ca="1" si="34"/>
        <v>8</v>
      </c>
      <c r="S207" s="125">
        <f ca="1">HLOOKUP(O207,'Datos SS'!$B$4:$CZZ$16,(Q207+1),0)</f>
        <v>131.82963122312145</v>
      </c>
      <c r="T207" s="815">
        <f ca="1">IF(O207=YEAR($B$5),($B$9/12),IF(O207&gt;MIN(YEAR($B$7),YEAR($B$5)),($B$9/12)*(1+HLOOKUP(O207,'Datos SS'!$B$31:$CZZ$32,2,0))^(O207-YEAR($B$5)),T195/(1+HLOOKUP(O207,'Datos SS'!$B$31:$CZZ$32,2,0))))</f>
        <v>19742.994791666664</v>
      </c>
      <c r="U207" s="7">
        <f ca="1">IF(O207=2018,IF(Q207&lt;8,HLOOKUP(O207,'Datos SS'!$B$25:$BZZ$27,3,0)/12,HLOOKUP(O207,'Datos SS'!$B$25:$BZZ$26,2,0)/12),HLOOKUP(O207,'Datos SS'!$B$25:$BZZ$26,2,0)/12)</f>
        <v>4683.3511564394503</v>
      </c>
      <c r="V207" s="165">
        <f t="shared" ca="1" si="31"/>
        <v>4683.3511564394503</v>
      </c>
      <c r="W207" s="7">
        <f t="shared" ca="1" si="29"/>
        <v>6755.0317131883739</v>
      </c>
      <c r="X207" s="149">
        <f ca="1">HLOOKUP(O207,'Datos SS'!$K$37:$EP$38,2,0)</f>
        <v>1217.6780891235346</v>
      </c>
      <c r="Y207">
        <f t="shared" ca="1" si="35"/>
        <v>1532</v>
      </c>
      <c r="AC207" s="648">
        <v>2018.6058072843807</v>
      </c>
      <c r="AD207" s="650">
        <f t="shared" ca="1" si="32"/>
        <v>-4736.4259059039932</v>
      </c>
    </row>
    <row r="208" spans="12:30">
      <c r="L208" s="4">
        <v>204</v>
      </c>
      <c r="M208" s="4">
        <f t="shared" ca="1" si="30"/>
        <v>0</v>
      </c>
      <c r="O208" s="4">
        <f t="shared" ca="1" si="33"/>
        <v>2027</v>
      </c>
      <c r="P208" s="4">
        <v>204</v>
      </c>
      <c r="Q208" s="4">
        <f t="shared" ca="1" si="34"/>
        <v>7</v>
      </c>
      <c r="S208" s="125">
        <f ca="1">HLOOKUP(O208,'Datos SS'!$B$4:$CZZ$16,(Q208+1),0)</f>
        <v>131.55864196079935</v>
      </c>
      <c r="T208" s="815">
        <f ca="1">IF(O208=YEAR($B$5),($B$9/12),IF(O208&gt;MIN(YEAR($B$7),YEAR($B$5)),($B$9/12)*(1+HLOOKUP(O208,'Datos SS'!$B$31:$CZZ$32,2,0))^(O208-YEAR($B$5)),T196/(1+HLOOKUP(O208,'Datos SS'!$B$31:$CZZ$32,2,0))))</f>
        <v>19742.994791666664</v>
      </c>
      <c r="U208" s="7">
        <f ca="1">IF(O208=2018,IF(Q208&lt;8,HLOOKUP(O208,'Datos SS'!$B$25:$BZZ$27,3,0)/12,HLOOKUP(O208,'Datos SS'!$B$25:$BZZ$26,2,0)/12),HLOOKUP(O208,'Datos SS'!$B$25:$BZZ$26,2,0)/12)</f>
        <v>4683.3511564394503</v>
      </c>
      <c r="V208" s="165">
        <f t="shared" ca="1" si="31"/>
        <v>4683.3511564394503</v>
      </c>
      <c r="W208" s="7">
        <f t="shared" ca="1" si="29"/>
        <v>6768.9459725151364</v>
      </c>
      <c r="X208" s="149">
        <f ca="1">HLOOKUP(O208,'Datos SS'!$K$37:$EP$38,2,0)</f>
        <v>1217.6780891235346</v>
      </c>
      <c r="Y208">
        <f t="shared" ca="1" si="35"/>
        <v>1531</v>
      </c>
      <c r="AC208" s="648">
        <v>2020.2803177393637</v>
      </c>
      <c r="AD208" s="650">
        <f t="shared" ca="1" si="32"/>
        <v>-4748.665654775773</v>
      </c>
    </row>
    <row r="209" spans="12:30">
      <c r="L209" s="4">
        <v>205</v>
      </c>
      <c r="M209" s="4">
        <f t="shared" ca="1" si="30"/>
        <v>0</v>
      </c>
      <c r="O209" s="4">
        <f t="shared" ca="1" si="33"/>
        <v>2027</v>
      </c>
      <c r="P209" s="4">
        <v>205</v>
      </c>
      <c r="Q209" s="4">
        <f t="shared" ca="1" si="34"/>
        <v>6</v>
      </c>
      <c r="S209" s="125">
        <f ca="1">HLOOKUP(O209,'Datos SS'!$B$4:$CZZ$16,(Q209+1),0)</f>
        <v>131.28820974456477</v>
      </c>
      <c r="T209" s="815">
        <f ca="1">IF(O209=YEAR($B$5),($B$9/12),IF(O209&gt;MIN(YEAR($B$7),YEAR($B$5)),($B$9/12)*(1+HLOOKUP(O209,'Datos SS'!$B$31:$CZZ$32,2,0))^(O209-YEAR($B$5)),T197/(1+HLOOKUP(O209,'Datos SS'!$B$31:$CZZ$32,2,0))))</f>
        <v>19742.994791666664</v>
      </c>
      <c r="U209" s="7">
        <f ca="1">IF(O209=2018,IF(Q209&lt;8,HLOOKUP(O209,'Datos SS'!$B$25:$BZZ$27,3,0)/12,HLOOKUP(O209,'Datos SS'!$B$25:$BZZ$26,2,0)/12),HLOOKUP(O209,'Datos SS'!$B$25:$BZZ$26,2,0)/12)</f>
        <v>4683.3511564394503</v>
      </c>
      <c r="V209" s="165">
        <f t="shared" ca="1" si="31"/>
        <v>4683.3511564394503</v>
      </c>
      <c r="W209" s="7">
        <f t="shared" ca="1" si="29"/>
        <v>6782.8888929379291</v>
      </c>
      <c r="X209" s="149">
        <f ca="1">HLOOKUP(O209,'Datos SS'!$K$37:$EP$38,2,0)</f>
        <v>1217.6780891235346</v>
      </c>
      <c r="Y209">
        <f t="shared" ca="1" si="35"/>
        <v>1530</v>
      </c>
      <c r="AC209" s="648">
        <v>2021.9562172645919</v>
      </c>
      <c r="AD209" s="650">
        <f t="shared" ca="1" si="32"/>
        <v>-4760.9326756733371</v>
      </c>
    </row>
    <row r="210" spans="12:30">
      <c r="L210" s="4">
        <v>206</v>
      </c>
      <c r="M210" s="4">
        <f t="shared" ca="1" si="30"/>
        <v>0</v>
      </c>
      <c r="O210" s="4">
        <f t="shared" ca="1" si="33"/>
        <v>2027</v>
      </c>
      <c r="P210" s="4">
        <v>206</v>
      </c>
      <c r="Q210" s="4">
        <f t="shared" ca="1" si="34"/>
        <v>5</v>
      </c>
      <c r="S210" s="125">
        <f ca="1">HLOOKUP(O210,'Datos SS'!$B$4:$CZZ$16,(Q210+1),0)</f>
        <v>131.01833342935262</v>
      </c>
      <c r="T210" s="815">
        <f ca="1">IF(O210=YEAR($B$5),($B$9/12),IF(O210&gt;MIN(YEAR($B$7),YEAR($B$5)),($B$9/12)*(1+HLOOKUP(O210,'Datos SS'!$B$31:$CZZ$32,2,0))^(O210-YEAR($B$5)),T198/(1+HLOOKUP(O210,'Datos SS'!$B$31:$CZZ$32,2,0))))</f>
        <v>19742.994791666664</v>
      </c>
      <c r="U210" s="7">
        <f ca="1">IF(O210=2018,IF(Q210&lt;8,HLOOKUP(O210,'Datos SS'!$B$25:$BZZ$27,3,0)/12,HLOOKUP(O210,'Datos SS'!$B$25:$BZZ$26,2,0)/12),HLOOKUP(O210,'Datos SS'!$B$25:$BZZ$26,2,0)/12)</f>
        <v>4683.3511564394503</v>
      </c>
      <c r="V210" s="165">
        <f t="shared" ca="1" si="31"/>
        <v>4683.3511564394503</v>
      </c>
      <c r="W210" s="7">
        <f t="shared" ca="1" si="29"/>
        <v>6796.8605334939175</v>
      </c>
      <c r="X210" s="149">
        <f ca="1">HLOOKUP(O210,'Datos SS'!$K$37:$EP$38,2,0)</f>
        <v>1217.6780891235346</v>
      </c>
      <c r="Y210">
        <f t="shared" ca="1" si="35"/>
        <v>1529</v>
      </c>
      <c r="AC210" s="648">
        <v>2023.6335070123521</v>
      </c>
      <c r="AD210" s="650">
        <f t="shared" ca="1" si="32"/>
        <v>-4773.2270264815652</v>
      </c>
    </row>
    <row r="211" spans="12:30">
      <c r="L211" s="4">
        <v>207</v>
      </c>
      <c r="M211" s="4">
        <f t="shared" ca="1" si="30"/>
        <v>0</v>
      </c>
      <c r="O211" s="4">
        <f t="shared" ca="1" si="33"/>
        <v>2027</v>
      </c>
      <c r="P211" s="4">
        <v>207</v>
      </c>
      <c r="Q211" s="4">
        <f t="shared" ca="1" si="34"/>
        <v>4</v>
      </c>
      <c r="S211" s="125">
        <f ca="1">HLOOKUP(O211,'Datos SS'!$B$4:$CZZ$16,(Q211+1),0)</f>
        <v>130.74901187245166</v>
      </c>
      <c r="T211" s="815">
        <f ca="1">IF(O211=YEAR($B$5),($B$9/12),IF(O211&gt;MIN(YEAR($B$7),YEAR($B$5)),($B$9/12)*(1+HLOOKUP(O211,'Datos SS'!$B$31:$CZZ$32,2,0))^(O211-YEAR($B$5)),T199/(1+HLOOKUP(O211,'Datos SS'!$B$31:$CZZ$32,2,0))))</f>
        <v>19742.994791666664</v>
      </c>
      <c r="U211" s="7">
        <f ca="1">IF(O211=2018,IF(Q211&lt;8,HLOOKUP(O211,'Datos SS'!$B$25:$BZZ$27,3,0)/12,HLOOKUP(O211,'Datos SS'!$B$25:$BZZ$26,2,0)/12),HLOOKUP(O211,'Datos SS'!$B$25:$BZZ$26,2,0)/12)</f>
        <v>4683.3511564394503</v>
      </c>
      <c r="V211" s="165">
        <f t="shared" ca="1" si="31"/>
        <v>4683.3511564394503</v>
      </c>
      <c r="W211" s="7">
        <f t="shared" ca="1" si="29"/>
        <v>6810.8609533418703</v>
      </c>
      <c r="X211" s="149">
        <f ca="1">HLOOKUP(O211,'Datos SS'!$K$37:$EP$38,2,0)</f>
        <v>1217.6780891235346</v>
      </c>
      <c r="Y211">
        <f t="shared" ca="1" si="35"/>
        <v>1528</v>
      </c>
      <c r="AC211" s="648">
        <v>2025.3121881358868</v>
      </c>
      <c r="AD211" s="650">
        <f t="shared" ca="1" si="32"/>
        <v>-4785.5487652059837</v>
      </c>
    </row>
    <row r="212" spans="12:30">
      <c r="L212" s="4">
        <v>208</v>
      </c>
      <c r="M212" s="4">
        <f t="shared" ca="1" si="30"/>
        <v>0</v>
      </c>
      <c r="O212" s="4">
        <f t="shared" ca="1" si="33"/>
        <v>2027</v>
      </c>
      <c r="P212" s="4">
        <v>208</v>
      </c>
      <c r="Q212" s="4">
        <f t="shared" ca="1" si="34"/>
        <v>3</v>
      </c>
      <c r="S212" s="125">
        <f ca="1">HLOOKUP(O212,'Datos SS'!$B$4:$CZZ$16,(Q212+1),0)</f>
        <v>130.48024393349951</v>
      </c>
      <c r="T212" s="815">
        <f ca="1">IF(O212=YEAR($B$5),($B$9/12),IF(O212&gt;MIN(YEAR($B$7),YEAR($B$5)),($B$9/12)*(1+HLOOKUP(O212,'Datos SS'!$B$31:$CZZ$32,2,0))^(O212-YEAR($B$5)),T200/(1+HLOOKUP(O212,'Datos SS'!$B$31:$CZZ$32,2,0))))</f>
        <v>19742.994791666664</v>
      </c>
      <c r="U212" s="7">
        <f ca="1">IF(O212=2018,IF(Q212&lt;8,HLOOKUP(O212,'Datos SS'!$B$25:$BZZ$27,3,0)/12,HLOOKUP(O212,'Datos SS'!$B$25:$BZZ$26,2,0)/12),HLOOKUP(O212,'Datos SS'!$B$25:$BZZ$26,2,0)/12)</f>
        <v>4683.3511564394503</v>
      </c>
      <c r="V212" s="165">
        <f t="shared" ca="1" si="31"/>
        <v>4683.3511564394503</v>
      </c>
      <c r="W212" s="7">
        <f t="shared" ca="1" si="29"/>
        <v>6824.8902117624193</v>
      </c>
      <c r="X212" s="149">
        <f ca="1">HLOOKUP(O212,'Datos SS'!$K$37:$EP$38,2,0)</f>
        <v>1217.6780891235346</v>
      </c>
      <c r="Y212">
        <f t="shared" ca="1" si="35"/>
        <v>1527</v>
      </c>
      <c r="AC212" s="648">
        <v>2026.9922617893956</v>
      </c>
      <c r="AD212" s="650">
        <f t="shared" ca="1" si="32"/>
        <v>-4797.897949973024</v>
      </c>
    </row>
    <row r="213" spans="12:30">
      <c r="L213" s="4">
        <v>209</v>
      </c>
      <c r="M213" s="4">
        <f t="shared" ca="1" si="30"/>
        <v>0</v>
      </c>
      <c r="O213" s="4">
        <f t="shared" ca="1" si="33"/>
        <v>2027</v>
      </c>
      <c r="P213" s="4">
        <v>209</v>
      </c>
      <c r="Q213" s="4">
        <f t="shared" ca="1" si="34"/>
        <v>2</v>
      </c>
      <c r="S213" s="125">
        <f ca="1">HLOOKUP(O213,'Datos SS'!$B$4:$CZZ$16,(Q213+1),0)</f>
        <v>130.21202847447799</v>
      </c>
      <c r="T213" s="815">
        <f ca="1">IF(O213=YEAR($B$5),($B$9/12),IF(O213&gt;MIN(YEAR($B$7),YEAR($B$5)),($B$9/12)*(1+HLOOKUP(O213,'Datos SS'!$B$31:$CZZ$32,2,0))^(O213-YEAR($B$5)),T201/(1+HLOOKUP(O213,'Datos SS'!$B$31:$CZZ$32,2,0))))</f>
        <v>19742.994791666664</v>
      </c>
      <c r="U213" s="7">
        <f ca="1">IF(O213=2018,IF(Q213&lt;8,HLOOKUP(O213,'Datos SS'!$B$25:$BZZ$27,3,0)/12,HLOOKUP(O213,'Datos SS'!$B$25:$BZZ$26,2,0)/12),HLOOKUP(O213,'Datos SS'!$B$25:$BZZ$26,2,0)/12)</f>
        <v>4683.3511564394503</v>
      </c>
      <c r="V213" s="165">
        <f t="shared" ca="1" si="31"/>
        <v>4683.3511564394503</v>
      </c>
      <c r="W213" s="7">
        <f t="shared" ca="1" si="29"/>
        <v>6838.9483681583024</v>
      </c>
      <c r="X213" s="149">
        <f ca="1">HLOOKUP(O213,'Datos SS'!$K$37:$EP$38,2,0)</f>
        <v>1217.6780891235346</v>
      </c>
      <c r="Y213">
        <f t="shared" ca="1" si="35"/>
        <v>1526</v>
      </c>
      <c r="AC213" s="648">
        <v>2028.6737291280344</v>
      </c>
      <c r="AD213" s="650">
        <f t="shared" ca="1" si="32"/>
        <v>-4810.2746390302682</v>
      </c>
    </row>
    <row r="214" spans="12:30">
      <c r="L214" s="4">
        <v>210</v>
      </c>
      <c r="M214" s="4">
        <f t="shared" ca="1" si="30"/>
        <v>0</v>
      </c>
      <c r="O214" s="4">
        <f t="shared" ca="1" si="33"/>
        <v>2027</v>
      </c>
      <c r="P214" s="4">
        <v>210</v>
      </c>
      <c r="Q214" s="4">
        <f t="shared" ca="1" si="34"/>
        <v>1</v>
      </c>
      <c r="S214" s="125">
        <f ca="1">HLOOKUP(O214,'Datos SS'!$B$4:$CZZ$16,(Q214+1),0)</f>
        <v>129.9443643597082</v>
      </c>
      <c r="T214" s="815">
        <f ca="1">IF(O214=YEAR($B$5),($B$9/12),IF(O214&gt;MIN(YEAR($B$7),YEAR($B$5)),($B$9/12)*(1+HLOOKUP(O214,'Datos SS'!$B$31:$CZZ$32,2,0))^(O214-YEAR($B$5)),T202/(1+HLOOKUP(O214,'Datos SS'!$B$31:$CZZ$32,2,0))))</f>
        <v>19742.994791666664</v>
      </c>
      <c r="U214" s="7">
        <f ca="1">IF(O214=2018,IF(Q214&lt;8,HLOOKUP(O214,'Datos SS'!$B$25:$BZZ$27,3,0)/12,HLOOKUP(O214,'Datos SS'!$B$25:$BZZ$26,2,0)/12),HLOOKUP(O214,'Datos SS'!$B$25:$BZZ$26,2,0)/12)</f>
        <v>4683.3511564394503</v>
      </c>
      <c r="V214" s="165">
        <f t="shared" ca="1" si="31"/>
        <v>4683.3511564394503</v>
      </c>
      <c r="W214" s="7">
        <f t="shared" ca="1" si="29"/>
        <v>6853.0354820546163</v>
      </c>
      <c r="X214" s="149">
        <f ca="1">HLOOKUP(O214,'Datos SS'!$K$37:$EP$38,2,0)</f>
        <v>1217.6780891235346</v>
      </c>
      <c r="Y214">
        <f t="shared" ca="1" si="35"/>
        <v>1525</v>
      </c>
      <c r="AC214" s="648">
        <v>2030.356591307919</v>
      </c>
      <c r="AD214" s="650">
        <f t="shared" ca="1" si="32"/>
        <v>-4822.6788907466971</v>
      </c>
    </row>
    <row r="215" spans="12:30">
      <c r="L215" s="4">
        <v>211</v>
      </c>
      <c r="M215" s="4">
        <f t="shared" ca="1" si="30"/>
        <v>0</v>
      </c>
      <c r="O215" s="4">
        <f t="shared" ca="1" si="33"/>
        <v>2026</v>
      </c>
      <c r="P215" s="4">
        <v>211</v>
      </c>
      <c r="Q215" s="4">
        <f t="shared" ca="1" si="34"/>
        <v>12</v>
      </c>
      <c r="S215" s="125">
        <f ca="1">HLOOKUP(O215,'Datos SS'!$B$4:$CZZ$16,(Q215+1),0)</f>
        <v>129.67725045584578</v>
      </c>
      <c r="T215" s="815">
        <f ca="1">IF(O215=YEAR($B$5),($B$9/12),IF(O215&gt;MIN(YEAR($B$7),YEAR($B$5)),($B$9/12)*(1+HLOOKUP(O215,'Datos SS'!$B$31:$CZZ$32,2,0))^(O215-YEAR($B$5)),T203/(1+HLOOKUP(O215,'Datos SS'!$B$31:$CZZ$32,2,0))))</f>
        <v>19261.458333333332</v>
      </c>
      <c r="U215" s="7">
        <f ca="1">IF(O215=2018,IF(Q215&lt;8,HLOOKUP(O215,'Datos SS'!$B$25:$BZZ$27,3,0)/12,HLOOKUP(O215,'Datos SS'!$B$25:$BZZ$26,2,0)/12),HLOOKUP(O215,'Datos SS'!$B$25:$BZZ$26,2,0)/12)</f>
        <v>4569.123079453123</v>
      </c>
      <c r="V215" s="165">
        <f t="shared" ca="1" si="31"/>
        <v>4569.123079453123</v>
      </c>
      <c r="W215" s="7">
        <f t="shared" ca="1" si="29"/>
        <v>6699.6601103405583</v>
      </c>
      <c r="X215" s="149">
        <f ca="1">HLOOKUP(O215,'Datos SS'!$K$37:$EP$38,2,0)</f>
        <v>1187.9786235351557</v>
      </c>
      <c r="Y215">
        <f t="shared" ca="1" si="35"/>
        <v>1524</v>
      </c>
      <c r="AC215" s="648">
        <v>2032.0408494861229</v>
      </c>
      <c r="AD215" s="650">
        <f t="shared" ca="1" si="32"/>
        <v>-4667.6192608544352</v>
      </c>
    </row>
    <row r="216" spans="12:30">
      <c r="L216" s="4">
        <v>212</v>
      </c>
      <c r="M216" s="4">
        <f t="shared" ca="1" si="30"/>
        <v>0</v>
      </c>
      <c r="O216" s="4">
        <f t="shared" ca="1" si="33"/>
        <v>2026</v>
      </c>
      <c r="P216" s="4">
        <v>212</v>
      </c>
      <c r="Q216" s="4">
        <f t="shared" ca="1" si="34"/>
        <v>11</v>
      </c>
      <c r="S216" s="125">
        <f ca="1">HLOOKUP(O216,'Datos SS'!$B$4:$CZZ$16,(Q216+1),0)</f>
        <v>129.41068563187602</v>
      </c>
      <c r="T216" s="815">
        <f ca="1">IF(O216=YEAR($B$5),($B$9/12),IF(O216&gt;MIN(YEAR($B$7),YEAR($B$5)),($B$9/12)*(1+HLOOKUP(O216,'Datos SS'!$B$31:$CZZ$32,2,0))^(O216-YEAR($B$5)),T204/(1+HLOOKUP(O216,'Datos SS'!$B$31:$CZZ$32,2,0))))</f>
        <v>19261.458333333332</v>
      </c>
      <c r="U216" s="7">
        <f ca="1">IF(O216=2018,IF(Q216&lt;8,HLOOKUP(O216,'Datos SS'!$B$25:$BZZ$27,3,0)/12,HLOOKUP(O216,'Datos SS'!$B$25:$BZZ$26,2,0)/12),HLOOKUP(O216,'Datos SS'!$B$25:$BZZ$26,2,0)/12)</f>
        <v>4569.123079453123</v>
      </c>
      <c r="V216" s="165">
        <f t="shared" ca="1" si="31"/>
        <v>4569.123079453123</v>
      </c>
      <c r="W216" s="7">
        <f t="shared" ca="1" si="29"/>
        <v>6713.4603132314569</v>
      </c>
      <c r="X216" s="149">
        <f ca="1">HLOOKUP(O216,'Datos SS'!$K$37:$EP$38,2,0)</f>
        <v>1187.9786235351557</v>
      </c>
      <c r="Y216">
        <f t="shared" ca="1" si="35"/>
        <v>1523</v>
      </c>
      <c r="AC216" s="648">
        <v>2033.72650482068</v>
      </c>
      <c r="AD216" s="650">
        <f t="shared" ca="1" si="32"/>
        <v>-4679.7338084107769</v>
      </c>
    </row>
    <row r="217" spans="12:30">
      <c r="L217" s="4">
        <v>213</v>
      </c>
      <c r="M217" s="4">
        <f t="shared" ca="1" si="30"/>
        <v>0</v>
      </c>
      <c r="O217" s="4">
        <f t="shared" ca="1" si="33"/>
        <v>2026</v>
      </c>
      <c r="P217" s="4">
        <v>213</v>
      </c>
      <c r="Q217" s="4">
        <f t="shared" ca="1" si="34"/>
        <v>10</v>
      </c>
      <c r="S217" s="125">
        <f ca="1">HLOOKUP(O217,'Datos SS'!$B$4:$CZZ$16,(Q217+1),0)</f>
        <v>129.14466875910918</v>
      </c>
      <c r="T217" s="815">
        <f ca="1">IF(O217=YEAR($B$5),($B$9/12),IF(O217&gt;MIN(YEAR($B$7),YEAR($B$5)),($B$9/12)*(1+HLOOKUP(O217,'Datos SS'!$B$31:$CZZ$32,2,0))^(O217-YEAR($B$5)),T205/(1+HLOOKUP(O217,'Datos SS'!$B$31:$CZZ$32,2,0))))</f>
        <v>19261.458333333332</v>
      </c>
      <c r="U217" s="7">
        <f ca="1">IF(O217=2018,IF(Q217&lt;8,HLOOKUP(O217,'Datos SS'!$B$25:$BZZ$27,3,0)/12,HLOOKUP(O217,'Datos SS'!$B$25:$BZZ$26,2,0)/12),HLOOKUP(O217,'Datos SS'!$B$25:$BZZ$26,2,0)/12)</f>
        <v>4569.123079453123</v>
      </c>
      <c r="V217" s="165">
        <f t="shared" ca="1" si="31"/>
        <v>4569.123079453123</v>
      </c>
      <c r="W217" s="7">
        <f t="shared" ca="1" si="29"/>
        <v>6727.2889422808012</v>
      </c>
      <c r="X217" s="149">
        <f ca="1">HLOOKUP(O217,'Datos SS'!$K$37:$EP$38,2,0)</f>
        <v>1187.9786235351557</v>
      </c>
      <c r="Y217">
        <f t="shared" ca="1" si="35"/>
        <v>1522</v>
      </c>
      <c r="AC217" s="648">
        <v>2035.413558470585</v>
      </c>
      <c r="AD217" s="650">
        <f t="shared" ca="1" si="32"/>
        <v>-4691.8753838102166</v>
      </c>
    </row>
    <row r="218" spans="12:30">
      <c r="L218" s="4">
        <v>214</v>
      </c>
      <c r="M218" s="4">
        <f t="shared" ca="1" si="30"/>
        <v>0</v>
      </c>
      <c r="O218" s="4">
        <f t="shared" ca="1" si="33"/>
        <v>2026</v>
      </c>
      <c r="P218" s="4">
        <v>214</v>
      </c>
      <c r="Q218" s="4">
        <f t="shared" ca="1" si="34"/>
        <v>9</v>
      </c>
      <c r="S218" s="125">
        <f ca="1">HLOOKUP(O218,'Datos SS'!$B$4:$CZZ$16,(Q218+1),0)</f>
        <v>128.87919871117563</v>
      </c>
      <c r="T218" s="815">
        <f ca="1">IF(O218=YEAR($B$5),($B$9/12),IF(O218&gt;MIN(YEAR($B$7),YEAR($B$5)),($B$9/12)*(1+HLOOKUP(O218,'Datos SS'!$B$31:$CZZ$32,2,0))^(O218-YEAR($B$5)),T206/(1+HLOOKUP(O218,'Datos SS'!$B$31:$CZZ$32,2,0))))</f>
        <v>19261.458333333332</v>
      </c>
      <c r="U218" s="7">
        <f ca="1">IF(O218=2018,IF(Q218&lt;8,HLOOKUP(O218,'Datos SS'!$B$25:$BZZ$27,3,0)/12,HLOOKUP(O218,'Datos SS'!$B$25:$BZZ$26,2,0)/12),HLOOKUP(O218,'Datos SS'!$B$25:$BZZ$26,2,0)/12)</f>
        <v>4569.123079453123</v>
      </c>
      <c r="V218" s="165">
        <f t="shared" ca="1" si="31"/>
        <v>4569.123079453123</v>
      </c>
      <c r="W218" s="7">
        <f t="shared" ca="1" si="29"/>
        <v>6741.1460560418227</v>
      </c>
      <c r="X218" s="149">
        <f ca="1">HLOOKUP(O218,'Datos SS'!$K$37:$EP$38,2,0)</f>
        <v>1187.9786235351557</v>
      </c>
      <c r="Y218">
        <f t="shared" ca="1" si="35"/>
        <v>1521</v>
      </c>
      <c r="AC218" s="648">
        <v>2006.9970557594024</v>
      </c>
      <c r="AD218" s="650">
        <f t="shared" ca="1" si="32"/>
        <v>-4734.1490002824203</v>
      </c>
    </row>
    <row r="219" spans="12:30">
      <c r="L219" s="4">
        <v>215</v>
      </c>
      <c r="M219" s="4">
        <f t="shared" ca="1" si="30"/>
        <v>0</v>
      </c>
      <c r="O219" s="4">
        <f t="shared" ca="1" si="33"/>
        <v>2026</v>
      </c>
      <c r="P219" s="4">
        <v>215</v>
      </c>
      <c r="Q219" s="4">
        <f t="shared" ca="1" si="34"/>
        <v>8</v>
      </c>
      <c r="S219" s="125">
        <f ca="1">HLOOKUP(O219,'Datos SS'!$B$4:$CZZ$16,(Q219+1),0)</f>
        <v>128.61427436402113</v>
      </c>
      <c r="T219" s="815">
        <f ca="1">IF(O219=YEAR($B$5),($B$9/12),IF(O219&gt;MIN(YEAR($B$7),YEAR($B$5)),($B$9/12)*(1+HLOOKUP(O219,'Datos SS'!$B$31:$CZZ$32,2,0))^(O219-YEAR($B$5)),T207/(1+HLOOKUP(O219,'Datos SS'!$B$31:$CZZ$32,2,0))))</f>
        <v>19261.458333333332</v>
      </c>
      <c r="U219" s="7">
        <f ca="1">IF(O219=2018,IF(Q219&lt;8,HLOOKUP(O219,'Datos SS'!$B$25:$BZZ$27,3,0)/12,HLOOKUP(O219,'Datos SS'!$B$25:$BZZ$26,2,0)/12),HLOOKUP(O219,'Datos SS'!$B$25:$BZZ$26,2,0)/12)</f>
        <v>4569.123079453123</v>
      </c>
      <c r="V219" s="165">
        <f t="shared" ca="1" si="31"/>
        <v>4569.123079453123</v>
      </c>
      <c r="W219" s="7">
        <f t="shared" ca="1" si="29"/>
        <v>6755.0317131883639</v>
      </c>
      <c r="X219" s="149">
        <f ca="1">HLOOKUP(O219,'Datos SS'!$K$37:$EP$38,2,0)</f>
        <v>1187.9786235351557</v>
      </c>
      <c r="Y219">
        <f t="shared" ca="1" si="35"/>
        <v>1520</v>
      </c>
      <c r="AC219" s="648">
        <v>2008.6619363125353</v>
      </c>
      <c r="AD219" s="650">
        <f t="shared" ca="1" si="32"/>
        <v>-4746.3697768758284</v>
      </c>
    </row>
    <row r="220" spans="12:30">
      <c r="L220" s="4">
        <v>216</v>
      </c>
      <c r="M220" s="4">
        <f t="shared" ca="1" si="30"/>
        <v>0</v>
      </c>
      <c r="O220" s="4">
        <f t="shared" ca="1" si="33"/>
        <v>2026</v>
      </c>
      <c r="P220" s="4">
        <v>216</v>
      </c>
      <c r="Q220" s="4">
        <f t="shared" ca="1" si="34"/>
        <v>7</v>
      </c>
      <c r="S220" s="125">
        <f ca="1">HLOOKUP(O220,'Datos SS'!$B$4:$CZZ$16,(Q220+1),0)</f>
        <v>128.34989459590199</v>
      </c>
      <c r="T220" s="815">
        <f ca="1">IF(O220=YEAR($B$5),($B$9/12),IF(O220&gt;MIN(YEAR($B$7),YEAR($B$5)),($B$9/12)*(1+HLOOKUP(O220,'Datos SS'!$B$31:$CZZ$32,2,0))^(O220-YEAR($B$5)),T208/(1+HLOOKUP(O220,'Datos SS'!$B$31:$CZZ$32,2,0))))</f>
        <v>19261.458333333332</v>
      </c>
      <c r="U220" s="7">
        <f ca="1">IF(O220=2018,IF(Q220&lt;8,HLOOKUP(O220,'Datos SS'!$B$25:$BZZ$27,3,0)/12,HLOOKUP(O220,'Datos SS'!$B$25:$BZZ$26,2,0)/12),HLOOKUP(O220,'Datos SS'!$B$25:$BZZ$26,2,0)/12)</f>
        <v>4569.123079453123</v>
      </c>
      <c r="V220" s="165">
        <f t="shared" ca="1" si="31"/>
        <v>4569.123079453123</v>
      </c>
      <c r="W220" s="7">
        <f t="shared" ca="1" si="29"/>
        <v>6768.9459725151282</v>
      </c>
      <c r="X220" s="149">
        <f ca="1">HLOOKUP(O220,'Datos SS'!$K$37:$EP$38,2,0)</f>
        <v>1187.9786235351557</v>
      </c>
      <c r="Y220">
        <f t="shared" ca="1" si="35"/>
        <v>1519</v>
      </c>
      <c r="AC220" s="648">
        <v>2010.328197947543</v>
      </c>
      <c r="AD220" s="650">
        <f t="shared" ca="1" si="32"/>
        <v>-4758.617774567585</v>
      </c>
    </row>
    <row r="221" spans="12:30">
      <c r="L221" s="4">
        <v>217</v>
      </c>
      <c r="M221" s="4">
        <f t="shared" ca="1" si="30"/>
        <v>0</v>
      </c>
      <c r="O221" s="4">
        <f t="shared" ca="1" si="33"/>
        <v>2026</v>
      </c>
      <c r="P221" s="4">
        <v>217</v>
      </c>
      <c r="Q221" s="4">
        <f t="shared" ca="1" si="34"/>
        <v>6</v>
      </c>
      <c r="S221" s="125">
        <f ca="1">HLOOKUP(O221,'Datos SS'!$B$4:$CZZ$16,(Q221+1),0)</f>
        <v>128.08605828738044</v>
      </c>
      <c r="T221" s="815">
        <f ca="1">IF(O221=YEAR($B$5),($B$9/12),IF(O221&gt;MIN(YEAR($B$7),YEAR($B$5)),($B$9/12)*(1+HLOOKUP(O221,'Datos SS'!$B$31:$CZZ$32,2,0))^(O221-YEAR($B$5)),T209/(1+HLOOKUP(O221,'Datos SS'!$B$31:$CZZ$32,2,0))))</f>
        <v>19261.458333333332</v>
      </c>
      <c r="U221" s="7">
        <f ca="1">IF(O221=2018,IF(Q221&lt;8,HLOOKUP(O221,'Datos SS'!$B$25:$BZZ$27,3,0)/12,HLOOKUP(O221,'Datos SS'!$B$25:$BZZ$26,2,0)/12),HLOOKUP(O221,'Datos SS'!$B$25:$BZZ$26,2,0)/12)</f>
        <v>4569.123079453123</v>
      </c>
      <c r="V221" s="165">
        <f t="shared" ca="1" si="31"/>
        <v>4569.123079453123</v>
      </c>
      <c r="W221" s="7">
        <f t="shared" ca="1" si="29"/>
        <v>6782.8888929379209</v>
      </c>
      <c r="X221" s="149">
        <f ca="1">HLOOKUP(O221,'Datos SS'!$K$37:$EP$38,2,0)</f>
        <v>1187.9786235351557</v>
      </c>
      <c r="Y221">
        <f t="shared" ca="1" si="35"/>
        <v>1518</v>
      </c>
      <c r="AC221" s="648">
        <v>2011.995841810085</v>
      </c>
      <c r="AD221" s="650">
        <f t="shared" ca="1" si="32"/>
        <v>-4770.8930511278359</v>
      </c>
    </row>
    <row r="222" spans="12:30">
      <c r="L222" s="4">
        <v>218</v>
      </c>
      <c r="M222" s="4">
        <f t="shared" ca="1" si="30"/>
        <v>0</v>
      </c>
      <c r="O222" s="4">
        <f t="shared" ca="1" si="33"/>
        <v>2026</v>
      </c>
      <c r="P222" s="4">
        <v>218</v>
      </c>
      <c r="Q222" s="4">
        <f t="shared" ca="1" si="34"/>
        <v>5</v>
      </c>
      <c r="S222" s="125">
        <f ca="1">HLOOKUP(O222,'Datos SS'!$B$4:$CZZ$16,(Q222+1),0)</f>
        <v>127.82276432131982</v>
      </c>
      <c r="T222" s="815">
        <f ca="1">IF(O222=YEAR($B$5),($B$9/12),IF(O222&gt;MIN(YEAR($B$7),YEAR($B$5)),($B$9/12)*(1+HLOOKUP(O222,'Datos SS'!$B$31:$CZZ$32,2,0))^(O222-YEAR($B$5)),T210/(1+HLOOKUP(O222,'Datos SS'!$B$31:$CZZ$32,2,0))))</f>
        <v>19261.458333333332</v>
      </c>
      <c r="U222" s="7">
        <f ca="1">IF(O222=2018,IF(Q222&lt;8,HLOOKUP(O222,'Datos SS'!$B$25:$BZZ$27,3,0)/12,HLOOKUP(O222,'Datos SS'!$B$25:$BZZ$26,2,0)/12),HLOOKUP(O222,'Datos SS'!$B$25:$BZZ$26,2,0)/12)</f>
        <v>4569.123079453123</v>
      </c>
      <c r="V222" s="165">
        <f t="shared" ca="1" si="31"/>
        <v>4569.123079453123</v>
      </c>
      <c r="W222" s="7">
        <f t="shared" ca="1" si="29"/>
        <v>6796.8605334939084</v>
      </c>
      <c r="X222" s="149">
        <f ca="1">HLOOKUP(O222,'Datos SS'!$K$37:$EP$38,2,0)</f>
        <v>1187.9786235351557</v>
      </c>
      <c r="Y222">
        <f t="shared" ca="1" si="35"/>
        <v>1517</v>
      </c>
      <c r="AC222" s="648">
        <v>2013.6648690467728</v>
      </c>
      <c r="AD222" s="650">
        <f t="shared" ca="1" si="32"/>
        <v>-4783.1956644471356</v>
      </c>
    </row>
    <row r="223" spans="12:30">
      <c r="L223" s="4">
        <v>219</v>
      </c>
      <c r="M223" s="4">
        <f t="shared" ca="1" si="30"/>
        <v>0</v>
      </c>
      <c r="O223" s="4">
        <f t="shared" ca="1" si="33"/>
        <v>2026</v>
      </c>
      <c r="P223" s="4">
        <v>219</v>
      </c>
      <c r="Q223" s="4">
        <f t="shared" ca="1" si="34"/>
        <v>4</v>
      </c>
      <c r="S223" s="125">
        <f ca="1">HLOOKUP(O223,'Datos SS'!$B$4:$CZZ$16,(Q223+1),0)</f>
        <v>127.56001158287985</v>
      </c>
      <c r="T223" s="815">
        <f ca="1">IF(O223=YEAR($B$5),($B$9/12),IF(O223&gt;MIN(YEAR($B$7),YEAR($B$5)),($B$9/12)*(1+HLOOKUP(O223,'Datos SS'!$B$31:$CZZ$32,2,0))^(O223-YEAR($B$5)),T211/(1+HLOOKUP(O223,'Datos SS'!$B$31:$CZZ$32,2,0))))</f>
        <v>19261.458333333332</v>
      </c>
      <c r="U223" s="7">
        <f ca="1">IF(O223=2018,IF(Q223&lt;8,HLOOKUP(O223,'Datos SS'!$B$25:$BZZ$27,3,0)/12,HLOOKUP(O223,'Datos SS'!$B$25:$BZZ$26,2,0)/12),HLOOKUP(O223,'Datos SS'!$B$25:$BZZ$26,2,0)/12)</f>
        <v>4569.123079453123</v>
      </c>
      <c r="V223" s="165">
        <f t="shared" ca="1" si="31"/>
        <v>4569.123079453123</v>
      </c>
      <c r="W223" s="7">
        <f t="shared" ca="1" si="29"/>
        <v>6810.8609533418612</v>
      </c>
      <c r="X223" s="149">
        <f ca="1">HLOOKUP(O223,'Datos SS'!$K$37:$EP$38,2,0)</f>
        <v>1187.9786235351557</v>
      </c>
      <c r="Y223">
        <f t="shared" ca="1" si="35"/>
        <v>1516</v>
      </c>
      <c r="AC223" s="648">
        <v>2015.3352808051668</v>
      </c>
      <c r="AD223" s="650">
        <f t="shared" ca="1" si="32"/>
        <v>-4795.5256725366944</v>
      </c>
    </row>
    <row r="224" spans="12:30">
      <c r="L224" s="4">
        <v>220</v>
      </c>
      <c r="M224" s="4">
        <f t="shared" ca="1" si="30"/>
        <v>0</v>
      </c>
      <c r="O224" s="4">
        <f t="shared" ca="1" si="33"/>
        <v>2026</v>
      </c>
      <c r="P224" s="4">
        <v>220</v>
      </c>
      <c r="Q224" s="4">
        <f t="shared" ca="1" si="34"/>
        <v>3</v>
      </c>
      <c r="S224" s="125">
        <f ca="1">HLOOKUP(O224,'Datos SS'!$B$4:$CZZ$16,(Q224+1),0)</f>
        <v>127.29779895951189</v>
      </c>
      <c r="T224" s="815">
        <f ca="1">IF(O224=YEAR($B$5),($B$9/12),IF(O224&gt;MIN(YEAR($B$7),YEAR($B$5)),($B$9/12)*(1+HLOOKUP(O224,'Datos SS'!$B$31:$CZZ$32,2,0))^(O224-YEAR($B$5)),T212/(1+HLOOKUP(O224,'Datos SS'!$B$31:$CZZ$32,2,0))))</f>
        <v>19261.458333333332</v>
      </c>
      <c r="U224" s="7">
        <f ca="1">IF(O224=2018,IF(Q224&lt;8,HLOOKUP(O224,'Datos SS'!$B$25:$BZZ$27,3,0)/12,HLOOKUP(O224,'Datos SS'!$B$25:$BZZ$26,2,0)/12),HLOOKUP(O224,'Datos SS'!$B$25:$BZZ$26,2,0)/12)</f>
        <v>4569.123079453123</v>
      </c>
      <c r="V224" s="165">
        <f t="shared" ca="1" si="31"/>
        <v>4569.123079453123</v>
      </c>
      <c r="W224" s="7">
        <f t="shared" ca="1" si="29"/>
        <v>6824.8902117624111</v>
      </c>
      <c r="X224" s="149">
        <f ca="1">HLOOKUP(O224,'Datos SS'!$K$37:$EP$38,2,0)</f>
        <v>1187.9786235351557</v>
      </c>
      <c r="Y224">
        <f t="shared" ca="1" si="35"/>
        <v>1515</v>
      </c>
      <c r="AC224" s="648">
        <v>2017.0070782337809</v>
      </c>
      <c r="AD224" s="650">
        <f t="shared" ca="1" si="32"/>
        <v>-4807.8831335286304</v>
      </c>
    </row>
    <row r="225" spans="12:30">
      <c r="L225" s="4">
        <v>221</v>
      </c>
      <c r="M225" s="4">
        <f t="shared" ca="1" si="30"/>
        <v>0</v>
      </c>
      <c r="O225" s="4">
        <f t="shared" ca="1" si="33"/>
        <v>2026</v>
      </c>
      <c r="P225" s="4">
        <v>221</v>
      </c>
      <c r="Q225" s="4">
        <f t="shared" ca="1" si="34"/>
        <v>2</v>
      </c>
      <c r="S225" s="125">
        <f ca="1">HLOOKUP(O225,'Datos SS'!$B$4:$CZZ$16,(Q225+1),0)</f>
        <v>127.03612534095431</v>
      </c>
      <c r="T225" s="815">
        <f ca="1">IF(O225=YEAR($B$5),($B$9/12),IF(O225&gt;MIN(YEAR($B$7),YEAR($B$5)),($B$9/12)*(1+HLOOKUP(O225,'Datos SS'!$B$31:$CZZ$32,2,0))^(O225-YEAR($B$5)),T213/(1+HLOOKUP(O225,'Datos SS'!$B$31:$CZZ$32,2,0))))</f>
        <v>19261.458333333332</v>
      </c>
      <c r="U225" s="7">
        <f ca="1">IF(O225=2018,IF(Q225&lt;8,HLOOKUP(O225,'Datos SS'!$B$25:$BZZ$27,3,0)/12,HLOOKUP(O225,'Datos SS'!$B$25:$BZZ$26,2,0)/12),HLOOKUP(O225,'Datos SS'!$B$25:$BZZ$26,2,0)/12)</f>
        <v>4569.123079453123</v>
      </c>
      <c r="V225" s="165">
        <f t="shared" ca="1" si="31"/>
        <v>4569.123079453123</v>
      </c>
      <c r="W225" s="7">
        <f t="shared" ca="1" si="29"/>
        <v>6838.9483681582933</v>
      </c>
      <c r="X225" s="149">
        <f ca="1">HLOOKUP(O225,'Datos SS'!$K$37:$EP$38,2,0)</f>
        <v>1187.9786235351557</v>
      </c>
      <c r="Y225">
        <f t="shared" ca="1" si="35"/>
        <v>1514</v>
      </c>
      <c r="AC225" s="648">
        <v>2018.6802624820818</v>
      </c>
      <c r="AD225" s="650">
        <f t="shared" ca="1" si="32"/>
        <v>-4820.2681056762112</v>
      </c>
    </row>
    <row r="226" spans="12:30">
      <c r="L226" s="4">
        <v>222</v>
      </c>
      <c r="M226" s="4">
        <f t="shared" ca="1" si="30"/>
        <v>0</v>
      </c>
      <c r="O226" s="4">
        <f t="shared" ca="1" si="33"/>
        <v>2026</v>
      </c>
      <c r="P226" s="4">
        <v>222</v>
      </c>
      <c r="Q226" s="4">
        <f t="shared" ca="1" si="34"/>
        <v>1</v>
      </c>
      <c r="S226" s="125">
        <f ca="1">HLOOKUP(O226,'Datos SS'!$B$4:$CZZ$16,(Q226+1),0)</f>
        <v>126.7749896192277</v>
      </c>
      <c r="T226" s="815">
        <f ca="1">IF(O226=YEAR($B$5),($B$9/12),IF(O226&gt;MIN(YEAR($B$7),YEAR($B$5)),($B$9/12)*(1+HLOOKUP(O226,'Datos SS'!$B$31:$CZZ$32,2,0))^(O226-YEAR($B$5)),T214/(1+HLOOKUP(O226,'Datos SS'!$B$31:$CZZ$32,2,0))))</f>
        <v>19261.458333333332</v>
      </c>
      <c r="U226" s="7">
        <f ca="1">IF(O226=2018,IF(Q226&lt;8,HLOOKUP(O226,'Datos SS'!$B$25:$BZZ$27,3,0)/12,HLOOKUP(O226,'Datos SS'!$B$25:$BZZ$26,2,0)/12),HLOOKUP(O226,'Datos SS'!$B$25:$BZZ$26,2,0)/12)</f>
        <v>4569.123079453123</v>
      </c>
      <c r="V226" s="165">
        <f t="shared" ca="1" si="31"/>
        <v>4569.123079453123</v>
      </c>
      <c r="W226" s="7">
        <f t="shared" ca="1" si="29"/>
        <v>6853.0354820546081</v>
      </c>
      <c r="X226" s="149">
        <f ca="1">HLOOKUP(O226,'Datos SS'!$K$37:$EP$38,2,0)</f>
        <v>1187.9786235351557</v>
      </c>
      <c r="Y226">
        <f t="shared" ca="1" si="35"/>
        <v>1513</v>
      </c>
      <c r="AC226" s="648">
        <v>2020.3548347004887</v>
      </c>
      <c r="AD226" s="650">
        <f t="shared" ca="1" si="32"/>
        <v>-4832.6806473541192</v>
      </c>
    </row>
    <row r="227" spans="12:30">
      <c r="L227" s="4">
        <v>223</v>
      </c>
      <c r="M227" s="4">
        <f t="shared" ca="1" si="30"/>
        <v>0</v>
      </c>
      <c r="O227" s="4">
        <f t="shared" ca="1" si="33"/>
        <v>2025</v>
      </c>
      <c r="P227" s="4">
        <v>223</v>
      </c>
      <c r="Q227" s="4">
        <f t="shared" ca="1" si="34"/>
        <v>12</v>
      </c>
      <c r="S227" s="125">
        <f ca="1">HLOOKUP(O227,'Datos SS'!$B$4:$CZZ$16,(Q227+1),0)</f>
        <v>126.5143906886302</v>
      </c>
      <c r="T227" s="815">
        <f ca="1">IF(O227=YEAR($B$5),($B$9/12),IF(O227&gt;MIN(YEAR($B$7),YEAR($B$5)),($B$9/12)*(1+HLOOKUP(O227,'Datos SS'!$B$31:$CZZ$32,2,0))^(O227-YEAR($B$5)),T215/(1+HLOOKUP(O227,'Datos SS'!$B$31:$CZZ$32,2,0))))</f>
        <v>18791.666666666664</v>
      </c>
      <c r="U227" s="7">
        <f ca="1">IF(O227=2018,IF(Q227&lt;8,HLOOKUP(O227,'Datos SS'!$B$25:$BZZ$27,3,0)/12,HLOOKUP(O227,'Datos SS'!$B$25:$BZZ$26,2,0)/12),HLOOKUP(O227,'Datos SS'!$B$25:$BZZ$26,2,0)/12)</f>
        <v>4457.6810531249985</v>
      </c>
      <c r="V227" s="165">
        <f t="shared" ca="1" si="31"/>
        <v>4457.6810531249985</v>
      </c>
      <c r="W227" s="7">
        <f t="shared" ca="1" si="29"/>
        <v>6699.6601103405501</v>
      </c>
      <c r="X227" s="149">
        <f ca="1">HLOOKUP(O227,'Datos SS'!$K$37:$EP$38,2,0)</f>
        <v>1159.0035351562497</v>
      </c>
      <c r="Y227">
        <f t="shared" ca="1" si="35"/>
        <v>1512</v>
      </c>
      <c r="AC227" s="648">
        <v>2022.0307960403763</v>
      </c>
      <c r="AD227" s="650">
        <f t="shared" ca="1" si="32"/>
        <v>-4677.629314300174</v>
      </c>
    </row>
    <row r="228" spans="12:30">
      <c r="L228" s="4">
        <v>224</v>
      </c>
      <c r="M228" s="4">
        <f t="shared" ca="1" si="30"/>
        <v>0</v>
      </c>
      <c r="O228" s="4">
        <f t="shared" ca="1" si="33"/>
        <v>2025</v>
      </c>
      <c r="P228" s="4">
        <v>224</v>
      </c>
      <c r="Q228" s="4">
        <f t="shared" ca="1" si="34"/>
        <v>11</v>
      </c>
      <c r="S228" s="125">
        <f ca="1">HLOOKUP(O228,'Datos SS'!$B$4:$CZZ$16,(Q228+1),0)</f>
        <v>126.25432744573288</v>
      </c>
      <c r="T228" s="815">
        <f ca="1">IF(O228=YEAR($B$5),($B$9/12),IF(O228&gt;MIN(YEAR($B$7),YEAR($B$5)),($B$9/12)*(1+HLOOKUP(O228,'Datos SS'!$B$31:$CZZ$32,2,0))^(O228-YEAR($B$5)),T216/(1+HLOOKUP(O228,'Datos SS'!$B$31:$CZZ$32,2,0))))</f>
        <v>18791.666666666664</v>
      </c>
      <c r="U228" s="7">
        <f ca="1">IF(O228=2018,IF(Q228&lt;8,HLOOKUP(O228,'Datos SS'!$B$25:$BZZ$27,3,0)/12,HLOOKUP(O228,'Datos SS'!$B$25:$BZZ$26,2,0)/12),HLOOKUP(O228,'Datos SS'!$B$25:$BZZ$26,2,0)/12)</f>
        <v>4457.6810531249985</v>
      </c>
      <c r="V228" s="165">
        <f t="shared" ca="1" si="31"/>
        <v>4457.6810531249985</v>
      </c>
      <c r="W228" s="7">
        <f t="shared" ca="1" si="29"/>
        <v>6713.4603132314478</v>
      </c>
      <c r="X228" s="149">
        <f ca="1">HLOOKUP(O228,'Datos SS'!$K$37:$EP$38,2,0)</f>
        <v>1159.0035351562497</v>
      </c>
      <c r="Y228">
        <f t="shared" ca="1" si="35"/>
        <v>1511</v>
      </c>
      <c r="AC228" s="648">
        <v>2023.7081476540734</v>
      </c>
      <c r="AD228" s="650">
        <f t="shared" ca="1" si="32"/>
        <v>-4689.7521655773744</v>
      </c>
    </row>
    <row r="229" spans="12:30">
      <c r="L229" s="4">
        <v>225</v>
      </c>
      <c r="M229" s="4">
        <f t="shared" ca="1" si="30"/>
        <v>0</v>
      </c>
      <c r="O229" s="4">
        <f t="shared" ca="1" si="33"/>
        <v>2025</v>
      </c>
      <c r="P229" s="4">
        <v>225</v>
      </c>
      <c r="Q229" s="4">
        <f t="shared" ca="1" si="34"/>
        <v>10</v>
      </c>
      <c r="S229" s="125">
        <f ca="1">HLOOKUP(O229,'Datos SS'!$B$4:$CZZ$16,(Q229+1),0)</f>
        <v>125.994798789375</v>
      </c>
      <c r="T229" s="815">
        <f ca="1">IF(O229=YEAR($B$5),($B$9/12),IF(O229&gt;MIN(YEAR($B$7),YEAR($B$5)),($B$9/12)*(1+HLOOKUP(O229,'Datos SS'!$B$31:$CZZ$32,2,0))^(O229-YEAR($B$5)),T217/(1+HLOOKUP(O229,'Datos SS'!$B$31:$CZZ$32,2,0))))</f>
        <v>18791.666666666664</v>
      </c>
      <c r="U229" s="7">
        <f ca="1">IF(O229=2018,IF(Q229&lt;8,HLOOKUP(O229,'Datos SS'!$B$25:$BZZ$27,3,0)/12,HLOOKUP(O229,'Datos SS'!$B$25:$BZZ$26,2,0)/12),HLOOKUP(O229,'Datos SS'!$B$25:$BZZ$26,2,0)/12)</f>
        <v>4457.6810531249985</v>
      </c>
      <c r="V229" s="165">
        <f t="shared" ca="1" si="31"/>
        <v>4457.6810531249985</v>
      </c>
      <c r="W229" s="7">
        <f t="shared" ca="1" si="29"/>
        <v>6727.2889422807912</v>
      </c>
      <c r="X229" s="149">
        <f ca="1">HLOOKUP(O229,'Datos SS'!$K$37:$EP$38,2,0)</f>
        <v>1159.0035351562497</v>
      </c>
      <c r="Y229">
        <f t="shared" ca="1" si="35"/>
        <v>1510</v>
      </c>
      <c r="AC229" s="648">
        <v>2025.3868906948653</v>
      </c>
      <c r="AD229" s="650">
        <f t="shared" ca="1" si="32"/>
        <v>-4701.9020515859256</v>
      </c>
    </row>
    <row r="230" spans="12:30">
      <c r="L230" s="4">
        <v>226</v>
      </c>
      <c r="M230" s="4">
        <f t="shared" ca="1" si="30"/>
        <v>0</v>
      </c>
      <c r="O230" s="4">
        <f t="shared" ca="1" si="33"/>
        <v>2025</v>
      </c>
      <c r="P230" s="4">
        <v>226</v>
      </c>
      <c r="Q230" s="4">
        <f t="shared" ca="1" si="34"/>
        <v>9</v>
      </c>
      <c r="S230" s="125">
        <f ca="1">HLOOKUP(O230,'Datos SS'!$B$4:$CZZ$16,(Q230+1),0)</f>
        <v>125.73580362065934</v>
      </c>
      <c r="T230" s="815">
        <f ca="1">IF(O230=YEAR($B$5),($B$9/12),IF(O230&gt;MIN(YEAR($B$7),YEAR($B$5)),($B$9/12)*(1+HLOOKUP(O230,'Datos SS'!$B$31:$CZZ$32,2,0))^(O230-YEAR($B$5)),T218/(1+HLOOKUP(O230,'Datos SS'!$B$31:$CZZ$32,2,0))))</f>
        <v>18791.666666666664</v>
      </c>
      <c r="U230" s="7">
        <f ca="1">IF(O230=2018,IF(Q230&lt;8,HLOOKUP(O230,'Datos SS'!$B$25:$BZZ$27,3,0)/12,HLOOKUP(O230,'Datos SS'!$B$25:$BZZ$26,2,0)/12),HLOOKUP(O230,'Datos SS'!$B$25:$BZZ$26,2,0)/12)</f>
        <v>4457.6810531249985</v>
      </c>
      <c r="V230" s="165">
        <f t="shared" ca="1" si="31"/>
        <v>4457.6810531249985</v>
      </c>
      <c r="W230" s="7">
        <f t="shared" ca="1" si="29"/>
        <v>6741.1460560418136</v>
      </c>
      <c r="X230" s="149">
        <f ca="1">HLOOKUP(O230,'Datos SS'!$K$37:$EP$38,2,0)</f>
        <v>1159.0035351562497</v>
      </c>
      <c r="Y230">
        <f t="shared" ca="1" si="35"/>
        <v>1509</v>
      </c>
      <c r="AC230" s="648">
        <v>1997.110370755659</v>
      </c>
      <c r="AD230" s="650">
        <f t="shared" ca="1" si="32"/>
        <v>-4744.0356852861551</v>
      </c>
    </row>
    <row r="231" spans="12:30">
      <c r="L231" s="4">
        <v>227</v>
      </c>
      <c r="M231" s="4">
        <f t="shared" ca="1" si="30"/>
        <v>0</v>
      </c>
      <c r="O231" s="4">
        <f t="shared" ca="1" si="33"/>
        <v>2025</v>
      </c>
      <c r="P231" s="4">
        <v>227</v>
      </c>
      <c r="Q231" s="4">
        <f t="shared" ca="1" si="34"/>
        <v>8</v>
      </c>
      <c r="S231" s="125">
        <f ca="1">HLOOKUP(O231,'Datos SS'!$B$4:$CZZ$16,(Q231+1),0)</f>
        <v>125.47734084294761</v>
      </c>
      <c r="T231" s="815">
        <f ca="1">IF(O231=YEAR($B$5),($B$9/12),IF(O231&gt;MIN(YEAR($B$7),YEAR($B$5)),($B$9/12)*(1+HLOOKUP(O231,'Datos SS'!$B$31:$CZZ$32,2,0))^(O231-YEAR($B$5)),T219/(1+HLOOKUP(O231,'Datos SS'!$B$31:$CZZ$32,2,0))))</f>
        <v>18791.666666666664</v>
      </c>
      <c r="U231" s="7">
        <f ca="1">IF(O231=2018,IF(Q231&lt;8,HLOOKUP(O231,'Datos SS'!$B$25:$BZZ$27,3,0)/12,HLOOKUP(O231,'Datos SS'!$B$25:$BZZ$26,2,0)/12),HLOOKUP(O231,'Datos SS'!$B$25:$BZZ$26,2,0)/12)</f>
        <v>4457.6810531249985</v>
      </c>
      <c r="V231" s="165">
        <f t="shared" ca="1" si="31"/>
        <v>4457.6810531249985</v>
      </c>
      <c r="W231" s="7">
        <f t="shared" ca="1" si="29"/>
        <v>6755.0317131883558</v>
      </c>
      <c r="X231" s="149">
        <f ca="1">HLOOKUP(O231,'Datos SS'!$K$37:$EP$38,2,0)</f>
        <v>1159.0035351562497</v>
      </c>
      <c r="Y231">
        <f t="shared" ca="1" si="35"/>
        <v>1508</v>
      </c>
      <c r="AC231" s="648">
        <v>1998.767049926757</v>
      </c>
      <c r="AD231" s="650">
        <f t="shared" ca="1" si="32"/>
        <v>-4756.2646632615988</v>
      </c>
    </row>
    <row r="232" spans="12:30">
      <c r="L232" s="4">
        <v>228</v>
      </c>
      <c r="M232" s="4">
        <f t="shared" ca="1" si="30"/>
        <v>0</v>
      </c>
      <c r="O232" s="4">
        <f t="shared" ca="1" si="33"/>
        <v>2025</v>
      </c>
      <c r="P232" s="4">
        <v>228</v>
      </c>
      <c r="Q232" s="4">
        <f t="shared" ca="1" si="34"/>
        <v>7</v>
      </c>
      <c r="S232" s="125">
        <f ca="1">HLOOKUP(O232,'Datos SS'!$B$4:$CZZ$16,(Q232+1),0)</f>
        <v>125.21940936185578</v>
      </c>
      <c r="T232" s="815">
        <f ca="1">IF(O232=YEAR($B$5),($B$9/12),IF(O232&gt;MIN(YEAR($B$7),YEAR($B$5)),($B$9/12)*(1+HLOOKUP(O232,'Datos SS'!$B$31:$CZZ$32,2,0))^(O232-YEAR($B$5)),T220/(1+HLOOKUP(O232,'Datos SS'!$B$31:$CZZ$32,2,0))))</f>
        <v>18791.666666666664</v>
      </c>
      <c r="U232" s="7">
        <f ca="1">IF(O232=2018,IF(Q232&lt;8,HLOOKUP(O232,'Datos SS'!$B$25:$BZZ$27,3,0)/12,HLOOKUP(O232,'Datos SS'!$B$25:$BZZ$26,2,0)/12),HLOOKUP(O232,'Datos SS'!$B$25:$BZZ$26,2,0)/12)</f>
        <v>4457.6810531249985</v>
      </c>
      <c r="V232" s="165">
        <f t="shared" ca="1" si="31"/>
        <v>4457.6810531249985</v>
      </c>
      <c r="W232" s="7">
        <f t="shared" ca="1" si="29"/>
        <v>6768.9459725151191</v>
      </c>
      <c r="X232" s="149">
        <f ca="1">HLOOKUP(O232,'Datos SS'!$K$37:$EP$38,2,0)</f>
        <v>1159.0035351562497</v>
      </c>
      <c r="Y232">
        <f t="shared" ca="1" si="35"/>
        <v>1507</v>
      </c>
      <c r="AC232" s="648">
        <v>2000.4251033763703</v>
      </c>
      <c r="AD232" s="650">
        <f t="shared" ca="1" si="32"/>
        <v>-4768.5208691387488</v>
      </c>
    </row>
    <row r="233" spans="12:30">
      <c r="L233" s="4">
        <v>229</v>
      </c>
      <c r="M233" s="4">
        <f t="shared" ca="1" si="30"/>
        <v>0</v>
      </c>
      <c r="O233" s="4">
        <f t="shared" ca="1" si="33"/>
        <v>2025</v>
      </c>
      <c r="P233" s="4">
        <v>229</v>
      </c>
      <c r="Q233" s="4">
        <f t="shared" ca="1" si="34"/>
        <v>6</v>
      </c>
      <c r="S233" s="125">
        <f ca="1">HLOOKUP(O233,'Datos SS'!$B$4:$CZZ$16,(Q233+1),0)</f>
        <v>124.96200808524941</v>
      </c>
      <c r="T233" s="815">
        <f ca="1">IF(O233=YEAR($B$5),($B$9/12),IF(O233&gt;MIN(YEAR($B$7),YEAR($B$5)),($B$9/12)*(1+HLOOKUP(O233,'Datos SS'!$B$31:$CZZ$32,2,0))^(O233-YEAR($B$5)),T221/(1+HLOOKUP(O233,'Datos SS'!$B$31:$CZZ$32,2,0))))</f>
        <v>18791.666666666664</v>
      </c>
      <c r="U233" s="7">
        <f ca="1">IF(O233=2018,IF(Q233&lt;8,HLOOKUP(O233,'Datos SS'!$B$25:$BZZ$27,3,0)/12,HLOOKUP(O233,'Datos SS'!$B$25:$BZZ$26,2,0)/12),HLOOKUP(O233,'Datos SS'!$B$25:$BZZ$26,2,0)/12)</f>
        <v>4457.6810531249985</v>
      </c>
      <c r="V233" s="165">
        <f t="shared" ca="1" si="31"/>
        <v>4457.6810531249985</v>
      </c>
      <c r="W233" s="7">
        <f t="shared" ca="1" si="29"/>
        <v>6782.8888929379109</v>
      </c>
      <c r="X233" s="149">
        <f ca="1">HLOOKUP(O233,'Datos SS'!$K$37:$EP$38,2,0)</f>
        <v>1159.0035351562497</v>
      </c>
      <c r="Y233">
        <f t="shared" ca="1" si="35"/>
        <v>1506</v>
      </c>
      <c r="AC233" s="648">
        <v>2002.0845322445159</v>
      </c>
      <c r="AD233" s="650">
        <f t="shared" ca="1" si="32"/>
        <v>-4780.8043606933952</v>
      </c>
    </row>
    <row r="234" spans="12:30">
      <c r="L234" s="4">
        <v>230</v>
      </c>
      <c r="M234" s="4">
        <f t="shared" ca="1" si="30"/>
        <v>0</v>
      </c>
      <c r="O234" s="4">
        <f t="shared" ca="1" si="33"/>
        <v>2025</v>
      </c>
      <c r="P234" s="4">
        <v>230</v>
      </c>
      <c r="Q234" s="4">
        <f t="shared" ca="1" si="34"/>
        <v>5</v>
      </c>
      <c r="S234" s="125">
        <f ca="1">HLOOKUP(O234,'Datos SS'!$B$4:$CZZ$16,(Q234+1),0)</f>
        <v>124.70513592323906</v>
      </c>
      <c r="T234" s="815">
        <f ca="1">IF(O234=YEAR($B$5),($B$9/12),IF(O234&gt;MIN(YEAR($B$7),YEAR($B$5)),($B$9/12)*(1+HLOOKUP(O234,'Datos SS'!$B$31:$CZZ$32,2,0))^(O234-YEAR($B$5)),T222/(1+HLOOKUP(O234,'Datos SS'!$B$31:$CZZ$32,2,0))))</f>
        <v>18791.666666666664</v>
      </c>
      <c r="U234" s="7">
        <f ca="1">IF(O234=2018,IF(Q234&lt;8,HLOOKUP(O234,'Datos SS'!$B$25:$BZZ$27,3,0)/12,HLOOKUP(O234,'Datos SS'!$B$25:$BZZ$26,2,0)/12),HLOOKUP(O234,'Datos SS'!$B$25:$BZZ$26,2,0)/12)</f>
        <v>4457.6810531249985</v>
      </c>
      <c r="V234" s="165">
        <f t="shared" ca="1" si="31"/>
        <v>4457.6810531249985</v>
      </c>
      <c r="W234" s="7">
        <f t="shared" ca="1" si="29"/>
        <v>6796.8605334938984</v>
      </c>
      <c r="X234" s="149">
        <f ca="1">HLOOKUP(O234,'Datos SS'!$K$37:$EP$38,2,0)</f>
        <v>1159.0035351562497</v>
      </c>
      <c r="Y234">
        <f t="shared" ca="1" si="35"/>
        <v>1505</v>
      </c>
      <c r="AC234" s="648">
        <v>2003.7453376721555</v>
      </c>
      <c r="AD234" s="650">
        <f t="shared" ca="1" si="32"/>
        <v>-4793.1151958217433</v>
      </c>
    </row>
    <row r="235" spans="12:30">
      <c r="L235" s="4">
        <v>231</v>
      </c>
      <c r="M235" s="4">
        <f t="shared" ca="1" si="30"/>
        <v>0</v>
      </c>
      <c r="O235" s="4">
        <f t="shared" ca="1" si="33"/>
        <v>2025</v>
      </c>
      <c r="P235" s="4">
        <v>231</v>
      </c>
      <c r="Q235" s="4">
        <f t="shared" ca="1" si="34"/>
        <v>4</v>
      </c>
      <c r="S235" s="125">
        <f ca="1">HLOOKUP(O235,'Datos SS'!$B$4:$CZZ$16,(Q235+1),0)</f>
        <v>124.44879178817567</v>
      </c>
      <c r="T235" s="815">
        <f ca="1">IF(O235=YEAR($B$5),($B$9/12),IF(O235&gt;MIN(YEAR($B$7),YEAR($B$5)),($B$9/12)*(1+HLOOKUP(O235,'Datos SS'!$B$31:$CZZ$32,2,0))^(O235-YEAR($B$5)),T223/(1+HLOOKUP(O235,'Datos SS'!$B$31:$CZZ$32,2,0))))</f>
        <v>18791.666666666664</v>
      </c>
      <c r="U235" s="7">
        <f ca="1">IF(O235=2018,IF(Q235&lt;8,HLOOKUP(O235,'Datos SS'!$B$25:$BZZ$27,3,0)/12,HLOOKUP(O235,'Datos SS'!$B$25:$BZZ$26,2,0)/12),HLOOKUP(O235,'Datos SS'!$B$25:$BZZ$26,2,0)/12)</f>
        <v>4457.6810531249985</v>
      </c>
      <c r="V235" s="165">
        <f t="shared" ca="1" si="31"/>
        <v>4457.6810531249985</v>
      </c>
      <c r="W235" s="7">
        <f t="shared" ca="1" si="29"/>
        <v>6810.8609533418512</v>
      </c>
      <c r="X235" s="149">
        <f ca="1">HLOOKUP(O235,'Datos SS'!$K$37:$EP$38,2,0)</f>
        <v>1159.0035351562497</v>
      </c>
      <c r="Y235">
        <f t="shared" ca="1" si="35"/>
        <v>1504</v>
      </c>
      <c r="AC235" s="648">
        <v>2005.4075208011982</v>
      </c>
      <c r="AD235" s="650">
        <f t="shared" ca="1" si="32"/>
        <v>-4805.453432540653</v>
      </c>
    </row>
    <row r="236" spans="12:30">
      <c r="L236" s="4">
        <v>232</v>
      </c>
      <c r="M236" s="4">
        <f t="shared" ca="1" si="30"/>
        <v>0</v>
      </c>
      <c r="O236" s="4">
        <f t="shared" ca="1" si="33"/>
        <v>2025</v>
      </c>
      <c r="P236" s="4">
        <v>232</v>
      </c>
      <c r="Q236" s="4">
        <f t="shared" ca="1" si="34"/>
        <v>3</v>
      </c>
      <c r="S236" s="125">
        <f ca="1">HLOOKUP(O236,'Datos SS'!$B$4:$CZZ$16,(Q236+1),0)</f>
        <v>124.19297459464596</v>
      </c>
      <c r="T236" s="815">
        <f ca="1">IF(O236=YEAR($B$5),($B$9/12),IF(O236&gt;MIN(YEAR($B$7),YEAR($B$5)),($B$9/12)*(1+HLOOKUP(O236,'Datos SS'!$B$31:$CZZ$32,2,0))^(O236-YEAR($B$5)),T224/(1+HLOOKUP(O236,'Datos SS'!$B$31:$CZZ$32,2,0))))</f>
        <v>18791.666666666664</v>
      </c>
      <c r="U236" s="7">
        <f ca="1">IF(O236=2018,IF(Q236&lt;8,HLOOKUP(O236,'Datos SS'!$B$25:$BZZ$27,3,0)/12,HLOOKUP(O236,'Datos SS'!$B$25:$BZZ$26,2,0)/12),HLOOKUP(O236,'Datos SS'!$B$25:$BZZ$26,2,0)/12)</f>
        <v>4457.6810531249985</v>
      </c>
      <c r="V236" s="165">
        <f t="shared" ca="1" si="31"/>
        <v>4457.6810531249985</v>
      </c>
      <c r="W236" s="7">
        <f t="shared" ca="1" si="29"/>
        <v>6824.8902117624002</v>
      </c>
      <c r="X236" s="149">
        <f ca="1">HLOOKUP(O236,'Datos SS'!$K$37:$EP$38,2,0)</f>
        <v>1159.0035351562497</v>
      </c>
      <c r="Y236">
        <f t="shared" ca="1" si="35"/>
        <v>1503</v>
      </c>
      <c r="AC236" s="648">
        <v>2007.0710827744992</v>
      </c>
      <c r="AD236" s="650">
        <f t="shared" ca="1" si="32"/>
        <v>-4817.8191289879014</v>
      </c>
    </row>
    <row r="237" spans="12:30">
      <c r="L237" s="4">
        <v>233</v>
      </c>
      <c r="M237" s="4">
        <f t="shared" ca="1" si="30"/>
        <v>0</v>
      </c>
      <c r="O237" s="4">
        <f t="shared" ca="1" si="33"/>
        <v>2025</v>
      </c>
      <c r="P237" s="4">
        <v>233</v>
      </c>
      <c r="Q237" s="4">
        <f t="shared" ca="1" si="34"/>
        <v>2</v>
      </c>
      <c r="S237" s="125">
        <f ca="1">HLOOKUP(O237,'Datos SS'!$B$4:$CZZ$16,(Q237+1),0)</f>
        <v>123.93768325946783</v>
      </c>
      <c r="T237" s="815">
        <f ca="1">IF(O237=YEAR($B$5),($B$9/12),IF(O237&gt;MIN(YEAR($B$7),YEAR($B$5)),($B$9/12)*(1+HLOOKUP(O237,'Datos SS'!$B$31:$CZZ$32,2,0))^(O237-YEAR($B$5)),T225/(1+HLOOKUP(O237,'Datos SS'!$B$31:$CZZ$32,2,0))))</f>
        <v>18791.666666666664</v>
      </c>
      <c r="U237" s="7">
        <f ca="1">IF(O237=2018,IF(Q237&lt;8,HLOOKUP(O237,'Datos SS'!$B$25:$BZZ$27,3,0)/12,HLOOKUP(O237,'Datos SS'!$B$25:$BZZ$26,2,0)/12),HLOOKUP(O237,'Datos SS'!$B$25:$BZZ$26,2,0)/12)</f>
        <v>4457.6810531249985</v>
      </c>
      <c r="V237" s="165">
        <f t="shared" ca="1" si="31"/>
        <v>4457.6810531249985</v>
      </c>
      <c r="W237" s="7">
        <f t="shared" ca="1" si="29"/>
        <v>6838.9483681582833</v>
      </c>
      <c r="X237" s="149">
        <f ca="1">HLOOKUP(O237,'Datos SS'!$K$37:$EP$38,2,0)</f>
        <v>1159.0035351562497</v>
      </c>
      <c r="Y237">
        <f t="shared" ca="1" si="35"/>
        <v>1502</v>
      </c>
      <c r="AC237" s="648">
        <v>2008.7360247358627</v>
      </c>
      <c r="AD237" s="650">
        <f t="shared" ca="1" si="32"/>
        <v>-4830.2123434224204</v>
      </c>
    </row>
    <row r="238" spans="12:30">
      <c r="L238" s="4">
        <v>234</v>
      </c>
      <c r="M238" s="4">
        <f t="shared" ca="1" si="30"/>
        <v>0</v>
      </c>
      <c r="O238" s="4">
        <f t="shared" ca="1" si="33"/>
        <v>2025</v>
      </c>
      <c r="P238" s="4">
        <v>234</v>
      </c>
      <c r="Q238" s="4">
        <f t="shared" ca="1" si="34"/>
        <v>1</v>
      </c>
      <c r="S238" s="125">
        <f ca="1">HLOOKUP(O238,'Datos SS'!$B$4:$CZZ$16,(Q238+1),0)</f>
        <v>123.68291670168576</v>
      </c>
      <c r="T238" s="815">
        <f ca="1">IF(O238=YEAR($B$5),($B$9/12),IF(O238&gt;MIN(YEAR($B$7),YEAR($B$5)),($B$9/12)*(1+HLOOKUP(O238,'Datos SS'!$B$31:$CZZ$32,2,0))^(O238-YEAR($B$5)),T226/(1+HLOOKUP(O238,'Datos SS'!$B$31:$CZZ$32,2,0))))</f>
        <v>18791.666666666664</v>
      </c>
      <c r="U238" s="7">
        <f ca="1">IF(O238=2018,IF(Q238&lt;8,HLOOKUP(O238,'Datos SS'!$B$25:$BZZ$27,3,0)/12,HLOOKUP(O238,'Datos SS'!$B$25:$BZZ$26,2,0)/12),HLOOKUP(O238,'Datos SS'!$B$25:$BZZ$26,2,0)/12)</f>
        <v>4457.6810531249985</v>
      </c>
      <c r="V238" s="165">
        <f t="shared" ca="1" si="31"/>
        <v>4457.6810531249985</v>
      </c>
      <c r="W238" s="7">
        <f t="shared" ca="1" si="29"/>
        <v>6853.0354820545972</v>
      </c>
      <c r="X238" s="149">
        <f ca="1">HLOOKUP(O238,'Datos SS'!$K$37:$EP$38,2,0)</f>
        <v>1159.0035351562497</v>
      </c>
      <c r="Y238">
        <f t="shared" ca="1" si="35"/>
        <v>1501</v>
      </c>
      <c r="AC238" s="648">
        <v>2010.4023478300412</v>
      </c>
      <c r="AD238" s="650">
        <f t="shared" ca="1" si="32"/>
        <v>-4842.6331342245558</v>
      </c>
    </row>
    <row r="239" spans="12:30">
      <c r="L239" s="4">
        <v>235</v>
      </c>
      <c r="M239" s="4">
        <f t="shared" ca="1" si="30"/>
        <v>0</v>
      </c>
      <c r="O239" s="4">
        <f t="shared" ca="1" si="33"/>
        <v>2024</v>
      </c>
      <c r="P239" s="4">
        <v>235</v>
      </c>
      <c r="Q239" s="4">
        <f t="shared" ca="1" si="34"/>
        <v>12</v>
      </c>
      <c r="S239" s="125">
        <f ca="1">HLOOKUP(O239,'Datos SS'!$B$4:$CZZ$16,(Q239+1),0)</f>
        <v>123.42867384256624</v>
      </c>
      <c r="T239" s="815">
        <f ca="1">IF(O239=YEAR($B$5),($B$9/12),IF(O239&gt;MIN(YEAR($B$7),YEAR($B$5)),($B$9/12)*(1+HLOOKUP(O239,'Datos SS'!$B$31:$CZZ$32,2,0))^(O239-YEAR($B$5)),T227/(1+HLOOKUP(O239,'Datos SS'!$B$31:$CZZ$32,2,0))))</f>
        <v>18333.333333333332</v>
      </c>
      <c r="U239" s="7">
        <f ca="1">IF(O239=2018,IF(Q239&lt;8,HLOOKUP(O239,'Datos SS'!$B$25:$BZZ$27,3,0)/12,HLOOKUP(O239,'Datos SS'!$B$25:$BZZ$26,2,0)/12),HLOOKUP(O239,'Datos SS'!$B$25:$BZZ$26,2,0)/12)</f>
        <v>4348.9571249999981</v>
      </c>
      <c r="V239" s="165">
        <f t="shared" ca="1" si="31"/>
        <v>4348.9571249999981</v>
      </c>
      <c r="W239" s="7">
        <f t="shared" ca="1" si="29"/>
        <v>6699.6601103405392</v>
      </c>
      <c r="X239" s="149">
        <f ca="1">HLOOKUP(O239,'Datos SS'!$K$37:$EP$38,2,0)</f>
        <v>1130.7351562499998</v>
      </c>
      <c r="Y239">
        <f t="shared" ca="1" si="35"/>
        <v>1500</v>
      </c>
      <c r="AC239" s="648">
        <v>2012.0700532027372</v>
      </c>
      <c r="AD239" s="650">
        <f t="shared" ca="1" si="32"/>
        <v>-4687.5900571378024</v>
      </c>
    </row>
    <row r="240" spans="12:30">
      <c r="L240" s="4">
        <v>236</v>
      </c>
      <c r="M240" s="4">
        <f t="shared" ca="1" si="30"/>
        <v>0</v>
      </c>
      <c r="O240" s="4">
        <f t="shared" ca="1" si="33"/>
        <v>2024</v>
      </c>
      <c r="P240" s="4">
        <v>236</v>
      </c>
      <c r="Q240" s="4">
        <f t="shared" ca="1" si="34"/>
        <v>11</v>
      </c>
      <c r="S240" s="125">
        <f ca="1">HLOOKUP(O240,'Datos SS'!$B$4:$CZZ$16,(Q240+1),0)</f>
        <v>123.17495360559325</v>
      </c>
      <c r="T240" s="815">
        <f ca="1">IF(O240=YEAR($B$5),($B$9/12),IF(O240&gt;MIN(YEAR($B$7),YEAR($B$5)),($B$9/12)*(1+HLOOKUP(O240,'Datos SS'!$B$31:$CZZ$32,2,0))^(O240-YEAR($B$5)),T228/(1+HLOOKUP(O240,'Datos SS'!$B$31:$CZZ$32,2,0))))</f>
        <v>18333.333333333332</v>
      </c>
      <c r="U240" s="7">
        <f ca="1">IF(O240=2018,IF(Q240&lt;8,HLOOKUP(O240,'Datos SS'!$B$25:$BZZ$27,3,0)/12,HLOOKUP(O240,'Datos SS'!$B$25:$BZZ$26,2,0)/12),HLOOKUP(O240,'Datos SS'!$B$25:$BZZ$26,2,0)/12)</f>
        <v>4348.9571249999981</v>
      </c>
      <c r="V240" s="165">
        <f t="shared" ca="1" si="31"/>
        <v>4348.9571249999981</v>
      </c>
      <c r="W240" s="7">
        <f t="shared" ca="1" si="29"/>
        <v>6713.4603132314369</v>
      </c>
      <c r="X240" s="149">
        <f ca="1">HLOOKUP(O240,'Datos SS'!$K$37:$EP$38,2,0)</f>
        <v>1130.7351562499998</v>
      </c>
      <c r="Y240">
        <f t="shared" ca="1" si="35"/>
        <v>1499</v>
      </c>
      <c r="AC240" s="648">
        <v>2013.7391420006036</v>
      </c>
      <c r="AD240" s="650">
        <f t="shared" ca="1" si="32"/>
        <v>-4699.7211712308335</v>
      </c>
    </row>
    <row r="241" spans="12:30">
      <c r="L241" s="4">
        <v>237</v>
      </c>
      <c r="M241" s="4">
        <f t="shared" ca="1" si="30"/>
        <v>0</v>
      </c>
      <c r="O241" s="4">
        <f t="shared" ca="1" si="33"/>
        <v>2024</v>
      </c>
      <c r="P241" s="4">
        <v>237</v>
      </c>
      <c r="Q241" s="4">
        <f t="shared" ca="1" si="34"/>
        <v>10</v>
      </c>
      <c r="S241" s="125">
        <f ca="1">HLOOKUP(O241,'Datos SS'!$B$4:$CZZ$16,(Q241+1),0)</f>
        <v>122.9217549164636</v>
      </c>
      <c r="T241" s="815">
        <f ca="1">IF(O241=YEAR($B$5),($B$9/12),IF(O241&gt;MIN(YEAR($B$7),YEAR($B$5)),($B$9/12)*(1+HLOOKUP(O241,'Datos SS'!$B$31:$CZZ$32,2,0))^(O241-YEAR($B$5)),T229/(1+HLOOKUP(O241,'Datos SS'!$B$31:$CZZ$32,2,0))))</f>
        <v>18333.333333333332</v>
      </c>
      <c r="U241" s="7">
        <f ca="1">IF(O241=2018,IF(Q241&lt;8,HLOOKUP(O241,'Datos SS'!$B$25:$BZZ$27,3,0)/12,HLOOKUP(O241,'Datos SS'!$B$25:$BZZ$26,2,0)/12),HLOOKUP(O241,'Datos SS'!$B$25:$BZZ$26,2,0)/12)</f>
        <v>4348.9571249999981</v>
      </c>
      <c r="V241" s="165">
        <f t="shared" ca="1" si="31"/>
        <v>4348.9571249999981</v>
      </c>
      <c r="W241" s="7">
        <f t="shared" ca="1" si="29"/>
        <v>6727.2889422807802</v>
      </c>
      <c r="X241" s="149">
        <f ca="1">HLOOKUP(O241,'Datos SS'!$K$37:$EP$38,2,0)</f>
        <v>1130.7351562499998</v>
      </c>
      <c r="Y241">
        <f t="shared" ca="1" si="35"/>
        <v>1498</v>
      </c>
      <c r="AC241" s="648">
        <v>2015.4096153712437</v>
      </c>
      <c r="AD241" s="650">
        <f t="shared" ca="1" si="32"/>
        <v>-4711.8793269095368</v>
      </c>
    </row>
    <row r="242" spans="12:30">
      <c r="L242" s="4">
        <v>238</v>
      </c>
      <c r="M242" s="4">
        <f t="shared" ca="1" si="30"/>
        <v>0</v>
      </c>
      <c r="O242" s="4">
        <f t="shared" ca="1" si="33"/>
        <v>2024</v>
      </c>
      <c r="P242" s="4">
        <v>238</v>
      </c>
      <c r="Q242" s="4">
        <f t="shared" ca="1" si="34"/>
        <v>9</v>
      </c>
      <c r="S242" s="125">
        <f ca="1">HLOOKUP(O242,'Datos SS'!$B$4:$CZZ$16,(Q242+1),0)</f>
        <v>122.66907670308247</v>
      </c>
      <c r="T242" s="815">
        <f ca="1">IF(O242=YEAR($B$5),($B$9/12),IF(O242&gt;MIN(YEAR($B$7),YEAR($B$5)),($B$9/12)*(1+HLOOKUP(O242,'Datos SS'!$B$31:$CZZ$32,2,0))^(O242-YEAR($B$5)),T230/(1+HLOOKUP(O242,'Datos SS'!$B$31:$CZZ$32,2,0))))</f>
        <v>18333.333333333332</v>
      </c>
      <c r="U242" s="7">
        <f ca="1">IF(O242=2018,IF(Q242&lt;8,HLOOKUP(O242,'Datos SS'!$B$25:$BZZ$27,3,0)/12,HLOOKUP(O242,'Datos SS'!$B$25:$BZZ$26,2,0)/12),HLOOKUP(O242,'Datos SS'!$B$25:$BZZ$26,2,0)/12)</f>
        <v>4348.9571249999981</v>
      </c>
      <c r="V242" s="165">
        <f t="shared" ca="1" si="31"/>
        <v>4348.9571249999981</v>
      </c>
      <c r="W242" s="7">
        <f t="shared" ca="1" si="29"/>
        <v>6741.1460560418027</v>
      </c>
      <c r="X242" s="149">
        <f ca="1">HLOOKUP(O242,'Datos SS'!$K$37:$EP$38,2,0)</f>
        <v>1130.7351562499998</v>
      </c>
      <c r="Y242">
        <f t="shared" ca="1" si="35"/>
        <v>1497</v>
      </c>
      <c r="AC242" s="648">
        <v>1987.2723886337087</v>
      </c>
      <c r="AD242" s="650">
        <f t="shared" ca="1" si="32"/>
        <v>-4753.8736674080938</v>
      </c>
    </row>
    <row r="243" spans="12:30">
      <c r="L243" s="4">
        <v>239</v>
      </c>
      <c r="M243" s="4">
        <f t="shared" ca="1" si="30"/>
        <v>0</v>
      </c>
      <c r="O243" s="4">
        <f t="shared" ca="1" si="33"/>
        <v>2024</v>
      </c>
      <c r="P243" s="4">
        <v>239</v>
      </c>
      <c r="Q243" s="4">
        <f t="shared" ca="1" si="34"/>
        <v>8</v>
      </c>
      <c r="S243" s="125">
        <f ca="1">HLOOKUP(O243,'Datos SS'!$B$4:$CZZ$16,(Q243+1),0)</f>
        <v>122.41691789555884</v>
      </c>
      <c r="T243" s="815">
        <f ca="1">IF(O243=YEAR($B$5),($B$9/12),IF(O243&gt;MIN(YEAR($B$7),YEAR($B$5)),($B$9/12)*(1+HLOOKUP(O243,'Datos SS'!$B$31:$CZZ$32,2,0))^(O243-YEAR($B$5)),T231/(1+HLOOKUP(O243,'Datos SS'!$B$31:$CZZ$32,2,0))))</f>
        <v>18333.333333333332</v>
      </c>
      <c r="U243" s="7">
        <f ca="1">IF(O243=2018,IF(Q243&lt;8,HLOOKUP(O243,'Datos SS'!$B$25:$BZZ$27,3,0)/12,HLOOKUP(O243,'Datos SS'!$B$25:$BZZ$26,2,0)/12),HLOOKUP(O243,'Datos SS'!$B$25:$BZZ$26,2,0)/12)</f>
        <v>4348.9571249999981</v>
      </c>
      <c r="V243" s="165">
        <f t="shared" ca="1" si="31"/>
        <v>4348.9571249999981</v>
      </c>
      <c r="W243" s="7">
        <f t="shared" ca="1" si="29"/>
        <v>6755.0317131883448</v>
      </c>
      <c r="X243" s="149">
        <f ca="1">HLOOKUP(O243,'Datos SS'!$K$37:$EP$38,2,0)</f>
        <v>1130.7351562499998</v>
      </c>
      <c r="Y243">
        <f t="shared" ca="1" si="35"/>
        <v>1496</v>
      </c>
      <c r="AC243" s="648">
        <v>1988.920906823668</v>
      </c>
      <c r="AD243" s="650">
        <f t="shared" ca="1" si="32"/>
        <v>-4766.110806364677</v>
      </c>
    </row>
    <row r="244" spans="12:30">
      <c r="L244" s="4">
        <v>240</v>
      </c>
      <c r="M244" s="4">
        <f t="shared" ca="1" si="30"/>
        <v>0</v>
      </c>
      <c r="O244" s="4">
        <f t="shared" ca="1" si="33"/>
        <v>2024</v>
      </c>
      <c r="P244" s="4">
        <v>240</v>
      </c>
      <c r="Q244" s="4">
        <f t="shared" ca="1" si="34"/>
        <v>7</v>
      </c>
      <c r="S244" s="125">
        <f ca="1">HLOOKUP(O244,'Datos SS'!$B$4:$CZZ$16,(Q244+1),0)</f>
        <v>122.16527742620094</v>
      </c>
      <c r="T244" s="815">
        <f ca="1">IF(O244=YEAR($B$5),($B$9/12),IF(O244&gt;MIN(YEAR($B$7),YEAR($B$5)),($B$9/12)*(1+HLOOKUP(O244,'Datos SS'!$B$31:$CZZ$32,2,0))^(O244-YEAR($B$5)),T232/(1+HLOOKUP(O244,'Datos SS'!$B$31:$CZZ$32,2,0))))</f>
        <v>18333.333333333332</v>
      </c>
      <c r="U244" s="7">
        <f ca="1">IF(O244=2018,IF(Q244&lt;8,HLOOKUP(O244,'Datos SS'!$B$25:$BZZ$27,3,0)/12,HLOOKUP(O244,'Datos SS'!$B$25:$BZZ$26,2,0)/12),HLOOKUP(O244,'Datos SS'!$B$25:$BZZ$26,2,0)/12)</f>
        <v>4348.9571249999981</v>
      </c>
      <c r="V244" s="165">
        <f t="shared" ca="1" si="31"/>
        <v>4348.9571249999981</v>
      </c>
      <c r="W244" s="7">
        <f t="shared" ca="1" si="29"/>
        <v>6768.9459725151082</v>
      </c>
      <c r="X244" s="149">
        <f ca="1">HLOOKUP(O244,'Datos SS'!$K$37:$EP$38,2,0)</f>
        <v>1130.7351562499998</v>
      </c>
      <c r="Y244">
        <f t="shared" ca="1" si="35"/>
        <v>1495</v>
      </c>
      <c r="AC244" s="648">
        <v>1990.5707925222982</v>
      </c>
      <c r="AD244" s="650">
        <f t="shared" ca="1" si="32"/>
        <v>-4778.3751799928104</v>
      </c>
    </row>
    <row r="245" spans="12:30">
      <c r="L245" s="4">
        <v>241</v>
      </c>
      <c r="M245" s="4">
        <f t="shared" ca="1" si="30"/>
        <v>0</v>
      </c>
      <c r="O245" s="4">
        <f t="shared" ca="1" si="33"/>
        <v>2024</v>
      </c>
      <c r="P245" s="4">
        <v>241</v>
      </c>
      <c r="Q245" s="4">
        <f t="shared" ca="1" si="34"/>
        <v>6</v>
      </c>
      <c r="S245" s="125">
        <f ca="1">HLOOKUP(O245,'Datos SS'!$B$4:$CZZ$16,(Q245+1),0)</f>
        <v>121.91415422951179</v>
      </c>
      <c r="T245" s="815">
        <f ca="1">IF(O245=YEAR($B$5),($B$9/12),IF(O245&gt;MIN(YEAR($B$7),YEAR($B$5)),($B$9/12)*(1+HLOOKUP(O245,'Datos SS'!$B$31:$CZZ$32,2,0))^(O245-YEAR($B$5)),T233/(1+HLOOKUP(O245,'Datos SS'!$B$31:$CZZ$32,2,0))))</f>
        <v>18333.333333333332</v>
      </c>
      <c r="U245" s="7">
        <f ca="1">IF(O245=2018,IF(Q245&lt;8,HLOOKUP(O245,'Datos SS'!$B$25:$BZZ$27,3,0)/12,HLOOKUP(O245,'Datos SS'!$B$25:$BZZ$26,2,0)/12),HLOOKUP(O245,'Datos SS'!$B$25:$BZZ$26,2,0)/12)</f>
        <v>4348.9571249999981</v>
      </c>
      <c r="V245" s="165">
        <f t="shared" ca="1" si="31"/>
        <v>4348.9571249999981</v>
      </c>
      <c r="W245" s="7">
        <f t="shared" ca="1" si="29"/>
        <v>6782.8888929379009</v>
      </c>
      <c r="X245" s="149">
        <f ca="1">HLOOKUP(O245,'Datos SS'!$K$37:$EP$38,2,0)</f>
        <v>1130.7351562499998</v>
      </c>
      <c r="Y245">
        <f t="shared" ca="1" si="35"/>
        <v>1494</v>
      </c>
      <c r="AC245" s="648">
        <v>1992.2220468639998</v>
      </c>
      <c r="AD245" s="650">
        <f t="shared" ca="1" si="32"/>
        <v>-4790.6668460739011</v>
      </c>
    </row>
    <row r="246" spans="12:30">
      <c r="L246" s="4">
        <v>242</v>
      </c>
      <c r="M246" s="4">
        <f t="shared" ca="1" si="30"/>
        <v>0</v>
      </c>
      <c r="O246" s="4">
        <f t="shared" ca="1" si="33"/>
        <v>2024</v>
      </c>
      <c r="P246" s="4">
        <v>242</v>
      </c>
      <c r="Q246" s="4">
        <f t="shared" ca="1" si="34"/>
        <v>5</v>
      </c>
      <c r="S246" s="125">
        <f ca="1">HLOOKUP(O246,'Datos SS'!$B$4:$CZZ$16,(Q246+1),0)</f>
        <v>121.66354724218462</v>
      </c>
      <c r="T246" s="815">
        <f ca="1">IF(O246=YEAR($B$5),($B$9/12),IF(O246&gt;MIN(YEAR($B$7),YEAR($B$5)),($B$9/12)*(1+HLOOKUP(O246,'Datos SS'!$B$31:$CZZ$32,2,0))^(O246-YEAR($B$5)),T234/(1+HLOOKUP(O246,'Datos SS'!$B$31:$CZZ$32,2,0))))</f>
        <v>18333.333333333332</v>
      </c>
      <c r="U246" s="7">
        <f ca="1">IF(O246=2018,IF(Q246&lt;8,HLOOKUP(O246,'Datos SS'!$B$25:$BZZ$27,3,0)/12,HLOOKUP(O246,'Datos SS'!$B$25:$BZZ$26,2,0)/12),HLOOKUP(O246,'Datos SS'!$B$25:$BZZ$26,2,0)/12)</f>
        <v>4348.9571249999981</v>
      </c>
      <c r="V246" s="165">
        <f t="shared" ca="1" si="31"/>
        <v>4348.9571249999981</v>
      </c>
      <c r="W246" s="7">
        <f t="shared" ca="1" si="29"/>
        <v>6796.8605334938875</v>
      </c>
      <c r="X246" s="149">
        <f ca="1">HLOOKUP(O246,'Datos SS'!$K$37:$EP$38,2,0)</f>
        <v>1130.7351562499998</v>
      </c>
      <c r="Y246">
        <f t="shared" ca="1" si="35"/>
        <v>1493</v>
      </c>
      <c r="AC246" s="648">
        <v>1993.8746709841139</v>
      </c>
      <c r="AD246" s="650">
        <f t="shared" ca="1" si="32"/>
        <v>-4802.9858625097731</v>
      </c>
    </row>
    <row r="247" spans="12:30">
      <c r="L247" s="4">
        <v>243</v>
      </c>
      <c r="M247" s="4">
        <f t="shared" ca="1" si="30"/>
        <v>0</v>
      </c>
      <c r="O247" s="4">
        <f t="shared" ca="1" si="33"/>
        <v>2024</v>
      </c>
      <c r="P247" s="4">
        <v>243</v>
      </c>
      <c r="Q247" s="4">
        <f t="shared" ca="1" si="34"/>
        <v>4</v>
      </c>
      <c r="S247" s="125">
        <f ca="1">HLOOKUP(O247,'Datos SS'!$B$4:$CZZ$16,(Q247+1),0)</f>
        <v>121.41345540309838</v>
      </c>
      <c r="T247" s="815">
        <f ca="1">IF(O247=YEAR($B$5),($B$9/12),IF(O247&gt;MIN(YEAR($B$7),YEAR($B$5)),($B$9/12)*(1+HLOOKUP(O247,'Datos SS'!$B$31:$CZZ$32,2,0))^(O247-YEAR($B$5)),T235/(1+HLOOKUP(O247,'Datos SS'!$B$31:$CZZ$32,2,0))))</f>
        <v>18333.333333333332</v>
      </c>
      <c r="U247" s="7">
        <f ca="1">IF(O247=2018,IF(Q247&lt;8,HLOOKUP(O247,'Datos SS'!$B$25:$BZZ$27,3,0)/12,HLOOKUP(O247,'Datos SS'!$B$25:$BZZ$26,2,0)/12),HLOOKUP(O247,'Datos SS'!$B$25:$BZZ$26,2,0)/12)</f>
        <v>4348.9571249999981</v>
      </c>
      <c r="V247" s="165">
        <f t="shared" ca="1" si="31"/>
        <v>4348.9571249999981</v>
      </c>
      <c r="W247" s="7">
        <f t="shared" ca="1" si="29"/>
        <v>6810.8609533418412</v>
      </c>
      <c r="X247" s="149">
        <f ca="1">HLOOKUP(O247,'Datos SS'!$K$37:$EP$38,2,0)</f>
        <v>1130.7351562499998</v>
      </c>
      <c r="Y247">
        <f t="shared" ca="1" si="35"/>
        <v>1492</v>
      </c>
      <c r="AC247" s="648">
        <v>1995.5286660189247</v>
      </c>
      <c r="AD247" s="650">
        <f t="shared" ca="1" si="32"/>
        <v>-4815.3322873229163</v>
      </c>
    </row>
    <row r="248" spans="12:30">
      <c r="L248" s="4">
        <v>244</v>
      </c>
      <c r="M248" s="4">
        <f t="shared" ca="1" si="30"/>
        <v>0</v>
      </c>
      <c r="O248" s="4">
        <f t="shared" ca="1" si="33"/>
        <v>2024</v>
      </c>
      <c r="P248" s="4">
        <v>244</v>
      </c>
      <c r="Q248" s="4">
        <f t="shared" ca="1" si="34"/>
        <v>3</v>
      </c>
      <c r="S248" s="125">
        <f ca="1">HLOOKUP(O248,'Datos SS'!$B$4:$CZZ$16,(Q248+1),0)</f>
        <v>121.16387765331329</v>
      </c>
      <c r="T248" s="815">
        <f ca="1">IF(O248=YEAR($B$5),($B$9/12),IF(O248&gt;MIN(YEAR($B$7),YEAR($B$5)),($B$9/12)*(1+HLOOKUP(O248,'Datos SS'!$B$31:$CZZ$32,2,0))^(O248-YEAR($B$5)),T236/(1+HLOOKUP(O248,'Datos SS'!$B$31:$CZZ$32,2,0))))</f>
        <v>18333.333333333332</v>
      </c>
      <c r="U248" s="7">
        <f ca="1">IF(O248=2018,IF(Q248&lt;8,HLOOKUP(O248,'Datos SS'!$B$25:$BZZ$27,3,0)/12,HLOOKUP(O248,'Datos SS'!$B$25:$BZZ$26,2,0)/12),HLOOKUP(O248,'Datos SS'!$B$25:$BZZ$26,2,0)/12)</f>
        <v>4348.9571249999981</v>
      </c>
      <c r="V248" s="165">
        <f t="shared" ca="1" si="31"/>
        <v>4348.9571249999981</v>
      </c>
      <c r="W248" s="7">
        <f t="shared" ca="1" si="29"/>
        <v>6824.8902117623902</v>
      </c>
      <c r="X248" s="149">
        <f ca="1">HLOOKUP(O248,'Datos SS'!$K$37:$EP$38,2,0)</f>
        <v>1130.7351562499998</v>
      </c>
      <c r="Y248">
        <f t="shared" ca="1" si="35"/>
        <v>1491</v>
      </c>
      <c r="AC248" s="648">
        <v>1997.1840331056576</v>
      </c>
      <c r="AD248" s="650">
        <f t="shared" ca="1" si="32"/>
        <v>-4827.7061786567328</v>
      </c>
    </row>
    <row r="249" spans="12:30">
      <c r="L249" s="4">
        <v>245</v>
      </c>
      <c r="M249" s="4">
        <f t="shared" ca="1" si="30"/>
        <v>0</v>
      </c>
      <c r="O249" s="4">
        <f t="shared" ca="1" si="33"/>
        <v>2024</v>
      </c>
      <c r="P249" s="4">
        <v>245</v>
      </c>
      <c r="Q249" s="4">
        <f t="shared" ca="1" si="34"/>
        <v>2</v>
      </c>
      <c r="S249" s="125">
        <f ca="1">HLOOKUP(O249,'Datos SS'!$B$4:$CZZ$16,(Q249+1),0)</f>
        <v>120.91481293606633</v>
      </c>
      <c r="T249" s="815">
        <f ca="1">IF(O249=YEAR($B$5),($B$9/12),IF(O249&gt;MIN(YEAR($B$7),YEAR($B$5)),($B$9/12)*(1+HLOOKUP(O249,'Datos SS'!$B$31:$CZZ$32,2,0))^(O249-YEAR($B$5)),T237/(1+HLOOKUP(O249,'Datos SS'!$B$31:$CZZ$32,2,0))))</f>
        <v>18333.333333333332</v>
      </c>
      <c r="U249" s="7">
        <f ca="1">IF(O249=2018,IF(Q249&lt;8,HLOOKUP(O249,'Datos SS'!$B$25:$BZZ$27,3,0)/12,HLOOKUP(O249,'Datos SS'!$B$25:$BZZ$26,2,0)/12),HLOOKUP(O249,'Datos SS'!$B$25:$BZZ$26,2,0)/12)</f>
        <v>4348.9571249999981</v>
      </c>
      <c r="V249" s="165">
        <f t="shared" ca="1" si="31"/>
        <v>4348.9571249999981</v>
      </c>
      <c r="W249" s="7">
        <f t="shared" ca="1" si="29"/>
        <v>6838.9483681582733</v>
      </c>
      <c r="X249" s="149">
        <f ca="1">HLOOKUP(O249,'Datos SS'!$K$37:$EP$38,2,0)</f>
        <v>1130.7351562499998</v>
      </c>
      <c r="Y249">
        <f t="shared" ca="1" si="35"/>
        <v>1490</v>
      </c>
      <c r="AC249" s="648">
        <v>1998.8407733824824</v>
      </c>
      <c r="AD249" s="650">
        <f t="shared" ca="1" si="32"/>
        <v>-4840.1075947757909</v>
      </c>
    </row>
    <row r="250" spans="12:30">
      <c r="L250" s="4">
        <v>246</v>
      </c>
      <c r="M250" s="4">
        <f t="shared" ca="1" si="30"/>
        <v>0</v>
      </c>
      <c r="O250" s="4">
        <f t="shared" ca="1" si="33"/>
        <v>2024</v>
      </c>
      <c r="P250" s="4">
        <v>246</v>
      </c>
      <c r="Q250" s="4">
        <f t="shared" ca="1" si="34"/>
        <v>1</v>
      </c>
      <c r="S250" s="125">
        <f ca="1">HLOOKUP(O250,'Datos SS'!$B$4:$CZZ$16,(Q250+1),0)</f>
        <v>120.66626019676674</v>
      </c>
      <c r="T250" s="815">
        <f ca="1">IF(O250=YEAR($B$5),($B$9/12),IF(O250&gt;MIN(YEAR($B$7),YEAR($B$5)),($B$9/12)*(1+HLOOKUP(O250,'Datos SS'!$B$31:$CZZ$32,2,0))^(O250-YEAR($B$5)),T238/(1+HLOOKUP(O250,'Datos SS'!$B$31:$CZZ$32,2,0))))</f>
        <v>18333.333333333332</v>
      </c>
      <c r="U250" s="7">
        <f ca="1">IF(O250=2018,IF(Q250&lt;8,HLOOKUP(O250,'Datos SS'!$B$25:$BZZ$27,3,0)/12,HLOOKUP(O250,'Datos SS'!$B$25:$BZZ$26,2,0)/12),HLOOKUP(O250,'Datos SS'!$B$25:$BZZ$26,2,0)/12)</f>
        <v>4348.9571249999981</v>
      </c>
      <c r="V250" s="165">
        <f t="shared" ca="1" si="31"/>
        <v>4348.9571249999981</v>
      </c>
      <c r="W250" s="7">
        <f t="shared" ca="1" si="29"/>
        <v>6853.0354820545881</v>
      </c>
      <c r="X250" s="149">
        <f ca="1">HLOOKUP(O250,'Datos SS'!$K$37:$EP$38,2,0)</f>
        <v>1130.7351562499998</v>
      </c>
      <c r="Y250">
        <f t="shared" ca="1" si="35"/>
        <v>1489</v>
      </c>
      <c r="AC250" s="648">
        <v>2000.4988879885125</v>
      </c>
      <c r="AD250" s="650">
        <f t="shared" ca="1" si="32"/>
        <v>-4852.5365940660758</v>
      </c>
    </row>
    <row r="251" spans="12:30">
      <c r="L251" s="4">
        <v>247</v>
      </c>
      <c r="M251" s="4">
        <f t="shared" ca="1" si="30"/>
        <v>0</v>
      </c>
      <c r="O251" s="4">
        <f t="shared" ca="1" si="33"/>
        <v>2023</v>
      </c>
      <c r="P251" s="4">
        <v>247</v>
      </c>
      <c r="Q251" s="4">
        <f t="shared" ca="1" si="34"/>
        <v>12</v>
      </c>
      <c r="S251" s="125">
        <f ca="1">HLOOKUP(O251,'Datos SS'!$B$4:$CZZ$16,(Q251+1),0)</f>
        <v>120.41821838299161</v>
      </c>
      <c r="T251" s="815">
        <f ca="1">IF(O251=YEAR($B$5),($B$9/12),IF(O251&gt;MIN(YEAR($B$7),YEAR($B$5)),($B$9/12)*(1+HLOOKUP(O251,'Datos SS'!$B$31:$CZZ$32,2,0))^(O251-YEAR($B$5)),T239/(1+HLOOKUP(O251,'Datos SS'!$B$31:$CZZ$32,2,0))))</f>
        <v>17886.178861788641</v>
      </c>
      <c r="U251" s="7">
        <f ca="1">IF(O251=2018,IF(Q251&lt;8,HLOOKUP(O251,'Datos SS'!$B$25:$BZZ$27,3,0)/12,HLOOKUP(O251,'Datos SS'!$B$25:$BZZ$26,2,0)/12),HLOOKUP(O251,'Datos SS'!$B$25:$BZZ$26,2,0)/12)</f>
        <v>4242.8849999999993</v>
      </c>
      <c r="V251" s="165">
        <f t="shared" ca="1" si="31"/>
        <v>4242.8849999999993</v>
      </c>
      <c r="W251" s="7">
        <f t="shared" ca="1" si="29"/>
        <v>6699.6601103405319</v>
      </c>
      <c r="X251" s="149">
        <f ca="1">HLOOKUP(O251,'Datos SS'!$K$37:$EP$38,2,0)</f>
        <v>1103.15625</v>
      </c>
      <c r="Y251">
        <f t="shared" ca="1" si="35"/>
        <v>1488</v>
      </c>
      <c r="AC251" s="648">
        <v>2002.1583780638059</v>
      </c>
      <c r="AD251" s="650">
        <f t="shared" ca="1" si="32"/>
        <v>-4697.5017322767262</v>
      </c>
    </row>
    <row r="252" spans="12:30">
      <c r="L252" s="4">
        <v>248</v>
      </c>
      <c r="M252" s="4">
        <f t="shared" ca="1" si="30"/>
        <v>0</v>
      </c>
      <c r="O252" s="4">
        <f t="shared" ca="1" si="33"/>
        <v>2023</v>
      </c>
      <c r="P252" s="4">
        <v>248</v>
      </c>
      <c r="Q252" s="4">
        <f t="shared" ca="1" si="34"/>
        <v>11</v>
      </c>
      <c r="S252" s="125">
        <f ca="1">HLOOKUP(O252,'Datos SS'!$B$4:$CZZ$16,(Q252+1),0)</f>
        <v>120.17068644448138</v>
      </c>
      <c r="T252" s="815">
        <f ca="1">IF(O252=YEAR($B$5),($B$9/12),IF(O252&gt;MIN(YEAR($B$7),YEAR($B$5)),($B$9/12)*(1+HLOOKUP(O252,'Datos SS'!$B$31:$CZZ$32,2,0))^(O252-YEAR($B$5)),T240/(1+HLOOKUP(O252,'Datos SS'!$B$31:$CZZ$32,2,0))))</f>
        <v>17886.178861788641</v>
      </c>
      <c r="U252" s="7">
        <f ca="1">IF(O252=2018,IF(Q252&lt;8,HLOOKUP(O252,'Datos SS'!$B$25:$BZZ$27,3,0)/12,HLOOKUP(O252,'Datos SS'!$B$25:$BZZ$26,2,0)/12),HLOOKUP(O252,'Datos SS'!$B$25:$BZZ$26,2,0)/12)</f>
        <v>4242.8849999999993</v>
      </c>
      <c r="V252" s="165">
        <f t="shared" ca="1" si="31"/>
        <v>4242.8849999999993</v>
      </c>
      <c r="W252" s="7">
        <f t="shared" ca="1" si="29"/>
        <v>6713.4603132314287</v>
      </c>
      <c r="X252" s="149">
        <f ca="1">HLOOKUP(O252,'Datos SS'!$K$37:$EP$38,2,0)</f>
        <v>1103.15625</v>
      </c>
      <c r="Y252">
        <f t="shared" ca="1" si="35"/>
        <v>1487</v>
      </c>
      <c r="AC252" s="648">
        <v>2003.8192447493673</v>
      </c>
      <c r="AD252" s="650">
        <f t="shared" ca="1" si="32"/>
        <v>-4709.6410684820612</v>
      </c>
    </row>
    <row r="253" spans="12:30">
      <c r="L253" s="4">
        <v>249</v>
      </c>
      <c r="M253" s="4">
        <f t="shared" ca="1" si="30"/>
        <v>0</v>
      </c>
      <c r="O253" s="4">
        <f t="shared" ca="1" si="33"/>
        <v>2023</v>
      </c>
      <c r="P253" s="4">
        <v>249</v>
      </c>
      <c r="Q253" s="4">
        <f t="shared" ca="1" si="34"/>
        <v>10</v>
      </c>
      <c r="S253" s="125">
        <f ca="1">HLOOKUP(O253,'Datos SS'!$B$4:$CZZ$16,(Q253+1),0)</f>
        <v>119.92366333313538</v>
      </c>
      <c r="T253" s="815">
        <f ca="1">IF(O253=YEAR($B$5),($B$9/12),IF(O253&gt;MIN(YEAR($B$7),YEAR($B$5)),($B$9/12)*(1+HLOOKUP(O253,'Datos SS'!$B$31:$CZZ$32,2,0))^(O253-YEAR($B$5)),T241/(1+HLOOKUP(O253,'Datos SS'!$B$31:$CZZ$32,2,0))))</f>
        <v>17886.178861788641</v>
      </c>
      <c r="U253" s="7">
        <f ca="1">IF(O253=2018,IF(Q253&lt;8,HLOOKUP(O253,'Datos SS'!$B$25:$BZZ$27,3,0)/12,HLOOKUP(O253,'Datos SS'!$B$25:$BZZ$26,2,0)/12),HLOOKUP(O253,'Datos SS'!$B$25:$BZZ$26,2,0)/12)</f>
        <v>4242.8849999999993</v>
      </c>
      <c r="V253" s="165">
        <f t="shared" ca="1" si="31"/>
        <v>4242.8849999999993</v>
      </c>
      <c r="W253" s="7">
        <f t="shared" ca="1" si="29"/>
        <v>6727.288942280773</v>
      </c>
      <c r="X253" s="149">
        <f ca="1">HLOOKUP(O253,'Datos SS'!$K$37:$EP$38,2,0)</f>
        <v>1103.15625</v>
      </c>
      <c r="Y253">
        <f t="shared" ca="1" si="35"/>
        <v>1486</v>
      </c>
      <c r="AC253" s="648">
        <v>2005.4814891871472</v>
      </c>
      <c r="AD253" s="650">
        <f t="shared" ca="1" si="32"/>
        <v>-4721.8074530936256</v>
      </c>
    </row>
    <row r="254" spans="12:30">
      <c r="L254" s="4">
        <v>250</v>
      </c>
      <c r="M254" s="4">
        <f t="shared" ca="1" si="30"/>
        <v>0</v>
      </c>
      <c r="O254" s="4">
        <f t="shared" ca="1" si="33"/>
        <v>2023</v>
      </c>
      <c r="P254" s="4">
        <v>250</v>
      </c>
      <c r="Q254" s="4">
        <f t="shared" ca="1" si="34"/>
        <v>9</v>
      </c>
      <c r="S254" s="125">
        <f ca="1">HLOOKUP(O254,'Datos SS'!$B$4:$CZZ$16,(Q254+1),0)</f>
        <v>119.67714800300745</v>
      </c>
      <c r="T254" s="815">
        <f ca="1">IF(O254=YEAR($B$5),($B$9/12),IF(O254&gt;MIN(YEAR($B$7),YEAR($B$5)),($B$9/12)*(1+HLOOKUP(O254,'Datos SS'!$B$31:$CZZ$32,2,0))^(O254-YEAR($B$5)),T242/(1+HLOOKUP(O254,'Datos SS'!$B$31:$CZZ$32,2,0))))</f>
        <v>17886.178861788641</v>
      </c>
      <c r="U254" s="7">
        <f ca="1">IF(O254=2018,IF(Q254&lt;8,HLOOKUP(O254,'Datos SS'!$B$25:$BZZ$27,3,0)/12,HLOOKUP(O254,'Datos SS'!$B$25:$BZZ$26,2,0)/12),HLOOKUP(O254,'Datos SS'!$B$25:$BZZ$26,2,0)/12)</f>
        <v>4242.8849999999993</v>
      </c>
      <c r="V254" s="165">
        <f t="shared" ca="1" si="31"/>
        <v>4242.8849999999993</v>
      </c>
      <c r="W254" s="7">
        <f t="shared" ca="1" si="29"/>
        <v>6741.1460560417945</v>
      </c>
      <c r="X254" s="149">
        <f ca="1">HLOOKUP(O254,'Datos SS'!$K$37:$EP$38,2,0)</f>
        <v>1103.15625</v>
      </c>
      <c r="Y254">
        <f t="shared" ca="1" si="35"/>
        <v>1485</v>
      </c>
      <c r="AC254" s="648">
        <v>1977.4828694778755</v>
      </c>
      <c r="AD254" s="650">
        <f t="shared" ca="1" si="32"/>
        <v>-4763.6631865639192</v>
      </c>
    </row>
    <row r="255" spans="12:30">
      <c r="L255" s="4">
        <v>251</v>
      </c>
      <c r="M255" s="4">
        <f t="shared" ca="1" si="30"/>
        <v>0</v>
      </c>
      <c r="O255" s="4">
        <f t="shared" ca="1" si="33"/>
        <v>2023</v>
      </c>
      <c r="P255" s="4">
        <v>251</v>
      </c>
      <c r="Q255" s="4">
        <f t="shared" ca="1" si="34"/>
        <v>8</v>
      </c>
      <c r="S255" s="125">
        <f ca="1">HLOOKUP(O255,'Datos SS'!$B$4:$CZZ$16,(Q255+1),0)</f>
        <v>119.43113941030145</v>
      </c>
      <c r="T255" s="815">
        <f ca="1">IF(O255=YEAR($B$5),($B$9/12),IF(O255&gt;MIN(YEAR($B$7),YEAR($B$5)),($B$9/12)*(1+HLOOKUP(O255,'Datos SS'!$B$31:$CZZ$32,2,0))^(O255-YEAR($B$5)),T243/(1+HLOOKUP(O255,'Datos SS'!$B$31:$CZZ$32,2,0))))</f>
        <v>17886.178861788641</v>
      </c>
      <c r="U255" s="7">
        <f ca="1">IF(O255=2018,IF(Q255&lt;8,HLOOKUP(O255,'Datos SS'!$B$25:$BZZ$27,3,0)/12,HLOOKUP(O255,'Datos SS'!$B$25:$BZZ$26,2,0)/12),HLOOKUP(O255,'Datos SS'!$B$25:$BZZ$26,2,0)/12)</f>
        <v>4242.8849999999993</v>
      </c>
      <c r="V255" s="165">
        <f t="shared" ca="1" si="31"/>
        <v>4242.8849999999993</v>
      </c>
      <c r="W255" s="7">
        <f t="shared" ca="1" si="29"/>
        <v>6755.0317131883376</v>
      </c>
      <c r="X255" s="149">
        <f ca="1">HLOOKUP(O255,'Datos SS'!$K$37:$EP$38,2,0)</f>
        <v>1103.15625</v>
      </c>
      <c r="Y255">
        <f t="shared" ca="1" si="35"/>
        <v>1484</v>
      </c>
      <c r="AC255" s="648">
        <v>1979.1232668885739</v>
      </c>
      <c r="AD255" s="650">
        <f t="shared" ca="1" si="32"/>
        <v>-4775.9084462997635</v>
      </c>
    </row>
    <row r="256" spans="12:30">
      <c r="L256" s="4">
        <v>252</v>
      </c>
      <c r="M256" s="4">
        <f t="shared" ca="1" si="30"/>
        <v>0</v>
      </c>
      <c r="O256" s="4">
        <f t="shared" ca="1" si="33"/>
        <v>2023</v>
      </c>
      <c r="P256" s="4">
        <v>252</v>
      </c>
      <c r="Q256" s="4">
        <f t="shared" ca="1" si="34"/>
        <v>7</v>
      </c>
      <c r="S256" s="125">
        <f ca="1">HLOOKUP(O256,'Datos SS'!$B$4:$CZZ$16,(Q256+1),0)</f>
        <v>119.18563651336693</v>
      </c>
      <c r="T256" s="815">
        <f ca="1">IF(O256=YEAR($B$5),($B$9/12),IF(O256&gt;MIN(YEAR($B$7),YEAR($B$5)),($B$9/12)*(1+HLOOKUP(O256,'Datos SS'!$B$31:$CZZ$32,2,0))^(O256-YEAR($B$5)),T244/(1+HLOOKUP(O256,'Datos SS'!$B$31:$CZZ$32,2,0))))</f>
        <v>17886.178861788641</v>
      </c>
      <c r="U256" s="7">
        <f ca="1">IF(O256=2018,IF(Q256&lt;8,HLOOKUP(O256,'Datos SS'!$B$25:$BZZ$27,3,0)/12,HLOOKUP(O256,'Datos SS'!$B$25:$BZZ$26,2,0)/12),HLOOKUP(O256,'Datos SS'!$B$25:$BZZ$26,2,0)/12)</f>
        <v>4242.8849999999993</v>
      </c>
      <c r="V256" s="165">
        <f t="shared" ca="1" si="31"/>
        <v>4242.8849999999993</v>
      </c>
      <c r="W256" s="7">
        <f t="shared" ca="1" si="29"/>
        <v>6768.9459725151009</v>
      </c>
      <c r="X256" s="149">
        <f ca="1">HLOOKUP(O256,'Datos SS'!$K$37:$EP$38,2,0)</f>
        <v>1103.15625</v>
      </c>
      <c r="Y256">
        <f t="shared" ca="1" si="35"/>
        <v>1483</v>
      </c>
      <c r="AC256" s="648">
        <v>1980.7650250714473</v>
      </c>
      <c r="AD256" s="650">
        <f t="shared" ca="1" si="32"/>
        <v>-4788.1809474436541</v>
      </c>
    </row>
    <row r="257" spans="12:30">
      <c r="L257" s="4">
        <v>253</v>
      </c>
      <c r="M257" s="4">
        <f t="shared" ca="1" si="30"/>
        <v>0</v>
      </c>
      <c r="O257" s="4">
        <f t="shared" ca="1" si="33"/>
        <v>2023</v>
      </c>
      <c r="P257" s="4">
        <v>253</v>
      </c>
      <c r="Q257" s="4">
        <f t="shared" ca="1" si="34"/>
        <v>6</v>
      </c>
      <c r="S257" s="125">
        <f ca="1">HLOOKUP(O257,'Datos SS'!$B$4:$CZZ$16,(Q257+1),0)</f>
        <v>118.94063827269458</v>
      </c>
      <c r="T257" s="815">
        <f ca="1">IF(O257=YEAR($B$5),($B$9/12),IF(O257&gt;MIN(YEAR($B$7),YEAR($B$5)),($B$9/12)*(1+HLOOKUP(O257,'Datos SS'!$B$31:$CZZ$32,2,0))^(O257-YEAR($B$5)),T245/(1+HLOOKUP(O257,'Datos SS'!$B$31:$CZZ$32,2,0))))</f>
        <v>17886.178861788641</v>
      </c>
      <c r="U257" s="7">
        <f ca="1">IF(O257=2018,IF(Q257&lt;8,HLOOKUP(O257,'Datos SS'!$B$25:$BZZ$27,3,0)/12,HLOOKUP(O257,'Datos SS'!$B$25:$BZZ$26,2,0)/12),HLOOKUP(O257,'Datos SS'!$B$25:$BZZ$26,2,0)/12)</f>
        <v>4242.8849999999993</v>
      </c>
      <c r="V257" s="165">
        <f t="shared" ca="1" si="31"/>
        <v>4242.8849999999993</v>
      </c>
      <c r="W257" s="7">
        <f t="shared" ca="1" si="29"/>
        <v>6782.8888929378936</v>
      </c>
      <c r="X257" s="149">
        <f ca="1">HLOOKUP(O257,'Datos SS'!$K$37:$EP$38,2,0)</f>
        <v>1103.15625</v>
      </c>
      <c r="Y257">
        <f t="shared" ca="1" si="35"/>
        <v>1482</v>
      </c>
      <c r="AC257" s="648">
        <v>1982.4081451553077</v>
      </c>
      <c r="AD257" s="650">
        <f t="shared" ca="1" si="32"/>
        <v>-4800.4807477825861</v>
      </c>
    </row>
    <row r="258" spans="12:30">
      <c r="L258" s="4">
        <v>254</v>
      </c>
      <c r="M258" s="4">
        <f t="shared" ca="1" si="30"/>
        <v>0</v>
      </c>
      <c r="O258" s="4">
        <f t="shared" ca="1" si="33"/>
        <v>2023</v>
      </c>
      <c r="P258" s="4">
        <v>254</v>
      </c>
      <c r="Q258" s="4">
        <f t="shared" ca="1" si="34"/>
        <v>5</v>
      </c>
      <c r="S258" s="125">
        <f ca="1">HLOOKUP(O258,'Datos SS'!$B$4:$CZZ$16,(Q258+1),0)</f>
        <v>118.69614365091198</v>
      </c>
      <c r="T258" s="815">
        <f ca="1">IF(O258=YEAR($B$5),($B$9/12),IF(O258&gt;MIN(YEAR($B$7),YEAR($B$5)),($B$9/12)*(1+HLOOKUP(O258,'Datos SS'!$B$31:$CZZ$32,2,0))^(O258-YEAR($B$5)),T246/(1+HLOOKUP(O258,'Datos SS'!$B$31:$CZZ$32,2,0))))</f>
        <v>17886.178861788641</v>
      </c>
      <c r="U258" s="7">
        <f ca="1">IF(O258=2018,IF(Q258&lt;8,HLOOKUP(O258,'Datos SS'!$B$25:$BZZ$27,3,0)/12,HLOOKUP(O258,'Datos SS'!$B$25:$BZZ$26,2,0)/12),HLOOKUP(O258,'Datos SS'!$B$25:$BZZ$26,2,0)/12)</f>
        <v>4242.8849999999993</v>
      </c>
      <c r="V258" s="165">
        <f t="shared" ca="1" si="31"/>
        <v>4242.8849999999993</v>
      </c>
      <c r="W258" s="7">
        <f t="shared" ca="1" si="29"/>
        <v>6796.8605334938802</v>
      </c>
      <c r="X258" s="149">
        <f ca="1">HLOOKUP(O258,'Datos SS'!$K$37:$EP$38,2,0)</f>
        <v>1103.15625</v>
      </c>
      <c r="Y258">
        <f t="shared" ca="1" si="35"/>
        <v>1481</v>
      </c>
      <c r="AC258" s="648">
        <v>1984.0526282699041</v>
      </c>
      <c r="AD258" s="650">
        <f t="shared" ca="1" si="32"/>
        <v>-4812.8079052239764</v>
      </c>
    </row>
    <row r="259" spans="12:30">
      <c r="L259" s="4">
        <v>255</v>
      </c>
      <c r="M259" s="4">
        <f t="shared" ca="1" si="30"/>
        <v>0</v>
      </c>
      <c r="O259" s="4">
        <f t="shared" ca="1" si="33"/>
        <v>2023</v>
      </c>
      <c r="P259" s="4">
        <v>255</v>
      </c>
      <c r="Q259" s="4">
        <f t="shared" ca="1" si="34"/>
        <v>4</v>
      </c>
      <c r="S259" s="125">
        <f ca="1">HLOOKUP(O259,'Datos SS'!$B$4:$CZZ$16,(Q259+1),0)</f>
        <v>118.45215161277906</v>
      </c>
      <c r="T259" s="815">
        <f ca="1">IF(O259=YEAR($B$5),($B$9/12),IF(O259&gt;MIN(YEAR($B$7),YEAR($B$5)),($B$9/12)*(1+HLOOKUP(O259,'Datos SS'!$B$31:$CZZ$32,2,0))^(O259-YEAR($B$5)),T247/(1+HLOOKUP(O259,'Datos SS'!$B$31:$CZZ$32,2,0))))</f>
        <v>17886.178861788641</v>
      </c>
      <c r="U259" s="7">
        <f ca="1">IF(O259=2018,IF(Q259&lt;8,HLOOKUP(O259,'Datos SS'!$B$25:$BZZ$27,3,0)/12,HLOOKUP(O259,'Datos SS'!$B$25:$BZZ$26,2,0)/12),HLOOKUP(O259,'Datos SS'!$B$25:$BZZ$26,2,0)/12)</f>
        <v>4242.8849999999993</v>
      </c>
      <c r="V259" s="165">
        <f t="shared" ca="1" si="31"/>
        <v>4242.8849999999993</v>
      </c>
      <c r="W259" s="7">
        <f t="shared" ca="1" si="29"/>
        <v>6810.860953341833</v>
      </c>
      <c r="X259" s="149">
        <f ca="1">HLOOKUP(O259,'Datos SS'!$K$37:$EP$38,2,0)</f>
        <v>1103.15625</v>
      </c>
      <c r="Y259">
        <f t="shared" ca="1" si="35"/>
        <v>1480</v>
      </c>
      <c r="AC259" s="648">
        <v>1985.6984755459227</v>
      </c>
      <c r="AD259" s="650">
        <f t="shared" ca="1" si="32"/>
        <v>-4825.1624777959105</v>
      </c>
    </row>
    <row r="260" spans="12:30">
      <c r="L260" s="4">
        <v>256</v>
      </c>
      <c r="M260" s="4">
        <f t="shared" ca="1" si="30"/>
        <v>0</v>
      </c>
      <c r="O260" s="4">
        <f t="shared" ca="1" si="33"/>
        <v>2023</v>
      </c>
      <c r="P260" s="4">
        <v>256</v>
      </c>
      <c r="Q260" s="4">
        <f t="shared" ca="1" si="34"/>
        <v>3</v>
      </c>
      <c r="S260" s="125">
        <f ca="1">HLOOKUP(O260,'Datos SS'!$B$4:$CZZ$16,(Q260+1),0)</f>
        <v>118.20866112518385</v>
      </c>
      <c r="T260" s="815">
        <f ca="1">IF(O260=YEAR($B$5),($B$9/12),IF(O260&gt;MIN(YEAR($B$7),YEAR($B$5)),($B$9/12)*(1+HLOOKUP(O260,'Datos SS'!$B$31:$CZZ$32,2,0))^(O260-YEAR($B$5)),T248/(1+HLOOKUP(O260,'Datos SS'!$B$31:$CZZ$32,2,0))))</f>
        <v>17886.178861788641</v>
      </c>
      <c r="U260" s="7">
        <f ca="1">IF(O260=2018,IF(Q260&lt;8,HLOOKUP(O260,'Datos SS'!$B$25:$BZZ$27,3,0)/12,HLOOKUP(O260,'Datos SS'!$B$25:$BZZ$26,2,0)/12),HLOOKUP(O260,'Datos SS'!$B$25:$BZZ$26,2,0)/12)</f>
        <v>4242.8849999999993</v>
      </c>
      <c r="V260" s="165">
        <f t="shared" ca="1" si="31"/>
        <v>4242.8849999999993</v>
      </c>
      <c r="W260" s="7">
        <f t="shared" ca="1" si="29"/>
        <v>6824.8902117623829</v>
      </c>
      <c r="X260" s="149">
        <f ca="1">HLOOKUP(O260,'Datos SS'!$K$37:$EP$38,2,0)</f>
        <v>1103.15625</v>
      </c>
      <c r="Y260">
        <f t="shared" ca="1" si="35"/>
        <v>1479</v>
      </c>
      <c r="AC260" s="648">
        <v>1987.3456881149871</v>
      </c>
      <c r="AD260" s="650">
        <f t="shared" ca="1" si="32"/>
        <v>-4837.5445236473961</v>
      </c>
    </row>
    <row r="261" spans="12:30">
      <c r="L261" s="4">
        <v>257</v>
      </c>
      <c r="M261" s="4">
        <f t="shared" ca="1" si="30"/>
        <v>0</v>
      </c>
      <c r="O261" s="4">
        <f t="shared" ca="1" si="33"/>
        <v>2023</v>
      </c>
      <c r="P261" s="4">
        <v>257</v>
      </c>
      <c r="Q261" s="4">
        <f t="shared" ca="1" si="34"/>
        <v>2</v>
      </c>
      <c r="S261" s="125">
        <f ca="1">HLOOKUP(O261,'Datos SS'!$B$4:$CZZ$16,(Q261+1),0)</f>
        <v>117.96567115713803</v>
      </c>
      <c r="T261" s="815">
        <f ca="1">IF(O261=YEAR($B$5),($B$9/12),IF(O261&gt;MIN(YEAR($B$7),YEAR($B$5)),($B$9/12)*(1+HLOOKUP(O261,'Datos SS'!$B$31:$CZZ$32,2,0))^(O261-YEAR($B$5)),T249/(1+HLOOKUP(O261,'Datos SS'!$B$31:$CZZ$32,2,0))))</f>
        <v>17886.178861788641</v>
      </c>
      <c r="U261" s="7">
        <f ca="1">IF(O261=2018,IF(Q261&lt;8,HLOOKUP(O261,'Datos SS'!$B$25:$BZZ$27,3,0)/12,HLOOKUP(O261,'Datos SS'!$B$25:$BZZ$26,2,0)/12),HLOOKUP(O261,'Datos SS'!$B$25:$BZZ$26,2,0)/12)</f>
        <v>4242.8849999999993</v>
      </c>
      <c r="V261" s="165">
        <f t="shared" ca="1" si="31"/>
        <v>4242.8849999999993</v>
      </c>
      <c r="W261" s="7">
        <f t="shared" ref="W261:W303" ca="1" si="36">IF($E$19="NO",IF(P261&lt;=180,IF(P261&lt;25,V261,V261*$S$28/S261),0),IF(P261&gt;$B$15,0,IF(P261&lt;25,V261,V261*$S$28/S261)))</f>
        <v>6838.948368158266</v>
      </c>
      <c r="X261" s="149">
        <f ca="1">HLOOKUP(O261,'Datos SS'!$K$37:$EP$38,2,0)</f>
        <v>1103.15625</v>
      </c>
      <c r="Y261">
        <f t="shared" ca="1" si="35"/>
        <v>1478</v>
      </c>
      <c r="AC261" s="648">
        <v>1988.9942671096599</v>
      </c>
      <c r="AD261" s="650">
        <f t="shared" ca="1" si="32"/>
        <v>-4849.9541010486064</v>
      </c>
    </row>
    <row r="262" spans="12:30">
      <c r="L262" s="4">
        <v>258</v>
      </c>
      <c r="M262" s="4">
        <f t="shared" ref="M262:M268" ca="1" si="37">IF(L262&lt;=$C$22,$B$22,IF(L262&lt;=$C$23+$C$22,$B$23,0))</f>
        <v>0</v>
      </c>
      <c r="O262" s="4">
        <f t="shared" ca="1" si="33"/>
        <v>2023</v>
      </c>
      <c r="P262" s="4">
        <v>258</v>
      </c>
      <c r="Q262" s="4">
        <f t="shared" ca="1" si="34"/>
        <v>1</v>
      </c>
      <c r="S262" s="125">
        <f ca="1">HLOOKUP(O262,'Datos SS'!$B$4:$CZZ$16,(Q262+1),0)</f>
        <v>117.72318067977258</v>
      </c>
      <c r="T262" s="815">
        <f ca="1">IF(O262=YEAR($B$5),($B$9/12),IF(O262&gt;MIN(YEAR($B$7),YEAR($B$5)),($B$9/12)*(1+HLOOKUP(O262,'Datos SS'!$B$31:$CZZ$32,2,0))^(O262-YEAR($B$5)),T250/(1+HLOOKUP(O262,'Datos SS'!$B$31:$CZZ$32,2,0))))</f>
        <v>17886.178861788641</v>
      </c>
      <c r="U262" s="7">
        <f ca="1">IF(O262=2018,IF(Q262&lt;8,HLOOKUP(O262,'Datos SS'!$B$25:$BZZ$27,3,0)/12,HLOOKUP(O262,'Datos SS'!$B$25:$BZZ$26,2,0)/12),HLOOKUP(O262,'Datos SS'!$B$25:$BZZ$26,2,0)/12)</f>
        <v>4242.8849999999993</v>
      </c>
      <c r="V262" s="165">
        <f t="shared" ref="V262:V305" ca="1" si="38">MAX(X262,MIN(T262,U262))</f>
        <v>4242.8849999999993</v>
      </c>
      <c r="W262" s="7">
        <f t="shared" ca="1" si="36"/>
        <v>6853.0354820545808</v>
      </c>
      <c r="X262" s="149">
        <f ca="1">HLOOKUP(O262,'Datos SS'!$K$37:$EP$38,2,0)</f>
        <v>1103.15625</v>
      </c>
      <c r="Y262">
        <f t="shared" ca="1" si="35"/>
        <v>1477</v>
      </c>
      <c r="AC262" s="648">
        <v>1990.6442136634432</v>
      </c>
      <c r="AD262" s="650">
        <f t="shared" ref="AD262:AD305" ca="1" si="39">+AC262-W262</f>
        <v>-4862.3912683911376</v>
      </c>
    </row>
    <row r="263" spans="12:30">
      <c r="L263" s="4">
        <v>259</v>
      </c>
      <c r="M263" s="4">
        <f t="shared" ca="1" si="37"/>
        <v>0</v>
      </c>
      <c r="O263" s="4">
        <f t="shared" ref="O263:O303" ca="1" si="40">IF(Q263=12,O262-1,O262)</f>
        <v>2022</v>
      </c>
      <c r="P263" s="4">
        <v>259</v>
      </c>
      <c r="Q263" s="4">
        <f t="shared" ref="Q263:Q305" ca="1" si="41">IF(Q262=1,12,Q262-1)</f>
        <v>12</v>
      </c>
      <c r="S263" s="125">
        <f ca="1">HLOOKUP(O263,'Datos SS'!$B$4:$CZZ$16,(Q263+1),0)</f>
        <v>117.48118866633344</v>
      </c>
      <c r="T263" s="815">
        <f ca="1">IF(O263=YEAR($B$5),($B$9/12),IF(O263&gt;MIN(YEAR($B$7),YEAR($B$5)),($B$9/12)*(1+HLOOKUP(O263,'Datos SS'!$B$31:$CZZ$32,2,0))^(O263-YEAR($B$5)),T251/(1+HLOOKUP(O263,'Datos SS'!$B$31:$CZZ$32,2,0))))</f>
        <v>16979.213727974035</v>
      </c>
      <c r="U263" s="7">
        <f ca="1">IF(O263=2018,IF(Q263&lt;8,HLOOKUP(O263,'Datos SS'!$B$25:$BZZ$27,3,0)/12,HLOOKUP(O263,'Datos SS'!$B$25:$BZZ$26,2,0)/12),HLOOKUP(O263,'Datos SS'!$B$25:$BZZ$26,2,0)/12)</f>
        <v>4139.3999999999996</v>
      </c>
      <c r="V263" s="165">
        <f t="shared" ca="1" si="38"/>
        <v>4139.3999999999996</v>
      </c>
      <c r="W263" s="7">
        <f t="shared" ca="1" si="36"/>
        <v>6699.6601103405228</v>
      </c>
      <c r="X263" s="149">
        <f ca="1">HLOOKUP(O263,'Datos SS'!$K$37:$EP$38,2,0)</f>
        <v>1076.25</v>
      </c>
      <c r="Y263">
        <f t="shared" ref="Y263:Y305" ca="1" si="42">MAX(INT(Y262)-1,0)</f>
        <v>1476</v>
      </c>
      <c r="AC263" s="648">
        <v>1992.2955289107797</v>
      </c>
      <c r="AD263" s="650">
        <f t="shared" ca="1" si="39"/>
        <v>-4707.3645814297433</v>
      </c>
    </row>
    <row r="264" spans="12:30">
      <c r="L264" s="4">
        <v>260</v>
      </c>
      <c r="M264" s="4">
        <f t="shared" ca="1" si="37"/>
        <v>0</v>
      </c>
      <c r="O264" s="4">
        <f t="shared" ca="1" si="40"/>
        <v>2022</v>
      </c>
      <c r="P264" s="4">
        <v>260</v>
      </c>
      <c r="Q264" s="4">
        <f t="shared" ca="1" si="41"/>
        <v>11</v>
      </c>
      <c r="S264" s="125">
        <f ca="1">HLOOKUP(O264,'Datos SS'!$B$4:$CZZ$16,(Q264+1),0)</f>
        <v>117.2396940921771</v>
      </c>
      <c r="T264" s="815">
        <f ca="1">IF(O264=YEAR($B$5),($B$9/12),IF(O264&gt;MIN(YEAR($B$7),YEAR($B$5)),($B$9/12)*(1+HLOOKUP(O264,'Datos SS'!$B$31:$CZZ$32,2,0))^(O264-YEAR($B$5)),T252/(1+HLOOKUP(O264,'Datos SS'!$B$31:$CZZ$32,2,0))))</f>
        <v>16979.213727974035</v>
      </c>
      <c r="U264" s="7">
        <f ca="1">IF(O264=2018,IF(Q264&lt;8,HLOOKUP(O264,'Datos SS'!$B$25:$BZZ$27,3,0)/12,HLOOKUP(O264,'Datos SS'!$B$25:$BZZ$26,2,0)/12),HLOOKUP(O264,'Datos SS'!$B$25:$BZZ$26,2,0)/12)</f>
        <v>4139.3999999999996</v>
      </c>
      <c r="V264" s="165">
        <f t="shared" ca="1" si="38"/>
        <v>4139.3999999999996</v>
      </c>
      <c r="W264" s="7">
        <f t="shared" ca="1" si="36"/>
        <v>6713.4603132314214</v>
      </c>
      <c r="X264" s="149">
        <f ca="1">HLOOKUP(O264,'Datos SS'!$K$37:$EP$38,2,0)</f>
        <v>1076.25</v>
      </c>
      <c r="Y264">
        <f t="shared" ca="1" si="42"/>
        <v>1475</v>
      </c>
      <c r="AC264" s="648">
        <v>1993.9482139870527</v>
      </c>
      <c r="AD264" s="650">
        <f t="shared" ca="1" si="39"/>
        <v>-4719.512099244369</v>
      </c>
    </row>
    <row r="265" spans="12:30">
      <c r="L265" s="4">
        <v>261</v>
      </c>
      <c r="M265" s="4">
        <f t="shared" ca="1" si="37"/>
        <v>0</v>
      </c>
      <c r="O265" s="4">
        <f t="shared" ca="1" si="40"/>
        <v>2022</v>
      </c>
      <c r="P265" s="4">
        <v>261</v>
      </c>
      <c r="Q265" s="4">
        <f t="shared" ca="1" si="41"/>
        <v>10</v>
      </c>
      <c r="S265" s="125">
        <f ca="1">HLOOKUP(O265,'Datos SS'!$B$4:$CZZ$16,(Q265+1),0)</f>
        <v>116.99869593476637</v>
      </c>
      <c r="T265" s="815">
        <f ca="1">IF(O265=YEAR($B$5),($B$9/12),IF(O265&gt;MIN(YEAR($B$7),YEAR($B$5)),($B$9/12)*(1+HLOOKUP(O265,'Datos SS'!$B$31:$CZZ$32,2,0))^(O265-YEAR($B$5)),T253/(1+HLOOKUP(O265,'Datos SS'!$B$31:$CZZ$32,2,0))))</f>
        <v>16979.213727974035</v>
      </c>
      <c r="U265" s="7">
        <f ca="1">IF(O265=2018,IF(Q265&lt;8,HLOOKUP(O265,'Datos SS'!$B$25:$BZZ$27,3,0)/12,HLOOKUP(O265,'Datos SS'!$B$25:$BZZ$26,2,0)/12),HLOOKUP(O265,'Datos SS'!$B$25:$BZZ$26,2,0)/12)</f>
        <v>4139.3999999999996</v>
      </c>
      <c r="V265" s="165">
        <f t="shared" ca="1" si="38"/>
        <v>4139.3999999999996</v>
      </c>
      <c r="W265" s="7">
        <f t="shared" ca="1" si="36"/>
        <v>6727.2889422807648</v>
      </c>
      <c r="X265" s="149">
        <f ca="1">HLOOKUP(O265,'Datos SS'!$K$37:$EP$38,2,0)</f>
        <v>1076.25</v>
      </c>
      <c r="Y265">
        <f t="shared" ca="1" si="42"/>
        <v>1474</v>
      </c>
      <c r="AC265" s="648">
        <v>1995.6022700285873</v>
      </c>
      <c r="AD265" s="650">
        <f t="shared" ca="1" si="39"/>
        <v>-4731.6866722521772</v>
      </c>
    </row>
    <row r="266" spans="12:30">
      <c r="L266" s="4">
        <v>262</v>
      </c>
      <c r="M266" s="4">
        <f t="shared" ca="1" si="37"/>
        <v>0</v>
      </c>
      <c r="O266" s="4">
        <f t="shared" ca="1" si="40"/>
        <v>2022</v>
      </c>
      <c r="P266" s="4">
        <v>262</v>
      </c>
      <c r="Q266" s="4">
        <f t="shared" ca="1" si="41"/>
        <v>9</v>
      </c>
      <c r="S266" s="125">
        <f ca="1">HLOOKUP(O266,'Datos SS'!$B$4:$CZZ$16,(Q266+1),0)</f>
        <v>116.75819317366596</v>
      </c>
      <c r="T266" s="815">
        <f ca="1">IF(O266=YEAR($B$5),($B$9/12),IF(O266&gt;MIN(YEAR($B$7),YEAR($B$5)),($B$9/12)*(1+HLOOKUP(O266,'Datos SS'!$B$31:$CZZ$32,2,0))^(O266-YEAR($B$5)),T254/(1+HLOOKUP(O266,'Datos SS'!$B$31:$CZZ$32,2,0))))</f>
        <v>16979.213727974035</v>
      </c>
      <c r="U266" s="7">
        <f ca="1">IF(O266=2018,IF(Q266&lt;8,HLOOKUP(O266,'Datos SS'!$B$25:$BZZ$27,3,0)/12,HLOOKUP(O266,'Datos SS'!$B$25:$BZZ$26,2,0)/12),HLOOKUP(O266,'Datos SS'!$B$25:$BZZ$26,2,0)/12)</f>
        <v>4139.3999999999996</v>
      </c>
      <c r="V266" s="165">
        <f t="shared" ca="1" si="38"/>
        <v>4139.3999999999996</v>
      </c>
      <c r="W266" s="7">
        <f t="shared" ca="1" si="36"/>
        <v>6741.1460560417863</v>
      </c>
      <c r="X266" s="149">
        <f ca="1">HLOOKUP(O266,'Datos SS'!$K$37:$EP$38,2,0)</f>
        <v>1076.25</v>
      </c>
      <c r="Y266">
        <f t="shared" ca="1" si="42"/>
        <v>1473</v>
      </c>
      <c r="AC266" s="648">
        <v>1967.7415745543371</v>
      </c>
      <c r="AD266" s="650">
        <f t="shared" ca="1" si="39"/>
        <v>-4773.4044814874487</v>
      </c>
    </row>
    <row r="267" spans="12:30">
      <c r="L267" s="4">
        <v>263</v>
      </c>
      <c r="M267" s="4">
        <f t="shared" ca="1" si="37"/>
        <v>0</v>
      </c>
      <c r="O267" s="4">
        <f t="shared" ca="1" si="40"/>
        <v>2022</v>
      </c>
      <c r="P267" s="4">
        <v>263</v>
      </c>
      <c r="Q267" s="4">
        <f t="shared" ca="1" si="41"/>
        <v>8</v>
      </c>
      <c r="S267" s="125">
        <f ca="1">HLOOKUP(O267,'Datos SS'!$B$4:$CZZ$16,(Q267+1),0)</f>
        <v>116.51818479053817</v>
      </c>
      <c r="T267" s="815">
        <f ca="1">IF(O267=YEAR($B$5),($B$9/12),IF(O267&gt;MIN(YEAR($B$7),YEAR($B$5)),($B$9/12)*(1+HLOOKUP(O267,'Datos SS'!$B$31:$CZZ$32,2,0))^(O267-YEAR($B$5)),T255/(1+HLOOKUP(O267,'Datos SS'!$B$31:$CZZ$32,2,0))))</f>
        <v>16979.213727974035</v>
      </c>
      <c r="U267" s="7">
        <f ca="1">IF(O267=2018,IF(Q267&lt;8,HLOOKUP(O267,'Datos SS'!$B$25:$BZZ$27,3,0)/12,HLOOKUP(O267,'Datos SS'!$B$25:$BZZ$26,2,0)/12),HLOOKUP(O267,'Datos SS'!$B$25:$BZZ$26,2,0)/12)</f>
        <v>4139.3999999999996</v>
      </c>
      <c r="V267" s="165">
        <f t="shared" ca="1" si="38"/>
        <v>4139.3999999999996</v>
      </c>
      <c r="W267" s="7">
        <f t="shared" ca="1" si="36"/>
        <v>6755.0317131883285</v>
      </c>
      <c r="X267" s="149">
        <f ca="1">HLOOKUP(O267,'Datos SS'!$K$37:$EP$38,2,0)</f>
        <v>1076.25</v>
      </c>
      <c r="Y267">
        <f t="shared" ca="1" si="42"/>
        <v>1472</v>
      </c>
      <c r="AC267" s="648">
        <v>1969.3738911896135</v>
      </c>
      <c r="AD267" s="650">
        <f t="shared" ca="1" si="39"/>
        <v>-4785.657821998715</v>
      </c>
    </row>
    <row r="268" spans="12:30">
      <c r="L268" s="4">
        <v>264</v>
      </c>
      <c r="M268" s="4">
        <f t="shared" ca="1" si="37"/>
        <v>0</v>
      </c>
      <c r="O268" s="4">
        <f t="shared" ca="1" si="40"/>
        <v>2022</v>
      </c>
      <c r="P268" s="4">
        <v>264</v>
      </c>
      <c r="Q268" s="4">
        <f t="shared" ca="1" si="41"/>
        <v>7</v>
      </c>
      <c r="S268" s="125">
        <f ca="1">HLOOKUP(O268,'Datos SS'!$B$4:$CZZ$16,(Q268+1),0)</f>
        <v>116.27866976913863</v>
      </c>
      <c r="T268" s="815">
        <f ca="1">IF(O268=YEAR($B$5),($B$9/12),IF(O268&gt;MIN(YEAR($B$7),YEAR($B$5)),($B$9/12)*(1+HLOOKUP(O268,'Datos SS'!$B$31:$CZZ$32,2,0))^(O268-YEAR($B$5)),T256/(1+HLOOKUP(O268,'Datos SS'!$B$31:$CZZ$32,2,0))))</f>
        <v>16979.213727974035</v>
      </c>
      <c r="U268" s="7">
        <f ca="1">IF(O268=2018,IF(Q268&lt;8,HLOOKUP(O268,'Datos SS'!$B$25:$BZZ$27,3,0)/12,HLOOKUP(O268,'Datos SS'!$B$25:$BZZ$26,2,0)/12),HLOOKUP(O268,'Datos SS'!$B$25:$BZZ$26,2,0)/12)</f>
        <v>4139.3999999999996</v>
      </c>
      <c r="V268" s="165">
        <f t="shared" ca="1" si="38"/>
        <v>4139.3999999999996</v>
      </c>
      <c r="W268" s="7">
        <f ca="1">IF($E$19="NO",IF(P268&lt;=180,IF(P268&lt;25,V268,V268*$S$28/S268),0),IF(P268&gt;$B$15,0,IF(P268&lt;25,V268,V268*$S$28/S268)))</f>
        <v>6768.9459725150919</v>
      </c>
      <c r="X268" s="149">
        <f ca="1">HLOOKUP(O268,'Datos SS'!$K$37:$EP$38,2,0)</f>
        <v>1076.25</v>
      </c>
      <c r="Y268">
        <f t="shared" ca="1" si="42"/>
        <v>1471</v>
      </c>
      <c r="AC268" s="648">
        <v>1971.0075618937533</v>
      </c>
      <c r="AD268" s="650">
        <f t="shared" ca="1" si="39"/>
        <v>-4797.9384106213383</v>
      </c>
    </row>
    <row r="269" spans="12:30">
      <c r="O269" s="4">
        <f t="shared" ca="1" si="40"/>
        <v>2022</v>
      </c>
      <c r="P269" s="4">
        <v>265</v>
      </c>
      <c r="Q269" s="4">
        <f t="shared" ca="1" si="41"/>
        <v>6</v>
      </c>
      <c r="S269" s="125">
        <f ca="1">HLOOKUP(O269,'Datos SS'!$B$4:$CZZ$16,(Q269+1),0)</f>
        <v>116.03964709531195</v>
      </c>
      <c r="T269" s="815">
        <f ca="1">IF(O269=YEAR($B$5),($B$9/12),IF(O269&gt;MIN(YEAR($B$7),YEAR($B$5)),($B$9/12)*(1+HLOOKUP(O269,'Datos SS'!$B$31:$CZZ$32,2,0))^(O269-YEAR($B$5)),T257/(1+HLOOKUP(O269,'Datos SS'!$B$31:$CZZ$32,2,0))))</f>
        <v>16979.213727974035</v>
      </c>
      <c r="U269" s="7">
        <f ca="1">IF(O269=2018,IF(Q269&lt;8,HLOOKUP(O269,'Datos SS'!$B$25:$BZZ$27,3,0)/12,HLOOKUP(O269,'Datos SS'!$B$25:$BZZ$26,2,0)/12),HLOOKUP(O269,'Datos SS'!$B$25:$BZZ$26,2,0)/12)</f>
        <v>4139.3999999999996</v>
      </c>
      <c r="V269" s="165">
        <f t="shared" ca="1" si="38"/>
        <v>4139.3999999999996</v>
      </c>
      <c r="W269" s="7">
        <f t="shared" ca="1" si="36"/>
        <v>6782.8888929378845</v>
      </c>
      <c r="X269" s="149">
        <f ca="1">HLOOKUP(O269,'Datos SS'!$K$37:$EP$38,2,0)</f>
        <v>1076.25</v>
      </c>
      <c r="Y269">
        <f t="shared" ca="1" si="42"/>
        <v>1470</v>
      </c>
      <c r="AC269" s="648">
        <v>1972.6425877900087</v>
      </c>
      <c r="AD269" s="650">
        <f t="shared" ca="1" si="39"/>
        <v>-4810.2463051478753</v>
      </c>
    </row>
    <row r="270" spans="12:30">
      <c r="O270" s="4">
        <f t="shared" ca="1" si="40"/>
        <v>2022</v>
      </c>
      <c r="P270" s="4">
        <v>266</v>
      </c>
      <c r="Q270" s="4">
        <f t="shared" ca="1" si="41"/>
        <v>5</v>
      </c>
      <c r="S270" s="125">
        <f ca="1">HLOOKUP(O270,'Datos SS'!$B$4:$CZZ$16,(Q270+1),0)</f>
        <v>115.80111575698744</v>
      </c>
      <c r="T270" s="815">
        <f ca="1">IF(O270=YEAR($B$5),($B$9/12),IF(O270&gt;MIN(YEAR($B$7),YEAR($B$5)),($B$9/12)*(1+HLOOKUP(O270,'Datos SS'!$B$31:$CZZ$32,2,0))^(O270-YEAR($B$5)),T258/(1+HLOOKUP(O270,'Datos SS'!$B$31:$CZZ$32,2,0))))</f>
        <v>16979.213727974035</v>
      </c>
      <c r="U270" s="7">
        <f ca="1">IF(O270=2018,IF(Q270&lt;8,HLOOKUP(O270,'Datos SS'!$B$25:$BZZ$27,3,0)/12,HLOOKUP(O270,'Datos SS'!$B$25:$BZZ$26,2,0)/12),HLOOKUP(O270,'Datos SS'!$B$25:$BZZ$26,2,0)/12)</f>
        <v>4139.3999999999996</v>
      </c>
      <c r="V270" s="165">
        <f t="shared" ca="1" si="38"/>
        <v>4139.3999999999996</v>
      </c>
      <c r="W270" s="7">
        <f t="shared" ca="1" si="36"/>
        <v>6796.860533493872</v>
      </c>
      <c r="X270" s="149">
        <f ca="1">HLOOKUP(O270,'Datos SS'!$K$37:$EP$38,2,0)</f>
        <v>1076.25</v>
      </c>
      <c r="Y270">
        <f t="shared" ca="1" si="42"/>
        <v>1469</v>
      </c>
      <c r="AC270" s="648">
        <v>1974.278970002563</v>
      </c>
      <c r="AD270" s="650">
        <f t="shared" ca="1" si="39"/>
        <v>-4822.5815634913088</v>
      </c>
    </row>
    <row r="271" spans="12:30">
      <c r="O271" s="4">
        <f t="shared" ca="1" si="40"/>
        <v>2022</v>
      </c>
      <c r="P271" s="4">
        <v>267</v>
      </c>
      <c r="Q271" s="4">
        <f t="shared" ca="1" si="41"/>
        <v>4</v>
      </c>
      <c r="S271" s="125">
        <f ca="1">HLOOKUP(O271,'Datos SS'!$B$4:$CZZ$16,(Q271+1),0)</f>
        <v>115.56307474417484</v>
      </c>
      <c r="T271" s="815">
        <f ca="1">IF(O271=YEAR($B$5),($B$9/12),IF(O271&gt;MIN(YEAR($B$7),YEAR($B$5)),($B$9/12)*(1+HLOOKUP(O271,'Datos SS'!$B$31:$CZZ$32,2,0))^(O271-YEAR($B$5)),T259/(1+HLOOKUP(O271,'Datos SS'!$B$31:$CZZ$32,2,0))))</f>
        <v>16979.213727974035</v>
      </c>
      <c r="U271" s="7">
        <f ca="1">IF(O271=2018,IF(Q271&lt;8,HLOOKUP(O271,'Datos SS'!$B$25:$BZZ$27,3,0)/12,HLOOKUP(O271,'Datos SS'!$B$25:$BZZ$26,2,0)/12),HLOOKUP(O271,'Datos SS'!$B$25:$BZZ$26,2,0)/12)</f>
        <v>4139.3999999999996</v>
      </c>
      <c r="V271" s="165">
        <f t="shared" ca="1" si="38"/>
        <v>4139.3999999999996</v>
      </c>
      <c r="W271" s="7">
        <f t="shared" ca="1" si="36"/>
        <v>6810.8609533418257</v>
      </c>
      <c r="X271" s="149">
        <f ca="1">HLOOKUP(O271,'Datos SS'!$K$37:$EP$38,2,0)</f>
        <v>1076.25</v>
      </c>
      <c r="Y271">
        <f t="shared" ca="1" si="42"/>
        <v>1468</v>
      </c>
      <c r="AC271" s="648">
        <v>1975.9167096565322</v>
      </c>
      <c r="AD271" s="650">
        <f t="shared" ca="1" si="39"/>
        <v>-4834.9442436852933</v>
      </c>
    </row>
    <row r="272" spans="12:30">
      <c r="O272" s="4">
        <f t="shared" ca="1" si="40"/>
        <v>2022</v>
      </c>
      <c r="P272" s="4">
        <v>268</v>
      </c>
      <c r="Q272" s="4">
        <f t="shared" ca="1" si="41"/>
        <v>3</v>
      </c>
      <c r="S272" s="125">
        <f ca="1">HLOOKUP(O272,'Datos SS'!$B$4:$CZZ$16,(Q272+1),0)</f>
        <v>115.32552304896001</v>
      </c>
      <c r="T272" s="815">
        <f ca="1">IF(O272=YEAR($B$5),($B$9/12),IF(O272&gt;MIN(YEAR($B$7),YEAR($B$5)),($B$9/12)*(1+HLOOKUP(O272,'Datos SS'!$B$31:$CZZ$32,2,0))^(O272-YEAR($B$5)),T260/(1+HLOOKUP(O272,'Datos SS'!$B$31:$CZZ$32,2,0))))</f>
        <v>16979.213727974035</v>
      </c>
      <c r="U272" s="7">
        <f ca="1">IF(O272=2018,IF(Q272&lt;8,HLOOKUP(O272,'Datos SS'!$B$25:$BZZ$27,3,0)/12,HLOOKUP(O272,'Datos SS'!$B$25:$BZZ$26,2,0)/12),HLOOKUP(O272,'Datos SS'!$B$25:$BZZ$26,2,0)/12)</f>
        <v>4139.3999999999996</v>
      </c>
      <c r="V272" s="165">
        <f t="shared" ca="1" si="38"/>
        <v>4139.3999999999996</v>
      </c>
      <c r="W272" s="7">
        <f t="shared" ca="1" si="36"/>
        <v>6824.8902117623747</v>
      </c>
      <c r="X272" s="149">
        <f ca="1">HLOOKUP(O272,'Datos SS'!$K$37:$EP$38,2,0)</f>
        <v>1076.25</v>
      </c>
      <c r="Y272">
        <f t="shared" ca="1" si="42"/>
        <v>1467</v>
      </c>
      <c r="AC272" s="648">
        <v>1977.5558078779659</v>
      </c>
      <c r="AD272" s="650">
        <f t="shared" ca="1" si="39"/>
        <v>-4847.3344038844089</v>
      </c>
    </row>
    <row r="273" spans="15:30">
      <c r="O273" s="4">
        <f t="shared" ca="1" si="40"/>
        <v>2022</v>
      </c>
      <c r="P273" s="4">
        <v>269</v>
      </c>
      <c r="Q273" s="4">
        <f t="shared" ca="1" si="41"/>
        <v>2</v>
      </c>
      <c r="S273" s="125">
        <f ca="1">HLOOKUP(O273,'Datos SS'!$B$4:$CZZ$16,(Q273+1),0)</f>
        <v>111.966527232</v>
      </c>
      <c r="T273" s="815">
        <f ca="1">IF(O273=YEAR($B$5),($B$9/12),IF(O273&gt;MIN(YEAR($B$7),YEAR($B$5)),($B$9/12)*(1+HLOOKUP(O273,'Datos SS'!$B$31:$CZZ$32,2,0))^(O273-YEAR($B$5)),T261/(1+HLOOKUP(O273,'Datos SS'!$B$31:$CZZ$32,2,0))))</f>
        <v>16979.213727974035</v>
      </c>
      <c r="U273" s="7">
        <f ca="1">IF(O273=2018,IF(Q273&lt;8,HLOOKUP(O273,'Datos SS'!$B$25:$BZZ$27,3,0)/12,HLOOKUP(O273,'Datos SS'!$B$25:$BZZ$26,2,0)/12),HLOOKUP(O273,'Datos SS'!$B$25:$BZZ$26,2,0)/12)</f>
        <v>4139.3999999999996</v>
      </c>
      <c r="V273" s="165">
        <f t="shared" ca="1" si="38"/>
        <v>4139.3999999999996</v>
      </c>
      <c r="W273" s="7">
        <f t="shared" ca="1" si="36"/>
        <v>7029.6369181152459</v>
      </c>
      <c r="X273" s="149">
        <f ca="1">HLOOKUP(O273,'Datos SS'!$K$37:$EP$38,2,0)</f>
        <v>1076.25</v>
      </c>
      <c r="Y273">
        <f t="shared" ca="1" si="42"/>
        <v>1466</v>
      </c>
      <c r="AC273" s="648">
        <v>1979.1962657938475</v>
      </c>
      <c r="AD273" s="650">
        <f t="shared" ca="1" si="39"/>
        <v>-5050.4406523213984</v>
      </c>
    </row>
    <row r="274" spans="15:30">
      <c r="O274" s="4">
        <f t="shared" ca="1" si="40"/>
        <v>2022</v>
      </c>
      <c r="P274" s="4">
        <v>270</v>
      </c>
      <c r="Q274" s="4">
        <f t="shared" ca="1" si="41"/>
        <v>1</v>
      </c>
      <c r="S274" s="125">
        <f ca="1">HLOOKUP(O274,'Datos SS'!$B$4:$CZZ$16,(Q274+1),0)</f>
        <v>111.077904</v>
      </c>
      <c r="T274" s="815">
        <f ca="1">IF(O274=YEAR($B$5),($B$9/12),IF(O274&gt;MIN(YEAR($B$7),YEAR($B$5)),($B$9/12)*(1+HLOOKUP(O274,'Datos SS'!$B$31:$CZZ$32,2,0))^(O274-YEAR($B$5)),T262/(1+HLOOKUP(O274,'Datos SS'!$B$31:$CZZ$32,2,0))))</f>
        <v>16979.213727974035</v>
      </c>
      <c r="U274" s="7">
        <f ca="1">IF(O274=2018,IF(Q274&lt;8,HLOOKUP(O274,'Datos SS'!$B$25:$BZZ$27,3,0)/12,HLOOKUP(O274,'Datos SS'!$B$25:$BZZ$26,2,0)/12),HLOOKUP(O274,'Datos SS'!$B$25:$BZZ$26,2,0)/12)</f>
        <v>4139.3999999999996</v>
      </c>
      <c r="V274" s="165">
        <f t="shared" ca="1" si="38"/>
        <v>4139.3999999999996</v>
      </c>
      <c r="W274" s="7">
        <f t="shared" ca="1" si="36"/>
        <v>7085.8740134601685</v>
      </c>
      <c r="X274" s="149">
        <f ca="1">HLOOKUP(O274,'Datos SS'!$K$37:$EP$38,2,0)</f>
        <v>1076.25</v>
      </c>
      <c r="Y274">
        <f t="shared" ca="1" si="42"/>
        <v>1465</v>
      </c>
      <c r="AC274" s="648">
        <v>1980.8380845320951</v>
      </c>
      <c r="AD274" s="650">
        <f t="shared" ca="1" si="39"/>
        <v>-5105.0359289280732</v>
      </c>
    </row>
    <row r="275" spans="15:30">
      <c r="O275" s="4">
        <f t="shared" ca="1" si="40"/>
        <v>2021</v>
      </c>
      <c r="P275" s="4">
        <v>271</v>
      </c>
      <c r="Q275" s="4">
        <f t="shared" ca="1" si="41"/>
        <v>12</v>
      </c>
      <c r="S275" s="125">
        <f ca="1">HLOOKUP(O275,'Datos SS'!$B$4:$CZZ$16,(Q275+1),0)</f>
        <v>111.524</v>
      </c>
      <c r="T275" s="815">
        <f ca="1">IF(O275=YEAR($B$5),($B$9/12),IF(O275&gt;MIN(YEAR($B$7),YEAR($B$5)),($B$9/12)*(1+HLOOKUP(O275,'Datos SS'!$B$31:$CZZ$32,2,0))^(O275-YEAR($B$5)),T263/(1+HLOOKUP(O275,'Datos SS'!$B$31:$CZZ$32,2,0))))</f>
        <v>15935.407109497386</v>
      </c>
      <c r="U275" s="7">
        <f ca="1">IF(O275=2018,IF(Q275&lt;8,HLOOKUP(O275,'Datos SS'!$B$25:$BZZ$27,3,0)/12,HLOOKUP(O275,'Datos SS'!$B$25:$BZZ$26,2,0)/12),HLOOKUP(O275,'Datos SS'!$B$25:$BZZ$26,2,0)/12)</f>
        <v>4070.1</v>
      </c>
      <c r="V275" s="165">
        <f t="shared" ca="1" si="38"/>
        <v>4070.1</v>
      </c>
      <c r="W275" s="7">
        <f t="shared" ca="1" si="36"/>
        <v>6939.3764697529823</v>
      </c>
      <c r="X275" s="149">
        <f ca="1">HLOOKUP(O275,'Datos SS'!$K$37:$EP$38,2,0)</f>
        <v>1050</v>
      </c>
      <c r="Y275">
        <f t="shared" ca="1" si="42"/>
        <v>1464</v>
      </c>
      <c r="AC275" s="648">
        <v>1982.4812652215628</v>
      </c>
      <c r="AD275" s="650">
        <f t="shared" ca="1" si="39"/>
        <v>-4956.8952045314199</v>
      </c>
    </row>
    <row r="276" spans="15:30">
      <c r="O276" s="4">
        <f t="shared" ca="1" si="40"/>
        <v>2021</v>
      </c>
      <c r="P276" s="4">
        <v>272</v>
      </c>
      <c r="Q276" s="4">
        <f t="shared" ca="1" si="41"/>
        <v>11</v>
      </c>
      <c r="S276" s="125">
        <f ca="1">HLOOKUP(O276,'Datos SS'!$B$4:$CZZ$16,(Q276+1),0)</f>
        <v>110.208</v>
      </c>
      <c r="T276" s="815">
        <f ca="1">IF(O276=YEAR($B$5),($B$9/12),IF(O276&gt;MIN(YEAR($B$7),YEAR($B$5)),($B$9/12)*(1+HLOOKUP(O276,'Datos SS'!$B$31:$CZZ$32,2,0))^(O276-YEAR($B$5)),T264/(1+HLOOKUP(O276,'Datos SS'!$B$31:$CZZ$32,2,0))))</f>
        <v>15935.407109497386</v>
      </c>
      <c r="U276" s="7">
        <f ca="1">IF(O276=2018,IF(Q276&lt;8,HLOOKUP(O276,'Datos SS'!$B$25:$BZZ$27,3,0)/12,HLOOKUP(O276,'Datos SS'!$B$25:$BZZ$26,2,0)/12),HLOOKUP(O276,'Datos SS'!$B$25:$BZZ$26,2,0)/12)</f>
        <v>4070.1</v>
      </c>
      <c r="V276" s="165">
        <f t="shared" ca="1" si="38"/>
        <v>4070.1</v>
      </c>
      <c r="W276" s="7">
        <f t="shared" ca="1" si="36"/>
        <v>7022.2399591021667</v>
      </c>
      <c r="X276" s="149">
        <f ca="1">HLOOKUP(O276,'Datos SS'!$K$37:$EP$38,2,0)</f>
        <v>1050</v>
      </c>
      <c r="Y276">
        <f t="shared" ca="1" si="42"/>
        <v>1463</v>
      </c>
      <c r="AC276" s="648">
        <v>1984.1258089920414</v>
      </c>
      <c r="AD276" s="650">
        <f t="shared" ca="1" si="39"/>
        <v>-5038.1141501101256</v>
      </c>
    </row>
    <row r="277" spans="15:30">
      <c r="O277" s="4">
        <f t="shared" ca="1" si="40"/>
        <v>2021</v>
      </c>
      <c r="P277" s="4">
        <v>273</v>
      </c>
      <c r="Q277" s="4">
        <f t="shared" ca="1" si="41"/>
        <v>10</v>
      </c>
      <c r="S277" s="125">
        <f ca="1">HLOOKUP(O277,'Datos SS'!$B$4:$CZZ$16,(Q277+1),0)</f>
        <v>109.871</v>
      </c>
      <c r="T277" s="815">
        <f ca="1">IF(O277=YEAR($B$5),($B$9/12),IF(O277&gt;MIN(YEAR($B$7),YEAR($B$5)),($B$9/12)*(1+HLOOKUP(O277,'Datos SS'!$B$31:$CZZ$32,2,0))^(O277-YEAR($B$5)),T265/(1+HLOOKUP(O277,'Datos SS'!$B$31:$CZZ$32,2,0))))</f>
        <v>15935.407109497386</v>
      </c>
      <c r="U277" s="7">
        <f ca="1">IF(O277=2018,IF(Q277&lt;8,HLOOKUP(O277,'Datos SS'!$B$25:$BZZ$27,3,0)/12,HLOOKUP(O277,'Datos SS'!$B$25:$BZZ$26,2,0)/12),HLOOKUP(O277,'Datos SS'!$B$25:$BZZ$26,2,0)/12)</f>
        <v>4070.1</v>
      </c>
      <c r="V277" s="165">
        <f t="shared" ca="1" si="38"/>
        <v>4070.1</v>
      </c>
      <c r="W277" s="7">
        <f t="shared" ca="1" si="36"/>
        <v>7043.7788079905677</v>
      </c>
      <c r="X277" s="149">
        <f ca="1">HLOOKUP(O277,'Datos SS'!$K$37:$EP$38,2,0)</f>
        <v>1050</v>
      </c>
      <c r="Y277">
        <f t="shared" ca="1" si="42"/>
        <v>1462</v>
      </c>
      <c r="AC277" s="648">
        <v>1985.7717169742582</v>
      </c>
      <c r="AD277" s="650">
        <f t="shared" ca="1" si="39"/>
        <v>-5058.0070910163095</v>
      </c>
    </row>
    <row r="278" spans="15:30">
      <c r="O278" s="4">
        <f t="shared" ca="1" si="40"/>
        <v>2021</v>
      </c>
      <c r="P278" s="4">
        <v>274</v>
      </c>
      <c r="Q278" s="4">
        <f t="shared" ca="1" si="41"/>
        <v>9</v>
      </c>
      <c r="S278" s="125">
        <f ca="1">HLOOKUP(O278,'Datos SS'!$B$4:$CZZ$16,(Q278+1),0)</f>
        <v>107.887</v>
      </c>
      <c r="T278" s="815">
        <f ca="1">IF(O278=YEAR($B$5),($B$9/12),IF(O278&gt;MIN(YEAR($B$7),YEAR($B$5)),($B$9/12)*(1+HLOOKUP(O278,'Datos SS'!$B$31:$CZZ$32,2,0))^(O278-YEAR($B$5)),T266/(1+HLOOKUP(O278,'Datos SS'!$B$31:$CZZ$32,2,0))))</f>
        <v>15935.407109497386</v>
      </c>
      <c r="U278" s="7">
        <f ca="1">IF(O278=2018,IF(Q278&lt;8,HLOOKUP(O278,'Datos SS'!$B$25:$BZZ$27,3,0)/12,HLOOKUP(O278,'Datos SS'!$B$25:$BZZ$26,2,0)/12),HLOOKUP(O278,'Datos SS'!$B$25:$BZZ$26,2,0)/12)</f>
        <v>4070.1</v>
      </c>
      <c r="V278" s="165">
        <f t="shared" ca="1" si="38"/>
        <v>4070.1</v>
      </c>
      <c r="W278" s="7">
        <f t="shared" ca="1" si="36"/>
        <v>7173.3111627233275</v>
      </c>
      <c r="X278" s="149">
        <f ca="1">HLOOKUP(O278,'Datos SS'!$K$37:$EP$38,2,0)</f>
        <v>1050</v>
      </c>
      <c r="Y278">
        <f t="shared" ca="1" si="42"/>
        <v>1461</v>
      </c>
      <c r="AC278" s="648">
        <v>1958.0482663052999</v>
      </c>
      <c r="AD278" s="650">
        <f t="shared" ca="1" si="39"/>
        <v>-5215.2628964180276</v>
      </c>
    </row>
    <row r="279" spans="15:30">
      <c r="O279" s="4">
        <f t="shared" ca="1" si="40"/>
        <v>2021</v>
      </c>
      <c r="P279" s="4">
        <v>275</v>
      </c>
      <c r="Q279" s="4">
        <f t="shared" ca="1" si="41"/>
        <v>8</v>
      </c>
      <c r="S279" s="125">
        <f ca="1">HLOOKUP(O279,'Datos SS'!$B$4:$CZZ$16,(Q279+1),0)</f>
        <v>106.995</v>
      </c>
      <c r="T279" s="815">
        <f ca="1">IF(O279=YEAR($B$5),($B$9/12),IF(O279&gt;MIN(YEAR($B$7),YEAR($B$5)),($B$9/12)*(1+HLOOKUP(O279,'Datos SS'!$B$31:$CZZ$32,2,0))^(O279-YEAR($B$5)),T267/(1+HLOOKUP(O279,'Datos SS'!$B$31:$CZZ$32,2,0))))</f>
        <v>15935.407109497386</v>
      </c>
      <c r="U279" s="7">
        <f ca="1">IF(O279=2018,IF(Q279&lt;8,HLOOKUP(O279,'Datos SS'!$B$25:$BZZ$27,3,0)/12,HLOOKUP(O279,'Datos SS'!$B$25:$BZZ$26,2,0)/12),HLOOKUP(O279,'Datos SS'!$B$25:$BZZ$26,2,0)/12)</f>
        <v>4070.1</v>
      </c>
      <c r="V279" s="165">
        <f t="shared" ca="1" si="38"/>
        <v>4070.1</v>
      </c>
      <c r="W279" s="7">
        <f t="shared" ca="1" si="36"/>
        <v>7233.1138970300626</v>
      </c>
      <c r="X279" s="149">
        <f ca="1">HLOOKUP(O279,'Datos SS'!$K$37:$EP$38,2,0)</f>
        <v>1050</v>
      </c>
      <c r="Y279">
        <f t="shared" ca="1" si="42"/>
        <v>1460</v>
      </c>
      <c r="AC279" s="648">
        <v>1959.6725419719296</v>
      </c>
      <c r="AD279" s="650">
        <f t="shared" ca="1" si="39"/>
        <v>-5273.441355058133</v>
      </c>
    </row>
    <row r="280" spans="15:30">
      <c r="O280" s="4">
        <f t="shared" ca="1" si="40"/>
        <v>2021</v>
      </c>
      <c r="P280" s="4">
        <v>276</v>
      </c>
      <c r="Q280" s="4">
        <f t="shared" ca="1" si="41"/>
        <v>7</v>
      </c>
      <c r="S280" s="125">
        <f ca="1">HLOOKUP(O280,'Datos SS'!$B$4:$CZZ$16,(Q280+1),0)</f>
        <v>106.511</v>
      </c>
      <c r="T280" s="815">
        <f ca="1">IF(O280=YEAR($B$5),($B$9/12),IF(O280&gt;MIN(YEAR($B$7),YEAR($B$5)),($B$9/12)*(1+HLOOKUP(O280,'Datos SS'!$B$31:$CZZ$32,2,0))^(O280-YEAR($B$5)),T268/(1+HLOOKUP(O280,'Datos SS'!$B$31:$CZZ$32,2,0))))</f>
        <v>15935.407109497386</v>
      </c>
      <c r="U280" s="7">
        <f ca="1">IF(O280=2018,IF(Q280&lt;8,HLOOKUP(O280,'Datos SS'!$B$25:$BZZ$27,3,0)/12,HLOOKUP(O280,'Datos SS'!$B$25:$BZZ$26,2,0)/12),HLOOKUP(O280,'Datos SS'!$B$25:$BZZ$26,2,0)/12)</f>
        <v>4070.1</v>
      </c>
      <c r="V280" s="165">
        <f t="shared" ca="1" si="38"/>
        <v>4070.1</v>
      </c>
      <c r="W280" s="7">
        <f t="shared" ca="1" si="36"/>
        <v>7265.9821183983968</v>
      </c>
      <c r="X280" s="149">
        <f ca="1">HLOOKUP(O280,'Datos SS'!$K$37:$EP$38,2,0)</f>
        <v>1050</v>
      </c>
      <c r="Y280">
        <f t="shared" ca="1" si="42"/>
        <v>1459</v>
      </c>
      <c r="AC280" s="648">
        <v>1961.2981650371328</v>
      </c>
      <c r="AD280" s="650">
        <f t="shared" ca="1" si="39"/>
        <v>-5304.6839533612638</v>
      </c>
    </row>
    <row r="281" spans="15:30">
      <c r="O281" s="4">
        <f t="shared" ca="1" si="40"/>
        <v>2021</v>
      </c>
      <c r="P281" s="4">
        <v>277</v>
      </c>
      <c r="Q281" s="4">
        <f t="shared" ca="1" si="41"/>
        <v>6</v>
      </c>
      <c r="S281" s="125">
        <f ca="1">HLOOKUP(O281,'Datos SS'!$B$4:$CZZ$16,(Q281+1),0)</f>
        <v>107.32</v>
      </c>
      <c r="T281" s="815">
        <f ca="1">IF(O281=YEAR($B$5),($B$9/12),IF(O281&gt;MIN(YEAR($B$7),YEAR($B$5)),($B$9/12)*(1+HLOOKUP(O281,'Datos SS'!$B$31:$CZZ$32,2,0))^(O281-YEAR($B$5)),T269/(1+HLOOKUP(O281,'Datos SS'!$B$31:$CZZ$32,2,0))))</f>
        <v>15935.407109497386</v>
      </c>
      <c r="U281" s="7">
        <f ca="1">IF(O281=2018,IF(Q281&lt;8,HLOOKUP(O281,'Datos SS'!$B$25:$BZZ$27,3,0)/12,HLOOKUP(O281,'Datos SS'!$B$25:$BZZ$26,2,0)/12),HLOOKUP(O281,'Datos SS'!$B$25:$BZZ$26,2,0)/12)</f>
        <v>4070.1</v>
      </c>
      <c r="V281" s="165">
        <f t="shared" ca="1" si="38"/>
        <v>4070.1</v>
      </c>
      <c r="W281" s="7">
        <f t="shared" ca="1" si="36"/>
        <v>7211.2096665368217</v>
      </c>
      <c r="X281" s="149">
        <f ca="1">HLOOKUP(O281,'Datos SS'!$K$37:$EP$38,2,0)</f>
        <v>1050</v>
      </c>
      <c r="Y281">
        <f t="shared" ca="1" si="42"/>
        <v>1458</v>
      </c>
      <c r="AC281" s="648">
        <v>1962.9251366186281</v>
      </c>
      <c r="AD281" s="650">
        <f t="shared" ca="1" si="39"/>
        <v>-5248.2845299181936</v>
      </c>
    </row>
    <row r="282" spans="15:30">
      <c r="O282" s="4">
        <f t="shared" ca="1" si="40"/>
        <v>2021</v>
      </c>
      <c r="P282" s="4">
        <v>278</v>
      </c>
      <c r="Q282" s="4">
        <f t="shared" ca="1" si="41"/>
        <v>5</v>
      </c>
      <c r="S282" s="125">
        <f ca="1">HLOOKUP(O282,'Datos SS'!$B$4:$CZZ$16,(Q282+1),0)</f>
        <v>106.81100000000001</v>
      </c>
      <c r="T282" s="815">
        <f ca="1">IF(O282=YEAR($B$5),($B$9/12),IF(O282&gt;MIN(YEAR($B$7),YEAR($B$5)),($B$9/12)*(1+HLOOKUP(O282,'Datos SS'!$B$31:$CZZ$32,2,0))^(O282-YEAR($B$5)),T270/(1+HLOOKUP(O282,'Datos SS'!$B$31:$CZZ$32,2,0))))</f>
        <v>15935.407109497386</v>
      </c>
      <c r="U282" s="7">
        <f ca="1">IF(O282=2018,IF(Q282&lt;8,HLOOKUP(O282,'Datos SS'!$B$25:$BZZ$27,3,0)/12,HLOOKUP(O282,'Datos SS'!$B$25:$BZZ$26,2,0)/12),HLOOKUP(O282,'Datos SS'!$B$25:$BZZ$26,2,0)/12)</f>
        <v>4070.1</v>
      </c>
      <c r="V282" s="165">
        <f t="shared" ca="1" si="38"/>
        <v>4070.1</v>
      </c>
      <c r="W282" s="7">
        <f t="shared" ca="1" si="36"/>
        <v>7245.5741582115288</v>
      </c>
      <c r="X282" s="149">
        <f ca="1">HLOOKUP(O282,'Datos SS'!$K$37:$EP$38,2,0)</f>
        <v>1050</v>
      </c>
      <c r="Y282">
        <f t="shared" ca="1" si="42"/>
        <v>1457</v>
      </c>
      <c r="AC282" s="648">
        <v>1964.5534578350616</v>
      </c>
      <c r="AD282" s="650">
        <f t="shared" ca="1" si="39"/>
        <v>-5281.0207003764672</v>
      </c>
    </row>
    <row r="283" spans="15:30">
      <c r="O283" s="4">
        <f t="shared" ca="1" si="40"/>
        <v>2021</v>
      </c>
      <c r="P283" s="4">
        <v>279</v>
      </c>
      <c r="Q283" s="4">
        <f t="shared" ca="1" si="41"/>
        <v>4</v>
      </c>
      <c r="S283" s="125">
        <f ca="1">HLOOKUP(O283,'Datos SS'!$B$4:$CZZ$16,(Q283+1),0)</f>
        <v>106.31100000000001</v>
      </c>
      <c r="T283" s="815">
        <f ca="1">IF(O283=YEAR($B$5),($B$9/12),IF(O283&gt;MIN(YEAR($B$7),YEAR($B$5)),($B$9/12)*(1+HLOOKUP(O283,'Datos SS'!$B$31:$CZZ$32,2,0))^(O283-YEAR($B$5)),T271/(1+HLOOKUP(O283,'Datos SS'!$B$31:$CZZ$32,2,0))))</f>
        <v>15935.407109497386</v>
      </c>
      <c r="U283" s="7">
        <f ca="1">IF(O283=2018,IF(Q283&lt;8,HLOOKUP(O283,'Datos SS'!$B$25:$BZZ$27,3,0)/12,HLOOKUP(O283,'Datos SS'!$B$25:$BZZ$26,2,0)/12),HLOOKUP(O283,'Datos SS'!$B$25:$BZZ$26,2,0)/12)</f>
        <v>4070.1</v>
      </c>
      <c r="V283" s="165">
        <f t="shared" ca="1" si="38"/>
        <v>4070.1</v>
      </c>
      <c r="W283" s="7">
        <f ca="1">IF($E$19="NO",IF(P283&lt;=180,IF(P283&lt;25,V283,V283*$S$28/S283),0),IF(P283&gt;$B$15,0,IF(P283&lt;25,V283,V283*$S$28/S283)))</f>
        <v>7279.6514134260005</v>
      </c>
      <c r="X283" s="149">
        <f ca="1">HLOOKUP(O283,'Datos SS'!$K$37:$EP$38,2,0)</f>
        <v>1050</v>
      </c>
      <c r="Y283">
        <f t="shared" ca="1" si="42"/>
        <v>1456</v>
      </c>
      <c r="AC283" s="649">
        <v>1966.1831298060063</v>
      </c>
      <c r="AD283" s="650">
        <f t="shared" ca="1" si="39"/>
        <v>-5313.4682836199945</v>
      </c>
    </row>
    <row r="284" spans="15:30">
      <c r="O284" s="4">
        <f t="shared" ca="1" si="40"/>
        <v>2021</v>
      </c>
      <c r="P284" s="4">
        <v>280</v>
      </c>
      <c r="Q284" s="4">
        <f t="shared" ca="1" si="41"/>
        <v>3</v>
      </c>
      <c r="S284" s="125">
        <f ca="1">HLOOKUP(O284,'Datos SS'!$B$4:$CZZ$16,(Q284+1),0)</f>
        <v>105.07</v>
      </c>
      <c r="T284" s="815">
        <f ca="1">IF(O284=YEAR($B$5),($B$9/12),IF(O284&gt;MIN(YEAR($B$7),YEAR($B$5)),($B$9/12)*(1+HLOOKUP(O284,'Datos SS'!$B$31:$CZZ$32,2,0))^(O284-YEAR($B$5)),T272/(1+HLOOKUP(O284,'Datos SS'!$B$31:$CZZ$32,2,0))))</f>
        <v>15935.407109497386</v>
      </c>
      <c r="U284" s="7">
        <f ca="1">IF(O284=2018,IF(Q284&lt;8,HLOOKUP(O284,'Datos SS'!$B$25:$BZZ$27,3,0)/12,HLOOKUP(O284,'Datos SS'!$B$25:$BZZ$26,2,0)/12),HLOOKUP(O284,'Datos SS'!$B$25:$BZZ$26,2,0)/12)</f>
        <v>4070.1</v>
      </c>
      <c r="V284" s="165">
        <f t="shared" ca="1" si="38"/>
        <v>4070.1</v>
      </c>
      <c r="W284" s="7">
        <f t="shared" ca="1" si="36"/>
        <v>7365.6326393140926</v>
      </c>
      <c r="X284" s="149">
        <f ca="1">HLOOKUP(O284,'Datos SS'!$K$37:$EP$38,2,0)</f>
        <v>1050</v>
      </c>
      <c r="Y284">
        <f t="shared" ca="1" si="42"/>
        <v>1455</v>
      </c>
      <c r="AC284" s="648">
        <v>1967.8141536519647</v>
      </c>
      <c r="AD284" s="650">
        <f t="shared" ca="1" si="39"/>
        <v>-5397.8184856621283</v>
      </c>
    </row>
    <row r="285" spans="15:30">
      <c r="O285" s="4">
        <f t="shared" ca="1" si="40"/>
        <v>2021</v>
      </c>
      <c r="P285" s="4">
        <v>281</v>
      </c>
      <c r="Q285" s="4">
        <f t="shared" ca="1" si="41"/>
        <v>2</v>
      </c>
      <c r="S285" s="125">
        <f ca="1">HLOOKUP(O285,'Datos SS'!$B$4:$CZZ$16,(Q285+1),0)</f>
        <v>104.06100000000001</v>
      </c>
      <c r="T285" s="815">
        <f ca="1">IF(O285=YEAR($B$5),($B$9/12),IF(O285&gt;MIN(YEAR($B$7),YEAR($B$5)),($B$9/12)*(1+HLOOKUP(O285,'Datos SS'!$B$31:$CZZ$32,2,0))^(O285-YEAR($B$5)),T273/(1+HLOOKUP(O285,'Datos SS'!$B$31:$CZZ$32,2,0))))</f>
        <v>15935.407109497386</v>
      </c>
      <c r="U285" s="7">
        <f ca="1">IF(O285=2018,IF(Q285&lt;8,HLOOKUP(O285,'Datos SS'!$B$25:$BZZ$27,3,0)/12,HLOOKUP(O285,'Datos SS'!$B$25:$BZZ$26,2,0)/12),HLOOKUP(O285,'Datos SS'!$B$25:$BZZ$26,2,0)/12)</f>
        <v>4070.1</v>
      </c>
      <c r="V285" s="165">
        <f t="shared" ca="1" si="38"/>
        <v>4070.1</v>
      </c>
      <c r="W285" s="7">
        <f t="shared" ca="1" si="36"/>
        <v>7437.0515506552074</v>
      </c>
      <c r="X285" s="149">
        <f ca="1">HLOOKUP(O285,'Datos SS'!$K$37:$EP$38,2,0)</f>
        <v>1050</v>
      </c>
      <c r="Y285">
        <f t="shared" ca="1" si="42"/>
        <v>1454</v>
      </c>
      <c r="AC285" s="648">
        <v>1969.4465304943687</v>
      </c>
      <c r="AD285" s="650">
        <f t="shared" ca="1" si="39"/>
        <v>-5467.6050201608386</v>
      </c>
    </row>
    <row r="286" spans="15:30">
      <c r="O286" s="4">
        <f t="shared" ca="1" si="40"/>
        <v>2021</v>
      </c>
      <c r="P286" s="4">
        <v>282</v>
      </c>
      <c r="Q286" s="4">
        <f t="shared" ca="1" si="41"/>
        <v>1</v>
      </c>
      <c r="S286" s="125">
        <f ca="1">HLOOKUP(O286,'Datos SS'!$B$4:$CZZ$16,(Q286+1),0)</f>
        <v>104.678</v>
      </c>
      <c r="T286" s="815">
        <f ca="1">IF(O286=YEAR($B$5),($B$9/12),IF(O286&gt;MIN(YEAR($B$7),YEAR($B$5)),($B$9/12)*(1+HLOOKUP(O286,'Datos SS'!$B$31:$CZZ$32,2,0))^(O286-YEAR($B$5)),T274/(1+HLOOKUP(O286,'Datos SS'!$B$31:$CZZ$32,2,0))))</f>
        <v>15935.407109497386</v>
      </c>
      <c r="U286" s="7">
        <f ca="1">IF(O286=2018,IF(Q286&lt;8,HLOOKUP(O286,'Datos SS'!$B$25:$BZZ$27,3,0)/12,HLOOKUP(O286,'Datos SS'!$B$25:$BZZ$26,2,0)/12),HLOOKUP(O286,'Datos SS'!$B$25:$BZZ$26,2,0)/12)</f>
        <v>4070.1</v>
      </c>
      <c r="V286" s="165">
        <f t="shared" ca="1" si="38"/>
        <v>4070.1</v>
      </c>
      <c r="W286" s="7">
        <f t="shared" ca="1" si="36"/>
        <v>7393.2155888795314</v>
      </c>
      <c r="X286" s="149">
        <f ca="1">HLOOKUP(O286,'Datos SS'!$K$37:$EP$38,2,0)</f>
        <v>1050</v>
      </c>
      <c r="Y286">
        <f t="shared" ca="1" si="42"/>
        <v>1453</v>
      </c>
      <c r="AC286" s="648">
        <v>1971.0802614555807</v>
      </c>
      <c r="AD286" s="650">
        <f t="shared" ca="1" si="39"/>
        <v>-5422.1353274239509</v>
      </c>
    </row>
    <row r="287" spans="15:30">
      <c r="O287" s="4">
        <f t="shared" ca="1" si="40"/>
        <v>2020</v>
      </c>
      <c r="P287" s="4">
        <v>283</v>
      </c>
      <c r="Q287" s="4">
        <f t="shared" ca="1" si="41"/>
        <v>12</v>
      </c>
      <c r="S287" s="125">
        <f ca="1">HLOOKUP(O287,'Datos SS'!$B$4:$CZZ$16,(Q287+1),0)</f>
        <v>104.66800000000001</v>
      </c>
      <c r="T287" s="815">
        <f ca="1">IF(O287=YEAR($B$5),($B$9/12),IF(O287&gt;MIN(YEAR($B$7),YEAR($B$5)),($B$9/12)*(1+HLOOKUP(O287,'Datos SS'!$B$31:$CZZ$32,2,0))^(O287-YEAR($B$5)),T275/(1+HLOOKUP(O287,'Datos SS'!$B$31:$CZZ$32,2,0))))</f>
        <v>15935.407109497386</v>
      </c>
      <c r="U287" s="7">
        <f ca="1">IF(O287=2018,IF(Q287&lt;8,HLOOKUP(O287,'Datos SS'!$B$25:$BZZ$27,3,0)/12,HLOOKUP(O287,'Datos SS'!$B$25:$BZZ$26,2,0)/12),HLOOKUP(O287,'Datos SS'!$B$25:$BZZ$26,2,0)/12)</f>
        <v>4070.1</v>
      </c>
      <c r="V287" s="165">
        <f t="shared" ca="1" si="38"/>
        <v>4070.1</v>
      </c>
      <c r="W287" s="7">
        <f t="shared" ca="1" si="36"/>
        <v>7393.9219380587338</v>
      </c>
      <c r="X287" s="149">
        <f ca="1">HLOOKUP(O287,'Datos SS'!$K$37:$EP$38,2,0)</f>
        <v>1050</v>
      </c>
      <c r="Y287">
        <f t="shared" ca="1" si="42"/>
        <v>1452</v>
      </c>
      <c r="AC287" s="648">
        <v>1972.7153476588933</v>
      </c>
      <c r="AD287" s="650">
        <f t="shared" ca="1" si="39"/>
        <v>-5421.2065903998409</v>
      </c>
    </row>
    <row r="288" spans="15:30">
      <c r="O288" s="4">
        <f t="shared" ca="1" si="40"/>
        <v>2020</v>
      </c>
      <c r="P288" s="4">
        <v>284</v>
      </c>
      <c r="Q288" s="4">
        <f t="shared" ca="1" si="41"/>
        <v>11</v>
      </c>
      <c r="S288" s="125">
        <f ca="1">HLOOKUP(O288,'Datos SS'!$B$4:$CZZ$16,(Q288+1),0)</f>
        <v>104.447</v>
      </c>
      <c r="T288" s="815">
        <f ca="1">IF(O288=YEAR($B$5),($B$9/12),IF(O288&gt;MIN(YEAR($B$7),YEAR($B$5)),($B$9/12)*(1+HLOOKUP(O288,'Datos SS'!$B$31:$CZZ$32,2,0))^(O288-YEAR($B$5)),T276/(1+HLOOKUP(O288,'Datos SS'!$B$31:$CZZ$32,2,0))))</f>
        <v>15935.407109497386</v>
      </c>
      <c r="U288" s="7">
        <f ca="1">IF(O288=2018,IF(Q288&lt;8,HLOOKUP(O288,'Datos SS'!$B$25:$BZZ$27,3,0)/12,HLOOKUP(O288,'Datos SS'!$B$25:$BZZ$26,2,0)/12),HLOOKUP(O288,'Datos SS'!$B$25:$BZZ$26,2,0)/12)</f>
        <v>4070.1</v>
      </c>
      <c r="V288" s="165">
        <f t="shared" ca="1" si="38"/>
        <v>4070.1</v>
      </c>
      <c r="W288" s="7">
        <f t="shared" ca="1" si="36"/>
        <v>7409.5667794453802</v>
      </c>
      <c r="X288" s="149">
        <f ca="1">HLOOKUP(O288,'Datos SS'!$K$37:$EP$38,2,0)</f>
        <v>1050</v>
      </c>
      <c r="Y288">
        <f t="shared" ca="1" si="42"/>
        <v>1451</v>
      </c>
      <c r="AC288" s="648">
        <v>1974.3517902285321</v>
      </c>
      <c r="AD288" s="650">
        <f t="shared" ca="1" si="39"/>
        <v>-5435.2149892168482</v>
      </c>
    </row>
    <row r="289" spans="15:30">
      <c r="O289" s="4">
        <f t="shared" ca="1" si="40"/>
        <v>2020</v>
      </c>
      <c r="P289" s="4">
        <v>285</v>
      </c>
      <c r="Q289" s="4">
        <f t="shared" ca="1" si="41"/>
        <v>10</v>
      </c>
      <c r="S289" s="125">
        <f ca="1">HLOOKUP(O289,'Datos SS'!$B$4:$CZZ$16,(Q289+1),0)</f>
        <v>104.27500000000001</v>
      </c>
      <c r="T289" s="815">
        <f ca="1">IF(O289=YEAR($B$5),($B$9/12),IF(O289&gt;MIN(YEAR($B$7),YEAR($B$5)),($B$9/12)*(1+HLOOKUP(O289,'Datos SS'!$B$31:$CZZ$32,2,0))^(O289-YEAR($B$5)),T277/(1+HLOOKUP(O289,'Datos SS'!$B$31:$CZZ$32,2,0))))</f>
        <v>15935.407109497386</v>
      </c>
      <c r="U289" s="7">
        <f ca="1">IF(O289=2018,IF(Q289&lt;8,HLOOKUP(O289,'Datos SS'!$B$25:$BZZ$27,3,0)/12,HLOOKUP(O289,'Datos SS'!$B$25:$BZZ$26,2,0)/12),HLOOKUP(O289,'Datos SS'!$B$25:$BZZ$26,2,0)/12)</f>
        <v>4070.1</v>
      </c>
      <c r="V289" s="165">
        <f t="shared" ca="1" si="38"/>
        <v>4070.1</v>
      </c>
      <c r="W289" s="7">
        <f t="shared" ca="1" si="36"/>
        <v>7421.7887452671448</v>
      </c>
      <c r="X289" s="149">
        <f ca="1">HLOOKUP(O289,'Datos SS'!$K$37:$EP$38,2,0)</f>
        <v>1050</v>
      </c>
      <c r="Y289">
        <f t="shared" ca="1" si="42"/>
        <v>1450</v>
      </c>
      <c r="AC289" s="648">
        <v>1975.9895902896542</v>
      </c>
      <c r="AD289" s="650">
        <f t="shared" ca="1" si="39"/>
        <v>-5445.7991549774906</v>
      </c>
    </row>
    <row r="290" spans="15:30">
      <c r="O290" s="4">
        <f t="shared" ca="1" si="40"/>
        <v>2020</v>
      </c>
      <c r="P290" s="4">
        <v>286</v>
      </c>
      <c r="Q290" s="4">
        <f t="shared" ca="1" si="41"/>
        <v>9</v>
      </c>
      <c r="S290" s="125">
        <f ca="1">HLOOKUP(O290,'Datos SS'!$B$4:$CZZ$16,(Q290+1),0)</f>
        <v>103.73099999999999</v>
      </c>
      <c r="T290" s="815">
        <f ca="1">IF(O290=YEAR($B$5),($B$9/12),IF(O290&gt;MIN(YEAR($B$7),YEAR($B$5)),($B$9/12)*(1+HLOOKUP(O290,'Datos SS'!$B$31:$CZZ$32,2,0))^(O290-YEAR($B$5)),T278/(1+HLOOKUP(O290,'Datos SS'!$B$31:$CZZ$32,2,0))))</f>
        <v>15935.407109497386</v>
      </c>
      <c r="U290" s="7">
        <f ca="1">IF(O290=2018,IF(Q290&lt;8,HLOOKUP(O290,'Datos SS'!$B$25:$BZZ$27,3,0)/12,HLOOKUP(O290,'Datos SS'!$B$25:$BZZ$26,2,0)/12),HLOOKUP(O290,'Datos SS'!$B$25:$BZZ$26,2,0)/12)</f>
        <v>4070.1</v>
      </c>
      <c r="V290" s="165">
        <f t="shared" ca="1" si="38"/>
        <v>4070.1</v>
      </c>
      <c r="W290" s="7">
        <f t="shared" ca="1" si="36"/>
        <v>7460.7110835982648</v>
      </c>
      <c r="X290" s="149">
        <f ca="1">HLOOKUP(O290,'Datos SS'!$K$37:$EP$38,2,0)</f>
        <v>1050</v>
      </c>
      <c r="Y290">
        <f t="shared" ca="1" si="42"/>
        <v>1449</v>
      </c>
      <c r="AC290" s="648">
        <v>1948.4027083432027</v>
      </c>
      <c r="AD290" s="650">
        <f t="shared" ca="1" si="39"/>
        <v>-5512.3083752550619</v>
      </c>
    </row>
    <row r="291" spans="15:30">
      <c r="O291" s="4">
        <f t="shared" ca="1" si="40"/>
        <v>2020</v>
      </c>
      <c r="P291" s="4">
        <v>287</v>
      </c>
      <c r="Q291" s="4">
        <f t="shared" ca="1" si="41"/>
        <v>8</v>
      </c>
      <c r="S291" s="125">
        <f ca="1">HLOOKUP(O291,'Datos SS'!$B$4:$CZZ$16,(Q291+1),0)</f>
        <v>103.575</v>
      </c>
      <c r="T291" s="815">
        <f ca="1">IF(O291=YEAR($B$5),($B$9/12),IF(O291&gt;MIN(YEAR($B$7),YEAR($B$5)),($B$9/12)*(1+HLOOKUP(O291,'Datos SS'!$B$31:$CZZ$32,2,0))^(O291-YEAR($B$5)),T279/(1+HLOOKUP(O291,'Datos SS'!$B$31:$CZZ$32,2,0))))</f>
        <v>15935.407109497386</v>
      </c>
      <c r="U291" s="7">
        <f ca="1">IF(O291=2018,IF(Q291&lt;8,HLOOKUP(O291,'Datos SS'!$B$25:$BZZ$27,3,0)/12,HLOOKUP(O291,'Datos SS'!$B$25:$BZZ$26,2,0)/12),HLOOKUP(O291,'Datos SS'!$B$25:$BZZ$26,2,0)/12)</f>
        <v>4070.1</v>
      </c>
      <c r="V291" s="165">
        <f t="shared" ca="1" si="38"/>
        <v>4070.1</v>
      </c>
      <c r="W291" s="7">
        <f t="shared" ca="1" si="36"/>
        <v>7471.94807060325</v>
      </c>
      <c r="X291" s="149">
        <f ca="1">HLOOKUP(O291,'Datos SS'!$K$37:$EP$38,2,0)</f>
        <v>1050</v>
      </c>
      <c r="Y291">
        <f t="shared" ca="1" si="42"/>
        <v>1448</v>
      </c>
      <c r="AC291" s="648">
        <v>1950.0189826518688</v>
      </c>
      <c r="AD291" s="650">
        <f t="shared" ca="1" si="39"/>
        <v>-5521.929087951381</v>
      </c>
    </row>
    <row r="292" spans="15:30">
      <c r="O292" s="4">
        <f t="shared" ca="1" si="40"/>
        <v>2020</v>
      </c>
      <c r="P292" s="4">
        <v>288</v>
      </c>
      <c r="Q292" s="4">
        <f t="shared" ca="1" si="41"/>
        <v>7</v>
      </c>
      <c r="S292" s="125">
        <f ca="1">HLOOKUP(O292,'Datos SS'!$B$4:$CZZ$16,(Q292+1),0)</f>
        <v>103.52800000000001</v>
      </c>
      <c r="T292" s="815">
        <f ca="1">IF(O292=YEAR($B$5),($B$9/12),IF(O292&gt;MIN(YEAR($B$7),YEAR($B$5)),($B$9/12)*(1+HLOOKUP(O292,'Datos SS'!$B$31:$CZZ$32,2,0))^(O292-YEAR($B$5)),T280/(1+HLOOKUP(O292,'Datos SS'!$B$31:$CZZ$32,2,0))))</f>
        <v>15935.407109497386</v>
      </c>
      <c r="U292" s="7">
        <f ca="1">IF(O292=2018,IF(Q292&lt;8,HLOOKUP(O292,'Datos SS'!$B$25:$BZZ$27,3,0)/12,HLOOKUP(O292,'Datos SS'!$B$25:$BZZ$26,2,0)/12),HLOOKUP(O292,'Datos SS'!$B$25:$BZZ$26,2,0)/12)</f>
        <v>4070.1</v>
      </c>
      <c r="V292" s="165">
        <f t="shared" ca="1" si="38"/>
        <v>4070.1</v>
      </c>
      <c r="W292" s="7">
        <f t="shared" ca="1" si="36"/>
        <v>7475.3402114667679</v>
      </c>
      <c r="X292" s="149">
        <f ca="1">HLOOKUP(O292,'Datos SS'!$K$37:$EP$38,2,0)</f>
        <v>1050</v>
      </c>
      <c r="Y292">
        <f t="shared" ca="1" si="42"/>
        <v>1447</v>
      </c>
      <c r="AC292" s="648">
        <v>1951.6365977216772</v>
      </c>
      <c r="AD292" s="650">
        <f t="shared" ca="1" si="39"/>
        <v>-5523.7036137450905</v>
      </c>
    </row>
    <row r="293" spans="15:30">
      <c r="O293" s="4">
        <f t="shared" ca="1" si="40"/>
        <v>2020</v>
      </c>
      <c r="P293" s="4">
        <v>289</v>
      </c>
      <c r="Q293" s="4">
        <f t="shared" ca="1" si="41"/>
        <v>6</v>
      </c>
      <c r="S293" s="125">
        <f ca="1">HLOOKUP(O293,'Datos SS'!$B$4:$CZZ$16,(Q293+1),0)</f>
        <v>104.46599999999999</v>
      </c>
      <c r="T293" s="815">
        <f ca="1">IF(O293=YEAR($B$5),($B$9/12),IF(O293&gt;MIN(YEAR($B$7),YEAR($B$5)),($B$9/12)*(1+HLOOKUP(O293,'Datos SS'!$B$31:$CZZ$32,2,0))^(O293-YEAR($B$5)),T281/(1+HLOOKUP(O293,'Datos SS'!$B$31:$CZZ$32,2,0))))</f>
        <v>15935.407109497386</v>
      </c>
      <c r="U293" s="7">
        <f ca="1">IF(O293=2018,IF(Q293&lt;8,HLOOKUP(O293,'Datos SS'!$B$25:$BZZ$27,3,0)/12,HLOOKUP(O293,'Datos SS'!$B$25:$BZZ$26,2,0)/12),HLOOKUP(O293,'Datos SS'!$B$25:$BZZ$26,2,0)/12)</f>
        <v>4070.1</v>
      </c>
      <c r="V293" s="165">
        <f t="shared" ca="1" si="38"/>
        <v>4070.1</v>
      </c>
      <c r="W293" s="7">
        <f t="shared" ca="1" si="36"/>
        <v>7408.2191470213438</v>
      </c>
      <c r="X293" s="149">
        <f ca="1">HLOOKUP(O293,'Datos SS'!$K$37:$EP$38,2,0)</f>
        <v>1050</v>
      </c>
      <c r="Y293">
        <f t="shared" ca="1" si="42"/>
        <v>1446</v>
      </c>
      <c r="AC293" s="648">
        <v>1953.25555466484</v>
      </c>
      <c r="AD293" s="650">
        <f t="shared" ca="1" si="39"/>
        <v>-5454.9635923565038</v>
      </c>
    </row>
    <row r="294" spans="15:30">
      <c r="O294" s="4">
        <f t="shared" ca="1" si="40"/>
        <v>2020</v>
      </c>
      <c r="P294" s="4">
        <v>290</v>
      </c>
      <c r="Q294" s="4">
        <f t="shared" ca="1" si="41"/>
        <v>5</v>
      </c>
      <c r="S294" s="125">
        <f ca="1">HLOOKUP(O294,'Datos SS'!$B$4:$CZZ$16,(Q294+1),0)</f>
        <v>103.986</v>
      </c>
      <c r="T294" s="815">
        <f ca="1">IF(O294=YEAR($B$5),($B$9/12),IF(O294&gt;MIN(YEAR($B$7),YEAR($B$5)),($B$9/12)*(1+HLOOKUP(O294,'Datos SS'!$B$31:$CZZ$32,2,0))^(O294-YEAR($B$5)),T282/(1+HLOOKUP(O294,'Datos SS'!$B$31:$CZZ$32,2,0))))</f>
        <v>15935.407109497386</v>
      </c>
      <c r="U294" s="7">
        <f ca="1">IF(O294=2018,IF(Q294&lt;8,HLOOKUP(O294,'Datos SS'!$B$25:$BZZ$27,3,0)/12,HLOOKUP(O294,'Datos SS'!$B$25:$BZZ$26,2,0)/12),HLOOKUP(O294,'Datos SS'!$B$25:$BZZ$26,2,0)/12)</f>
        <v>4070.1</v>
      </c>
      <c r="V294" s="165">
        <f t="shared" ca="1" si="38"/>
        <v>4070.1</v>
      </c>
      <c r="W294" s="7">
        <f t="shared" ca="1" si="36"/>
        <v>7442.4155310592923</v>
      </c>
      <c r="X294" s="149">
        <f ca="1">HLOOKUP(O294,'Datos SS'!$K$37:$EP$38,2,0)</f>
        <v>1050</v>
      </c>
      <c r="Y294">
        <f t="shared" ca="1" si="42"/>
        <v>1445</v>
      </c>
      <c r="AC294" s="648">
        <v>1954.8758545944929</v>
      </c>
      <c r="AD294" s="650">
        <f t="shared" ca="1" si="39"/>
        <v>-5487.5396764647994</v>
      </c>
    </row>
    <row r="295" spans="15:30">
      <c r="O295" s="4">
        <f t="shared" ca="1" si="40"/>
        <v>2020</v>
      </c>
      <c r="P295" s="4">
        <v>291</v>
      </c>
      <c r="Q295" s="4">
        <f t="shared" ca="1" si="41"/>
        <v>4</v>
      </c>
      <c r="S295" s="125">
        <f ca="1">HLOOKUP(O295,'Datos SS'!$B$4:$CZZ$16,(Q295+1),0)</f>
        <v>103.992</v>
      </c>
      <c r="T295" s="815">
        <f ca="1">IF(O295=YEAR($B$5),($B$9/12),IF(O295&gt;MIN(YEAR($B$7),YEAR($B$5)),($B$9/12)*(1+HLOOKUP(O295,'Datos SS'!$B$31:$CZZ$32,2,0))^(O295-YEAR($B$5)),T283/(1+HLOOKUP(O295,'Datos SS'!$B$31:$CZZ$32,2,0))))</f>
        <v>15935.407109497386</v>
      </c>
      <c r="U295" s="7">
        <f ca="1">IF(O295=2018,IF(Q295&lt;8,HLOOKUP(O295,'Datos SS'!$B$25:$BZZ$27,3,0)/12,HLOOKUP(O295,'Datos SS'!$B$25:$BZZ$26,2,0)/12),HLOOKUP(O295,'Datos SS'!$B$25:$BZZ$26,2,0)/12)</f>
        <v>4070.1</v>
      </c>
      <c r="V295" s="165">
        <f t="shared" ca="1" si="38"/>
        <v>4070.1</v>
      </c>
      <c r="W295" s="7">
        <f t="shared" ca="1" si="36"/>
        <v>7441.9861279014885</v>
      </c>
      <c r="X295" s="149">
        <f ca="1">HLOOKUP(O295,'Datos SS'!$K$37:$EP$38,2,0)</f>
        <v>1050</v>
      </c>
      <c r="Y295">
        <f t="shared" ca="1" si="42"/>
        <v>1444</v>
      </c>
      <c r="AC295" s="648">
        <v>1956.4974986246941</v>
      </c>
      <c r="AD295" s="650">
        <f t="shared" ca="1" si="39"/>
        <v>-5485.4886292767942</v>
      </c>
    </row>
    <row r="296" spans="15:30">
      <c r="O296" s="4">
        <f t="shared" ca="1" si="40"/>
        <v>2020</v>
      </c>
      <c r="P296" s="4">
        <v>292</v>
      </c>
      <c r="Q296" s="4">
        <f t="shared" ca="1" si="41"/>
        <v>3</v>
      </c>
      <c r="S296" s="125">
        <f ca="1">HLOOKUP(O296,'Datos SS'!$B$4:$CZZ$16,(Q296+1),0)</f>
        <v>103.679</v>
      </c>
      <c r="T296" s="815">
        <f ca="1">IF(O296=YEAR($B$5),($B$9/12),IF(O296&gt;MIN(YEAR($B$7),YEAR($B$5)),($B$9/12)*(1+HLOOKUP(O296,'Datos SS'!$B$31:$CZZ$32,2,0))^(O296-YEAR($B$5)),T284/(1+HLOOKUP(O296,'Datos SS'!$B$31:$CZZ$32,2,0))))</f>
        <v>15935.407109497386</v>
      </c>
      <c r="U296" s="7">
        <f ca="1">IF(O296=2018,IF(Q296&lt;8,HLOOKUP(O296,'Datos SS'!$B$25:$BZZ$27,3,0)/12,HLOOKUP(O296,'Datos SS'!$B$25:$BZZ$26,2,0)/12),HLOOKUP(O296,'Datos SS'!$B$25:$BZZ$26,2,0)/12)</f>
        <v>4070.1</v>
      </c>
      <c r="V296" s="165">
        <f t="shared" ca="1" si="38"/>
        <v>4070.1</v>
      </c>
      <c r="W296" s="7">
        <f t="shared" ca="1" si="36"/>
        <v>7464.4529886739992</v>
      </c>
      <c r="X296" s="149">
        <f ca="1">HLOOKUP(O296,'Datos SS'!$K$37:$EP$38,2,0)</f>
        <v>1050</v>
      </c>
      <c r="Y296">
        <f t="shared" ca="1" si="42"/>
        <v>1443</v>
      </c>
      <c r="AC296" s="648">
        <v>1958.1204878704261</v>
      </c>
      <c r="AD296" s="650">
        <f t="shared" ca="1" si="39"/>
        <v>-5506.3325008035736</v>
      </c>
    </row>
    <row r="297" spans="15:30">
      <c r="O297" s="4">
        <f t="shared" ca="1" si="40"/>
        <v>2020</v>
      </c>
      <c r="P297" s="4">
        <v>293</v>
      </c>
      <c r="Q297" s="4">
        <f t="shared" ca="1" si="41"/>
        <v>2</v>
      </c>
      <c r="S297" s="125">
        <f ca="1">HLOOKUP(O297,'Datos SS'!$B$4:$CZZ$16,(Q297+1),0)</f>
        <v>104.078</v>
      </c>
      <c r="T297" s="815">
        <f ca="1">IF(O297=YEAR($B$5),($B$9/12),IF(O297&gt;MIN(YEAR($B$7),YEAR($B$5)),($B$9/12)*(1+HLOOKUP(O297,'Datos SS'!$B$31:$CZZ$32,2,0))^(O297-YEAR($B$5)),T285/(1+HLOOKUP(O297,'Datos SS'!$B$31:$CZZ$32,2,0))))</f>
        <v>15935.407109497386</v>
      </c>
      <c r="U297" s="7">
        <f ca="1">IF(O297=2018,IF(Q297&lt;8,HLOOKUP(O297,'Datos SS'!$B$25:$BZZ$27,3,0)/12,HLOOKUP(O297,'Datos SS'!$B$25:$BZZ$26,2,0)/12),HLOOKUP(O297,'Datos SS'!$B$25:$BZZ$26,2,0)/12)</f>
        <v>4070.1</v>
      </c>
      <c r="V297" s="165">
        <f t="shared" ca="1" si="38"/>
        <v>4070.1</v>
      </c>
      <c r="W297" s="7">
        <f t="shared" ca="1" si="36"/>
        <v>7435.8367898377328</v>
      </c>
      <c r="X297" s="149">
        <f ca="1">HLOOKUP(O297,'Datos SS'!$K$37:$EP$38,2,0)</f>
        <v>1050</v>
      </c>
      <c r="Y297">
        <f t="shared" ca="1" si="42"/>
        <v>1442</v>
      </c>
      <c r="AC297" s="648">
        <v>1959.7448234475967</v>
      </c>
      <c r="AD297" s="650">
        <f t="shared" ca="1" si="39"/>
        <v>-5476.0919663901359</v>
      </c>
    </row>
    <row r="298" spans="15:30">
      <c r="O298" s="4">
        <f t="shared" ca="1" si="40"/>
        <v>2020</v>
      </c>
      <c r="P298" s="4">
        <v>294</v>
      </c>
      <c r="Q298" s="4">
        <f t="shared" ca="1" si="41"/>
        <v>1</v>
      </c>
      <c r="S298" s="125">
        <f ca="1">HLOOKUP(O298,'Datos SS'!$B$4:$CZZ$16,(Q298+1),0)</f>
        <v>104.202</v>
      </c>
      <c r="T298" s="815">
        <f ca="1">IF(O298=YEAR($B$5),($B$9/12),IF(O298&gt;MIN(YEAR($B$7),YEAR($B$5)),($B$9/12)*(1+HLOOKUP(O298,'Datos SS'!$B$31:$CZZ$32,2,0))^(O298-YEAR($B$5)),T286/(1+HLOOKUP(O298,'Datos SS'!$B$31:$CZZ$32,2,0))))</f>
        <v>15935.407109497386</v>
      </c>
      <c r="U298" s="7">
        <f ca="1">IF(O298=2018,IF(Q298&lt;8,HLOOKUP(O298,'Datos SS'!$B$25:$BZZ$27,3,0)/12,HLOOKUP(O298,'Datos SS'!$B$25:$BZZ$26,2,0)/12),HLOOKUP(O298,'Datos SS'!$B$25:$BZZ$26,2,0)/12)</f>
        <v>4070.1</v>
      </c>
      <c r="V298" s="165">
        <f t="shared" ca="1" si="38"/>
        <v>4070.1</v>
      </c>
      <c r="W298" s="7">
        <f t="shared" ca="1" si="36"/>
        <v>7426.9881711745611</v>
      </c>
      <c r="X298" s="149">
        <f ca="1">HLOOKUP(O298,'Datos SS'!$K$37:$EP$38,2,0)</f>
        <v>1050</v>
      </c>
      <c r="Y298">
        <f t="shared" ca="1" si="42"/>
        <v>1441</v>
      </c>
      <c r="AC298" s="648">
        <v>1961.3705064730393</v>
      </c>
      <c r="AD298" s="650">
        <f t="shared" ca="1" si="39"/>
        <v>-5465.6176647015218</v>
      </c>
    </row>
    <row r="299" spans="15:30">
      <c r="O299" s="4">
        <f t="shared" ca="1" si="40"/>
        <v>2019</v>
      </c>
      <c r="P299" s="4">
        <v>295</v>
      </c>
      <c r="Q299" s="4">
        <f t="shared" ca="1" si="41"/>
        <v>12</v>
      </c>
      <c r="S299" s="125">
        <f ca="1">HLOOKUP(O299,'Datos SS'!$B$4:$CZZ$16,(Q299+1),0)</f>
        <v>105.22799999999999</v>
      </c>
      <c r="T299" s="815">
        <f ca="1">IF(O299=YEAR($B$5),($B$9/12),IF(O299&gt;MIN(YEAR($B$7),YEAR($B$5)),($B$9/12)*(1+HLOOKUP(O299,'Datos SS'!$B$31:$CZZ$32,2,0))^(O299-YEAR($B$5)),T287/(1+HLOOKUP(O299,'Datos SS'!$B$31:$CZZ$32,2,0))))</f>
        <v>15810.774501720784</v>
      </c>
      <c r="U299" s="7">
        <f ca="1">IF(O299=2018,IF(Q299&lt;8,HLOOKUP(O299,'Datos SS'!$B$25:$BZZ$27,3,0)/12,HLOOKUP(O299,'Datos SS'!$B$25:$BZZ$26,2,0)/12),HLOOKUP(O299,'Datos SS'!$B$25:$BZZ$26,2,0)/12)</f>
        <v>4070.1</v>
      </c>
      <c r="V299" s="165">
        <f t="shared" ca="1" si="38"/>
        <v>4070.1</v>
      </c>
      <c r="W299" s="7">
        <f t="shared" ca="1" si="36"/>
        <v>7354.5731308466538</v>
      </c>
      <c r="X299" s="149">
        <f ca="1">HLOOKUP(O299,'Datos SS'!$K$37:$EP$38,2,0)</f>
        <v>1050</v>
      </c>
      <c r="Y299">
        <f t="shared" ca="1" si="42"/>
        <v>1440</v>
      </c>
      <c r="AC299" s="648">
        <v>1962.9975380645133</v>
      </c>
      <c r="AD299" s="650">
        <f t="shared" ca="1" si="39"/>
        <v>-5391.575592782141</v>
      </c>
    </row>
    <row r="300" spans="15:30">
      <c r="O300" s="4">
        <f t="shared" ca="1" si="40"/>
        <v>2019</v>
      </c>
      <c r="P300" s="4">
        <v>296</v>
      </c>
      <c r="Q300" s="4">
        <f t="shared" ca="1" si="41"/>
        <v>11</v>
      </c>
      <c r="S300" s="125">
        <f ca="1">HLOOKUP(O300,'Datos SS'!$B$4:$CZZ$16,(Q300+1),0)</f>
        <v>105.304</v>
      </c>
      <c r="T300" s="815">
        <f ca="1">IF(O300=YEAR($B$5),($B$9/12),IF(O300&gt;MIN(YEAR($B$7),YEAR($B$5)),($B$9/12)*(1+HLOOKUP(O300,'Datos SS'!$B$31:$CZZ$32,2,0))^(O300-YEAR($B$5)),T288/(1+HLOOKUP(O300,'Datos SS'!$B$31:$CZZ$32,2,0))))</f>
        <v>15810.774501720784</v>
      </c>
      <c r="U300" s="7">
        <f ca="1">IF(O300=2018,IF(Q300&lt;8,HLOOKUP(O300,'Datos SS'!$B$25:$BZZ$27,3,0)/12,HLOOKUP(O300,'Datos SS'!$B$25:$BZZ$26,2,0)/12),HLOOKUP(O300,'Datos SS'!$B$25:$BZZ$26,2,0)/12)</f>
        <v>4070.1</v>
      </c>
      <c r="V300" s="165">
        <f t="shared" ca="1" si="38"/>
        <v>4070.1</v>
      </c>
      <c r="W300" s="7">
        <f t="shared" ca="1" si="36"/>
        <v>7349.265188527801</v>
      </c>
      <c r="X300" s="149">
        <f ca="1">HLOOKUP(O300,'Datos SS'!$K$37:$EP$38,2,0)</f>
        <v>1050</v>
      </c>
      <c r="Y300">
        <f t="shared" ca="1" si="42"/>
        <v>1439</v>
      </c>
      <c r="AC300" s="648">
        <v>1964.6259193407052</v>
      </c>
      <c r="AD300" s="650">
        <f t="shared" ca="1" si="39"/>
        <v>-5384.639269187096</v>
      </c>
    </row>
    <row r="301" spans="15:30">
      <c r="O301" s="4">
        <f t="shared" ca="1" si="40"/>
        <v>2019</v>
      </c>
      <c r="P301" s="4">
        <v>297</v>
      </c>
      <c r="Q301" s="4">
        <f t="shared" ca="1" si="41"/>
        <v>10</v>
      </c>
      <c r="S301" s="125">
        <f ca="1">HLOOKUP(O301,'Datos SS'!$B$4:$CZZ$16,(Q301+1),0)</f>
        <v>105.126</v>
      </c>
      <c r="T301" s="815">
        <f ca="1">IF(O301=YEAR($B$5),($B$9/12),IF(O301&gt;MIN(YEAR($B$7),YEAR($B$5)),($B$9/12)*(1+HLOOKUP(O301,'Datos SS'!$B$31:$CZZ$32,2,0))^(O301-YEAR($B$5)),T289/(1+HLOOKUP(O301,'Datos SS'!$B$31:$CZZ$32,2,0))))</f>
        <v>15810.774501720784</v>
      </c>
      <c r="U301" s="7">
        <f ca="1">IF(O301=2018,IF(Q301&lt;8,HLOOKUP(O301,'Datos SS'!$B$25:$BZZ$27,3,0)/12,HLOOKUP(O301,'Datos SS'!$B$25:$BZZ$26,2,0)/12),HLOOKUP(O301,'Datos SS'!$B$25:$BZZ$26,2,0)/12)</f>
        <v>4070.1</v>
      </c>
      <c r="V301" s="165">
        <f t="shared" ca="1" si="38"/>
        <v>4070.1</v>
      </c>
      <c r="W301" s="7">
        <f t="shared" ca="1" si="36"/>
        <v>7361.7090102613201</v>
      </c>
      <c r="X301" s="149">
        <f ca="1">HLOOKUP(O301,'Datos SS'!$K$37:$EP$38,2,0)</f>
        <v>1050</v>
      </c>
      <c r="Y301">
        <f t="shared" ca="1" si="42"/>
        <v>1438</v>
      </c>
      <c r="AC301" s="648">
        <v>1966.2556514212308</v>
      </c>
      <c r="AD301" s="650">
        <f t="shared" ca="1" si="39"/>
        <v>-5395.4533588400891</v>
      </c>
    </row>
    <row r="302" spans="15:30">
      <c r="O302" s="4">
        <f t="shared" ca="1" si="40"/>
        <v>2019</v>
      </c>
      <c r="P302" s="4">
        <v>298</v>
      </c>
      <c r="Q302" s="4">
        <f t="shared" ca="1" si="41"/>
        <v>9</v>
      </c>
      <c r="S302" s="125">
        <f ca="1">HLOOKUP(O302,'Datos SS'!$B$4:$CZZ$16,(Q302+1),0)</f>
        <v>104.116</v>
      </c>
      <c r="T302" s="815">
        <f ca="1">IF(O302=YEAR($B$5),($B$9/12),IF(O302&gt;MIN(YEAR($B$7),YEAR($B$5)),($B$9/12)*(1+HLOOKUP(O302,'Datos SS'!$B$31:$CZZ$32,2,0))^(O302-YEAR($B$5)),T290/(1+HLOOKUP(O302,'Datos SS'!$B$31:$CZZ$32,2,0))))</f>
        <v>15810.774501720784</v>
      </c>
      <c r="U302" s="7">
        <f ca="1">IF(O302=2018,IF(Q302&lt;8,HLOOKUP(O302,'Datos SS'!$B$25:$BZZ$27,3,0)/12,HLOOKUP(O302,'Datos SS'!$B$25:$BZZ$26,2,0)/12),HLOOKUP(O302,'Datos SS'!$B$25:$BZZ$26,2,0)/12)</f>
        <v>4070.1</v>
      </c>
      <c r="V302" s="165">
        <f t="shared" ca="1" si="38"/>
        <v>4070.1</v>
      </c>
      <c r="W302" s="7">
        <f t="shared" ca="1" si="36"/>
        <v>7433.1228765293672</v>
      </c>
      <c r="X302" s="149">
        <f ca="1">HLOOKUP(O302,'Datos SS'!$K$37:$EP$38,2,0)</f>
        <v>1050</v>
      </c>
      <c r="Y302">
        <f t="shared" ca="1" si="42"/>
        <v>1437</v>
      </c>
      <c r="AC302" s="648">
        <v>1938.804665444959</v>
      </c>
      <c r="AD302" s="650">
        <f t="shared" ca="1" si="39"/>
        <v>-5494.3182110844082</v>
      </c>
    </row>
    <row r="303" spans="15:30">
      <c r="O303" s="4">
        <f t="shared" ca="1" si="40"/>
        <v>2019</v>
      </c>
      <c r="P303" s="4">
        <v>299</v>
      </c>
      <c r="Q303" s="4">
        <f t="shared" ca="1" si="41"/>
        <v>8</v>
      </c>
      <c r="S303" s="125">
        <f ca="1">HLOOKUP(O303,'Datos SS'!$B$4:$CZZ$16,(Q303+1),0)</f>
        <v>104.116</v>
      </c>
      <c r="T303" s="815">
        <f ca="1">IF(O303=YEAR($B$5),($B$9/12),IF(O303&gt;MIN(YEAR($B$7),YEAR($B$5)),($B$9/12)*(1+HLOOKUP(O303,'Datos SS'!$B$31:$CZZ$32,2,0))^(O303-YEAR($B$5)),T291/(1+HLOOKUP(O303,'Datos SS'!$B$31:$CZZ$32,2,0))))</f>
        <v>15810.774501720784</v>
      </c>
      <c r="U303" s="7">
        <f ca="1">IF(O303=2018,IF(Q303&lt;8,HLOOKUP(O303,'Datos SS'!$B$25:$BZZ$27,3,0)/12,HLOOKUP(O303,'Datos SS'!$B$25:$BZZ$26,2,0)/12),HLOOKUP(O303,'Datos SS'!$B$25:$BZZ$26,2,0)/12)</f>
        <v>4070.1</v>
      </c>
      <c r="V303" s="165">
        <f t="shared" ca="1" si="38"/>
        <v>4070.1</v>
      </c>
      <c r="W303" s="7">
        <f t="shared" ca="1" si="36"/>
        <v>7433.1228765293672</v>
      </c>
      <c r="X303" s="149">
        <f ca="1">HLOOKUP(O303,'Datos SS'!$K$37:$EP$38,2,0)</f>
        <v>1050</v>
      </c>
      <c r="Y303">
        <f t="shared" ca="1" si="42"/>
        <v>1436</v>
      </c>
      <c r="AC303" s="648">
        <v>1940.4129778112178</v>
      </c>
      <c r="AD303" s="650">
        <f t="shared" ca="1" si="39"/>
        <v>-5492.7098987181489</v>
      </c>
    </row>
    <row r="304" spans="15:30">
      <c r="O304" s="4">
        <f ca="1">IF(Q304=12,O303-1,O303)</f>
        <v>2019</v>
      </c>
      <c r="P304" s="4">
        <v>300</v>
      </c>
      <c r="Q304" s="4">
        <f t="shared" ca="1" si="41"/>
        <v>7</v>
      </c>
      <c r="S304" s="125">
        <f ca="1">HLOOKUP(O304,'Datos SS'!$B$4:$CZZ$16,(Q304+1),0)</f>
        <v>104.17400000000001</v>
      </c>
      <c r="T304" s="815">
        <f ca="1">IF(O304=YEAR($B$5),($B$9/12),IF(O304&gt;MIN(YEAR($B$7),YEAR($B$5)),($B$9/12)*(1+HLOOKUP(O304,'Datos SS'!$B$31:$CZZ$32,2,0))^(O304-YEAR($B$5)),T292/(1+HLOOKUP(O304,'Datos SS'!$B$31:$CZZ$32,2,0))))</f>
        <v>15810.774501720784</v>
      </c>
      <c r="U304" s="7">
        <f ca="1">IF(O304=2018,IF(Q304&lt;8,HLOOKUP(O304,'Datos SS'!$B$25:$BZZ$27,3,0)/12,HLOOKUP(O304,'Datos SS'!$B$25:$BZZ$26,2,0)/12),HLOOKUP(O304,'Datos SS'!$B$25:$BZZ$26,2,0)/12)</f>
        <v>4070.1</v>
      </c>
      <c r="V304" s="165">
        <f t="shared" ca="1" si="38"/>
        <v>4070.1</v>
      </c>
      <c r="W304" s="7">
        <f ca="1">IF($E$19="NO",IF(P304&lt;=180,IF(P304&lt;25,V304,V304*$S$28/S304),0),IF(P304&gt;$B$15,0,IF(P304&lt;25,V304,V304*$S$28/S304)))</f>
        <v>7428.9844050601068</v>
      </c>
      <c r="X304" s="149">
        <f ca="1">HLOOKUP(O304,'Datos SS'!$K$37:$EP$38,2,0)</f>
        <v>1050</v>
      </c>
      <c r="Y304">
        <f t="shared" ca="1" si="42"/>
        <v>1435</v>
      </c>
      <c r="AC304" s="648">
        <v>1942.0226243338843</v>
      </c>
      <c r="AD304" s="650">
        <f t="shared" ca="1" si="39"/>
        <v>-5486.9617807262221</v>
      </c>
    </row>
    <row r="305" spans="15:30">
      <c r="O305" s="4">
        <f ca="1">IF(Q305=12,O304-1,O304)</f>
        <v>2019</v>
      </c>
      <c r="P305" s="4">
        <v>301</v>
      </c>
      <c r="Q305" s="4">
        <f t="shared" ca="1" si="41"/>
        <v>6</v>
      </c>
      <c r="S305" s="4">
        <f ca="1">HLOOKUP(O305,'Datos SS'!$B$4:$CZZ$16,(Q305+1),0)</f>
        <v>104.824</v>
      </c>
      <c r="T305" s="815">
        <f ca="1">IF(O305=YEAR($B$5),($B$9/12),IF(O305&gt;MIN(YEAR($B$7),YEAR($B$5)),($B$9/12)*(1+HLOOKUP(O305,'Datos SS'!$B$31:$CZZ$32,2,0))^(O305-YEAR($B$5)),T293/(1+HLOOKUP(O305,'Datos SS'!$B$31:$CZZ$32,2,0))))</f>
        <v>15810.774501720784</v>
      </c>
      <c r="U305" s="7">
        <f ca="1">IF(O305=2018,IF(Q305&lt;8,HLOOKUP(O305,'Datos SS'!$B$25:$BZZ$27,3,0)/12,HLOOKUP(O305,'Datos SS'!$B$25:$BZZ$26,2,0)/12),HLOOKUP(O305,'Datos SS'!$B$25:$BZZ$26,2,0)/12)</f>
        <v>4070.1</v>
      </c>
      <c r="V305" s="165">
        <f t="shared" ca="1" si="38"/>
        <v>4070.1</v>
      </c>
      <c r="X305" s="149">
        <f ca="1">HLOOKUP(O305,'Datos SS'!$K$37:$EP$38,2,0)</f>
        <v>1050</v>
      </c>
      <c r="Y305">
        <f t="shared" ca="1" si="42"/>
        <v>1434</v>
      </c>
      <c r="AD305" s="650">
        <f t="shared" si="39"/>
        <v>0</v>
      </c>
    </row>
  </sheetData>
  <mergeCells count="8">
    <mergeCell ref="A19:B19"/>
    <mergeCell ref="A3:B3"/>
    <mergeCell ref="H4:I4"/>
    <mergeCell ref="A74:B74"/>
    <mergeCell ref="A43:B43"/>
    <mergeCell ref="A60:B60"/>
    <mergeCell ref="AA48:AB48"/>
    <mergeCell ref="E26:I26"/>
  </mergeCells>
  <pageMargins left="0.7" right="0.7" top="0.75" bottom="0.75" header="0.3" footer="0.3"/>
  <pageSetup paperSize="9" orientation="portrait" horizontalDpi="1200" verticalDpi="120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sheetPr>
  <dimension ref="A1:CZ226"/>
  <sheetViews>
    <sheetView showGridLines="0" tabSelected="1" topLeftCell="B1" zoomScale="93" zoomScaleNormal="93" workbookViewId="0">
      <selection activeCell="G19" sqref="G19"/>
    </sheetView>
  </sheetViews>
  <sheetFormatPr defaultColWidth="9.109375" defaultRowHeight="13.8"/>
  <cols>
    <col min="1" max="1" width="13.6640625" style="172" hidden="1" customWidth="1"/>
    <col min="2" max="2" width="2.5546875" style="172" customWidth="1"/>
    <col min="3" max="3" width="0.6640625" style="172" customWidth="1"/>
    <col min="4" max="4" width="36.5546875" style="172" customWidth="1"/>
    <col min="5" max="5" width="25.88671875" style="172" customWidth="1"/>
    <col min="6" max="6" width="24.88671875" style="172" customWidth="1"/>
    <col min="7" max="7" width="21.88671875" style="172" customWidth="1"/>
    <col min="8" max="8" width="30.88671875" style="172" customWidth="1"/>
    <col min="9" max="9" width="35" style="172" customWidth="1"/>
    <col min="10" max="10" width="10.33203125" style="172" bestFit="1" customWidth="1"/>
    <col min="11" max="11" width="4.44140625" style="172" customWidth="1"/>
    <col min="12" max="13" width="9.109375" style="172"/>
    <col min="14" max="15" width="9.109375" style="195" customWidth="1"/>
    <col min="16" max="16" width="13.88671875" style="195" customWidth="1"/>
    <col min="17" max="17" width="5.33203125" style="195" customWidth="1"/>
    <col min="18" max="18" width="9.5546875" style="195" customWidth="1"/>
    <col min="19" max="19" width="13.88671875" style="195" customWidth="1"/>
    <col min="20" max="20" width="10.5546875" style="195" customWidth="1"/>
    <col min="21" max="21" width="12" style="195" customWidth="1"/>
    <col min="22" max="22" width="9.109375" style="195" customWidth="1"/>
    <col min="23" max="23" width="10.5546875" style="195" customWidth="1"/>
    <col min="24" max="24" width="9.109375" style="195" customWidth="1"/>
    <col min="25" max="26" width="12" style="195" customWidth="1"/>
    <col min="27" max="29" width="9.109375" style="195" customWidth="1"/>
    <col min="30" max="30" width="12" style="195" customWidth="1"/>
    <col min="31" max="35" width="9.109375" style="195" customWidth="1"/>
    <col min="36" max="43" width="9.109375" style="195"/>
    <col min="44" max="49" width="9.109375" style="195" customWidth="1"/>
    <col min="50" max="51" width="9.109375" style="195"/>
    <col min="52" max="52" width="13.5546875" style="195" customWidth="1"/>
    <col min="53" max="53" width="9.33203125" style="195" customWidth="1"/>
    <col min="54" max="54" width="8.109375" style="195" customWidth="1"/>
    <col min="55" max="60" width="9.109375" style="195"/>
    <col min="61" max="61" width="11.5546875" style="195" customWidth="1"/>
    <col min="62" max="62" width="9.109375" style="195"/>
    <col min="63" max="65" width="9.109375" style="195" customWidth="1"/>
    <col min="66" max="104" width="9.109375" style="195"/>
    <col min="105" max="16384" width="9.109375" style="172"/>
  </cols>
  <sheetData>
    <row r="1" spans="2:104">
      <c r="M1" s="261"/>
      <c r="N1" s="519"/>
    </row>
    <row r="2" spans="2:104" ht="36.6" customHeight="1">
      <c r="C2" s="924" t="s">
        <v>394</v>
      </c>
      <c r="D2" s="925"/>
      <c r="E2" s="925"/>
      <c r="F2" s="925"/>
      <c r="G2" s="925"/>
      <c r="H2" s="926"/>
      <c r="I2" s="178"/>
      <c r="M2" s="261"/>
      <c r="N2" s="519"/>
    </row>
    <row r="3" spans="2:104" ht="25.5" customHeight="1">
      <c r="D3" s="936" t="s">
        <v>339</v>
      </c>
      <c r="E3" s="936"/>
      <c r="F3" s="936"/>
      <c r="G3" s="936"/>
      <c r="H3" s="936"/>
      <c r="I3" s="183"/>
      <c r="M3" s="261"/>
      <c r="N3" s="519"/>
    </row>
    <row r="4" spans="2:104" ht="16.5" customHeight="1">
      <c r="D4" s="936"/>
      <c r="E4" s="936"/>
      <c r="F4" s="936"/>
      <c r="G4" s="936"/>
      <c r="H4" s="936"/>
      <c r="I4" s="183"/>
      <c r="M4" s="261"/>
      <c r="N4" s="519"/>
    </row>
    <row r="5" spans="2:104" ht="17.399999999999999" customHeight="1">
      <c r="D5" s="349" t="s">
        <v>310</v>
      </c>
      <c r="E5" s="370">
        <f ca="1">+'Fecha Jubilación'!V7</f>
        <v>52781</v>
      </c>
      <c r="F5" s="350" t="s">
        <v>256</v>
      </c>
      <c r="G5" s="940">
        <f ca="1">'Fecha Jubilación'!N7</f>
        <v>52781</v>
      </c>
      <c r="H5" s="941"/>
      <c r="I5" s="183"/>
    </row>
    <row r="6" spans="2:104" ht="18.899999999999999" customHeight="1">
      <c r="D6"/>
      <c r="E6"/>
      <c r="F6"/>
      <c r="I6" s="183"/>
    </row>
    <row r="7" spans="2:104" customFormat="1" ht="5.25" customHeight="1">
      <c r="N7" s="10"/>
      <c r="O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row>
    <row r="8" spans="2:104" ht="25.5" customHeight="1">
      <c r="D8" s="935" t="s">
        <v>354</v>
      </c>
      <c r="E8" s="935"/>
      <c r="F8" s="935"/>
      <c r="G8" s="935"/>
      <c r="H8" s="339"/>
      <c r="I8" s="183"/>
      <c r="P8"/>
      <c r="S8" s="519"/>
    </row>
    <row r="9" spans="2:104" s="261" customFormat="1" ht="15" customHeight="1">
      <c r="D9" s="262"/>
      <c r="E9" s="263"/>
      <c r="F9" s="264"/>
      <c r="G9" s="265"/>
      <c r="H9" s="265"/>
      <c r="I9" s="266"/>
      <c r="N9" s="519"/>
      <c r="O9" s="519"/>
      <c r="P9" s="519"/>
      <c r="Q9" s="519"/>
      <c r="R9" s="519"/>
      <c r="S9" s="519"/>
      <c r="T9" s="519"/>
      <c r="U9" s="519"/>
      <c r="V9" s="519"/>
      <c r="W9" s="519"/>
      <c r="X9" s="519"/>
      <c r="Y9" s="519"/>
      <c r="Z9" s="519"/>
      <c r="AA9" s="519"/>
      <c r="AB9" s="519"/>
      <c r="AC9" s="519"/>
      <c r="AD9" s="519"/>
      <c r="AE9" s="519"/>
      <c r="AF9" s="519"/>
      <c r="AG9" s="519"/>
      <c r="AH9" s="519"/>
      <c r="AI9" s="519"/>
      <c r="AJ9" s="519"/>
      <c r="AK9" s="519"/>
      <c r="AL9" s="519"/>
      <c r="AM9" s="519"/>
      <c r="AN9" s="519"/>
      <c r="AO9" s="519"/>
      <c r="AP9" s="519"/>
      <c r="AQ9" s="519"/>
      <c r="AR9" s="519"/>
      <c r="AS9" s="519"/>
      <c r="AT9" s="519"/>
      <c r="AU9" s="519"/>
      <c r="AV9" s="519"/>
      <c r="AW9" s="519"/>
      <c r="AX9" s="519"/>
      <c r="AY9" s="519"/>
      <c r="AZ9" s="519"/>
      <c r="BA9" s="519"/>
      <c r="BB9" s="519"/>
      <c r="BC9" s="519"/>
      <c r="BD9" s="519"/>
      <c r="BE9" s="519"/>
      <c r="BF9" s="519"/>
      <c r="BG9" s="519"/>
      <c r="BH9" s="519"/>
      <c r="BI9" s="519"/>
      <c r="BJ9" s="519"/>
      <c r="BK9" s="519"/>
      <c r="BL9" s="519"/>
      <c r="BM9" s="519"/>
      <c r="BN9" s="519"/>
      <c r="BO9" s="519"/>
      <c r="BP9" s="519"/>
      <c r="BQ9" s="519"/>
      <c r="BR9" s="519"/>
      <c r="BS9" s="519"/>
      <c r="BT9" s="519"/>
      <c r="BU9" s="519"/>
      <c r="BV9" s="519"/>
      <c r="BW9" s="519"/>
      <c r="BX9" s="519"/>
      <c r="BY9" s="519"/>
      <c r="BZ9" s="519"/>
      <c r="CA9" s="519"/>
      <c r="CB9" s="519"/>
      <c r="CC9" s="519"/>
      <c r="CD9" s="519"/>
      <c r="CE9" s="519"/>
      <c r="CF9" s="519"/>
      <c r="CG9" s="519"/>
      <c r="CH9" s="519"/>
      <c r="CI9" s="519"/>
      <c r="CJ9" s="519"/>
      <c r="CK9" s="519"/>
      <c r="CL9" s="519"/>
      <c r="CM9" s="519"/>
      <c r="CN9" s="519"/>
      <c r="CO9" s="519"/>
      <c r="CP9" s="519"/>
      <c r="CQ9" s="519"/>
      <c r="CR9" s="519"/>
      <c r="CS9" s="519"/>
      <c r="CT9" s="519"/>
      <c r="CU9" s="519"/>
      <c r="CV9" s="519"/>
      <c r="CW9" s="519"/>
      <c r="CX9" s="519"/>
      <c r="CY9" s="519"/>
      <c r="CZ9" s="519"/>
    </row>
    <row r="10" spans="2:104" ht="17.399999999999999" customHeight="1">
      <c r="C10" s="368"/>
      <c r="D10" s="931" t="s">
        <v>393</v>
      </c>
      <c r="E10" s="931"/>
      <c r="F10" s="931"/>
      <c r="G10" s="937" t="s">
        <v>251</v>
      </c>
      <c r="H10" s="938"/>
      <c r="I10" s="182"/>
      <c r="U10" s="10"/>
      <c r="AD10" s="520"/>
    </row>
    <row r="11" spans="2:104" ht="12.9" customHeight="1">
      <c r="B11"/>
      <c r="C11" s="368"/>
      <c r="D11" s="932"/>
      <c r="E11" s="932"/>
      <c r="F11" s="932"/>
      <c r="G11" s="932"/>
      <c r="H11" s="356"/>
      <c r="I11" s="204"/>
    </row>
    <row r="12" spans="2:104" ht="22.5" customHeight="1">
      <c r="C12" s="368"/>
      <c r="D12" s="934" t="str">
        <f>+IF(G10="Jubilación anticipada"," ¿A qué edad le gustaría acceder a la jubilación de manera anticipada? ",IF(G10="Jubilación prolongada","¿Cuántos años prevee prolongar su acceso a la jubilación? ",""))</f>
        <v/>
      </c>
      <c r="E12" s="934"/>
      <c r="F12" s="364" t="str">
        <f>+IF(G10="Jubilación anticipada","Años:","")</f>
        <v/>
      </c>
      <c r="G12" s="367"/>
      <c r="H12" s="365">
        <v>63</v>
      </c>
      <c r="I12" s="207"/>
    </row>
    <row r="13" spans="2:104" ht="17.399999999999999" customHeight="1">
      <c r="C13" s="368"/>
      <c r="D13" s="931" t="str">
        <f>IF(G10="Jubilación anticipada"," Seleccione en los desplegables los años y los meses:","")</f>
        <v/>
      </c>
      <c r="E13" s="931"/>
      <c r="F13" s="366" t="str">
        <f>+IF(G10="Jubilación anticipada","Meses:","")</f>
        <v/>
      </c>
      <c r="G13" s="367"/>
      <c r="H13" s="365">
        <v>1</v>
      </c>
      <c r="I13" s="207"/>
    </row>
    <row r="14" spans="2:104" ht="34.5" customHeight="1">
      <c r="D14" s="939" t="str">
        <f ca="1">IF(G21&lt;15,"Es necesario haber cotizado un mínimo de 15 años para tener derecho al cobro de la pensión contributiva de la Seguridad Social.",IF(AND(G5&lt;TODAY(),OR(G10="Jubilación anticipada",G10="Jubilación ordinaria")),"En su caso ya ha superado la edad ordinaria de jubilación: seleccione Jubilación prolongada.
El número de años a prolongar debe ser al menos"&amp;" "&amp;'Fecha Jubilación'!O7&amp;" "&amp;"años y la fecha de jubilación sería la fecha actual.",IF(AND(G10="Jubilación prolongada",D13="",$E$99&lt;'Fecha Jubilación'!O7),"El número de años a prolongar debe ser al menos"&amp;" "&amp;'Fecha Jubilación'!O7&amp;" "&amp;"años y la fecha de jubilación sería la fecha actual",IF(D13="Al haber superado ya su edad de jubilación ordinaria, seleccione la prolongada","",IF(AND($E$101&lt;$D$46,G10="Jubilación anticipada"),"No es posible acceder a la jubilación anticipada en la edad indicada. La edad más temprana a la que es posible acceder es:",IF(AND(G10="Jubilación anticipada",$E$101&gt;D45),"La edad seleccionada sobrepasa la ordinaria, si desea jubilarse de manera anticipada seleccione una edad inferior.",""))))))</f>
        <v/>
      </c>
      <c r="E14" s="939"/>
      <c r="F14" s="939"/>
      <c r="G14" s="576"/>
      <c r="H14" s="573">
        <f ca="1">+IF(AND(G5&lt;TODAY(),OR(G10="Jubilación anticipada",G10="Jubilación ordinaria")),"",IF(AND($E$101&gt;$D$46,$E$101&lt;$D$45),$E$101,IF($E$101&gt;$D$45,$D$45,$D$46)))</f>
        <v>67</v>
      </c>
      <c r="I14" s="207"/>
    </row>
    <row r="15" spans="2:104" ht="4.5" customHeight="1">
      <c r="D15" s="929"/>
      <c r="E15" s="929"/>
      <c r="F15" s="929"/>
      <c r="G15" s="261"/>
      <c r="H15" s="261"/>
      <c r="I15" s="184"/>
    </row>
    <row r="16" spans="2:104" ht="17.399999999999999">
      <c r="D16" s="930"/>
      <c r="E16" s="930"/>
      <c r="F16" s="930"/>
      <c r="G16" s="529"/>
      <c r="H16" s="522"/>
      <c r="I16" s="204"/>
    </row>
    <row r="17" spans="1:104" ht="4.5" customHeight="1">
      <c r="D17" s="933"/>
      <c r="E17" s="933"/>
      <c r="F17" s="933"/>
      <c r="G17" s="522"/>
      <c r="H17" s="522"/>
      <c r="I17" s="207"/>
    </row>
    <row r="18" spans="1:104" ht="25.5" customHeight="1">
      <c r="B18"/>
      <c r="C18"/>
      <c r="D18" s="354" t="s">
        <v>355</v>
      </c>
      <c r="E18" s="354"/>
      <c r="F18" s="354"/>
      <c r="G18" s="354"/>
      <c r="H18" s="339"/>
      <c r="I18" s="182"/>
      <c r="Z18" s="520"/>
    </row>
    <row r="19" spans="1:104" ht="17.399999999999999" customHeight="1">
      <c r="D19" s="359" t="str">
        <f>+IF($G$10="Jubilación anticipada","Edad de jubilación anticipada",IF($G$10="Jubilación prolongada","Edad de jubilación prolongada","Edad de jubilación ordinaria"))</f>
        <v>Edad de jubilación ordinaria</v>
      </c>
      <c r="E19" s="357"/>
      <c r="F19" s="357"/>
      <c r="G19" s="308">
        <f ca="1">IFERROR(ROUND((G20-'Simulador - Datos personales'!E7)/365.25,2),"-")</f>
        <v>67</v>
      </c>
      <c r="H19" s="308"/>
      <c r="I19" s="184"/>
    </row>
    <row r="20" spans="1:104" ht="17.399999999999999" customHeight="1">
      <c r="D20" s="359" t="str">
        <f>+IF($G$10="Jubilación anticipada","Fecha de jubilación anticipada",IF($G$10="Jubilación prolongada","Fecha de jubilación prolongada","Fecha de jubilación ordinaria"))</f>
        <v>Fecha de jubilación ordinaria</v>
      </c>
      <c r="E20" s="357"/>
      <c r="F20" s="357"/>
      <c r="G20" s="187">
        <f ca="1">IFERROR(IF($G$10="Jubilación anticipada",MAX(E102,E103),IF($G$10="Jubilación prolongada",'Fecha Jubilación'!M17,'Fecha Jubilación'!N7)),"-")</f>
        <v>52781</v>
      </c>
      <c r="H20" s="187"/>
      <c r="I20" s="184"/>
    </row>
    <row r="21" spans="1:104" ht="17.399999999999999" customHeight="1">
      <c r="D21" s="359" t="str">
        <f>+IF($G$10="Jubilación anticipada","Años cotizados en la fecha de jubilación anticipada",IF($G$10="Jubilación prolongada","Años cotizados en la fecha de jubilación prolongada","Años cotizados en la fecha de jubilación ordinaria"))</f>
        <v>Años cotizados en la fecha de jubilación ordinaria</v>
      </c>
      <c r="E21" s="357"/>
      <c r="F21" s="357"/>
      <c r="G21" s="308">
        <f ca="1">IFERROR(IF(PJSS!C8&lt;0,"-",PJSS!C8),"-")</f>
        <v>19.78</v>
      </c>
      <c r="H21" s="308"/>
      <c r="I21" s="184"/>
    </row>
    <row r="22" spans="1:104" ht="17.399999999999999" customHeight="1">
      <c r="D22" s="359" t="s">
        <v>384</v>
      </c>
      <c r="E22" s="357"/>
      <c r="F22" s="357"/>
      <c r="G22" s="259">
        <f ca="1">IFERROR(+PJSS!I6*IF(G21&lt;15,0,1),"-")</f>
        <v>0.60829999999999995</v>
      </c>
      <c r="H22" s="259"/>
      <c r="I22" s="207"/>
    </row>
    <row r="23" spans="1:104" ht="17.399999999999999" customHeight="1">
      <c r="D23" s="359" t="str">
        <f>IF(AND(G10="Jubilación prolongada",H94="Complemento vitalicio"),"Porcentaje adicional aplicado a la base reguladora en función de la edad de acceso",IF(AND(G10="Jubilación prolongada",H94="Pago único"),"Pago único a percibir por prolongar la vida laboral","Porcentaje de reducción aplicado a la pensión en función de la edad de acceso"))</f>
        <v>Porcentaje de reducción aplicado a la pensión en función de la edad de acceso</v>
      </c>
      <c r="E23" s="357"/>
      <c r="F23" s="357"/>
      <c r="G23" s="259">
        <f ca="1">+IF(IF(D23="Porcentaje adicional aplicado a la base reguladora en función de la edad de acceso",PJSS!B49,PJSS!B53)&lt;0,0,IF(D23="Porcentaje adicional aplicado a la base reguladora en función de la edad de acceso",PJSS!B49,PJSS!B53))</f>
        <v>0</v>
      </c>
      <c r="H23" s="259"/>
      <c r="I23" s="207"/>
      <c r="S23" s="521"/>
    </row>
    <row r="24" spans="1:104" ht="21" customHeight="1">
      <c r="D24" s="359" t="s">
        <v>494</v>
      </c>
      <c r="E24" s="357"/>
      <c r="F24" s="358"/>
      <c r="G24" s="308">
        <f ca="1">+PJSS!B45</f>
        <v>4853.419652629852</v>
      </c>
      <c r="H24" s="259"/>
      <c r="I24" s="184"/>
    </row>
    <row r="25" spans="1:104" ht="25.5" customHeight="1">
      <c r="A25" s="260"/>
      <c r="B25"/>
      <c r="C25"/>
      <c r="D25" s="927" t="s">
        <v>352</v>
      </c>
      <c r="E25" s="928"/>
      <c r="F25" s="928"/>
      <c r="G25" s="928"/>
      <c r="H25" s="338"/>
      <c r="I25" s="184"/>
      <c r="O25" s="524"/>
      <c r="U25" s="520"/>
    </row>
    <row r="26" spans="1:104" ht="17.399999999999999" customHeight="1">
      <c r="D26" s="313"/>
      <c r="E26" s="312"/>
      <c r="F26" s="360" t="s">
        <v>285</v>
      </c>
      <c r="G26" s="918" t="s">
        <v>284</v>
      </c>
      <c r="H26" s="919"/>
      <c r="I26" s="184"/>
      <c r="O26" s="525"/>
    </row>
    <row r="27" spans="1:104" customFormat="1" ht="1.5" customHeight="1" thickBot="1">
      <c r="F27" s="11"/>
      <c r="G27" s="315"/>
      <c r="H27" s="11"/>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row>
    <row r="28" spans="1:104" ht="17.399999999999999" customHeight="1" thickTop="1">
      <c r="C28" s="346"/>
      <c r="D28" s="351" t="s">
        <v>383</v>
      </c>
      <c r="E28" s="267"/>
      <c r="F28" s="362">
        <f ca="1">IFERROR(IF($G$28="","",$G$28*14),"-")</f>
        <v>49994.959319989473</v>
      </c>
      <c r="G28" s="920">
        <f ca="1">IFERROR(IF($D$89=0,IF(PJSS!$B$11="Hombre",PJSS!$I$9,PJSS!$I$10),""),"-")</f>
        <v>3571.0685228563912</v>
      </c>
      <c r="H28" s="921"/>
      <c r="I28" s="184"/>
    </row>
    <row r="29" spans="1:104" ht="5.25" customHeight="1">
      <c r="C29" s="205"/>
      <c r="D29" s="352"/>
      <c r="E29" s="267"/>
      <c r="F29" s="355"/>
      <c r="G29" s="355"/>
      <c r="H29" s="355"/>
      <c r="I29" s="207"/>
    </row>
    <row r="30" spans="1:104" ht="12.9" customHeight="1">
      <c r="B30"/>
      <c r="C30"/>
      <c r="D30"/>
      <c r="E30"/>
      <c r="F30"/>
      <c r="G30"/>
      <c r="H30"/>
      <c r="I30" s="207"/>
    </row>
    <row r="31" spans="1:104" ht="4.5" customHeight="1">
      <c r="B31"/>
      <c r="C31"/>
      <c r="D31"/>
      <c r="E31"/>
      <c r="F31"/>
      <c r="G31"/>
      <c r="H31"/>
      <c r="I31" s="207"/>
    </row>
    <row r="32" spans="1:104" ht="20.399999999999999" customHeight="1">
      <c r="C32" s="347"/>
      <c r="D32" s="353" t="s">
        <v>382</v>
      </c>
      <c r="E32" s="348"/>
      <c r="F32" s="923">
        <f ca="1">IFERROR(IF($D$89=0,$F$28/$G$50,""),"-")</f>
        <v>0.13200138862105404</v>
      </c>
      <c r="G32" s="923"/>
      <c r="H32" s="923"/>
      <c r="I32" s="207"/>
    </row>
    <row r="33" spans="2:104" ht="16.5" customHeight="1">
      <c r="D33" s="309"/>
      <c r="E33" s="310"/>
      <c r="F33" s="311"/>
      <c r="G33" s="311"/>
      <c r="H33" s="311"/>
      <c r="I33" s="207"/>
    </row>
    <row r="34" spans="2:104" s="195" customFormat="1" ht="58.5" customHeight="1">
      <c r="B34" s="10"/>
      <c r="C34" s="10"/>
      <c r="H34" s="337"/>
      <c r="I34" s="10"/>
      <c r="J34" s="10"/>
      <c r="K34" s="10"/>
      <c r="L34" s="10"/>
      <c r="M34" s="10"/>
      <c r="N34" s="10"/>
      <c r="O34" s="10"/>
      <c r="P34" s="10"/>
      <c r="Q34" s="10"/>
      <c r="R34" s="10"/>
    </row>
    <row r="35" spans="2:104" s="195" customFormat="1" ht="13.5" customHeight="1">
      <c r="B35" s="10"/>
      <c r="C35" s="10"/>
      <c r="E35" s="270"/>
      <c r="F35" s="363"/>
      <c r="G35" s="270"/>
      <c r="H35" s="270"/>
      <c r="I35" s="10"/>
      <c r="J35" s="10"/>
      <c r="K35" s="10"/>
      <c r="L35" s="10"/>
      <c r="M35" s="10"/>
      <c r="N35" s="10"/>
      <c r="O35" s="10"/>
      <c r="P35" s="10"/>
      <c r="Q35" s="10"/>
      <c r="R35" s="10"/>
    </row>
    <row r="36" spans="2:104" s="195" customFormat="1" ht="13.5" customHeight="1">
      <c r="B36" s="10"/>
      <c r="C36" s="10"/>
      <c r="D36" s="523"/>
      <c r="E36" s="523"/>
      <c r="F36" s="523"/>
      <c r="G36" s="523"/>
      <c r="H36" s="523"/>
      <c r="I36" s="10"/>
      <c r="J36" s="10"/>
      <c r="K36" s="10"/>
      <c r="L36" s="10"/>
      <c r="M36" s="10"/>
      <c r="N36" s="10"/>
      <c r="O36" s="10"/>
      <c r="P36" s="10"/>
      <c r="Q36" s="10"/>
      <c r="R36" s="10"/>
    </row>
    <row r="37" spans="2:104" s="195" customFormat="1" ht="13.5" customHeight="1">
      <c r="B37" s="10"/>
      <c r="C37" s="10"/>
      <c r="D37" s="510" t="s">
        <v>466</v>
      </c>
      <c r="E37" s="523"/>
      <c r="F37" s="523"/>
      <c r="G37" s="523"/>
      <c r="H37" s="523"/>
      <c r="I37" s="10"/>
      <c r="J37" s="10"/>
      <c r="K37" s="10"/>
      <c r="L37" s="10"/>
      <c r="M37" s="10"/>
      <c r="N37" s="10"/>
      <c r="O37" s="10"/>
      <c r="P37" s="10"/>
      <c r="Q37" s="10"/>
      <c r="R37" s="10"/>
    </row>
    <row r="38" spans="2:104" s="195" customFormat="1" ht="13.5" customHeight="1">
      <c r="B38" s="10"/>
      <c r="C38" s="10"/>
      <c r="D38" s="523"/>
      <c r="E38" s="523"/>
      <c r="F38" s="523"/>
      <c r="G38" s="523"/>
      <c r="H38" s="523"/>
      <c r="I38" s="10"/>
      <c r="J38" s="10"/>
      <c r="K38" s="10"/>
      <c r="L38" s="10"/>
      <c r="M38" s="10"/>
      <c r="N38" s="10"/>
      <c r="O38" s="10"/>
      <c r="P38" s="10"/>
      <c r="Q38" s="10"/>
      <c r="R38" s="10"/>
    </row>
    <row r="39" spans="2:104" s="195" customFormat="1" ht="13.5" customHeight="1">
      <c r="B39" s="10"/>
      <c r="C39" s="10"/>
      <c r="D39" s="523"/>
      <c r="E39" s="523"/>
      <c r="F39" s="523"/>
      <c r="G39" s="523"/>
      <c r="H39" s="523"/>
      <c r="I39" s="10"/>
      <c r="J39" s="10"/>
      <c r="K39" s="10"/>
      <c r="L39" s="10"/>
      <c r="M39" s="10"/>
      <c r="N39" s="10"/>
      <c r="O39" s="10"/>
      <c r="P39" s="10"/>
      <c r="Q39" s="10"/>
      <c r="R39" s="10"/>
    </row>
    <row r="40" spans="2:104" s="195" customFormat="1" ht="13.5" customHeight="1">
      <c r="B40" s="10"/>
      <c r="C40" s="10"/>
      <c r="D40" s="559" t="s">
        <v>493</v>
      </c>
      <c r="E40" s="575" t="s">
        <v>496</v>
      </c>
      <c r="F40" s="523"/>
      <c r="G40" s="523"/>
      <c r="H40" s="523"/>
      <c r="I40" s="10"/>
      <c r="J40" s="10"/>
      <c r="K40" s="10"/>
      <c r="L40" s="10"/>
      <c r="M40" s="10"/>
      <c r="N40" s="10"/>
      <c r="O40" s="10"/>
      <c r="P40" s="10"/>
      <c r="Q40" s="10"/>
      <c r="R40" s="10"/>
    </row>
    <row r="41" spans="2:104" s="195" customFormat="1" ht="13.5" customHeight="1">
      <c r="B41" s="10"/>
      <c r="C41" s="10"/>
      <c r="D41" s="574" t="str">
        <f ca="1">+IF(ROUND($G$21,2)&lt;15,"Es necesario haber cotizado un mínimo de 15 años para tener derecho al cobro de la pensión contributiva de la Seguridad Social."," ")</f>
        <v xml:space="preserve"> </v>
      </c>
      <c r="E41" s="188"/>
      <c r="F41" s="188"/>
      <c r="G41" s="188"/>
      <c r="H41" s="523"/>
      <c r="I41" s="10"/>
      <c r="J41" s="10"/>
      <c r="K41" s="10"/>
      <c r="L41" s="10"/>
      <c r="M41" s="10"/>
      <c r="N41" s="10"/>
      <c r="O41" s="10"/>
      <c r="P41" s="10"/>
      <c r="Q41" s="10"/>
      <c r="R41" s="10"/>
    </row>
    <row r="42" spans="2:104" s="195" customFormat="1" ht="13.5" customHeight="1">
      <c r="B42" s="10"/>
      <c r="C42" s="10"/>
      <c r="D42" s="523"/>
      <c r="E42" s="523"/>
      <c r="F42" s="523"/>
      <c r="G42" s="523"/>
      <c r="H42" s="523"/>
      <c r="I42" s="10"/>
      <c r="J42" s="10"/>
      <c r="K42" s="10"/>
      <c r="L42" s="10"/>
      <c r="M42" s="10"/>
      <c r="N42" s="10"/>
      <c r="O42" s="10"/>
      <c r="P42" s="10"/>
      <c r="Q42" s="10"/>
      <c r="R42" s="10"/>
    </row>
    <row r="43" spans="2:104" s="195" customFormat="1" ht="13.5" customHeight="1">
      <c r="B43" s="10"/>
      <c r="C43" s="10"/>
      <c r="D43" s="523"/>
      <c r="E43" s="523"/>
      <c r="F43" s="523"/>
      <c r="G43" s="523"/>
      <c r="H43" s="523"/>
      <c r="I43" s="10"/>
      <c r="J43" s="10"/>
      <c r="K43" s="10"/>
      <c r="L43" s="10"/>
      <c r="M43" s="10"/>
      <c r="N43" s="10"/>
      <c r="O43" s="10"/>
      <c r="P43" s="10"/>
      <c r="Q43" s="10"/>
      <c r="R43" s="10"/>
    </row>
    <row r="44" spans="2:104" s="195" customFormat="1" ht="13.5" customHeight="1">
      <c r="B44" s="10"/>
      <c r="C44" s="10"/>
      <c r="D44" s="559" t="s">
        <v>502</v>
      </c>
      <c r="E44" s="523"/>
      <c r="F44" s="523"/>
      <c r="G44" s="523"/>
      <c r="H44" s="523"/>
      <c r="I44" s="10"/>
      <c r="J44" s="10"/>
      <c r="K44" s="10"/>
      <c r="L44" s="10"/>
      <c r="M44" s="10"/>
      <c r="N44" s="10"/>
      <c r="O44" s="10"/>
      <c r="P44" s="10"/>
      <c r="Q44" s="10"/>
      <c r="R44" s="10"/>
    </row>
    <row r="45" spans="2:104" s="195" customFormat="1" ht="13.5" customHeight="1">
      <c r="B45" s="10"/>
      <c r="C45" s="195" t="s">
        <v>495</v>
      </c>
      <c r="D45" s="515">
        <f ca="1">IF('Simulador - Datos personales'!$G$7=" ",($G$5-'Simulador - Datos personales'!$E$7)/365.25," ")</f>
        <v>67.000684462696782</v>
      </c>
      <c r="E45" s="578" t="s">
        <v>503</v>
      </c>
      <c r="F45" s="523"/>
      <c r="G45" s="523"/>
      <c r="H45" s="523"/>
      <c r="I45" s="10"/>
      <c r="J45" s="10"/>
      <c r="K45" s="10"/>
      <c r="L45" s="10"/>
      <c r="M45" s="10"/>
      <c r="N45" s="10"/>
      <c r="O45" s="10"/>
      <c r="P45" s="10"/>
      <c r="Q45" s="10"/>
      <c r="R45" s="10"/>
    </row>
    <row r="46" spans="2:104" s="195" customFormat="1" ht="13.5" customHeight="1">
      <c r="B46" s="10"/>
      <c r="C46" s="195" t="s">
        <v>501</v>
      </c>
      <c r="D46" s="515">
        <f ca="1">ROUND(+'Fecha Jubilación'!V8,2)</f>
        <v>67</v>
      </c>
      <c r="E46" s="578" t="s">
        <v>504</v>
      </c>
      <c r="F46" s="523"/>
      <c r="G46" s="523"/>
      <c r="H46" s="523"/>
      <c r="I46" s="10"/>
      <c r="J46" s="10"/>
      <c r="K46" s="10"/>
      <c r="L46" s="10"/>
      <c r="M46" s="10"/>
      <c r="N46" s="10"/>
      <c r="O46" s="10"/>
      <c r="P46" s="10"/>
      <c r="Q46" s="10"/>
      <c r="R46" s="10"/>
    </row>
    <row r="47" spans="2:104" s="195" customFormat="1" ht="18" customHeight="1">
      <c r="B47" s="10"/>
      <c r="C47" s="10"/>
      <c r="D47" s="510"/>
      <c r="E47" s="10"/>
      <c r="F47" s="10"/>
      <c r="G47" s="10"/>
      <c r="H47" s="10"/>
      <c r="J47" s="10"/>
      <c r="K47" s="10"/>
      <c r="L47" s="10"/>
      <c r="M47" s="10"/>
      <c r="N47" s="10"/>
      <c r="O47" s="10"/>
      <c r="P47" s="10"/>
      <c r="Q47" s="10"/>
      <c r="R47" s="10"/>
    </row>
    <row r="48" spans="2:104" s="190" customFormat="1" ht="42.6" customHeight="1">
      <c r="B48" s="239"/>
      <c r="C48" s="239"/>
      <c r="D48" s="559" t="s">
        <v>469</v>
      </c>
      <c r="F48" s="361"/>
      <c r="G48" s="189"/>
      <c r="H48" s="189"/>
      <c r="I48" s="189"/>
      <c r="J48" s="239"/>
      <c r="K48" s="239"/>
      <c r="L48" s="239"/>
      <c r="M48" s="239"/>
      <c r="N48" s="514"/>
      <c r="O48" s="514"/>
      <c r="P48" s="514"/>
      <c r="Q48" s="514"/>
      <c r="R48" s="514"/>
      <c r="S48" s="521"/>
      <c r="T48" s="521"/>
      <c r="U48" s="521"/>
      <c r="V48" s="521"/>
      <c r="W48" s="521"/>
      <c r="X48" s="521"/>
      <c r="Y48" s="521"/>
      <c r="Z48" s="521"/>
      <c r="AA48" s="521"/>
      <c r="AB48" s="521"/>
      <c r="AC48" s="521"/>
      <c r="AD48" s="521"/>
      <c r="AE48" s="521"/>
      <c r="AF48" s="521"/>
      <c r="AG48" s="521"/>
      <c r="AH48" s="521"/>
      <c r="AI48" s="521"/>
      <c r="AJ48" s="521"/>
      <c r="AK48" s="521"/>
      <c r="AL48" s="521"/>
      <c r="AM48" s="521"/>
      <c r="AN48" s="521"/>
      <c r="AO48" s="521"/>
      <c r="AP48" s="521"/>
      <c r="AQ48" s="521"/>
      <c r="AR48" s="521"/>
      <c r="AS48" s="521"/>
      <c r="AT48" s="521"/>
      <c r="AU48" s="521"/>
      <c r="AV48" s="521"/>
      <c r="AW48" s="521"/>
      <c r="AX48" s="521"/>
      <c r="AY48" s="521"/>
      <c r="AZ48" s="521"/>
      <c r="BA48" s="521"/>
      <c r="BB48" s="521"/>
      <c r="BC48" s="521"/>
      <c r="BD48" s="521"/>
      <c r="BE48" s="521"/>
      <c r="BF48" s="521"/>
      <c r="BG48" s="521"/>
      <c r="BH48" s="521"/>
      <c r="BI48" s="521"/>
      <c r="BJ48" s="521"/>
      <c r="BK48" s="521"/>
      <c r="BL48" s="521"/>
      <c r="BM48" s="521"/>
      <c r="BN48" s="521"/>
      <c r="BO48" s="521"/>
      <c r="BP48" s="521"/>
      <c r="BQ48" s="521"/>
      <c r="BR48" s="521"/>
      <c r="BS48" s="521"/>
      <c r="BT48" s="521"/>
      <c r="BU48" s="521"/>
      <c r="BV48" s="521"/>
      <c r="BW48" s="521"/>
      <c r="BX48" s="521"/>
      <c r="BY48" s="521"/>
      <c r="BZ48" s="521"/>
      <c r="CA48" s="521"/>
      <c r="CB48" s="521"/>
      <c r="CC48" s="521"/>
      <c r="CD48" s="521"/>
      <c r="CE48" s="521"/>
      <c r="CF48" s="521"/>
      <c r="CG48" s="521"/>
      <c r="CH48" s="521"/>
      <c r="CI48" s="521"/>
      <c r="CJ48" s="521"/>
      <c r="CK48" s="521"/>
      <c r="CL48" s="521"/>
      <c r="CM48" s="521"/>
      <c r="CN48" s="521"/>
      <c r="CO48" s="521"/>
      <c r="CP48" s="521"/>
      <c r="CQ48" s="521"/>
      <c r="CR48" s="521"/>
      <c r="CS48" s="521"/>
      <c r="CT48" s="521"/>
      <c r="CU48" s="521"/>
      <c r="CV48" s="521"/>
      <c r="CW48" s="521"/>
      <c r="CX48" s="521"/>
      <c r="CY48" s="521"/>
      <c r="CZ48" s="521"/>
    </row>
    <row r="49" spans="2:104" s="190" customFormat="1" ht="15" customHeight="1">
      <c r="B49" s="239"/>
      <c r="C49" s="239"/>
      <c r="D49" s="513" t="s">
        <v>470</v>
      </c>
      <c r="E49" s="240"/>
      <c r="F49" s="314"/>
      <c r="G49" s="579">
        <f ca="1">+G28</f>
        <v>3571.0685228563912</v>
      </c>
      <c r="H49" s="189"/>
      <c r="I49" s="514"/>
      <c r="J49" s="239"/>
      <c r="K49" s="239"/>
      <c r="L49" s="239"/>
      <c r="M49" s="239"/>
      <c r="N49" s="514"/>
      <c r="O49" s="514"/>
      <c r="P49" s="514"/>
      <c r="Q49" s="514"/>
      <c r="R49" s="514"/>
      <c r="S49" s="521"/>
      <c r="T49" s="521"/>
      <c r="U49" s="521"/>
      <c r="V49" s="521"/>
      <c r="W49" s="521"/>
      <c r="X49" s="521"/>
      <c r="Y49" s="521"/>
      <c r="Z49" s="521"/>
      <c r="AA49" s="521"/>
      <c r="AB49" s="521"/>
      <c r="AC49" s="521"/>
      <c r="AD49" s="521"/>
      <c r="AE49" s="521"/>
      <c r="AF49" s="521"/>
      <c r="AG49" s="521"/>
      <c r="AH49" s="521"/>
      <c r="AI49" s="521"/>
      <c r="AJ49" s="521"/>
      <c r="AK49" s="521"/>
      <c r="AL49" s="521"/>
      <c r="AM49" s="521"/>
      <c r="AN49" s="521"/>
      <c r="AO49" s="521"/>
      <c r="AP49" s="521"/>
      <c r="AQ49" s="521"/>
      <c r="AR49" s="521"/>
      <c r="AS49" s="521"/>
      <c r="AT49" s="521"/>
      <c r="AU49" s="521"/>
      <c r="AV49" s="521"/>
      <c r="AW49" s="521"/>
      <c r="AX49" s="521"/>
      <c r="AY49" s="521"/>
      <c r="AZ49" s="521"/>
      <c r="BA49" s="521"/>
      <c r="BB49" s="521"/>
      <c r="BC49" s="521"/>
      <c r="BD49" s="521"/>
      <c r="BE49" s="521"/>
      <c r="BF49" s="521"/>
      <c r="BG49" s="521"/>
      <c r="BH49" s="521"/>
      <c r="BI49" s="521"/>
      <c r="BJ49" s="521"/>
      <c r="BK49" s="521"/>
      <c r="BL49" s="521"/>
      <c r="BM49" s="521"/>
      <c r="BN49" s="521"/>
      <c r="BO49" s="521"/>
      <c r="BP49" s="521"/>
      <c r="BQ49" s="521"/>
      <c r="BR49" s="521"/>
      <c r="BS49" s="521"/>
      <c r="BT49" s="521"/>
      <c r="BU49" s="521"/>
      <c r="BV49" s="521"/>
      <c r="BW49" s="521"/>
      <c r="BX49" s="521"/>
      <c r="BY49" s="521"/>
      <c r="BZ49" s="521"/>
      <c r="CA49" s="521"/>
      <c r="CB49" s="521"/>
      <c r="CC49" s="521"/>
      <c r="CD49" s="521"/>
      <c r="CE49" s="521"/>
      <c r="CF49" s="521"/>
      <c r="CG49" s="521"/>
      <c r="CH49" s="521"/>
      <c r="CI49" s="521"/>
      <c r="CJ49" s="521"/>
      <c r="CK49" s="521"/>
      <c r="CL49" s="521"/>
      <c r="CM49" s="521"/>
      <c r="CN49" s="521"/>
      <c r="CO49" s="521"/>
      <c r="CP49" s="521"/>
      <c r="CQ49" s="521"/>
      <c r="CR49" s="521"/>
      <c r="CS49" s="521"/>
      <c r="CT49" s="521"/>
      <c r="CU49" s="521"/>
      <c r="CV49" s="521"/>
      <c r="CW49" s="521"/>
      <c r="CX49" s="521"/>
      <c r="CY49" s="521"/>
      <c r="CZ49" s="521"/>
    </row>
    <row r="50" spans="2:104" s="190" customFormat="1" ht="15" customHeight="1">
      <c r="B50" s="239"/>
      <c r="C50" s="239"/>
      <c r="D50" s="188" t="s">
        <v>250</v>
      </c>
      <c r="F50" s="189"/>
      <c r="G50" s="579">
        <f ca="1">IFERROR(+'Aportaciones PPE'!B11*12,"-")</f>
        <v>378745.7074676209</v>
      </c>
      <c r="H50" s="273"/>
      <c r="I50" s="269"/>
      <c r="J50" s="239"/>
      <c r="K50" s="239"/>
      <c r="L50" s="239"/>
      <c r="M50" s="239"/>
      <c r="N50" s="514"/>
      <c r="O50" s="514"/>
      <c r="P50" s="514"/>
      <c r="Q50" s="514"/>
      <c r="R50" s="514"/>
      <c r="S50" s="521"/>
      <c r="T50" s="521"/>
      <c r="U50" s="521"/>
      <c r="V50" s="521"/>
      <c r="W50" s="521"/>
      <c r="X50" s="521"/>
      <c r="Y50" s="521"/>
      <c r="Z50" s="521"/>
      <c r="AA50" s="521"/>
      <c r="AB50" s="521"/>
      <c r="AC50" s="521"/>
      <c r="AD50" s="521"/>
      <c r="AE50" s="521"/>
      <c r="AF50" s="521"/>
      <c r="AG50" s="521"/>
      <c r="AH50" s="521"/>
      <c r="AI50" s="521"/>
      <c r="AJ50" s="521"/>
      <c r="AK50" s="521"/>
      <c r="AL50" s="521"/>
      <c r="AM50" s="521"/>
      <c r="AN50" s="521"/>
      <c r="AO50" s="521"/>
      <c r="AP50" s="521"/>
      <c r="AQ50" s="521"/>
      <c r="AR50" s="521"/>
      <c r="AS50" s="521"/>
      <c r="AT50" s="521"/>
      <c r="AU50" s="521"/>
      <c r="AV50" s="521"/>
      <c r="AW50" s="521"/>
      <c r="AX50" s="521"/>
      <c r="AY50" s="521"/>
      <c r="AZ50" s="521"/>
      <c r="BA50" s="521"/>
      <c r="BB50" s="521"/>
      <c r="BC50" s="521"/>
      <c r="BD50" s="521"/>
      <c r="BE50" s="521"/>
      <c r="BF50" s="521"/>
      <c r="BG50" s="521"/>
      <c r="BH50" s="521"/>
      <c r="BI50" s="521"/>
      <c r="BJ50" s="521"/>
      <c r="BK50" s="521"/>
      <c r="BL50" s="521"/>
      <c r="BM50" s="521"/>
      <c r="BN50" s="521"/>
      <c r="BO50" s="521"/>
      <c r="BP50" s="521"/>
      <c r="BQ50" s="521"/>
      <c r="BR50" s="521"/>
      <c r="BS50" s="521"/>
      <c r="BT50" s="521"/>
      <c r="BU50" s="521"/>
      <c r="BV50" s="521"/>
      <c r="BW50" s="521"/>
      <c r="BX50" s="521"/>
      <c r="BY50" s="521"/>
      <c r="BZ50" s="521"/>
      <c r="CA50" s="521"/>
      <c r="CB50" s="521"/>
      <c r="CC50" s="521"/>
      <c r="CD50" s="521"/>
      <c r="CE50" s="521"/>
      <c r="CF50" s="521"/>
      <c r="CG50" s="521"/>
      <c r="CH50" s="521"/>
      <c r="CI50" s="521"/>
      <c r="CJ50" s="521"/>
      <c r="CK50" s="521"/>
      <c r="CL50" s="521"/>
      <c r="CM50" s="521"/>
      <c r="CN50" s="521"/>
      <c r="CO50" s="521"/>
      <c r="CP50" s="521"/>
      <c r="CQ50" s="521"/>
      <c r="CR50" s="521"/>
      <c r="CS50" s="521"/>
      <c r="CT50" s="521"/>
      <c r="CU50" s="521"/>
      <c r="CV50" s="521"/>
      <c r="CW50" s="521"/>
      <c r="CX50" s="521"/>
      <c r="CY50" s="521"/>
      <c r="CZ50" s="521"/>
    </row>
    <row r="51" spans="2:104" s="190" customFormat="1" ht="15" customHeight="1">
      <c r="B51" s="239"/>
      <c r="C51" s="239"/>
      <c r="D51" s="188" t="s">
        <v>411</v>
      </c>
      <c r="F51" s="189"/>
      <c r="G51" s="580">
        <f ca="1">IFERROR(+F28/G50,"")</f>
        <v>0.13200138862105404</v>
      </c>
      <c r="H51" s="274"/>
      <c r="I51" s="269"/>
      <c r="J51" s="241"/>
      <c r="K51" s="239"/>
      <c r="L51" s="239"/>
      <c r="M51" s="239"/>
      <c r="N51" s="514"/>
      <c r="O51" s="514"/>
      <c r="P51" s="514"/>
      <c r="Q51" s="514"/>
      <c r="R51" s="514"/>
      <c r="S51" s="521"/>
      <c r="T51" s="521"/>
      <c r="U51" s="521"/>
      <c r="V51" s="521"/>
      <c r="W51" s="521"/>
      <c r="X51" s="521"/>
      <c r="Y51" s="521"/>
      <c r="Z51" s="521"/>
      <c r="AA51" s="521"/>
      <c r="AB51" s="521"/>
      <c r="AC51" s="521"/>
      <c r="AD51" s="521"/>
      <c r="AE51" s="521"/>
      <c r="AF51" s="521"/>
      <c r="AG51" s="521"/>
      <c r="AH51" s="521"/>
      <c r="AI51" s="521"/>
      <c r="AJ51" s="521"/>
      <c r="AK51" s="521"/>
      <c r="AL51" s="521"/>
      <c r="AM51" s="521"/>
      <c r="AN51" s="521"/>
      <c r="AO51" s="521"/>
      <c r="AP51" s="521"/>
      <c r="AQ51" s="521"/>
      <c r="AR51" s="521"/>
      <c r="AS51" s="521"/>
      <c r="AT51" s="521"/>
      <c r="AU51" s="521"/>
      <c r="AV51" s="521"/>
      <c r="AW51" s="521"/>
      <c r="AX51" s="521"/>
      <c r="AY51" s="521"/>
      <c r="AZ51" s="521"/>
      <c r="BA51" s="521"/>
      <c r="BB51" s="521"/>
      <c r="BC51" s="521"/>
      <c r="BD51" s="521"/>
      <c r="BE51" s="521"/>
      <c r="BF51" s="521"/>
      <c r="BG51" s="521"/>
      <c r="BH51" s="521"/>
      <c r="BI51" s="521"/>
      <c r="BJ51" s="521"/>
      <c r="BK51" s="521"/>
      <c r="BL51" s="521"/>
      <c r="BM51" s="521"/>
      <c r="BN51" s="521"/>
      <c r="BO51" s="521"/>
      <c r="BP51" s="521"/>
      <c r="BQ51" s="521"/>
      <c r="BR51" s="521"/>
      <c r="BS51" s="521"/>
      <c r="BT51" s="521"/>
      <c r="BU51" s="521"/>
      <c r="BV51" s="521"/>
      <c r="BW51" s="521"/>
      <c r="BX51" s="521"/>
      <c r="BY51" s="521"/>
      <c r="BZ51" s="521"/>
      <c r="CA51" s="521"/>
      <c r="CB51" s="521"/>
      <c r="CC51" s="521"/>
      <c r="CD51" s="521"/>
      <c r="CE51" s="521"/>
      <c r="CF51" s="521"/>
      <c r="CG51" s="521"/>
      <c r="CH51" s="521"/>
      <c r="CI51" s="521"/>
      <c r="CJ51" s="521"/>
      <c r="CK51" s="521"/>
      <c r="CL51" s="521"/>
      <c r="CM51" s="521"/>
      <c r="CN51" s="521"/>
      <c r="CO51" s="521"/>
      <c r="CP51" s="521"/>
      <c r="CQ51" s="521"/>
      <c r="CR51" s="521"/>
      <c r="CS51" s="521"/>
      <c r="CT51" s="521"/>
      <c r="CU51" s="521"/>
      <c r="CV51" s="521"/>
      <c r="CW51" s="521"/>
      <c r="CX51" s="521"/>
      <c r="CY51" s="521"/>
      <c r="CZ51" s="521"/>
    </row>
    <row r="52" spans="2:104" s="190" customFormat="1" ht="15" customHeight="1">
      <c r="B52" s="239"/>
      <c r="C52" s="239"/>
      <c r="D52" s="188" t="s">
        <v>471</v>
      </c>
      <c r="F52" s="189"/>
      <c r="G52" s="580">
        <f ca="1">IFERROR(MAX(100%-G51,0),"")</f>
        <v>0.86799861137894596</v>
      </c>
      <c r="H52" s="274"/>
      <c r="I52" s="269"/>
      <c r="J52" s="514"/>
      <c r="K52" s="239"/>
      <c r="L52" s="239"/>
      <c r="M52" s="239"/>
      <c r="N52" s="514"/>
      <c r="O52" s="514"/>
      <c r="P52" s="514"/>
      <c r="Q52" s="514"/>
      <c r="R52" s="514"/>
      <c r="S52" s="521"/>
      <c r="T52" s="521"/>
      <c r="U52" s="521"/>
      <c r="V52" s="521"/>
      <c r="W52" s="521"/>
      <c r="X52" s="521"/>
      <c r="Y52" s="521"/>
      <c r="Z52" s="521"/>
      <c r="AA52" s="521"/>
      <c r="AB52" s="521"/>
      <c r="AC52" s="521"/>
      <c r="AD52" s="521"/>
      <c r="AE52" s="521"/>
      <c r="AF52" s="521"/>
      <c r="AG52" s="521"/>
      <c r="AH52" s="521"/>
      <c r="AI52" s="521"/>
      <c r="AJ52" s="521"/>
      <c r="AK52" s="521"/>
      <c r="AL52" s="521"/>
      <c r="AM52" s="521"/>
      <c r="AN52" s="521"/>
      <c r="AO52" s="521"/>
      <c r="AP52" s="521"/>
      <c r="AQ52" s="521"/>
      <c r="AR52" s="521"/>
      <c r="AS52" s="521"/>
      <c r="AT52" s="521"/>
      <c r="AU52" s="521"/>
      <c r="AV52" s="521"/>
      <c r="AW52" s="521"/>
      <c r="AX52" s="521"/>
      <c r="AY52" s="521"/>
      <c r="AZ52" s="521"/>
      <c r="BA52" s="521"/>
      <c r="BB52" s="521"/>
      <c r="BC52" s="521"/>
      <c r="BD52" s="521"/>
      <c r="BE52" s="521"/>
      <c r="BF52" s="521"/>
      <c r="BG52" s="521"/>
      <c r="BH52" s="521"/>
      <c r="BI52" s="521"/>
      <c r="BJ52" s="521"/>
      <c r="BK52" s="521"/>
      <c r="BL52" s="521"/>
      <c r="BM52" s="521"/>
      <c r="BN52" s="521"/>
      <c r="BO52" s="521"/>
      <c r="BP52" s="521"/>
      <c r="BQ52" s="521"/>
      <c r="BR52" s="521"/>
      <c r="BS52" s="521"/>
      <c r="BT52" s="521"/>
      <c r="BU52" s="521"/>
      <c r="BV52" s="521"/>
      <c r="BW52" s="521"/>
      <c r="BX52" s="521"/>
      <c r="BY52" s="521"/>
      <c r="BZ52" s="521"/>
      <c r="CA52" s="521"/>
      <c r="CB52" s="521"/>
      <c r="CC52" s="521"/>
      <c r="CD52" s="521"/>
      <c r="CE52" s="521"/>
      <c r="CF52" s="521"/>
      <c r="CG52" s="521"/>
      <c r="CH52" s="521"/>
      <c r="CI52" s="521"/>
      <c r="CJ52" s="521"/>
      <c r="CK52" s="521"/>
      <c r="CL52" s="521"/>
      <c r="CM52" s="521"/>
      <c r="CN52" s="521"/>
      <c r="CO52" s="521"/>
      <c r="CP52" s="521"/>
      <c r="CQ52" s="521"/>
      <c r="CR52" s="521"/>
      <c r="CS52" s="521"/>
      <c r="CT52" s="521"/>
      <c r="CU52" s="521"/>
      <c r="CV52" s="521"/>
      <c r="CW52" s="521"/>
      <c r="CX52" s="521"/>
      <c r="CY52" s="521"/>
      <c r="CZ52" s="521"/>
    </row>
    <row r="53" spans="2:104" s="190" customFormat="1" ht="15" customHeight="1">
      <c r="B53" s="239"/>
      <c r="C53" s="239"/>
      <c r="F53" s="189"/>
      <c r="G53" s="189"/>
      <c r="H53" s="189"/>
      <c r="I53" s="269"/>
      <c r="J53" s="239"/>
      <c r="K53" s="239"/>
      <c r="L53" s="239"/>
      <c r="M53" s="239"/>
      <c r="N53" s="514"/>
      <c r="O53" s="514"/>
      <c r="P53" s="514"/>
      <c r="Q53" s="514"/>
      <c r="R53" s="514"/>
      <c r="S53" s="521"/>
      <c r="T53" s="521"/>
      <c r="U53" s="521"/>
      <c r="V53" s="521"/>
      <c r="W53" s="521"/>
      <c r="X53" s="521"/>
      <c r="Y53" s="521"/>
      <c r="Z53" s="521"/>
      <c r="AA53" s="521"/>
      <c r="AB53" s="521"/>
      <c r="AC53" s="521"/>
      <c r="AD53" s="521"/>
      <c r="AE53" s="521"/>
      <c r="AF53" s="521"/>
      <c r="AG53" s="521"/>
      <c r="AH53" s="521"/>
      <c r="AI53" s="521"/>
      <c r="AJ53" s="521"/>
      <c r="AK53" s="521"/>
      <c r="AL53" s="521"/>
      <c r="AM53" s="521"/>
      <c r="AN53" s="521"/>
      <c r="AO53" s="521"/>
      <c r="AP53" s="521"/>
      <c r="AQ53" s="521"/>
      <c r="AR53" s="521"/>
      <c r="AS53" s="521"/>
      <c r="AT53" s="521"/>
      <c r="AU53" s="521"/>
      <c r="AV53" s="521"/>
      <c r="AW53" s="521"/>
      <c r="AX53" s="521"/>
      <c r="AY53" s="521"/>
      <c r="AZ53" s="521"/>
      <c r="BA53" s="521"/>
      <c r="BB53" s="521"/>
      <c r="BC53" s="521"/>
      <c r="BD53" s="521"/>
      <c r="BE53" s="521"/>
      <c r="BF53" s="521"/>
      <c r="BG53" s="521"/>
      <c r="BH53" s="521"/>
      <c r="BI53" s="521"/>
      <c r="BJ53" s="521"/>
      <c r="BK53" s="521"/>
      <c r="BL53" s="521"/>
      <c r="BM53" s="521"/>
      <c r="BN53" s="521"/>
      <c r="BO53" s="521"/>
      <c r="BP53" s="521"/>
      <c r="BQ53" s="521"/>
      <c r="BR53" s="521"/>
      <c r="BS53" s="521"/>
      <c r="BT53" s="521"/>
      <c r="BU53" s="521"/>
      <c r="BV53" s="521"/>
      <c r="BW53" s="521"/>
      <c r="BX53" s="521"/>
      <c r="BY53" s="521"/>
      <c r="BZ53" s="521"/>
      <c r="CA53" s="521"/>
      <c r="CB53" s="521"/>
      <c r="CC53" s="521"/>
      <c r="CD53" s="521"/>
      <c r="CE53" s="521"/>
      <c r="CF53" s="521"/>
      <c r="CG53" s="521"/>
      <c r="CH53" s="521"/>
      <c r="CI53" s="521"/>
      <c r="CJ53" s="521"/>
      <c r="CK53" s="521"/>
      <c r="CL53" s="521"/>
      <c r="CM53" s="521"/>
      <c r="CN53" s="521"/>
      <c r="CO53" s="521"/>
      <c r="CP53" s="521"/>
      <c r="CQ53" s="521"/>
      <c r="CR53" s="521"/>
      <c r="CS53" s="521"/>
      <c r="CT53" s="521"/>
      <c r="CU53" s="521"/>
      <c r="CV53" s="521"/>
      <c r="CW53" s="521"/>
      <c r="CX53" s="521"/>
      <c r="CY53" s="521"/>
      <c r="CZ53" s="521"/>
    </row>
    <row r="54" spans="2:104" s="190" customFormat="1" ht="15" customHeight="1">
      <c r="B54" s="239"/>
      <c r="C54" s="239"/>
      <c r="F54" s="189"/>
      <c r="G54" s="189"/>
      <c r="H54" s="189"/>
      <c r="I54" s="269"/>
      <c r="J54" s="239"/>
      <c r="K54" s="239"/>
      <c r="L54" s="239"/>
      <c r="M54" s="239"/>
      <c r="N54" s="514"/>
      <c r="O54" s="514"/>
      <c r="P54" s="514"/>
      <c r="Q54" s="514"/>
      <c r="R54" s="514"/>
      <c r="S54" s="521"/>
      <c r="T54" s="521"/>
      <c r="U54" s="521"/>
      <c r="V54" s="521"/>
      <c r="W54" s="521"/>
      <c r="X54" s="521"/>
      <c r="Y54" s="521"/>
      <c r="Z54" s="521"/>
      <c r="AA54" s="521"/>
      <c r="AB54" s="521"/>
      <c r="AC54" s="521"/>
      <c r="AD54" s="521"/>
      <c r="AE54" s="521"/>
      <c r="AF54" s="521"/>
      <c r="AG54" s="521"/>
      <c r="AH54" s="521"/>
      <c r="AI54" s="521"/>
      <c r="AJ54" s="521"/>
      <c r="AK54" s="521"/>
      <c r="AL54" s="521"/>
      <c r="AM54" s="521"/>
      <c r="AN54" s="521"/>
      <c r="AO54" s="521"/>
      <c r="AP54" s="521"/>
      <c r="AQ54" s="521"/>
      <c r="AR54" s="521"/>
      <c r="AS54" s="521"/>
      <c r="AT54" s="521"/>
      <c r="AU54" s="521"/>
      <c r="AV54" s="521"/>
      <c r="AW54" s="521"/>
      <c r="AX54" s="521"/>
      <c r="AY54" s="521"/>
      <c r="AZ54" s="521"/>
      <c r="BA54" s="521"/>
      <c r="BB54" s="521"/>
      <c r="BC54" s="521"/>
      <c r="BD54" s="521"/>
      <c r="BE54" s="521"/>
      <c r="BF54" s="521"/>
      <c r="BG54" s="521"/>
      <c r="BH54" s="521"/>
      <c r="BI54" s="521"/>
      <c r="BJ54" s="521"/>
      <c r="BK54" s="521"/>
      <c r="BL54" s="521"/>
      <c r="BM54" s="521"/>
      <c r="BN54" s="521"/>
      <c r="BO54" s="521"/>
      <c r="BP54" s="521"/>
      <c r="BQ54" s="521"/>
      <c r="BR54" s="521"/>
      <c r="BS54" s="521"/>
      <c r="BT54" s="521"/>
      <c r="BU54" s="521"/>
      <c r="BV54" s="521"/>
      <c r="BW54" s="521"/>
      <c r="BX54" s="521"/>
      <c r="BY54" s="521"/>
      <c r="BZ54" s="521"/>
      <c r="CA54" s="521"/>
      <c r="CB54" s="521"/>
      <c r="CC54" s="521"/>
      <c r="CD54" s="521"/>
      <c r="CE54" s="521"/>
      <c r="CF54" s="521"/>
      <c r="CG54" s="521"/>
      <c r="CH54" s="521"/>
      <c r="CI54" s="521"/>
      <c r="CJ54" s="521"/>
      <c r="CK54" s="521"/>
      <c r="CL54" s="521"/>
      <c r="CM54" s="521"/>
      <c r="CN54" s="521"/>
      <c r="CO54" s="521"/>
      <c r="CP54" s="521"/>
      <c r="CQ54" s="521"/>
      <c r="CR54" s="521"/>
      <c r="CS54" s="521"/>
      <c r="CT54" s="521"/>
      <c r="CU54" s="521"/>
      <c r="CV54" s="521"/>
      <c r="CW54" s="521"/>
      <c r="CX54" s="521"/>
      <c r="CY54" s="521"/>
      <c r="CZ54" s="521"/>
    </row>
    <row r="55" spans="2:104" s="190" customFormat="1" ht="15" customHeight="1">
      <c r="B55" s="239"/>
      <c r="C55" s="239"/>
      <c r="D55" s="559" t="s">
        <v>468</v>
      </c>
      <c r="E55" s="559"/>
      <c r="F55" s="559"/>
      <c r="G55" s="189"/>
      <c r="H55" s="189"/>
      <c r="I55" s="269"/>
      <c r="J55" s="239"/>
      <c r="K55" s="239"/>
      <c r="L55" s="239"/>
      <c r="M55" s="239"/>
      <c r="N55" s="514"/>
      <c r="O55" s="514"/>
      <c r="P55" s="514"/>
      <c r="Q55" s="514"/>
      <c r="R55" s="514"/>
      <c r="S55" s="521"/>
      <c r="T55" s="521"/>
      <c r="U55" s="521"/>
      <c r="V55" s="521"/>
      <c r="W55" s="521"/>
      <c r="X55" s="521"/>
      <c r="Y55" s="521"/>
      <c r="Z55" s="521"/>
      <c r="AA55" s="521"/>
      <c r="AB55" s="521"/>
      <c r="AC55" s="521"/>
      <c r="AD55" s="521"/>
      <c r="AE55" s="521"/>
      <c r="AF55" s="521"/>
      <c r="AG55" s="521"/>
      <c r="AH55" s="521"/>
      <c r="AI55" s="521"/>
      <c r="AJ55" s="521"/>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521"/>
      <c r="BJ55" s="521"/>
      <c r="BK55" s="521"/>
      <c r="BL55" s="521"/>
      <c r="BM55" s="521"/>
      <c r="BN55" s="521"/>
      <c r="BO55" s="521"/>
      <c r="BP55" s="521"/>
      <c r="BQ55" s="521"/>
      <c r="BR55" s="521"/>
      <c r="BS55" s="521"/>
      <c r="BT55" s="521"/>
      <c r="BU55" s="521"/>
      <c r="BV55" s="521"/>
      <c r="BW55" s="521"/>
      <c r="BX55" s="521"/>
      <c r="BY55" s="521"/>
      <c r="BZ55" s="521"/>
      <c r="CA55" s="521"/>
      <c r="CB55" s="521"/>
      <c r="CC55" s="521"/>
      <c r="CD55" s="521"/>
      <c r="CE55" s="521"/>
      <c r="CF55" s="521"/>
      <c r="CG55" s="521"/>
      <c r="CH55" s="521"/>
      <c r="CI55" s="521"/>
      <c r="CJ55" s="521"/>
      <c r="CK55" s="521"/>
      <c r="CL55" s="521"/>
      <c r="CM55" s="521"/>
      <c r="CN55" s="521"/>
      <c r="CO55" s="521"/>
      <c r="CP55" s="521"/>
      <c r="CQ55" s="521"/>
      <c r="CR55" s="521"/>
      <c r="CS55" s="521"/>
      <c r="CT55" s="521"/>
      <c r="CU55" s="521"/>
      <c r="CV55" s="521"/>
      <c r="CW55" s="521"/>
      <c r="CX55" s="521"/>
      <c r="CY55" s="521"/>
      <c r="CZ55" s="521"/>
    </row>
    <row r="56" spans="2:104" s="190" customFormat="1" ht="15" customHeight="1">
      <c r="B56" s="239"/>
      <c r="C56" s="239"/>
      <c r="D56" s="188" t="s">
        <v>251</v>
      </c>
      <c r="E56" s="188"/>
      <c r="F56" s="189"/>
      <c r="G56" s="189"/>
      <c r="H56" s="189"/>
      <c r="I56" s="269"/>
      <c r="J56" s="299"/>
      <c r="K56" s="299"/>
      <c r="L56" s="299"/>
      <c r="M56" s="299"/>
      <c r="N56" s="514"/>
      <c r="O56" s="514"/>
      <c r="P56" s="514"/>
      <c r="Q56" s="514"/>
      <c r="R56" s="514"/>
      <c r="S56" s="521"/>
      <c r="T56" s="521"/>
      <c r="U56" s="521"/>
      <c r="V56" s="521"/>
      <c r="W56" s="521"/>
      <c r="X56" s="521"/>
      <c r="Y56" s="521"/>
      <c r="Z56" s="521"/>
      <c r="AA56" s="521"/>
      <c r="AB56" s="521"/>
      <c r="AC56" s="521"/>
      <c r="AD56" s="521"/>
      <c r="AE56" s="521"/>
      <c r="AF56" s="521"/>
      <c r="AG56" s="521"/>
      <c r="AH56" s="521"/>
      <c r="AI56" s="521"/>
      <c r="AJ56" s="521"/>
      <c r="AK56" s="521"/>
      <c r="AL56" s="521"/>
      <c r="AM56" s="521"/>
      <c r="AN56" s="521"/>
      <c r="AO56" s="521"/>
      <c r="AP56" s="521"/>
      <c r="AQ56" s="521"/>
      <c r="AR56" s="521"/>
      <c r="AS56" s="521"/>
      <c r="AT56" s="521"/>
      <c r="AU56" s="521"/>
      <c r="AV56" s="521"/>
      <c r="AW56" s="521"/>
      <c r="AX56" s="521"/>
      <c r="AY56" s="521"/>
      <c r="AZ56" s="521"/>
      <c r="BA56" s="521"/>
      <c r="BB56" s="521"/>
      <c r="BC56" s="521"/>
      <c r="BD56" s="521"/>
      <c r="BE56" s="521"/>
      <c r="BF56" s="521"/>
      <c r="BG56" s="521"/>
      <c r="BH56" s="521"/>
      <c r="BI56" s="521"/>
      <c r="BJ56" s="521"/>
      <c r="BK56" s="521"/>
      <c r="BL56" s="521"/>
      <c r="BM56" s="521"/>
      <c r="BN56" s="521"/>
      <c r="BO56" s="521"/>
      <c r="BP56" s="521"/>
      <c r="BQ56" s="521"/>
      <c r="BR56" s="521"/>
      <c r="BS56" s="521"/>
      <c r="BT56" s="521"/>
      <c r="BU56" s="521"/>
      <c r="BV56" s="521"/>
      <c r="BW56" s="521"/>
      <c r="BX56" s="521"/>
      <c r="BY56" s="521"/>
      <c r="BZ56" s="521"/>
      <c r="CA56" s="521"/>
      <c r="CB56" s="521"/>
      <c r="CC56" s="521"/>
      <c r="CD56" s="521"/>
      <c r="CE56" s="521"/>
      <c r="CF56" s="521"/>
      <c r="CG56" s="521"/>
      <c r="CH56" s="521"/>
      <c r="CI56" s="521"/>
      <c r="CJ56" s="521"/>
      <c r="CK56" s="521"/>
      <c r="CL56" s="521"/>
      <c r="CM56" s="521"/>
      <c r="CN56" s="521"/>
      <c r="CO56" s="521"/>
      <c r="CP56" s="521"/>
      <c r="CQ56" s="521"/>
      <c r="CR56" s="521"/>
      <c r="CS56" s="521"/>
      <c r="CT56" s="521"/>
      <c r="CU56" s="521"/>
      <c r="CV56" s="521"/>
      <c r="CW56" s="521"/>
      <c r="CX56" s="521"/>
      <c r="CY56" s="521"/>
      <c r="CZ56" s="521"/>
    </row>
    <row r="57" spans="2:104" s="190" customFormat="1" ht="15" customHeight="1">
      <c r="B57" s="239"/>
      <c r="C57" s="239"/>
      <c r="D57" s="188" t="s">
        <v>252</v>
      </c>
      <c r="E57" s="188"/>
      <c r="F57" s="188"/>
      <c r="G57" s="188"/>
      <c r="H57" s="188"/>
      <c r="I57" s="299"/>
      <c r="J57" s="299"/>
      <c r="K57" s="299"/>
      <c r="L57" s="299"/>
      <c r="M57" s="299"/>
      <c r="N57" s="514"/>
      <c r="O57" s="514"/>
      <c r="P57" s="514"/>
      <c r="Q57" s="514"/>
      <c r="R57" s="514"/>
      <c r="S57" s="521"/>
      <c r="T57" s="521"/>
      <c r="U57" s="521"/>
      <c r="V57" s="521"/>
      <c r="W57" s="521"/>
      <c r="X57" s="521"/>
      <c r="Y57" s="521"/>
      <c r="Z57" s="521"/>
      <c r="AA57" s="521"/>
      <c r="AB57" s="521"/>
      <c r="AC57" s="521"/>
      <c r="AD57" s="521"/>
      <c r="AE57" s="521"/>
      <c r="AF57" s="521"/>
      <c r="AG57" s="521"/>
      <c r="AH57" s="521"/>
      <c r="AI57" s="521"/>
      <c r="AJ57" s="521"/>
      <c r="AK57" s="521"/>
      <c r="AL57" s="521"/>
      <c r="AM57" s="521"/>
      <c r="AN57" s="521"/>
      <c r="AO57" s="521"/>
      <c r="AP57" s="521"/>
      <c r="AQ57" s="521"/>
      <c r="AR57" s="521"/>
      <c r="AS57" s="521"/>
      <c r="AT57" s="521"/>
      <c r="AU57" s="521"/>
      <c r="AV57" s="521"/>
      <c r="AW57" s="521"/>
      <c r="AX57" s="521"/>
      <c r="AY57" s="521"/>
      <c r="AZ57" s="521"/>
      <c r="BA57" s="521"/>
      <c r="BB57" s="521"/>
      <c r="BC57" s="521"/>
      <c r="BD57" s="521"/>
      <c r="BE57" s="521"/>
      <c r="BF57" s="521"/>
      <c r="BG57" s="521"/>
      <c r="BH57" s="521"/>
      <c r="BI57" s="521"/>
      <c r="BJ57" s="521"/>
      <c r="BK57" s="521"/>
      <c r="BL57" s="521"/>
      <c r="BM57" s="521"/>
      <c r="BN57" s="521"/>
      <c r="BO57" s="521"/>
      <c r="BP57" s="521"/>
      <c r="BQ57" s="521"/>
      <c r="BR57" s="521"/>
      <c r="BS57" s="521"/>
      <c r="BT57" s="521"/>
      <c r="BU57" s="521"/>
      <c r="BV57" s="521"/>
      <c r="BW57" s="521"/>
      <c r="BX57" s="521"/>
      <c r="BY57" s="521"/>
      <c r="BZ57" s="521"/>
      <c r="CA57" s="521"/>
      <c r="CB57" s="521"/>
      <c r="CC57" s="521"/>
      <c r="CD57" s="521"/>
      <c r="CE57" s="521"/>
      <c r="CF57" s="521"/>
      <c r="CG57" s="521"/>
      <c r="CH57" s="521"/>
      <c r="CI57" s="521"/>
      <c r="CJ57" s="521"/>
      <c r="CK57" s="521"/>
      <c r="CL57" s="521"/>
      <c r="CM57" s="521"/>
      <c r="CN57" s="521"/>
      <c r="CO57" s="521"/>
      <c r="CP57" s="521"/>
      <c r="CQ57" s="521"/>
      <c r="CR57" s="521"/>
      <c r="CS57" s="521"/>
      <c r="CT57" s="521"/>
      <c r="CU57" s="521"/>
      <c r="CV57" s="521"/>
      <c r="CW57" s="521"/>
      <c r="CX57" s="521"/>
      <c r="CY57" s="521"/>
      <c r="CZ57" s="521"/>
    </row>
    <row r="58" spans="2:104" s="190" customFormat="1" ht="15" customHeight="1">
      <c r="B58" s="239"/>
      <c r="C58" s="239"/>
      <c r="D58" s="188" t="s">
        <v>253</v>
      </c>
      <c r="E58" s="188"/>
      <c r="F58" s="188"/>
      <c r="G58" s="188"/>
      <c r="H58" s="188"/>
      <c r="I58" s="299"/>
      <c r="J58" s="299"/>
      <c r="K58" s="299"/>
      <c r="L58" s="299"/>
      <c r="M58" s="299"/>
      <c r="N58" s="514"/>
      <c r="O58" s="514"/>
      <c r="P58" s="514"/>
      <c r="Q58" s="514"/>
      <c r="R58" s="514"/>
      <c r="S58" s="521"/>
      <c r="T58" s="521"/>
      <c r="U58" s="521"/>
      <c r="V58" s="521"/>
      <c r="W58" s="521"/>
      <c r="X58" s="521"/>
      <c r="Y58" s="521"/>
      <c r="Z58" s="521"/>
      <c r="AA58" s="521"/>
      <c r="AB58" s="521"/>
      <c r="AC58" s="521"/>
      <c r="AD58" s="521"/>
      <c r="AE58" s="521"/>
      <c r="AF58" s="521"/>
      <c r="AG58" s="521"/>
      <c r="AH58" s="521"/>
      <c r="AI58" s="521"/>
      <c r="AJ58" s="521"/>
      <c r="AK58" s="521"/>
      <c r="AL58" s="521"/>
      <c r="AM58" s="521"/>
      <c r="AN58" s="521"/>
      <c r="AO58" s="521"/>
      <c r="AP58" s="521"/>
      <c r="AQ58" s="521"/>
      <c r="AR58" s="521"/>
      <c r="AS58" s="521"/>
      <c r="AT58" s="521"/>
      <c r="AU58" s="521"/>
      <c r="AV58" s="521"/>
      <c r="AW58" s="521"/>
      <c r="AX58" s="521"/>
      <c r="AY58" s="521"/>
      <c r="AZ58" s="521"/>
      <c r="BA58" s="521"/>
      <c r="BB58" s="521"/>
      <c r="BC58" s="521"/>
      <c r="BD58" s="521"/>
      <c r="BE58" s="521"/>
      <c r="BF58" s="521"/>
      <c r="BG58" s="521"/>
      <c r="BH58" s="521"/>
      <c r="BI58" s="521"/>
      <c r="BJ58" s="521"/>
      <c r="BK58" s="521"/>
      <c r="BL58" s="521"/>
      <c r="BM58" s="521"/>
      <c r="BN58" s="521"/>
      <c r="BO58" s="521"/>
      <c r="BP58" s="521"/>
      <c r="BQ58" s="521"/>
      <c r="BR58" s="521"/>
      <c r="BS58" s="521"/>
      <c r="BT58" s="521"/>
      <c r="BU58" s="521"/>
      <c r="BV58" s="521"/>
      <c r="BW58" s="521"/>
      <c r="BX58" s="521"/>
      <c r="BY58" s="521"/>
      <c r="BZ58" s="521"/>
      <c r="CA58" s="521"/>
      <c r="CB58" s="521"/>
      <c r="CC58" s="521"/>
      <c r="CD58" s="521"/>
      <c r="CE58" s="521"/>
      <c r="CF58" s="521"/>
      <c r="CG58" s="521"/>
      <c r="CH58" s="521"/>
      <c r="CI58" s="521"/>
      <c r="CJ58" s="521"/>
      <c r="CK58" s="521"/>
      <c r="CL58" s="521"/>
      <c r="CM58" s="521"/>
      <c r="CN58" s="521"/>
      <c r="CO58" s="521"/>
      <c r="CP58" s="521"/>
      <c r="CQ58" s="521"/>
      <c r="CR58" s="521"/>
      <c r="CS58" s="521"/>
      <c r="CT58" s="521"/>
      <c r="CU58" s="521"/>
      <c r="CV58" s="521"/>
      <c r="CW58" s="521"/>
      <c r="CX58" s="521"/>
      <c r="CY58" s="521"/>
      <c r="CZ58" s="521"/>
    </row>
    <row r="59" spans="2:104" s="190" customFormat="1" ht="15" customHeight="1">
      <c r="B59" s="239"/>
      <c r="C59" s="239"/>
      <c r="D59" s="300"/>
      <c r="E59" s="299"/>
      <c r="F59" s="299"/>
      <c r="G59" s="299"/>
      <c r="H59" s="299"/>
      <c r="I59" s="299"/>
      <c r="J59" s="299"/>
      <c r="K59" s="299"/>
      <c r="L59" s="299"/>
      <c r="M59" s="299"/>
      <c r="N59" s="514"/>
      <c r="O59" s="514"/>
      <c r="P59" s="514"/>
      <c r="Q59" s="514"/>
      <c r="R59" s="514"/>
      <c r="S59" s="521"/>
      <c r="T59" s="521"/>
      <c r="U59" s="521"/>
      <c r="V59" s="521"/>
      <c r="W59" s="521"/>
      <c r="X59" s="521"/>
      <c r="Y59" s="521"/>
      <c r="Z59" s="521"/>
      <c r="AA59" s="521"/>
      <c r="AB59" s="521"/>
      <c r="AC59" s="521"/>
      <c r="AD59" s="521"/>
      <c r="AE59" s="521"/>
      <c r="AF59" s="521"/>
      <c r="AG59" s="521"/>
      <c r="AH59" s="521"/>
      <c r="AI59" s="521"/>
      <c r="AJ59" s="521"/>
      <c r="AK59" s="521"/>
      <c r="AL59" s="521"/>
      <c r="AM59" s="521"/>
      <c r="AN59" s="521"/>
      <c r="AO59" s="521"/>
      <c r="AP59" s="521"/>
      <c r="AQ59" s="521"/>
      <c r="AR59" s="521"/>
      <c r="AS59" s="521"/>
      <c r="AT59" s="521"/>
      <c r="AU59" s="521"/>
      <c r="AV59" s="521"/>
      <c r="AW59" s="521"/>
      <c r="AX59" s="521"/>
      <c r="AY59" s="521"/>
      <c r="AZ59" s="521"/>
      <c r="BA59" s="521"/>
      <c r="BB59" s="521"/>
      <c r="BC59" s="521"/>
      <c r="BD59" s="521"/>
      <c r="BE59" s="521"/>
      <c r="BF59" s="521"/>
      <c r="BG59" s="521"/>
      <c r="BH59" s="521"/>
      <c r="BI59" s="521"/>
      <c r="BJ59" s="521"/>
      <c r="BK59" s="521"/>
      <c r="BL59" s="521"/>
      <c r="BM59" s="521"/>
      <c r="BN59" s="521"/>
      <c r="BO59" s="521"/>
      <c r="BP59" s="521"/>
      <c r="BQ59" s="521"/>
      <c r="BR59" s="521"/>
      <c r="BS59" s="521"/>
      <c r="BT59" s="521"/>
      <c r="BU59" s="521"/>
      <c r="BV59" s="521"/>
      <c r="BW59" s="521"/>
      <c r="BX59" s="521"/>
      <c r="BY59" s="521"/>
      <c r="BZ59" s="521"/>
      <c r="CA59" s="521"/>
      <c r="CB59" s="521"/>
      <c r="CC59" s="521"/>
      <c r="CD59" s="521"/>
      <c r="CE59" s="521"/>
      <c r="CF59" s="521"/>
      <c r="CG59" s="521"/>
      <c r="CH59" s="521"/>
      <c r="CI59" s="521"/>
      <c r="CJ59" s="521"/>
      <c r="CK59" s="521"/>
      <c r="CL59" s="521"/>
      <c r="CM59" s="521"/>
      <c r="CN59" s="521"/>
      <c r="CO59" s="521"/>
      <c r="CP59" s="521"/>
      <c r="CQ59" s="521"/>
      <c r="CR59" s="521"/>
      <c r="CS59" s="521"/>
      <c r="CT59" s="521"/>
      <c r="CU59" s="521"/>
      <c r="CV59" s="521"/>
      <c r="CW59" s="521"/>
      <c r="CX59" s="521"/>
      <c r="CY59" s="521"/>
      <c r="CZ59" s="521"/>
    </row>
    <row r="60" spans="2:104" s="190" customFormat="1" ht="15" customHeight="1">
      <c r="B60" s="239"/>
      <c r="C60" s="239"/>
      <c r="D60" s="559" t="s">
        <v>472</v>
      </c>
      <c r="E60" s="559"/>
      <c r="F60" s="299"/>
      <c r="G60" s="299"/>
      <c r="H60" s="299"/>
      <c r="I60" s="299"/>
      <c r="J60" s="299"/>
      <c r="K60" s="299"/>
      <c r="L60" s="299"/>
      <c r="M60" s="299"/>
      <c r="N60" s="514"/>
      <c r="O60" s="514"/>
      <c r="P60" s="514"/>
      <c r="Q60" s="514"/>
      <c r="R60" s="514"/>
      <c r="S60" s="521"/>
      <c r="T60" s="521"/>
      <c r="U60" s="521"/>
      <c r="V60" s="521"/>
      <c r="W60" s="521"/>
      <c r="X60" s="521"/>
      <c r="Y60" s="521"/>
      <c r="Z60" s="521"/>
      <c r="AA60" s="521"/>
      <c r="AB60" s="521"/>
      <c r="AC60" s="521"/>
      <c r="AD60" s="521"/>
      <c r="AE60" s="521"/>
      <c r="AF60" s="521"/>
      <c r="AG60" s="521"/>
      <c r="AH60" s="521"/>
      <c r="AI60" s="521"/>
      <c r="AJ60" s="521"/>
      <c r="AK60" s="521"/>
      <c r="AL60" s="521"/>
      <c r="AM60" s="521"/>
      <c r="AN60" s="521"/>
      <c r="AO60" s="521"/>
      <c r="AP60" s="521"/>
      <c r="AQ60" s="521"/>
      <c r="AR60" s="521"/>
      <c r="AS60" s="521"/>
      <c r="AT60" s="521"/>
      <c r="AU60" s="521"/>
      <c r="AV60" s="521"/>
      <c r="AW60" s="521"/>
      <c r="AX60" s="521"/>
      <c r="AY60" s="521"/>
      <c r="AZ60" s="521"/>
      <c r="BA60" s="521"/>
      <c r="BB60" s="521"/>
      <c r="BC60" s="521"/>
      <c r="BD60" s="521"/>
      <c r="BE60" s="521"/>
      <c r="BF60" s="521"/>
      <c r="BG60" s="521"/>
      <c r="BH60" s="521"/>
      <c r="BI60" s="521"/>
      <c r="BJ60" s="521"/>
      <c r="BK60" s="521"/>
      <c r="BL60" s="521"/>
      <c r="BM60" s="521"/>
      <c r="BN60" s="521"/>
      <c r="BO60" s="521"/>
      <c r="BP60" s="521"/>
      <c r="BQ60" s="521"/>
      <c r="BR60" s="521"/>
      <c r="BS60" s="521"/>
      <c r="BT60" s="521"/>
      <c r="BU60" s="521"/>
      <c r="BV60" s="521"/>
      <c r="BW60" s="521"/>
      <c r="BX60" s="521"/>
      <c r="BY60" s="521"/>
      <c r="BZ60" s="521"/>
      <c r="CA60" s="521"/>
      <c r="CB60" s="521"/>
      <c r="CC60" s="521"/>
      <c r="CD60" s="521"/>
      <c r="CE60" s="521"/>
      <c r="CF60" s="521"/>
      <c r="CG60" s="521"/>
      <c r="CH60" s="521"/>
      <c r="CI60" s="521"/>
      <c r="CJ60" s="521"/>
      <c r="CK60" s="521"/>
      <c r="CL60" s="521"/>
      <c r="CM60" s="521"/>
      <c r="CN60" s="521"/>
      <c r="CO60" s="521"/>
      <c r="CP60" s="521"/>
      <c r="CQ60" s="521"/>
      <c r="CR60" s="521"/>
      <c r="CS60" s="521"/>
      <c r="CT60" s="521"/>
      <c r="CU60" s="521"/>
      <c r="CV60" s="521"/>
      <c r="CW60" s="521"/>
      <c r="CX60" s="521"/>
      <c r="CY60" s="521"/>
      <c r="CZ60" s="521"/>
    </row>
    <row r="61" spans="2:104" s="190" customFormat="1" ht="15" customHeight="1">
      <c r="B61" s="239"/>
      <c r="C61" s="239"/>
      <c r="D61" s="516">
        <v>1</v>
      </c>
      <c r="E61" s="517"/>
      <c r="F61" s="188"/>
      <c r="G61" s="299"/>
      <c r="H61" s="299"/>
      <c r="I61" s="299"/>
      <c r="J61" s="299"/>
      <c r="K61" s="299"/>
      <c r="L61" s="299"/>
      <c r="M61" s="299"/>
      <c r="N61" s="514"/>
      <c r="O61" s="514"/>
      <c r="P61" s="514"/>
      <c r="Q61" s="514"/>
      <c r="R61" s="514"/>
      <c r="S61" s="521"/>
      <c r="T61" s="521"/>
      <c r="U61" s="521"/>
      <c r="V61" s="521"/>
      <c r="W61" s="521"/>
      <c r="X61" s="521"/>
      <c r="Y61" s="521"/>
      <c r="Z61" s="521"/>
      <c r="AA61" s="521"/>
      <c r="AB61" s="521"/>
      <c r="AC61" s="521"/>
      <c r="AD61" s="521"/>
      <c r="AE61" s="521"/>
      <c r="AF61" s="521"/>
      <c r="AG61" s="521"/>
      <c r="AH61" s="521"/>
      <c r="AI61" s="521"/>
      <c r="AJ61" s="521"/>
      <c r="AK61" s="521"/>
      <c r="AL61" s="521"/>
      <c r="AM61" s="521"/>
      <c r="AN61" s="521"/>
      <c r="AO61" s="521"/>
      <c r="AP61" s="521"/>
      <c r="AQ61" s="521"/>
      <c r="AR61" s="521"/>
      <c r="AS61" s="521"/>
      <c r="AT61" s="521"/>
      <c r="AU61" s="521"/>
      <c r="AV61" s="521"/>
      <c r="AW61" s="521"/>
      <c r="AX61" s="521"/>
      <c r="AY61" s="521"/>
      <c r="AZ61" s="521"/>
      <c r="BA61" s="521"/>
      <c r="BB61" s="521"/>
      <c r="BC61" s="521"/>
      <c r="BD61" s="521"/>
      <c r="BE61" s="521"/>
      <c r="BF61" s="521"/>
      <c r="BG61" s="521"/>
      <c r="BH61" s="521"/>
      <c r="BI61" s="521"/>
      <c r="BJ61" s="521"/>
      <c r="BK61" s="521"/>
      <c r="BL61" s="521"/>
      <c r="BM61" s="521"/>
      <c r="BN61" s="521"/>
      <c r="BO61" s="521"/>
      <c r="BP61" s="521"/>
      <c r="BQ61" s="521"/>
      <c r="BR61" s="521"/>
      <c r="BS61" s="521"/>
      <c r="BT61" s="521"/>
      <c r="BU61" s="521"/>
      <c r="BV61" s="521"/>
      <c r="BW61" s="521"/>
      <c r="BX61" s="521"/>
      <c r="BY61" s="521"/>
      <c r="BZ61" s="521"/>
      <c r="CA61" s="521"/>
      <c r="CB61" s="521"/>
      <c r="CC61" s="521"/>
      <c r="CD61" s="521"/>
      <c r="CE61" s="521"/>
      <c r="CF61" s="521"/>
      <c r="CG61" s="521"/>
      <c r="CH61" s="521"/>
      <c r="CI61" s="521"/>
      <c r="CJ61" s="521"/>
      <c r="CK61" s="521"/>
      <c r="CL61" s="521"/>
      <c r="CM61" s="521"/>
      <c r="CN61" s="521"/>
      <c r="CO61" s="521"/>
      <c r="CP61" s="521"/>
      <c r="CQ61" s="521"/>
      <c r="CR61" s="521"/>
      <c r="CS61" s="521"/>
      <c r="CT61" s="521"/>
      <c r="CU61" s="521"/>
      <c r="CV61" s="521"/>
      <c r="CW61" s="521"/>
      <c r="CX61" s="521"/>
      <c r="CY61" s="521"/>
      <c r="CZ61" s="521"/>
    </row>
    <row r="62" spans="2:104" s="174" customFormat="1" ht="15" customHeight="1">
      <c r="B62" s="206"/>
      <c r="C62" s="206"/>
      <c r="D62" s="516">
        <v>2</v>
      </c>
      <c r="E62" s="517">
        <v>63</v>
      </c>
      <c r="F62" s="172"/>
      <c r="G62" s="301"/>
      <c r="H62" s="301"/>
      <c r="I62" s="301"/>
      <c r="J62" s="301"/>
      <c r="K62" s="301"/>
      <c r="L62" s="301"/>
      <c r="M62" s="301"/>
      <c r="N62" s="10"/>
      <c r="O62" s="10"/>
      <c r="P62" s="10"/>
      <c r="Q62" s="10"/>
      <c r="R62" s="10"/>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c r="BZ62" s="195"/>
      <c r="CA62" s="195"/>
      <c r="CB62" s="195"/>
      <c r="CC62" s="195"/>
      <c r="CD62" s="195"/>
      <c r="CE62" s="195"/>
      <c r="CF62" s="195"/>
      <c r="CG62" s="195"/>
      <c r="CH62" s="195"/>
      <c r="CI62" s="195"/>
      <c r="CJ62" s="195"/>
      <c r="CK62" s="195"/>
      <c r="CL62" s="195"/>
      <c r="CM62" s="195"/>
      <c r="CN62" s="195"/>
      <c r="CO62" s="195"/>
      <c r="CP62" s="195"/>
      <c r="CQ62" s="195"/>
      <c r="CR62" s="195"/>
      <c r="CS62" s="195"/>
      <c r="CT62" s="195"/>
      <c r="CU62" s="195"/>
      <c r="CV62" s="195"/>
      <c r="CW62" s="195"/>
      <c r="CX62" s="195"/>
      <c r="CY62" s="195"/>
      <c r="CZ62" s="195"/>
    </row>
    <row r="63" spans="2:104" s="174" customFormat="1" ht="15" customHeight="1">
      <c r="B63" s="206"/>
      <c r="C63" s="206"/>
      <c r="D63" s="516">
        <v>3</v>
      </c>
      <c r="E63" s="517">
        <v>64</v>
      </c>
      <c r="F63" s="172"/>
      <c r="G63" s="301"/>
      <c r="H63" s="301"/>
      <c r="I63" s="301"/>
      <c r="J63" s="301"/>
      <c r="K63" s="301"/>
      <c r="L63" s="301"/>
      <c r="M63" s="301"/>
      <c r="N63" s="10"/>
      <c r="O63" s="10"/>
      <c r="P63" s="10"/>
      <c r="Q63" s="10"/>
      <c r="R63" s="10"/>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5"/>
      <c r="AW63" s="195"/>
      <c r="AX63" s="195"/>
      <c r="AY63" s="195"/>
      <c r="AZ63" s="195"/>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c r="BZ63" s="195"/>
      <c r="CA63" s="195"/>
      <c r="CB63" s="195"/>
      <c r="CC63" s="195"/>
      <c r="CD63" s="195"/>
      <c r="CE63" s="195"/>
      <c r="CF63" s="195"/>
      <c r="CG63" s="195"/>
      <c r="CH63" s="195"/>
      <c r="CI63" s="195"/>
      <c r="CJ63" s="195"/>
      <c r="CK63" s="195"/>
      <c r="CL63" s="195"/>
      <c r="CM63" s="195"/>
      <c r="CN63" s="195"/>
      <c r="CO63" s="195"/>
      <c r="CP63" s="195"/>
      <c r="CQ63" s="195"/>
      <c r="CR63" s="195"/>
      <c r="CS63" s="195"/>
      <c r="CT63" s="195"/>
      <c r="CU63" s="195"/>
      <c r="CV63" s="195"/>
      <c r="CW63" s="195"/>
      <c r="CX63" s="195"/>
      <c r="CY63" s="195"/>
      <c r="CZ63" s="195"/>
    </row>
    <row r="64" spans="2:104" s="174" customFormat="1" ht="15" customHeight="1">
      <c r="B64" s="206"/>
      <c r="C64" s="206"/>
      <c r="D64" s="516">
        <v>4</v>
      </c>
      <c r="E64" s="517">
        <v>65</v>
      </c>
      <c r="H64" s="301"/>
      <c r="I64" s="301"/>
      <c r="J64" s="301"/>
      <c r="K64" s="301"/>
      <c r="L64" s="301"/>
      <c r="M64" s="301"/>
      <c r="N64" s="10"/>
      <c r="O64" s="10"/>
      <c r="P64" s="10"/>
      <c r="Q64" s="10"/>
      <c r="R64" s="10"/>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c r="BZ64" s="195"/>
      <c r="CA64" s="195"/>
      <c r="CB64" s="195"/>
      <c r="CC64" s="195"/>
      <c r="CD64" s="195"/>
      <c r="CE64" s="195"/>
      <c r="CF64" s="195"/>
      <c r="CG64" s="195"/>
      <c r="CH64" s="195"/>
      <c r="CI64" s="195"/>
      <c r="CJ64" s="195"/>
      <c r="CK64" s="195"/>
      <c r="CL64" s="195"/>
      <c r="CM64" s="195"/>
      <c r="CN64" s="195"/>
      <c r="CO64" s="195"/>
      <c r="CP64" s="195"/>
      <c r="CQ64" s="195"/>
      <c r="CR64" s="195"/>
      <c r="CS64" s="195"/>
      <c r="CT64" s="195"/>
      <c r="CU64" s="195"/>
      <c r="CV64" s="195"/>
      <c r="CW64" s="195"/>
      <c r="CX64" s="195"/>
      <c r="CY64" s="195"/>
      <c r="CZ64" s="195"/>
    </row>
    <row r="65" spans="2:104" s="174" customFormat="1" ht="15" customHeight="1">
      <c r="B65" s="206"/>
      <c r="C65" s="206"/>
      <c r="D65" s="516">
        <v>5</v>
      </c>
      <c r="E65" s="517">
        <v>66</v>
      </c>
      <c r="H65" s="301"/>
      <c r="I65" s="301"/>
      <c r="J65" s="301"/>
      <c r="K65" s="301"/>
      <c r="L65" s="301"/>
      <c r="M65" s="301"/>
      <c r="N65" s="10"/>
      <c r="O65" s="10"/>
      <c r="P65" s="10"/>
      <c r="Q65" s="10"/>
      <c r="R65" s="10"/>
      <c r="S65" s="195"/>
      <c r="T65" s="195"/>
      <c r="U65" s="195"/>
      <c r="V65" s="195"/>
      <c r="W65" s="195"/>
      <c r="X65" s="195"/>
      <c r="Y65" s="195"/>
      <c r="Z65" s="195"/>
      <c r="AA65" s="195"/>
      <c r="AB65" s="195"/>
      <c r="AC65" s="195"/>
      <c r="AD65" s="195"/>
      <c r="AE65" s="195"/>
      <c r="AF65" s="195"/>
      <c r="AG65" s="195"/>
      <c r="AH65" s="195"/>
      <c r="AI65" s="195"/>
      <c r="AJ65" s="195"/>
      <c r="AK65" s="195"/>
      <c r="AL65" s="195"/>
      <c r="AM65" s="195"/>
      <c r="AN65" s="195"/>
      <c r="AO65" s="195"/>
      <c r="AP65" s="195"/>
      <c r="AQ65" s="195"/>
      <c r="AR65" s="195"/>
      <c r="AS65" s="195"/>
      <c r="AT65" s="195"/>
      <c r="AU65" s="195"/>
      <c r="AV65" s="195"/>
      <c r="AW65" s="195"/>
      <c r="AX65" s="195"/>
      <c r="AY65" s="195"/>
      <c r="AZ65" s="195"/>
      <c r="BA65" s="195"/>
      <c r="BB65" s="195"/>
      <c r="BC65" s="195"/>
      <c r="BD65" s="195"/>
      <c r="BE65" s="195"/>
      <c r="BF65" s="195"/>
      <c r="BG65" s="195"/>
      <c r="BH65" s="195"/>
      <c r="BI65" s="195"/>
      <c r="BJ65" s="195"/>
      <c r="BK65" s="195"/>
      <c r="BL65" s="195"/>
      <c r="BM65" s="195"/>
      <c r="BN65" s="195"/>
      <c r="BO65" s="195"/>
      <c r="BP65" s="195"/>
      <c r="BQ65" s="195"/>
      <c r="BR65" s="195"/>
      <c r="BS65" s="195"/>
      <c r="BT65" s="195"/>
      <c r="BU65" s="195"/>
      <c r="BV65" s="195"/>
      <c r="BW65" s="195"/>
      <c r="BX65" s="195"/>
      <c r="BY65" s="195"/>
      <c r="BZ65" s="195"/>
      <c r="CA65" s="195"/>
      <c r="CB65" s="195"/>
      <c r="CC65" s="195"/>
      <c r="CD65" s="195"/>
      <c r="CE65" s="195"/>
      <c r="CF65" s="195"/>
      <c r="CG65" s="195"/>
      <c r="CH65" s="195"/>
      <c r="CI65" s="195"/>
      <c r="CJ65" s="195"/>
      <c r="CK65" s="195"/>
      <c r="CL65" s="195"/>
      <c r="CM65" s="195"/>
      <c r="CN65" s="195"/>
      <c r="CO65" s="195"/>
      <c r="CP65" s="195"/>
      <c r="CQ65" s="195"/>
      <c r="CR65" s="195"/>
      <c r="CS65" s="195"/>
      <c r="CT65" s="195"/>
      <c r="CU65" s="195"/>
      <c r="CV65" s="195"/>
      <c r="CW65" s="195"/>
      <c r="CX65" s="195"/>
      <c r="CY65" s="195"/>
      <c r="CZ65" s="195"/>
    </row>
    <row r="66" spans="2:104" s="174" customFormat="1" ht="15" customHeight="1">
      <c r="B66" s="206"/>
      <c r="C66" s="206"/>
      <c r="D66" s="516">
        <v>6</v>
      </c>
      <c r="E66" s="517">
        <v>67</v>
      </c>
      <c r="H66" s="301"/>
      <c r="I66" s="301"/>
      <c r="J66" s="301"/>
      <c r="K66" s="301"/>
      <c r="L66" s="301"/>
      <c r="M66" s="301"/>
      <c r="N66" s="10"/>
      <c r="O66" s="10"/>
      <c r="P66" s="10"/>
      <c r="Q66" s="10"/>
      <c r="R66" s="10"/>
      <c r="S66" s="195"/>
      <c r="T66" s="195"/>
      <c r="U66" s="195"/>
      <c r="V66" s="195"/>
      <c r="W66" s="195"/>
      <c r="X66" s="195"/>
      <c r="Y66" s="195"/>
      <c r="Z66" s="195"/>
      <c r="AA66" s="195"/>
      <c r="AB66" s="195"/>
      <c r="AC66" s="195"/>
      <c r="AD66" s="195"/>
      <c r="AE66" s="195"/>
      <c r="AF66" s="195"/>
      <c r="AG66" s="195"/>
      <c r="AH66" s="195"/>
      <c r="AI66" s="195"/>
      <c r="AJ66" s="195"/>
      <c r="AK66" s="195"/>
      <c r="AL66" s="195"/>
      <c r="AM66" s="195"/>
      <c r="AN66" s="195"/>
      <c r="AO66" s="195"/>
      <c r="AP66" s="195"/>
      <c r="AQ66" s="195"/>
      <c r="AR66" s="195"/>
      <c r="AS66" s="195"/>
      <c r="AT66" s="195"/>
      <c r="AU66" s="195"/>
      <c r="AV66" s="195"/>
      <c r="AW66" s="195"/>
      <c r="AX66" s="195"/>
      <c r="AY66" s="195"/>
      <c r="AZ66" s="195"/>
      <c r="BA66" s="195"/>
      <c r="BB66" s="195"/>
      <c r="BC66" s="195"/>
      <c r="BD66" s="195"/>
      <c r="BE66" s="195"/>
      <c r="BF66" s="195"/>
      <c r="BG66" s="195"/>
      <c r="BH66" s="195"/>
      <c r="BI66" s="195"/>
      <c r="BJ66" s="195"/>
      <c r="BK66" s="195"/>
      <c r="BL66" s="195"/>
      <c r="BM66" s="195"/>
      <c r="BN66" s="195"/>
      <c r="BO66" s="195"/>
      <c r="BP66" s="195"/>
      <c r="BQ66" s="195"/>
      <c r="BR66" s="195"/>
      <c r="BS66" s="195"/>
      <c r="BT66" s="195"/>
      <c r="BU66" s="195"/>
      <c r="BV66" s="195"/>
      <c r="BW66" s="195"/>
      <c r="BX66" s="195"/>
      <c r="BY66" s="195"/>
      <c r="BZ66" s="195"/>
      <c r="CA66" s="195"/>
      <c r="CB66" s="195"/>
      <c r="CC66" s="195"/>
      <c r="CD66" s="195"/>
      <c r="CE66" s="195"/>
      <c r="CF66" s="195"/>
      <c r="CG66" s="195"/>
      <c r="CH66" s="195"/>
      <c r="CI66" s="195"/>
      <c r="CJ66" s="195"/>
      <c r="CK66" s="195"/>
      <c r="CL66" s="195"/>
      <c r="CM66" s="195"/>
      <c r="CN66" s="195"/>
      <c r="CO66" s="195"/>
      <c r="CP66" s="195"/>
      <c r="CQ66" s="195"/>
      <c r="CR66" s="195"/>
      <c r="CS66" s="195"/>
      <c r="CT66" s="195"/>
      <c r="CU66" s="195"/>
      <c r="CV66" s="195"/>
      <c r="CW66" s="195"/>
      <c r="CX66" s="195"/>
      <c r="CY66" s="195"/>
      <c r="CZ66" s="195"/>
    </row>
    <row r="67" spans="2:104" s="174" customFormat="1" ht="15" customHeight="1">
      <c r="B67" s="206"/>
      <c r="C67" s="206"/>
      <c r="D67" s="516">
        <v>7</v>
      </c>
      <c r="E67" s="517"/>
      <c r="H67" s="301"/>
      <c r="I67" s="301"/>
      <c r="J67" s="301"/>
      <c r="K67" s="301"/>
      <c r="L67" s="301"/>
      <c r="M67" s="301"/>
      <c r="N67" s="10"/>
      <c r="O67" s="10"/>
      <c r="P67" s="10"/>
      <c r="Q67" s="10"/>
      <c r="R67" s="10"/>
      <c r="S67" s="195"/>
      <c r="T67" s="195"/>
      <c r="U67" s="195"/>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195"/>
      <c r="AT67" s="195"/>
      <c r="AU67" s="195"/>
      <c r="AV67" s="195"/>
      <c r="AW67" s="195"/>
      <c r="AX67" s="195"/>
      <c r="AY67" s="195"/>
      <c r="AZ67" s="195"/>
      <c r="BA67" s="195"/>
      <c r="BB67" s="195"/>
      <c r="BC67" s="195"/>
      <c r="BD67" s="195"/>
      <c r="BE67" s="195"/>
      <c r="BF67" s="195"/>
      <c r="BG67" s="195"/>
      <c r="BH67" s="195"/>
      <c r="BI67" s="195"/>
      <c r="BJ67" s="195"/>
      <c r="BK67" s="195"/>
      <c r="BL67" s="195"/>
      <c r="BM67" s="195"/>
      <c r="BN67" s="195"/>
      <c r="BO67" s="195"/>
      <c r="BP67" s="195"/>
      <c r="BQ67" s="195"/>
      <c r="BR67" s="195"/>
      <c r="BS67" s="195"/>
      <c r="BT67" s="195"/>
      <c r="BU67" s="195"/>
      <c r="BV67" s="195"/>
      <c r="BW67" s="195"/>
      <c r="BX67" s="195"/>
      <c r="BY67" s="195"/>
      <c r="BZ67" s="195"/>
      <c r="CA67" s="195"/>
      <c r="CB67" s="195"/>
      <c r="CC67" s="195"/>
      <c r="CD67" s="195"/>
      <c r="CE67" s="195"/>
      <c r="CF67" s="195"/>
      <c r="CG67" s="195"/>
      <c r="CH67" s="195"/>
      <c r="CI67" s="195"/>
      <c r="CJ67" s="195"/>
      <c r="CK67" s="195"/>
      <c r="CL67" s="195"/>
      <c r="CM67" s="195"/>
      <c r="CN67" s="195"/>
      <c r="CO67" s="195"/>
      <c r="CP67" s="195"/>
      <c r="CQ67" s="195"/>
      <c r="CR67" s="195"/>
      <c r="CS67" s="195"/>
      <c r="CT67" s="195"/>
      <c r="CU67" s="195"/>
      <c r="CV67" s="195"/>
      <c r="CW67" s="195"/>
      <c r="CX67" s="195"/>
      <c r="CY67" s="195"/>
      <c r="CZ67" s="195"/>
    </row>
    <row r="68" spans="2:104" s="174" customFormat="1" ht="15" customHeight="1">
      <c r="B68" s="206"/>
      <c r="C68" s="206"/>
      <c r="D68" s="516">
        <v>8</v>
      </c>
      <c r="E68" s="517"/>
      <c r="H68" s="301"/>
      <c r="I68" s="301"/>
      <c r="J68" s="301"/>
      <c r="K68" s="301"/>
      <c r="L68" s="301"/>
      <c r="M68" s="301"/>
      <c r="N68" s="10"/>
      <c r="O68" s="10"/>
      <c r="P68" s="10"/>
      <c r="Q68" s="10"/>
      <c r="R68" s="10"/>
      <c r="S68" s="195"/>
      <c r="T68" s="195"/>
      <c r="U68" s="195"/>
      <c r="V68" s="195"/>
      <c r="W68" s="195"/>
      <c r="X68" s="195"/>
      <c r="Y68" s="195"/>
      <c r="Z68" s="195"/>
      <c r="AA68" s="195"/>
      <c r="AB68" s="195"/>
      <c r="AC68" s="195"/>
      <c r="AD68" s="195"/>
      <c r="AE68" s="195"/>
      <c r="AF68" s="195"/>
      <c r="AG68" s="195"/>
      <c r="AH68" s="195"/>
      <c r="AI68" s="195"/>
      <c r="AJ68" s="195"/>
      <c r="AK68" s="195"/>
      <c r="AL68" s="195"/>
      <c r="AM68" s="195"/>
      <c r="AN68" s="195"/>
      <c r="AO68" s="195"/>
      <c r="AP68" s="195"/>
      <c r="AQ68" s="195"/>
      <c r="AR68" s="195"/>
      <c r="AS68" s="195"/>
      <c r="AT68" s="195"/>
      <c r="AU68" s="195"/>
      <c r="AV68" s="195"/>
      <c r="AW68" s="195"/>
      <c r="AX68" s="195"/>
      <c r="AY68" s="195"/>
      <c r="AZ68" s="195"/>
      <c r="BA68" s="195"/>
      <c r="BB68" s="195"/>
      <c r="BC68" s="195"/>
      <c r="BD68" s="195"/>
      <c r="BE68" s="195"/>
      <c r="BF68" s="195"/>
      <c r="BG68" s="195"/>
      <c r="BH68" s="195"/>
      <c r="BI68" s="195"/>
      <c r="BJ68" s="195"/>
      <c r="BK68" s="195"/>
      <c r="BL68" s="195"/>
      <c r="BM68" s="195"/>
      <c r="BN68" s="195"/>
      <c r="BO68" s="195"/>
      <c r="BP68" s="195"/>
      <c r="BQ68" s="195"/>
      <c r="BR68" s="195"/>
      <c r="BS68" s="195"/>
      <c r="BT68" s="195"/>
      <c r="BU68" s="195"/>
      <c r="BV68" s="195"/>
      <c r="BW68" s="195"/>
      <c r="BX68" s="195"/>
      <c r="BY68" s="195"/>
      <c r="BZ68" s="195"/>
      <c r="CA68" s="195"/>
      <c r="CB68" s="195"/>
      <c r="CC68" s="195"/>
      <c r="CD68" s="195"/>
      <c r="CE68" s="195"/>
      <c r="CF68" s="195"/>
      <c r="CG68" s="195"/>
      <c r="CH68" s="195"/>
      <c r="CI68" s="195"/>
      <c r="CJ68" s="195"/>
      <c r="CK68" s="195"/>
      <c r="CL68" s="195"/>
      <c r="CM68" s="195"/>
      <c r="CN68" s="195"/>
      <c r="CO68" s="195"/>
      <c r="CP68" s="195"/>
      <c r="CQ68" s="195"/>
      <c r="CR68" s="195"/>
      <c r="CS68" s="195"/>
      <c r="CT68" s="195"/>
      <c r="CU68" s="195"/>
      <c r="CV68" s="195"/>
      <c r="CW68" s="195"/>
      <c r="CX68" s="195"/>
      <c r="CY68" s="195"/>
      <c r="CZ68" s="195"/>
    </row>
    <row r="69" spans="2:104" s="174" customFormat="1" ht="15" customHeight="1">
      <c r="B69" s="206"/>
      <c r="C69" s="206"/>
      <c r="D69" s="516">
        <v>9</v>
      </c>
      <c r="E69" s="517"/>
      <c r="H69" s="301"/>
      <c r="I69" s="301"/>
      <c r="J69" s="301"/>
      <c r="K69" s="301"/>
      <c r="L69" s="301"/>
      <c r="M69" s="301"/>
      <c r="N69" s="10"/>
      <c r="O69" s="10"/>
      <c r="P69" s="10"/>
      <c r="Q69" s="10"/>
      <c r="R69" s="10"/>
      <c r="S69" s="195"/>
      <c r="T69" s="195"/>
      <c r="U69" s="195"/>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195"/>
      <c r="AT69" s="195"/>
      <c r="AU69" s="195"/>
      <c r="AV69" s="195"/>
      <c r="AW69" s="195"/>
      <c r="AX69" s="195"/>
      <c r="AY69" s="195"/>
      <c r="AZ69" s="195"/>
      <c r="BA69" s="195"/>
      <c r="BB69" s="195"/>
      <c r="BC69" s="195"/>
      <c r="BD69" s="195"/>
      <c r="BE69" s="195"/>
      <c r="BF69" s="195"/>
      <c r="BG69" s="195"/>
      <c r="BH69" s="195"/>
      <c r="BI69" s="195"/>
      <c r="BJ69" s="195"/>
      <c r="BK69" s="195"/>
      <c r="BL69" s="195"/>
      <c r="BM69" s="195"/>
      <c r="BN69" s="195"/>
      <c r="BO69" s="195"/>
      <c r="BP69" s="195"/>
      <c r="BQ69" s="195"/>
      <c r="BR69" s="195"/>
      <c r="BS69" s="195"/>
      <c r="BT69" s="195"/>
      <c r="BU69" s="195"/>
      <c r="BV69" s="195"/>
      <c r="BW69" s="195"/>
      <c r="BX69" s="195"/>
      <c r="BY69" s="195"/>
      <c r="BZ69" s="195"/>
      <c r="CA69" s="195"/>
      <c r="CB69" s="195"/>
      <c r="CC69" s="195"/>
      <c r="CD69" s="195"/>
      <c r="CE69" s="195"/>
      <c r="CF69" s="195"/>
      <c r="CG69" s="195"/>
      <c r="CH69" s="195"/>
      <c r="CI69" s="195"/>
      <c r="CJ69" s="195"/>
      <c r="CK69" s="195"/>
      <c r="CL69" s="195"/>
      <c r="CM69" s="195"/>
      <c r="CN69" s="195"/>
      <c r="CO69" s="195"/>
      <c r="CP69" s="195"/>
      <c r="CQ69" s="195"/>
      <c r="CR69" s="195"/>
      <c r="CS69" s="195"/>
      <c r="CT69" s="195"/>
      <c r="CU69" s="195"/>
      <c r="CV69" s="195"/>
      <c r="CW69" s="195"/>
      <c r="CX69" s="195"/>
      <c r="CY69" s="195"/>
      <c r="CZ69" s="195"/>
    </row>
    <row r="70" spans="2:104" s="174" customFormat="1" ht="15" customHeight="1">
      <c r="B70" s="206"/>
      <c r="C70" s="206"/>
      <c r="D70" s="516">
        <v>10</v>
      </c>
      <c r="E70" s="517"/>
      <c r="H70" s="301"/>
      <c r="I70" s="301"/>
      <c r="J70" s="301"/>
      <c r="K70" s="301"/>
      <c r="L70" s="301"/>
      <c r="M70" s="301"/>
      <c r="N70" s="10"/>
      <c r="O70" s="10"/>
      <c r="P70" s="10"/>
      <c r="Q70" s="10"/>
      <c r="R70" s="10"/>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95"/>
      <c r="BJ70" s="195"/>
      <c r="BK70" s="195"/>
      <c r="BL70" s="195"/>
      <c r="BM70" s="195"/>
      <c r="BN70" s="195"/>
      <c r="BO70" s="195"/>
      <c r="BP70" s="195"/>
      <c r="BQ70" s="195"/>
      <c r="BR70" s="195"/>
      <c r="BS70" s="195"/>
      <c r="BT70" s="195"/>
      <c r="BU70" s="195"/>
      <c r="BV70" s="195"/>
      <c r="BW70" s="195"/>
      <c r="BX70" s="195"/>
      <c r="BY70" s="195"/>
      <c r="BZ70" s="195"/>
      <c r="CA70" s="195"/>
      <c r="CB70" s="195"/>
      <c r="CC70" s="195"/>
      <c r="CD70" s="195"/>
      <c r="CE70" s="195"/>
      <c r="CF70" s="195"/>
      <c r="CG70" s="195"/>
      <c r="CH70" s="195"/>
      <c r="CI70" s="195"/>
      <c r="CJ70" s="195"/>
      <c r="CK70" s="195"/>
      <c r="CL70" s="195"/>
      <c r="CM70" s="195"/>
      <c r="CN70" s="195"/>
      <c r="CO70" s="195"/>
      <c r="CP70" s="195"/>
      <c r="CQ70" s="195"/>
      <c r="CR70" s="195"/>
      <c r="CS70" s="195"/>
      <c r="CT70" s="195"/>
      <c r="CU70" s="195"/>
      <c r="CV70" s="195"/>
      <c r="CW70" s="195"/>
      <c r="CX70" s="195"/>
      <c r="CY70" s="195"/>
      <c r="CZ70" s="195"/>
    </row>
    <row r="71" spans="2:104" s="174" customFormat="1" ht="15" customHeight="1">
      <c r="B71" s="206"/>
      <c r="C71" s="206"/>
      <c r="D71" s="516">
        <v>11</v>
      </c>
      <c r="E71" s="517"/>
      <c r="H71" s="301"/>
      <c r="I71" s="301"/>
      <c r="J71" s="301"/>
      <c r="K71" s="301"/>
      <c r="L71" s="301"/>
      <c r="M71" s="301"/>
      <c r="N71" s="10"/>
      <c r="O71" s="10"/>
      <c r="P71" s="10"/>
      <c r="Q71" s="10"/>
      <c r="R71" s="10"/>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95"/>
      <c r="BJ71" s="195"/>
      <c r="BK71" s="195"/>
      <c r="BL71" s="195"/>
      <c r="BM71" s="195"/>
      <c r="BN71" s="195"/>
      <c r="BO71" s="195"/>
      <c r="BP71" s="195"/>
      <c r="BQ71" s="195"/>
      <c r="BR71" s="195"/>
      <c r="BS71" s="195"/>
      <c r="BT71" s="195"/>
      <c r="BU71" s="195"/>
      <c r="BV71" s="195"/>
      <c r="BW71" s="195"/>
      <c r="BX71" s="195"/>
      <c r="BY71" s="195"/>
      <c r="BZ71" s="195"/>
      <c r="CA71" s="195"/>
      <c r="CB71" s="195"/>
      <c r="CC71" s="195"/>
      <c r="CD71" s="195"/>
      <c r="CE71" s="195"/>
      <c r="CF71" s="195"/>
      <c r="CG71" s="195"/>
      <c r="CH71" s="195"/>
      <c r="CI71" s="195"/>
      <c r="CJ71" s="195"/>
      <c r="CK71" s="195"/>
      <c r="CL71" s="195"/>
      <c r="CM71" s="195"/>
      <c r="CN71" s="195"/>
      <c r="CO71" s="195"/>
      <c r="CP71" s="195"/>
      <c r="CQ71" s="195"/>
      <c r="CR71" s="195"/>
      <c r="CS71" s="195"/>
      <c r="CT71" s="195"/>
      <c r="CU71" s="195"/>
      <c r="CV71" s="195"/>
      <c r="CW71" s="195"/>
      <c r="CX71" s="195"/>
      <c r="CY71" s="195"/>
      <c r="CZ71" s="195"/>
    </row>
    <row r="72" spans="2:104" s="174" customFormat="1" ht="15" customHeight="1">
      <c r="B72" s="206"/>
      <c r="C72" s="206"/>
      <c r="D72" s="516">
        <v>12</v>
      </c>
      <c r="E72" s="516"/>
      <c r="H72" s="301"/>
      <c r="I72" s="301"/>
      <c r="J72" s="301"/>
      <c r="K72" s="301"/>
      <c r="L72" s="301"/>
      <c r="M72" s="301"/>
      <c r="N72" s="10"/>
      <c r="O72" s="10"/>
      <c r="P72" s="10"/>
      <c r="Q72" s="10"/>
      <c r="R72" s="10"/>
      <c r="S72" s="195"/>
      <c r="T72" s="195"/>
      <c r="U72" s="195"/>
      <c r="V72" s="195"/>
      <c r="W72" s="195"/>
      <c r="X72" s="195"/>
      <c r="Y72" s="195"/>
      <c r="Z72" s="195"/>
      <c r="AA72" s="195"/>
      <c r="AB72" s="195"/>
      <c r="AC72" s="195"/>
      <c r="AD72" s="195"/>
      <c r="AE72" s="195"/>
      <c r="AF72" s="195"/>
      <c r="AG72" s="195"/>
      <c r="AH72" s="195"/>
      <c r="AI72" s="195"/>
      <c r="AJ72" s="195"/>
      <c r="AK72" s="195"/>
      <c r="AL72" s="195"/>
      <c r="AM72" s="195"/>
      <c r="AN72" s="195"/>
      <c r="AO72" s="195"/>
      <c r="AP72" s="195"/>
      <c r="AQ72" s="195"/>
      <c r="AR72" s="195"/>
      <c r="AS72" s="195"/>
      <c r="AT72" s="195"/>
      <c r="AU72" s="195"/>
      <c r="AV72" s="195"/>
      <c r="AW72" s="195"/>
      <c r="AX72" s="195"/>
      <c r="AY72" s="195"/>
      <c r="AZ72" s="195"/>
      <c r="BA72" s="195"/>
      <c r="BB72" s="195"/>
      <c r="BC72" s="195"/>
      <c r="BD72" s="195"/>
      <c r="BE72" s="195"/>
      <c r="BF72" s="195"/>
      <c r="BG72" s="195"/>
      <c r="BH72" s="195"/>
      <c r="BI72" s="195"/>
      <c r="BJ72" s="195"/>
      <c r="BK72" s="195"/>
      <c r="BL72" s="195"/>
      <c r="BM72" s="195"/>
      <c r="BN72" s="195"/>
      <c r="BO72" s="195"/>
      <c r="BP72" s="195"/>
      <c r="BQ72" s="195"/>
      <c r="BR72" s="195"/>
      <c r="BS72" s="195"/>
      <c r="BT72" s="195"/>
      <c r="BU72" s="195"/>
      <c r="BV72" s="195"/>
      <c r="BW72" s="195"/>
      <c r="BX72" s="195"/>
      <c r="BY72" s="195"/>
      <c r="BZ72" s="195"/>
      <c r="CA72" s="195"/>
      <c r="CB72" s="195"/>
      <c r="CC72" s="195"/>
      <c r="CD72" s="195"/>
      <c r="CE72" s="195"/>
      <c r="CF72" s="195"/>
      <c r="CG72" s="195"/>
      <c r="CH72" s="195"/>
      <c r="CI72" s="195"/>
      <c r="CJ72" s="195"/>
      <c r="CK72" s="195"/>
      <c r="CL72" s="195"/>
      <c r="CM72" s="195"/>
      <c r="CN72" s="195"/>
      <c r="CO72" s="195"/>
      <c r="CP72" s="195"/>
      <c r="CQ72" s="195"/>
      <c r="CR72" s="195"/>
      <c r="CS72" s="195"/>
      <c r="CT72" s="195"/>
      <c r="CU72" s="195"/>
      <c r="CV72" s="195"/>
      <c r="CW72" s="195"/>
      <c r="CX72" s="195"/>
      <c r="CY72" s="195"/>
      <c r="CZ72" s="195"/>
    </row>
    <row r="73" spans="2:104" s="174" customFormat="1" ht="15" customHeight="1">
      <c r="B73" s="206"/>
      <c r="C73" s="206"/>
      <c r="D73" s="516">
        <v>13</v>
      </c>
      <c r="E73" s="516"/>
      <c r="H73" s="301"/>
      <c r="I73" s="301"/>
      <c r="J73" s="301"/>
      <c r="K73" s="301"/>
      <c r="L73" s="301"/>
      <c r="M73" s="301"/>
      <c r="N73" s="10"/>
      <c r="O73" s="10"/>
      <c r="P73" s="10"/>
      <c r="Q73" s="10"/>
      <c r="R73" s="10"/>
      <c r="S73" s="195"/>
      <c r="T73" s="195"/>
      <c r="U73" s="195"/>
      <c r="V73" s="195"/>
      <c r="W73" s="195"/>
      <c r="X73" s="195"/>
      <c r="Y73" s="195"/>
      <c r="Z73" s="195"/>
      <c r="AA73" s="195"/>
      <c r="AB73" s="195"/>
      <c r="AC73" s="195"/>
      <c r="AD73" s="195"/>
      <c r="AE73" s="195"/>
      <c r="AF73" s="195"/>
      <c r="AG73" s="195"/>
      <c r="AH73" s="195"/>
      <c r="AI73" s="195"/>
      <c r="AJ73" s="195"/>
      <c r="AK73" s="195"/>
      <c r="AL73" s="195"/>
      <c r="AM73" s="195"/>
      <c r="AN73" s="195"/>
      <c r="AO73" s="195"/>
      <c r="AP73" s="195"/>
      <c r="AQ73" s="195"/>
      <c r="AR73" s="195"/>
      <c r="AS73" s="195"/>
      <c r="AT73" s="195"/>
      <c r="AU73" s="195"/>
      <c r="AV73" s="195"/>
      <c r="AW73" s="195"/>
      <c r="AX73" s="195"/>
      <c r="AY73" s="195"/>
      <c r="AZ73" s="195"/>
      <c r="BA73" s="195"/>
      <c r="BB73" s="195"/>
      <c r="BC73" s="195"/>
      <c r="BD73" s="195"/>
      <c r="BE73" s="195"/>
      <c r="BF73" s="195"/>
      <c r="BG73" s="195"/>
      <c r="BH73" s="195"/>
      <c r="BI73" s="195"/>
      <c r="BJ73" s="195"/>
      <c r="BK73" s="195"/>
      <c r="BL73" s="195"/>
      <c r="BM73" s="195"/>
      <c r="BN73" s="195"/>
      <c r="BO73" s="195"/>
      <c r="BP73" s="195"/>
      <c r="BQ73" s="195"/>
      <c r="BR73" s="195"/>
      <c r="BS73" s="195"/>
      <c r="BT73" s="195"/>
      <c r="BU73" s="195"/>
      <c r="BV73" s="195"/>
      <c r="BW73" s="195"/>
      <c r="BX73" s="195"/>
      <c r="BY73" s="195"/>
      <c r="BZ73" s="195"/>
      <c r="CA73" s="195"/>
      <c r="CB73" s="195"/>
      <c r="CC73" s="195"/>
      <c r="CD73" s="195"/>
      <c r="CE73" s="195"/>
      <c r="CF73" s="195"/>
      <c r="CG73" s="195"/>
      <c r="CH73" s="195"/>
      <c r="CI73" s="195"/>
      <c r="CJ73" s="195"/>
      <c r="CK73" s="195"/>
      <c r="CL73" s="195"/>
      <c r="CM73" s="195"/>
      <c r="CN73" s="195"/>
      <c r="CO73" s="195"/>
      <c r="CP73" s="195"/>
      <c r="CQ73" s="195"/>
      <c r="CR73" s="195"/>
      <c r="CS73" s="195"/>
      <c r="CT73" s="195"/>
      <c r="CU73" s="195"/>
      <c r="CV73" s="195"/>
      <c r="CW73" s="195"/>
      <c r="CX73" s="195"/>
      <c r="CY73" s="195"/>
      <c r="CZ73" s="195"/>
    </row>
    <row r="74" spans="2:104" s="174" customFormat="1" ht="15" customHeight="1">
      <c r="B74" s="206"/>
      <c r="C74" s="206"/>
      <c r="D74" s="516">
        <v>14</v>
      </c>
      <c r="E74" s="516"/>
      <c r="H74" s="301"/>
      <c r="I74" s="301"/>
      <c r="J74" s="301"/>
      <c r="K74" s="301"/>
      <c r="L74" s="301"/>
      <c r="M74" s="301"/>
      <c r="N74" s="10"/>
      <c r="O74" s="10"/>
      <c r="P74" s="10"/>
      <c r="Q74" s="10"/>
      <c r="R74" s="10"/>
      <c r="S74" s="195"/>
      <c r="T74" s="195"/>
      <c r="U74" s="195"/>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195"/>
      <c r="AT74" s="195"/>
      <c r="AU74" s="195"/>
      <c r="AV74" s="195"/>
      <c r="AW74" s="195"/>
      <c r="AX74" s="195"/>
      <c r="AY74" s="195"/>
      <c r="AZ74" s="195"/>
      <c r="BA74" s="195"/>
      <c r="BB74" s="195"/>
      <c r="BC74" s="195"/>
      <c r="BD74" s="195"/>
      <c r="BE74" s="195"/>
      <c r="BF74" s="195"/>
      <c r="BG74" s="195"/>
      <c r="BH74" s="195"/>
      <c r="BI74" s="195"/>
      <c r="BJ74" s="195"/>
      <c r="BK74" s="195"/>
      <c r="BL74" s="195"/>
      <c r="BM74" s="195"/>
      <c r="BN74" s="195"/>
      <c r="BO74" s="195"/>
      <c r="BP74" s="195"/>
      <c r="BQ74" s="195"/>
      <c r="BR74" s="195"/>
      <c r="BS74" s="195"/>
      <c r="BT74" s="195"/>
      <c r="BU74" s="195"/>
      <c r="BV74" s="195"/>
      <c r="BW74" s="195"/>
      <c r="BX74" s="195"/>
      <c r="BY74" s="195"/>
      <c r="BZ74" s="195"/>
      <c r="CA74" s="195"/>
      <c r="CB74" s="195"/>
      <c r="CC74" s="195"/>
      <c r="CD74" s="195"/>
      <c r="CE74" s="195"/>
      <c r="CF74" s="195"/>
      <c r="CG74" s="195"/>
      <c r="CH74" s="195"/>
      <c r="CI74" s="195"/>
      <c r="CJ74" s="195"/>
      <c r="CK74" s="195"/>
      <c r="CL74" s="195"/>
      <c r="CM74" s="195"/>
      <c r="CN74" s="195"/>
      <c r="CO74" s="195"/>
      <c r="CP74" s="195"/>
      <c r="CQ74" s="195"/>
      <c r="CR74" s="195"/>
      <c r="CS74" s="195"/>
      <c r="CT74" s="195"/>
      <c r="CU74" s="195"/>
      <c r="CV74" s="195"/>
      <c r="CW74" s="195"/>
      <c r="CX74" s="195"/>
      <c r="CY74" s="195"/>
      <c r="CZ74" s="195"/>
    </row>
    <row r="75" spans="2:104" s="174" customFormat="1" ht="15" customHeight="1">
      <c r="B75" s="206"/>
      <c r="C75" s="206"/>
      <c r="D75" s="516">
        <v>15</v>
      </c>
      <c r="E75" s="516"/>
      <c r="H75" s="301"/>
      <c r="I75" s="301"/>
      <c r="J75" s="301"/>
      <c r="K75" s="301"/>
      <c r="L75" s="301"/>
      <c r="M75" s="301"/>
      <c r="N75" s="10"/>
      <c r="O75" s="10"/>
      <c r="P75" s="10"/>
      <c r="Q75" s="10"/>
      <c r="R75" s="10"/>
      <c r="S75" s="195"/>
      <c r="T75" s="195"/>
      <c r="U75" s="195"/>
      <c r="V75" s="195"/>
      <c r="W75" s="195"/>
      <c r="X75" s="195"/>
      <c r="Y75" s="195"/>
      <c r="Z75" s="195"/>
      <c r="AA75" s="195"/>
      <c r="AB75" s="195"/>
      <c r="AC75" s="195"/>
      <c r="AD75" s="195"/>
      <c r="AE75" s="195"/>
      <c r="AF75" s="195"/>
      <c r="AG75" s="195"/>
      <c r="AH75" s="195"/>
      <c r="AI75" s="195"/>
      <c r="AJ75" s="195"/>
      <c r="AK75" s="195"/>
      <c r="AL75" s="195"/>
      <c r="AM75" s="195"/>
      <c r="AN75" s="195"/>
      <c r="AO75" s="195"/>
      <c r="AP75" s="195"/>
      <c r="AQ75" s="195"/>
      <c r="AR75" s="195"/>
      <c r="AS75" s="195"/>
      <c r="AT75" s="195"/>
      <c r="AU75" s="195"/>
      <c r="AV75" s="195"/>
      <c r="AW75" s="195"/>
      <c r="AX75" s="195"/>
      <c r="AY75" s="195"/>
      <c r="AZ75" s="195"/>
      <c r="BA75" s="195"/>
      <c r="BB75" s="195"/>
      <c r="BC75" s="195"/>
      <c r="BD75" s="195"/>
      <c r="BE75" s="195"/>
      <c r="BF75" s="195"/>
      <c r="BG75" s="195"/>
      <c r="BH75" s="195"/>
      <c r="BI75" s="195"/>
      <c r="BJ75" s="195"/>
      <c r="BK75" s="195"/>
      <c r="BL75" s="195"/>
      <c r="BM75" s="195"/>
      <c r="BN75" s="195"/>
      <c r="BO75" s="195"/>
      <c r="BP75" s="195"/>
      <c r="BQ75" s="195"/>
      <c r="BR75" s="195"/>
      <c r="BS75" s="195"/>
      <c r="BT75" s="195"/>
      <c r="BU75" s="195"/>
      <c r="BV75" s="195"/>
      <c r="BW75" s="195"/>
      <c r="BX75" s="195"/>
      <c r="BY75" s="195"/>
      <c r="BZ75" s="195"/>
      <c r="CA75" s="195"/>
      <c r="CB75" s="195"/>
      <c r="CC75" s="195"/>
      <c r="CD75" s="195"/>
      <c r="CE75" s="195"/>
      <c r="CF75" s="195"/>
      <c r="CG75" s="195"/>
      <c r="CH75" s="195"/>
      <c r="CI75" s="195"/>
      <c r="CJ75" s="195"/>
      <c r="CK75" s="195"/>
      <c r="CL75" s="195"/>
      <c r="CM75" s="195"/>
      <c r="CN75" s="195"/>
      <c r="CO75" s="195"/>
      <c r="CP75" s="195"/>
      <c r="CQ75" s="195"/>
      <c r="CR75" s="195"/>
      <c r="CS75" s="195"/>
      <c r="CT75" s="195"/>
      <c r="CU75" s="195"/>
      <c r="CV75" s="195"/>
      <c r="CW75" s="195"/>
      <c r="CX75" s="195"/>
      <c r="CY75" s="195"/>
      <c r="CZ75" s="195"/>
    </row>
    <row r="76" spans="2:104" s="174" customFormat="1" ht="15" customHeight="1">
      <c r="D76" s="516">
        <v>16</v>
      </c>
      <c r="E76" s="516"/>
      <c r="H76" s="172"/>
      <c r="I76" s="172"/>
      <c r="J76" s="172"/>
      <c r="K76" s="172"/>
      <c r="L76" s="172"/>
      <c r="M76" s="172"/>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95"/>
      <c r="BJ76" s="195"/>
      <c r="BK76" s="195"/>
      <c r="BL76" s="195"/>
      <c r="BM76" s="195"/>
      <c r="BN76" s="195"/>
      <c r="BO76" s="195"/>
      <c r="BP76" s="195"/>
      <c r="BQ76" s="195"/>
      <c r="BR76" s="195"/>
      <c r="BS76" s="195"/>
      <c r="BT76" s="195"/>
      <c r="BU76" s="195"/>
      <c r="BV76" s="195"/>
      <c r="BW76" s="195"/>
      <c r="BX76" s="195"/>
      <c r="BY76" s="195"/>
      <c r="BZ76" s="195"/>
      <c r="CA76" s="195"/>
      <c r="CB76" s="195"/>
      <c r="CC76" s="195"/>
      <c r="CD76" s="195"/>
      <c r="CE76" s="195"/>
      <c r="CF76" s="195"/>
      <c r="CG76" s="195"/>
      <c r="CH76" s="195"/>
      <c r="CI76" s="195"/>
      <c r="CJ76" s="195"/>
      <c r="CK76" s="195"/>
      <c r="CL76" s="195"/>
      <c r="CM76" s="195"/>
      <c r="CN76" s="195"/>
      <c r="CO76" s="195"/>
      <c r="CP76" s="195"/>
      <c r="CQ76" s="195"/>
      <c r="CR76" s="195"/>
      <c r="CS76" s="195"/>
      <c r="CT76" s="195"/>
      <c r="CU76" s="195"/>
      <c r="CV76" s="195"/>
      <c r="CW76" s="195"/>
      <c r="CX76" s="195"/>
      <c r="CY76" s="195"/>
      <c r="CZ76" s="195"/>
    </row>
    <row r="77" spans="2:104" s="174" customFormat="1" ht="15" customHeight="1">
      <c r="D77" s="516">
        <v>17</v>
      </c>
      <c r="E77" s="516"/>
      <c r="H77" s="172"/>
      <c r="I77" s="172"/>
      <c r="J77" s="172"/>
      <c r="K77" s="172"/>
      <c r="L77" s="172"/>
      <c r="M77" s="172"/>
      <c r="N77" s="195"/>
      <c r="O77" s="195"/>
      <c r="P77" s="195"/>
      <c r="Q77" s="195"/>
      <c r="R77" s="195"/>
      <c r="S77" s="195"/>
      <c r="T77" s="195"/>
      <c r="U77" s="195"/>
      <c r="V77" s="195"/>
      <c r="W77" s="195"/>
      <c r="X77" s="195"/>
      <c r="Y77" s="195"/>
      <c r="Z77" s="195"/>
      <c r="AA77" s="195"/>
      <c r="AB77" s="195"/>
      <c r="AC77" s="195"/>
      <c r="AD77" s="195"/>
      <c r="AE77" s="195"/>
      <c r="AF77" s="195"/>
      <c r="AG77" s="195"/>
      <c r="AH77" s="195"/>
      <c r="AI77" s="195"/>
      <c r="AJ77" s="195"/>
      <c r="AK77" s="195"/>
      <c r="AL77" s="195"/>
      <c r="AM77" s="195"/>
      <c r="AN77" s="195"/>
      <c r="AO77" s="195"/>
      <c r="AP77" s="195"/>
      <c r="AQ77" s="195"/>
      <c r="AR77" s="195"/>
      <c r="AS77" s="195"/>
      <c r="AT77" s="195"/>
      <c r="AU77" s="195"/>
      <c r="AV77" s="195"/>
      <c r="AW77" s="195"/>
      <c r="AX77" s="195"/>
      <c r="AY77" s="195"/>
      <c r="AZ77" s="195"/>
      <c r="BA77" s="195"/>
      <c r="BB77" s="195"/>
      <c r="BC77" s="195"/>
      <c r="BD77" s="195"/>
      <c r="BE77" s="195"/>
      <c r="BF77" s="195"/>
      <c r="BG77" s="195"/>
      <c r="BH77" s="195"/>
      <c r="BI77" s="195"/>
      <c r="BJ77" s="195"/>
      <c r="BK77" s="195"/>
      <c r="BL77" s="195"/>
      <c r="BM77" s="195"/>
      <c r="BN77" s="195"/>
      <c r="BO77" s="195"/>
      <c r="BP77" s="195"/>
      <c r="BQ77" s="195"/>
      <c r="BR77" s="195"/>
      <c r="BS77" s="195"/>
      <c r="BT77" s="195"/>
      <c r="BU77" s="195"/>
      <c r="BV77" s="195"/>
      <c r="BW77" s="195"/>
      <c r="BX77" s="195"/>
      <c r="BY77" s="195"/>
      <c r="BZ77" s="195"/>
      <c r="CA77" s="195"/>
      <c r="CB77" s="195"/>
      <c r="CC77" s="195"/>
      <c r="CD77" s="195"/>
      <c r="CE77" s="195"/>
      <c r="CF77" s="195"/>
      <c r="CG77" s="195"/>
      <c r="CH77" s="195"/>
      <c r="CI77" s="195"/>
      <c r="CJ77" s="195"/>
      <c r="CK77" s="195"/>
      <c r="CL77" s="195"/>
      <c r="CM77" s="195"/>
      <c r="CN77" s="195"/>
      <c r="CO77" s="195"/>
      <c r="CP77" s="195"/>
      <c r="CQ77" s="195"/>
      <c r="CR77" s="195"/>
      <c r="CS77" s="195"/>
      <c r="CT77" s="195"/>
      <c r="CU77" s="195"/>
      <c r="CV77" s="195"/>
      <c r="CW77" s="195"/>
      <c r="CX77" s="195"/>
      <c r="CY77" s="195"/>
      <c r="CZ77" s="195"/>
    </row>
    <row r="78" spans="2:104" s="174" customFormat="1" ht="15" customHeight="1">
      <c r="D78" s="516">
        <v>18</v>
      </c>
      <c r="E78" s="516"/>
      <c r="H78" s="172"/>
      <c r="I78" s="172"/>
      <c r="J78" s="172"/>
      <c r="K78" s="172"/>
      <c r="L78" s="172"/>
      <c r="M78" s="172"/>
      <c r="N78" s="195"/>
      <c r="O78" s="195"/>
      <c r="P78" s="195"/>
      <c r="Q78" s="195"/>
      <c r="R78" s="195"/>
      <c r="S78" s="195"/>
      <c r="T78" s="195"/>
      <c r="U78" s="195"/>
      <c r="V78" s="195"/>
      <c r="W78" s="195"/>
      <c r="X78" s="195"/>
      <c r="Y78" s="195"/>
      <c r="Z78" s="195"/>
      <c r="AA78" s="195"/>
      <c r="AB78" s="195"/>
      <c r="AC78" s="195"/>
      <c r="AD78" s="195"/>
      <c r="AE78" s="195"/>
      <c r="AF78" s="195"/>
      <c r="AG78" s="195"/>
      <c r="AH78" s="195"/>
      <c r="AI78" s="195"/>
      <c r="AJ78" s="195"/>
      <c r="AK78" s="195"/>
      <c r="AL78" s="195"/>
      <c r="AM78" s="195"/>
      <c r="AN78" s="195"/>
      <c r="AO78" s="195"/>
      <c r="AP78" s="195"/>
      <c r="AQ78" s="195"/>
      <c r="AR78" s="195"/>
      <c r="AS78" s="195"/>
      <c r="AT78" s="195"/>
      <c r="AU78" s="195"/>
      <c r="AV78" s="195"/>
      <c r="AW78" s="195"/>
      <c r="AX78" s="195"/>
      <c r="AY78" s="195"/>
      <c r="AZ78" s="195"/>
      <c r="BA78" s="195"/>
      <c r="BB78" s="195"/>
      <c r="BC78" s="195"/>
      <c r="BD78" s="195"/>
      <c r="BE78" s="195"/>
      <c r="BF78" s="195"/>
      <c r="BG78" s="195"/>
      <c r="BH78" s="195"/>
      <c r="BI78" s="195"/>
      <c r="BJ78" s="195"/>
      <c r="BK78" s="195"/>
      <c r="BL78" s="195"/>
      <c r="BM78" s="195"/>
      <c r="BN78" s="195"/>
      <c r="BO78" s="195"/>
      <c r="BP78" s="195"/>
      <c r="BQ78" s="195"/>
      <c r="BR78" s="195"/>
      <c r="BS78" s="195"/>
      <c r="BT78" s="195"/>
      <c r="BU78" s="195"/>
      <c r="BV78" s="195"/>
      <c r="BW78" s="195"/>
      <c r="BX78" s="195"/>
      <c r="BY78" s="195"/>
      <c r="BZ78" s="195"/>
      <c r="CA78" s="195"/>
      <c r="CB78" s="195"/>
      <c r="CC78" s="195"/>
      <c r="CD78" s="195"/>
      <c r="CE78" s="195"/>
      <c r="CF78" s="195"/>
      <c r="CG78" s="195"/>
      <c r="CH78" s="195"/>
      <c r="CI78" s="195"/>
      <c r="CJ78" s="195"/>
      <c r="CK78" s="195"/>
      <c r="CL78" s="195"/>
      <c r="CM78" s="195"/>
      <c r="CN78" s="195"/>
      <c r="CO78" s="195"/>
      <c r="CP78" s="195"/>
      <c r="CQ78" s="195"/>
      <c r="CR78" s="195"/>
      <c r="CS78" s="195"/>
      <c r="CT78" s="195"/>
      <c r="CU78" s="195"/>
      <c r="CV78" s="195"/>
      <c r="CW78" s="195"/>
      <c r="CX78" s="195"/>
      <c r="CY78" s="195"/>
      <c r="CZ78" s="195"/>
    </row>
    <row r="79" spans="2:104" s="174" customFormat="1" ht="15" customHeight="1">
      <c r="D79" s="516">
        <v>19</v>
      </c>
      <c r="E79" s="516"/>
      <c r="H79" s="172"/>
      <c r="I79" s="172"/>
      <c r="J79" s="172"/>
      <c r="K79" s="172"/>
      <c r="L79" s="172"/>
      <c r="M79" s="172"/>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95"/>
      <c r="BP79" s="195"/>
      <c r="BQ79" s="195"/>
      <c r="BR79" s="195"/>
      <c r="BS79" s="195"/>
      <c r="BT79" s="195"/>
      <c r="BU79" s="195"/>
      <c r="BV79" s="195"/>
      <c r="BW79" s="195"/>
      <c r="BX79" s="195"/>
      <c r="BY79" s="195"/>
      <c r="BZ79" s="195"/>
      <c r="CA79" s="195"/>
      <c r="CB79" s="195"/>
      <c r="CC79" s="195"/>
      <c r="CD79" s="195"/>
      <c r="CE79" s="195"/>
      <c r="CF79" s="195"/>
      <c r="CG79" s="195"/>
      <c r="CH79" s="195"/>
      <c r="CI79" s="195"/>
      <c r="CJ79" s="195"/>
      <c r="CK79" s="195"/>
      <c r="CL79" s="195"/>
      <c r="CM79" s="195"/>
      <c r="CN79" s="195"/>
      <c r="CO79" s="195"/>
      <c r="CP79" s="195"/>
      <c r="CQ79" s="195"/>
      <c r="CR79" s="195"/>
      <c r="CS79" s="195"/>
      <c r="CT79" s="195"/>
      <c r="CU79" s="195"/>
      <c r="CV79" s="195"/>
      <c r="CW79" s="195"/>
      <c r="CX79" s="195"/>
      <c r="CY79" s="195"/>
      <c r="CZ79" s="195"/>
    </row>
    <row r="80" spans="2:104" s="174" customFormat="1" ht="15" customHeight="1">
      <c r="D80" s="516">
        <v>20</v>
      </c>
      <c r="E80" s="516"/>
      <c r="H80" s="172"/>
      <c r="I80" s="172"/>
      <c r="J80" s="172"/>
      <c r="K80" s="172"/>
      <c r="L80" s="172"/>
      <c r="M80" s="172"/>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95"/>
      <c r="BJ80" s="195"/>
      <c r="BK80" s="195"/>
      <c r="BL80" s="195"/>
      <c r="BM80" s="195"/>
      <c r="BN80" s="195"/>
      <c r="BO80" s="195"/>
      <c r="BP80" s="195"/>
      <c r="BQ80" s="195"/>
      <c r="BR80" s="195"/>
      <c r="BS80" s="195"/>
      <c r="BT80" s="195"/>
      <c r="BU80" s="195"/>
      <c r="BV80" s="195"/>
      <c r="BW80" s="195"/>
      <c r="BX80" s="195"/>
      <c r="BY80" s="195"/>
      <c r="BZ80" s="195"/>
      <c r="CA80" s="195"/>
      <c r="CB80" s="195"/>
      <c r="CC80" s="195"/>
      <c r="CD80" s="195"/>
      <c r="CE80" s="195"/>
      <c r="CF80" s="195"/>
      <c r="CG80" s="195"/>
      <c r="CH80" s="195"/>
      <c r="CI80" s="195"/>
      <c r="CJ80" s="195"/>
      <c r="CK80" s="195"/>
      <c r="CL80" s="195"/>
      <c r="CM80" s="195"/>
      <c r="CN80" s="195"/>
      <c r="CO80" s="195"/>
      <c r="CP80" s="195"/>
      <c r="CQ80" s="195"/>
      <c r="CR80" s="195"/>
      <c r="CS80" s="195"/>
      <c r="CT80" s="195"/>
      <c r="CU80" s="195"/>
      <c r="CV80" s="195"/>
      <c r="CW80" s="195"/>
      <c r="CX80" s="195"/>
      <c r="CY80" s="195"/>
      <c r="CZ80" s="195"/>
    </row>
    <row r="81" spans="2:104" s="174" customFormat="1" ht="15" customHeight="1">
      <c r="D81" s="516">
        <v>21</v>
      </c>
      <c r="E81" s="516" t="str">
        <f ca="1">IF(AND(G20&gt;TODAY(),D14=""),"No","Si")</f>
        <v>No</v>
      </c>
      <c r="H81" s="172"/>
      <c r="I81" s="172"/>
      <c r="J81" s="172"/>
      <c r="K81" s="172"/>
      <c r="L81" s="172"/>
      <c r="M81" s="172"/>
      <c r="N81" s="195"/>
      <c r="O81" s="195"/>
      <c r="P81" s="195"/>
      <c r="Q81" s="195"/>
      <c r="R81" s="195"/>
      <c r="S81" s="195"/>
      <c r="T81" s="195"/>
      <c r="U81" s="195"/>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195"/>
      <c r="AS81" s="195"/>
      <c r="AT81" s="195"/>
      <c r="AU81" s="195"/>
      <c r="AV81" s="195"/>
      <c r="AW81" s="195"/>
      <c r="AX81" s="195"/>
      <c r="AY81" s="195"/>
      <c r="AZ81" s="195"/>
      <c r="BA81" s="195"/>
      <c r="BB81" s="195"/>
      <c r="BC81" s="195"/>
      <c r="BD81" s="195"/>
      <c r="BE81" s="195"/>
      <c r="BF81" s="195"/>
      <c r="BG81" s="195"/>
      <c r="BH81" s="195"/>
      <c r="BI81" s="195"/>
      <c r="BJ81" s="195"/>
      <c r="BK81" s="195"/>
      <c r="BL81" s="195"/>
      <c r="BM81" s="195"/>
      <c r="BN81" s="195"/>
      <c r="BO81" s="195"/>
      <c r="BP81" s="195"/>
      <c r="BQ81" s="195"/>
      <c r="BR81" s="195"/>
      <c r="BS81" s="195"/>
      <c r="BT81" s="195"/>
      <c r="BU81" s="195"/>
      <c r="BV81" s="195"/>
      <c r="BW81" s="195"/>
      <c r="BX81" s="195"/>
      <c r="BY81" s="195"/>
      <c r="BZ81" s="195"/>
      <c r="CA81" s="195"/>
      <c r="CB81" s="195"/>
      <c r="CC81" s="195"/>
      <c r="CD81" s="195"/>
      <c r="CE81" s="195"/>
      <c r="CF81" s="195"/>
      <c r="CG81" s="195"/>
      <c r="CH81" s="195"/>
      <c r="CI81" s="195"/>
      <c r="CJ81" s="195"/>
      <c r="CK81" s="195"/>
      <c r="CL81" s="195"/>
      <c r="CM81" s="195"/>
      <c r="CN81" s="195"/>
      <c r="CO81" s="195"/>
      <c r="CP81" s="195"/>
      <c r="CQ81" s="195"/>
      <c r="CR81" s="195"/>
      <c r="CS81" s="195"/>
      <c r="CT81" s="195"/>
      <c r="CU81" s="195"/>
      <c r="CV81" s="195"/>
      <c r="CW81" s="195"/>
      <c r="CX81" s="195"/>
      <c r="CY81" s="195"/>
      <c r="CZ81" s="195"/>
    </row>
    <row r="82" spans="2:104" s="174" customFormat="1" ht="15" customHeight="1">
      <c r="D82" s="172"/>
      <c r="E82" s="172"/>
      <c r="H82" s="172"/>
      <c r="I82" s="172"/>
      <c r="J82" s="172"/>
      <c r="K82" s="172"/>
      <c r="L82" s="172"/>
      <c r="M82" s="172"/>
      <c r="N82" s="195"/>
      <c r="O82" s="195"/>
      <c r="P82" s="195"/>
      <c r="Q82" s="195"/>
      <c r="R82" s="195"/>
      <c r="S82" s="195"/>
      <c r="T82" s="195"/>
      <c r="U82" s="195"/>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195"/>
      <c r="AS82" s="195"/>
      <c r="AT82" s="195"/>
      <c r="AU82" s="195"/>
      <c r="AV82" s="195"/>
      <c r="AW82" s="195"/>
      <c r="AX82" s="195"/>
      <c r="AY82" s="195"/>
      <c r="AZ82" s="195"/>
      <c r="BA82" s="195"/>
      <c r="BB82" s="195"/>
      <c r="BC82" s="195"/>
      <c r="BD82" s="195"/>
      <c r="BE82" s="195"/>
      <c r="BF82" s="195"/>
      <c r="BG82" s="195"/>
      <c r="BH82" s="195"/>
      <c r="BI82" s="195"/>
      <c r="BJ82" s="195"/>
      <c r="BK82" s="195"/>
      <c r="BL82" s="195"/>
      <c r="BM82" s="195"/>
      <c r="BN82" s="195"/>
      <c r="BO82" s="195"/>
      <c r="BP82" s="195"/>
      <c r="BQ82" s="195"/>
      <c r="BR82" s="195"/>
      <c r="BS82" s="195"/>
      <c r="BT82" s="195"/>
      <c r="BU82" s="195"/>
      <c r="BV82" s="195"/>
      <c r="BW82" s="195"/>
      <c r="BX82" s="195"/>
      <c r="BY82" s="195"/>
      <c r="BZ82" s="195"/>
      <c r="CA82" s="195"/>
      <c r="CB82" s="195"/>
      <c r="CC82" s="195"/>
      <c r="CD82" s="195"/>
      <c r="CE82" s="195"/>
      <c r="CF82" s="195"/>
      <c r="CG82" s="195"/>
      <c r="CH82" s="195"/>
      <c r="CI82" s="195"/>
      <c r="CJ82" s="195"/>
      <c r="CK82" s="195"/>
      <c r="CL82" s="195"/>
      <c r="CM82" s="195"/>
      <c r="CN82" s="195"/>
      <c r="CO82" s="195"/>
      <c r="CP82" s="195"/>
      <c r="CQ82" s="195"/>
      <c r="CR82" s="195"/>
      <c r="CS82" s="195"/>
      <c r="CT82" s="195"/>
      <c r="CU82" s="195"/>
      <c r="CV82" s="195"/>
      <c r="CW82" s="195"/>
      <c r="CX82" s="195"/>
      <c r="CY82" s="195"/>
      <c r="CZ82" s="195"/>
    </row>
    <row r="83" spans="2:104" s="174" customFormat="1" ht="15" customHeight="1">
      <c r="D83" s="559" t="s">
        <v>505</v>
      </c>
      <c r="E83" s="188"/>
      <c r="H83" s="172"/>
      <c r="I83" s="172"/>
      <c r="J83" s="172"/>
      <c r="K83" s="172"/>
      <c r="L83" s="172"/>
      <c r="M83" s="172"/>
      <c r="N83" s="195"/>
      <c r="O83" s="195"/>
      <c r="P83" s="195"/>
      <c r="Q83" s="195"/>
      <c r="R83" s="195"/>
      <c r="S83" s="195"/>
      <c r="T83" s="195"/>
      <c r="U83" s="195"/>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195"/>
      <c r="AS83" s="195"/>
      <c r="AT83" s="195"/>
      <c r="AU83" s="195"/>
      <c r="AV83" s="195"/>
      <c r="AW83" s="195"/>
      <c r="AX83" s="195"/>
      <c r="AY83" s="195"/>
      <c r="AZ83" s="195"/>
      <c r="BA83" s="195"/>
      <c r="BB83" s="195"/>
      <c r="BC83" s="195"/>
      <c r="BD83" s="195"/>
      <c r="BE83" s="195"/>
      <c r="BF83" s="195"/>
      <c r="BG83" s="195"/>
      <c r="BH83" s="195"/>
      <c r="BI83" s="195"/>
      <c r="BJ83" s="195"/>
      <c r="BK83" s="195"/>
      <c r="BL83" s="195"/>
      <c r="BM83" s="195"/>
      <c r="BN83" s="195"/>
      <c r="BO83" s="195"/>
      <c r="BP83" s="195"/>
      <c r="BQ83" s="195"/>
      <c r="BR83" s="195"/>
      <c r="BS83" s="195"/>
      <c r="BT83" s="195"/>
      <c r="BU83" s="195"/>
      <c r="BV83" s="195"/>
      <c r="BW83" s="195"/>
      <c r="BX83" s="195"/>
      <c r="BY83" s="195"/>
      <c r="BZ83" s="195"/>
      <c r="CA83" s="195"/>
      <c r="CB83" s="195"/>
      <c r="CC83" s="195"/>
      <c r="CD83" s="195"/>
      <c r="CE83" s="195"/>
      <c r="CF83" s="195"/>
      <c r="CG83" s="195"/>
      <c r="CH83" s="195"/>
      <c r="CI83" s="195"/>
      <c r="CJ83" s="195"/>
      <c r="CK83" s="195"/>
      <c r="CL83" s="195"/>
      <c r="CM83" s="195"/>
      <c r="CN83" s="195"/>
      <c r="CO83" s="195"/>
      <c r="CP83" s="195"/>
      <c r="CQ83" s="195"/>
      <c r="CR83" s="195"/>
      <c r="CS83" s="195"/>
      <c r="CT83" s="195"/>
      <c r="CU83" s="195"/>
      <c r="CV83" s="195"/>
      <c r="CW83" s="195"/>
      <c r="CX83" s="195"/>
      <c r="CY83" s="195"/>
      <c r="CZ83" s="195"/>
    </row>
    <row r="84" spans="2:104" s="174" customFormat="1" ht="15" customHeight="1">
      <c r="B84" s="195">
        <f ca="1">IF(D84="No",0,1)</f>
        <v>0</v>
      </c>
      <c r="D84" s="922" t="str">
        <f ca="1">IF(D14="","No","Si")</f>
        <v>No</v>
      </c>
      <c r="E84" s="922"/>
      <c r="F84" s="922"/>
      <c r="G84" s="922"/>
      <c r="H84" s="577" t="s">
        <v>506</v>
      </c>
      <c r="I84" s="172"/>
      <c r="J84" s="172"/>
      <c r="K84" s="172"/>
      <c r="L84" s="172"/>
      <c r="M84" s="172"/>
      <c r="N84" s="195"/>
      <c r="O84" s="195"/>
      <c r="P84" s="195"/>
      <c r="Q84" s="195"/>
      <c r="R84" s="195"/>
      <c r="S84" s="195"/>
      <c r="T84" s="195"/>
      <c r="U84" s="195"/>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195"/>
      <c r="AS84" s="195"/>
      <c r="AT84" s="195"/>
      <c r="AU84" s="195"/>
      <c r="AV84" s="195"/>
      <c r="AW84" s="195"/>
      <c r="AX84" s="195"/>
      <c r="AY84" s="195"/>
      <c r="AZ84" s="195"/>
      <c r="BA84" s="195"/>
      <c r="BB84" s="195"/>
      <c r="BC84" s="195"/>
      <c r="BD84" s="195"/>
      <c r="BE84" s="195"/>
      <c r="BF84" s="195"/>
      <c r="BG84" s="195"/>
      <c r="BH84" s="195"/>
      <c r="BI84" s="195"/>
      <c r="BJ84" s="195"/>
      <c r="BK84" s="195"/>
      <c r="BL84" s="195"/>
      <c r="BM84" s="195"/>
      <c r="BN84" s="195"/>
      <c r="BO84" s="195"/>
      <c r="BP84" s="195"/>
      <c r="BQ84" s="195"/>
      <c r="BR84" s="195"/>
      <c r="BS84" s="195"/>
      <c r="BT84" s="195"/>
      <c r="BU84" s="195"/>
      <c r="BV84" s="195"/>
      <c r="BW84" s="195"/>
      <c r="BX84" s="195"/>
      <c r="BY84" s="195"/>
      <c r="BZ84" s="195"/>
      <c r="CA84" s="195"/>
      <c r="CB84" s="195"/>
      <c r="CC84" s="195"/>
      <c r="CD84" s="195"/>
      <c r="CE84" s="195"/>
      <c r="CF84" s="195"/>
      <c r="CG84" s="195"/>
      <c r="CH84" s="195"/>
      <c r="CI84" s="195"/>
      <c r="CJ84" s="195"/>
      <c r="CK84" s="195"/>
      <c r="CL84" s="195"/>
      <c r="CM84" s="195"/>
      <c r="CN84" s="195"/>
      <c r="CO84" s="195"/>
      <c r="CP84" s="195"/>
      <c r="CQ84" s="195"/>
      <c r="CR84" s="195"/>
      <c r="CS84" s="195"/>
      <c r="CT84" s="195"/>
      <c r="CU84" s="195"/>
      <c r="CV84" s="195"/>
      <c r="CW84" s="195"/>
      <c r="CX84" s="195"/>
      <c r="CY84" s="195"/>
      <c r="CZ84" s="195"/>
    </row>
    <row r="85" spans="2:104" s="174" customFormat="1" ht="15" customHeight="1">
      <c r="B85" s="195">
        <f ca="1">IF(D85="No",0,1)</f>
        <v>0</v>
      </c>
      <c r="C85" s="195"/>
      <c r="D85" s="922" t="str">
        <f ca="1">+IF(AND(G5&lt;TODAY(),OR(G10="Jubilación ordinaria",G10="Jubilación anticipada"),D87="No"),"Si","No")</f>
        <v>No</v>
      </c>
      <c r="E85" s="922"/>
      <c r="F85" s="922"/>
      <c r="G85" s="922"/>
      <c r="H85" s="577" t="s">
        <v>500</v>
      </c>
      <c r="I85" s="172"/>
      <c r="J85" s="172"/>
      <c r="K85" s="172"/>
      <c r="L85" s="172"/>
      <c r="M85" s="172"/>
      <c r="N85" s="195"/>
      <c r="O85" s="195"/>
      <c r="P85" s="195"/>
      <c r="Q85" s="195"/>
      <c r="R85" s="195"/>
      <c r="S85" s="195"/>
      <c r="T85" s="195"/>
      <c r="U85" s="195"/>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195"/>
      <c r="AS85" s="195"/>
      <c r="AT85" s="195"/>
      <c r="AU85" s="195"/>
      <c r="AV85" s="195"/>
      <c r="AW85" s="195"/>
      <c r="AX85" s="195"/>
      <c r="AY85" s="195"/>
      <c r="AZ85" s="195"/>
      <c r="BA85" s="195"/>
      <c r="BB85" s="195"/>
      <c r="BC85" s="195"/>
      <c r="BD85" s="195"/>
      <c r="BE85" s="195"/>
      <c r="BF85" s="195"/>
      <c r="BG85" s="195"/>
      <c r="BH85" s="195"/>
      <c r="BI85" s="195"/>
      <c r="BJ85" s="195"/>
      <c r="BK85" s="195"/>
      <c r="BL85" s="195"/>
      <c r="BM85" s="195"/>
      <c r="BN85" s="195"/>
      <c r="BO85" s="195"/>
      <c r="BP85" s="195"/>
      <c r="BQ85" s="195"/>
      <c r="BR85" s="195"/>
      <c r="BS85" s="195"/>
      <c r="BT85" s="195"/>
      <c r="BU85" s="195"/>
      <c r="BV85" s="195"/>
      <c r="BW85" s="195"/>
      <c r="BX85" s="195"/>
      <c r="BY85" s="195"/>
      <c r="BZ85" s="195"/>
      <c r="CA85" s="195"/>
      <c r="CB85" s="195"/>
      <c r="CC85" s="195"/>
      <c r="CD85" s="195"/>
      <c r="CE85" s="195"/>
      <c r="CF85" s="195"/>
      <c r="CG85" s="195"/>
      <c r="CH85" s="195"/>
      <c r="CI85" s="195"/>
      <c r="CJ85" s="195"/>
      <c r="CK85" s="195"/>
      <c r="CL85" s="195"/>
      <c r="CM85" s="195"/>
      <c r="CN85" s="195"/>
      <c r="CO85" s="195"/>
      <c r="CP85" s="195"/>
      <c r="CQ85" s="195"/>
      <c r="CR85" s="195"/>
      <c r="CS85" s="195"/>
      <c r="CT85" s="195"/>
      <c r="CU85" s="195"/>
      <c r="CV85" s="195"/>
      <c r="CW85" s="195"/>
      <c r="CX85" s="195"/>
      <c r="CY85" s="195"/>
      <c r="CZ85" s="195"/>
    </row>
    <row r="86" spans="2:104" s="174" customFormat="1" ht="15" customHeight="1">
      <c r="B86" s="195">
        <f ca="1">IF(D86="No",0,1)</f>
        <v>0</v>
      </c>
      <c r="C86" s="195"/>
      <c r="D86" s="922" t="str">
        <f ca="1">IF(AND(G10="Jubilación anticipada",$G$21&lt;35,E5=G5,D85="No",D87="No"),"Si","No")</f>
        <v>No</v>
      </c>
      <c r="E86" s="922"/>
      <c r="F86" s="922"/>
      <c r="G86" s="922"/>
      <c r="H86" s="577" t="s">
        <v>498</v>
      </c>
      <c r="I86" s="172"/>
      <c r="J86" s="172"/>
      <c r="K86" s="172"/>
      <c r="L86" s="172"/>
      <c r="M86" s="172"/>
      <c r="N86" s="195"/>
      <c r="O86" s="195"/>
      <c r="P86" s="195"/>
      <c r="Q86" s="195"/>
      <c r="R86" s="195"/>
      <c r="S86" s="195"/>
      <c r="T86" s="195"/>
      <c r="U86" s="195"/>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c r="AS86" s="195"/>
      <c r="AT86" s="195"/>
      <c r="AU86" s="195"/>
      <c r="AV86" s="195"/>
      <c r="AW86" s="195"/>
      <c r="AX86" s="195"/>
      <c r="AY86" s="195"/>
      <c r="AZ86" s="195"/>
      <c r="BA86" s="195"/>
      <c r="BB86" s="195"/>
      <c r="BC86" s="195"/>
      <c r="BD86" s="195"/>
      <c r="BE86" s="195"/>
      <c r="BF86" s="195"/>
      <c r="BG86" s="195"/>
      <c r="BH86" s="195"/>
      <c r="BI86" s="195"/>
      <c r="BJ86" s="195"/>
      <c r="BK86" s="195"/>
      <c r="BL86" s="195"/>
      <c r="BM86" s="195"/>
      <c r="BN86" s="195"/>
      <c r="BO86" s="195"/>
      <c r="BP86" s="195"/>
      <c r="BQ86" s="195"/>
      <c r="BR86" s="195"/>
      <c r="BS86" s="195"/>
      <c r="BT86" s="195"/>
      <c r="BU86" s="195"/>
      <c r="BV86" s="195"/>
      <c r="BW86" s="195"/>
      <c r="BX86" s="195"/>
      <c r="BY86" s="195"/>
      <c r="BZ86" s="195"/>
      <c r="CA86" s="195"/>
      <c r="CB86" s="195"/>
      <c r="CC86" s="195"/>
      <c r="CD86" s="195"/>
      <c r="CE86" s="195"/>
      <c r="CF86" s="195"/>
      <c r="CG86" s="195"/>
      <c r="CH86" s="195"/>
      <c r="CI86" s="195"/>
      <c r="CJ86" s="195"/>
      <c r="CK86" s="195"/>
      <c r="CL86" s="195"/>
      <c r="CM86" s="195"/>
      <c r="CN86" s="195"/>
      <c r="CO86" s="195"/>
      <c r="CP86" s="195"/>
      <c r="CQ86" s="195"/>
      <c r="CR86" s="195"/>
      <c r="CS86" s="195"/>
      <c r="CT86" s="195"/>
      <c r="CU86" s="195"/>
      <c r="CV86" s="195"/>
      <c r="CW86" s="195"/>
      <c r="CX86" s="195"/>
      <c r="CY86" s="195"/>
      <c r="CZ86" s="195"/>
    </row>
    <row r="87" spans="2:104" s="174" customFormat="1" ht="15" customHeight="1">
      <c r="B87" s="195">
        <f ca="1">IF(D87="No",0,1)</f>
        <v>0</v>
      </c>
      <c r="C87" s="195"/>
      <c r="D87" s="922" t="str">
        <f ca="1">+IF(G21&lt;15,"Si","No")</f>
        <v>No</v>
      </c>
      <c r="E87" s="922"/>
      <c r="F87" s="922"/>
      <c r="G87" s="922"/>
      <c r="H87" s="577" t="s">
        <v>499</v>
      </c>
      <c r="I87" s="172"/>
      <c r="J87" s="172"/>
      <c r="K87" s="172"/>
      <c r="L87" s="172"/>
      <c r="M87" s="172"/>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95"/>
      <c r="BJ87" s="195"/>
      <c r="BK87" s="195"/>
      <c r="BL87" s="195"/>
      <c r="BM87" s="195"/>
      <c r="BN87" s="195"/>
      <c r="BO87" s="195"/>
      <c r="BP87" s="195"/>
      <c r="BQ87" s="195"/>
      <c r="BR87" s="195"/>
      <c r="BS87" s="195"/>
      <c r="BT87" s="195"/>
      <c r="BU87" s="195"/>
      <c r="BV87" s="195"/>
      <c r="BW87" s="195"/>
      <c r="BX87" s="195"/>
      <c r="BY87" s="195"/>
      <c r="BZ87" s="195"/>
      <c r="CA87" s="195"/>
      <c r="CB87" s="195"/>
      <c r="CC87" s="195"/>
      <c r="CD87" s="195"/>
      <c r="CE87" s="195"/>
      <c r="CF87" s="195"/>
      <c r="CG87" s="195"/>
      <c r="CH87" s="195"/>
      <c r="CI87" s="195"/>
      <c r="CJ87" s="195"/>
      <c r="CK87" s="195"/>
      <c r="CL87" s="195"/>
      <c r="CM87" s="195"/>
      <c r="CN87" s="195"/>
      <c r="CO87" s="195"/>
      <c r="CP87" s="195"/>
      <c r="CQ87" s="195"/>
      <c r="CR87" s="195"/>
      <c r="CS87" s="195"/>
      <c r="CT87" s="195"/>
      <c r="CU87" s="195"/>
      <c r="CV87" s="195"/>
      <c r="CW87" s="195"/>
      <c r="CX87" s="195"/>
      <c r="CY87" s="195"/>
      <c r="CZ87" s="195"/>
    </row>
    <row r="88" spans="2:104" s="174" customFormat="1" ht="15" customHeight="1">
      <c r="B88" s="195">
        <f ca="1">IF(D88="No",0,1)</f>
        <v>0</v>
      </c>
      <c r="D88" s="172" t="str">
        <f ca="1">+IF(D14="No es posible acceder a la jubilación anticipada en la edad indicada. La edad más temprana a la que es posible acceder es:","Si","No")</f>
        <v>No</v>
      </c>
      <c r="E88" s="172"/>
      <c r="F88" s="172"/>
      <c r="G88" s="172"/>
      <c r="H88" s="577" t="s">
        <v>498</v>
      </c>
      <c r="I88" s="172"/>
      <c r="J88" s="172"/>
      <c r="K88" s="172"/>
      <c r="L88" s="172"/>
      <c r="M88" s="172"/>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95"/>
      <c r="BJ88" s="195"/>
      <c r="BK88" s="195"/>
      <c r="BL88" s="195"/>
      <c r="BM88" s="195"/>
      <c r="BN88" s="195"/>
      <c r="BO88" s="195"/>
      <c r="BP88" s="195"/>
      <c r="BQ88" s="195"/>
      <c r="BR88" s="195"/>
      <c r="BS88" s="195"/>
      <c r="BT88" s="195"/>
      <c r="BU88" s="195"/>
      <c r="BV88" s="195"/>
      <c r="BW88" s="195"/>
      <c r="BX88" s="195"/>
      <c r="BY88" s="195"/>
      <c r="BZ88" s="195"/>
      <c r="CA88" s="195"/>
      <c r="CB88" s="195"/>
      <c r="CC88" s="195"/>
      <c r="CD88" s="195"/>
      <c r="CE88" s="195"/>
      <c r="CF88" s="195"/>
      <c r="CG88" s="195"/>
      <c r="CH88" s="195"/>
      <c r="CI88" s="195"/>
      <c r="CJ88" s="195"/>
      <c r="CK88" s="195"/>
      <c r="CL88" s="195"/>
      <c r="CM88" s="195"/>
      <c r="CN88" s="195"/>
      <c r="CO88" s="195"/>
      <c r="CP88" s="195"/>
      <c r="CQ88" s="195"/>
      <c r="CR88" s="195"/>
      <c r="CS88" s="195"/>
      <c r="CT88" s="195"/>
      <c r="CU88" s="195"/>
      <c r="CV88" s="195"/>
      <c r="CW88" s="195"/>
      <c r="CX88" s="195"/>
      <c r="CY88" s="195"/>
      <c r="CZ88" s="195"/>
    </row>
    <row r="89" spans="2:104" s="174" customFormat="1" ht="15" customHeight="1">
      <c r="B89" s="173">
        <f ca="1">D89+B84</f>
        <v>0</v>
      </c>
      <c r="C89" s="173"/>
      <c r="D89" s="372">
        <f ca="1">IF(AND(D87="No",D86="No",D85="No",D84="No",D88="No"),0,1)</f>
        <v>0</v>
      </c>
      <c r="E89" s="172"/>
      <c r="F89" s="172"/>
      <c r="G89" s="172"/>
      <c r="H89" s="277" t="s">
        <v>507</v>
      </c>
      <c r="I89" s="172"/>
      <c r="J89" s="172"/>
      <c r="K89" s="172"/>
      <c r="L89" s="172"/>
      <c r="M89" s="172"/>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95"/>
      <c r="BJ89" s="195"/>
      <c r="BK89" s="195"/>
      <c r="BL89" s="195"/>
      <c r="BM89" s="195"/>
      <c r="BN89" s="195"/>
      <c r="BO89" s="195"/>
      <c r="BP89" s="195"/>
      <c r="BQ89" s="195"/>
      <c r="BR89" s="195"/>
      <c r="BS89" s="195"/>
      <c r="BT89" s="195"/>
      <c r="BU89" s="195"/>
      <c r="BV89" s="195"/>
      <c r="BW89" s="195"/>
      <c r="BX89" s="195"/>
      <c r="BY89" s="195"/>
      <c r="BZ89" s="195"/>
      <c r="CA89" s="195"/>
      <c r="CB89" s="195"/>
      <c r="CC89" s="195"/>
      <c r="CD89" s="195"/>
      <c r="CE89" s="195"/>
      <c r="CF89" s="195"/>
      <c r="CG89" s="195"/>
      <c r="CH89" s="195"/>
      <c r="CI89" s="195"/>
      <c r="CJ89" s="195"/>
      <c r="CK89" s="195"/>
      <c r="CL89" s="195"/>
      <c r="CM89" s="195"/>
      <c r="CN89" s="195"/>
      <c r="CO89" s="195"/>
      <c r="CP89" s="195"/>
      <c r="CQ89" s="195"/>
      <c r="CR89" s="195"/>
      <c r="CS89" s="195"/>
      <c r="CT89" s="195"/>
      <c r="CU89" s="195"/>
      <c r="CV89" s="195"/>
      <c r="CW89" s="195"/>
      <c r="CX89" s="195"/>
      <c r="CY89" s="195"/>
      <c r="CZ89" s="195"/>
    </row>
    <row r="90" spans="2:104" s="174" customFormat="1" ht="15" customHeight="1">
      <c r="D90" s="172"/>
      <c r="E90" s="172"/>
      <c r="F90" s="172"/>
      <c r="G90" s="172"/>
      <c r="H90" s="172"/>
      <c r="I90" s="172"/>
      <c r="J90" s="172"/>
      <c r="K90" s="172"/>
      <c r="L90" s="172"/>
      <c r="M90" s="172"/>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95"/>
      <c r="BJ90" s="195"/>
      <c r="BK90" s="195"/>
      <c r="BL90" s="195"/>
      <c r="BM90" s="195"/>
      <c r="BN90" s="195"/>
      <c r="BO90" s="195"/>
      <c r="BP90" s="195"/>
      <c r="BQ90" s="195"/>
      <c r="BR90" s="195"/>
      <c r="BS90" s="195"/>
      <c r="BT90" s="195"/>
      <c r="BU90" s="195"/>
      <c r="BV90" s="195"/>
      <c r="BW90" s="195"/>
      <c r="BX90" s="195"/>
      <c r="BY90" s="195"/>
      <c r="BZ90" s="195"/>
      <c r="CA90" s="195"/>
      <c r="CB90" s="195"/>
      <c r="CC90" s="195"/>
      <c r="CD90" s="195"/>
      <c r="CE90" s="195"/>
      <c r="CF90" s="195"/>
      <c r="CG90" s="195"/>
      <c r="CH90" s="195"/>
      <c r="CI90" s="195"/>
      <c r="CJ90" s="195"/>
      <c r="CK90" s="195"/>
      <c r="CL90" s="195"/>
      <c r="CM90" s="195"/>
      <c r="CN90" s="195"/>
      <c r="CO90" s="195"/>
      <c r="CP90" s="195"/>
      <c r="CQ90" s="195"/>
      <c r="CR90" s="195"/>
      <c r="CS90" s="195"/>
      <c r="CT90" s="195"/>
      <c r="CU90" s="195"/>
      <c r="CV90" s="195"/>
      <c r="CW90" s="195"/>
      <c r="CX90" s="195"/>
      <c r="CY90" s="195"/>
      <c r="CZ90" s="195"/>
    </row>
    <row r="91" spans="2:104" s="174" customFormat="1" ht="15" customHeight="1">
      <c r="D91" s="172"/>
      <c r="E91" s="172"/>
      <c r="F91" s="172"/>
      <c r="G91" s="172"/>
      <c r="H91" s="172"/>
      <c r="I91" s="172"/>
      <c r="J91" s="172"/>
      <c r="K91" s="172"/>
      <c r="L91" s="172"/>
      <c r="M91" s="172"/>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95"/>
      <c r="BJ91" s="195"/>
      <c r="BK91" s="195"/>
      <c r="BL91" s="195"/>
      <c r="BM91" s="195"/>
      <c r="BN91" s="195"/>
      <c r="BO91" s="195"/>
      <c r="BP91" s="195"/>
      <c r="BQ91" s="195"/>
      <c r="BR91" s="195"/>
      <c r="BS91" s="195"/>
      <c r="BT91" s="195"/>
      <c r="BU91" s="195"/>
      <c r="BV91" s="195"/>
      <c r="BW91" s="195"/>
      <c r="BX91" s="195"/>
      <c r="BY91" s="195"/>
      <c r="BZ91" s="195"/>
      <c r="CA91" s="195"/>
      <c r="CB91" s="195"/>
      <c r="CC91" s="195"/>
      <c r="CD91" s="195"/>
      <c r="CE91" s="195"/>
      <c r="CF91" s="195"/>
      <c r="CG91" s="195"/>
      <c r="CH91" s="195"/>
      <c r="CI91" s="195"/>
      <c r="CJ91" s="195"/>
      <c r="CK91" s="195"/>
      <c r="CL91" s="195"/>
      <c r="CM91" s="195"/>
      <c r="CN91" s="195"/>
      <c r="CO91" s="195"/>
      <c r="CP91" s="195"/>
      <c r="CQ91" s="195"/>
      <c r="CR91" s="195"/>
      <c r="CS91" s="195"/>
      <c r="CT91" s="195"/>
      <c r="CU91" s="195"/>
      <c r="CV91" s="195"/>
      <c r="CW91" s="195"/>
      <c r="CX91" s="195"/>
      <c r="CY91" s="195"/>
      <c r="CZ91" s="195"/>
    </row>
    <row r="92" spans="2:104" s="174" customFormat="1" ht="15" customHeight="1">
      <c r="D92" s="559" t="s">
        <v>475</v>
      </c>
      <c r="E92" s="172"/>
      <c r="F92" s="172"/>
      <c r="G92" s="172"/>
      <c r="H92" s="172"/>
      <c r="I92" s="172"/>
      <c r="J92" s="172"/>
      <c r="K92" s="172"/>
      <c r="L92" s="172"/>
      <c r="M92" s="172"/>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95"/>
      <c r="BJ92" s="195"/>
      <c r="BK92" s="195"/>
      <c r="BL92" s="195"/>
      <c r="BM92" s="195"/>
      <c r="BN92" s="195"/>
      <c r="BO92" s="195"/>
      <c r="BP92" s="195"/>
      <c r="BQ92" s="195"/>
      <c r="BR92" s="195"/>
      <c r="BS92" s="195"/>
      <c r="BT92" s="195"/>
      <c r="BU92" s="195"/>
      <c r="BV92" s="195"/>
      <c r="BW92" s="195"/>
      <c r="BX92" s="195"/>
      <c r="BY92" s="195"/>
      <c r="BZ92" s="195"/>
      <c r="CA92" s="195"/>
      <c r="CB92" s="195"/>
      <c r="CC92" s="195"/>
      <c r="CD92" s="195"/>
      <c r="CE92" s="195"/>
      <c r="CF92" s="195"/>
      <c r="CG92" s="195"/>
      <c r="CH92" s="195"/>
      <c r="CI92" s="195"/>
      <c r="CJ92" s="195"/>
      <c r="CK92" s="195"/>
      <c r="CL92" s="195"/>
      <c r="CM92" s="195"/>
      <c r="CN92" s="195"/>
      <c r="CO92" s="195"/>
      <c r="CP92" s="195"/>
      <c r="CQ92" s="195"/>
      <c r="CR92" s="195"/>
      <c r="CS92" s="195"/>
      <c r="CT92" s="195"/>
      <c r="CU92" s="195"/>
      <c r="CV92" s="195"/>
      <c r="CW92" s="195"/>
      <c r="CX92" s="195"/>
      <c r="CY92" s="195"/>
      <c r="CZ92" s="195"/>
    </row>
    <row r="93" spans="2:104" s="174" customFormat="1" ht="15" customHeight="1">
      <c r="C93" s="371"/>
      <c r="D93" s="916" t="str">
        <f>+IF(G10="Jubilación anticipada"," ¿A qué edad le gustaría acceder a la jubilación de manera anticipada? ",IF(G10="Jubilación prolongada","¿Cuántos años prevee prolongar su acceso a la jubilación? ",""))</f>
        <v/>
      </c>
      <c r="E93" s="916"/>
      <c r="F93" s="917"/>
      <c r="G93" s="286"/>
      <c r="H93" s="528">
        <v>3</v>
      </c>
      <c r="I93" s="172"/>
      <c r="J93" s="172"/>
      <c r="K93" s="172"/>
      <c r="L93" s="172"/>
      <c r="M93" s="172"/>
      <c r="N93" s="195"/>
      <c r="O93" s="195"/>
      <c r="P93" s="195"/>
      <c r="Q93" s="195"/>
      <c r="R93" s="195"/>
      <c r="S93" s="195"/>
      <c r="T93" s="195"/>
      <c r="U93" s="195"/>
      <c r="V93" s="195"/>
      <c r="W93" s="195"/>
      <c r="X93" s="195"/>
      <c r="Y93" s="195"/>
      <c r="Z93" s="195"/>
      <c r="AA93" s="195"/>
      <c r="AB93" s="195"/>
      <c r="AC93" s="195"/>
      <c r="AD93" s="195"/>
      <c r="AE93" s="195"/>
      <c r="AF93" s="195"/>
      <c r="AG93" s="195"/>
      <c r="AH93" s="195"/>
      <c r="AI93" s="195"/>
      <c r="AJ93" s="195"/>
      <c r="AK93" s="195"/>
      <c r="AL93" s="195"/>
      <c r="AM93" s="195"/>
      <c r="AN93" s="195"/>
      <c r="AO93" s="195"/>
      <c r="AP93" s="195"/>
      <c r="AQ93" s="195"/>
      <c r="AR93" s="195"/>
      <c r="AS93" s="195"/>
      <c r="AT93" s="195"/>
      <c r="AU93" s="195"/>
      <c r="AV93" s="195"/>
      <c r="AW93" s="195"/>
      <c r="AX93" s="195"/>
      <c r="AY93" s="195"/>
      <c r="AZ93" s="195"/>
      <c r="BA93" s="195"/>
      <c r="BB93" s="195"/>
      <c r="BC93" s="195"/>
      <c r="BD93" s="195"/>
      <c r="BE93" s="195"/>
      <c r="BF93" s="195"/>
      <c r="BG93" s="195"/>
      <c r="BH93" s="195"/>
      <c r="BI93" s="195"/>
      <c r="BJ93" s="195"/>
      <c r="BK93" s="195"/>
      <c r="BL93" s="195"/>
      <c r="BM93" s="195"/>
      <c r="BN93" s="195"/>
      <c r="BO93" s="195"/>
      <c r="BP93" s="195"/>
      <c r="BQ93" s="195"/>
      <c r="BR93" s="195"/>
      <c r="BS93" s="195"/>
      <c r="BT93" s="195"/>
      <c r="BU93" s="195"/>
      <c r="BV93" s="195"/>
      <c r="BW93" s="195"/>
      <c r="BX93" s="195"/>
      <c r="BY93" s="195"/>
      <c r="BZ93" s="195"/>
      <c r="CA93" s="195"/>
      <c r="CB93" s="195"/>
      <c r="CC93" s="195"/>
      <c r="CD93" s="195"/>
      <c r="CE93" s="195"/>
      <c r="CF93" s="195"/>
      <c r="CG93" s="195"/>
      <c r="CH93" s="195"/>
      <c r="CI93" s="195"/>
      <c r="CJ93" s="195"/>
      <c r="CK93" s="195"/>
      <c r="CL93" s="195"/>
      <c r="CM93" s="195"/>
      <c r="CN93" s="195"/>
      <c r="CO93" s="195"/>
      <c r="CP93" s="195"/>
      <c r="CQ93" s="195"/>
      <c r="CR93" s="195"/>
      <c r="CS93" s="195"/>
      <c r="CT93" s="195"/>
      <c r="CU93" s="195"/>
      <c r="CV93" s="195"/>
      <c r="CW93" s="195"/>
      <c r="CX93" s="195"/>
      <c r="CY93" s="195"/>
      <c r="CZ93" s="195"/>
    </row>
    <row r="94" spans="2:104" s="174" customFormat="1" ht="15" customHeight="1">
      <c r="D94" s="916" t="s">
        <v>622</v>
      </c>
      <c r="E94" s="916"/>
      <c r="F94" s="917"/>
      <c r="G94" s="286"/>
      <c r="H94" s="528" t="s">
        <v>624</v>
      </c>
      <c r="I94" s="577" t="s">
        <v>624</v>
      </c>
      <c r="J94" s="172"/>
      <c r="K94" s="172"/>
      <c r="L94" s="172"/>
      <c r="M94" s="172"/>
      <c r="N94" s="195"/>
      <c r="O94" s="195"/>
      <c r="P94" s="195"/>
      <c r="Q94" s="195"/>
      <c r="R94" s="195"/>
      <c r="S94" s="195"/>
      <c r="T94" s="195"/>
      <c r="U94" s="195"/>
      <c r="V94" s="195"/>
      <c r="W94" s="195"/>
      <c r="X94" s="195"/>
      <c r="Y94" s="195"/>
      <c r="Z94" s="195"/>
      <c r="AA94" s="195"/>
      <c r="AB94" s="195"/>
      <c r="AC94" s="195"/>
      <c r="AD94" s="195"/>
      <c r="AE94" s="195"/>
      <c r="AF94" s="195"/>
      <c r="AG94" s="195"/>
      <c r="AH94" s="195"/>
      <c r="AI94" s="195"/>
      <c r="AJ94" s="195"/>
      <c r="AK94" s="195"/>
      <c r="AL94" s="195"/>
      <c r="AM94" s="195"/>
      <c r="AN94" s="195"/>
      <c r="AO94" s="195"/>
      <c r="AP94" s="195"/>
      <c r="AQ94" s="195"/>
      <c r="AR94" s="195"/>
      <c r="AS94" s="195"/>
      <c r="AT94" s="195"/>
      <c r="AU94" s="195"/>
      <c r="AV94" s="195"/>
      <c r="AW94" s="195"/>
      <c r="AX94" s="195"/>
      <c r="AY94" s="195"/>
      <c r="AZ94" s="195"/>
      <c r="BA94" s="195"/>
      <c r="BB94" s="195"/>
      <c r="BC94" s="195"/>
      <c r="BD94" s="195"/>
      <c r="BE94" s="195"/>
      <c r="BF94" s="195"/>
      <c r="BG94" s="195"/>
      <c r="BH94" s="195"/>
      <c r="BI94" s="195"/>
      <c r="BJ94" s="195"/>
      <c r="BK94" s="195"/>
      <c r="BL94" s="195"/>
      <c r="BM94" s="195"/>
      <c r="BN94" s="195"/>
      <c r="BO94" s="195"/>
      <c r="BP94" s="195"/>
      <c r="BQ94" s="195"/>
      <c r="BR94" s="195"/>
      <c r="BS94" s="195"/>
      <c r="BT94" s="195"/>
      <c r="BU94" s="195"/>
      <c r="BV94" s="195"/>
      <c r="BW94" s="195"/>
      <c r="BX94" s="195"/>
      <c r="BY94" s="195"/>
      <c r="BZ94" s="195"/>
      <c r="CA94" s="195"/>
      <c r="CB94" s="195"/>
      <c r="CC94" s="195"/>
      <c r="CD94" s="195"/>
      <c r="CE94" s="195"/>
      <c r="CF94" s="195"/>
      <c r="CG94" s="195"/>
      <c r="CH94" s="195"/>
      <c r="CI94" s="195"/>
      <c r="CJ94" s="195"/>
      <c r="CK94" s="195"/>
      <c r="CL94" s="195"/>
      <c r="CM94" s="195"/>
      <c r="CN94" s="195"/>
      <c r="CO94" s="195"/>
      <c r="CP94" s="195"/>
      <c r="CQ94" s="195"/>
      <c r="CR94" s="195"/>
      <c r="CS94" s="195"/>
      <c r="CT94" s="195"/>
      <c r="CU94" s="195"/>
      <c r="CV94" s="195"/>
      <c r="CW94" s="195"/>
      <c r="CX94" s="195"/>
      <c r="CY94" s="195"/>
      <c r="CZ94" s="195"/>
    </row>
    <row r="95" spans="2:104" s="174" customFormat="1" ht="15" customHeight="1">
      <c r="C95" s="173"/>
      <c r="D95" s="559" t="s">
        <v>630</v>
      </c>
      <c r="E95" s="172"/>
      <c r="F95" s="172"/>
      <c r="G95" s="172"/>
      <c r="H95" s="621">
        <f ca="1">+PJSS!B78</f>
        <v>39111.630149996563</v>
      </c>
      <c r="I95" s="577" t="s">
        <v>623</v>
      </c>
      <c r="J95" s="172"/>
      <c r="K95" s="172"/>
      <c r="L95" s="172"/>
      <c r="M95" s="172"/>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95"/>
      <c r="BP95" s="195"/>
      <c r="BQ95" s="195"/>
      <c r="BR95" s="195"/>
      <c r="BS95" s="195"/>
      <c r="BT95" s="195"/>
      <c r="BU95" s="195"/>
      <c r="BV95" s="195"/>
      <c r="BW95" s="195"/>
      <c r="BX95" s="195"/>
      <c r="BY95" s="195"/>
      <c r="BZ95" s="195"/>
      <c r="CA95" s="195"/>
      <c r="CB95" s="195"/>
      <c r="CC95" s="195"/>
      <c r="CD95" s="195"/>
      <c r="CE95" s="195"/>
      <c r="CF95" s="195"/>
      <c r="CG95" s="195"/>
      <c r="CH95" s="195"/>
      <c r="CI95" s="195"/>
      <c r="CJ95" s="195"/>
      <c r="CK95" s="195"/>
      <c r="CL95" s="195"/>
      <c r="CM95" s="195"/>
      <c r="CN95" s="195"/>
      <c r="CO95" s="195"/>
      <c r="CP95" s="195"/>
      <c r="CQ95" s="195"/>
      <c r="CR95" s="195"/>
      <c r="CS95" s="195"/>
      <c r="CT95" s="195"/>
      <c r="CU95" s="195"/>
      <c r="CV95" s="195"/>
      <c r="CW95" s="195"/>
      <c r="CX95" s="195"/>
      <c r="CY95" s="195"/>
      <c r="CZ95" s="195"/>
    </row>
    <row r="96" spans="2:104" s="174" customFormat="1" ht="15" customHeight="1">
      <c r="I96" s="172"/>
      <c r="J96" s="172"/>
      <c r="K96" s="172"/>
      <c r="L96" s="172"/>
      <c r="M96" s="172"/>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95"/>
      <c r="BP96" s="195"/>
      <c r="BQ96" s="195"/>
      <c r="BR96" s="195"/>
      <c r="BS96" s="195"/>
      <c r="BT96" s="195"/>
      <c r="BU96" s="195"/>
      <c r="BV96" s="195"/>
      <c r="BW96" s="195"/>
      <c r="BX96" s="195"/>
      <c r="BY96" s="195"/>
      <c r="BZ96" s="195"/>
      <c r="CA96" s="195"/>
      <c r="CB96" s="195"/>
      <c r="CC96" s="195"/>
      <c r="CD96" s="195"/>
      <c r="CE96" s="195"/>
      <c r="CF96" s="195"/>
      <c r="CG96" s="195"/>
      <c r="CH96" s="195"/>
      <c r="CI96" s="195"/>
      <c r="CJ96" s="195"/>
      <c r="CK96" s="195"/>
      <c r="CL96" s="195"/>
      <c r="CM96" s="195"/>
      <c r="CN96" s="195"/>
      <c r="CO96" s="195"/>
      <c r="CP96" s="195"/>
      <c r="CQ96" s="195"/>
      <c r="CR96" s="195"/>
      <c r="CS96" s="195"/>
      <c r="CT96" s="195"/>
      <c r="CU96" s="195"/>
      <c r="CV96" s="195"/>
      <c r="CW96" s="195"/>
      <c r="CX96" s="195"/>
      <c r="CY96" s="195"/>
      <c r="CZ96" s="195"/>
    </row>
    <row r="97" spans="4:104" s="174" customFormat="1" ht="15" customHeight="1">
      <c r="D97" s="559" t="s">
        <v>482</v>
      </c>
      <c r="E97" s="581"/>
      <c r="I97" s="172"/>
      <c r="J97" s="172"/>
      <c r="K97" s="172"/>
      <c r="L97" s="172"/>
      <c r="M97" s="172"/>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95"/>
      <c r="BP97" s="195"/>
      <c r="BQ97" s="195"/>
      <c r="BR97" s="195"/>
      <c r="BS97" s="195"/>
      <c r="BT97" s="195"/>
      <c r="BU97" s="195"/>
      <c r="BV97" s="195"/>
      <c r="BW97" s="195"/>
      <c r="BX97" s="195"/>
      <c r="BY97" s="195"/>
      <c r="BZ97" s="195"/>
      <c r="CA97" s="195"/>
      <c r="CB97" s="195"/>
      <c r="CC97" s="195"/>
      <c r="CD97" s="195"/>
      <c r="CE97" s="195"/>
      <c r="CF97" s="195"/>
      <c r="CG97" s="195"/>
      <c r="CH97" s="195"/>
      <c r="CI97" s="195"/>
      <c r="CJ97" s="195"/>
      <c r="CK97" s="195"/>
      <c r="CL97" s="195"/>
      <c r="CM97" s="195"/>
      <c r="CN97" s="195"/>
      <c r="CO97" s="195"/>
      <c r="CP97" s="195"/>
      <c r="CQ97" s="195"/>
      <c r="CR97" s="195"/>
      <c r="CS97" s="195"/>
      <c r="CT97" s="195"/>
      <c r="CU97" s="195"/>
      <c r="CV97" s="195"/>
      <c r="CW97" s="195"/>
      <c r="CX97" s="195"/>
      <c r="CY97" s="195"/>
      <c r="CZ97" s="195"/>
    </row>
    <row r="98" spans="4:104" s="174" customFormat="1" ht="15.6" customHeight="1">
      <c r="D98" s="519"/>
      <c r="E98" s="195"/>
      <c r="F98" s="195"/>
      <c r="G98" s="195"/>
      <c r="H98" s="195"/>
      <c r="I98" s="195"/>
      <c r="J98" s="172"/>
      <c r="K98" s="172"/>
      <c r="L98" s="172"/>
      <c r="M98" s="172"/>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95"/>
      <c r="BP98" s="195"/>
      <c r="BQ98" s="195"/>
      <c r="BR98" s="195"/>
      <c r="BS98" s="195"/>
      <c r="BT98" s="195"/>
      <c r="BU98" s="195"/>
      <c r="BV98" s="195"/>
      <c r="BW98" s="195"/>
      <c r="BX98" s="195"/>
      <c r="BY98" s="195"/>
      <c r="BZ98" s="195"/>
      <c r="CA98" s="195"/>
      <c r="CB98" s="195"/>
      <c r="CC98" s="195"/>
      <c r="CD98" s="195"/>
      <c r="CE98" s="195"/>
      <c r="CF98" s="195"/>
      <c r="CG98" s="195"/>
      <c r="CH98" s="195"/>
      <c r="CI98" s="195"/>
      <c r="CJ98" s="195"/>
      <c r="CK98" s="195"/>
      <c r="CL98" s="195"/>
      <c r="CM98" s="195"/>
      <c r="CN98" s="195"/>
      <c r="CO98" s="195"/>
      <c r="CP98" s="195"/>
      <c r="CQ98" s="195"/>
      <c r="CR98" s="195"/>
      <c r="CS98" s="195"/>
      <c r="CT98" s="195"/>
      <c r="CU98" s="195"/>
      <c r="CV98" s="195"/>
      <c r="CW98" s="195"/>
      <c r="CX98" s="195"/>
      <c r="CY98" s="195"/>
      <c r="CZ98" s="195"/>
    </row>
    <row r="99" spans="4:104" ht="21.9" customHeight="1">
      <c r="D99" s="172" t="s">
        <v>480</v>
      </c>
      <c r="E99" s="530">
        <f>IF(G10="Jubilación prolongada",H93,H12)</f>
        <v>63</v>
      </c>
      <c r="F99" s="261"/>
      <c r="G99" s="261"/>
      <c r="H99" s="261"/>
      <c r="I99" s="261"/>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72"/>
      <c r="BP99" s="172"/>
      <c r="BQ99" s="172"/>
      <c r="BR99" s="172"/>
      <c r="BS99" s="172"/>
      <c r="BT99" s="172"/>
      <c r="BU99" s="172"/>
      <c r="BV99" s="172"/>
      <c r="BW99" s="172"/>
      <c r="BX99" s="172"/>
      <c r="BY99" s="172"/>
      <c r="BZ99" s="172"/>
      <c r="CA99" s="172"/>
      <c r="CB99" s="172"/>
      <c r="CC99" s="172"/>
      <c r="CD99" s="172"/>
      <c r="CE99" s="172"/>
      <c r="CF99" s="172"/>
      <c r="CG99" s="172"/>
      <c r="CH99" s="172"/>
      <c r="CI99" s="172"/>
      <c r="CJ99" s="172"/>
      <c r="CK99" s="172"/>
      <c r="CL99" s="172"/>
      <c r="CM99" s="172"/>
      <c r="CN99" s="172"/>
      <c r="CO99" s="172"/>
      <c r="CP99" s="172"/>
      <c r="CQ99" s="172"/>
      <c r="CR99" s="172"/>
      <c r="CS99" s="172"/>
      <c r="CT99" s="172"/>
      <c r="CU99" s="172"/>
      <c r="CV99" s="172"/>
      <c r="CW99" s="172"/>
      <c r="CX99" s="172"/>
      <c r="CY99" s="172"/>
      <c r="CZ99" s="172"/>
    </row>
    <row r="100" spans="4:104" ht="15" customHeight="1">
      <c r="D100" s="172" t="s">
        <v>476</v>
      </c>
      <c r="E100" s="531">
        <f ca="1">TODAY()</f>
        <v>45558</v>
      </c>
      <c r="N100" s="172"/>
      <c r="O100" s="172"/>
      <c r="P100" s="172"/>
      <c r="Q100" s="172"/>
      <c r="R100" s="172"/>
      <c r="S100" s="172"/>
      <c r="T100" s="172"/>
      <c r="U100" s="172"/>
      <c r="V100" s="172"/>
      <c r="W100" s="172"/>
      <c r="X100" s="172"/>
      <c r="Y100" s="172"/>
      <c r="Z100" s="172"/>
      <c r="AA100" s="172"/>
      <c r="AB100" s="172"/>
      <c r="AC100" s="172"/>
      <c r="AD100" s="172"/>
      <c r="AE100" s="172"/>
      <c r="AF100" s="172"/>
      <c r="AG100" s="172"/>
      <c r="AH100" s="172"/>
      <c r="AI100" s="172"/>
      <c r="AJ100" s="172"/>
      <c r="AK100" s="172"/>
      <c r="AL100" s="172"/>
      <c r="AM100" s="172"/>
      <c r="AN100" s="172"/>
      <c r="AO100" s="172"/>
      <c r="AP100" s="172"/>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72"/>
      <c r="BP100" s="172"/>
      <c r="BQ100" s="172"/>
      <c r="BR100" s="172"/>
      <c r="BS100" s="172"/>
      <c r="BT100" s="172"/>
      <c r="BU100" s="172"/>
      <c r="BV100" s="172"/>
      <c r="BW100" s="172"/>
      <c r="BX100" s="172"/>
      <c r="BY100" s="172"/>
      <c r="BZ100" s="172"/>
      <c r="CA100" s="172"/>
      <c r="CB100" s="172"/>
      <c r="CC100" s="172"/>
      <c r="CD100" s="172"/>
      <c r="CE100" s="172"/>
      <c r="CF100" s="172"/>
      <c r="CG100" s="172"/>
      <c r="CH100" s="172"/>
      <c r="CI100" s="172"/>
      <c r="CJ100" s="172"/>
      <c r="CK100" s="172"/>
      <c r="CL100" s="172"/>
      <c r="CM100" s="172"/>
      <c r="CN100" s="172"/>
      <c r="CO100" s="172"/>
      <c r="CP100" s="172"/>
      <c r="CQ100" s="172"/>
      <c r="CR100" s="172"/>
      <c r="CS100" s="172"/>
      <c r="CT100" s="172"/>
      <c r="CU100" s="172"/>
      <c r="CV100" s="172"/>
      <c r="CW100" s="172"/>
      <c r="CX100" s="172"/>
      <c r="CY100" s="172"/>
      <c r="CZ100" s="172"/>
    </row>
    <row r="101" spans="4:104" ht="15" customHeight="1">
      <c r="D101" s="172" t="s">
        <v>478</v>
      </c>
      <c r="E101" s="260">
        <f>ROUND(E99+H13/12,2)</f>
        <v>63.08</v>
      </c>
      <c r="G101" s="532"/>
      <c r="N101" s="172"/>
      <c r="O101" s="172"/>
      <c r="P101" s="172"/>
      <c r="Q101" s="172"/>
      <c r="R101" s="172"/>
      <c r="S101" s="172"/>
      <c r="T101" s="172"/>
      <c r="U101" s="172"/>
      <c r="V101" s="172"/>
      <c r="W101" s="172"/>
      <c r="X101" s="172"/>
      <c r="Y101" s="172"/>
      <c r="Z101" s="172"/>
      <c r="AA101" s="172"/>
      <c r="AB101" s="172"/>
      <c r="AC101" s="172"/>
      <c r="AD101" s="172"/>
      <c r="AE101" s="172"/>
      <c r="AF101" s="172"/>
      <c r="AG101" s="172"/>
      <c r="AH101" s="172"/>
      <c r="AI101" s="172"/>
      <c r="AJ101" s="172"/>
      <c r="AK101" s="172"/>
      <c r="AL101" s="172"/>
      <c r="AM101" s="172"/>
      <c r="AN101" s="172"/>
      <c r="AO101" s="172"/>
      <c r="AP101" s="172"/>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c r="BQ101" s="172"/>
      <c r="BR101" s="172"/>
      <c r="BS101" s="172"/>
      <c r="BT101" s="172"/>
      <c r="BU101" s="172"/>
      <c r="BV101" s="172"/>
      <c r="BW101" s="172"/>
      <c r="BX101" s="172"/>
      <c r="BY101" s="172"/>
      <c r="BZ101" s="172"/>
      <c r="CA101" s="172"/>
      <c r="CB101" s="172"/>
      <c r="CC101" s="172"/>
      <c r="CD101" s="172"/>
      <c r="CE101" s="172"/>
      <c r="CF101" s="172"/>
      <c r="CG101" s="172"/>
      <c r="CH101" s="172"/>
      <c r="CI101" s="172"/>
      <c r="CJ101" s="172"/>
      <c r="CK101" s="172"/>
      <c r="CL101" s="172"/>
      <c r="CM101" s="172"/>
      <c r="CN101" s="172"/>
      <c r="CO101" s="172"/>
      <c r="CP101" s="172"/>
      <c r="CQ101" s="172"/>
      <c r="CR101" s="172"/>
      <c r="CS101" s="172"/>
      <c r="CT101" s="172"/>
      <c r="CU101" s="172"/>
      <c r="CV101" s="172"/>
      <c r="CW101" s="172"/>
      <c r="CX101" s="172"/>
      <c r="CY101" s="172"/>
      <c r="CZ101" s="172"/>
    </row>
    <row r="102" spans="4:104" ht="15" customHeight="1">
      <c r="D102" s="172" t="s">
        <v>479</v>
      </c>
      <c r="E102" s="533">
        <f>+DATE(YEAR('Simulador - Datos personales'!E7)+E99,MONTH('Simulador - Datos personales'!E7)+H13,DAY('Simulador - Datos personales'!E7))</f>
        <v>51351</v>
      </c>
      <c r="F102" s="535"/>
      <c r="G102" s="536"/>
      <c r="H102" s="535"/>
      <c r="I102" s="535"/>
      <c r="J102" s="535"/>
      <c r="N102" s="172"/>
      <c r="O102" s="172"/>
      <c r="P102" s="172"/>
      <c r="Q102" s="172"/>
      <c r="R102" s="172"/>
      <c r="S102" s="172"/>
      <c r="T102" s="172"/>
      <c r="U102" s="172"/>
      <c r="V102" s="172"/>
      <c r="W102" s="172"/>
      <c r="X102" s="172"/>
      <c r="Y102" s="172"/>
      <c r="Z102" s="172"/>
      <c r="AA102" s="172"/>
      <c r="AB102" s="172"/>
      <c r="AC102" s="172"/>
      <c r="AD102" s="172"/>
      <c r="AE102" s="172"/>
      <c r="AF102" s="172"/>
      <c r="AG102" s="172"/>
      <c r="AH102" s="172"/>
      <c r="AI102" s="172"/>
      <c r="AJ102" s="172"/>
      <c r="AK102" s="172"/>
      <c r="AL102" s="172"/>
      <c r="AM102" s="172"/>
      <c r="AN102" s="172"/>
      <c r="AO102" s="172"/>
      <c r="AP102" s="172"/>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72"/>
      <c r="BP102" s="172"/>
      <c r="BQ102" s="172"/>
      <c r="BR102" s="172"/>
      <c r="BS102" s="172"/>
      <c r="BT102" s="172"/>
      <c r="BU102" s="172"/>
      <c r="BV102" s="172"/>
      <c r="BW102" s="172"/>
      <c r="BX102" s="172"/>
      <c r="BY102" s="172"/>
      <c r="BZ102" s="172"/>
      <c r="CA102" s="172"/>
      <c r="CB102" s="172"/>
      <c r="CC102" s="172"/>
      <c r="CD102" s="172"/>
      <c r="CE102" s="172"/>
      <c r="CF102" s="172"/>
      <c r="CG102" s="172"/>
      <c r="CH102" s="172"/>
      <c r="CI102" s="172"/>
      <c r="CJ102" s="172"/>
      <c r="CK102" s="172"/>
      <c r="CL102" s="172"/>
      <c r="CM102" s="172"/>
      <c r="CN102" s="172"/>
      <c r="CO102" s="172"/>
      <c r="CP102" s="172"/>
      <c r="CQ102" s="172"/>
      <c r="CR102" s="172"/>
      <c r="CS102" s="172"/>
      <c r="CT102" s="172"/>
      <c r="CU102" s="172"/>
      <c r="CV102" s="172"/>
      <c r="CW102" s="172"/>
      <c r="CX102" s="172"/>
      <c r="CY102" s="172"/>
      <c r="CZ102" s="172"/>
    </row>
    <row r="103" spans="4:104" ht="15" customHeight="1">
      <c r="D103" s="172" t="s">
        <v>477</v>
      </c>
      <c r="E103" s="533">
        <f ca="1">+E5</f>
        <v>52781</v>
      </c>
      <c r="G103" s="532"/>
      <c r="J103" s="534"/>
      <c r="N103" s="172"/>
      <c r="O103" s="172"/>
      <c r="P103" s="172"/>
      <c r="Q103" s="172"/>
      <c r="R103" s="172"/>
      <c r="S103" s="172"/>
      <c r="T103" s="172"/>
      <c r="U103" s="172"/>
      <c r="V103" s="172"/>
      <c r="W103" s="172"/>
      <c r="X103" s="172"/>
      <c r="Y103" s="172"/>
      <c r="Z103" s="172"/>
      <c r="AA103" s="172"/>
      <c r="AB103" s="172"/>
      <c r="AC103" s="172"/>
      <c r="AD103" s="172"/>
      <c r="AE103" s="172"/>
      <c r="AF103" s="172"/>
      <c r="AG103" s="172"/>
      <c r="AH103" s="172"/>
      <c r="AI103" s="172"/>
      <c r="AJ103" s="172"/>
      <c r="AK103" s="172"/>
      <c r="AL103" s="172"/>
      <c r="AM103" s="172"/>
      <c r="AN103" s="172"/>
      <c r="AO103" s="172"/>
      <c r="AP103" s="172"/>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72"/>
      <c r="BP103" s="172"/>
      <c r="BQ103" s="172"/>
      <c r="BR103" s="172"/>
      <c r="BS103" s="172"/>
      <c r="BT103" s="172"/>
      <c r="BU103" s="172"/>
      <c r="BV103" s="172"/>
      <c r="BW103" s="172"/>
      <c r="BX103" s="172"/>
      <c r="BY103" s="172"/>
      <c r="BZ103" s="172"/>
      <c r="CA103" s="172"/>
      <c r="CB103" s="172"/>
      <c r="CC103" s="172"/>
      <c r="CD103" s="172"/>
      <c r="CE103" s="172"/>
      <c r="CF103" s="172"/>
      <c r="CG103" s="172"/>
      <c r="CH103" s="172"/>
      <c r="CI103" s="172"/>
      <c r="CJ103" s="172"/>
      <c r="CK103" s="172"/>
      <c r="CL103" s="172"/>
      <c r="CM103" s="172"/>
      <c r="CN103" s="172"/>
      <c r="CO103" s="172"/>
      <c r="CP103" s="172"/>
      <c r="CQ103" s="172"/>
      <c r="CR103" s="172"/>
      <c r="CS103" s="172"/>
      <c r="CT103" s="172"/>
      <c r="CU103" s="172"/>
      <c r="CV103" s="172"/>
      <c r="CW103" s="172"/>
      <c r="CX103" s="172"/>
      <c r="CY103" s="172"/>
      <c r="CZ103" s="172"/>
    </row>
    <row r="104" spans="4:104" ht="15" customHeight="1">
      <c r="N104" s="172"/>
      <c r="O104" s="172"/>
      <c r="P104" s="172"/>
      <c r="Q104" s="172"/>
      <c r="R104" s="172"/>
      <c r="S104" s="172"/>
      <c r="T104" s="172"/>
      <c r="U104" s="172"/>
      <c r="V104" s="172"/>
      <c r="W104" s="172"/>
      <c r="X104" s="172"/>
      <c r="Y104" s="172"/>
      <c r="Z104" s="172"/>
      <c r="AA104" s="172"/>
      <c r="AB104" s="172"/>
      <c r="AC104" s="172"/>
      <c r="AD104" s="172"/>
      <c r="AE104" s="172"/>
      <c r="AF104" s="172"/>
      <c r="AG104" s="172"/>
      <c r="AH104" s="172"/>
      <c r="AI104" s="172"/>
      <c r="AJ104" s="172"/>
      <c r="AK104" s="172"/>
      <c r="AL104" s="172"/>
      <c r="AM104" s="172"/>
      <c r="AN104" s="172"/>
      <c r="AO104" s="172"/>
      <c r="AP104" s="172"/>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72"/>
      <c r="BP104" s="172"/>
      <c r="BQ104" s="172"/>
      <c r="BR104" s="172"/>
      <c r="BS104" s="172"/>
      <c r="BT104" s="172"/>
      <c r="BU104" s="172"/>
      <c r="BV104" s="172"/>
      <c r="BW104" s="172"/>
      <c r="BX104" s="172"/>
      <c r="BY104" s="172"/>
      <c r="BZ104" s="172"/>
      <c r="CA104" s="172"/>
      <c r="CB104" s="172"/>
      <c r="CC104" s="172"/>
      <c r="CD104" s="172"/>
      <c r="CE104" s="172"/>
      <c r="CF104" s="172"/>
      <c r="CG104" s="172"/>
      <c r="CH104" s="172"/>
      <c r="CI104" s="172"/>
      <c r="CJ104" s="172"/>
      <c r="CK104" s="172"/>
      <c r="CL104" s="172"/>
      <c r="CM104" s="172"/>
      <c r="CN104" s="172"/>
      <c r="CO104" s="172"/>
      <c r="CP104" s="172"/>
      <c r="CQ104" s="172"/>
      <c r="CR104" s="172"/>
      <c r="CS104" s="172"/>
      <c r="CT104" s="172"/>
      <c r="CU104" s="172"/>
      <c r="CV104" s="172"/>
      <c r="CW104" s="172"/>
      <c r="CX104" s="172"/>
      <c r="CY104" s="172"/>
      <c r="CZ104" s="172"/>
    </row>
    <row r="105" spans="4:104" ht="15" customHeight="1">
      <c r="N105" s="172"/>
      <c r="O105" s="172"/>
      <c r="P105" s="172"/>
      <c r="Q105" s="172"/>
      <c r="R105" s="172"/>
      <c r="S105" s="172"/>
      <c r="T105" s="172"/>
      <c r="U105" s="172"/>
      <c r="V105" s="172"/>
      <c r="W105" s="172"/>
      <c r="X105" s="172"/>
      <c r="Y105" s="172"/>
      <c r="Z105" s="172"/>
      <c r="AA105" s="172"/>
      <c r="AB105" s="172"/>
      <c r="AC105" s="172"/>
      <c r="AD105" s="172"/>
      <c r="AE105" s="172"/>
      <c r="AF105" s="172"/>
      <c r="AG105" s="172"/>
      <c r="AH105" s="172"/>
      <c r="AI105" s="172"/>
      <c r="AJ105" s="172"/>
      <c r="AK105" s="172"/>
      <c r="AL105" s="172"/>
      <c r="AM105" s="172"/>
      <c r="AN105" s="172"/>
      <c r="AO105" s="172"/>
      <c r="AP105" s="172"/>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c r="BQ105" s="172"/>
      <c r="BR105" s="172"/>
      <c r="BS105" s="172"/>
      <c r="BT105" s="172"/>
      <c r="BU105" s="172"/>
      <c r="BV105" s="172"/>
      <c r="BW105" s="172"/>
      <c r="BX105" s="172"/>
      <c r="BY105" s="172"/>
      <c r="BZ105" s="172"/>
      <c r="CA105" s="172"/>
      <c r="CB105" s="172"/>
      <c r="CC105" s="172"/>
      <c r="CD105" s="172"/>
      <c r="CE105" s="172"/>
      <c r="CF105" s="172"/>
      <c r="CG105" s="172"/>
      <c r="CH105" s="172"/>
      <c r="CI105" s="172"/>
      <c r="CJ105" s="172"/>
      <c r="CK105" s="172"/>
      <c r="CL105" s="172"/>
      <c r="CM105" s="172"/>
      <c r="CN105" s="172"/>
      <c r="CO105" s="172"/>
      <c r="CP105" s="172"/>
      <c r="CQ105" s="172"/>
      <c r="CR105" s="172"/>
      <c r="CS105" s="172"/>
      <c r="CT105" s="172"/>
      <c r="CU105" s="172"/>
      <c r="CV105" s="172"/>
      <c r="CW105" s="172"/>
      <c r="CX105" s="172"/>
      <c r="CY105" s="172"/>
      <c r="CZ105" s="172"/>
    </row>
    <row r="106" spans="4:104" ht="21.9" customHeight="1">
      <c r="E106" s="538"/>
      <c r="F106" s="261"/>
      <c r="G106" s="532"/>
      <c r="I106" s="532"/>
      <c r="N106" s="172"/>
      <c r="O106" s="172"/>
      <c r="P106" s="172"/>
      <c r="Q106" s="172"/>
      <c r="R106" s="172"/>
      <c r="S106" s="172"/>
      <c r="T106" s="172"/>
      <c r="U106" s="172"/>
      <c r="V106" s="172"/>
      <c r="W106" s="172"/>
      <c r="X106" s="172"/>
      <c r="Y106" s="172"/>
      <c r="Z106" s="172"/>
      <c r="AA106" s="172"/>
      <c r="AB106" s="172"/>
      <c r="AC106" s="172"/>
      <c r="AD106" s="172"/>
      <c r="AE106" s="172"/>
      <c r="AF106" s="172"/>
      <c r="AG106" s="172"/>
      <c r="AH106" s="172"/>
      <c r="AI106" s="172"/>
      <c r="AJ106" s="172"/>
      <c r="AK106" s="172"/>
      <c r="AL106" s="172"/>
      <c r="AM106" s="172"/>
      <c r="AN106" s="172"/>
      <c r="AO106" s="172"/>
      <c r="AP106" s="172"/>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72"/>
      <c r="BP106" s="172"/>
      <c r="BQ106" s="172"/>
      <c r="BR106" s="172"/>
      <c r="BS106" s="172"/>
      <c r="BT106" s="172"/>
      <c r="BU106" s="172"/>
      <c r="BV106" s="172"/>
      <c r="BW106" s="172"/>
      <c r="BX106" s="172"/>
      <c r="BY106" s="172"/>
      <c r="BZ106" s="172"/>
      <c r="CA106" s="172"/>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pans="4:104" ht="15" customHeight="1">
      <c r="D107" s="261"/>
      <c r="E107" s="538"/>
      <c r="F107" s="261"/>
      <c r="K107" s="532"/>
      <c r="N107" s="172"/>
      <c r="O107" s="172"/>
      <c r="P107" s="172"/>
      <c r="Q107" s="172"/>
      <c r="R107" s="172"/>
      <c r="S107" s="172"/>
      <c r="T107" s="172"/>
      <c r="U107" s="172"/>
      <c r="V107" s="172"/>
      <c r="W107" s="172"/>
      <c r="X107" s="172"/>
      <c r="Y107" s="172"/>
      <c r="Z107" s="172"/>
      <c r="AA107" s="172"/>
      <c r="AB107" s="172"/>
      <c r="AC107" s="172"/>
      <c r="AD107" s="172"/>
      <c r="AE107" s="172"/>
      <c r="AF107" s="172"/>
      <c r="AG107" s="172"/>
      <c r="AH107" s="172"/>
      <c r="AI107" s="172"/>
      <c r="AJ107" s="172"/>
      <c r="AK107" s="172"/>
      <c r="AL107" s="172"/>
      <c r="AM107" s="172"/>
      <c r="AN107" s="172"/>
      <c r="AO107" s="172"/>
      <c r="AP107" s="172"/>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72"/>
      <c r="BP107" s="172"/>
      <c r="BQ107" s="172"/>
      <c r="BR107" s="172"/>
      <c r="BS107" s="172"/>
      <c r="BT107" s="172"/>
      <c r="BU107" s="172"/>
      <c r="BV107" s="172"/>
      <c r="BW107" s="172"/>
      <c r="BX107" s="172"/>
      <c r="BY107" s="172"/>
      <c r="BZ107" s="172"/>
      <c r="CA107" s="172"/>
      <c r="CB107" s="172"/>
      <c r="CC107" s="172"/>
      <c r="CD107" s="172"/>
      <c r="CE107" s="172"/>
      <c r="CF107" s="172"/>
      <c r="CG107" s="172"/>
      <c r="CH107" s="172"/>
      <c r="CI107" s="172"/>
      <c r="CJ107" s="172"/>
      <c r="CK107" s="172"/>
      <c r="CL107" s="172"/>
      <c r="CM107" s="172"/>
      <c r="CN107" s="172"/>
      <c r="CO107" s="172"/>
      <c r="CP107" s="172"/>
      <c r="CQ107" s="172"/>
      <c r="CR107" s="172"/>
      <c r="CS107" s="172"/>
      <c r="CT107" s="172"/>
      <c r="CU107" s="172"/>
      <c r="CV107" s="172"/>
      <c r="CW107" s="172"/>
      <c r="CX107" s="172"/>
      <c r="CY107" s="172"/>
      <c r="CZ107" s="172"/>
    </row>
    <row r="108" spans="4:104" ht="41.4" customHeight="1">
      <c r="D108" s="261"/>
      <c r="E108" s="261"/>
      <c r="F108" s="261"/>
      <c r="N108" s="172"/>
      <c r="O108" s="172"/>
      <c r="P108" s="172"/>
      <c r="Q108" s="172"/>
      <c r="R108" s="172"/>
      <c r="S108" s="172"/>
      <c r="T108" s="172"/>
      <c r="U108" s="172"/>
      <c r="V108" s="172"/>
      <c r="W108" s="172"/>
      <c r="X108" s="172"/>
      <c r="Y108" s="172"/>
      <c r="Z108" s="172"/>
      <c r="AA108" s="172"/>
      <c r="AB108" s="172"/>
      <c r="AC108" s="172"/>
      <c r="AD108" s="172"/>
      <c r="AE108" s="172"/>
      <c r="AF108" s="172"/>
      <c r="AG108" s="172"/>
      <c r="AH108" s="172"/>
      <c r="AI108" s="172"/>
      <c r="AJ108" s="172"/>
      <c r="AK108" s="172"/>
      <c r="AL108" s="172"/>
      <c r="AM108" s="172"/>
      <c r="AN108" s="172"/>
      <c r="AO108" s="172"/>
      <c r="AP108" s="172"/>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72"/>
      <c r="BP108" s="172"/>
      <c r="BQ108" s="172"/>
      <c r="BR108" s="172"/>
      <c r="BS108" s="172"/>
      <c r="BT108" s="172"/>
      <c r="BU108" s="172"/>
      <c r="BV108" s="172"/>
      <c r="BW108" s="172"/>
      <c r="BX108" s="172"/>
      <c r="BY108" s="172"/>
      <c r="BZ108" s="172"/>
      <c r="CA108" s="172"/>
      <c r="CB108" s="172"/>
      <c r="CC108" s="172"/>
      <c r="CD108" s="172"/>
      <c r="CE108" s="172"/>
      <c r="CF108" s="172"/>
      <c r="CG108" s="172"/>
      <c r="CH108" s="172"/>
      <c r="CI108" s="172"/>
      <c r="CJ108" s="172"/>
      <c r="CK108" s="172"/>
      <c r="CL108" s="172"/>
      <c r="CM108" s="172"/>
      <c r="CN108" s="172"/>
      <c r="CO108" s="172"/>
      <c r="CP108" s="172"/>
      <c r="CQ108" s="172"/>
      <c r="CR108" s="172"/>
      <c r="CS108" s="172"/>
      <c r="CT108" s="172"/>
      <c r="CU108" s="172"/>
      <c r="CV108" s="172"/>
      <c r="CW108" s="172"/>
      <c r="CX108" s="172"/>
      <c r="CY108" s="172"/>
      <c r="CZ108" s="172"/>
    </row>
    <row r="109" spans="4:104" ht="41.4" customHeight="1">
      <c r="D109" s="261"/>
      <c r="E109" s="261"/>
      <c r="F109" s="261"/>
      <c r="N109" s="172"/>
      <c r="O109" s="172"/>
      <c r="P109" s="172"/>
      <c r="Q109" s="172"/>
      <c r="R109" s="172"/>
      <c r="S109" s="172"/>
      <c r="T109" s="172"/>
      <c r="U109" s="172"/>
      <c r="V109" s="172"/>
      <c r="W109" s="172"/>
      <c r="X109" s="172"/>
      <c r="Y109" s="172"/>
      <c r="Z109" s="172"/>
      <c r="AA109" s="172"/>
      <c r="AB109" s="172"/>
      <c r="AC109" s="172"/>
      <c r="AD109" s="172"/>
      <c r="AE109" s="172"/>
      <c r="AF109" s="172"/>
      <c r="AG109" s="172"/>
      <c r="AH109" s="172"/>
      <c r="AI109" s="172"/>
      <c r="AJ109" s="172"/>
      <c r="AK109" s="172"/>
      <c r="AL109" s="172"/>
      <c r="AM109" s="172"/>
      <c r="AN109" s="172"/>
      <c r="AO109" s="172"/>
      <c r="AP109" s="172"/>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301"/>
      <c r="BO109" s="301"/>
      <c r="BP109" s="301"/>
      <c r="BQ109" s="301"/>
      <c r="BR109" s="301"/>
      <c r="BS109" s="172"/>
      <c r="BT109" s="172"/>
      <c r="BU109" s="172"/>
      <c r="BV109" s="172"/>
      <c r="BW109" s="172"/>
      <c r="BX109" s="172"/>
      <c r="BY109" s="172"/>
      <c r="BZ109" s="172"/>
      <c r="CA109" s="172"/>
      <c r="CB109" s="172"/>
      <c r="CC109" s="172"/>
      <c r="CD109" s="172"/>
      <c r="CE109" s="172"/>
      <c r="CF109" s="172"/>
      <c r="CG109" s="172"/>
      <c r="CH109" s="172"/>
      <c r="CI109" s="172"/>
      <c r="CJ109" s="172"/>
      <c r="CK109" s="172"/>
      <c r="CL109" s="172"/>
      <c r="CM109" s="172"/>
      <c r="CN109" s="172"/>
      <c r="CO109" s="172"/>
      <c r="CP109" s="172"/>
      <c r="CQ109" s="172"/>
      <c r="CR109" s="172"/>
      <c r="CS109" s="172"/>
      <c r="CT109" s="172"/>
      <c r="CU109" s="172"/>
      <c r="CV109" s="172"/>
      <c r="CW109" s="172"/>
      <c r="CX109" s="172"/>
      <c r="CY109" s="172"/>
      <c r="CZ109" s="172"/>
    </row>
    <row r="110" spans="4:104" ht="41.4" customHeight="1">
      <c r="D110" s="261"/>
      <c r="E110" s="261"/>
      <c r="F110" s="261"/>
      <c r="N110" s="172"/>
      <c r="O110" s="172"/>
      <c r="P110" s="172"/>
      <c r="Q110" s="172"/>
      <c r="R110" s="172"/>
      <c r="S110" s="172"/>
      <c r="T110" s="172"/>
      <c r="U110" s="172"/>
      <c r="V110" s="172"/>
      <c r="W110" s="172"/>
      <c r="X110" s="172"/>
      <c r="Y110" s="172"/>
      <c r="Z110" s="172"/>
      <c r="AA110" s="172"/>
      <c r="AB110" s="172"/>
      <c r="AC110" s="172"/>
      <c r="AD110" s="172"/>
      <c r="AE110" s="172"/>
      <c r="AF110" s="172"/>
      <c r="AG110" s="172"/>
      <c r="AH110" s="172"/>
      <c r="AI110" s="172"/>
      <c r="AJ110" s="172"/>
      <c r="AK110" s="172"/>
      <c r="AL110" s="172"/>
      <c r="AM110" s="172"/>
      <c r="AN110" s="172"/>
      <c r="AO110" s="172"/>
      <c r="AP110" s="172"/>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301"/>
      <c r="BO110" s="301"/>
      <c r="BP110" s="301"/>
      <c r="BQ110" s="301"/>
      <c r="BR110" s="301"/>
      <c r="BS110" s="172"/>
      <c r="BT110" s="172"/>
      <c r="BU110" s="172"/>
      <c r="BV110" s="172"/>
      <c r="BW110" s="172"/>
      <c r="BX110" s="172"/>
      <c r="BY110" s="172"/>
      <c r="BZ110" s="172"/>
      <c r="CA110" s="172"/>
      <c r="CB110" s="172"/>
      <c r="CC110" s="172"/>
      <c r="CD110" s="172"/>
      <c r="CE110" s="172"/>
      <c r="CF110" s="172"/>
      <c r="CG110" s="172"/>
      <c r="CH110" s="172"/>
      <c r="CI110" s="172"/>
      <c r="CJ110" s="172"/>
      <c r="CK110" s="172"/>
      <c r="CL110" s="172"/>
      <c r="CM110" s="172"/>
      <c r="CN110" s="172"/>
      <c r="CO110" s="172"/>
      <c r="CP110" s="172"/>
      <c r="CQ110" s="172"/>
      <c r="CR110" s="172"/>
      <c r="CS110" s="172"/>
      <c r="CT110" s="172"/>
      <c r="CU110" s="172"/>
      <c r="CV110" s="172"/>
      <c r="CW110" s="172"/>
      <c r="CX110" s="172"/>
      <c r="CY110" s="172"/>
      <c r="CZ110" s="172"/>
    </row>
    <row r="111" spans="4:104" ht="41.4" customHeight="1">
      <c r="D111" s="261"/>
      <c r="E111" s="538"/>
      <c r="F111" s="261"/>
      <c r="N111" s="172"/>
      <c r="O111" s="172"/>
      <c r="P111" s="172"/>
      <c r="Q111" s="172"/>
      <c r="R111" s="172"/>
      <c r="S111" s="172"/>
      <c r="T111" s="172"/>
      <c r="U111" s="172"/>
      <c r="V111" s="172"/>
      <c r="W111" s="172"/>
      <c r="X111" s="172"/>
      <c r="Y111" s="172"/>
      <c r="Z111" s="172"/>
      <c r="AA111" s="172"/>
      <c r="AB111" s="172"/>
      <c r="AC111" s="172"/>
      <c r="AD111" s="172"/>
      <c r="AE111" s="172"/>
      <c r="AF111" s="172"/>
      <c r="AG111" s="172"/>
      <c r="AH111" s="172"/>
      <c r="AI111" s="172"/>
      <c r="AJ111" s="172"/>
      <c r="AK111" s="172"/>
      <c r="AL111" s="172"/>
      <c r="AM111" s="172"/>
      <c r="AN111" s="172"/>
      <c r="AO111" s="172"/>
      <c r="AP111" s="172"/>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301"/>
      <c r="BO111" s="301"/>
      <c r="BP111" s="301"/>
      <c r="BQ111" s="301"/>
      <c r="BR111" s="301"/>
      <c r="BS111" s="172"/>
      <c r="BT111" s="172"/>
      <c r="BU111" s="172"/>
      <c r="BV111" s="172"/>
      <c r="BW111" s="172"/>
      <c r="BX111" s="172"/>
      <c r="BY111" s="172"/>
      <c r="BZ111" s="172"/>
      <c r="CA111" s="172"/>
      <c r="CB111" s="172"/>
      <c r="CC111" s="172"/>
      <c r="CD111" s="172"/>
      <c r="CE111" s="172"/>
      <c r="CF111" s="172"/>
      <c r="CG111" s="172"/>
      <c r="CH111" s="172"/>
      <c r="CI111" s="172"/>
      <c r="CJ111" s="172"/>
      <c r="CK111" s="172"/>
      <c r="CL111" s="172"/>
      <c r="CM111" s="172"/>
      <c r="CN111" s="172"/>
      <c r="CO111" s="172"/>
      <c r="CP111" s="172"/>
      <c r="CQ111" s="172"/>
      <c r="CR111" s="172"/>
      <c r="CS111" s="172"/>
      <c r="CT111" s="172"/>
      <c r="CU111" s="172"/>
      <c r="CV111" s="172"/>
      <c r="CW111" s="172"/>
      <c r="CX111" s="172"/>
      <c r="CY111" s="172"/>
      <c r="CZ111" s="172"/>
    </row>
    <row r="112" spans="4:104" ht="41.4" customHeight="1">
      <c r="D112" s="261"/>
      <c r="E112" s="261"/>
      <c r="F112" s="261"/>
      <c r="N112" s="172"/>
      <c r="O112" s="172"/>
      <c r="P112" s="172"/>
      <c r="Q112" s="172"/>
      <c r="R112" s="172"/>
      <c r="S112" s="172"/>
      <c r="T112" s="172"/>
      <c r="U112" s="172"/>
      <c r="V112" s="172"/>
      <c r="W112" s="172"/>
      <c r="X112" s="172"/>
      <c r="Y112" s="172"/>
      <c r="Z112" s="172"/>
      <c r="AA112" s="172"/>
      <c r="AB112" s="172"/>
      <c r="AC112" s="172"/>
      <c r="AD112" s="172"/>
      <c r="AE112" s="172"/>
      <c r="AF112" s="172"/>
      <c r="AG112" s="172"/>
      <c r="AH112" s="172"/>
      <c r="AI112" s="172"/>
      <c r="AJ112" s="172"/>
      <c r="AK112" s="172"/>
      <c r="AL112" s="172"/>
      <c r="AM112" s="172"/>
      <c r="AN112" s="172"/>
      <c r="AO112" s="172"/>
      <c r="AP112" s="172"/>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301"/>
      <c r="BO112" s="301"/>
      <c r="BP112" s="301"/>
      <c r="BQ112" s="301"/>
      <c r="BR112" s="301"/>
      <c r="BS112" s="172"/>
      <c r="BT112" s="172"/>
      <c r="BU112" s="172"/>
      <c r="BV112" s="172"/>
      <c r="BW112" s="172"/>
      <c r="BX112" s="172"/>
      <c r="BY112" s="172"/>
      <c r="BZ112" s="172"/>
      <c r="CA112" s="172"/>
      <c r="CB112" s="172"/>
      <c r="CC112" s="172"/>
      <c r="CD112" s="172"/>
      <c r="CE112" s="172"/>
      <c r="CF112" s="172"/>
      <c r="CG112" s="172"/>
      <c r="CH112" s="172"/>
      <c r="CI112" s="172"/>
      <c r="CJ112" s="172"/>
      <c r="CK112" s="172"/>
      <c r="CL112" s="172"/>
      <c r="CM112" s="172"/>
      <c r="CN112" s="172"/>
      <c r="CO112" s="172"/>
      <c r="CP112" s="172"/>
      <c r="CQ112" s="172"/>
      <c r="CR112" s="172"/>
      <c r="CS112" s="172"/>
      <c r="CT112" s="172"/>
      <c r="CU112" s="172"/>
      <c r="CV112" s="172"/>
      <c r="CW112" s="172"/>
      <c r="CX112" s="172"/>
      <c r="CY112" s="172"/>
      <c r="CZ112" s="172"/>
    </row>
    <row r="113" spans="5:104" ht="41.4" customHeight="1">
      <c r="N113" s="172"/>
      <c r="O113" s="172"/>
      <c r="P113" s="172"/>
      <c r="Q113" s="172"/>
      <c r="R113" s="172"/>
      <c r="S113" s="172"/>
      <c r="T113" s="172"/>
      <c r="U113" s="172"/>
      <c r="V113" s="172"/>
      <c r="W113" s="172"/>
      <c r="X113" s="172"/>
      <c r="Y113" s="172"/>
      <c r="Z113" s="172"/>
      <c r="AA113" s="172"/>
      <c r="AB113" s="172"/>
      <c r="AC113" s="172"/>
      <c r="AD113" s="172"/>
      <c r="AE113" s="172"/>
      <c r="AF113" s="172"/>
      <c r="AG113" s="172"/>
      <c r="AH113" s="172"/>
      <c r="AI113" s="172"/>
      <c r="AJ113" s="172"/>
      <c r="AK113" s="172"/>
      <c r="AL113" s="172"/>
      <c r="AM113" s="172"/>
      <c r="AN113" s="172"/>
      <c r="AO113" s="172"/>
      <c r="AP113" s="172"/>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301"/>
      <c r="BO113" s="301"/>
      <c r="BP113" s="301"/>
      <c r="BQ113" s="301"/>
      <c r="BR113" s="301"/>
      <c r="BS113" s="172"/>
      <c r="BT113" s="172"/>
      <c r="BU113" s="172"/>
      <c r="BV113" s="172"/>
      <c r="BW113" s="172"/>
      <c r="BX113" s="172"/>
      <c r="BY113" s="172"/>
      <c r="BZ113" s="172"/>
      <c r="CA113" s="172"/>
      <c r="CB113" s="172"/>
      <c r="CC113" s="172"/>
      <c r="CD113" s="172"/>
      <c r="CE113" s="172"/>
      <c r="CF113" s="172"/>
      <c r="CG113" s="172"/>
      <c r="CH113" s="172"/>
      <c r="CI113" s="172"/>
      <c r="CJ113" s="172"/>
      <c r="CK113" s="172"/>
      <c r="CL113" s="172"/>
      <c r="CM113" s="172"/>
      <c r="CN113" s="172"/>
      <c r="CO113" s="172"/>
      <c r="CP113" s="172"/>
      <c r="CQ113" s="172"/>
      <c r="CR113" s="172"/>
      <c r="CS113" s="172"/>
      <c r="CT113" s="172"/>
      <c r="CU113" s="172"/>
      <c r="CV113" s="172"/>
      <c r="CW113" s="172"/>
      <c r="CX113" s="172"/>
      <c r="CY113" s="172"/>
      <c r="CZ113" s="172"/>
    </row>
    <row r="114" spans="5:104" s="301" customFormat="1" ht="41.4" customHeight="1">
      <c r="AW114" s="172"/>
      <c r="AX114" s="172"/>
      <c r="AY114" s="172"/>
      <c r="AZ114" s="172"/>
      <c r="BA114" s="172"/>
      <c r="BB114" s="172"/>
      <c r="BC114" s="172"/>
      <c r="BD114" s="172"/>
      <c r="BE114" s="172"/>
      <c r="BF114" s="172"/>
      <c r="BG114" s="172"/>
      <c r="BH114" s="172"/>
      <c r="BI114" s="172"/>
      <c r="BJ114" s="172"/>
      <c r="BK114" s="172"/>
    </row>
    <row r="115" spans="5:104" ht="41.4" customHeight="1">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301"/>
      <c r="BO115" s="301"/>
      <c r="BP115" s="301"/>
      <c r="BQ115" s="301"/>
      <c r="BR115" s="301"/>
      <c r="BS115" s="172"/>
      <c r="BT115" s="172"/>
      <c r="BU115" s="172"/>
      <c r="BV115" s="172"/>
      <c r="BW115" s="172"/>
      <c r="BX115" s="172"/>
      <c r="BY115" s="172"/>
      <c r="BZ115" s="172"/>
      <c r="CA115" s="172"/>
      <c r="CB115" s="172"/>
      <c r="CC115" s="172"/>
      <c r="CD115" s="172"/>
      <c r="CE115" s="172"/>
      <c r="CF115" s="172"/>
      <c r="CG115" s="172"/>
      <c r="CH115" s="172"/>
      <c r="CI115" s="172"/>
      <c r="CJ115" s="172"/>
      <c r="CK115" s="172"/>
      <c r="CL115" s="172"/>
      <c r="CM115" s="172"/>
      <c r="CN115" s="172"/>
      <c r="CO115" s="172"/>
      <c r="CP115" s="172"/>
      <c r="CQ115" s="172"/>
      <c r="CR115" s="172"/>
      <c r="CS115" s="172"/>
      <c r="CT115" s="172"/>
      <c r="CU115" s="172"/>
      <c r="CV115" s="172"/>
      <c r="CW115" s="172"/>
      <c r="CX115" s="172"/>
      <c r="CY115" s="172"/>
      <c r="CZ115" s="172"/>
    </row>
    <row r="116" spans="5:104" s="301" customFormat="1" ht="41.4" customHeight="1">
      <c r="AW116" s="172"/>
      <c r="AX116" s="172"/>
      <c r="AY116" s="172"/>
      <c r="AZ116" s="172"/>
      <c r="BA116" s="172"/>
      <c r="BB116" s="172"/>
      <c r="BC116" s="172"/>
      <c r="BD116" s="172"/>
      <c r="BE116" s="172"/>
      <c r="BF116" s="172"/>
      <c r="BG116" s="172"/>
      <c r="BH116" s="172"/>
      <c r="BI116" s="172"/>
      <c r="BJ116" s="172"/>
      <c r="BK116" s="172"/>
    </row>
    <row r="117" spans="5:104" ht="41.4" customHeight="1">
      <c r="N117" s="172"/>
      <c r="O117" s="172"/>
      <c r="P117" s="172"/>
      <c r="Q117" s="172"/>
      <c r="R117" s="172"/>
      <c r="S117" s="172"/>
      <c r="T117" s="172"/>
      <c r="U117" s="172"/>
      <c r="V117" s="172"/>
      <c r="W117" s="172"/>
      <c r="X117" s="172"/>
      <c r="Y117" s="172"/>
      <c r="Z117" s="172"/>
      <c r="AA117" s="172"/>
      <c r="AB117" s="172"/>
      <c r="AC117" s="172"/>
      <c r="AD117" s="172"/>
      <c r="AE117" s="172"/>
      <c r="AF117" s="172"/>
      <c r="AG117" s="172"/>
      <c r="AH117" s="172"/>
      <c r="AI117" s="172"/>
      <c r="AJ117" s="172"/>
      <c r="AK117" s="172"/>
      <c r="AL117" s="172"/>
      <c r="AM117" s="172"/>
      <c r="AN117" s="172"/>
      <c r="AO117" s="172"/>
      <c r="AP117" s="172"/>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301"/>
      <c r="BO117" s="301"/>
      <c r="BP117" s="301"/>
      <c r="BQ117" s="301"/>
      <c r="BR117" s="301"/>
      <c r="BS117" s="172"/>
      <c r="BT117" s="172"/>
      <c r="BU117" s="172"/>
      <c r="BV117" s="172"/>
      <c r="BW117" s="172"/>
      <c r="BX117" s="172"/>
      <c r="BY117" s="172"/>
      <c r="BZ117" s="172"/>
      <c r="CA117" s="172"/>
      <c r="CB117" s="172"/>
      <c r="CC117" s="172"/>
      <c r="CD117" s="172"/>
      <c r="CE117" s="172"/>
      <c r="CF117" s="172"/>
      <c r="CG117" s="172"/>
      <c r="CH117" s="172"/>
      <c r="CI117" s="172"/>
      <c r="CJ117" s="172"/>
      <c r="CK117" s="172"/>
      <c r="CL117" s="172"/>
      <c r="CM117" s="172"/>
      <c r="CN117" s="172"/>
      <c r="CO117" s="172"/>
      <c r="CP117" s="172"/>
      <c r="CQ117" s="172"/>
      <c r="CR117" s="172"/>
      <c r="CS117" s="172"/>
      <c r="CT117" s="172"/>
      <c r="CU117" s="172"/>
      <c r="CV117" s="172"/>
      <c r="CW117" s="172"/>
      <c r="CX117" s="172"/>
      <c r="CY117" s="172"/>
      <c r="CZ117" s="172"/>
    </row>
    <row r="118" spans="5:104" customFormat="1" ht="41.4" customHeight="1">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95"/>
      <c r="AX118" s="195"/>
      <c r="AY118" s="195"/>
      <c r="AZ118" s="195"/>
      <c r="BA118" s="195"/>
      <c r="BB118" s="195"/>
      <c r="BC118" s="195"/>
      <c r="BD118" s="195"/>
      <c r="BE118" s="195"/>
      <c r="BF118" s="195"/>
      <c r="BG118" s="195"/>
      <c r="BH118" s="195"/>
      <c r="BI118" s="195"/>
      <c r="BJ118" s="195"/>
      <c r="BK118" s="195"/>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row>
    <row r="119" spans="5:104" ht="41.4" customHeight="1">
      <c r="E119" s="195"/>
      <c r="F119" s="195"/>
      <c r="G119" s="195"/>
      <c r="H119" s="195"/>
      <c r="I119" s="512"/>
      <c r="J119" s="195"/>
      <c r="K119" s="195"/>
      <c r="L119" s="195"/>
      <c r="M119" s="195"/>
      <c r="BN119" s="10"/>
      <c r="BO119" s="10"/>
      <c r="BP119" s="10"/>
      <c r="BQ119" s="10"/>
      <c r="BR119" s="10"/>
    </row>
    <row r="120" spans="5:104">
      <c r="E120" s="195"/>
      <c r="H120" s="174"/>
      <c r="I120" s="174"/>
      <c r="J120" s="174"/>
      <c r="K120" s="174"/>
      <c r="L120" s="174"/>
      <c r="M120" s="174"/>
    </row>
    <row r="121" spans="5:104">
      <c r="E121" s="195"/>
      <c r="H121" s="174"/>
      <c r="I121" s="174"/>
      <c r="J121" s="173"/>
      <c r="K121" s="174"/>
      <c r="L121" s="174"/>
      <c r="M121" s="174"/>
    </row>
    <row r="122" spans="5:104">
      <c r="E122" s="195"/>
      <c r="H122" s="174"/>
      <c r="I122" s="174"/>
      <c r="J122" s="174"/>
      <c r="K122" s="174"/>
      <c r="L122" s="174"/>
      <c r="M122" s="174"/>
    </row>
    <row r="123" spans="5:104">
      <c r="E123" s="195"/>
      <c r="H123" s="174"/>
      <c r="I123" s="174"/>
      <c r="J123" s="174"/>
      <c r="K123" s="174"/>
      <c r="L123" s="174"/>
      <c r="M123" s="174"/>
    </row>
    <row r="124" spans="5:104">
      <c r="E124" s="195"/>
      <c r="H124" s="174"/>
      <c r="I124" s="174"/>
      <c r="J124" s="174"/>
      <c r="K124" s="174"/>
      <c r="L124" s="174"/>
      <c r="M124" s="174"/>
    </row>
    <row r="125" spans="5:104">
      <c r="E125" s="195"/>
      <c r="H125" s="174"/>
      <c r="I125" s="174"/>
      <c r="J125" s="174"/>
      <c r="K125" s="174"/>
      <c r="L125" s="174"/>
      <c r="M125" s="174"/>
    </row>
    <row r="126" spans="5:104">
      <c r="E126" s="195"/>
      <c r="H126" s="174"/>
      <c r="I126" s="174"/>
      <c r="J126" s="174"/>
      <c r="K126" s="174"/>
      <c r="L126" s="174"/>
      <c r="M126" s="174"/>
    </row>
    <row r="127" spans="5:104">
      <c r="E127" s="195"/>
      <c r="H127" s="174"/>
      <c r="I127" s="174"/>
      <c r="J127" s="174"/>
      <c r="K127" s="174"/>
      <c r="L127" s="174"/>
      <c r="M127" s="174"/>
    </row>
    <row r="128" spans="5:104">
      <c r="E128" s="195"/>
      <c r="H128" s="174"/>
      <c r="I128" s="174"/>
      <c r="J128" s="174"/>
      <c r="K128" s="174"/>
      <c r="L128" s="174"/>
      <c r="M128" s="174"/>
    </row>
    <row r="129" spans="5:13">
      <c r="E129" s="195"/>
      <c r="H129" s="174"/>
      <c r="I129" s="174"/>
      <c r="J129" s="174"/>
      <c r="K129" s="174"/>
      <c r="L129" s="174"/>
      <c r="M129" s="174"/>
    </row>
    <row r="130" spans="5:13">
      <c r="E130" s="195"/>
      <c r="H130" s="174"/>
      <c r="I130" s="174"/>
      <c r="J130" s="174"/>
      <c r="K130" s="174"/>
      <c r="L130" s="174"/>
      <c r="M130" s="174"/>
    </row>
    <row r="131" spans="5:13">
      <c r="E131" s="195"/>
      <c r="H131" s="174"/>
      <c r="I131" s="174"/>
      <c r="J131" s="174"/>
      <c r="K131" s="174"/>
      <c r="L131" s="174"/>
      <c r="M131" s="174"/>
    </row>
    <row r="132" spans="5:13">
      <c r="E132" s="195"/>
      <c r="H132" s="174"/>
      <c r="I132" s="174"/>
      <c r="J132" s="174"/>
      <c r="K132" s="174"/>
      <c r="L132" s="174"/>
      <c r="M132" s="174"/>
    </row>
    <row r="133" spans="5:13">
      <c r="E133" s="195"/>
      <c r="H133" s="174"/>
      <c r="I133" s="174"/>
      <c r="J133" s="174"/>
      <c r="K133" s="174"/>
      <c r="L133" s="174"/>
      <c r="M133" s="174"/>
    </row>
    <row r="134" spans="5:13">
      <c r="E134" s="195"/>
      <c r="H134" s="174"/>
      <c r="I134" s="174"/>
      <c r="J134" s="174"/>
      <c r="K134" s="174"/>
      <c r="L134" s="174"/>
      <c r="M134" s="174"/>
    </row>
    <row r="135" spans="5:13">
      <c r="E135" s="195"/>
      <c r="H135" s="174"/>
      <c r="I135" s="174"/>
      <c r="J135" s="174"/>
      <c r="K135" s="174"/>
      <c r="L135" s="174"/>
      <c r="M135" s="174"/>
    </row>
    <row r="136" spans="5:13">
      <c r="E136" s="195"/>
      <c r="H136" s="174"/>
      <c r="I136" s="174"/>
      <c r="J136" s="174"/>
      <c r="K136" s="174"/>
      <c r="L136" s="174"/>
      <c r="M136" s="174"/>
    </row>
    <row r="137" spans="5:13">
      <c r="E137" s="195"/>
      <c r="H137" s="174"/>
      <c r="I137" s="174"/>
      <c r="J137" s="174"/>
      <c r="K137" s="174"/>
      <c r="L137" s="174"/>
      <c r="M137" s="174"/>
    </row>
    <row r="138" spans="5:13">
      <c r="E138" s="195"/>
      <c r="H138" s="174"/>
      <c r="I138" s="174"/>
      <c r="J138" s="173"/>
      <c r="K138" s="174"/>
      <c r="L138" s="174"/>
      <c r="M138" s="174"/>
    </row>
    <row r="139" spans="5:13">
      <c r="E139" s="195"/>
      <c r="H139" s="174"/>
      <c r="I139" s="174"/>
      <c r="J139" s="174"/>
      <c r="K139" s="174"/>
      <c r="L139" s="174"/>
      <c r="M139" s="174"/>
    </row>
    <row r="140" spans="5:13">
      <c r="E140" s="195"/>
      <c r="H140" s="174"/>
      <c r="I140" s="174"/>
      <c r="J140" s="174"/>
      <c r="K140" s="174"/>
      <c r="L140" s="174"/>
      <c r="M140" s="174"/>
    </row>
    <row r="141" spans="5:13">
      <c r="E141" s="195"/>
      <c r="H141" s="174"/>
      <c r="I141" s="174"/>
      <c r="J141" s="174"/>
      <c r="K141" s="174"/>
      <c r="L141" s="174"/>
      <c r="M141" s="174"/>
    </row>
    <row r="142" spans="5:13">
      <c r="E142" s="195"/>
      <c r="H142" s="174"/>
      <c r="I142" s="174"/>
      <c r="J142" s="174"/>
      <c r="K142" s="174"/>
      <c r="L142" s="174"/>
      <c r="M142" s="174"/>
    </row>
    <row r="143" spans="5:13">
      <c r="E143" s="195"/>
      <c r="H143" s="174"/>
      <c r="I143" s="174"/>
      <c r="J143" s="174"/>
      <c r="K143" s="174"/>
      <c r="L143" s="174"/>
      <c r="M143" s="174"/>
    </row>
    <row r="144" spans="5:13">
      <c r="E144" s="195"/>
      <c r="H144" s="174"/>
      <c r="I144" s="174"/>
      <c r="J144" s="174"/>
      <c r="K144" s="174"/>
      <c r="L144" s="174"/>
      <c r="M144" s="174"/>
    </row>
    <row r="145" spans="5:13">
      <c r="E145" s="195"/>
      <c r="H145" s="174"/>
      <c r="I145" s="174"/>
      <c r="J145" s="174"/>
      <c r="K145" s="174"/>
      <c r="L145" s="174"/>
      <c r="M145" s="174"/>
    </row>
    <row r="146" spans="5:13">
      <c r="E146" s="195"/>
      <c r="H146" s="174"/>
      <c r="I146" s="174"/>
      <c r="J146" s="174"/>
      <c r="K146" s="174"/>
      <c r="L146" s="174"/>
      <c r="M146" s="174"/>
    </row>
    <row r="147" spans="5:13">
      <c r="E147" s="195"/>
      <c r="H147" s="174"/>
      <c r="I147" s="174"/>
      <c r="J147" s="174"/>
      <c r="K147" s="174"/>
      <c r="L147" s="174"/>
      <c r="M147" s="174"/>
    </row>
    <row r="148" spans="5:13">
      <c r="E148" s="195"/>
      <c r="H148" s="174"/>
      <c r="I148" s="174"/>
      <c r="J148" s="174"/>
      <c r="K148" s="174"/>
      <c r="L148" s="174"/>
      <c r="M148" s="174"/>
    </row>
    <row r="149" spans="5:13">
      <c r="E149" s="195"/>
      <c r="H149" s="174"/>
      <c r="I149" s="174"/>
      <c r="J149" s="174"/>
      <c r="K149" s="174"/>
      <c r="L149" s="174"/>
      <c r="M149" s="174"/>
    </row>
    <row r="150" spans="5:13">
      <c r="E150" s="195"/>
      <c r="H150" s="174"/>
      <c r="I150" s="174"/>
      <c r="J150" s="174"/>
      <c r="K150" s="174"/>
      <c r="L150" s="174"/>
      <c r="M150" s="174"/>
    </row>
    <row r="151" spans="5:13">
      <c r="E151" s="195"/>
      <c r="H151" s="174"/>
      <c r="I151" s="174"/>
      <c r="J151" s="174"/>
      <c r="K151" s="174"/>
      <c r="L151" s="174"/>
      <c r="M151" s="174"/>
    </row>
    <row r="152" spans="5:13">
      <c r="E152" s="195"/>
      <c r="H152" s="174"/>
      <c r="I152" s="174"/>
      <c r="J152" s="174"/>
      <c r="K152" s="174"/>
      <c r="L152" s="174"/>
      <c r="M152" s="174"/>
    </row>
    <row r="153" spans="5:13">
      <c r="E153" s="195"/>
      <c r="H153" s="174"/>
      <c r="I153" s="174"/>
      <c r="J153" s="173" t="s">
        <v>405</v>
      </c>
      <c r="K153" s="174"/>
      <c r="L153" s="174"/>
      <c r="M153" s="174"/>
    </row>
    <row r="154" spans="5:13">
      <c r="E154" s="195"/>
      <c r="H154" s="174"/>
      <c r="I154" s="174"/>
      <c r="J154" s="174"/>
      <c r="K154" s="174"/>
      <c r="L154" s="174"/>
      <c r="M154" s="174"/>
    </row>
    <row r="155" spans="5:13">
      <c r="E155" s="195"/>
      <c r="H155" s="174"/>
      <c r="I155" s="174"/>
      <c r="J155" s="174"/>
      <c r="K155" s="174"/>
      <c r="L155" s="174"/>
      <c r="M155" s="174"/>
    </row>
    <row r="156" spans="5:13">
      <c r="E156" s="195"/>
      <c r="H156" s="174"/>
      <c r="I156" s="174"/>
      <c r="J156" s="174"/>
      <c r="K156" s="174"/>
      <c r="L156" s="174"/>
      <c r="M156" s="174"/>
    </row>
    <row r="157" spans="5:13">
      <c r="E157" s="195"/>
      <c r="H157" s="174"/>
      <c r="I157" s="174"/>
      <c r="J157" s="174"/>
      <c r="K157" s="174"/>
      <c r="L157" s="174"/>
      <c r="M157" s="174"/>
    </row>
    <row r="158" spans="5:13">
      <c r="E158" s="195"/>
      <c r="H158" s="174"/>
      <c r="I158" s="174"/>
      <c r="J158" s="174"/>
      <c r="K158" s="174"/>
      <c r="L158" s="174"/>
      <c r="M158" s="174"/>
    </row>
    <row r="159" spans="5:13">
      <c r="E159" s="195"/>
      <c r="H159" s="174"/>
      <c r="I159" s="174"/>
      <c r="J159" s="174"/>
      <c r="K159" s="174"/>
      <c r="L159" s="174"/>
      <c r="M159" s="174"/>
    </row>
    <row r="160" spans="5:13">
      <c r="E160" s="195"/>
      <c r="H160" s="174"/>
      <c r="I160" s="174"/>
      <c r="J160" s="174"/>
      <c r="K160" s="174"/>
      <c r="L160" s="174"/>
      <c r="M160" s="174"/>
    </row>
    <row r="161" spans="5:19">
      <c r="E161" s="195"/>
      <c r="H161" s="174"/>
      <c r="I161" s="174"/>
      <c r="J161" s="174"/>
      <c r="K161" s="174"/>
      <c r="L161" s="174"/>
      <c r="M161" s="174"/>
    </row>
    <row r="162" spans="5:19">
      <c r="E162" s="195"/>
      <c r="H162" s="174"/>
      <c r="I162" s="174"/>
      <c r="J162" s="174"/>
      <c r="K162" s="174"/>
      <c r="L162" s="174"/>
      <c r="M162" s="174"/>
    </row>
    <row r="163" spans="5:19">
      <c r="E163" s="195"/>
      <c r="F163" s="174"/>
      <c r="G163" s="174"/>
      <c r="H163" s="174"/>
      <c r="I163" s="174"/>
      <c r="J163" s="174"/>
      <c r="K163" s="174"/>
      <c r="L163" s="174"/>
      <c r="M163" s="174"/>
    </row>
    <row r="164" spans="5:19">
      <c r="E164" s="195"/>
      <c r="F164" s="174"/>
      <c r="G164" s="174"/>
      <c r="H164" s="174"/>
      <c r="I164" s="174"/>
      <c r="J164" s="174"/>
      <c r="K164" s="174"/>
      <c r="L164" s="174"/>
      <c r="M164" s="174"/>
    </row>
    <row r="165" spans="5:19">
      <c r="E165" s="195"/>
      <c r="F165" s="174"/>
      <c r="G165" s="174"/>
      <c r="H165" s="174"/>
      <c r="I165" s="174"/>
      <c r="J165" s="174"/>
      <c r="K165" s="174"/>
      <c r="L165" s="174"/>
      <c r="M165" s="174"/>
    </row>
    <row r="166" spans="5:19">
      <c r="E166" s="195"/>
      <c r="F166" s="174"/>
      <c r="G166" s="174"/>
      <c r="H166" s="174"/>
      <c r="I166" s="174"/>
      <c r="J166" s="174"/>
      <c r="K166" s="174"/>
      <c r="L166" s="174"/>
      <c r="M166" s="174"/>
    </row>
    <row r="167" spans="5:19">
      <c r="E167" s="195"/>
      <c r="F167" s="195"/>
      <c r="G167" s="195"/>
      <c r="H167" s="195"/>
      <c r="I167" s="195"/>
      <c r="J167" s="195"/>
      <c r="K167" s="195"/>
      <c r="L167" s="195"/>
      <c r="M167" s="195"/>
    </row>
    <row r="168" spans="5:19">
      <c r="E168" s="195"/>
    </row>
    <row r="169" spans="5:19">
      <c r="E169" s="195"/>
    </row>
    <row r="170" spans="5:19">
      <c r="E170" s="195"/>
    </row>
    <row r="171" spans="5:19" ht="14.4">
      <c r="E171" s="10"/>
      <c r="F171"/>
      <c r="G171"/>
      <c r="H171"/>
      <c r="I171"/>
      <c r="J171"/>
      <c r="K171"/>
      <c r="L171"/>
      <c r="M171"/>
      <c r="N171" s="10"/>
      <c r="O171" s="10"/>
      <c r="P171" s="10"/>
      <c r="Q171" s="10"/>
      <c r="R171" s="10"/>
      <c r="S171" s="10"/>
    </row>
    <row r="172" spans="5:19">
      <c r="E172" s="195"/>
    </row>
    <row r="173" spans="5:19" ht="14.4">
      <c r="E173" s="10"/>
      <c r="F173"/>
      <c r="G173"/>
      <c r="H173"/>
      <c r="I173"/>
      <c r="J173"/>
      <c r="K173"/>
      <c r="L173"/>
      <c r="M173"/>
      <c r="N173" s="10"/>
      <c r="O173" s="10"/>
      <c r="P173" s="10"/>
      <c r="Q173" s="10"/>
      <c r="R173" s="10"/>
      <c r="S173" s="10"/>
    </row>
    <row r="174" spans="5:19">
      <c r="E174" s="195"/>
    </row>
    <row r="175" spans="5:19" ht="14.4">
      <c r="E175" s="10"/>
      <c r="F175"/>
      <c r="G175"/>
      <c r="H175"/>
      <c r="I175"/>
      <c r="J175"/>
      <c r="K175"/>
      <c r="L175"/>
      <c r="M175"/>
      <c r="N175" s="10"/>
      <c r="O175" s="10"/>
      <c r="P175" s="10"/>
      <c r="Q175" s="10"/>
      <c r="R175" s="10"/>
      <c r="S175" s="10"/>
    </row>
    <row r="176" spans="5:19">
      <c r="E176" s="195"/>
    </row>
    <row r="177" spans="5:19" ht="14.4">
      <c r="E177" s="10"/>
      <c r="F177"/>
      <c r="G177"/>
      <c r="H177"/>
      <c r="I177"/>
      <c r="J177"/>
      <c r="K177"/>
      <c r="L177"/>
      <c r="M177"/>
      <c r="N177" s="10"/>
      <c r="O177" s="10"/>
      <c r="P177" s="10"/>
      <c r="Q177" s="10"/>
      <c r="R177" s="10"/>
      <c r="S177" s="10"/>
    </row>
    <row r="178" spans="5:19">
      <c r="E178" s="195"/>
    </row>
    <row r="179" spans="5:19">
      <c r="E179" s="195"/>
    </row>
    <row r="180" spans="5:19">
      <c r="E180" s="195"/>
    </row>
    <row r="225" ht="18.149999999999999" customHeight="1"/>
    <row r="226" ht="18.149999999999999" customHeight="1"/>
  </sheetData>
  <mergeCells count="23">
    <mergeCell ref="C2:H2"/>
    <mergeCell ref="D25:G25"/>
    <mergeCell ref="D15:F15"/>
    <mergeCell ref="D16:F16"/>
    <mergeCell ref="D10:F10"/>
    <mergeCell ref="D11:G11"/>
    <mergeCell ref="D17:F17"/>
    <mergeCell ref="D12:E12"/>
    <mergeCell ref="D13:E13"/>
    <mergeCell ref="D8:G8"/>
    <mergeCell ref="D3:H4"/>
    <mergeCell ref="G10:H10"/>
    <mergeCell ref="D14:F14"/>
    <mergeCell ref="G5:H5"/>
    <mergeCell ref="D94:F94"/>
    <mergeCell ref="G26:H26"/>
    <mergeCell ref="G28:H28"/>
    <mergeCell ref="D85:G85"/>
    <mergeCell ref="D86:G86"/>
    <mergeCell ref="F32:H32"/>
    <mergeCell ref="D84:G84"/>
    <mergeCell ref="D93:F93"/>
    <mergeCell ref="D87:G87"/>
  </mergeCells>
  <conditionalFormatting sqref="H23">
    <cfRule type="expression" dxfId="41" priority="90">
      <formula>AND(H16="Si",H11="Jubilación prolongada")</formula>
    </cfRule>
  </conditionalFormatting>
  <conditionalFormatting sqref="G20:H20">
    <cfRule type="expression" dxfId="40" priority="114">
      <formula>AND(G16="Si",G11="Jubilación prolongada")</formula>
    </cfRule>
  </conditionalFormatting>
  <conditionalFormatting sqref="G22:H22">
    <cfRule type="expression" dxfId="39" priority="115">
      <formula>AND(G16="Si",G11="Jubilación prolongada")</formula>
    </cfRule>
  </conditionalFormatting>
  <conditionalFormatting sqref="H14">
    <cfRule type="expression" dxfId="38" priority="69">
      <formula>+OR($G$10="Jubilación ordinaria",$G$10="Jubilación prolongada",AND($D$14="",$G$10="Jubilación anticipada"))</formula>
    </cfRule>
  </conditionalFormatting>
  <conditionalFormatting sqref="G22:H22">
    <cfRule type="expression" dxfId="37" priority="118">
      <formula>AND(G19="Si",G16="Jubilación prolongada")</formula>
    </cfRule>
  </conditionalFormatting>
  <conditionalFormatting sqref="F33">
    <cfRule type="expression" dxfId="36" priority="119">
      <formula>AND(G19="Si",G16="Jubilación prolongada")</formula>
    </cfRule>
  </conditionalFormatting>
  <conditionalFormatting sqref="D93">
    <cfRule type="expression" dxfId="35" priority="45">
      <formula>OR($G$10="Jubilación anticipada",$G$10="Jubilación prolongada")</formula>
    </cfRule>
  </conditionalFormatting>
  <conditionalFormatting sqref="H93">
    <cfRule type="expression" dxfId="34" priority="44">
      <formula>$G$10="Jubilación ordinaria"</formula>
    </cfRule>
  </conditionalFormatting>
  <conditionalFormatting sqref="H21">
    <cfRule type="expression" dxfId="33" priority="247">
      <formula>AND(#REF!="Si",#REF!="Jubilación prolongada")</formula>
    </cfRule>
  </conditionalFormatting>
  <conditionalFormatting sqref="G24:H24">
    <cfRule type="expression" dxfId="32" priority="248">
      <formula>AND(G17="Si",E99="Jubilación prolongada")</formula>
    </cfRule>
  </conditionalFormatting>
  <conditionalFormatting sqref="D17">
    <cfRule type="expression" dxfId="31" priority="249">
      <formula>+AND($G$10="Jubilación prolongada",OR($E$99="Si",$E$99="No"))</formula>
    </cfRule>
    <cfRule type="expression" dxfId="30" priority="250">
      <formula>AND(G16="Si",OR(G11="Jubilación ordinaria",G11="Jubilación anticipada"))</formula>
    </cfRule>
  </conditionalFormatting>
  <conditionalFormatting sqref="D16">
    <cfRule type="expression" dxfId="29" priority="251">
      <formula>+AND($G$10="Jubilación prolongada",OR($E$99="Si",$E$99="No"))</formula>
    </cfRule>
    <cfRule type="expression" dxfId="28" priority="252">
      <formula>AND(E99="Si",OR(G10="Jubilación ordinaria",G10="Jubilación anticipada"))</formula>
    </cfRule>
  </conditionalFormatting>
  <conditionalFormatting sqref="G16:H16">
    <cfRule type="expression" dxfId="27" priority="253">
      <formula>AND(E99="Si",OR(G10="Jubilación ordinaria",G10="Jubilación anticipada"))</formula>
    </cfRule>
  </conditionalFormatting>
  <conditionalFormatting sqref="G24:H24 H23">
    <cfRule type="expression" dxfId="26" priority="254">
      <formula>+AND($G$10="Jubilación prolongada",OR($E$99="No",$E$99="Si"))</formula>
    </cfRule>
    <cfRule type="expression" dxfId="25" priority="255">
      <formula>AND(G19="Si",G16="Jubilación prolongada")</formula>
    </cfRule>
  </conditionalFormatting>
  <conditionalFormatting sqref="G20:H20">
    <cfRule type="expression" dxfId="24" priority="256">
      <formula>+AND($G$10="Jubilación prolongada",OR($E$99="Si",$E$99="No"))</formula>
    </cfRule>
    <cfRule type="expression" dxfId="23" priority="257">
      <formula>AND(E99="Si",G10="Jubilación prolongada")</formula>
    </cfRule>
  </conditionalFormatting>
  <conditionalFormatting sqref="G19:H19">
    <cfRule type="expression" dxfId="22" priority="258">
      <formula>AND(E99="Si",G10="Jubilación prolongada")</formula>
    </cfRule>
  </conditionalFormatting>
  <conditionalFormatting sqref="G21:H21">
    <cfRule type="expression" dxfId="21" priority="259">
      <formula>AND(E99="Si",G10="Jubilación prolongada")</formula>
    </cfRule>
  </conditionalFormatting>
  <conditionalFormatting sqref="G22:H22">
    <cfRule type="expression" dxfId="20" priority="260">
      <formula>+AND($G$10="Jubilación prolongada",OR($E$99="Si",$E$99="No"))</formula>
    </cfRule>
    <cfRule type="expression" dxfId="19" priority="261">
      <formula>+AND($G$10="Jubilación prolongada",$E$99="Si")</formula>
    </cfRule>
  </conditionalFormatting>
  <conditionalFormatting sqref="G21:H21">
    <cfRule type="expression" dxfId="18" priority="262">
      <formula>AND(G18="Si",E99="Jubilación prolongada")</formula>
    </cfRule>
  </conditionalFormatting>
  <conditionalFormatting sqref="G17:H17">
    <cfRule type="expression" dxfId="17" priority="263">
      <formula>+AND($G$16&lt;$G$17,$E$99="Si")</formula>
    </cfRule>
  </conditionalFormatting>
  <conditionalFormatting sqref="E16:F16">
    <cfRule type="expression" dxfId="16" priority="264">
      <formula>+AND($G$10="Jubilación prolongada",OR($E$99="Si",$E$99="No"))</formula>
    </cfRule>
    <cfRule type="expression" dxfId="15" priority="265">
      <formula>AND(I15="Si",OR(I10="Jubilación ordinaria",I10="Jubilación anticipada"))</formula>
    </cfRule>
  </conditionalFormatting>
  <conditionalFormatting sqref="G21">
    <cfRule type="expression" dxfId="14" priority="266">
      <formula>AND(H14="Si",E99="Jubilación prolongada")</formula>
    </cfRule>
  </conditionalFormatting>
  <conditionalFormatting sqref="D94">
    <cfRule type="expression" dxfId="13" priority="6">
      <formula>OR($G$10="Jubilación anticipada",$G$10="Jubilación prolongada")</formula>
    </cfRule>
  </conditionalFormatting>
  <conditionalFormatting sqref="H94">
    <cfRule type="expression" dxfId="12" priority="5">
      <formula>$G$10="Jubilación ordinaria"</formula>
    </cfRule>
  </conditionalFormatting>
  <conditionalFormatting sqref="G23">
    <cfRule type="expression" dxfId="11" priority="1">
      <formula>AND(G17="Si",G12="Jubilación prolongada")</formula>
    </cfRule>
  </conditionalFormatting>
  <conditionalFormatting sqref="G23">
    <cfRule type="expression" dxfId="10" priority="2">
      <formula>AND(G20="Si",G17="Jubilación prolongada")</formula>
    </cfRule>
  </conditionalFormatting>
  <conditionalFormatting sqref="G23">
    <cfRule type="expression" dxfId="9" priority="3">
      <formula>+AND($G$10="Jubilación prolongada",OR($E$99="Si",$E$99="No"))</formula>
    </cfRule>
    <cfRule type="expression" dxfId="8" priority="4">
      <formula>+AND($G$10="Jubilación prolongada",$E$99="Si")</formula>
    </cfRule>
  </conditionalFormatting>
  <dataValidations count="4">
    <dataValidation type="list" allowBlank="1" showInputMessage="1" showErrorMessage="1" sqref="G10" xr:uid="{00000000-0002-0000-1000-000000000000}">
      <formula1>$D$56:$D$58</formula1>
    </dataValidation>
    <dataValidation type="list" allowBlank="1" showInputMessage="1" showErrorMessage="1" sqref="H13 H93" xr:uid="{00000000-0002-0000-1000-000001000000}">
      <formula1>$D$61:$D$73</formula1>
    </dataValidation>
    <dataValidation type="list" allowBlank="1" showInputMessage="1" showErrorMessage="1" sqref="H12" xr:uid="{00000000-0002-0000-1000-000002000000}">
      <formula1>IF($G$10="Jubilación prolongada",$D$61:$D$81,$E$62:$E$66)</formula1>
    </dataValidation>
    <dataValidation type="list" allowBlank="1" showInputMessage="1" showErrorMessage="1" sqref="H94" xr:uid="{18AAC894-C4B5-4E2F-A5E7-658E06A0A8F6}">
      <formula1>$I$94:$I$95</formula1>
    </dataValidation>
  </dataValidations>
  <pageMargins left="0.7" right="0.7" top="0.75" bottom="0.75" header="0.3" footer="0.3"/>
  <pageSetup paperSize="9" orientation="portrait" horizontalDpi="1200" verticalDpi="1200" r:id="rId1"/>
  <ignoredErrors>
    <ignoredError sqref="F29:G29" evalError="1"/>
  </ignoredError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U1239"/>
  <sheetViews>
    <sheetView zoomScaleNormal="100" workbookViewId="0">
      <pane ySplit="16" topLeftCell="A17" activePane="bottomLeft" state="frozen"/>
      <selection pane="bottomLeft" activeCell="F36" sqref="F36"/>
    </sheetView>
  </sheetViews>
  <sheetFormatPr defaultColWidth="8.6640625" defaultRowHeight="14.4"/>
  <cols>
    <col min="2" max="2" width="23" customWidth="1"/>
    <col min="3" max="3" width="14.6640625" customWidth="1"/>
    <col min="5" max="5" width="16.44140625" bestFit="1" customWidth="1"/>
    <col min="6" max="6" width="19.109375" bestFit="1" customWidth="1"/>
    <col min="7" max="7" width="18" bestFit="1" customWidth="1"/>
    <col min="8" max="8" width="13.44140625" bestFit="1" customWidth="1"/>
    <col min="9" max="9" width="18.88671875" bestFit="1" customWidth="1"/>
    <col min="10" max="10" width="18.88671875" customWidth="1"/>
    <col min="11" max="12" width="17.88671875" customWidth="1"/>
    <col min="13" max="13" width="15.6640625" bestFit="1" customWidth="1"/>
    <col min="14" max="14" width="19.44140625" bestFit="1" customWidth="1"/>
    <col min="15" max="15" width="18.33203125" customWidth="1"/>
    <col min="16" max="16" width="13.44140625" customWidth="1"/>
    <col min="17" max="17" width="14.44140625" customWidth="1"/>
    <col min="18" max="18" width="14.6640625" customWidth="1"/>
  </cols>
  <sheetData>
    <row r="1" spans="1:21" ht="15" thickBot="1">
      <c r="B1" s="70"/>
      <c r="C1" s="71"/>
      <c r="D1" s="72"/>
      <c r="E1" s="72"/>
      <c r="F1" s="73"/>
      <c r="G1" s="73"/>
      <c r="H1" s="74"/>
      <c r="I1" s="75"/>
      <c r="J1" s="75"/>
      <c r="K1" s="76"/>
      <c r="L1" s="76"/>
      <c r="M1" s="77"/>
      <c r="N1" s="77"/>
      <c r="O1" s="78"/>
      <c r="P1" s="78"/>
      <c r="Q1" s="79"/>
      <c r="R1" s="75"/>
      <c r="S1" s="74"/>
      <c r="T1" s="77"/>
      <c r="U1" s="74"/>
    </row>
    <row r="2" spans="1:21" ht="15" thickBot="1">
      <c r="B2" s="942" t="s">
        <v>127</v>
      </c>
      <c r="C2" s="943"/>
      <c r="D2" s="72"/>
      <c r="H2" s="74"/>
      <c r="I2" s="75"/>
      <c r="J2" s="75"/>
      <c r="K2" s="76"/>
      <c r="L2" s="76"/>
      <c r="S2" s="74"/>
      <c r="T2" s="77"/>
      <c r="U2" s="74"/>
    </row>
    <row r="3" spans="1:21" ht="15" thickBot="1">
      <c r="B3" s="80" t="s">
        <v>128</v>
      </c>
      <c r="C3" s="81">
        <f>PJSS!$B$6</f>
        <v>28309</v>
      </c>
      <c r="D3" s="72"/>
      <c r="H3" s="74"/>
      <c r="I3" s="75"/>
      <c r="J3" s="75"/>
      <c r="K3" s="76"/>
      <c r="L3" s="76"/>
      <c r="S3" s="74"/>
      <c r="T3" s="77"/>
      <c r="U3" s="74"/>
    </row>
    <row r="4" spans="1:21" ht="15" thickBot="1">
      <c r="B4" s="80" t="s">
        <v>129</v>
      </c>
      <c r="C4" s="82" t="str">
        <f>PJSS!$B$11</f>
        <v>Hombre</v>
      </c>
      <c r="D4" s="72"/>
      <c r="E4" s="942" t="s">
        <v>130</v>
      </c>
      <c r="F4" s="944"/>
      <c r="G4" s="83"/>
      <c r="H4" s="84" t="s">
        <v>131</v>
      </c>
      <c r="I4" s="75"/>
      <c r="J4" s="75"/>
      <c r="K4" s="76"/>
      <c r="L4" s="76"/>
      <c r="S4" s="74"/>
      <c r="T4" s="77"/>
      <c r="U4" s="74"/>
    </row>
    <row r="5" spans="1:21">
      <c r="B5" s="80" t="s">
        <v>132</v>
      </c>
      <c r="C5" s="85">
        <f ca="1">'Simulador - 1º Pilar'!G19</f>
        <v>67</v>
      </c>
      <c r="D5" s="72"/>
      <c r="E5" s="86" t="s">
        <v>133</v>
      </c>
      <c r="F5" s="87">
        <f ca="1">+SUMIF(I17:I1216,"&gt;0",I17:I1216)</f>
        <v>20.848710719902662</v>
      </c>
      <c r="G5" s="87"/>
      <c r="H5" s="87">
        <f ca="1">+SUMIF(J17:J1216,"&gt;0",J17:J1216)</f>
        <v>20.830884419587207</v>
      </c>
      <c r="I5" s="75"/>
      <c r="J5" s="78"/>
      <c r="K5" s="76"/>
      <c r="L5" s="76"/>
      <c r="S5" s="74"/>
      <c r="T5" s="77"/>
      <c r="U5" s="74"/>
    </row>
    <row r="6" spans="1:21">
      <c r="B6" s="80" t="s">
        <v>135</v>
      </c>
      <c r="C6" s="81">
        <f ca="1">'Simulador - 1º Pilar'!G20</f>
        <v>52781</v>
      </c>
      <c r="D6" s="72"/>
      <c r="H6" s="74"/>
      <c r="I6" s="75"/>
      <c r="J6" s="75"/>
      <c r="K6" s="76"/>
      <c r="L6" s="76"/>
      <c r="N6" s="868" t="s">
        <v>168</v>
      </c>
      <c r="O6" s="868"/>
      <c r="S6" s="74"/>
      <c r="T6" s="77"/>
      <c r="U6" s="74"/>
    </row>
    <row r="7" spans="1:21">
      <c r="A7" s="72"/>
      <c r="B7" s="80" t="s">
        <v>136</v>
      </c>
      <c r="C7" s="120">
        <f>Hipótesis!E17</f>
        <v>1.4999999999999999E-2</v>
      </c>
      <c r="D7" s="121">
        <f>C7</f>
        <v>1.4999999999999999E-2</v>
      </c>
      <c r="E7" t="s">
        <v>137</v>
      </c>
      <c r="H7" s="72"/>
      <c r="I7" s="75"/>
      <c r="J7" s="75"/>
      <c r="K7" s="76"/>
      <c r="L7" s="76"/>
      <c r="N7" s="4" t="s">
        <v>169</v>
      </c>
      <c r="O7" s="131">
        <f ca="1">PJSS!I10/'Aportaciones PPE'!$G$7</f>
        <v>0.11853185916992608</v>
      </c>
      <c r="S7" s="74"/>
      <c r="T7" s="77"/>
      <c r="U7" s="74"/>
    </row>
    <row r="8" spans="1:21">
      <c r="A8" s="72"/>
      <c r="B8" s="80" t="s">
        <v>174</v>
      </c>
      <c r="C8" s="88">
        <v>1</v>
      </c>
      <c r="D8" s="72"/>
      <c r="E8" s="72"/>
      <c r="F8" s="72"/>
      <c r="G8" s="72"/>
      <c r="H8" s="72"/>
      <c r="I8" s="75"/>
      <c r="J8" s="75"/>
      <c r="K8" s="76"/>
      <c r="L8" s="76"/>
      <c r="N8" s="4" t="s">
        <v>170</v>
      </c>
      <c r="O8" s="132" t="e">
        <f ca="1">('Aportaciones PPE'!#REF!/'Renta Vitalicia'!F5)/'Aportaciones PPE'!$G$7</f>
        <v>#REF!</v>
      </c>
      <c r="S8" s="74"/>
      <c r="T8" s="77"/>
      <c r="U8" s="74"/>
    </row>
    <row r="9" spans="1:21">
      <c r="B9" s="80" t="s">
        <v>138</v>
      </c>
      <c r="C9" s="89">
        <v>0</v>
      </c>
      <c r="D9" s="72"/>
      <c r="E9" s="90"/>
      <c r="F9" s="73"/>
      <c r="G9" s="73"/>
      <c r="H9" s="72"/>
      <c r="I9" s="75"/>
      <c r="J9" s="75"/>
      <c r="K9" s="76"/>
      <c r="L9" s="76"/>
      <c r="N9" s="4" t="s">
        <v>172</v>
      </c>
      <c r="O9" s="131" t="e">
        <f ca="1">MAX(1-O8-O7,0)</f>
        <v>#REF!</v>
      </c>
      <c r="S9" s="74"/>
      <c r="T9" s="77"/>
      <c r="U9" s="74"/>
    </row>
    <row r="10" spans="1:21">
      <c r="B10" s="80" t="s">
        <v>139</v>
      </c>
      <c r="C10" s="81"/>
      <c r="D10" s="72"/>
      <c r="E10" s="90"/>
      <c r="F10" s="73"/>
      <c r="G10" s="73"/>
      <c r="H10" s="72"/>
      <c r="I10" s="75"/>
      <c r="J10" s="75"/>
      <c r="K10" s="76"/>
      <c r="L10" s="76"/>
      <c r="S10" s="74"/>
      <c r="T10" s="77"/>
      <c r="U10" s="74"/>
    </row>
    <row r="11" spans="1:21">
      <c r="B11" s="80" t="s">
        <v>140</v>
      </c>
      <c r="C11" s="81">
        <f ca="1">DATE(YEAR(C3)+2*C5,MONTH(C3),DAY(31))</f>
        <v>77279</v>
      </c>
      <c r="D11" s="72"/>
      <c r="E11" s="91"/>
      <c r="F11" s="73"/>
      <c r="G11" s="73"/>
      <c r="H11" s="72"/>
      <c r="I11" s="75"/>
      <c r="J11" s="75"/>
      <c r="K11" s="76"/>
      <c r="L11" s="76"/>
      <c r="S11" s="74"/>
      <c r="T11" s="77"/>
      <c r="U11" s="74"/>
    </row>
    <row r="12" spans="1:21">
      <c r="D12" s="78"/>
      <c r="E12" s="92"/>
      <c r="F12" s="73"/>
      <c r="G12" s="73"/>
      <c r="H12" s="74"/>
      <c r="I12" s="75"/>
      <c r="J12" s="75"/>
      <c r="K12" s="76"/>
      <c r="L12" s="76"/>
      <c r="S12" s="74"/>
      <c r="T12" s="77"/>
      <c r="U12" s="74"/>
    </row>
    <row r="13" spans="1:21">
      <c r="B13" s="93"/>
      <c r="C13" s="94"/>
      <c r="D13" s="72"/>
      <c r="E13" s="90"/>
      <c r="F13" s="73"/>
      <c r="G13" s="73"/>
      <c r="H13" s="74"/>
      <c r="I13" s="75"/>
      <c r="J13" s="75"/>
      <c r="K13" s="76"/>
      <c r="L13" s="76"/>
      <c r="S13" s="74"/>
      <c r="T13" s="77"/>
      <c r="U13" s="74"/>
    </row>
    <row r="14" spans="1:21">
      <c r="B14" s="70"/>
      <c r="C14" s="71"/>
      <c r="D14" s="72"/>
      <c r="E14" s="72"/>
      <c r="F14" s="73"/>
      <c r="G14" s="95" t="s">
        <v>141</v>
      </c>
      <c r="H14" s="74"/>
      <c r="I14" s="75"/>
      <c r="J14" s="75"/>
      <c r="K14" s="76"/>
      <c r="L14" s="76"/>
      <c r="U14" s="74"/>
    </row>
    <row r="15" spans="1:21">
      <c r="B15" s="96"/>
      <c r="C15" s="71"/>
      <c r="D15" s="72"/>
      <c r="E15" s="73"/>
      <c r="F15" s="74"/>
      <c r="G15" s="97">
        <f ca="1">IF(C4="Hombre",(VLOOKUP(INT($C$5)+1,Tablas!$G$9:$K$124,5,0)*($C$5-INT($C$5))+VLOOKUP(INT($C$5),Tablas!$G$9:$K$124,5,0)*(INT($C$5)+1-$C$5)),(VLOOKUP(INT($C$5)+1,Tablas!$G$9:$O$124,9,0)*($C$5-INT($C$5))+VLOOKUP(INT($C$5),Tablas!$G$9:$O$124,9,0)*(INT($C$5)+1-$C$5)))</f>
        <v>923317.86130968656</v>
      </c>
      <c r="H15" s="75"/>
      <c r="K15" s="77"/>
      <c r="L15" s="77"/>
    </row>
    <row r="16" spans="1:21">
      <c r="B16" s="98" t="s">
        <v>142</v>
      </c>
      <c r="C16" s="98" t="s">
        <v>143</v>
      </c>
      <c r="D16" s="99" t="s">
        <v>134</v>
      </c>
      <c r="E16" s="98" t="s">
        <v>144</v>
      </c>
      <c r="F16" s="98" t="s">
        <v>145</v>
      </c>
      <c r="G16" s="98" t="s">
        <v>146</v>
      </c>
      <c r="H16" s="98" t="s">
        <v>147</v>
      </c>
      <c r="I16" s="98" t="s">
        <v>148</v>
      </c>
      <c r="J16" s="100" t="s">
        <v>131</v>
      </c>
      <c r="K16" s="100" t="s">
        <v>149</v>
      </c>
      <c r="L16" s="77"/>
    </row>
    <row r="17" spans="2:12">
      <c r="B17" s="101">
        <f ca="1">+C6</f>
        <v>52781</v>
      </c>
      <c r="C17" s="101">
        <f ca="1">+B18-1</f>
        <v>52811</v>
      </c>
      <c r="D17" s="102">
        <f ca="1">-_xlfn.DAYS($C$3,C17)/365.25</f>
        <v>67.082819986310753</v>
      </c>
      <c r="E17" s="103">
        <f ca="1">IF($D$17+40&lt;=D17,(1+$D$7)^-(D17-$C$5),(1+$C$7)^-(D17-$C$5))</f>
        <v>0.99876768524128856</v>
      </c>
      <c r="F17" s="104">
        <f ca="1">IF($C$4="Hombre",(+VLOOKUP(INT(D17)+1,Tablas!$G$9:$K$1240,5,0)*(D17-INT(D17))+VLOOKUP(INT(D17),Tablas!$G$9:$K$1240,5,0)*(INT(D17)+1-D17))/(VLOOKUP(INT($C$5)+1,Tablas!$G$9:$K$1240,5,0)*($C$5-INT($C$5))+VLOOKUP(INT($C$5),Tablas!$G$9:$K$124,5,0)*(INT($C$5)+1-$C$5)),(+VLOOKUP(INT(D17)+1,Tablas!$G$9:$O$1240,9,0)*(D17-INT(D17))+VLOOKUP(INT(D17),Tablas!$G$9:$O$1240,9,0)*(INT(D17)+1-D17))/(VLOOKUP(INT($C$5)+1,Tablas!$G$9:$O$1240,9,0)*($C$5-INT($C$5))+VLOOKUP(INT($C$5),Tablas!$G$9:$O$124,9,0)*(INT($C$5)+1-$C$5)))</f>
        <v>0.99962369856939526</v>
      </c>
      <c r="G17" s="97">
        <f ca="1">IF($C$4="Hombre",(+VLOOKUP(INT(D17)+1,Tablas!$G$9:$K$1240,5,0)*(D17-INT(D17))+VLOOKUP(INT(D17),Tablas!$G$9:$K$1240,5,0)*(INT(D17)+1-D17)),+VLOOKUP(INT(D17)+1,Tablas!$G$9:$O$1240,9,0)*(D17-INT(D17))+VLOOKUP(INT(D17),Tablas!$G$9:$O$1240,9,0)*(INT(D17)+1-D17))</f>
        <v>922970.41547757282</v>
      </c>
      <c r="H17" s="105">
        <v>1</v>
      </c>
      <c r="I17" s="106">
        <f ca="1">IF(B17&lt;$C$10,0,IF(B17&lt;$C$11,$C$8/12*E17*F17*H17,0))</f>
        <v>8.3199320627707532E-2</v>
      </c>
      <c r="J17" s="106">
        <f ca="1">I17*12/14+IF(OR(MONTH(C17)=6,MONTH(C17)=12),I17*12/14,0)</f>
        <v>7.1313703395177883E-2</v>
      </c>
      <c r="K17" s="105">
        <f ca="1">G17/$G$15</f>
        <v>0.99962369856939526</v>
      </c>
      <c r="L17" s="75"/>
    </row>
    <row r="18" spans="2:12">
      <c r="B18" s="101">
        <f ca="1">+DATE(YEAR(B17),MONTH(B17)+1,DAY(B17))</f>
        <v>52812</v>
      </c>
      <c r="C18" s="101">
        <f ca="1">+B19-1</f>
        <v>52842</v>
      </c>
      <c r="D18" s="102">
        <f t="shared" ref="D18:D81" ca="1" si="0">-_xlfn.DAYS($C$3,C18)/365.25</f>
        <v>67.167693360711837</v>
      </c>
      <c r="E18" s="103">
        <f t="shared" ref="E18:E81" ca="1" si="1">IF($D$17+40&lt;=D18,(1+$D$7)^-(D18-$C$5),(1+$C$7)^-(D18-$C$5))</f>
        <v>0.99750639275130815</v>
      </c>
      <c r="F18" s="104">
        <f ca="1">IF($C$4="Hombre",(+VLOOKUP(INT(D18)+1,Tablas!$G$9:$K$1240,5,0)*(D18-INT(D18))+VLOOKUP(INT(D18),Tablas!$G$9:$K$1240,5,0)*(INT(D18)+1-D18))/(VLOOKUP(INT($C$5)+1,Tablas!$G$9:$K$1240,5,0)*($C$5-INT($C$5))+VLOOKUP(INT($C$5),Tablas!$G$9:$K$124,5,0)*(INT($C$5)+1-$C$5)),(+VLOOKUP(INT(D18)+1,Tablas!$G$9:$O$1240,9,0)*(D18-INT(D18))+VLOOKUP(INT(D18),Tablas!$G$9:$O$1240,9,0)*(INT(D18)+1-D18))/(VLOOKUP(INT($C$5)+1,Tablas!$G$9:$O$1240,9,0)*($C$5-INT($C$5))+VLOOKUP(INT($C$5),Tablas!$G$9:$O$124,9,0)*(INT($C$5)+1-$C$5)))</f>
        <v>0.99923806735125509</v>
      </c>
      <c r="G18" s="97">
        <f ca="1">IF($C$4="Hombre",(+VLOOKUP(INT(D18)+1,Tablas!$G$9:$K$1240,5,0)*(D18-INT(D18))+VLOOKUP(INT(D18),Tablas!$G$9:$K$1240,5,0)*(INT(D18)+1-D18)),+VLOOKUP(INT(D18)+1,Tablas!$G$9:$O$1240,9,0)*(D18-INT(D18))+VLOOKUP(INT(D18),Tablas!$G$9:$O$1240,9,0)*(INT(D18)+1-D18))</f>
        <v>922614.3552859854</v>
      </c>
      <c r="H18" s="105">
        <f ca="1">+IF(MONTH(B18)=1,H17*(1+$C$9),H17)</f>
        <v>1</v>
      </c>
      <c r="I18" s="106">
        <f t="shared" ref="I18:I81" ca="1" si="2">IF(B18&lt;$C$10,0,IF(B18&lt;$C$11,$C$8/12*E18*F18*H18,0))</f>
        <v>8.3062196671944921E-2</v>
      </c>
      <c r="J18" s="106">
        <f ca="1">I18*12/14+IF(OR(MONTH(C18)=6,MONTH(C18)=12),I18*12/14,0)</f>
        <v>7.119616857595279E-2</v>
      </c>
      <c r="K18" s="105">
        <f t="shared" ref="K18:K81" ca="1" si="3">G18/$G$15</f>
        <v>0.99923806735125509</v>
      </c>
      <c r="L18" s="75"/>
    </row>
    <row r="19" spans="2:12">
      <c r="B19" s="101">
        <f t="shared" ref="B19:B82" ca="1" si="4">+DATE(YEAR(B18),MONTH(B18)+1,DAY(B18))</f>
        <v>52843</v>
      </c>
      <c r="C19" s="101">
        <f t="shared" ref="C19:C82" ca="1" si="5">+B20-1</f>
        <v>52872</v>
      </c>
      <c r="D19" s="102">
        <f t="shared" ca="1" si="0"/>
        <v>67.249828884325808</v>
      </c>
      <c r="E19" s="103">
        <f t="shared" ca="1" si="1"/>
        <v>0.99628730371476482</v>
      </c>
      <c r="F19" s="104">
        <f ca="1">IF($C$4="Hombre",(+VLOOKUP(INT(D19)+1,Tablas!$G$9:$K$1240,5,0)*(D19-INT(D19))+VLOOKUP(INT(D19),Tablas!$G$9:$K$1240,5,0)*(INT(D19)+1-D19))/(VLOOKUP(INT($C$5)+1,Tablas!$G$9:$K$1240,5,0)*($C$5-INT($C$5))+VLOOKUP(INT($C$5),Tablas!$G$9:$K$124,5,0)*(INT($C$5)+1-$C$5)),(+VLOOKUP(INT(D19)+1,Tablas!$G$9:$O$1240,9,0)*(D19-INT(D19))+VLOOKUP(INT(D19),Tablas!$G$9:$O$1240,9,0)*(INT(D19)+1-D19))/(VLOOKUP(INT($C$5)+1,Tablas!$G$9:$O$1240,9,0)*($C$5-INT($C$5))+VLOOKUP(INT($C$5),Tablas!$G$9:$O$124,9,0)*(INT($C$5)+1-$C$5)))</f>
        <v>0.99886487584982908</v>
      </c>
      <c r="G19" s="97">
        <f ca="1">IF($C$4="Hombre",(+VLOOKUP(INT(D19)+1,Tablas!$G$9:$K$1240,5,0)*(D19-INT(D19))+VLOOKUP(INT(D19),Tablas!$G$9:$K$1240,5,0)*(INT(D19)+1-D19)),+VLOOKUP(INT(D19)+1,Tablas!$G$9:$O$1240,9,0)*(D19-INT(D19))+VLOOKUP(INT(D19),Tablas!$G$9:$O$1240,9,0)*(INT(D19)+1-D19))</f>
        <v>922269.78090702975</v>
      </c>
      <c r="H19" s="105">
        <f ca="1">+IF(MONTH(B19)=1,H18*(1+$C$9),H18)</f>
        <v>1</v>
      </c>
      <c r="I19" s="106">
        <f t="shared" ca="1" si="2"/>
        <v>8.2929699494650788E-2</v>
      </c>
      <c r="J19" s="106">
        <f t="shared" ref="J19:J82" ca="1" si="6">I19*12/14+IF(OR(MONTH(C19)=6,MONTH(C19)=12),I19*12/14,0)</f>
        <v>7.1082599566843527E-2</v>
      </c>
      <c r="K19" s="105">
        <f t="shared" ca="1" si="3"/>
        <v>0.99886487584982908</v>
      </c>
      <c r="L19" s="75"/>
    </row>
    <row r="20" spans="2:12">
      <c r="B20" s="101">
        <f t="shared" ca="1" si="4"/>
        <v>52873</v>
      </c>
      <c r="C20" s="101">
        <f t="shared" ca="1" si="5"/>
        <v>52903</v>
      </c>
      <c r="D20" s="102">
        <f t="shared" ca="1" si="0"/>
        <v>67.334702258726892</v>
      </c>
      <c r="E20" s="103">
        <f t="shared" ca="1" si="1"/>
        <v>0.99502914357141337</v>
      </c>
      <c r="F20" s="104">
        <f ca="1">IF($C$4="Hombre",(+VLOOKUP(INT(D20)+1,Tablas!$G$9:$K$1240,5,0)*(D20-INT(D20))+VLOOKUP(INT(D20),Tablas!$G$9:$K$1240,5,0)*(INT(D20)+1-D20))/(VLOOKUP(INT($C$5)+1,Tablas!$G$9:$K$1240,5,0)*($C$5-INT($C$5))+VLOOKUP(INT($C$5),Tablas!$G$9:$K$124,5,0)*(INT($C$5)+1-$C$5)),(+VLOOKUP(INT(D20)+1,Tablas!$G$9:$O$1240,9,0)*(D20-INT(D20))+VLOOKUP(INT(D20),Tablas!$G$9:$O$1240,9,0)*(INT(D20)+1-D20))/(VLOOKUP(INT($C$5)+1,Tablas!$G$9:$O$1240,9,0)*($C$5-INT($C$5))+VLOOKUP(INT($C$5),Tablas!$G$9:$O$124,9,0)*(INT($C$5)+1-$C$5)))</f>
        <v>0.9984792446316888</v>
      </c>
      <c r="G20" s="97">
        <f ca="1">IF($C$4="Hombre",(+VLOOKUP(INT(D20)+1,Tablas!$G$9:$K$1240,5,0)*(D20-INT(D20))+VLOOKUP(INT(D20),Tablas!$G$9:$K$1240,5,0)*(INT(D20)+1-D20)),+VLOOKUP(INT(D20)+1,Tablas!$G$9:$O$1240,9,0)*(D20-INT(D20))+VLOOKUP(INT(D20),Tablas!$G$9:$O$1240,9,0)*(INT(D20)+1-D20))</f>
        <v>921913.72071544221</v>
      </c>
      <c r="H20" s="105">
        <f ca="1">+IF(MONTH(B20)=1,H19*(1+$C$9),H19)</f>
        <v>1</v>
      </c>
      <c r="I20" s="106">
        <f t="shared" ca="1" si="2"/>
        <v>8.2792995638308414E-2</v>
      </c>
      <c r="J20" s="106">
        <f t="shared" ca="1" si="6"/>
        <v>7.0965424832835786E-2</v>
      </c>
      <c r="K20" s="105">
        <f t="shared" ca="1" si="3"/>
        <v>0.9984792446316888</v>
      </c>
      <c r="L20" s="75"/>
    </row>
    <row r="21" spans="2:12">
      <c r="B21" s="101">
        <f t="shared" ca="1" si="4"/>
        <v>52904</v>
      </c>
      <c r="C21" s="101">
        <f t="shared" ca="1" si="5"/>
        <v>52933</v>
      </c>
      <c r="D21" s="102">
        <f t="shared" ca="1" si="0"/>
        <v>67.416837782340863</v>
      </c>
      <c r="E21" s="103">
        <f t="shared" ca="1" si="1"/>
        <v>0.99381308207167351</v>
      </c>
      <c r="F21" s="104">
        <f ca="1">IF($C$4="Hombre",(+VLOOKUP(INT(D21)+1,Tablas!$G$9:$K$1240,5,0)*(D21-INT(D21))+VLOOKUP(INT(D21),Tablas!$G$9:$K$1240,5,0)*(INT(D21)+1-D21))/(VLOOKUP(INT($C$5)+1,Tablas!$G$9:$K$1240,5,0)*($C$5-INT($C$5))+VLOOKUP(INT($C$5),Tablas!$G$9:$K$124,5,0)*(INT($C$5)+1-$C$5)),(+VLOOKUP(INT(D21)+1,Tablas!$G$9:$O$1240,9,0)*(D21-INT(D21))+VLOOKUP(INT(D21),Tablas!$G$9:$O$1240,9,0)*(INT(D21)+1-D21))/(VLOOKUP(INT($C$5)+1,Tablas!$G$9:$O$1240,9,0)*($C$5-INT($C$5))+VLOOKUP(INT($C$5),Tablas!$G$9:$O$124,9,0)*(INT($C$5)+1-$C$5)))</f>
        <v>0.99810605313026268</v>
      </c>
      <c r="G21" s="97">
        <f ca="1">IF($C$4="Hombre",(+VLOOKUP(INT(D21)+1,Tablas!$G$9:$K$1240,5,0)*(D21-INT(D21))+VLOOKUP(INT(D21),Tablas!$G$9:$K$1240,5,0)*(INT(D21)+1-D21)),+VLOOKUP(INT(D21)+1,Tablas!$G$9:$O$1240,9,0)*(D21-INT(D21))+VLOOKUP(INT(D21),Tablas!$G$9:$O$1240,9,0)*(INT(D21)+1-D21))</f>
        <v>921569.14633648656</v>
      </c>
      <c r="H21" s="105">
        <f t="shared" ref="H21:H81" ca="1" si="7">+IF(MONTH(B21)=1,H20*(1+$C$9),H20)</f>
        <v>1</v>
      </c>
      <c r="I21" s="106">
        <f t="shared" ca="1" si="2"/>
        <v>8.2660904407981642E-2</v>
      </c>
      <c r="J21" s="106">
        <f t="shared" ca="1" si="6"/>
        <v>0.14170440755653996</v>
      </c>
      <c r="K21" s="105">
        <f t="shared" ca="1" si="3"/>
        <v>0.99810605313026268</v>
      </c>
      <c r="L21" s="75"/>
    </row>
    <row r="22" spans="2:12">
      <c r="B22" s="101">
        <f t="shared" ca="1" si="4"/>
        <v>52934</v>
      </c>
      <c r="C22" s="101">
        <f t="shared" ca="1" si="5"/>
        <v>52964</v>
      </c>
      <c r="D22" s="102">
        <f t="shared" ca="1" si="0"/>
        <v>67.501711156741962</v>
      </c>
      <c r="E22" s="103">
        <f t="shared" ca="1" si="1"/>
        <v>0.99255804649594936</v>
      </c>
      <c r="F22" s="104">
        <f ca="1">IF($C$4="Hombre",(+VLOOKUP(INT(D22)+1,Tablas!$G$9:$K$1240,5,0)*(D22-INT(D22))+VLOOKUP(INT(D22),Tablas!$G$9:$K$1240,5,0)*(INT(D22)+1-D22))/(VLOOKUP(INT($C$5)+1,Tablas!$G$9:$K$1240,5,0)*($C$5-INT($C$5))+VLOOKUP(INT($C$5),Tablas!$G$9:$K$124,5,0)*(INT($C$5)+1-$C$5)),(+VLOOKUP(INT(D22)+1,Tablas!$G$9:$O$1240,9,0)*(D22-INT(D22))+VLOOKUP(INT(D22),Tablas!$G$9:$O$1240,9,0)*(INT(D22)+1-D22))/(VLOOKUP(INT($C$5)+1,Tablas!$G$9:$O$1240,9,0)*($C$5-INT($C$5))+VLOOKUP(INT($C$5),Tablas!$G$9:$O$124,9,0)*(INT($C$5)+1-$C$5)))</f>
        <v>0.9977204219121224</v>
      </c>
      <c r="G22" s="97">
        <f ca="1">IF($C$4="Hombre",(+VLOOKUP(INT(D22)+1,Tablas!$G$9:$K$1240,5,0)*(D22-INT(D22))+VLOOKUP(INT(D22),Tablas!$G$9:$K$1240,5,0)*(INT(D22)+1-D22)),+VLOOKUP(INT(D22)+1,Tablas!$G$9:$O$1240,9,0)*(D22-INT(D22))+VLOOKUP(INT(D22),Tablas!$G$9:$O$1240,9,0)*(INT(D22)+1-D22))</f>
        <v>921213.08614489902</v>
      </c>
      <c r="H22" s="105">
        <f t="shared" ca="1" si="7"/>
        <v>1</v>
      </c>
      <c r="I22" s="106">
        <f t="shared" ca="1" si="2"/>
        <v>8.2524619410184213E-2</v>
      </c>
      <c r="J22" s="106">
        <f t="shared" ca="1" si="6"/>
        <v>7.0735388065872179E-2</v>
      </c>
      <c r="K22" s="105">
        <f t="shared" ca="1" si="3"/>
        <v>0.9977204219121224</v>
      </c>
      <c r="L22" s="75"/>
    </row>
    <row r="23" spans="2:12">
      <c r="B23" s="101">
        <f t="shared" ca="1" si="4"/>
        <v>52965</v>
      </c>
      <c r="C23" s="101">
        <f t="shared" ca="1" si="5"/>
        <v>52995</v>
      </c>
      <c r="D23" s="102">
        <f t="shared" ca="1" si="0"/>
        <v>67.586584531143046</v>
      </c>
      <c r="E23" s="103">
        <f t="shared" ca="1" si="1"/>
        <v>0.99130459584029251</v>
      </c>
      <c r="F23" s="104">
        <f ca="1">IF($C$4="Hombre",(+VLOOKUP(INT(D23)+1,Tablas!$G$9:$K$1240,5,0)*(D23-INT(D23))+VLOOKUP(INT(D23),Tablas!$G$9:$K$1240,5,0)*(INT(D23)+1-D23))/(VLOOKUP(INT($C$5)+1,Tablas!$G$9:$K$1240,5,0)*($C$5-INT($C$5))+VLOOKUP(INT($C$5),Tablas!$G$9:$K$124,5,0)*(INT($C$5)+1-$C$5)),(+VLOOKUP(INT(D23)+1,Tablas!$G$9:$O$1240,9,0)*(D23-INT(D23))+VLOOKUP(INT(D23),Tablas!$G$9:$O$1240,9,0)*(INT(D23)+1-D23))/(VLOOKUP(INT($C$5)+1,Tablas!$G$9:$O$1240,9,0)*($C$5-INT($C$5))+VLOOKUP(INT($C$5),Tablas!$G$9:$O$124,9,0)*(INT($C$5)+1-$C$5)))</f>
        <v>0.99733479069398212</v>
      </c>
      <c r="G23" s="97">
        <f ca="1">IF($C$4="Hombre",(+VLOOKUP(INT(D23)+1,Tablas!$G$9:$K$1240,5,0)*(D23-INT(D23))+VLOOKUP(INT(D23),Tablas!$G$9:$K$1240,5,0)*(INT(D23)+1-D23)),+VLOOKUP(INT(D23)+1,Tablas!$G$9:$O$1240,9,0)*(D23-INT(D23))+VLOOKUP(INT(D23),Tablas!$G$9:$O$1240,9,0)*(INT(D23)+1-D23))</f>
        <v>920857.02595331147</v>
      </c>
      <c r="H23" s="105">
        <f t="shared" ca="1" si="7"/>
        <v>1</v>
      </c>
      <c r="I23" s="106">
        <f t="shared" ca="1" si="2"/>
        <v>8.2388546800530052E-2</v>
      </c>
      <c r="J23" s="106">
        <f t="shared" ca="1" si="6"/>
        <v>7.0618754400454328E-2</v>
      </c>
      <c r="K23" s="105">
        <f t="shared" ca="1" si="3"/>
        <v>0.99733479069398212</v>
      </c>
      <c r="L23" s="75"/>
    </row>
    <row r="24" spans="2:12">
      <c r="B24" s="101">
        <f t="shared" ca="1" si="4"/>
        <v>52996</v>
      </c>
      <c r="C24" s="101">
        <f t="shared" ca="1" si="5"/>
        <v>53023</v>
      </c>
      <c r="D24" s="102">
        <f t="shared" ca="1" si="0"/>
        <v>67.663244353182748</v>
      </c>
      <c r="E24" s="103">
        <f t="shared" ca="1" si="1"/>
        <v>0.99017380746869588</v>
      </c>
      <c r="F24" s="104">
        <f ca="1">IF($C$4="Hombre",(+VLOOKUP(INT(D24)+1,Tablas!$G$9:$K$1240,5,0)*(D24-INT(D24))+VLOOKUP(INT(D24),Tablas!$G$9:$K$1240,5,0)*(INT(D24)+1-D24))/(VLOOKUP(INT($C$5)+1,Tablas!$G$9:$K$1240,5,0)*($C$5-INT($C$5))+VLOOKUP(INT($C$5),Tablas!$G$9:$K$124,5,0)*(INT($C$5)+1-$C$5)),(+VLOOKUP(INT(D24)+1,Tablas!$G$9:$O$1240,9,0)*(D24-INT(D24))+VLOOKUP(INT(D24),Tablas!$G$9:$O$1240,9,0)*(INT(D24)+1-D24))/(VLOOKUP(INT($C$5)+1,Tablas!$G$9:$O$1240,9,0)*($C$5-INT($C$5))+VLOOKUP(INT($C$5),Tablas!$G$9:$O$124,9,0)*(INT($C$5)+1-$C$5)))</f>
        <v>0.99698647862598433</v>
      </c>
      <c r="G24" s="97">
        <f ca="1">IF($C$4="Hombre",(+VLOOKUP(INT(D24)+1,Tablas!$G$9:$K$1240,5,0)*(D24-INT(D24))+VLOOKUP(INT(D24),Tablas!$G$9:$K$1240,5,0)*(INT(D24)+1-D24)),+VLOOKUP(INT(D24)+1,Tablas!$G$9:$O$1240,9,0)*(D24-INT(D24))+VLOOKUP(INT(D24),Tablas!$G$9:$O$1240,9,0)*(INT(D24)+1-D24))</f>
        <v>920535.4231996194</v>
      </c>
      <c r="H24" s="105">
        <f t="shared" ca="1" si="7"/>
        <v>1</v>
      </c>
      <c r="I24" s="106">
        <f t="shared" ca="1" si="2"/>
        <v>8.2265824794658202E-2</v>
      </c>
      <c r="J24" s="106">
        <f t="shared" ca="1" si="6"/>
        <v>7.0513564109707022E-2</v>
      </c>
      <c r="K24" s="105">
        <f t="shared" ca="1" si="3"/>
        <v>0.99698647862598433</v>
      </c>
      <c r="L24" s="75"/>
    </row>
    <row r="25" spans="2:12">
      <c r="B25" s="101">
        <f t="shared" ca="1" si="4"/>
        <v>53024</v>
      </c>
      <c r="C25" s="101">
        <f t="shared" ca="1" si="5"/>
        <v>53054</v>
      </c>
      <c r="D25" s="102">
        <f t="shared" ca="1" si="0"/>
        <v>67.748117727583846</v>
      </c>
      <c r="E25" s="103">
        <f t="shared" ca="1" si="1"/>
        <v>0.98892336774623546</v>
      </c>
      <c r="F25" s="104">
        <f ca="1">IF($C$4="Hombre",(+VLOOKUP(INT(D25)+1,Tablas!$G$9:$K$1240,5,0)*(D25-INT(D25))+VLOOKUP(INT(D25),Tablas!$G$9:$K$1240,5,0)*(INT(D25)+1-D25))/(VLOOKUP(INT($C$5)+1,Tablas!$G$9:$K$1240,5,0)*($C$5-INT($C$5))+VLOOKUP(INT($C$5),Tablas!$G$9:$K$124,5,0)*(INT($C$5)+1-$C$5)),(+VLOOKUP(INT(D25)+1,Tablas!$G$9:$O$1240,9,0)*(D25-INT(D25))+VLOOKUP(INT(D25),Tablas!$G$9:$O$1240,9,0)*(INT(D25)+1-D25))/(VLOOKUP(INT($C$5)+1,Tablas!$G$9:$O$1240,9,0)*($C$5-INT($C$5))+VLOOKUP(INT($C$5),Tablas!$G$9:$O$124,9,0)*(INT($C$5)+1-$C$5)))</f>
        <v>0.99660084740784416</v>
      </c>
      <c r="G25" s="97">
        <f ca="1">IF($C$4="Hombre",(+VLOOKUP(INT(D25)+1,Tablas!$G$9:$K$1240,5,0)*(D25-INT(D25))+VLOOKUP(INT(D25),Tablas!$G$9:$K$1240,5,0)*(INT(D25)+1-D25)),+VLOOKUP(INT(D25)+1,Tablas!$G$9:$O$1240,9,0)*(D25-INT(D25))+VLOOKUP(INT(D25),Tablas!$G$9:$O$1240,9,0)*(INT(D25)+1-D25))</f>
        <v>920179.36300803197</v>
      </c>
      <c r="H25" s="105">
        <f t="shared" ca="1" si="7"/>
        <v>1</v>
      </c>
      <c r="I25" s="106">
        <f t="shared" ca="1" si="2"/>
        <v>8.2130155526443108E-2</v>
      </c>
      <c r="J25" s="106">
        <f t="shared" ca="1" si="6"/>
        <v>7.0397276165522674E-2</v>
      </c>
      <c r="K25" s="105">
        <f t="shared" ca="1" si="3"/>
        <v>0.99660084740784416</v>
      </c>
      <c r="L25" s="75"/>
    </row>
    <row r="26" spans="2:12">
      <c r="B26" s="101">
        <f t="shared" ca="1" si="4"/>
        <v>53055</v>
      </c>
      <c r="C26" s="101">
        <f t="shared" ca="1" si="5"/>
        <v>53084</v>
      </c>
      <c r="D26" s="102">
        <f t="shared" ca="1" si="0"/>
        <v>67.830253251197803</v>
      </c>
      <c r="E26" s="103">
        <f t="shared" ca="1" si="1"/>
        <v>0.98771476833839034</v>
      </c>
      <c r="F26" s="104">
        <f ca="1">IF($C$4="Hombre",(+VLOOKUP(INT(D26)+1,Tablas!$G$9:$K$1240,5,0)*(D26-INT(D26))+VLOOKUP(INT(D26),Tablas!$G$9:$K$1240,5,0)*(INT(D26)+1-D26))/(VLOOKUP(INT($C$5)+1,Tablas!$G$9:$K$1240,5,0)*($C$5-INT($C$5))+VLOOKUP(INT($C$5),Tablas!$G$9:$K$124,5,0)*(INT($C$5)+1-$C$5)),(+VLOOKUP(INT(D26)+1,Tablas!$G$9:$O$1240,9,0)*(D26-INT(D26))+VLOOKUP(INT(D26),Tablas!$G$9:$O$1240,9,0)*(INT(D26)+1-D26))/(VLOOKUP(INT($C$5)+1,Tablas!$G$9:$O$1240,9,0)*($C$5-INT($C$5))+VLOOKUP(INT($C$5),Tablas!$G$9:$O$124,9,0)*(INT($C$5)+1-$C$5)))</f>
        <v>0.99622765590641815</v>
      </c>
      <c r="G26" s="97">
        <f ca="1">IF($C$4="Hombre",(+VLOOKUP(INT(D26)+1,Tablas!$G$9:$K$1240,5,0)*(D26-INT(D26))+VLOOKUP(INT(D26),Tablas!$G$9:$K$1240,5,0)*(INT(D26)+1-D26)),+VLOOKUP(INT(D26)+1,Tablas!$G$9:$O$1240,9,0)*(D26-INT(D26))+VLOOKUP(INT(D26),Tablas!$G$9:$O$1240,9,0)*(INT(D26)+1-D26))</f>
        <v>919834.78862907633</v>
      </c>
      <c r="H26" s="105">
        <f t="shared" ca="1" si="7"/>
        <v>1</v>
      </c>
      <c r="I26" s="106">
        <f t="shared" ca="1" si="2"/>
        <v>8.1999064030492119E-2</v>
      </c>
      <c r="J26" s="106">
        <f t="shared" ca="1" si="6"/>
        <v>7.0284912026136098E-2</v>
      </c>
      <c r="K26" s="105">
        <f t="shared" ca="1" si="3"/>
        <v>0.99622765590641815</v>
      </c>
      <c r="L26" s="75"/>
    </row>
    <row r="27" spans="2:12">
      <c r="B27" s="101">
        <f t="shared" ca="1" si="4"/>
        <v>53085</v>
      </c>
      <c r="C27" s="101">
        <f t="shared" ca="1" si="5"/>
        <v>53115</v>
      </c>
      <c r="D27" s="102">
        <f t="shared" ca="1" si="0"/>
        <v>67.915126625598901</v>
      </c>
      <c r="E27" s="103">
        <f t="shared" ca="1" si="1"/>
        <v>0.98646743401034087</v>
      </c>
      <c r="F27" s="104">
        <f ca="1">IF($C$4="Hombre",(+VLOOKUP(INT(D27)+1,Tablas!$G$9:$K$1240,5,0)*(D27-INT(D27))+VLOOKUP(INT(D27),Tablas!$G$9:$K$1240,5,0)*(INT(D27)+1-D27))/(VLOOKUP(INT($C$5)+1,Tablas!$G$9:$K$1240,5,0)*($C$5-INT($C$5))+VLOOKUP(INT($C$5),Tablas!$G$9:$K$124,5,0)*(INT($C$5)+1-$C$5)),(+VLOOKUP(INT(D27)+1,Tablas!$G$9:$O$1240,9,0)*(D27-INT(D27))+VLOOKUP(INT(D27),Tablas!$G$9:$O$1240,9,0)*(INT(D27)+1-D27))/(VLOOKUP(INT($C$5)+1,Tablas!$G$9:$O$1240,9,0)*($C$5-INT($C$5))+VLOOKUP(INT($C$5),Tablas!$G$9:$O$124,9,0)*(INT($C$5)+1-$C$5)))</f>
        <v>0.99584202468827787</v>
      </c>
      <c r="G27" s="97">
        <f ca="1">IF($C$4="Hombre",(+VLOOKUP(INT(D27)+1,Tablas!$G$9:$K$1240,5,0)*(D27-INT(D27))+VLOOKUP(INT(D27),Tablas!$G$9:$K$1240,5,0)*(INT(D27)+1-D27)),+VLOOKUP(INT(D27)+1,Tablas!$G$9:$O$1240,9,0)*(D27-INT(D27))+VLOOKUP(INT(D27),Tablas!$G$9:$O$1240,9,0)*(INT(D27)+1-D27))</f>
        <v>919478.72843748878</v>
      </c>
      <c r="H27" s="105">
        <f t="shared" ca="1" si="7"/>
        <v>1</v>
      </c>
      <c r="I27" s="106">
        <f t="shared" ca="1" si="2"/>
        <v>8.1863810564492323E-2</v>
      </c>
      <c r="J27" s="106">
        <f t="shared" ca="1" si="6"/>
        <v>0.14033796096770113</v>
      </c>
      <c r="K27" s="105">
        <f t="shared" ca="1" si="3"/>
        <v>0.99584202468827787</v>
      </c>
      <c r="L27" s="75"/>
    </row>
    <row r="28" spans="2:12">
      <c r="B28" s="101">
        <f t="shared" ca="1" si="4"/>
        <v>53116</v>
      </c>
      <c r="C28" s="101">
        <f t="shared" ca="1" si="5"/>
        <v>53145</v>
      </c>
      <c r="D28" s="102">
        <f t="shared" ca="1" si="0"/>
        <v>67.997262149212872</v>
      </c>
      <c r="E28" s="103">
        <f t="shared" ca="1" si="1"/>
        <v>0.98526183608891571</v>
      </c>
      <c r="F28" s="104">
        <f ca="1">IF($C$4="Hombre",(+VLOOKUP(INT(D28)+1,Tablas!$G$9:$K$1240,5,0)*(D28-INT(D28))+VLOOKUP(INT(D28),Tablas!$G$9:$K$1240,5,0)*(INT(D28)+1-D28))/(VLOOKUP(INT($C$5)+1,Tablas!$G$9:$K$1240,5,0)*($C$5-INT($C$5))+VLOOKUP(INT($C$5),Tablas!$G$9:$K$124,5,0)*(INT($C$5)+1-$C$5)),(+VLOOKUP(INT(D28)+1,Tablas!$G$9:$O$1240,9,0)*(D28-INT(D28))+VLOOKUP(INT(D28),Tablas!$G$9:$O$1240,9,0)*(INT(D28)+1-D28))/(VLOOKUP(INT($C$5)+1,Tablas!$G$9:$O$1240,9,0)*($C$5-INT($C$5))+VLOOKUP(INT($C$5),Tablas!$G$9:$O$124,9,0)*(INT($C$5)+1-$C$5)))</f>
        <v>0.99546883318685164</v>
      </c>
      <c r="G28" s="97">
        <f ca="1">IF($C$4="Hombre",(+VLOOKUP(INT(D28)+1,Tablas!$G$9:$K$1240,5,0)*(D28-INT(D28))+VLOOKUP(INT(D28),Tablas!$G$9:$K$1240,5,0)*(INT(D28)+1-D28)),+VLOOKUP(INT(D28)+1,Tablas!$G$9:$O$1240,9,0)*(D28-INT(D28))+VLOOKUP(INT(D28),Tablas!$G$9:$O$1240,9,0)*(INT(D28)+1-D28))</f>
        <v>919134.15405853302</v>
      </c>
      <c r="H28" s="105">
        <f t="shared" ca="1" si="7"/>
        <v>1</v>
      </c>
      <c r="I28" s="106">
        <f t="shared" ca="1" si="2"/>
        <v>8.1733120862913997E-2</v>
      </c>
      <c r="J28" s="106">
        <f t="shared" ca="1" si="6"/>
        <v>7.0056960739640559E-2</v>
      </c>
      <c r="K28" s="105">
        <f t="shared" ca="1" si="3"/>
        <v>0.99546883318685164</v>
      </c>
      <c r="L28" s="75"/>
    </row>
    <row r="29" spans="2:12">
      <c r="B29" s="101">
        <f t="shared" ca="1" si="4"/>
        <v>53146</v>
      </c>
      <c r="C29" s="101">
        <f t="shared" ca="1" si="5"/>
        <v>53176</v>
      </c>
      <c r="D29" s="102">
        <f t="shared" ca="1" si="0"/>
        <v>68.082135523613957</v>
      </c>
      <c r="E29" s="103">
        <f t="shared" ca="1" si="1"/>
        <v>0.98401759944321099</v>
      </c>
      <c r="F29" s="104">
        <f ca="1">IF($C$4="Hombre",(+VLOOKUP(INT(D29)+1,Tablas!$G$9:$K$1240,5,0)*(D29-INT(D29))+VLOOKUP(INT(D29),Tablas!$G$9:$K$1240,5,0)*(INT(D29)+1-D29))/(VLOOKUP(INT($C$5)+1,Tablas!$G$9:$K$1240,5,0)*($C$5-INT($C$5))+VLOOKUP(INT($C$5),Tablas!$G$9:$K$124,5,0)*(INT($C$5)+1-$C$5)),(+VLOOKUP(INT(D29)+1,Tablas!$G$9:$O$1240,9,0)*(D29-INT(D29))+VLOOKUP(INT(D29),Tablas!$G$9:$O$1240,9,0)*(INT(D29)+1-D29))/(VLOOKUP(INT($C$5)+1,Tablas!$G$9:$O$1240,9,0)*($C$5-INT($C$5))+VLOOKUP(INT($C$5),Tablas!$G$9:$O$124,9,0)*(INT($C$5)+1-$C$5)))</f>
        <v>0.9950802993225718</v>
      </c>
      <c r="G29" s="97">
        <f ca="1">IF($C$4="Hombre",(+VLOOKUP(INT(D29)+1,Tablas!$G$9:$K$1240,5,0)*(D29-INT(D29))+VLOOKUP(INT(D29),Tablas!$G$9:$K$1240,5,0)*(INT(D29)+1-D29)),+VLOOKUP(INT(D29)+1,Tablas!$G$9:$O$1240,9,0)*(D29-INT(D29))+VLOOKUP(INT(D29),Tablas!$G$9:$O$1240,9,0)*(INT(D29)+1-D29))</f>
        <v>918775.41380191979</v>
      </c>
      <c r="H29" s="105">
        <f t="shared" ca="1" si="7"/>
        <v>1</v>
      </c>
      <c r="I29" s="106">
        <f t="shared" ca="1" si="2"/>
        <v>8.1598043949385746E-2</v>
      </c>
      <c r="J29" s="106">
        <f t="shared" ca="1" si="6"/>
        <v>6.9941180528044919E-2</v>
      </c>
      <c r="K29" s="105">
        <f t="shared" ca="1" si="3"/>
        <v>0.9950802993225718</v>
      </c>
      <c r="L29" s="75"/>
    </row>
    <row r="30" spans="2:12">
      <c r="B30" s="101">
        <f t="shared" ca="1" si="4"/>
        <v>53177</v>
      </c>
      <c r="C30" s="101">
        <f t="shared" ca="1" si="5"/>
        <v>53207</v>
      </c>
      <c r="D30" s="102">
        <f t="shared" ca="1" si="0"/>
        <v>68.167008898015055</v>
      </c>
      <c r="E30" s="103">
        <f t="shared" ca="1" si="1"/>
        <v>0.98277493408015759</v>
      </c>
      <c r="F30" s="104">
        <f ca="1">IF($C$4="Hombre",(+VLOOKUP(INT(D30)+1,Tablas!$G$9:$K$1240,5,0)*(D30-INT(D30))+VLOOKUP(INT(D30),Tablas!$G$9:$K$1240,5,0)*(INT(D30)+1-D30))/(VLOOKUP(INT($C$5)+1,Tablas!$G$9:$K$1240,5,0)*($C$5-INT($C$5))+VLOOKUP(INT($C$5),Tablas!$G$9:$K$124,5,0)*(INT($C$5)+1-$C$5)),(+VLOOKUP(INT(D30)+1,Tablas!$G$9:$O$1240,9,0)*(D30-INT(D30))+VLOOKUP(INT(D30),Tablas!$G$9:$O$1240,9,0)*(INT(D30)+1-D30))/(VLOOKUP(INT($C$5)+1,Tablas!$G$9:$O$1240,9,0)*($C$5-INT($C$5))+VLOOKUP(INT($C$5),Tablas!$G$9:$O$124,9,0)*(INT($C$5)+1-$C$5)))</f>
        <v>0.99469166870342052</v>
      </c>
      <c r="G30" s="97">
        <f ca="1">IF($C$4="Hombre",(+VLOOKUP(INT(D30)+1,Tablas!$G$9:$K$1240,5,0)*(D30-INT(D30))+VLOOKUP(INT(D30),Tablas!$G$9:$K$1240,5,0)*(INT(D30)+1-D30)),+VLOOKUP(INT(D30)+1,Tablas!$G$9:$O$1240,9,0)*(D30-INT(D30))+VLOOKUP(INT(D30),Tablas!$G$9:$O$1240,9,0)*(INT(D30)+1-D30))</f>
        <v>918416.58420980547</v>
      </c>
      <c r="H30" s="105">
        <f t="shared" ca="1" si="7"/>
        <v>1</v>
      </c>
      <c r="I30" s="106">
        <f t="shared" ca="1" si="2"/>
        <v>8.1463169928340504E-2</v>
      </c>
      <c r="J30" s="106">
        <f t="shared" ca="1" si="6"/>
        <v>6.982557422429185E-2</v>
      </c>
      <c r="K30" s="105">
        <f t="shared" ca="1" si="3"/>
        <v>0.99469166870342052</v>
      </c>
      <c r="L30" s="75"/>
    </row>
    <row r="31" spans="2:12">
      <c r="B31" s="101">
        <f t="shared" ca="1" si="4"/>
        <v>53208</v>
      </c>
      <c r="C31" s="101">
        <f t="shared" ca="1" si="5"/>
        <v>53237</v>
      </c>
      <c r="D31" s="102">
        <f t="shared" ca="1" si="0"/>
        <v>68.249144421629026</v>
      </c>
      <c r="E31" s="103">
        <f t="shared" ca="1" si="1"/>
        <v>0.98157384889791399</v>
      </c>
      <c r="F31" s="104">
        <f ca="1">IF($C$4="Hombre",(+VLOOKUP(INT(D31)+1,Tablas!$G$9:$K$1240,5,0)*(D31-INT(D31))+VLOOKUP(INT(D31),Tablas!$G$9:$K$1240,5,0)*(INT(D31)+1-D31))/(VLOOKUP(INT($C$5)+1,Tablas!$G$9:$K$1240,5,0)*($C$5-INT($C$5))+VLOOKUP(INT($C$5),Tablas!$G$9:$K$124,5,0)*(INT($C$5)+1-$C$5)),(+VLOOKUP(INT(D31)+1,Tablas!$G$9:$O$1240,9,0)*(D31-INT(D31))+VLOOKUP(INT(D31),Tablas!$G$9:$O$1240,9,0)*(INT(D31)+1-D31))/(VLOOKUP(INT($C$5)+1,Tablas!$G$9:$O$1240,9,0)*($C$5-INT($C$5))+VLOOKUP(INT($C$5),Tablas!$G$9:$O$124,9,0)*(INT($C$5)+1-$C$5)))</f>
        <v>0.99431557455585462</v>
      </c>
      <c r="G31" s="97">
        <f ca="1">IF($C$4="Hombre",(+VLOOKUP(INT(D31)+1,Tablas!$G$9:$K$1240,5,0)*(D31-INT(D31))+VLOOKUP(INT(D31),Tablas!$G$9:$K$1240,5,0)*(INT(D31)+1-D31)),+VLOOKUP(INT(D31)+1,Tablas!$G$9:$O$1240,9,0)*(D31-INT(D31))+VLOOKUP(INT(D31),Tablas!$G$9:$O$1240,9,0)*(INT(D31)+1-D31))</f>
        <v>918069.3297658239</v>
      </c>
      <c r="H31" s="105">
        <f t="shared" ca="1" si="7"/>
        <v>1</v>
      </c>
      <c r="I31" s="106">
        <f t="shared" ca="1" si="2"/>
        <v>8.1332847127994254E-2</v>
      </c>
      <c r="J31" s="106">
        <f t="shared" ca="1" si="6"/>
        <v>6.9713868966852208E-2</v>
      </c>
      <c r="K31" s="105">
        <f t="shared" ca="1" si="3"/>
        <v>0.99431557455585462</v>
      </c>
      <c r="L31" s="75"/>
    </row>
    <row r="32" spans="2:12">
      <c r="B32" s="101">
        <f t="shared" ca="1" si="4"/>
        <v>53238</v>
      </c>
      <c r="C32" s="101">
        <f t="shared" ca="1" si="5"/>
        <v>53268</v>
      </c>
      <c r="D32" s="102">
        <f t="shared" ca="1" si="0"/>
        <v>68.334017796030111</v>
      </c>
      <c r="E32" s="103">
        <f t="shared" ca="1" si="1"/>
        <v>0.98033426962210191</v>
      </c>
      <c r="F32" s="104">
        <f ca="1">IF($C$4="Hombre",(+VLOOKUP(INT(D32)+1,Tablas!$G$9:$K$1240,5,0)*(D32-INT(D32))+VLOOKUP(INT(D32),Tablas!$G$9:$K$1240,5,0)*(INT(D32)+1-D32))/(VLOOKUP(INT($C$5)+1,Tablas!$G$9:$K$1240,5,0)*($C$5-INT($C$5))+VLOOKUP(INT($C$5),Tablas!$G$9:$K$124,5,0)*(INT($C$5)+1-$C$5)),(+VLOOKUP(INT(D32)+1,Tablas!$G$9:$O$1240,9,0)*(D32-INT(D32))+VLOOKUP(INT(D32),Tablas!$G$9:$O$1240,9,0)*(INT(D32)+1-D32))/(VLOOKUP(INT($C$5)+1,Tablas!$G$9:$O$1240,9,0)*($C$5-INT($C$5))+VLOOKUP(INT($C$5),Tablas!$G$9:$O$124,9,0)*(INT($C$5)+1-$C$5)))</f>
        <v>0.99392694393670333</v>
      </c>
      <c r="G32" s="97">
        <f ca="1">IF($C$4="Hombre",(+VLOOKUP(INT(D32)+1,Tablas!$G$9:$K$1240,5,0)*(D32-INT(D32))+VLOOKUP(INT(D32),Tablas!$G$9:$K$1240,5,0)*(INT(D32)+1-D32)),+VLOOKUP(INT(D32)+1,Tablas!$G$9:$O$1240,9,0)*(D32-INT(D32))+VLOOKUP(INT(D32),Tablas!$G$9:$O$1240,9,0)*(INT(D32)+1-D32))</f>
        <v>917710.5001737097</v>
      </c>
      <c r="H32" s="105">
        <f t="shared" ca="1" si="7"/>
        <v>1</v>
      </c>
      <c r="I32" s="106">
        <f t="shared" ca="1" si="2"/>
        <v>8.1198387053492985E-2</v>
      </c>
      <c r="J32" s="106">
        <f t="shared" ca="1" si="6"/>
        <v>6.9598617474422558E-2</v>
      </c>
      <c r="K32" s="105">
        <f t="shared" ca="1" si="3"/>
        <v>0.99392694393670333</v>
      </c>
      <c r="L32" s="75"/>
    </row>
    <row r="33" spans="2:12">
      <c r="B33" s="101">
        <f t="shared" ca="1" si="4"/>
        <v>53269</v>
      </c>
      <c r="C33" s="101">
        <f t="shared" ca="1" si="5"/>
        <v>53298</v>
      </c>
      <c r="D33" s="102">
        <f t="shared" ca="1" si="0"/>
        <v>68.416153319644081</v>
      </c>
      <c r="E33" s="103">
        <f t="shared" ca="1" si="1"/>
        <v>0.97913616726513575</v>
      </c>
      <c r="F33" s="104">
        <f ca="1">IF($C$4="Hombre",(+VLOOKUP(INT(D33)+1,Tablas!$G$9:$K$1240,5,0)*(D33-INT(D33))+VLOOKUP(INT(D33),Tablas!$G$9:$K$1240,5,0)*(INT(D33)+1-D33))/(VLOOKUP(INT($C$5)+1,Tablas!$G$9:$K$1240,5,0)*($C$5-INT($C$5))+VLOOKUP(INT($C$5),Tablas!$G$9:$K$124,5,0)*(INT($C$5)+1-$C$5)),(+VLOOKUP(INT(D33)+1,Tablas!$G$9:$O$1240,9,0)*(D33-INT(D33))+VLOOKUP(INT(D33),Tablas!$G$9:$O$1240,9,0)*(INT(D33)+1-D33))/(VLOOKUP(INT($C$5)+1,Tablas!$G$9:$O$1240,9,0)*($C$5-INT($C$5))+VLOOKUP(INT($C$5),Tablas!$G$9:$O$124,9,0)*(INT($C$5)+1-$C$5)))</f>
        <v>0.99355084978913755</v>
      </c>
      <c r="G33" s="97">
        <f ca="1">IF($C$4="Hombre",(+VLOOKUP(INT(D33)+1,Tablas!$G$9:$K$1240,5,0)*(D33-INT(D33))+VLOOKUP(INT(D33),Tablas!$G$9:$K$1240,5,0)*(INT(D33)+1-D33)),+VLOOKUP(INT(D33)+1,Tablas!$G$9:$O$1240,9,0)*(D33-INT(D33))+VLOOKUP(INT(D33),Tablas!$G$9:$O$1240,9,0)*(INT(D33)+1-D33))</f>
        <v>917363.24572972814</v>
      </c>
      <c r="H33" s="105">
        <f t="shared" ca="1" si="7"/>
        <v>1</v>
      </c>
      <c r="I33" s="106">
        <f t="shared" ca="1" si="2"/>
        <v>8.1068464253796227E-2</v>
      </c>
      <c r="J33" s="106">
        <f t="shared" ca="1" si="6"/>
        <v>0.13897451014936496</v>
      </c>
      <c r="K33" s="105">
        <f t="shared" ca="1" si="3"/>
        <v>0.99355084978913755</v>
      </c>
      <c r="L33" s="75"/>
    </row>
    <row r="34" spans="2:12">
      <c r="B34" s="101">
        <f t="shared" ca="1" si="4"/>
        <v>53299</v>
      </c>
      <c r="C34" s="101">
        <f t="shared" ca="1" si="5"/>
        <v>53329</v>
      </c>
      <c r="D34" s="102">
        <f t="shared" ca="1" si="0"/>
        <v>68.50102669404518</v>
      </c>
      <c r="E34" s="103">
        <f t="shared" ca="1" si="1"/>
        <v>0.97789966641244608</v>
      </c>
      <c r="F34" s="104">
        <f ca="1">IF($C$4="Hombre",(+VLOOKUP(INT(D34)+1,Tablas!$G$9:$K$1240,5,0)*(D34-INT(D34))+VLOOKUP(INT(D34),Tablas!$G$9:$K$1240,5,0)*(INT(D34)+1-D34))/(VLOOKUP(INT($C$5)+1,Tablas!$G$9:$K$1240,5,0)*($C$5-INT($C$5))+VLOOKUP(INT($C$5),Tablas!$G$9:$K$124,5,0)*(INT($C$5)+1-$C$5)),(+VLOOKUP(INT(D34)+1,Tablas!$G$9:$O$1240,9,0)*(D34-INT(D34))+VLOOKUP(INT(D34),Tablas!$G$9:$O$1240,9,0)*(INT(D34)+1-D34))/(VLOOKUP(INT($C$5)+1,Tablas!$G$9:$O$1240,9,0)*($C$5-INT($C$5))+VLOOKUP(INT($C$5),Tablas!$G$9:$O$124,9,0)*(INT($C$5)+1-$C$5)))</f>
        <v>0.99316221916998626</v>
      </c>
      <c r="G34" s="97">
        <f ca="1">IF($C$4="Hombre",(+VLOOKUP(INT(D34)+1,Tablas!$G$9:$K$1240,5,0)*(D34-INT(D34))+VLOOKUP(INT(D34),Tablas!$G$9:$K$1240,5,0)*(INT(D34)+1-D34)),+VLOOKUP(INT(D34)+1,Tablas!$G$9:$O$1240,9,0)*(D34-INT(D34))+VLOOKUP(INT(D34),Tablas!$G$9:$O$1240,9,0)*(INT(D34)+1-D34))</f>
        <v>917004.41613761394</v>
      </c>
      <c r="H34" s="105">
        <f t="shared" ca="1" si="7"/>
        <v>1</v>
      </c>
      <c r="I34" s="106">
        <f t="shared" ca="1" si="2"/>
        <v>8.0934416901647849E-2</v>
      </c>
      <c r="J34" s="106">
        <f t="shared" ca="1" si="6"/>
        <v>6.9372357344269581E-2</v>
      </c>
      <c r="K34" s="105">
        <f t="shared" ca="1" si="3"/>
        <v>0.99316221916998626</v>
      </c>
      <c r="L34" s="75"/>
    </row>
    <row r="35" spans="2:12">
      <c r="B35" s="101">
        <f t="shared" ca="1" si="4"/>
        <v>53330</v>
      </c>
      <c r="C35" s="101">
        <f t="shared" ca="1" si="5"/>
        <v>53360</v>
      </c>
      <c r="D35" s="102">
        <f t="shared" ca="1" si="0"/>
        <v>68.585900068446264</v>
      </c>
      <c r="E35" s="103">
        <f t="shared" ca="1" si="1"/>
        <v>0.97666472707327223</v>
      </c>
      <c r="F35" s="104">
        <f ca="1">IF($C$4="Hombre",(+VLOOKUP(INT(D35)+1,Tablas!$G$9:$K$1240,5,0)*(D35-INT(D35))+VLOOKUP(INT(D35),Tablas!$G$9:$K$1240,5,0)*(INT(D35)+1-D35))/(VLOOKUP(INT($C$5)+1,Tablas!$G$9:$K$1240,5,0)*($C$5-INT($C$5))+VLOOKUP(INT($C$5),Tablas!$G$9:$K$124,5,0)*(INT($C$5)+1-$C$5)),(+VLOOKUP(INT(D35)+1,Tablas!$G$9:$O$1240,9,0)*(D35-INT(D35))+VLOOKUP(INT(D35),Tablas!$G$9:$O$1240,9,0)*(INT(D35)+1-D35))/(VLOOKUP(INT($C$5)+1,Tablas!$G$9:$O$1240,9,0)*($C$5-INT($C$5))+VLOOKUP(INT($C$5),Tablas!$G$9:$O$124,9,0)*(INT($C$5)+1-$C$5)))</f>
        <v>0.99277358855083508</v>
      </c>
      <c r="G35" s="97">
        <f ca="1">IF($C$4="Hombre",(+VLOOKUP(INT(D35)+1,Tablas!$G$9:$K$1240,5,0)*(D35-INT(D35))+VLOOKUP(INT(D35),Tablas!$G$9:$K$1240,5,0)*(INT(D35)+1-D35)),+VLOOKUP(INT(D35)+1,Tablas!$G$9:$O$1240,9,0)*(D35-INT(D35))+VLOOKUP(INT(D35),Tablas!$G$9:$O$1240,9,0)*(INT(D35)+1-D35))</f>
        <v>916645.58654549974</v>
      </c>
      <c r="H35" s="105">
        <f t="shared" ca="1" si="7"/>
        <v>1</v>
      </c>
      <c r="I35" s="106">
        <f t="shared" ca="1" si="2"/>
        <v>8.0800578825629535E-2</v>
      </c>
      <c r="J35" s="106">
        <f t="shared" ca="1" si="6"/>
        <v>6.925763899339675E-2</v>
      </c>
      <c r="K35" s="105">
        <f t="shared" ca="1" si="3"/>
        <v>0.99277358855083508</v>
      </c>
      <c r="L35" s="75"/>
    </row>
    <row r="36" spans="2:12">
      <c r="B36" s="101">
        <f t="shared" ca="1" si="4"/>
        <v>53361</v>
      </c>
      <c r="C36" s="101">
        <f t="shared" ca="1" si="5"/>
        <v>53388</v>
      </c>
      <c r="D36" s="102">
        <f t="shared" ca="1" si="0"/>
        <v>68.662559890485966</v>
      </c>
      <c r="E36" s="103">
        <f t="shared" ca="1" si="1"/>
        <v>0.97555063850659207</v>
      </c>
      <c r="F36" s="104">
        <f ca="1">IF($C$4="Hombre",(+VLOOKUP(INT(D36)+1,Tablas!$G$9:$K$1240,5,0)*(D36-INT(D36))+VLOOKUP(INT(D36),Tablas!$G$9:$K$1240,5,0)*(INT(D36)+1-D36))/(VLOOKUP(INT($C$5)+1,Tablas!$G$9:$K$1240,5,0)*($C$5-INT($C$5))+VLOOKUP(INT($C$5),Tablas!$G$9:$K$124,5,0)*(INT($C$5)+1-$C$5)),(+VLOOKUP(INT(D36)+1,Tablas!$G$9:$O$1240,9,0)*(D36-INT(D36))+VLOOKUP(INT(D36),Tablas!$G$9:$O$1240,9,0)*(INT(D36)+1-D36))/(VLOOKUP(INT($C$5)+1,Tablas!$G$9:$O$1240,9,0)*($C$5-INT($C$5))+VLOOKUP(INT($C$5),Tablas!$G$9:$O$124,9,0)*(INT($C$5)+1-$C$5)))</f>
        <v>0.99242256734644019</v>
      </c>
      <c r="G36" s="97">
        <f ca="1">IF($C$4="Hombre",(+VLOOKUP(INT(D36)+1,Tablas!$G$9:$K$1240,5,0)*(D36-INT(D36))+VLOOKUP(INT(D36),Tablas!$G$9:$K$1240,5,0)*(INT(D36)+1-D36)),+VLOOKUP(INT(D36)+1,Tablas!$G$9:$O$1240,9,0)*(D36-INT(D36))+VLOOKUP(INT(D36),Tablas!$G$9:$O$1240,9,0)*(INT(D36)+1-D36))</f>
        <v>916321.48239778355</v>
      </c>
      <c r="H36" s="105">
        <f t="shared" ca="1" si="7"/>
        <v>1</v>
      </c>
      <c r="I36" s="106">
        <f t="shared" ca="1" si="2"/>
        <v>8.0679872436930922E-2</v>
      </c>
      <c r="J36" s="106">
        <f t="shared" ca="1" si="6"/>
        <v>6.9154176374512225E-2</v>
      </c>
      <c r="K36" s="105">
        <f t="shared" ca="1" si="3"/>
        <v>0.99242256734644019</v>
      </c>
      <c r="L36" s="75"/>
    </row>
    <row r="37" spans="2:12">
      <c r="B37" s="101">
        <f t="shared" ca="1" si="4"/>
        <v>53389</v>
      </c>
      <c r="C37" s="101">
        <f t="shared" ca="1" si="5"/>
        <v>53419</v>
      </c>
      <c r="D37" s="102">
        <f t="shared" ca="1" si="0"/>
        <v>68.747433264887064</v>
      </c>
      <c r="E37" s="103">
        <f t="shared" ca="1" si="1"/>
        <v>0.97431866563429526</v>
      </c>
      <c r="F37" s="104">
        <f ca="1">IF($C$4="Hombre",(+VLOOKUP(INT(D37)+1,Tablas!$G$9:$K$1240,5,0)*(D37-INT(D37))+VLOOKUP(INT(D37),Tablas!$G$9:$K$1240,5,0)*(INT(D37)+1-D37))/(VLOOKUP(INT($C$5)+1,Tablas!$G$9:$K$1240,5,0)*($C$5-INT($C$5))+VLOOKUP(INT($C$5),Tablas!$G$9:$K$124,5,0)*(INT($C$5)+1-$C$5)),(+VLOOKUP(INT(D37)+1,Tablas!$G$9:$O$1240,9,0)*(D37-INT(D37))+VLOOKUP(INT(D37),Tablas!$G$9:$O$1240,9,0)*(INT(D37)+1-D37))/(VLOOKUP(INT($C$5)+1,Tablas!$G$9:$O$1240,9,0)*($C$5-INT($C$5))+VLOOKUP(INT($C$5),Tablas!$G$9:$O$124,9,0)*(INT($C$5)+1-$C$5)))</f>
        <v>0.99203393672728912</v>
      </c>
      <c r="G37" s="97">
        <f ca="1">IF($C$4="Hombre",(+VLOOKUP(INT(D37)+1,Tablas!$G$9:$K$1240,5,0)*(D37-INT(D37))+VLOOKUP(INT(D37),Tablas!$G$9:$K$1240,5,0)*(INT(D37)+1-D37)),+VLOOKUP(INT(D37)+1,Tablas!$G$9:$O$1240,9,0)*(D37-INT(D37))+VLOOKUP(INT(D37),Tablas!$G$9:$O$1240,9,0)*(INT(D37)+1-D37))</f>
        <v>915962.65280566947</v>
      </c>
      <c r="H37" s="105">
        <f t="shared" ca="1" si="7"/>
        <v>1</v>
      </c>
      <c r="I37" s="106">
        <f t="shared" ca="1" si="2"/>
        <v>8.0546431791339093E-2</v>
      </c>
      <c r="J37" s="106">
        <f t="shared" ca="1" si="6"/>
        <v>6.9039798678290659E-2</v>
      </c>
      <c r="K37" s="105">
        <f t="shared" ca="1" si="3"/>
        <v>0.99203393672728912</v>
      </c>
      <c r="L37" s="75"/>
    </row>
    <row r="38" spans="2:12">
      <c r="B38" s="101">
        <f t="shared" ca="1" si="4"/>
        <v>53420</v>
      </c>
      <c r="C38" s="101">
        <f t="shared" ca="1" si="5"/>
        <v>53449</v>
      </c>
      <c r="D38" s="102">
        <f t="shared" ca="1" si="0"/>
        <v>68.829568788501021</v>
      </c>
      <c r="E38" s="103">
        <f ca="1">IF($D$17+40&lt;=D38,(1+$D$7)^-(D38-$C$5),(1+$C$7)^-(D38-$C$5))</f>
        <v>0.97312791516692421</v>
      </c>
      <c r="F38" s="104">
        <f ca="1">IF($C$4="Hombre",(+VLOOKUP(INT(D38)+1,Tablas!$G$9:$K$1240,5,0)*(D38-INT(D38))+VLOOKUP(INT(D38),Tablas!$G$9:$K$1240,5,0)*(INT(D38)+1-D38))/(VLOOKUP(INT($C$5)+1,Tablas!$G$9:$K$1240,5,0)*($C$5-INT($C$5))+VLOOKUP(INT($C$5),Tablas!$G$9:$K$124,5,0)*(INT($C$5)+1-$C$5)),(+VLOOKUP(INT(D38)+1,Tablas!$G$9:$O$1240,9,0)*(D38-INT(D38))+VLOOKUP(INT(D38),Tablas!$G$9:$O$1240,9,0)*(INT(D38)+1-D38))/(VLOOKUP(INT($C$5)+1,Tablas!$G$9:$O$1240,9,0)*($C$5-INT($C$5))+VLOOKUP(INT($C$5),Tablas!$G$9:$O$124,9,0)*(INT($C$5)+1-$C$5)))</f>
        <v>0.99165784257972323</v>
      </c>
      <c r="G38" s="97">
        <f ca="1">IF($C$4="Hombre",(+VLOOKUP(INT(D38)+1,Tablas!$G$9:$K$1240,5,0)*(D38-INT(D38))+VLOOKUP(INT(D38),Tablas!$G$9:$K$1240,5,0)*(INT(D38)+1-D38)),+VLOOKUP(INT(D38)+1,Tablas!$G$9:$O$1240,9,0)*(D38-INT(D38))+VLOOKUP(INT(D38),Tablas!$G$9:$O$1240,9,0)*(INT(D38)+1-D38))</f>
        <v>915615.3983616879</v>
      </c>
      <c r="H38" s="105">
        <f t="shared" ca="1" si="7"/>
        <v>1</v>
      </c>
      <c r="I38" s="106">
        <f t="shared" ca="1" si="2"/>
        <v>8.0417494075711318E-2</v>
      </c>
      <c r="J38" s="106">
        <f t="shared" ca="1" si="6"/>
        <v>6.8929280636323989E-2</v>
      </c>
      <c r="K38" s="105">
        <f t="shared" ca="1" si="3"/>
        <v>0.99165784257972323</v>
      </c>
      <c r="L38" s="75"/>
    </row>
    <row r="39" spans="2:12">
      <c r="B39" s="101">
        <f t="shared" ca="1" si="4"/>
        <v>53450</v>
      </c>
      <c r="C39" s="101">
        <f t="shared" ca="1" si="5"/>
        <v>53480</v>
      </c>
      <c r="D39" s="102">
        <f t="shared" ca="1" si="0"/>
        <v>68.91444216290212</v>
      </c>
      <c r="E39" s="103">
        <f t="shared" ca="1" si="1"/>
        <v>0.97189900182768874</v>
      </c>
      <c r="F39" s="104">
        <f ca="1">IF($C$4="Hombre",(+VLOOKUP(INT(D39)+1,Tablas!$G$9:$K$1240,5,0)*(D39-INT(D39))+VLOOKUP(INT(D39),Tablas!$G$9:$K$1240,5,0)*(INT(D39)+1-D39))/(VLOOKUP(INT($C$5)+1,Tablas!$G$9:$K$1240,5,0)*($C$5-INT($C$5))+VLOOKUP(INT($C$5),Tablas!$G$9:$K$124,5,0)*(INT($C$5)+1-$C$5)),(+VLOOKUP(INT(D39)+1,Tablas!$G$9:$O$1240,9,0)*(D39-INT(D39))+VLOOKUP(INT(D39),Tablas!$G$9:$O$1240,9,0)*(INT(D39)+1-D39))/(VLOOKUP(INT($C$5)+1,Tablas!$G$9:$O$1240,9,0)*($C$5-INT($C$5))+VLOOKUP(INT($C$5),Tablas!$G$9:$O$124,9,0)*(INT($C$5)+1-$C$5)))</f>
        <v>0.99126921196057194</v>
      </c>
      <c r="G39" s="97">
        <f ca="1">IF($C$4="Hombre",(+VLOOKUP(INT(D39)+1,Tablas!$G$9:$K$1240,5,0)*(D39-INT(D39))+VLOOKUP(INT(D39),Tablas!$G$9:$K$1240,5,0)*(INT(D39)+1-D39)),+VLOOKUP(INT(D39)+1,Tablas!$G$9:$O$1240,9,0)*(D39-INT(D39))+VLOOKUP(INT(D39),Tablas!$G$9:$O$1240,9,0)*(INT(D39)+1-D39))</f>
        <v>915256.5687695737</v>
      </c>
      <c r="H39" s="105">
        <f t="shared" ca="1" si="7"/>
        <v>1</v>
      </c>
      <c r="I39" s="106">
        <f t="shared" ca="1" si="2"/>
        <v>8.0284463137249962E-2</v>
      </c>
      <c r="J39" s="106">
        <f t="shared" ca="1" si="6"/>
        <v>0.13763050823528564</v>
      </c>
      <c r="K39" s="105">
        <f t="shared" ca="1" si="3"/>
        <v>0.99126921196057194</v>
      </c>
      <c r="L39" s="75"/>
    </row>
    <row r="40" spans="2:12">
      <c r="B40" s="101">
        <f t="shared" ca="1" si="4"/>
        <v>53481</v>
      </c>
      <c r="C40" s="101">
        <f t="shared" ca="1" si="5"/>
        <v>53510</v>
      </c>
      <c r="D40" s="102">
        <f t="shared" ca="1" si="0"/>
        <v>68.99657768651609</v>
      </c>
      <c r="E40" s="103">
        <f t="shared" ca="1" si="1"/>
        <v>0.97071120851993087</v>
      </c>
      <c r="F40" s="104">
        <f ca="1">IF($C$4="Hombre",(+VLOOKUP(INT(D40)+1,Tablas!$G$9:$K$1240,5,0)*(D40-INT(D40))+VLOOKUP(INT(D40),Tablas!$G$9:$K$1240,5,0)*(INT(D40)+1-D40))/(VLOOKUP(INT($C$5)+1,Tablas!$G$9:$K$1240,5,0)*($C$5-INT($C$5))+VLOOKUP(INT($C$5),Tablas!$G$9:$K$124,5,0)*(INT($C$5)+1-$C$5)),(+VLOOKUP(INT(D40)+1,Tablas!$G$9:$O$1240,9,0)*(D40-INT(D40))+VLOOKUP(INT(D40),Tablas!$G$9:$O$1240,9,0)*(INT(D40)+1-D40))/(VLOOKUP(INT($C$5)+1,Tablas!$G$9:$O$1240,9,0)*($C$5-INT($C$5))+VLOOKUP(INT($C$5),Tablas!$G$9:$O$124,9,0)*(INT($C$5)+1-$C$5)))</f>
        <v>0.99089311781300615</v>
      </c>
      <c r="G40" s="97">
        <f ca="1">IF($C$4="Hombre",(+VLOOKUP(INT(D40)+1,Tablas!$G$9:$K$1240,5,0)*(D40-INT(D40))+VLOOKUP(INT(D40),Tablas!$G$9:$K$1240,5,0)*(INT(D40)+1-D40)),+VLOOKUP(INT(D40)+1,Tablas!$G$9:$O$1240,9,0)*(D40-INT(D40))+VLOOKUP(INT(D40),Tablas!$G$9:$O$1240,9,0)*(INT(D40)+1-D40))</f>
        <v>914909.31432559213</v>
      </c>
      <c r="H40" s="105">
        <f t="shared" ca="1" si="7"/>
        <v>1</v>
      </c>
      <c r="I40" s="106">
        <f t="shared" ca="1" si="2"/>
        <v>8.0155921325528789E-2</v>
      </c>
      <c r="J40" s="106">
        <f t="shared" ca="1" si="6"/>
        <v>6.8705075421881825E-2</v>
      </c>
      <c r="K40" s="105">
        <f t="shared" ca="1" si="3"/>
        <v>0.99089311781300615</v>
      </c>
      <c r="L40" s="75"/>
    </row>
    <row r="41" spans="2:12">
      <c r="B41" s="101">
        <f t="shared" ca="1" si="4"/>
        <v>53511</v>
      </c>
      <c r="C41" s="101">
        <f t="shared" ca="1" si="5"/>
        <v>53541</v>
      </c>
      <c r="D41" s="102">
        <f t="shared" ca="1" si="0"/>
        <v>69.081451060917175</v>
      </c>
      <c r="E41" s="103">
        <f t="shared" ca="1" si="1"/>
        <v>0.96948534711558454</v>
      </c>
      <c r="F41" s="104">
        <f ca="1">IF($C$4="Hombre",(+VLOOKUP(INT(D41)+1,Tablas!$G$9:$K$1240,5,0)*(D41-INT(D41))+VLOOKUP(INT(D41),Tablas!$G$9:$K$1240,5,0)*(INT(D41)+1-D41))/(VLOOKUP(INT($C$5)+1,Tablas!$G$9:$K$1240,5,0)*($C$5-INT($C$5))+VLOOKUP(INT($C$5),Tablas!$G$9:$K$124,5,0)*(INT($C$5)+1-$C$5)),(+VLOOKUP(INT(D41)+1,Tablas!$G$9:$O$1240,9,0)*(D41-INT(D41))+VLOOKUP(INT(D41),Tablas!$G$9:$O$1240,9,0)*(INT(D41)+1-D41))/(VLOOKUP(INT($C$5)+1,Tablas!$G$9:$O$1240,9,0)*($C$5-INT($C$5))+VLOOKUP(INT($C$5),Tablas!$G$9:$O$124,9,0)*(INT($C$5)+1-$C$5)))</f>
        <v>0.99049736897396035</v>
      </c>
      <c r="G41" s="97">
        <f ca="1">IF($C$4="Hombre",(+VLOOKUP(INT(D41)+1,Tablas!$G$9:$K$1240,5,0)*(D41-INT(D41))+VLOOKUP(INT(D41),Tablas!$G$9:$K$1240,5,0)*(INT(D41)+1-D41)),+VLOOKUP(INT(D41)+1,Tablas!$G$9:$O$1240,9,0)*(D41-INT(D41))+VLOOKUP(INT(D41),Tablas!$G$9:$O$1240,9,0)*(INT(D41)+1-D41))</f>
        <v>914543.91235390853</v>
      </c>
      <c r="H41" s="105">
        <f t="shared" ca="1" si="7"/>
        <v>1</v>
      </c>
      <c r="I41" s="106">
        <f t="shared" ca="1" si="2"/>
        <v>8.0022723798066089E-2</v>
      </c>
      <c r="J41" s="106">
        <f t="shared" ca="1" si="6"/>
        <v>6.8590906112628081E-2</v>
      </c>
      <c r="K41" s="105">
        <f t="shared" ca="1" si="3"/>
        <v>0.99049736897396035</v>
      </c>
      <c r="L41" s="75"/>
    </row>
    <row r="42" spans="2:12">
      <c r="B42" s="101">
        <f t="shared" ca="1" si="4"/>
        <v>53542</v>
      </c>
      <c r="C42" s="101">
        <f t="shared" ca="1" si="5"/>
        <v>53572</v>
      </c>
      <c r="D42" s="102">
        <f t="shared" ca="1" si="0"/>
        <v>69.166324435318273</v>
      </c>
      <c r="E42" s="103">
        <f t="shared" ca="1" si="1"/>
        <v>0.96826103378873962</v>
      </c>
      <c r="F42" s="104">
        <f ca="1">IF($C$4="Hombre",(+VLOOKUP(INT(D42)+1,Tablas!$G$9:$K$1240,5,0)*(D42-INT(D42))+VLOOKUP(INT(D42),Tablas!$G$9:$K$1240,5,0)*(INT(D42)+1-D42))/(VLOOKUP(INT($C$5)+1,Tablas!$G$9:$K$1240,5,0)*($C$5-INT($C$5))+VLOOKUP(INT($C$5),Tablas!$G$9:$K$124,5,0)*(INT($C$5)+1-$C$5)),(+VLOOKUP(INT(D42)+1,Tablas!$G$9:$O$1240,9,0)*(D42-INT(D42))+VLOOKUP(INT(D42),Tablas!$G$9:$O$1240,9,0)*(INT(D42)+1-D42))/(VLOOKUP(INT($C$5)+1,Tablas!$G$9:$O$1240,9,0)*($C$5-INT($C$5))+VLOOKUP(INT($C$5),Tablas!$G$9:$O$124,9,0)*(INT($C$5)+1-$C$5)))</f>
        <v>0.990101321050045</v>
      </c>
      <c r="G42" s="97">
        <f ca="1">IF($C$4="Hombre",(+VLOOKUP(INT(D42)+1,Tablas!$G$9:$K$1240,5,0)*(D42-INT(D42))+VLOOKUP(INT(D42),Tablas!$G$9:$K$1240,5,0)*(INT(D42)+1-D42)),+VLOOKUP(INT(D42)+1,Tablas!$G$9:$O$1240,9,0)*(D42-INT(D42))+VLOOKUP(INT(D42),Tablas!$G$9:$O$1240,9,0)*(INT(D42)+1-D42))</f>
        <v>914178.23423182289</v>
      </c>
      <c r="H42" s="105">
        <f t="shared" ca="1" si="7"/>
        <v>1</v>
      </c>
      <c r="I42" s="106">
        <f t="shared" ca="1" si="2"/>
        <v>7.9889710722959445E-2</v>
      </c>
      <c r="J42" s="106">
        <f t="shared" ca="1" si="6"/>
        <v>6.8476894905393812E-2</v>
      </c>
      <c r="K42" s="105">
        <f t="shared" ca="1" si="3"/>
        <v>0.990101321050045</v>
      </c>
      <c r="L42" s="75"/>
    </row>
    <row r="43" spans="2:12">
      <c r="B43" s="101">
        <f t="shared" ca="1" si="4"/>
        <v>53573</v>
      </c>
      <c r="C43" s="101">
        <f t="shared" ca="1" si="5"/>
        <v>53602</v>
      </c>
      <c r="D43" s="102">
        <f t="shared" ca="1" si="0"/>
        <v>69.248459958932244</v>
      </c>
      <c r="E43" s="103">
        <f t="shared" ca="1" si="1"/>
        <v>0.96707768657474491</v>
      </c>
      <c r="F43" s="104">
        <f ca="1">IF($C$4="Hombre",(+VLOOKUP(INT(D43)+1,Tablas!$G$9:$K$1240,5,0)*(D43-INT(D43))+VLOOKUP(INT(D43),Tablas!$G$9:$K$1240,5,0)*(INT(D43)+1-D43))/(VLOOKUP(INT($C$5)+1,Tablas!$G$9:$K$1240,5,0)*($C$5-INT($C$5))+VLOOKUP(INT($C$5),Tablas!$G$9:$K$124,5,0)*(INT($C$5)+1-$C$5)),(+VLOOKUP(INT(D43)+1,Tablas!$G$9:$O$1240,9,0)*(D43-INT(D43))+VLOOKUP(INT(D43),Tablas!$G$9:$O$1240,9,0)*(INT(D43)+1-D43))/(VLOOKUP(INT($C$5)+1,Tablas!$G$9:$O$1240,9,0)*($C$5-INT($C$5))+VLOOKUP(INT($C$5),Tablas!$G$9:$O$124,9,0)*(INT($C$5)+1-$C$5)))</f>
        <v>0.98971804886561066</v>
      </c>
      <c r="G43" s="97">
        <f ca="1">IF($C$4="Hombre",(+VLOOKUP(INT(D43)+1,Tablas!$G$9:$K$1240,5,0)*(D43-INT(D43))+VLOOKUP(INT(D43),Tablas!$G$9:$K$1240,5,0)*(INT(D43)+1-D43)),+VLOOKUP(INT(D43)+1,Tablas!$G$9:$O$1240,9,0)*(D43-INT(D43))+VLOOKUP(INT(D43),Tablas!$G$9:$O$1240,9,0)*(INT(D43)+1-D43))</f>
        <v>913824.35217819153</v>
      </c>
      <c r="H43" s="105">
        <f t="shared" ca="1" si="7"/>
        <v>1</v>
      </c>
      <c r="I43" s="106">
        <f t="shared" ca="1" si="2"/>
        <v>7.9761186754852095E-2</v>
      </c>
      <c r="J43" s="106">
        <f t="shared" ca="1" si="6"/>
        <v>6.8366731504158937E-2</v>
      </c>
      <c r="K43" s="105">
        <f t="shared" ca="1" si="3"/>
        <v>0.98971804886561066</v>
      </c>
      <c r="L43" s="75"/>
    </row>
    <row r="44" spans="2:12">
      <c r="B44" s="101">
        <f t="shared" ca="1" si="4"/>
        <v>53603</v>
      </c>
      <c r="C44" s="101">
        <f t="shared" ca="1" si="5"/>
        <v>53633</v>
      </c>
      <c r="D44" s="102">
        <f t="shared" ca="1" si="0"/>
        <v>69.333333333333329</v>
      </c>
      <c r="E44" s="103">
        <f t="shared" ca="1" si="1"/>
        <v>0.9658564137589255</v>
      </c>
      <c r="F44" s="104">
        <f ca="1">IF($C$4="Hombre",(+VLOOKUP(INT(D44)+1,Tablas!$G$9:$K$1240,5,0)*(D44-INT(D44))+VLOOKUP(INT(D44),Tablas!$G$9:$K$1240,5,0)*(INT(D44)+1-D44))/(VLOOKUP(INT($C$5)+1,Tablas!$G$9:$K$1240,5,0)*($C$5-INT($C$5))+VLOOKUP(INT($C$5),Tablas!$G$9:$K$124,5,0)*(INT($C$5)+1-$C$5)),(+VLOOKUP(INT(D44)+1,Tablas!$G$9:$O$1240,9,0)*(D44-INT(D44))+VLOOKUP(INT(D44),Tablas!$G$9:$O$1240,9,0)*(INT(D44)+1-D44))/(VLOOKUP(INT($C$5)+1,Tablas!$G$9:$O$1240,9,0)*($C$5-INT($C$5))+VLOOKUP(INT($C$5),Tablas!$G$9:$O$124,9,0)*(INT($C$5)+1-$C$5)))</f>
        <v>0.98932200094169553</v>
      </c>
      <c r="G44" s="97">
        <f ca="1">IF($C$4="Hombre",(+VLOOKUP(INT(D44)+1,Tablas!$G$9:$K$1240,5,0)*(D44-INT(D44))+VLOOKUP(INT(D44),Tablas!$G$9:$K$1240,5,0)*(INT(D44)+1-D44)),+VLOOKUP(INT(D44)+1,Tablas!$G$9:$O$1240,9,0)*(D44-INT(D44))+VLOOKUP(INT(D44),Tablas!$G$9:$O$1240,9,0)*(INT(D44)+1-D44))</f>
        <v>913458.67405610601</v>
      </c>
      <c r="H44" s="105">
        <f t="shared" ca="1" si="7"/>
        <v>1</v>
      </c>
      <c r="I44" s="106">
        <f t="shared" ca="1" si="2"/>
        <v>7.9628583323529192E-2</v>
      </c>
      <c r="J44" s="106">
        <f t="shared" ca="1" si="6"/>
        <v>6.8253071420167885E-2</v>
      </c>
      <c r="K44" s="105">
        <f t="shared" ca="1" si="3"/>
        <v>0.98932200094169553</v>
      </c>
      <c r="L44" s="75"/>
    </row>
    <row r="45" spans="2:12">
      <c r="B45" s="101">
        <f t="shared" ca="1" si="4"/>
        <v>53634</v>
      </c>
      <c r="C45" s="101">
        <f t="shared" ca="1" si="5"/>
        <v>53663</v>
      </c>
      <c r="D45" s="102">
        <f t="shared" ca="1" si="0"/>
        <v>69.4154688569473</v>
      </c>
      <c r="E45" s="103">
        <f t="shared" ca="1" si="1"/>
        <v>0.96467600531899445</v>
      </c>
      <c r="F45" s="104">
        <f ca="1">IF($C$4="Hombre",(+VLOOKUP(INT(D45)+1,Tablas!$G$9:$K$1240,5,0)*(D45-INT(D45))+VLOOKUP(INT(D45),Tablas!$G$9:$K$1240,5,0)*(INT(D45)+1-D45))/(VLOOKUP(INT($C$5)+1,Tablas!$G$9:$K$1240,5,0)*($C$5-INT($C$5))+VLOOKUP(INT($C$5),Tablas!$G$9:$K$124,5,0)*(INT($C$5)+1-$C$5)),(+VLOOKUP(INT(D45)+1,Tablas!$G$9:$O$1240,9,0)*(D45-INT(D45))+VLOOKUP(INT(D45),Tablas!$G$9:$O$1240,9,0)*(INT(D45)+1-D45))/(VLOOKUP(INT($C$5)+1,Tablas!$G$9:$O$1240,9,0)*($C$5-INT($C$5))+VLOOKUP(INT($C$5),Tablas!$G$9:$O$124,9,0)*(INT($C$5)+1-$C$5)))</f>
        <v>0.98893872875726108</v>
      </c>
      <c r="G45" s="97">
        <f ca="1">IF($C$4="Hombre",(+VLOOKUP(INT(D45)+1,Tablas!$G$9:$K$1240,5,0)*(D45-INT(D45))+VLOOKUP(INT(D45),Tablas!$G$9:$K$1240,5,0)*(INT(D45)+1-D45)),+VLOOKUP(INT(D45)+1,Tablas!$G$9:$O$1240,9,0)*(D45-INT(D45))+VLOOKUP(INT(D45),Tablas!$G$9:$O$1240,9,0)*(INT(D45)+1-D45))</f>
        <v>913104.79200247454</v>
      </c>
      <c r="H45" s="105">
        <f t="shared" ca="1" si="7"/>
        <v>1</v>
      </c>
      <c r="I45" s="106">
        <f t="shared" ca="1" si="2"/>
        <v>7.9500455196899925E-2</v>
      </c>
      <c r="J45" s="106">
        <f t="shared" ca="1" si="6"/>
        <v>0.13628649462325701</v>
      </c>
      <c r="K45" s="105">
        <f t="shared" ca="1" si="3"/>
        <v>0.98893872875726108</v>
      </c>
      <c r="L45" s="75"/>
    </row>
    <row r="46" spans="2:12">
      <c r="B46" s="101">
        <f t="shared" ca="1" si="4"/>
        <v>53664</v>
      </c>
      <c r="C46" s="101">
        <f t="shared" ca="1" si="5"/>
        <v>53694</v>
      </c>
      <c r="D46" s="102">
        <f t="shared" ca="1" si="0"/>
        <v>69.500342231348398</v>
      </c>
      <c r="E46" s="103">
        <f t="shared" ca="1" si="1"/>
        <v>0.96345776546326756</v>
      </c>
      <c r="F46" s="104">
        <f ca="1">IF($C$4="Hombre",(+VLOOKUP(INT(D46)+1,Tablas!$G$9:$K$1240,5,0)*(D46-INT(D46))+VLOOKUP(INT(D46),Tablas!$G$9:$K$1240,5,0)*(INT(D46)+1-D46))/(VLOOKUP(INT($C$5)+1,Tablas!$G$9:$K$1240,5,0)*($C$5-INT($C$5))+VLOOKUP(INT($C$5),Tablas!$G$9:$K$124,5,0)*(INT($C$5)+1-$C$5)),(+VLOOKUP(INT(D46)+1,Tablas!$G$9:$O$1240,9,0)*(D46-INT(D46))+VLOOKUP(INT(D46),Tablas!$G$9:$O$1240,9,0)*(INT(D46)+1-D46))/(VLOOKUP(INT($C$5)+1,Tablas!$G$9:$O$1240,9,0)*($C$5-INT($C$5))+VLOOKUP(INT($C$5),Tablas!$G$9:$O$124,9,0)*(INT($C$5)+1-$C$5)))</f>
        <v>0.98854268083334573</v>
      </c>
      <c r="G46" s="97">
        <f ca="1">IF($C$4="Hombre",(+VLOOKUP(INT(D46)+1,Tablas!$G$9:$K$1240,5,0)*(D46-INT(D46))+VLOOKUP(INT(D46),Tablas!$G$9:$K$1240,5,0)*(INT(D46)+1-D46)),+VLOOKUP(INT(D46)+1,Tablas!$G$9:$O$1240,9,0)*(D46-INT(D46))+VLOOKUP(INT(D46),Tablas!$G$9:$O$1240,9,0)*(INT(D46)+1-D46))</f>
        <v>912739.1138803889</v>
      </c>
      <c r="H46" s="105">
        <f t="shared" ca="1" si="7"/>
        <v>1</v>
      </c>
      <c r="I46" s="106">
        <f t="shared" ca="1" si="2"/>
        <v>7.9368260195063614E-2</v>
      </c>
      <c r="J46" s="106">
        <f t="shared" ca="1" si="6"/>
        <v>6.8029937310054536E-2</v>
      </c>
      <c r="K46" s="105">
        <f t="shared" ca="1" si="3"/>
        <v>0.98854268083334573</v>
      </c>
      <c r="L46" s="75"/>
    </row>
    <row r="47" spans="2:12">
      <c r="B47" s="101">
        <f t="shared" ca="1" si="4"/>
        <v>53695</v>
      </c>
      <c r="C47" s="101">
        <f t="shared" ca="1" si="5"/>
        <v>53725</v>
      </c>
      <c r="D47" s="102">
        <f t="shared" ca="1" si="0"/>
        <v>69.585215605749482</v>
      </c>
      <c r="E47" s="103">
        <f t="shared" ca="1" si="1"/>
        <v>0.96224106406017951</v>
      </c>
      <c r="F47" s="104">
        <f ca="1">IF($C$4="Hombre",(+VLOOKUP(INT(D47)+1,Tablas!$G$9:$K$1240,5,0)*(D47-INT(D47))+VLOOKUP(INT(D47),Tablas!$G$9:$K$1240,5,0)*(INT(D47)+1-D47))/(VLOOKUP(INT($C$5)+1,Tablas!$G$9:$K$1240,5,0)*($C$5-INT($C$5))+VLOOKUP(INT($C$5),Tablas!$G$9:$K$124,5,0)*(INT($C$5)+1-$C$5)),(+VLOOKUP(INT(D47)+1,Tablas!$G$9:$O$1240,9,0)*(D47-INT(D47))+VLOOKUP(INT(D47),Tablas!$G$9:$O$1240,9,0)*(INT(D47)+1-D47))/(VLOOKUP(INT($C$5)+1,Tablas!$G$9:$O$1240,9,0)*($C$5-INT($C$5))+VLOOKUP(INT($C$5),Tablas!$G$9:$O$124,9,0)*(INT($C$5)+1-$C$5)))</f>
        <v>0.9881466329094305</v>
      </c>
      <c r="G47" s="97">
        <f ca="1">IF($C$4="Hombre",(+VLOOKUP(INT(D47)+1,Tablas!$G$9:$K$1240,5,0)*(D47-INT(D47))+VLOOKUP(INT(D47),Tablas!$G$9:$K$1240,5,0)*(INT(D47)+1-D47)),+VLOOKUP(INT(D47)+1,Tablas!$G$9:$O$1240,9,0)*(D47-INT(D47))+VLOOKUP(INT(D47),Tablas!$G$9:$O$1240,9,0)*(INT(D47)+1-D47))</f>
        <v>912373.43575830327</v>
      </c>
      <c r="H47" s="105">
        <f t="shared" ca="1" si="7"/>
        <v>1</v>
      </c>
      <c r="I47" s="106">
        <f t="shared" ca="1" si="2"/>
        <v>7.9236272291521165E-2</v>
      </c>
      <c r="J47" s="106">
        <f t="shared" ca="1" si="6"/>
        <v>6.7916804821303856E-2</v>
      </c>
      <c r="K47" s="105">
        <f t="shared" ca="1" si="3"/>
        <v>0.9881466329094305</v>
      </c>
      <c r="L47" s="75"/>
    </row>
    <row r="48" spans="2:12">
      <c r="B48" s="101">
        <f t="shared" ca="1" si="4"/>
        <v>53726</v>
      </c>
      <c r="C48" s="101">
        <f t="shared" ca="1" si="5"/>
        <v>53753</v>
      </c>
      <c r="D48" s="102">
        <f t="shared" ca="1" si="0"/>
        <v>69.661875427789184</v>
      </c>
      <c r="E48" s="103">
        <f t="shared" ca="1" si="1"/>
        <v>0.96114342867093805</v>
      </c>
      <c r="F48" s="104">
        <f ca="1">IF($C$4="Hombre",(+VLOOKUP(INT(D48)+1,Tablas!$G$9:$K$1240,5,0)*(D48-INT(D48))+VLOOKUP(INT(D48),Tablas!$G$9:$K$1240,5,0)*(INT(D48)+1-D48))/(VLOOKUP(INT($C$5)+1,Tablas!$G$9:$K$1240,5,0)*($C$5-INT($C$5))+VLOOKUP(INT($C$5),Tablas!$G$9:$K$124,5,0)*(INT($C$5)+1-$C$5)),(+VLOOKUP(INT(D48)+1,Tablas!$G$9:$O$1240,9,0)*(D48-INT(D48))+VLOOKUP(INT(D48),Tablas!$G$9:$O$1240,9,0)*(INT(D48)+1-D48))/(VLOOKUP(INT($C$5)+1,Tablas!$G$9:$O$1240,9,0)*($C$5-INT($C$5))+VLOOKUP(INT($C$5),Tablas!$G$9:$O$124,9,0)*(INT($C$5)+1-$C$5)))</f>
        <v>0.98778891220395859</v>
      </c>
      <c r="G48" s="97">
        <f ca="1">IF($C$4="Hombre",(+VLOOKUP(INT(D48)+1,Tablas!$G$9:$K$1240,5,0)*(D48-INT(D48))+VLOOKUP(INT(D48),Tablas!$G$9:$K$1240,5,0)*(INT(D48)+1-D48)),+VLOOKUP(INT(D48)+1,Tablas!$G$9:$O$1240,9,0)*(D48-INT(D48))+VLOOKUP(INT(D48),Tablas!$G$9:$O$1240,9,0)*(INT(D48)+1-D48))</f>
        <v>912043.14584158082</v>
      </c>
      <c r="H48" s="105">
        <f t="shared" ca="1" si="7"/>
        <v>1</v>
      </c>
      <c r="I48" s="106">
        <f t="shared" ca="1" si="2"/>
        <v>7.9117235156570737E-2</v>
      </c>
      <c r="J48" s="106">
        <f t="shared" ca="1" si="6"/>
        <v>6.7814772991346348E-2</v>
      </c>
      <c r="K48" s="105">
        <f t="shared" ca="1" si="3"/>
        <v>0.98778891220395859</v>
      </c>
      <c r="L48" s="75"/>
    </row>
    <row r="49" spans="2:12">
      <c r="B49" s="101">
        <f t="shared" ca="1" si="4"/>
        <v>53754</v>
      </c>
      <c r="C49" s="101">
        <f t="shared" ca="1" si="5"/>
        <v>53784</v>
      </c>
      <c r="D49" s="102">
        <f t="shared" ca="1" si="0"/>
        <v>69.746748802190282</v>
      </c>
      <c r="E49" s="103">
        <f t="shared" ca="1" si="1"/>
        <v>0.9599296499250991</v>
      </c>
      <c r="F49" s="104">
        <f ca="1">IF($C$4="Hombre",(+VLOOKUP(INT(D49)+1,Tablas!$G$9:$K$1240,5,0)*(D49-INT(D49))+VLOOKUP(INT(D49),Tablas!$G$9:$K$1240,5,0)*(INT(D49)+1-D49))/(VLOOKUP(INT($C$5)+1,Tablas!$G$9:$K$1240,5,0)*($C$5-INT($C$5))+VLOOKUP(INT($C$5),Tablas!$G$9:$K$124,5,0)*(INT($C$5)+1-$C$5)),(+VLOOKUP(INT(D49)+1,Tablas!$G$9:$O$1240,9,0)*(D49-INT(D49))+VLOOKUP(INT(D49),Tablas!$G$9:$O$1240,9,0)*(INT(D49)+1-D49))/(VLOOKUP(INT($C$5)+1,Tablas!$G$9:$O$1240,9,0)*($C$5-INT($C$5))+VLOOKUP(INT($C$5),Tablas!$G$9:$O$124,9,0)*(INT($C$5)+1-$C$5)))</f>
        <v>0.98739286428004314</v>
      </c>
      <c r="G49" s="97">
        <f ca="1">IF($C$4="Hombre",(+VLOOKUP(INT(D49)+1,Tablas!$G$9:$K$1240,5,0)*(D49-INT(D49))+VLOOKUP(INT(D49),Tablas!$G$9:$K$1240,5,0)*(INT(D49)+1-D49)),+VLOOKUP(INT(D49)+1,Tablas!$G$9:$O$1240,9,0)*(D49-INT(D49))+VLOOKUP(INT(D49),Tablas!$G$9:$O$1240,9,0)*(INT(D49)+1-D49))</f>
        <v>911677.46771949506</v>
      </c>
      <c r="H49" s="105">
        <f t="shared" ca="1" si="7"/>
        <v>1</v>
      </c>
      <c r="I49" s="106">
        <f t="shared" ca="1" si="2"/>
        <v>7.8985640545573554E-2</v>
      </c>
      <c r="J49" s="106">
        <f t="shared" ca="1" si="6"/>
        <v>6.7701977610491612E-2</v>
      </c>
      <c r="K49" s="105">
        <f t="shared" ca="1" si="3"/>
        <v>0.98739286428004314</v>
      </c>
      <c r="L49" s="75"/>
    </row>
    <row r="50" spans="2:12">
      <c r="B50" s="101">
        <f t="shared" ca="1" si="4"/>
        <v>53785</v>
      </c>
      <c r="C50" s="101">
        <f t="shared" ca="1" si="5"/>
        <v>53814</v>
      </c>
      <c r="D50" s="102">
        <f t="shared" ca="1" si="0"/>
        <v>69.828884325804239</v>
      </c>
      <c r="E50" s="103">
        <f t="shared" ca="1" si="1"/>
        <v>0.95875648479996256</v>
      </c>
      <c r="F50" s="104">
        <f ca="1">IF($C$4="Hombre",(+VLOOKUP(INT(D50)+1,Tablas!$G$9:$K$1240,5,0)*(D50-INT(D50))+VLOOKUP(INT(D50),Tablas!$G$9:$K$1240,5,0)*(INT(D50)+1-D50))/(VLOOKUP(INT($C$5)+1,Tablas!$G$9:$K$1240,5,0)*($C$5-INT($C$5))+VLOOKUP(INT($C$5),Tablas!$G$9:$K$124,5,0)*(INT($C$5)+1-$C$5)),(+VLOOKUP(INT(D50)+1,Tablas!$G$9:$O$1240,9,0)*(D50-INT(D50))+VLOOKUP(INT(D50),Tablas!$G$9:$O$1240,9,0)*(INT(D50)+1-D50))/(VLOOKUP(INT($C$5)+1,Tablas!$G$9:$O$1240,9,0)*($C$5-INT($C$5))+VLOOKUP(INT($C$5),Tablas!$G$9:$O$124,9,0)*(INT($C$5)+1-$C$5)))</f>
        <v>0.9870095920956089</v>
      </c>
      <c r="G50" s="97">
        <f ca="1">IF($C$4="Hombre",(+VLOOKUP(INT(D50)+1,Tablas!$G$9:$K$1240,5,0)*(D50-INT(D50))+VLOOKUP(INT(D50),Tablas!$G$9:$K$1240,5,0)*(INT(D50)+1-D50)),+VLOOKUP(INT(D50)+1,Tablas!$G$9:$O$1240,9,0)*(D50-INT(D50))+VLOOKUP(INT(D50),Tablas!$G$9:$O$1240,9,0)*(INT(D50)+1-D50))</f>
        <v>911323.58566586371</v>
      </c>
      <c r="H50" s="105">
        <f t="shared" ca="1" si="7"/>
        <v>1</v>
      </c>
      <c r="I50" s="106">
        <f t="shared" ca="1" si="2"/>
        <v>7.8858487248452569E-2</v>
      </c>
      <c r="J50" s="106">
        <f t="shared" ca="1" si="6"/>
        <v>6.7592989070102208E-2</v>
      </c>
      <c r="K50" s="105">
        <f t="shared" ca="1" si="3"/>
        <v>0.9870095920956089</v>
      </c>
      <c r="L50" s="75"/>
    </row>
    <row r="51" spans="2:12">
      <c r="B51" s="101">
        <f t="shared" ca="1" si="4"/>
        <v>53815</v>
      </c>
      <c r="C51" s="101">
        <f t="shared" ca="1" si="5"/>
        <v>53845</v>
      </c>
      <c r="D51" s="102">
        <f t="shared" ca="1" si="0"/>
        <v>69.913757700205338</v>
      </c>
      <c r="E51" s="103">
        <f t="shared" ca="1" si="1"/>
        <v>0.95754572040312891</v>
      </c>
      <c r="F51" s="104">
        <f ca="1">IF($C$4="Hombre",(+VLOOKUP(INT(D51)+1,Tablas!$G$9:$K$1240,5,0)*(D51-INT(D51))+VLOOKUP(INT(D51),Tablas!$G$9:$K$1240,5,0)*(INT(D51)+1-D51))/(VLOOKUP(INT($C$5)+1,Tablas!$G$9:$K$1240,5,0)*($C$5-INT($C$5))+VLOOKUP(INT($C$5),Tablas!$G$9:$K$124,5,0)*(INT($C$5)+1-$C$5)),(+VLOOKUP(INT(D51)+1,Tablas!$G$9:$O$1240,9,0)*(D51-INT(D51))+VLOOKUP(INT(D51),Tablas!$G$9:$O$1240,9,0)*(INT(D51)+1-D51))/(VLOOKUP(INT($C$5)+1,Tablas!$G$9:$O$1240,9,0)*($C$5-INT($C$5))+VLOOKUP(INT($C$5),Tablas!$G$9:$O$124,9,0)*(INT($C$5)+1-$C$5)))</f>
        <v>0.98661354417169356</v>
      </c>
      <c r="G51" s="97">
        <f ca="1">IF($C$4="Hombre",(+VLOOKUP(INT(D51)+1,Tablas!$G$9:$K$1240,5,0)*(D51-INT(D51))+VLOOKUP(INT(D51),Tablas!$G$9:$K$1240,5,0)*(INT(D51)+1-D51)),+VLOOKUP(INT(D51)+1,Tablas!$G$9:$O$1240,9,0)*(D51-INT(D51))+VLOOKUP(INT(D51),Tablas!$G$9:$O$1240,9,0)*(INT(D51)+1-D51))</f>
        <v>910957.90754377807</v>
      </c>
      <c r="H51" s="105">
        <f t="shared" ca="1" si="7"/>
        <v>1</v>
      </c>
      <c r="I51" s="106">
        <f t="shared" ca="1" si="2"/>
        <v>7.8727298076114047E-2</v>
      </c>
      <c r="J51" s="106">
        <f t="shared" ca="1" si="6"/>
        <v>0.1349610824161955</v>
      </c>
      <c r="K51" s="105">
        <f t="shared" ca="1" si="3"/>
        <v>0.98661354417169356</v>
      </c>
      <c r="L51" s="75"/>
    </row>
    <row r="52" spans="2:12">
      <c r="B52" s="101">
        <f t="shared" ca="1" si="4"/>
        <v>53846</v>
      </c>
      <c r="C52" s="101">
        <f t="shared" ca="1" si="5"/>
        <v>53875</v>
      </c>
      <c r="D52" s="102">
        <f t="shared" ca="1" si="0"/>
        <v>69.995893223819309</v>
      </c>
      <c r="E52" s="103">
        <f t="shared" ca="1" si="1"/>
        <v>0.95637546876542978</v>
      </c>
      <c r="F52" s="104">
        <f ca="1">IF($C$4="Hombre",(+VLOOKUP(INT(D52)+1,Tablas!$G$9:$K$1240,5,0)*(D52-INT(D52))+VLOOKUP(INT(D52),Tablas!$G$9:$K$1240,5,0)*(INT(D52)+1-D52))/(VLOOKUP(INT($C$5)+1,Tablas!$G$9:$K$1240,5,0)*($C$5-INT($C$5))+VLOOKUP(INT($C$5),Tablas!$G$9:$K$124,5,0)*(INT($C$5)+1-$C$5)),(+VLOOKUP(INT(D52)+1,Tablas!$G$9:$O$1240,9,0)*(D52-INT(D52))+VLOOKUP(INT(D52),Tablas!$G$9:$O$1240,9,0)*(INT(D52)+1-D52))/(VLOOKUP(INT($C$5)+1,Tablas!$G$9:$O$1240,9,0)*($C$5-INT($C$5))+VLOOKUP(INT($C$5),Tablas!$G$9:$O$124,9,0)*(INT($C$5)+1-$C$5)))</f>
        <v>0.98623027198725943</v>
      </c>
      <c r="G52" s="97">
        <f ca="1">IF($C$4="Hombre",(+VLOOKUP(INT(D52)+1,Tablas!$G$9:$K$1240,5,0)*(D52-INT(D52))+VLOOKUP(INT(D52),Tablas!$G$9:$K$1240,5,0)*(INT(D52)+1-D52)),+VLOOKUP(INT(D52)+1,Tablas!$G$9:$O$1240,9,0)*(D52-INT(D52))+VLOOKUP(INT(D52),Tablas!$G$9:$O$1240,9,0)*(INT(D52)+1-D52))</f>
        <v>910604.02549014683</v>
      </c>
      <c r="H52" s="105">
        <f t="shared" ca="1" si="7"/>
        <v>1</v>
      </c>
      <c r="I52" s="106">
        <f t="shared" ca="1" si="2"/>
        <v>7.8600536556872713E-2</v>
      </c>
      <c r="J52" s="106">
        <f t="shared" ca="1" si="6"/>
        <v>6.7371888477319467E-2</v>
      </c>
      <c r="K52" s="105">
        <f t="shared" ca="1" si="3"/>
        <v>0.98623027198725943</v>
      </c>
      <c r="L52" s="75"/>
    </row>
    <row r="53" spans="2:12">
      <c r="B53" s="101">
        <f t="shared" ca="1" si="4"/>
        <v>53876</v>
      </c>
      <c r="C53" s="101">
        <f t="shared" ca="1" si="5"/>
        <v>53906</v>
      </c>
      <c r="D53" s="102">
        <f t="shared" ca="1" si="0"/>
        <v>70.080766598220393</v>
      </c>
      <c r="E53" s="103">
        <f t="shared" ca="1" si="1"/>
        <v>0.95516771123164068</v>
      </c>
      <c r="F53" s="104">
        <f ca="1">IF($C$4="Hombre",(+VLOOKUP(INT(D53)+1,Tablas!$G$9:$K$1240,5,0)*(D53-INT(D53))+VLOOKUP(INT(D53),Tablas!$G$9:$K$1240,5,0)*(INT(D53)+1-D53))/(VLOOKUP(INT($C$5)+1,Tablas!$G$9:$K$1240,5,0)*($C$5-INT($C$5))+VLOOKUP(INT($C$5),Tablas!$G$9:$K$124,5,0)*(INT($C$5)+1-$C$5)),(+VLOOKUP(INT(D53)+1,Tablas!$G$9:$O$1240,9,0)*(D53-INT(D53))+VLOOKUP(INT(D53),Tablas!$G$9:$O$1240,9,0)*(INT(D53)+1-D53))/(VLOOKUP(INT($C$5)+1,Tablas!$G$9:$O$1240,9,0)*($C$5-INT($C$5))+VLOOKUP(INT($C$5),Tablas!$G$9:$O$124,9,0)*(INT($C$5)+1-$C$5)))</f>
        <v>0.98581957116776409</v>
      </c>
      <c r="G53" s="97">
        <f ca="1">IF($C$4="Hombre",(+VLOOKUP(INT(D53)+1,Tablas!$G$9:$K$1240,5,0)*(D53-INT(D53))+VLOOKUP(INT(D53),Tablas!$G$9:$K$1240,5,0)*(INT(D53)+1-D53)),+VLOOKUP(INT(D53)+1,Tablas!$G$9:$O$1240,9,0)*(D53-INT(D53))+VLOOKUP(INT(D53),Tablas!$G$9:$O$1240,9,0)*(INT(D53)+1-D53))</f>
        <v>910224.81808785233</v>
      </c>
      <c r="H53" s="105">
        <f t="shared" ca="1" si="7"/>
        <v>1</v>
      </c>
      <c r="I53" s="106">
        <f t="shared" ca="1" si="2"/>
        <v>7.8468585289972567E-2</v>
      </c>
      <c r="J53" s="106">
        <f t="shared" ca="1" si="6"/>
        <v>6.7258787391405048E-2</v>
      </c>
      <c r="K53" s="105">
        <f t="shared" ca="1" si="3"/>
        <v>0.98581957116776409</v>
      </c>
      <c r="L53" s="75"/>
    </row>
    <row r="54" spans="2:12">
      <c r="B54" s="101">
        <f t="shared" ca="1" si="4"/>
        <v>53907</v>
      </c>
      <c r="C54" s="101">
        <f t="shared" ca="1" si="5"/>
        <v>53937</v>
      </c>
      <c r="D54" s="102">
        <f t="shared" ca="1" si="0"/>
        <v>70.165639972621491</v>
      </c>
      <c r="E54" s="103">
        <f t="shared" ca="1" si="1"/>
        <v>0.95396147891290373</v>
      </c>
      <c r="F54" s="104">
        <f ca="1">IF($C$4="Hombre",(+VLOOKUP(INT(D54)+1,Tablas!$G$9:$K$1240,5,0)*(D54-INT(D54))+VLOOKUP(INT(D54),Tablas!$G$9:$K$1240,5,0)*(INT(D54)+1-D54))/(VLOOKUP(INT($C$5)+1,Tablas!$G$9:$K$1240,5,0)*($C$5-INT($C$5))+VLOOKUP(INT($C$5),Tablas!$G$9:$K$124,5,0)*(INT($C$5)+1-$C$5)),(+VLOOKUP(INT(D54)+1,Tablas!$G$9:$O$1240,9,0)*(D54-INT(D54))+VLOOKUP(INT(D54),Tablas!$G$9:$O$1240,9,0)*(INT(D54)+1-D54))/(VLOOKUP(INT($C$5)+1,Tablas!$G$9:$O$1240,9,0)*($C$5-INT($C$5))+VLOOKUP(INT($C$5),Tablas!$G$9:$O$124,9,0)*(INT($C$5)+1-$C$5)))</f>
        <v>0.98540812528578192</v>
      </c>
      <c r="G54" s="97">
        <f ca="1">IF($C$4="Hombre",(+VLOOKUP(INT(D54)+1,Tablas!$G$9:$K$1240,5,0)*(D54-INT(D54))+VLOOKUP(INT(D54),Tablas!$G$9:$K$1240,5,0)*(INT(D54)+1-D54)),+VLOOKUP(INT(D54)+1,Tablas!$G$9:$O$1240,9,0)*(D54-INT(D54))+VLOOKUP(INT(D54),Tablas!$G$9:$O$1240,9,0)*(INT(D54)+1-D54))</f>
        <v>909844.92275605584</v>
      </c>
      <c r="H54" s="105">
        <f t="shared" ca="1" si="7"/>
        <v>1</v>
      </c>
      <c r="I54" s="106">
        <f t="shared" ca="1" si="2"/>
        <v>7.8336782710868039E-2</v>
      </c>
      <c r="J54" s="106">
        <f t="shared" ca="1" si="6"/>
        <v>6.7145813752172614E-2</v>
      </c>
      <c r="K54" s="105">
        <f t="shared" ca="1" si="3"/>
        <v>0.98540812528578192</v>
      </c>
      <c r="L54" s="75"/>
    </row>
    <row r="55" spans="2:12">
      <c r="B55" s="101">
        <f t="shared" ca="1" si="4"/>
        <v>53938</v>
      </c>
      <c r="C55" s="101">
        <f t="shared" ca="1" si="5"/>
        <v>53967</v>
      </c>
      <c r="D55" s="102">
        <f t="shared" ca="1" si="0"/>
        <v>70.247775496235448</v>
      </c>
      <c r="E55" s="103">
        <f t="shared" ca="1" si="1"/>
        <v>0.95279560770778826</v>
      </c>
      <c r="F55" s="104">
        <f ca="1">IF($C$4="Hombre",(+VLOOKUP(INT(D55)+1,Tablas!$G$9:$K$1240,5,0)*(D55-INT(D55))+VLOOKUP(INT(D55),Tablas!$G$9:$K$1240,5,0)*(INT(D55)+1-D55))/(VLOOKUP(INT($C$5)+1,Tablas!$G$9:$K$1240,5,0)*($C$5-INT($C$5))+VLOOKUP(INT($C$5),Tablas!$G$9:$K$124,5,0)*(INT($C$5)+1-$C$5)),(+VLOOKUP(INT(D55)+1,Tablas!$G$9:$O$1240,9,0)*(D55-INT(D55))+VLOOKUP(INT(D55),Tablas!$G$9:$O$1240,9,0)*(INT(D55)+1-D55))/(VLOOKUP(INT($C$5)+1,Tablas!$G$9:$O$1240,9,0)*($C$5-INT($C$5))+VLOOKUP(INT($C$5),Tablas!$G$9:$O$124,9,0)*(INT($C$5)+1-$C$5)))</f>
        <v>0.98500995185160567</v>
      </c>
      <c r="G55" s="97">
        <f ca="1">IF($C$4="Hombre",(+VLOOKUP(INT(D55)+1,Tablas!$G$9:$K$1240,5,0)*(D55-INT(D55))+VLOOKUP(INT(D55),Tablas!$G$9:$K$1240,5,0)*(INT(D55)+1-D55)),+VLOOKUP(INT(D55)+1,Tablas!$G$9:$O$1240,9,0)*(D55-INT(D55))+VLOOKUP(INT(D55),Tablas!$G$9:$O$1240,9,0)*(INT(D55)+1-D55))</f>
        <v>909477.28211238189</v>
      </c>
      <c r="H55" s="105">
        <f t="shared" ca="1" si="7"/>
        <v>1</v>
      </c>
      <c r="I55" s="106">
        <f t="shared" ca="1" si="2"/>
        <v>7.820942963938915E-2</v>
      </c>
      <c r="J55" s="106">
        <f t="shared" ca="1" si="6"/>
        <v>6.7036653976619273E-2</v>
      </c>
      <c r="K55" s="105">
        <f t="shared" ca="1" si="3"/>
        <v>0.98500995185160567</v>
      </c>
      <c r="L55" s="75"/>
    </row>
    <row r="56" spans="2:12">
      <c r="B56" s="101">
        <f t="shared" ca="1" si="4"/>
        <v>53968</v>
      </c>
      <c r="C56" s="101">
        <f t="shared" ca="1" si="5"/>
        <v>53998</v>
      </c>
      <c r="D56" s="102">
        <f t="shared" ca="1" si="0"/>
        <v>70.332648870636547</v>
      </c>
      <c r="E56" s="103">
        <f t="shared" ca="1" si="1"/>
        <v>0.95159237099694316</v>
      </c>
      <c r="F56" s="104">
        <f ca="1">IF($C$4="Hombre",(+VLOOKUP(INT(D56)+1,Tablas!$G$9:$K$1240,5,0)*(D56-INT(D56))+VLOOKUP(INT(D56),Tablas!$G$9:$K$1240,5,0)*(INT(D56)+1-D56))/(VLOOKUP(INT($C$5)+1,Tablas!$G$9:$K$1240,5,0)*($C$5-INT($C$5))+VLOOKUP(INT($C$5),Tablas!$G$9:$K$124,5,0)*(INT($C$5)+1-$C$5)),(+VLOOKUP(INT(D56)+1,Tablas!$G$9:$O$1240,9,0)*(D56-INT(D56))+VLOOKUP(INT(D56),Tablas!$G$9:$O$1240,9,0)*(INT(D56)+1-D56))/(VLOOKUP(INT($C$5)+1,Tablas!$G$9:$O$1240,9,0)*($C$5-INT($C$5))+VLOOKUP(INT($C$5),Tablas!$G$9:$O$124,9,0)*(INT($C$5)+1-$C$5)))</f>
        <v>0.98459850596962317</v>
      </c>
      <c r="G56" s="97">
        <f ca="1">IF($C$4="Hombre",(+VLOOKUP(INT(D56)+1,Tablas!$G$9:$K$1240,5,0)*(D56-INT(D56))+VLOOKUP(INT(D56),Tablas!$G$9:$K$1240,5,0)*(INT(D56)+1-D56)),+VLOOKUP(INT(D56)+1,Tablas!$G$9:$O$1240,9,0)*(D56-INT(D56))+VLOOKUP(INT(D56),Tablas!$G$9:$O$1240,9,0)*(INT(D56)+1-D56))</f>
        <v>909097.38678058516</v>
      </c>
      <c r="H56" s="105">
        <f t="shared" ca="1" si="7"/>
        <v>1</v>
      </c>
      <c r="I56" s="106">
        <f t="shared" ca="1" si="2"/>
        <v>7.807803556464013E-2</v>
      </c>
      <c r="J56" s="106">
        <f t="shared" ca="1" si="6"/>
        <v>6.6924030483977257E-2</v>
      </c>
      <c r="K56" s="105">
        <f t="shared" ca="1" si="3"/>
        <v>0.98459850596962317</v>
      </c>
      <c r="L56" s="75"/>
    </row>
    <row r="57" spans="2:12">
      <c r="B57" s="101">
        <f t="shared" ca="1" si="4"/>
        <v>53999</v>
      </c>
      <c r="C57" s="101">
        <f t="shared" ca="1" si="5"/>
        <v>54028</v>
      </c>
      <c r="D57" s="102">
        <f t="shared" ca="1" si="0"/>
        <v>70.414784394250518</v>
      </c>
      <c r="E57" s="103">
        <f t="shared" ca="1" si="1"/>
        <v>0.95042939516523828</v>
      </c>
      <c r="F57" s="104">
        <f ca="1">IF($C$4="Hombre",(+VLOOKUP(INT(D57)+1,Tablas!$G$9:$K$1240,5,0)*(D57-INT(D57))+VLOOKUP(INT(D57),Tablas!$G$9:$K$1240,5,0)*(INT(D57)+1-D57))/(VLOOKUP(INT($C$5)+1,Tablas!$G$9:$K$1240,5,0)*($C$5-INT($C$5))+VLOOKUP(INT($C$5),Tablas!$G$9:$K$124,5,0)*(INT($C$5)+1-$C$5)),(+VLOOKUP(INT(D57)+1,Tablas!$G$9:$O$1240,9,0)*(D57-INT(D57))+VLOOKUP(INT(D57),Tablas!$G$9:$O$1240,9,0)*(INT(D57)+1-D57))/(VLOOKUP(INT($C$5)+1,Tablas!$G$9:$O$1240,9,0)*($C$5-INT($C$5))+VLOOKUP(INT($C$5),Tablas!$G$9:$O$124,9,0)*(INT($C$5)+1-$C$5)))</f>
        <v>0.98420033253544681</v>
      </c>
      <c r="G57" s="97">
        <f ca="1">IF($C$4="Hombre",(+VLOOKUP(INT(D57)+1,Tablas!$G$9:$K$1240,5,0)*(D57-INT(D57))+VLOOKUP(INT(D57),Tablas!$G$9:$K$1240,5,0)*(INT(D57)+1-D57)),+VLOOKUP(INT(D57)+1,Tablas!$G$9:$O$1240,9,0)*(D57-INT(D57))+VLOOKUP(INT(D57),Tablas!$G$9:$O$1240,9,0)*(INT(D57)+1-D57))</f>
        <v>908729.7461369111</v>
      </c>
      <c r="H57" s="105">
        <f t="shared" ca="1" si="7"/>
        <v>1</v>
      </c>
      <c r="I57" s="106">
        <f t="shared" ca="1" si="2"/>
        <v>7.7951077231090918E-2</v>
      </c>
      <c r="J57" s="106">
        <f t="shared" ca="1" si="6"/>
        <v>0.13363041811044157</v>
      </c>
      <c r="K57" s="105">
        <f t="shared" ca="1" si="3"/>
        <v>0.98420033253544681</v>
      </c>
      <c r="L57" s="75"/>
    </row>
    <row r="58" spans="2:12">
      <c r="B58" s="101">
        <f t="shared" ca="1" si="4"/>
        <v>54029</v>
      </c>
      <c r="C58" s="101">
        <f t="shared" ca="1" si="5"/>
        <v>54059</v>
      </c>
      <c r="D58" s="102">
        <f t="shared" ca="1" si="0"/>
        <v>70.499657768651602</v>
      </c>
      <c r="E58" s="103">
        <f t="shared" ca="1" si="1"/>
        <v>0.94922914662286717</v>
      </c>
      <c r="F58" s="104">
        <f ca="1">IF($C$4="Hombre",(+VLOOKUP(INT(D58)+1,Tablas!$G$9:$K$1240,5,0)*(D58-INT(D58))+VLOOKUP(INT(D58),Tablas!$G$9:$K$1240,5,0)*(INT(D58)+1-D58))/(VLOOKUP(INT($C$5)+1,Tablas!$G$9:$K$1240,5,0)*($C$5-INT($C$5))+VLOOKUP(INT($C$5),Tablas!$G$9:$K$124,5,0)*(INT($C$5)+1-$C$5)),(+VLOOKUP(INT(D58)+1,Tablas!$G$9:$O$1240,9,0)*(D58-INT(D58))+VLOOKUP(INT(D58),Tablas!$G$9:$O$1240,9,0)*(INT(D58)+1-D58))/(VLOOKUP(INT($C$5)+1,Tablas!$G$9:$O$1240,9,0)*($C$5-INT($C$5))+VLOOKUP(INT($C$5),Tablas!$G$9:$O$124,9,0)*(INT($C$5)+1-$C$5)))</f>
        <v>0.98378888665346464</v>
      </c>
      <c r="G58" s="97">
        <f ca="1">IF($C$4="Hombre",(+VLOOKUP(INT(D58)+1,Tablas!$G$9:$K$1240,5,0)*(D58-INT(D58))+VLOOKUP(INT(D58),Tablas!$G$9:$K$1240,5,0)*(INT(D58)+1-D58)),+VLOOKUP(INT(D58)+1,Tablas!$G$9:$O$1240,9,0)*(D58-INT(D58))+VLOOKUP(INT(D58),Tablas!$G$9:$O$1240,9,0)*(INT(D58)+1-D58))</f>
        <v>908349.85080511461</v>
      </c>
      <c r="H58" s="105">
        <f t="shared" ca="1" si="7"/>
        <v>1</v>
      </c>
      <c r="I58" s="106">
        <f t="shared" ca="1" si="2"/>
        <v>7.7820090444594064E-2</v>
      </c>
      <c r="J58" s="106">
        <f t="shared" ca="1" si="6"/>
        <v>6.6702934666794916E-2</v>
      </c>
      <c r="K58" s="105">
        <f t="shared" ca="1" si="3"/>
        <v>0.98378888665346464</v>
      </c>
      <c r="L58" s="75"/>
    </row>
    <row r="59" spans="2:12">
      <c r="B59" s="101">
        <f t="shared" ca="1" si="4"/>
        <v>54060</v>
      </c>
      <c r="C59" s="101">
        <f t="shared" ca="1" si="5"/>
        <v>54090</v>
      </c>
      <c r="D59" s="102">
        <f t="shared" ca="1" si="0"/>
        <v>70.5845311430527</v>
      </c>
      <c r="E59" s="103">
        <f t="shared" ca="1" si="1"/>
        <v>0.94803041381282771</v>
      </c>
      <c r="F59" s="104">
        <f ca="1">IF($C$4="Hombre",(+VLOOKUP(INT(D59)+1,Tablas!$G$9:$K$1240,5,0)*(D59-INT(D59))+VLOOKUP(INT(D59),Tablas!$G$9:$K$1240,5,0)*(INT(D59)+1-D59))/(VLOOKUP(INT($C$5)+1,Tablas!$G$9:$K$1240,5,0)*($C$5-INT($C$5))+VLOOKUP(INT($C$5),Tablas!$G$9:$K$124,5,0)*(INT($C$5)+1-$C$5)),(+VLOOKUP(INT(D59)+1,Tablas!$G$9:$O$1240,9,0)*(D59-INT(D59))+VLOOKUP(INT(D59),Tablas!$G$9:$O$1240,9,0)*(INT(D59)+1-D59))/(VLOOKUP(INT($C$5)+1,Tablas!$G$9:$O$1240,9,0)*($C$5-INT($C$5))+VLOOKUP(INT($C$5),Tablas!$G$9:$O$124,9,0)*(INT($C$5)+1-$C$5)))</f>
        <v>0.98337744077148226</v>
      </c>
      <c r="G59" s="97">
        <f ca="1">IF($C$4="Hombre",(+VLOOKUP(INT(D59)+1,Tablas!$G$9:$K$1240,5,0)*(D59-INT(D59))+VLOOKUP(INT(D59),Tablas!$G$9:$K$1240,5,0)*(INT(D59)+1-D59)),+VLOOKUP(INT(D59)+1,Tablas!$G$9:$O$1240,9,0)*(D59-INT(D59))+VLOOKUP(INT(D59),Tablas!$G$9:$O$1240,9,0)*(INT(D59)+1-D59))</f>
        <v>907969.955473318</v>
      </c>
      <c r="H59" s="105">
        <f t="shared" ca="1" si="7"/>
        <v>1</v>
      </c>
      <c r="I59" s="106">
        <f t="shared" ca="1" si="2"/>
        <v>7.7689310175732315E-2</v>
      </c>
      <c r="J59" s="106">
        <f t="shared" ca="1" si="6"/>
        <v>6.6590837293484834E-2</v>
      </c>
      <c r="K59" s="105">
        <f t="shared" ca="1" si="3"/>
        <v>0.98337744077148226</v>
      </c>
      <c r="L59" s="75"/>
    </row>
    <row r="60" spans="2:12">
      <c r="B60" s="101">
        <f t="shared" ca="1" si="4"/>
        <v>54091</v>
      </c>
      <c r="C60" s="101">
        <f t="shared" ca="1" si="5"/>
        <v>54119</v>
      </c>
      <c r="D60" s="102">
        <f t="shared" ca="1" si="0"/>
        <v>70.66392881587953</v>
      </c>
      <c r="E60" s="103">
        <f t="shared" ca="1" si="1"/>
        <v>0.94691038911083036</v>
      </c>
      <c r="F60" s="104">
        <f ca="1">IF($C$4="Hombre",(+VLOOKUP(INT(D60)+1,Tablas!$G$9:$K$1240,5,0)*(D60-INT(D60))+VLOOKUP(INT(D60),Tablas!$G$9:$K$1240,5,0)*(INT(D60)+1-D60))/(VLOOKUP(INT($C$5)+1,Tablas!$G$9:$K$1240,5,0)*($C$5-INT($C$5))+VLOOKUP(INT($C$5),Tablas!$G$9:$K$124,5,0)*(INT($C$5)+1-$C$5)),(+VLOOKUP(INT(D60)+1,Tablas!$G$9:$O$1240,9,0)*(D60-INT(D60))+VLOOKUP(INT(D60),Tablas!$G$9:$O$1240,9,0)*(INT(D60)+1-D60))/(VLOOKUP(INT($C$5)+1,Tablas!$G$9:$O$1240,9,0)*($C$5-INT($C$5))+VLOOKUP(INT($C$5),Tablas!$G$9:$O$124,9,0)*(INT($C$5)+1-$C$5)))</f>
        <v>0.9829925397851117</v>
      </c>
      <c r="G60" s="97">
        <f ca="1">IF($C$4="Hombre",(+VLOOKUP(INT(D60)+1,Tablas!$G$9:$K$1240,5,0)*(D60-INT(D60))+VLOOKUP(INT(D60),Tablas!$G$9:$K$1240,5,0)*(INT(D60)+1-D60)),+VLOOKUP(INT(D60)+1,Tablas!$G$9:$O$1240,9,0)*(D60-INT(D60))+VLOOKUP(INT(D60),Tablas!$G$9:$O$1240,9,0)*(INT(D60)+1-D60))</f>
        <v>907614.56951776636</v>
      </c>
      <c r="H60" s="105">
        <f t="shared" ca="1" si="7"/>
        <v>1</v>
      </c>
      <c r="I60" s="106">
        <f t="shared" ca="1" si="2"/>
        <v>7.7567154028413618E-2</v>
      </c>
      <c r="J60" s="106">
        <f t="shared" ca="1" si="6"/>
        <v>6.6486132024354522E-2</v>
      </c>
      <c r="K60" s="105">
        <f t="shared" ca="1" si="3"/>
        <v>0.9829925397851117</v>
      </c>
      <c r="L60" s="75"/>
    </row>
    <row r="61" spans="2:12">
      <c r="B61" s="101">
        <f t="shared" ca="1" si="4"/>
        <v>54120</v>
      </c>
      <c r="C61" s="101">
        <f t="shared" ca="1" si="5"/>
        <v>54150</v>
      </c>
      <c r="D61" s="102">
        <f t="shared" ca="1" si="0"/>
        <v>70.748802190280628</v>
      </c>
      <c r="E61" s="103">
        <f t="shared" ca="1" si="1"/>
        <v>0.94571458454074031</v>
      </c>
      <c r="F61" s="104">
        <f ca="1">IF($C$4="Hombre",(+VLOOKUP(INT(D61)+1,Tablas!$G$9:$K$1240,5,0)*(D61-INT(D61))+VLOOKUP(INT(D61),Tablas!$G$9:$K$1240,5,0)*(INT(D61)+1-D61))/(VLOOKUP(INT($C$5)+1,Tablas!$G$9:$K$1240,5,0)*($C$5-INT($C$5))+VLOOKUP(INT($C$5),Tablas!$G$9:$K$124,5,0)*(INT($C$5)+1-$C$5)),(+VLOOKUP(INT(D61)+1,Tablas!$G$9:$O$1240,9,0)*(D61-INT(D61))+VLOOKUP(INT(D61),Tablas!$G$9:$O$1240,9,0)*(INT(D61)+1-D61))/(VLOOKUP(INT($C$5)+1,Tablas!$G$9:$O$1240,9,0)*($C$5-INT($C$5))+VLOOKUP(INT($C$5),Tablas!$G$9:$O$124,9,0)*(INT($C$5)+1-$C$5)))</f>
        <v>0.98258109390312953</v>
      </c>
      <c r="G61" s="97">
        <f ca="1">IF($C$4="Hombre",(+VLOOKUP(INT(D61)+1,Tablas!$G$9:$K$1240,5,0)*(D61-INT(D61))+VLOOKUP(INT(D61),Tablas!$G$9:$K$1240,5,0)*(INT(D61)+1-D61)),+VLOOKUP(INT(D61)+1,Tablas!$G$9:$O$1240,9,0)*(D61-INT(D61))+VLOOKUP(INT(D61),Tablas!$G$9:$O$1240,9,0)*(INT(D61)+1-D61))</f>
        <v>907234.67418596987</v>
      </c>
      <c r="H61" s="105">
        <f t="shared" ca="1" si="7"/>
        <v>1</v>
      </c>
      <c r="I61" s="106">
        <f t="shared" ca="1" si="2"/>
        <v>7.7436772583182018E-2</v>
      </c>
      <c r="J61" s="106">
        <f t="shared" ca="1" si="6"/>
        <v>6.6374376499870297E-2</v>
      </c>
      <c r="K61" s="105">
        <f t="shared" ca="1" si="3"/>
        <v>0.98258109390312953</v>
      </c>
      <c r="L61" s="75"/>
    </row>
    <row r="62" spans="2:12">
      <c r="B62" s="101">
        <f t="shared" ca="1" si="4"/>
        <v>54151</v>
      </c>
      <c r="C62" s="101">
        <f t="shared" ca="1" si="5"/>
        <v>54180</v>
      </c>
      <c r="D62" s="102">
        <f t="shared" ca="1" si="0"/>
        <v>70.830937713894599</v>
      </c>
      <c r="E62" s="103">
        <f t="shared" ca="1" si="1"/>
        <v>0.94455879216678573</v>
      </c>
      <c r="F62" s="104">
        <f ca="1">IF($C$4="Hombre",(+VLOOKUP(INT(D62)+1,Tablas!$G$9:$K$1240,5,0)*(D62-INT(D62))+VLOOKUP(INT(D62),Tablas!$G$9:$K$1240,5,0)*(INT(D62)+1-D62))/(VLOOKUP(INT($C$5)+1,Tablas!$G$9:$K$1240,5,0)*($C$5-INT($C$5))+VLOOKUP(INT($C$5),Tablas!$G$9:$K$124,5,0)*(INT($C$5)+1-$C$5)),(+VLOOKUP(INT(D62)+1,Tablas!$G$9:$O$1240,9,0)*(D62-INT(D62))+VLOOKUP(INT(D62),Tablas!$G$9:$O$1240,9,0)*(INT(D62)+1-D62))/(VLOOKUP(INT($C$5)+1,Tablas!$G$9:$O$1240,9,0)*($C$5-INT($C$5))+VLOOKUP(INT($C$5),Tablas!$G$9:$O$124,9,0)*(INT($C$5)+1-$C$5)))</f>
        <v>0.98218292046895306</v>
      </c>
      <c r="G62" s="97">
        <f ca="1">IF($C$4="Hombre",(+VLOOKUP(INT(D62)+1,Tablas!$G$9:$K$1240,5,0)*(D62-INT(D62))+VLOOKUP(INT(D62),Tablas!$G$9:$K$1240,5,0)*(INT(D62)+1-D62)),+VLOOKUP(INT(D62)+1,Tablas!$G$9:$O$1240,9,0)*(D62-INT(D62))+VLOOKUP(INT(D62),Tablas!$G$9:$O$1240,9,0)*(INT(D62)+1-D62))</f>
        <v>906867.03354229569</v>
      </c>
      <c r="H62" s="105">
        <f t="shared" ca="1" si="7"/>
        <v>1</v>
      </c>
      <c r="I62" s="106">
        <f t="shared" ca="1" si="2"/>
        <v>7.7310792753750038E-2</v>
      </c>
      <c r="J62" s="106">
        <f t="shared" ca="1" si="6"/>
        <v>6.626639378892861E-2</v>
      </c>
      <c r="K62" s="105">
        <f t="shared" ca="1" si="3"/>
        <v>0.98218292046895306</v>
      </c>
      <c r="L62" s="75"/>
    </row>
    <row r="63" spans="2:12">
      <c r="B63" s="101">
        <f t="shared" ca="1" si="4"/>
        <v>54181</v>
      </c>
      <c r="C63" s="101">
        <f t="shared" ca="1" si="5"/>
        <v>54211</v>
      </c>
      <c r="D63" s="102">
        <f t="shared" ca="1" si="0"/>
        <v>70.915811088295683</v>
      </c>
      <c r="E63" s="103">
        <f t="shared" ca="1" si="1"/>
        <v>0.94336595730787964</v>
      </c>
      <c r="F63" s="104">
        <f ca="1">IF($C$4="Hombre",(+VLOOKUP(INT(D63)+1,Tablas!$G$9:$K$1240,5,0)*(D63-INT(D63))+VLOOKUP(INT(D63),Tablas!$G$9:$K$1240,5,0)*(INT(D63)+1-D63))/(VLOOKUP(INT($C$5)+1,Tablas!$G$9:$K$1240,5,0)*($C$5-INT($C$5))+VLOOKUP(INT($C$5),Tablas!$G$9:$K$124,5,0)*(INT($C$5)+1-$C$5)),(+VLOOKUP(INT(D63)+1,Tablas!$G$9:$O$1240,9,0)*(D63-INT(D63))+VLOOKUP(INT(D63),Tablas!$G$9:$O$1240,9,0)*(INT(D63)+1-D63))/(VLOOKUP(INT($C$5)+1,Tablas!$G$9:$O$1240,9,0)*($C$5-INT($C$5))+VLOOKUP(INT($C$5),Tablas!$G$9:$O$124,9,0)*(INT($C$5)+1-$C$5)))</f>
        <v>0.981771474586971</v>
      </c>
      <c r="G63" s="97">
        <f ca="1">IF($C$4="Hombre",(+VLOOKUP(INT(D63)+1,Tablas!$G$9:$K$1240,5,0)*(D63-INT(D63))+VLOOKUP(INT(D63),Tablas!$G$9:$K$1240,5,0)*(INT(D63)+1-D63)),+VLOOKUP(INT(D63)+1,Tablas!$G$9:$O$1240,9,0)*(D63-INT(D63))+VLOOKUP(INT(D63),Tablas!$G$9:$O$1240,9,0)*(INT(D63)+1-D63))</f>
        <v>906487.13821049931</v>
      </c>
      <c r="H63" s="105">
        <f t="shared" ca="1" si="7"/>
        <v>1</v>
      </c>
      <c r="I63" s="106">
        <f t="shared" ca="1" si="2"/>
        <v>7.7180815581775544E-2</v>
      </c>
      <c r="J63" s="106">
        <f t="shared" ca="1" si="6"/>
        <v>0.1323099695687581</v>
      </c>
      <c r="K63" s="105">
        <f t="shared" ca="1" si="3"/>
        <v>0.981771474586971</v>
      </c>
      <c r="L63" s="75"/>
    </row>
    <row r="64" spans="2:12">
      <c r="B64" s="101">
        <f t="shared" ca="1" si="4"/>
        <v>54212</v>
      </c>
      <c r="C64" s="101">
        <f t="shared" ca="1" si="5"/>
        <v>54241</v>
      </c>
      <c r="D64" s="102">
        <f t="shared" ca="1" si="0"/>
        <v>70.997946611909654</v>
      </c>
      <c r="E64" s="103">
        <f t="shared" ca="1" si="1"/>
        <v>0.94221303527714428</v>
      </c>
      <c r="F64" s="104">
        <f ca="1">IF($C$4="Hombre",(+VLOOKUP(INT(D64)+1,Tablas!$G$9:$K$1240,5,0)*(D64-INT(D64))+VLOOKUP(INT(D64),Tablas!$G$9:$K$1240,5,0)*(INT(D64)+1-D64))/(VLOOKUP(INT($C$5)+1,Tablas!$G$9:$K$1240,5,0)*($C$5-INT($C$5))+VLOOKUP(INT($C$5),Tablas!$G$9:$K$124,5,0)*(INT($C$5)+1-$C$5)),(+VLOOKUP(INT(D64)+1,Tablas!$G$9:$O$1240,9,0)*(D64-INT(D64))+VLOOKUP(INT(D64),Tablas!$G$9:$O$1240,9,0)*(INT(D64)+1-D64))/(VLOOKUP(INT($C$5)+1,Tablas!$G$9:$O$1240,9,0)*($C$5-INT($C$5))+VLOOKUP(INT($C$5),Tablas!$G$9:$O$124,9,0)*(INT($C$5)+1-$C$5)))</f>
        <v>0.98137330115279442</v>
      </c>
      <c r="G64" s="97">
        <f ca="1">IF($C$4="Hombre",(+VLOOKUP(INT(D64)+1,Tablas!$G$9:$K$1240,5,0)*(D64-INT(D64))+VLOOKUP(INT(D64),Tablas!$G$9:$K$1240,5,0)*(INT(D64)+1-D64)),+VLOOKUP(INT(D64)+1,Tablas!$G$9:$O$1240,9,0)*(D64-INT(D64))+VLOOKUP(INT(D64),Tablas!$G$9:$O$1240,9,0)*(INT(D64)+1-D64))</f>
        <v>906119.49756682513</v>
      </c>
      <c r="H64" s="105">
        <f t="shared" ca="1" si="7"/>
        <v>1</v>
      </c>
      <c r="I64" s="106">
        <f t="shared" ca="1" si="2"/>
        <v>7.7055226401593777E-2</v>
      </c>
      <c r="J64" s="106">
        <f t="shared" ca="1" si="6"/>
        <v>6.6047336915651803E-2</v>
      </c>
      <c r="K64" s="105">
        <f t="shared" ca="1" si="3"/>
        <v>0.98137330115279442</v>
      </c>
      <c r="L64" s="75"/>
    </row>
    <row r="65" spans="2:12">
      <c r="B65" s="101">
        <f t="shared" ca="1" si="4"/>
        <v>54242</v>
      </c>
      <c r="C65" s="101">
        <f t="shared" ca="1" si="5"/>
        <v>54272</v>
      </c>
      <c r="D65" s="102">
        <f t="shared" ca="1" si="0"/>
        <v>71.082819986310753</v>
      </c>
      <c r="E65" s="103">
        <f t="shared" ca="1" si="1"/>
        <v>0.94102316275431674</v>
      </c>
      <c r="F65" s="104">
        <f ca="1">IF($C$4="Hombre",(+VLOOKUP(INT(D65)+1,Tablas!$G$9:$K$1240,5,0)*(D65-INT(D65))+VLOOKUP(INT(D65),Tablas!$G$9:$K$1240,5,0)*(INT(D65)+1-D65))/(VLOOKUP(INT($C$5)+1,Tablas!$G$9:$K$1240,5,0)*($C$5-INT($C$5))+VLOOKUP(INT($C$5),Tablas!$G$9:$K$124,5,0)*(INT($C$5)+1-$C$5)),(+VLOOKUP(INT(D65)+1,Tablas!$G$9:$O$1240,9,0)*(D65-INT(D65))+VLOOKUP(INT(D65),Tablas!$G$9:$O$1240,9,0)*(INT(D65)+1-D65))/(VLOOKUP(INT($C$5)+1,Tablas!$G$9:$O$1240,9,0)*($C$5-INT($C$5))+VLOOKUP(INT($C$5),Tablas!$G$9:$O$124,9,0)*(INT($C$5)+1-$C$5)))</f>
        <v>0.98093756341035865</v>
      </c>
      <c r="G65" s="97">
        <f ca="1">IF($C$4="Hombre",(+VLOOKUP(INT(D65)+1,Tablas!$G$9:$K$1240,5,0)*(D65-INT(D65))+VLOOKUP(INT(D65),Tablas!$G$9:$K$1240,5,0)*(INT(D65)+1-D65)),+VLOOKUP(INT(D65)+1,Tablas!$G$9:$O$1240,9,0)*(D65-INT(D65))+VLOOKUP(INT(D65),Tablas!$G$9:$O$1240,9,0)*(INT(D65)+1-D65))</f>
        <v>905717.17312638741</v>
      </c>
      <c r="H65" s="105">
        <f t="shared" ca="1" si="7"/>
        <v>1</v>
      </c>
      <c r="I65" s="106">
        <f t="shared" ca="1" si="2"/>
        <v>7.692374736541073E-2</v>
      </c>
      <c r="J65" s="106">
        <f t="shared" ca="1" si="6"/>
        <v>6.5934640598923483E-2</v>
      </c>
      <c r="K65" s="105">
        <f t="shared" ca="1" si="3"/>
        <v>0.98093756341035865</v>
      </c>
      <c r="L65" s="75"/>
    </row>
    <row r="66" spans="2:12">
      <c r="B66" s="101">
        <f t="shared" ca="1" si="4"/>
        <v>54273</v>
      </c>
      <c r="C66" s="101">
        <f t="shared" ca="1" si="5"/>
        <v>54303</v>
      </c>
      <c r="D66" s="102">
        <f t="shared" ca="1" si="0"/>
        <v>71.167693360711837</v>
      </c>
      <c r="E66" s="103">
        <f t="shared" ca="1" si="1"/>
        <v>0.93983479286047833</v>
      </c>
      <c r="F66" s="104">
        <f ca="1">IF($C$4="Hombre",(+VLOOKUP(INT(D66)+1,Tablas!$G$9:$K$1240,5,0)*(D66-INT(D66))+VLOOKUP(INT(D66),Tablas!$G$9:$K$1240,5,0)*(INT(D66)+1-D66))/(VLOOKUP(INT($C$5)+1,Tablas!$G$9:$K$1240,5,0)*($C$5-INT($C$5))+VLOOKUP(INT($C$5),Tablas!$G$9:$K$124,5,0)*(INT($C$5)+1-$C$5)),(+VLOOKUP(INT(D66)+1,Tablas!$G$9:$O$1240,9,0)*(D66-INT(D66))+VLOOKUP(INT(D66),Tablas!$G$9:$O$1240,9,0)*(INT(D66)+1-D66))/(VLOOKUP(INT($C$5)+1,Tablas!$G$9:$O$1240,9,0)*($C$5-INT($C$5))+VLOOKUP(INT($C$5),Tablas!$G$9:$O$124,9,0)*(INT($C$5)+1-$C$5)))</f>
        <v>0.98050122339039081</v>
      </c>
      <c r="G66" s="97">
        <f ca="1">IF($C$4="Hombre",(+VLOOKUP(INT(D66)+1,Tablas!$G$9:$K$1240,5,0)*(D66-INT(D66))+VLOOKUP(INT(D66),Tablas!$G$9:$K$1240,5,0)*(INT(D66)+1-D66)),+VLOOKUP(INT(D66)+1,Tablas!$G$9:$O$1240,9,0)*(D66-INT(D66))+VLOOKUP(INT(D66),Tablas!$G$9:$O$1240,9,0)*(INT(D66)+1-D66))</f>
        <v>905314.2925923469</v>
      </c>
      <c r="H66" s="105">
        <f t="shared" ca="1" si="7"/>
        <v>1</v>
      </c>
      <c r="I66" s="106">
        <f t="shared" ca="1" si="2"/>
        <v>7.679243034871279E-2</v>
      </c>
      <c r="J66" s="106">
        <f t="shared" ca="1" si="6"/>
        <v>6.5822083156039532E-2</v>
      </c>
      <c r="K66" s="105">
        <f t="shared" ca="1" si="3"/>
        <v>0.98050122339039081</v>
      </c>
      <c r="L66" s="75"/>
    </row>
    <row r="67" spans="2:12">
      <c r="B67" s="101">
        <f t="shared" ca="1" si="4"/>
        <v>54304</v>
      </c>
      <c r="C67" s="101">
        <f t="shared" ca="1" si="5"/>
        <v>54333</v>
      </c>
      <c r="D67" s="102">
        <f t="shared" ca="1" si="0"/>
        <v>71.249828884325808</v>
      </c>
      <c r="E67" s="103">
        <f t="shared" ca="1" si="1"/>
        <v>0.93868618639493162</v>
      </c>
      <c r="F67" s="104">
        <f ca="1">IF($C$4="Hombre",(+VLOOKUP(INT(D67)+1,Tablas!$G$9:$K$1240,5,0)*(D67-INT(D67))+VLOOKUP(INT(D67),Tablas!$G$9:$K$1240,5,0)*(INT(D67)+1-D67))/(VLOOKUP(INT($C$5)+1,Tablas!$G$9:$K$1240,5,0)*($C$5-INT($C$5))+VLOOKUP(INT($C$5),Tablas!$G$9:$K$124,5,0)*(INT($C$5)+1-$C$5)),(+VLOOKUP(INT(D67)+1,Tablas!$G$9:$O$1240,9,0)*(D67-INT(D67))+VLOOKUP(INT(D67),Tablas!$G$9:$O$1240,9,0)*(INT(D67)+1-D67))/(VLOOKUP(INT($C$5)+1,Tablas!$G$9:$O$1240,9,0)*($C$5-INT($C$5))+VLOOKUP(INT($C$5),Tablas!$G$9:$O$124,9,0)*(INT($C$5)+1-$C$5)))</f>
        <v>0.98007895885493823</v>
      </c>
      <c r="G67" s="97">
        <f ca="1">IF($C$4="Hombre",(+VLOOKUP(INT(D67)+1,Tablas!$G$9:$K$1240,5,0)*(D67-INT(D67))+VLOOKUP(INT(D67),Tablas!$G$9:$K$1240,5,0)*(INT(D67)+1-D67)),+VLOOKUP(INT(D67)+1,Tablas!$G$9:$O$1240,9,0)*(D67-INT(D67))+VLOOKUP(INT(D67),Tablas!$G$9:$O$1240,9,0)*(INT(D67)+1-D67))</f>
        <v>904924.40820456587</v>
      </c>
      <c r="H67" s="105">
        <f t="shared" ca="1" si="7"/>
        <v>1</v>
      </c>
      <c r="I67" s="106">
        <f t="shared" ca="1" si="2"/>
        <v>7.6665548354454757E-2</v>
      </c>
      <c r="J67" s="106">
        <f t="shared" ca="1" si="6"/>
        <v>6.5713327160961219E-2</v>
      </c>
      <c r="K67" s="105">
        <f t="shared" ca="1" si="3"/>
        <v>0.98007895885493823</v>
      </c>
      <c r="L67" s="75"/>
    </row>
    <row r="68" spans="2:12">
      <c r="B68" s="101">
        <f t="shared" ca="1" si="4"/>
        <v>54334</v>
      </c>
      <c r="C68" s="101">
        <f t="shared" ca="1" si="5"/>
        <v>54364</v>
      </c>
      <c r="D68" s="102">
        <f t="shared" ca="1" si="0"/>
        <v>71.334702258726892</v>
      </c>
      <c r="E68" s="103">
        <f t="shared" ca="1" si="1"/>
        <v>0.93750076774869051</v>
      </c>
      <c r="F68" s="104">
        <f ca="1">IF($C$4="Hombre",(+VLOOKUP(INT(D68)+1,Tablas!$G$9:$K$1240,5,0)*(D68-INT(D68))+VLOOKUP(INT(D68),Tablas!$G$9:$K$1240,5,0)*(INT(D68)+1-D68))/(VLOOKUP(INT($C$5)+1,Tablas!$G$9:$K$1240,5,0)*($C$5-INT($C$5))+VLOOKUP(INT($C$5),Tablas!$G$9:$K$124,5,0)*(INT($C$5)+1-$C$5)),(+VLOOKUP(INT(D68)+1,Tablas!$G$9:$O$1240,9,0)*(D68-INT(D68))+VLOOKUP(INT(D68),Tablas!$G$9:$O$1240,9,0)*(INT(D68)+1-D68))/(VLOOKUP(INT($C$5)+1,Tablas!$G$9:$O$1240,9,0)*($C$5-INT($C$5))+VLOOKUP(INT($C$5),Tablas!$G$9:$O$124,9,0)*(INT($C$5)+1-$C$5)))</f>
        <v>0.97964261883497061</v>
      </c>
      <c r="G68" s="97">
        <f ca="1">IF($C$4="Hombre",(+VLOOKUP(INT(D68)+1,Tablas!$G$9:$K$1240,5,0)*(D68-INT(D68))+VLOOKUP(INT(D68),Tablas!$G$9:$K$1240,5,0)*(INT(D68)+1-D68)),+VLOOKUP(INT(D68)+1,Tablas!$G$9:$O$1240,9,0)*(D68-INT(D68))+VLOOKUP(INT(D68),Tablas!$G$9:$O$1240,9,0)*(INT(D68)+1-D68))</f>
        <v>904521.52767052548</v>
      </c>
      <c r="H68" s="105">
        <f t="shared" ca="1" si="7"/>
        <v>1</v>
      </c>
      <c r="I68" s="106">
        <f t="shared" ca="1" si="2"/>
        <v>7.6534642273093562E-2</v>
      </c>
      <c r="J68" s="106">
        <f t="shared" ca="1" si="6"/>
        <v>6.5601121948365912E-2</v>
      </c>
      <c r="K68" s="105">
        <f t="shared" ca="1" si="3"/>
        <v>0.97964261883497061</v>
      </c>
      <c r="L68" s="75"/>
    </row>
    <row r="69" spans="2:12">
      <c r="B69" s="101">
        <f t="shared" ca="1" si="4"/>
        <v>54365</v>
      </c>
      <c r="C69" s="101">
        <f t="shared" ca="1" si="5"/>
        <v>54394</v>
      </c>
      <c r="D69" s="102">
        <f t="shared" ca="1" si="0"/>
        <v>71.416837782340863</v>
      </c>
      <c r="E69" s="103">
        <f t="shared" ca="1" si="1"/>
        <v>0.93635501378057695</v>
      </c>
      <c r="F69" s="104">
        <f ca="1">IF($C$4="Hombre",(+VLOOKUP(INT(D69)+1,Tablas!$G$9:$K$1240,5,0)*(D69-INT(D69))+VLOOKUP(INT(D69),Tablas!$G$9:$K$1240,5,0)*(INT(D69)+1-D69))/(VLOOKUP(INT($C$5)+1,Tablas!$G$9:$K$1240,5,0)*($C$5-INT($C$5))+VLOOKUP(INT($C$5),Tablas!$G$9:$K$124,5,0)*(INT($C$5)+1-$C$5)),(+VLOOKUP(INT(D69)+1,Tablas!$G$9:$O$1240,9,0)*(D69-INT(D69))+VLOOKUP(INT(D69),Tablas!$G$9:$O$1240,9,0)*(INT(D69)+1-D69))/(VLOOKUP(INT($C$5)+1,Tablas!$G$9:$O$1240,9,0)*($C$5-INT($C$5))+VLOOKUP(INT($C$5),Tablas!$G$9:$O$124,9,0)*(INT($C$5)+1-$C$5)))</f>
        <v>0.97922035429951793</v>
      </c>
      <c r="G69" s="97">
        <f ca="1">IF($C$4="Hombre",(+VLOOKUP(INT(D69)+1,Tablas!$G$9:$K$1240,5,0)*(D69-INT(D69))+VLOOKUP(INT(D69),Tablas!$G$9:$K$1240,5,0)*(INT(D69)+1-D69)),+VLOOKUP(INT(D69)+1,Tablas!$G$9:$O$1240,9,0)*(D69-INT(D69))+VLOOKUP(INT(D69),Tablas!$G$9:$O$1240,9,0)*(INT(D69)+1-D69))</f>
        <v>904131.64328274445</v>
      </c>
      <c r="H69" s="105">
        <f t="shared" ca="1" si="7"/>
        <v>1</v>
      </c>
      <c r="I69" s="106">
        <f t="shared" ca="1" si="2"/>
        <v>7.640815736202887E-2</v>
      </c>
      <c r="J69" s="106">
        <f t="shared" ca="1" si="6"/>
        <v>0.13098541262062091</v>
      </c>
      <c r="K69" s="105">
        <f t="shared" ca="1" si="3"/>
        <v>0.97922035429951793</v>
      </c>
      <c r="L69" s="75"/>
    </row>
    <row r="70" spans="2:12">
      <c r="B70" s="101">
        <f t="shared" ca="1" si="4"/>
        <v>54395</v>
      </c>
      <c r="C70" s="101">
        <f t="shared" ca="1" si="5"/>
        <v>54425</v>
      </c>
      <c r="D70" s="102">
        <f t="shared" ca="1" si="0"/>
        <v>71.501711156741962</v>
      </c>
      <c r="E70" s="103">
        <f t="shared" ca="1" si="1"/>
        <v>0.93517253905268083</v>
      </c>
      <c r="F70" s="104">
        <f ca="1">IF($C$4="Hombre",(+VLOOKUP(INT(D70)+1,Tablas!$G$9:$K$1240,5,0)*(D70-INT(D70))+VLOOKUP(INT(D70),Tablas!$G$9:$K$1240,5,0)*(INT(D70)+1-D70))/(VLOOKUP(INT($C$5)+1,Tablas!$G$9:$K$1240,5,0)*($C$5-INT($C$5))+VLOOKUP(INT($C$5),Tablas!$G$9:$K$124,5,0)*(INT($C$5)+1-$C$5)),(+VLOOKUP(INT(D70)+1,Tablas!$G$9:$O$1240,9,0)*(D70-INT(D70))+VLOOKUP(INT(D70),Tablas!$G$9:$O$1240,9,0)*(INT(D70)+1-D70))/(VLOOKUP(INT($C$5)+1,Tablas!$G$9:$O$1240,9,0)*($C$5-INT($C$5))+VLOOKUP(INT($C$5),Tablas!$G$9:$O$124,9,0)*(INT($C$5)+1-$C$5)))</f>
        <v>0.97878401427955009</v>
      </c>
      <c r="G70" s="97">
        <f ca="1">IF($C$4="Hombre",(+VLOOKUP(INT(D70)+1,Tablas!$G$9:$K$1240,5,0)*(D70-INT(D70))+VLOOKUP(INT(D70),Tablas!$G$9:$K$1240,5,0)*(INT(D70)+1-D70)),+VLOOKUP(INT(D70)+1,Tablas!$G$9:$O$1240,9,0)*(D70-INT(D70))+VLOOKUP(INT(D70),Tablas!$G$9:$O$1240,9,0)*(INT(D70)+1-D70))</f>
        <v>903728.76274870394</v>
      </c>
      <c r="H70" s="105">
        <f t="shared" ca="1" si="7"/>
        <v>1</v>
      </c>
      <c r="I70" s="106">
        <f t="shared" ca="1" si="2"/>
        <v>7.6277660984831852E-2</v>
      </c>
      <c r="J70" s="106">
        <f t="shared" ca="1" si="6"/>
        <v>6.5380852272713022E-2</v>
      </c>
      <c r="K70" s="105">
        <f t="shared" ca="1" si="3"/>
        <v>0.97878401427955009</v>
      </c>
      <c r="L70" s="75"/>
    </row>
    <row r="71" spans="2:12">
      <c r="B71" s="101">
        <f t="shared" ca="1" si="4"/>
        <v>54426</v>
      </c>
      <c r="C71" s="101">
        <f t="shared" ca="1" si="5"/>
        <v>54456</v>
      </c>
      <c r="D71" s="102">
        <f t="shared" ca="1" si="0"/>
        <v>71.586584531143046</v>
      </c>
      <c r="E71" s="103">
        <f t="shared" ca="1" si="1"/>
        <v>0.93399155761147834</v>
      </c>
      <c r="F71" s="104">
        <f ca="1">IF($C$4="Hombre",(+VLOOKUP(INT(D71)+1,Tablas!$G$9:$K$1240,5,0)*(D71-INT(D71))+VLOOKUP(INT(D71),Tablas!$G$9:$K$1240,5,0)*(INT(D71)+1-D71))/(VLOOKUP(INT($C$5)+1,Tablas!$G$9:$K$1240,5,0)*($C$5-INT($C$5))+VLOOKUP(INT($C$5),Tablas!$G$9:$K$124,5,0)*(INT($C$5)+1-$C$5)),(+VLOOKUP(INT(D71)+1,Tablas!$G$9:$O$1240,9,0)*(D71-INT(D71))+VLOOKUP(INT(D71),Tablas!$G$9:$O$1240,9,0)*(INT(D71)+1-D71))/(VLOOKUP(INT($C$5)+1,Tablas!$G$9:$O$1240,9,0)*($C$5-INT($C$5))+VLOOKUP(INT($C$5),Tablas!$G$9:$O$124,9,0)*(INT($C$5)+1-$C$5)))</f>
        <v>0.97834767425958258</v>
      </c>
      <c r="G71" s="97">
        <f ca="1">IF($C$4="Hombre",(+VLOOKUP(INT(D71)+1,Tablas!$G$9:$K$1240,5,0)*(D71-INT(D71))+VLOOKUP(INT(D71),Tablas!$G$9:$K$1240,5,0)*(INT(D71)+1-D71)),+VLOOKUP(INT(D71)+1,Tablas!$G$9:$O$1240,9,0)*(D71-INT(D71))+VLOOKUP(INT(D71),Tablas!$G$9:$O$1240,9,0)*(INT(D71)+1-D71))</f>
        <v>903325.88221466367</v>
      </c>
      <c r="H71" s="105">
        <f t="shared" ca="1" si="7"/>
        <v>1</v>
      </c>
      <c r="I71" s="106">
        <f t="shared" ca="1" si="2"/>
        <v>7.6147372347272896E-2</v>
      </c>
      <c r="J71" s="106">
        <f t="shared" ca="1" si="6"/>
        <v>6.5269176297662476E-2</v>
      </c>
      <c r="K71" s="105">
        <f t="shared" ca="1" si="3"/>
        <v>0.97834767425958258</v>
      </c>
      <c r="L71" s="75"/>
    </row>
    <row r="72" spans="2:12">
      <c r="B72" s="101">
        <f t="shared" ca="1" si="4"/>
        <v>54457</v>
      </c>
      <c r="C72" s="101">
        <f t="shared" ca="1" si="5"/>
        <v>54484</v>
      </c>
      <c r="D72" s="102">
        <f t="shared" ca="1" si="0"/>
        <v>71.663244353182748</v>
      </c>
      <c r="E72" s="103">
        <f t="shared" ca="1" si="1"/>
        <v>0.9329261466399682</v>
      </c>
      <c r="F72" s="104">
        <f ca="1">IF($C$4="Hombre",(+VLOOKUP(INT(D72)+1,Tablas!$G$9:$K$1240,5,0)*(D72-INT(D72))+VLOOKUP(INT(D72),Tablas!$G$9:$K$1240,5,0)*(INT(D72)+1-D72))/(VLOOKUP(INT($C$5)+1,Tablas!$G$9:$K$1240,5,0)*($C$5-INT($C$5))+VLOOKUP(INT($C$5),Tablas!$G$9:$K$124,5,0)*(INT($C$5)+1-$C$5)),(+VLOOKUP(INT(D72)+1,Tablas!$G$9:$O$1240,9,0)*(D72-INT(D72))+VLOOKUP(INT(D72),Tablas!$G$9:$O$1240,9,0)*(INT(D72)+1-D72))/(VLOOKUP(INT($C$5)+1,Tablas!$G$9:$O$1240,9,0)*($C$5-INT($C$5))+VLOOKUP(INT($C$5),Tablas!$G$9:$O$124,9,0)*(INT($C$5)+1-$C$5)))</f>
        <v>0.97795356069316008</v>
      </c>
      <c r="G72" s="97">
        <f ca="1">IF($C$4="Hombre",(+VLOOKUP(INT(D72)+1,Tablas!$G$9:$K$1240,5,0)*(D72-INT(D72))+VLOOKUP(INT(D72),Tablas!$G$9:$K$1240,5,0)*(INT(D72)+1-D72)),+VLOOKUP(INT(D72)+1,Tablas!$G$9:$O$1240,9,0)*(D72-INT(D72))+VLOOKUP(INT(D72),Tablas!$G$9:$O$1240,9,0)*(INT(D72)+1-D72))</f>
        <v>902961.99011940137</v>
      </c>
      <c r="H72" s="105">
        <f t="shared" ca="1" si="7"/>
        <v>1</v>
      </c>
      <c r="I72" s="106">
        <f t="shared" ca="1" si="2"/>
        <v>7.6029870580858833E-2</v>
      </c>
      <c r="J72" s="106">
        <f t="shared" ca="1" si="6"/>
        <v>6.5168460497878999E-2</v>
      </c>
      <c r="K72" s="105">
        <f t="shared" ca="1" si="3"/>
        <v>0.97795356069316008</v>
      </c>
      <c r="L72" s="75"/>
    </row>
    <row r="73" spans="2:12">
      <c r="B73" s="101">
        <f t="shared" ca="1" si="4"/>
        <v>54485</v>
      </c>
      <c r="C73" s="101">
        <f t="shared" ca="1" si="5"/>
        <v>54515</v>
      </c>
      <c r="D73" s="102">
        <f t="shared" ca="1" si="0"/>
        <v>71.748117727583846</v>
      </c>
      <c r="E73" s="103">
        <f t="shared" ca="1" si="1"/>
        <v>0.93174800205254205</v>
      </c>
      <c r="F73" s="104">
        <f ca="1">IF($C$4="Hombre",(+VLOOKUP(INT(D73)+1,Tablas!$G$9:$K$1240,5,0)*(D73-INT(D73))+VLOOKUP(INT(D73),Tablas!$G$9:$K$1240,5,0)*(INT(D73)+1-D73))/(VLOOKUP(INT($C$5)+1,Tablas!$G$9:$K$1240,5,0)*($C$5-INT($C$5))+VLOOKUP(INT($C$5),Tablas!$G$9:$K$124,5,0)*(INT($C$5)+1-$C$5)),(+VLOOKUP(INT(D73)+1,Tablas!$G$9:$O$1240,9,0)*(D73-INT(D73))+VLOOKUP(INT(D73),Tablas!$G$9:$O$1240,9,0)*(INT(D73)+1-D73))/(VLOOKUP(INT($C$5)+1,Tablas!$G$9:$O$1240,9,0)*($C$5-INT($C$5))+VLOOKUP(INT($C$5),Tablas!$G$9:$O$124,9,0)*(INT($C$5)+1-$C$5)))</f>
        <v>0.97751722067319236</v>
      </c>
      <c r="G73" s="97">
        <f ca="1">IF($C$4="Hombre",(+VLOOKUP(INT(D73)+1,Tablas!$G$9:$K$1240,5,0)*(D73-INT(D73))+VLOOKUP(INT(D73),Tablas!$G$9:$K$1240,5,0)*(INT(D73)+1-D73)),+VLOOKUP(INT(D73)+1,Tablas!$G$9:$O$1240,9,0)*(D73-INT(D73))+VLOOKUP(INT(D73),Tablas!$G$9:$O$1240,9,0)*(INT(D73)+1-D73))</f>
        <v>902559.10958536086</v>
      </c>
      <c r="H73" s="105">
        <f t="shared" ca="1" si="7"/>
        <v>1</v>
      </c>
      <c r="I73" s="106">
        <f t="shared" ca="1" si="2"/>
        <v>7.5899976444516737E-2</v>
      </c>
      <c r="J73" s="106">
        <f t="shared" ca="1" si="6"/>
        <v>6.5057122666728626E-2</v>
      </c>
      <c r="K73" s="105">
        <f t="shared" ca="1" si="3"/>
        <v>0.97751722067319236</v>
      </c>
      <c r="L73" s="75"/>
    </row>
    <row r="74" spans="2:12">
      <c r="B74" s="101">
        <f t="shared" ca="1" si="4"/>
        <v>54516</v>
      </c>
      <c r="C74" s="101">
        <f t="shared" ca="1" si="5"/>
        <v>54545</v>
      </c>
      <c r="D74" s="102">
        <f t="shared" ca="1" si="0"/>
        <v>71.830253251197803</v>
      </c>
      <c r="E74" s="103">
        <f t="shared" ca="1" si="1"/>
        <v>0.93060927874973665</v>
      </c>
      <c r="F74" s="104">
        <f ca="1">IF($C$4="Hombre",(+VLOOKUP(INT(D74)+1,Tablas!$G$9:$K$1240,5,0)*(D74-INT(D74))+VLOOKUP(INT(D74),Tablas!$G$9:$K$1240,5,0)*(INT(D74)+1-D74))/(VLOOKUP(INT($C$5)+1,Tablas!$G$9:$K$1240,5,0)*($C$5-INT($C$5))+VLOOKUP(INT($C$5),Tablas!$G$9:$K$124,5,0)*(INT($C$5)+1-$C$5)),(+VLOOKUP(INT(D74)+1,Tablas!$G$9:$O$1240,9,0)*(D74-INT(D74))+VLOOKUP(INT(D74),Tablas!$G$9:$O$1240,9,0)*(INT(D74)+1-D74))/(VLOOKUP(INT($C$5)+1,Tablas!$G$9:$O$1240,9,0)*($C$5-INT($C$5))+VLOOKUP(INT($C$5),Tablas!$G$9:$O$124,9,0)*(INT($C$5)+1-$C$5)))</f>
        <v>0.97709495613773967</v>
      </c>
      <c r="G74" s="97">
        <f ca="1">IF($C$4="Hombre",(+VLOOKUP(INT(D74)+1,Tablas!$G$9:$K$1240,5,0)*(D74-INT(D74))+VLOOKUP(INT(D74),Tablas!$G$9:$K$1240,5,0)*(INT(D74)+1-D74)),+VLOOKUP(INT(D74)+1,Tablas!$G$9:$O$1240,9,0)*(D74-INT(D74))+VLOOKUP(INT(D74),Tablas!$G$9:$O$1240,9,0)*(INT(D74)+1-D74))</f>
        <v>902169.22519757983</v>
      </c>
      <c r="H74" s="105">
        <f t="shared" ca="1" si="7"/>
        <v>1</v>
      </c>
      <c r="I74" s="106">
        <f t="shared" ca="1" si="2"/>
        <v>7.5774469366778952E-2</v>
      </c>
      <c r="J74" s="106">
        <f t="shared" ca="1" si="6"/>
        <v>6.494954517152482E-2</v>
      </c>
      <c r="K74" s="105">
        <f t="shared" ca="1" si="3"/>
        <v>0.97709495613773967</v>
      </c>
      <c r="L74" s="75"/>
    </row>
    <row r="75" spans="2:12">
      <c r="B75" s="101">
        <f t="shared" ca="1" si="4"/>
        <v>54546</v>
      </c>
      <c r="C75" s="101">
        <f t="shared" ca="1" si="5"/>
        <v>54576</v>
      </c>
      <c r="D75" s="102">
        <f t="shared" ca="1" si="0"/>
        <v>71.915126625598901</v>
      </c>
      <c r="E75" s="103">
        <f t="shared" ca="1" si="1"/>
        <v>0.92943406001595297</v>
      </c>
      <c r="F75" s="104">
        <f ca="1">IF($C$4="Hombre",(+VLOOKUP(INT(D75)+1,Tablas!$G$9:$K$1240,5,0)*(D75-INT(D75))+VLOOKUP(INT(D75),Tablas!$G$9:$K$1240,5,0)*(INT(D75)+1-D75))/(VLOOKUP(INT($C$5)+1,Tablas!$G$9:$K$1240,5,0)*($C$5-INT($C$5))+VLOOKUP(INT($C$5),Tablas!$G$9:$K$124,5,0)*(INT($C$5)+1-$C$5)),(+VLOOKUP(INT(D75)+1,Tablas!$G$9:$O$1240,9,0)*(D75-INT(D75))+VLOOKUP(INT(D75),Tablas!$G$9:$O$1240,9,0)*(INT(D75)+1-D75))/(VLOOKUP(INT($C$5)+1,Tablas!$G$9:$O$1240,9,0)*($C$5-INT($C$5))+VLOOKUP(INT($C$5),Tablas!$G$9:$O$124,9,0)*(INT($C$5)+1-$C$5)))</f>
        <v>0.97665861611777194</v>
      </c>
      <c r="G75" s="97">
        <f ca="1">IF($C$4="Hombre",(+VLOOKUP(INT(D75)+1,Tablas!$G$9:$K$1240,5,0)*(D75-INT(D75))+VLOOKUP(INT(D75),Tablas!$G$9:$K$1240,5,0)*(INT(D75)+1-D75)),+VLOOKUP(INT(D75)+1,Tablas!$G$9:$O$1240,9,0)*(D75-INT(D75))+VLOOKUP(INT(D75),Tablas!$G$9:$O$1240,9,0)*(INT(D75)+1-D75))</f>
        <v>901766.34466353932</v>
      </c>
      <c r="H75" s="105">
        <f t="shared" ca="1" si="7"/>
        <v>1</v>
      </c>
      <c r="I75" s="106">
        <f t="shared" ca="1" si="2"/>
        <v>7.5644981902325228E-2</v>
      </c>
      <c r="J75" s="106">
        <f t="shared" ca="1" si="6"/>
        <v>0.12967711183255753</v>
      </c>
      <c r="K75" s="105">
        <f t="shared" ca="1" si="3"/>
        <v>0.97665861611777194</v>
      </c>
      <c r="L75" s="75"/>
    </row>
    <row r="76" spans="2:12">
      <c r="B76" s="101">
        <f t="shared" ca="1" si="4"/>
        <v>54577</v>
      </c>
      <c r="C76" s="101">
        <f t="shared" ca="1" si="5"/>
        <v>54606</v>
      </c>
      <c r="D76" s="102">
        <f t="shared" ca="1" si="0"/>
        <v>71.997262149212872</v>
      </c>
      <c r="E76" s="103">
        <f t="shared" ca="1" si="1"/>
        <v>0.92829816466631976</v>
      </c>
      <c r="F76" s="104">
        <f ca="1">IF($C$4="Hombre",(+VLOOKUP(INT(D76)+1,Tablas!$G$9:$K$1240,5,0)*(D76-INT(D76))+VLOOKUP(INT(D76),Tablas!$G$9:$K$1240,5,0)*(INT(D76)+1-D76))/(VLOOKUP(INT($C$5)+1,Tablas!$G$9:$K$1240,5,0)*($C$5-INT($C$5))+VLOOKUP(INT($C$5),Tablas!$G$9:$K$124,5,0)*(INT($C$5)+1-$C$5)),(+VLOOKUP(INT(D76)+1,Tablas!$G$9:$O$1240,9,0)*(D76-INT(D76))+VLOOKUP(INT(D76),Tablas!$G$9:$O$1240,9,0)*(INT(D76)+1-D76))/(VLOOKUP(INT($C$5)+1,Tablas!$G$9:$O$1240,9,0)*($C$5-INT($C$5))+VLOOKUP(INT($C$5),Tablas!$G$9:$O$124,9,0)*(INT($C$5)+1-$C$5)))</f>
        <v>0.97623635158231925</v>
      </c>
      <c r="G76" s="97">
        <f ca="1">IF($C$4="Hombre",(+VLOOKUP(INT(D76)+1,Tablas!$G$9:$K$1240,5,0)*(D76-INT(D76))+VLOOKUP(INT(D76),Tablas!$G$9:$K$1240,5,0)*(INT(D76)+1-D76)),+VLOOKUP(INT(D76)+1,Tablas!$G$9:$O$1240,9,0)*(D76-INT(D76))+VLOOKUP(INT(D76),Tablas!$G$9:$O$1240,9,0)*(INT(D76)+1-D76))</f>
        <v>901376.46027575829</v>
      </c>
      <c r="H76" s="105">
        <f t="shared" ca="1" si="7"/>
        <v>1</v>
      </c>
      <c r="I76" s="106">
        <f t="shared" ca="1" si="2"/>
        <v>7.5519867787867581E-2</v>
      </c>
      <c r="J76" s="106">
        <f t="shared" ca="1" si="6"/>
        <v>6.4731315246743651E-2</v>
      </c>
      <c r="K76" s="105">
        <f t="shared" ca="1" si="3"/>
        <v>0.97623635158231925</v>
      </c>
      <c r="L76" s="75"/>
    </row>
    <row r="77" spans="2:12">
      <c r="B77" s="101">
        <f t="shared" ca="1" si="4"/>
        <v>54607</v>
      </c>
      <c r="C77" s="101">
        <f t="shared" ca="1" si="5"/>
        <v>54637</v>
      </c>
      <c r="D77" s="102">
        <f t="shared" ca="1" si="0"/>
        <v>72.082135523613957</v>
      </c>
      <c r="E77" s="103">
        <f t="shared" ca="1" si="1"/>
        <v>0.92712586451999202</v>
      </c>
      <c r="F77" s="104">
        <f ca="1">IF($C$4="Hombre",(+VLOOKUP(INT(D77)+1,Tablas!$G$9:$K$1240,5,0)*(D77-INT(D77))+VLOOKUP(INT(D77),Tablas!$G$9:$K$1240,5,0)*(INT(D77)+1-D77))/(VLOOKUP(INT($C$5)+1,Tablas!$G$9:$K$1240,5,0)*($C$5-INT($C$5))+VLOOKUP(INT($C$5),Tablas!$G$9:$K$124,5,0)*(INT($C$5)+1-$C$5)),(+VLOOKUP(INT(D77)+1,Tablas!$G$9:$O$1240,9,0)*(D77-INT(D77))+VLOOKUP(INT(D77),Tablas!$G$9:$O$1240,9,0)*(INT(D77)+1-D77))/(VLOOKUP(INT($C$5)+1,Tablas!$G$9:$O$1240,9,0)*($C$5-INT($C$5))+VLOOKUP(INT($C$5),Tablas!$G$9:$O$124,9,0)*(INT($C$5)+1-$C$5)))</f>
        <v>0.97576041022533022</v>
      </c>
      <c r="G77" s="97">
        <f ca="1">IF($C$4="Hombre",(+VLOOKUP(INT(D77)+1,Tablas!$G$9:$K$1240,5,0)*(D77-INT(D77))+VLOOKUP(INT(D77),Tablas!$G$9:$K$1240,5,0)*(INT(D77)+1-D77)),+VLOOKUP(INT(D77)+1,Tablas!$G$9:$O$1240,9,0)*(D77-INT(D77))+VLOOKUP(INT(D77),Tablas!$G$9:$O$1240,9,0)*(INT(D77)+1-D77))</f>
        <v>900937.01511991431</v>
      </c>
      <c r="H77" s="105">
        <f t="shared" ca="1" si="7"/>
        <v>1</v>
      </c>
      <c r="I77" s="106">
        <f t="shared" ca="1" si="2"/>
        <v>7.5387726157878435E-2</v>
      </c>
      <c r="J77" s="106">
        <f t="shared" ca="1" si="6"/>
        <v>6.461805099246723E-2</v>
      </c>
      <c r="K77" s="105">
        <f t="shared" ca="1" si="3"/>
        <v>0.97576041022533022</v>
      </c>
      <c r="L77" s="75"/>
    </row>
    <row r="78" spans="2:12">
      <c r="B78" s="101">
        <f t="shared" ca="1" si="4"/>
        <v>54638</v>
      </c>
      <c r="C78" s="101">
        <f t="shared" ca="1" si="5"/>
        <v>54668</v>
      </c>
      <c r="D78" s="102">
        <f t="shared" ca="1" si="0"/>
        <v>72.167008898015055</v>
      </c>
      <c r="E78" s="103">
        <f t="shared" ca="1" si="1"/>
        <v>0.92595504481139967</v>
      </c>
      <c r="F78" s="104">
        <f ca="1">IF($C$4="Hombre",(+VLOOKUP(INT(D78)+1,Tablas!$G$9:$K$1240,5,0)*(D78-INT(D78))+VLOOKUP(INT(D78),Tablas!$G$9:$K$1240,5,0)*(INT(D78)+1-D78))/(VLOOKUP(INT($C$5)+1,Tablas!$G$9:$K$1240,5,0)*($C$5-INT($C$5))+VLOOKUP(INT($C$5),Tablas!$G$9:$K$124,5,0)*(INT($C$5)+1-$C$5)),(+VLOOKUP(INT(D78)+1,Tablas!$G$9:$O$1240,9,0)*(D78-INT(D78))+VLOOKUP(INT(D78),Tablas!$G$9:$O$1240,9,0)*(INT(D78)+1-D78))/(VLOOKUP(INT($C$5)+1,Tablas!$G$9:$O$1240,9,0)*($C$5-INT($C$5))+VLOOKUP(INT($C$5),Tablas!$G$9:$O$124,9,0)*(INT($C$5)+1-$C$5)))</f>
        <v>0.97528314882377387</v>
      </c>
      <c r="G78" s="97">
        <f ca="1">IF($C$4="Hombre",(+VLOOKUP(INT(D78)+1,Tablas!$G$9:$K$1240,5,0)*(D78-INT(D78))+VLOOKUP(INT(D78),Tablas!$G$9:$K$1240,5,0)*(INT(D78)+1-D78)),+VLOOKUP(INT(D78)+1,Tablas!$G$9:$O$1240,9,0)*(D78-INT(D78))+VLOOKUP(INT(D78),Tablas!$G$9:$O$1240,9,0)*(INT(D78)+1-D78))</f>
        <v>900496.35114334361</v>
      </c>
      <c r="H78" s="105">
        <f t="shared" ca="1" si="7"/>
        <v>1</v>
      </c>
      <c r="I78" s="106">
        <f t="shared" ca="1" si="2"/>
        <v>7.5255695981076703E-2</v>
      </c>
      <c r="J78" s="106">
        <f t="shared" ca="1" si="6"/>
        <v>6.4504882269494315E-2</v>
      </c>
      <c r="K78" s="105">
        <f t="shared" ca="1" si="3"/>
        <v>0.97528314882377387</v>
      </c>
      <c r="L78" s="75"/>
    </row>
    <row r="79" spans="2:12">
      <c r="B79" s="101">
        <f t="shared" ca="1" si="4"/>
        <v>54669</v>
      </c>
      <c r="C79" s="101">
        <f t="shared" ca="1" si="5"/>
        <v>54698</v>
      </c>
      <c r="D79" s="102">
        <f t="shared" ca="1" si="0"/>
        <v>72.249144421629026</v>
      </c>
      <c r="E79" s="103">
        <f t="shared" ca="1" si="1"/>
        <v>0.92482340129345852</v>
      </c>
      <c r="F79" s="104">
        <f ca="1">IF($C$4="Hombre",(+VLOOKUP(INT(D79)+1,Tablas!$G$9:$K$1240,5,0)*(D79-INT(D79))+VLOOKUP(INT(D79),Tablas!$G$9:$K$1240,5,0)*(INT(D79)+1-D79))/(VLOOKUP(INT($C$5)+1,Tablas!$G$9:$K$1240,5,0)*($C$5-INT($C$5))+VLOOKUP(INT($C$5),Tablas!$G$9:$K$124,5,0)*(INT($C$5)+1-$C$5)),(+VLOOKUP(INT(D79)+1,Tablas!$G$9:$O$1240,9,0)*(D79-INT(D79))+VLOOKUP(INT(D79),Tablas!$G$9:$O$1240,9,0)*(INT(D79)+1-D79))/(VLOOKUP(INT($C$5)+1,Tablas!$G$9:$O$1240,9,0)*($C$5-INT($C$5))+VLOOKUP(INT($C$5),Tablas!$G$9:$O$124,9,0)*(INT($C$5)+1-$C$5)))</f>
        <v>0.97482128295129988</v>
      </c>
      <c r="G79" s="97">
        <f ca="1">IF($C$4="Hombre",(+VLOOKUP(INT(D79)+1,Tablas!$G$9:$K$1240,5,0)*(D79-INT(D79))+VLOOKUP(INT(D79),Tablas!$G$9:$K$1240,5,0)*(INT(D79)+1-D79)),+VLOOKUP(INT(D79)+1,Tablas!$G$9:$O$1240,9,0)*(D79-INT(D79))+VLOOKUP(INT(D79),Tablas!$G$9:$O$1240,9,0)*(INT(D79)+1-D79))</f>
        <v>900069.90213375899</v>
      </c>
      <c r="H79" s="105">
        <f t="shared" ca="1" si="7"/>
        <v>1</v>
      </c>
      <c r="I79" s="106">
        <f t="shared" ca="1" si="2"/>
        <v>7.512812787935616E-2</v>
      </c>
      <c r="J79" s="106">
        <f t="shared" ca="1" si="6"/>
        <v>6.4395538182305284E-2</v>
      </c>
      <c r="K79" s="105">
        <f t="shared" ca="1" si="3"/>
        <v>0.97482128295129988</v>
      </c>
      <c r="L79" s="75"/>
    </row>
    <row r="80" spans="2:12">
      <c r="B80" s="101">
        <f t="shared" ca="1" si="4"/>
        <v>54699</v>
      </c>
      <c r="C80" s="101">
        <f t="shared" ca="1" si="5"/>
        <v>54729</v>
      </c>
      <c r="D80" s="102">
        <f t="shared" ca="1" si="0"/>
        <v>72.334017796030111</v>
      </c>
      <c r="E80" s="103">
        <f t="shared" ca="1" si="1"/>
        <v>0.92365548924759822</v>
      </c>
      <c r="F80" s="104">
        <f ca="1">IF($C$4="Hombre",(+VLOOKUP(INT(D80)+1,Tablas!$G$9:$K$1240,5,0)*(D80-INT(D80))+VLOOKUP(INT(D80),Tablas!$G$9:$K$1240,5,0)*(INT(D80)+1-D80))/(VLOOKUP(INT($C$5)+1,Tablas!$G$9:$K$1240,5,0)*($C$5-INT($C$5))+VLOOKUP(INT($C$5),Tablas!$G$9:$K$124,5,0)*(INT($C$5)+1-$C$5)),(+VLOOKUP(INT(D80)+1,Tablas!$G$9:$O$1240,9,0)*(D80-INT(D80))+VLOOKUP(INT(D80),Tablas!$G$9:$O$1240,9,0)*(INT(D80)+1-D80))/(VLOOKUP(INT($C$5)+1,Tablas!$G$9:$O$1240,9,0)*($C$5-INT($C$5))+VLOOKUP(INT($C$5),Tablas!$G$9:$O$124,9,0)*(INT($C$5)+1-$C$5)))</f>
        <v>0.97434402154974342</v>
      </c>
      <c r="G80" s="97">
        <f ca="1">IF($C$4="Hombre",(+VLOOKUP(INT(D80)+1,Tablas!$G$9:$K$1240,5,0)*(D80-INT(D80))+VLOOKUP(INT(D80),Tablas!$G$9:$K$1240,5,0)*(INT(D80)+1-D80)),+VLOOKUP(INT(D80)+1,Tablas!$G$9:$O$1240,9,0)*(D80-INT(D80))+VLOOKUP(INT(D80),Tablas!$G$9:$O$1240,9,0)*(INT(D80)+1-D80))</f>
        <v>899629.23815718829</v>
      </c>
      <c r="H80" s="105">
        <f t="shared" ca="1" si="7"/>
        <v>1</v>
      </c>
      <c r="I80" s="106">
        <f t="shared" ca="1" si="2"/>
        <v>7.4996516993333387E-2</v>
      </c>
      <c r="J80" s="106">
        <f t="shared" ca="1" si="6"/>
        <v>6.4282728851428619E-2</v>
      </c>
      <c r="K80" s="105">
        <f t="shared" ca="1" si="3"/>
        <v>0.97434402154974342</v>
      </c>
      <c r="L80" s="75"/>
    </row>
    <row r="81" spans="2:12">
      <c r="B81" s="101">
        <f t="shared" ca="1" si="4"/>
        <v>54730</v>
      </c>
      <c r="C81" s="101">
        <f t="shared" ca="1" si="5"/>
        <v>54759</v>
      </c>
      <c r="D81" s="102">
        <f t="shared" ca="1" si="0"/>
        <v>72.416153319644081</v>
      </c>
      <c r="E81" s="103">
        <f t="shared" ca="1" si="1"/>
        <v>0.92252665610059525</v>
      </c>
      <c r="F81" s="104">
        <f ca="1">IF($C$4="Hombre",(+VLOOKUP(INT(D81)+1,Tablas!$G$9:$K$1240,5,0)*(D81-INT(D81))+VLOOKUP(INT(D81),Tablas!$G$9:$K$1240,5,0)*(INT(D81)+1-D81))/(VLOOKUP(INT($C$5)+1,Tablas!$G$9:$K$1240,5,0)*($C$5-INT($C$5))+VLOOKUP(INT($C$5),Tablas!$G$9:$K$124,5,0)*(INT($C$5)+1-$C$5)),(+VLOOKUP(INT(D81)+1,Tablas!$G$9:$O$1240,9,0)*(D81-INT(D81))+VLOOKUP(INT(D81),Tablas!$G$9:$O$1240,9,0)*(INT(D81)+1-D81))/(VLOOKUP(INT($C$5)+1,Tablas!$G$9:$O$1240,9,0)*($C$5-INT($C$5))+VLOOKUP(INT($C$5),Tablas!$G$9:$O$124,9,0)*(INT($C$5)+1-$C$5)))</f>
        <v>0.97388215567726932</v>
      </c>
      <c r="G81" s="97">
        <f ca="1">IF($C$4="Hombre",(+VLOOKUP(INT(D81)+1,Tablas!$G$9:$K$1240,5,0)*(D81-INT(D81))+VLOOKUP(INT(D81),Tablas!$G$9:$K$1240,5,0)*(INT(D81)+1-D81)),+VLOOKUP(INT(D81)+1,Tablas!$G$9:$O$1240,9,0)*(D81-INT(D81))+VLOOKUP(INT(D81),Tablas!$G$9:$O$1240,9,0)*(INT(D81)+1-D81))</f>
        <v>899202.78914760356</v>
      </c>
      <c r="H81" s="105">
        <f t="shared" ca="1" si="7"/>
        <v>1</v>
      </c>
      <c r="I81" s="106">
        <f t="shared" ca="1" si="2"/>
        <v>7.4869354042749206E-2</v>
      </c>
      <c r="J81" s="106">
        <f t="shared" ca="1" si="6"/>
        <v>0.12834746407328437</v>
      </c>
      <c r="K81" s="105">
        <f t="shared" ca="1" si="3"/>
        <v>0.97388215567726932</v>
      </c>
      <c r="L81" s="75"/>
    </row>
    <row r="82" spans="2:12">
      <c r="B82" s="101">
        <f t="shared" ca="1" si="4"/>
        <v>54760</v>
      </c>
      <c r="C82" s="101">
        <f t="shared" ca="1" si="5"/>
        <v>54790</v>
      </c>
      <c r="D82" s="102">
        <f t="shared" ref="D82:D145" ca="1" si="8">-_xlfn.DAYS($C$3,C82)/365.25</f>
        <v>72.50102669404518</v>
      </c>
      <c r="E82" s="103">
        <f t="shared" ref="E82:E145" ca="1" si="9">IF($D$17+40&lt;=D82,(1+$D$7)^-(D82-$C$5),(1+$C$7)^-(D82-$C$5))</f>
        <v>0.92136164449645497</v>
      </c>
      <c r="F82" s="104">
        <f ca="1">IF($C$4="Hombre",(+VLOOKUP(INT(D82)+1,Tablas!$G$9:$K$1240,5,0)*(D82-INT(D82))+VLOOKUP(INT(D82),Tablas!$G$9:$K$1240,5,0)*(INT(D82)+1-D82))/(VLOOKUP(INT($C$5)+1,Tablas!$G$9:$K$1240,5,0)*($C$5-INT($C$5))+VLOOKUP(INT($C$5),Tablas!$G$9:$K$124,5,0)*(INT($C$5)+1-$C$5)),(+VLOOKUP(INT(D82)+1,Tablas!$G$9:$O$1240,9,0)*(D82-INT(D82))+VLOOKUP(INT(D82),Tablas!$G$9:$O$1240,9,0)*(INT(D82)+1-D82))/(VLOOKUP(INT($C$5)+1,Tablas!$G$9:$O$1240,9,0)*($C$5-INT($C$5))+VLOOKUP(INT($C$5),Tablas!$G$9:$O$124,9,0)*(INT($C$5)+1-$C$5)))</f>
        <v>0.97340489427571308</v>
      </c>
      <c r="G82" s="97">
        <f ca="1">IF($C$4="Hombre",(+VLOOKUP(INT(D82)+1,Tablas!$G$9:$K$1240,5,0)*(D82-INT(D82))+VLOOKUP(INT(D82),Tablas!$G$9:$K$1240,5,0)*(INT(D82)+1-D82)),+VLOOKUP(INT(D82)+1,Tablas!$G$9:$O$1240,9,0)*(D82-INT(D82))+VLOOKUP(INT(D82),Tablas!$G$9:$O$1240,9,0)*(INT(D82)+1-D82))</f>
        <v>898762.12517103297</v>
      </c>
      <c r="H82" s="105">
        <f t="shared" ref="H82:H145" ca="1" si="10">+IF(MONTH(B82)=1,H81*(1+$C$9),H81)</f>
        <v>1</v>
      </c>
      <c r="I82" s="106">
        <f t="shared" ref="I82:I145" ca="1" si="11">IF(B82&lt;$C$10,0,IF(B82&lt;$C$11,$C$8/12*E82*F82*H82,0))</f>
        <v>7.4738161179230739E-2</v>
      </c>
      <c r="J82" s="106">
        <f t="shared" ca="1" si="6"/>
        <v>6.4061281010769203E-2</v>
      </c>
      <c r="K82" s="105">
        <f t="shared" ref="K82:K145" ca="1" si="12">G82/$G$15</f>
        <v>0.97340489427571308</v>
      </c>
      <c r="L82" s="75"/>
    </row>
    <row r="83" spans="2:12">
      <c r="B83" s="101">
        <f t="shared" ref="B83:B146" ca="1" si="13">+DATE(YEAR(B82),MONTH(B82)+1,DAY(B82))</f>
        <v>54791</v>
      </c>
      <c r="C83" s="101">
        <f t="shared" ref="C83:C146" ca="1" si="14">+B84-1</f>
        <v>54821</v>
      </c>
      <c r="D83" s="102">
        <f t="shared" ca="1" si="8"/>
        <v>72.585900068446264</v>
      </c>
      <c r="E83" s="103">
        <f t="shared" ca="1" si="9"/>
        <v>0.92019810412572456</v>
      </c>
      <c r="F83" s="104">
        <f ca="1">IF($C$4="Hombre",(+VLOOKUP(INT(D83)+1,Tablas!$G$9:$K$1240,5,0)*(D83-INT(D83))+VLOOKUP(INT(D83),Tablas!$G$9:$K$1240,5,0)*(INT(D83)+1-D83))/(VLOOKUP(INT($C$5)+1,Tablas!$G$9:$K$1240,5,0)*($C$5-INT($C$5))+VLOOKUP(INT($C$5),Tablas!$G$9:$K$124,5,0)*(INT($C$5)+1-$C$5)),(+VLOOKUP(INT(D83)+1,Tablas!$G$9:$O$1240,9,0)*(D83-INT(D83))+VLOOKUP(INT(D83),Tablas!$G$9:$O$1240,9,0)*(INT(D83)+1-D83))/(VLOOKUP(INT($C$5)+1,Tablas!$G$9:$O$1240,9,0)*($C$5-INT($C$5))+VLOOKUP(INT($C$5),Tablas!$G$9:$O$124,9,0)*(INT($C$5)+1-$C$5)))</f>
        <v>0.97292763287415662</v>
      </c>
      <c r="G83" s="97">
        <f ca="1">IF($C$4="Hombre",(+VLOOKUP(INT(D83)+1,Tablas!$G$9:$K$1240,5,0)*(D83-INT(D83))+VLOOKUP(INT(D83),Tablas!$G$9:$K$1240,5,0)*(INT(D83)+1-D83)),+VLOOKUP(INT(D83)+1,Tablas!$G$9:$O$1240,9,0)*(D83-INT(D83))+VLOOKUP(INT(D83),Tablas!$G$9:$O$1240,9,0)*(INT(D83)+1-D83))</f>
        <v>898321.46119446214</v>
      </c>
      <c r="H83" s="105">
        <f t="shared" ca="1" si="10"/>
        <v>1</v>
      </c>
      <c r="I83" s="106">
        <f t="shared" ca="1" si="11"/>
        <v>7.4607180268527321E-2</v>
      </c>
      <c r="J83" s="106">
        <f t="shared" ref="J83:J146" ca="1" si="15">I83*12/14+IF(OR(MONTH(C83)=6,MONTH(C83)=12),I83*12/14,0)</f>
        <v>6.3949011658737703E-2</v>
      </c>
      <c r="K83" s="105">
        <f t="shared" ca="1" si="12"/>
        <v>0.97292763287415662</v>
      </c>
      <c r="L83" s="75"/>
    </row>
    <row r="84" spans="2:12">
      <c r="B84" s="101">
        <f t="shared" ca="1" si="13"/>
        <v>54822</v>
      </c>
      <c r="C84" s="101">
        <f t="shared" ca="1" si="14"/>
        <v>54849</v>
      </c>
      <c r="D84" s="102">
        <f t="shared" ca="1" si="8"/>
        <v>72.662559890485966</v>
      </c>
      <c r="E84" s="103">
        <f t="shared" ca="1" si="9"/>
        <v>0.91914842744705594</v>
      </c>
      <c r="F84" s="104">
        <f ca="1">IF($C$4="Hombre",(+VLOOKUP(INT(D84)+1,Tablas!$G$9:$K$1240,5,0)*(D84-INT(D84))+VLOOKUP(INT(D84),Tablas!$G$9:$K$1240,5,0)*(INT(D84)+1-D84))/(VLOOKUP(INT($C$5)+1,Tablas!$G$9:$K$1240,5,0)*($C$5-INT($C$5))+VLOOKUP(INT($C$5),Tablas!$G$9:$K$124,5,0)*(INT($C$5)+1-$C$5)),(+VLOOKUP(INT(D84)+1,Tablas!$G$9:$O$1240,9,0)*(D84-INT(D84))+VLOOKUP(INT(D84),Tablas!$G$9:$O$1240,9,0)*(INT(D84)+1-D84))/(VLOOKUP(INT($C$5)+1,Tablas!$G$9:$O$1240,9,0)*($C$5-INT($C$5))+VLOOKUP(INT($C$5),Tablas!$G$9:$O$124,9,0)*(INT($C$5)+1-$C$5)))</f>
        <v>0.97249655805984747</v>
      </c>
      <c r="G84" s="97">
        <f ca="1">IF($C$4="Hombre",(+VLOOKUP(INT(D84)+1,Tablas!$G$9:$K$1240,5,0)*(D84-INT(D84))+VLOOKUP(INT(D84),Tablas!$G$9:$K$1240,5,0)*(INT(D84)+1-D84)),+VLOOKUP(INT(D84)+1,Tablas!$G$9:$O$1240,9,0)*(D84-INT(D84))+VLOOKUP(INT(D84),Tablas!$G$9:$O$1240,9,0)*(INT(D84)+1-D84))</f>
        <v>897923.44211884984</v>
      </c>
      <c r="H84" s="105">
        <f t="shared" ca="1" si="10"/>
        <v>1</v>
      </c>
      <c r="I84" s="106">
        <f t="shared" ca="1" si="11"/>
        <v>7.4489056836531939E-2</v>
      </c>
      <c r="J84" s="106">
        <f t="shared" ca="1" si="15"/>
        <v>6.3847763002741656E-2</v>
      </c>
      <c r="K84" s="105">
        <f t="shared" ca="1" si="12"/>
        <v>0.97249655805984747</v>
      </c>
      <c r="L84" s="75"/>
    </row>
    <row r="85" spans="2:12">
      <c r="B85" s="101">
        <f t="shared" ca="1" si="13"/>
        <v>54850</v>
      </c>
      <c r="C85" s="101">
        <f t="shared" ca="1" si="14"/>
        <v>54880</v>
      </c>
      <c r="D85" s="102">
        <f t="shared" ca="1" si="8"/>
        <v>72.747433264887064</v>
      </c>
      <c r="E85" s="103">
        <f t="shared" ca="1" si="9"/>
        <v>0.91798768203463699</v>
      </c>
      <c r="F85" s="104">
        <f ca="1">IF($C$4="Hombre",(+VLOOKUP(INT(D85)+1,Tablas!$G$9:$K$1240,5,0)*(D85-INT(D85))+VLOOKUP(INT(D85),Tablas!$G$9:$K$1240,5,0)*(INT(D85)+1-D85))/(VLOOKUP(INT($C$5)+1,Tablas!$G$9:$K$1240,5,0)*($C$5-INT($C$5))+VLOOKUP(INT($C$5),Tablas!$G$9:$K$124,5,0)*(INT($C$5)+1-$C$5)),(+VLOOKUP(INT(D85)+1,Tablas!$G$9:$O$1240,9,0)*(D85-INT(D85))+VLOOKUP(INT(D85),Tablas!$G$9:$O$1240,9,0)*(INT(D85)+1-D85))/(VLOOKUP(INT($C$5)+1,Tablas!$G$9:$O$1240,9,0)*($C$5-INT($C$5))+VLOOKUP(INT($C$5),Tablas!$G$9:$O$124,9,0)*(INT($C$5)+1-$C$5)))</f>
        <v>0.97201929665829101</v>
      </c>
      <c r="G85" s="97">
        <f ca="1">IF($C$4="Hombre",(+VLOOKUP(INT(D85)+1,Tablas!$G$9:$K$1240,5,0)*(D85-INT(D85))+VLOOKUP(INT(D85),Tablas!$G$9:$K$1240,5,0)*(INT(D85)+1-D85)),+VLOOKUP(INT(D85)+1,Tablas!$G$9:$O$1240,9,0)*(D85-INT(D85))+VLOOKUP(INT(D85),Tablas!$G$9:$O$1240,9,0)*(INT(D85)+1-D85))</f>
        <v>897482.77814227901</v>
      </c>
      <c r="H85" s="105">
        <f t="shared" ca="1" si="10"/>
        <v>1</v>
      </c>
      <c r="I85" s="106">
        <f t="shared" ca="1" si="11"/>
        <v>7.4358478419356888E-2</v>
      </c>
      <c r="J85" s="106">
        <f t="shared" ca="1" si="15"/>
        <v>6.3735838645163051E-2</v>
      </c>
      <c r="K85" s="105">
        <f t="shared" ca="1" si="12"/>
        <v>0.97201929665829101</v>
      </c>
      <c r="L85" s="75"/>
    </row>
    <row r="86" spans="2:12">
      <c r="B86" s="101">
        <f t="shared" ca="1" si="13"/>
        <v>54881</v>
      </c>
      <c r="C86" s="101">
        <f t="shared" ca="1" si="14"/>
        <v>54910</v>
      </c>
      <c r="D86" s="102">
        <f t="shared" ca="1" si="8"/>
        <v>72.829568788501021</v>
      </c>
      <c r="E86" s="103">
        <f t="shared" ca="1" si="9"/>
        <v>0.91686577572207317</v>
      </c>
      <c r="F86" s="104">
        <f ca="1">IF($C$4="Hombre",(+VLOOKUP(INT(D86)+1,Tablas!$G$9:$K$1240,5,0)*(D86-INT(D86))+VLOOKUP(INT(D86),Tablas!$G$9:$K$1240,5,0)*(INT(D86)+1-D86))/(VLOOKUP(INT($C$5)+1,Tablas!$G$9:$K$1240,5,0)*($C$5-INT($C$5))+VLOOKUP(INT($C$5),Tablas!$G$9:$K$124,5,0)*(INT($C$5)+1-$C$5)),(+VLOOKUP(INT(D86)+1,Tablas!$G$9:$O$1240,9,0)*(D86-INT(D86))+VLOOKUP(INT(D86),Tablas!$G$9:$O$1240,9,0)*(INT(D86)+1-D86))/(VLOOKUP(INT($C$5)+1,Tablas!$G$9:$O$1240,9,0)*($C$5-INT($C$5))+VLOOKUP(INT($C$5),Tablas!$G$9:$O$124,9,0)*(INT($C$5)+1-$C$5)))</f>
        <v>0.97155743078581724</v>
      </c>
      <c r="G86" s="97">
        <f ca="1">IF($C$4="Hombre",(+VLOOKUP(INT(D86)+1,Tablas!$G$9:$K$1240,5,0)*(D86-INT(D86))+VLOOKUP(INT(D86),Tablas!$G$9:$K$1240,5,0)*(INT(D86)+1-D86)),+VLOOKUP(INT(D86)+1,Tablas!$G$9:$O$1240,9,0)*(D86-INT(D86))+VLOOKUP(INT(D86),Tablas!$G$9:$O$1240,9,0)*(INT(D86)+1-D86))</f>
        <v>897056.32913269463</v>
      </c>
      <c r="H86" s="105">
        <f t="shared" ca="1" si="10"/>
        <v>1</v>
      </c>
      <c r="I86" s="106">
        <f t="shared" ca="1" si="11"/>
        <v>7.423231311966523E-2</v>
      </c>
      <c r="J86" s="106">
        <f t="shared" ca="1" si="15"/>
        <v>6.3627696959713057E-2</v>
      </c>
      <c r="K86" s="105">
        <f t="shared" ca="1" si="12"/>
        <v>0.97155743078581724</v>
      </c>
      <c r="L86" s="75"/>
    </row>
    <row r="87" spans="2:12">
      <c r="B87" s="101">
        <f t="shared" ca="1" si="13"/>
        <v>54911</v>
      </c>
      <c r="C87" s="101">
        <f t="shared" ca="1" si="14"/>
        <v>54941</v>
      </c>
      <c r="D87" s="102">
        <f t="shared" ca="1" si="8"/>
        <v>72.91444216290212</v>
      </c>
      <c r="E87" s="103">
        <f t="shared" ca="1" si="9"/>
        <v>0.91570791295345666</v>
      </c>
      <c r="F87" s="104">
        <f ca="1">IF($C$4="Hombre",(+VLOOKUP(INT(D87)+1,Tablas!$G$9:$K$1240,5,0)*(D87-INT(D87))+VLOOKUP(INT(D87),Tablas!$G$9:$K$1240,5,0)*(INT(D87)+1-D87))/(VLOOKUP(INT($C$5)+1,Tablas!$G$9:$K$1240,5,0)*($C$5-INT($C$5))+VLOOKUP(INT($C$5),Tablas!$G$9:$K$124,5,0)*(INT($C$5)+1-$C$5)),(+VLOOKUP(INT(D87)+1,Tablas!$G$9:$O$1240,9,0)*(D87-INT(D87))+VLOOKUP(INT(D87),Tablas!$G$9:$O$1240,9,0)*(INT(D87)+1-D87))/(VLOOKUP(INT($C$5)+1,Tablas!$G$9:$O$1240,9,0)*($C$5-INT($C$5))+VLOOKUP(INT($C$5),Tablas!$G$9:$O$124,9,0)*(INT($C$5)+1-$C$5)))</f>
        <v>0.97108016938426078</v>
      </c>
      <c r="G87" s="97">
        <f ca="1">IF($C$4="Hombre",(+VLOOKUP(INT(D87)+1,Tablas!$G$9:$K$1240,5,0)*(D87-INT(D87))+VLOOKUP(INT(D87),Tablas!$G$9:$K$1240,5,0)*(INT(D87)+1-D87)),+VLOOKUP(INT(D87)+1,Tablas!$G$9:$O$1240,9,0)*(D87-INT(D87))+VLOOKUP(INT(D87),Tablas!$G$9:$O$1240,9,0)*(INT(D87)+1-D87))</f>
        <v>896615.66515612381</v>
      </c>
      <c r="H87" s="105">
        <f t="shared" ca="1" si="10"/>
        <v>1</v>
      </c>
      <c r="I87" s="106">
        <f t="shared" ca="1" si="11"/>
        <v>7.4102149601445871E-2</v>
      </c>
      <c r="J87" s="106">
        <f t="shared" ca="1" si="15"/>
        <v>0.12703225645962149</v>
      </c>
      <c r="K87" s="105">
        <f t="shared" ca="1" si="12"/>
        <v>0.97108016938426078</v>
      </c>
      <c r="L87" s="75"/>
    </row>
    <row r="88" spans="2:12">
      <c r="B88" s="101">
        <f t="shared" ca="1" si="13"/>
        <v>54942</v>
      </c>
      <c r="C88" s="101">
        <f t="shared" ca="1" si="14"/>
        <v>54971</v>
      </c>
      <c r="D88" s="102">
        <f t="shared" ca="1" si="8"/>
        <v>72.99657768651609</v>
      </c>
      <c r="E88" s="103">
        <f t="shared" ca="1" si="9"/>
        <v>0.91458879283004713</v>
      </c>
      <c r="F88" s="104">
        <f ca="1">IF($C$4="Hombre",(+VLOOKUP(INT(D88)+1,Tablas!$G$9:$K$1240,5,0)*(D88-INT(D88))+VLOOKUP(INT(D88),Tablas!$G$9:$K$1240,5,0)*(INT(D88)+1-D88))/(VLOOKUP(INT($C$5)+1,Tablas!$G$9:$K$1240,5,0)*($C$5-INT($C$5))+VLOOKUP(INT($C$5),Tablas!$G$9:$K$124,5,0)*(INT($C$5)+1-$C$5)),(+VLOOKUP(INT(D88)+1,Tablas!$G$9:$O$1240,9,0)*(D88-INT(D88))+VLOOKUP(INT(D88),Tablas!$G$9:$O$1240,9,0)*(INT(D88)+1-D88))/(VLOOKUP(INT($C$5)+1,Tablas!$G$9:$O$1240,9,0)*($C$5-INT($C$5))+VLOOKUP(INT($C$5),Tablas!$G$9:$O$124,9,0)*(INT($C$5)+1-$C$5)))</f>
        <v>0.97061830351178668</v>
      </c>
      <c r="G88" s="97">
        <f ca="1">IF($C$4="Hombre",(+VLOOKUP(INT(D88)+1,Tablas!$G$9:$K$1240,5,0)*(D88-INT(D88))+VLOOKUP(INT(D88),Tablas!$G$9:$K$1240,5,0)*(INT(D88)+1-D88)),+VLOOKUP(INT(D88)+1,Tablas!$G$9:$O$1240,9,0)*(D88-INT(D88))+VLOOKUP(INT(D88),Tablas!$G$9:$O$1240,9,0)*(INT(D88)+1-D88))</f>
        <v>896189.21614653908</v>
      </c>
      <c r="H88" s="105">
        <f t="shared" ca="1" si="10"/>
        <v>1</v>
      </c>
      <c r="I88" s="106">
        <f t="shared" ca="1" si="11"/>
        <v>7.39763852089661E-2</v>
      </c>
      <c r="J88" s="106">
        <f t="shared" ca="1" si="15"/>
        <v>6.3408330179113806E-2</v>
      </c>
      <c r="K88" s="105">
        <f t="shared" ca="1" si="12"/>
        <v>0.97061830351178668</v>
      </c>
      <c r="L88" s="75"/>
    </row>
    <row r="89" spans="2:12">
      <c r="B89" s="101">
        <f t="shared" ca="1" si="13"/>
        <v>54972</v>
      </c>
      <c r="C89" s="101">
        <f t="shared" ca="1" si="14"/>
        <v>55002</v>
      </c>
      <c r="D89" s="102">
        <f t="shared" ca="1" si="8"/>
        <v>73.081451060917175</v>
      </c>
      <c r="E89" s="103">
        <f t="shared" ca="1" si="9"/>
        <v>0.91343380554635467</v>
      </c>
      <c r="F89" s="104">
        <f ca="1">IF($C$4="Hombre",(+VLOOKUP(INT(D89)+1,Tablas!$G$9:$K$1240,5,0)*(D89-INT(D89))+VLOOKUP(INT(D89),Tablas!$G$9:$K$1240,5,0)*(INT(D89)+1-D89))/(VLOOKUP(INT($C$5)+1,Tablas!$G$9:$K$1240,5,0)*($C$5-INT($C$5))+VLOOKUP(INT($C$5),Tablas!$G$9:$K$124,5,0)*(INT($C$5)+1-$C$5)),(+VLOOKUP(INT(D89)+1,Tablas!$G$9:$O$1240,9,0)*(D89-INT(D89))+VLOOKUP(INT(D89),Tablas!$G$9:$O$1240,9,0)*(INT(D89)+1-D89))/(VLOOKUP(INT($C$5)+1,Tablas!$G$9:$O$1240,9,0)*($C$5-INT($C$5))+VLOOKUP(INT($C$5),Tablas!$G$9:$O$124,9,0)*(INT($C$5)+1-$C$5)))</f>
        <v>0.97009129741666278</v>
      </c>
      <c r="G89" s="97">
        <f ca="1">IF($C$4="Hombre",(+VLOOKUP(INT(D89)+1,Tablas!$G$9:$K$1240,5,0)*(D89-INT(D89))+VLOOKUP(INT(D89),Tablas!$G$9:$K$1240,5,0)*(INT(D89)+1-D89)),+VLOOKUP(INT(D89)+1,Tablas!$G$9:$O$1240,9,0)*(D89-INT(D89))+VLOOKUP(INT(D89),Tablas!$G$9:$O$1240,9,0)*(INT(D89)+1-D89))</f>
        <v>895702.6220058921</v>
      </c>
      <c r="H89" s="105">
        <f t="shared" ca="1" si="10"/>
        <v>1</v>
      </c>
      <c r="I89" s="106">
        <f t="shared" ca="1" si="11"/>
        <v>7.3842848793891899E-2</v>
      </c>
      <c r="J89" s="106">
        <f t="shared" ca="1" si="15"/>
        <v>6.3293870394764487E-2</v>
      </c>
      <c r="K89" s="105">
        <f t="shared" ca="1" si="12"/>
        <v>0.97009129741666278</v>
      </c>
      <c r="L89" s="75"/>
    </row>
    <row r="90" spans="2:12">
      <c r="B90" s="101">
        <f t="shared" ca="1" si="13"/>
        <v>55003</v>
      </c>
      <c r="C90" s="101">
        <f t="shared" ca="1" si="14"/>
        <v>55033</v>
      </c>
      <c r="D90" s="102">
        <f t="shared" ca="1" si="8"/>
        <v>73.166324435318273</v>
      </c>
      <c r="E90" s="103">
        <f t="shared" ca="1" si="9"/>
        <v>0.91228027683687163</v>
      </c>
      <c r="F90" s="104">
        <f ca="1">IF($C$4="Hombre",(+VLOOKUP(INT(D90)+1,Tablas!$G$9:$K$1240,5,0)*(D90-INT(D90))+VLOOKUP(INT(D90),Tablas!$G$9:$K$1240,5,0)*(INT(D90)+1-D90))/(VLOOKUP(INT($C$5)+1,Tablas!$G$9:$K$1240,5,0)*($C$5-INT($C$5))+VLOOKUP(INT($C$5),Tablas!$G$9:$K$124,5,0)*(INT($C$5)+1-$C$5)),(+VLOOKUP(INT(D90)+1,Tablas!$G$9:$O$1240,9,0)*(D90-INT(D90))+VLOOKUP(INT(D90),Tablas!$G$9:$O$1240,9,0)*(INT(D90)+1-D90))/(VLOOKUP(INT($C$5)+1,Tablas!$G$9:$O$1240,9,0)*($C$5-INT($C$5))+VLOOKUP(INT($C$5),Tablas!$G$9:$O$124,9,0)*(INT($C$5)+1-$C$5)))</f>
        <v>0.96956220120836367</v>
      </c>
      <c r="G90" s="97">
        <f ca="1">IF($C$4="Hombre",(+VLOOKUP(INT(D90)+1,Tablas!$G$9:$K$1240,5,0)*(D90-INT(D90))+VLOOKUP(INT(D90),Tablas!$G$9:$K$1240,5,0)*(INT(D90)+1-D90)),+VLOOKUP(INT(D90)+1,Tablas!$G$9:$O$1240,9,0)*(D90-INT(D90))+VLOOKUP(INT(D90),Tablas!$G$9:$O$1240,9,0)*(INT(D90)+1-D90))</f>
        <v>895214.09802641836</v>
      </c>
      <c r="H90" s="105">
        <f t="shared" ca="1" si="10"/>
        <v>1</v>
      </c>
      <c r="I90" s="106">
        <f t="shared" ca="1" si="11"/>
        <v>7.3709372777411047E-2</v>
      </c>
      <c r="J90" s="106">
        <f t="shared" ca="1" si="15"/>
        <v>6.3179462380638041E-2</v>
      </c>
      <c r="K90" s="105">
        <f t="shared" ca="1" si="12"/>
        <v>0.96956220120836367</v>
      </c>
      <c r="L90" s="75"/>
    </row>
    <row r="91" spans="2:12">
      <c r="B91" s="101">
        <f t="shared" ca="1" si="13"/>
        <v>55034</v>
      </c>
      <c r="C91" s="101">
        <f t="shared" ca="1" si="14"/>
        <v>55063</v>
      </c>
      <c r="D91" s="102">
        <f t="shared" ca="1" si="8"/>
        <v>73.248459958932244</v>
      </c>
      <c r="E91" s="103">
        <f t="shared" ca="1" si="9"/>
        <v>0.9111653457528921</v>
      </c>
      <c r="F91" s="104">
        <f ca="1">IF($C$4="Hombre",(+VLOOKUP(INT(D91)+1,Tablas!$G$9:$K$1240,5,0)*(D91-INT(D91))+VLOOKUP(INT(D91),Tablas!$G$9:$K$1240,5,0)*(INT(D91)+1-D91))/(VLOOKUP(INT($C$5)+1,Tablas!$G$9:$K$1240,5,0)*($C$5-INT($C$5))+VLOOKUP(INT($C$5),Tablas!$G$9:$K$124,5,0)*(INT($C$5)+1-$C$5)),(+VLOOKUP(INT(D91)+1,Tablas!$G$9:$O$1240,9,0)*(D91-INT(D91))+VLOOKUP(INT(D91),Tablas!$G$9:$O$1240,9,0)*(INT(D91)+1-D91))/(VLOOKUP(INT($C$5)+1,Tablas!$G$9:$O$1240,9,0)*($C$5-INT($C$5))+VLOOKUP(INT($C$5),Tablas!$G$9:$O$124,9,0)*(INT($C$5)+1-$C$5)))</f>
        <v>0.96905017261968718</v>
      </c>
      <c r="G91" s="97">
        <f ca="1">IF($C$4="Hombre",(+VLOOKUP(INT(D91)+1,Tablas!$G$9:$K$1240,5,0)*(D91-INT(D91))+VLOOKUP(INT(D91),Tablas!$G$9:$K$1240,5,0)*(INT(D91)+1-D91)),+VLOOKUP(INT(D91)+1,Tablas!$G$9:$O$1240,9,0)*(D91-INT(D91))+VLOOKUP(INT(D91),Tablas!$G$9:$O$1240,9,0)*(INT(D91)+1-D91))</f>
        <v>894741.33288499212</v>
      </c>
      <c r="H91" s="105">
        <f t="shared" ca="1" si="10"/>
        <v>1</v>
      </c>
      <c r="I91" s="106">
        <f t="shared" ca="1" si="11"/>
        <v>7.3580411298909743E-2</v>
      </c>
      <c r="J91" s="106">
        <f t="shared" ca="1" si="15"/>
        <v>6.3068923970494059E-2</v>
      </c>
      <c r="K91" s="105">
        <f t="shared" ca="1" si="12"/>
        <v>0.96905017261968718</v>
      </c>
      <c r="L91" s="75"/>
    </row>
    <row r="92" spans="2:12">
      <c r="B92" s="101">
        <f t="shared" ca="1" si="13"/>
        <v>55064</v>
      </c>
      <c r="C92" s="101">
        <f t="shared" ca="1" si="14"/>
        <v>55094</v>
      </c>
      <c r="D92" s="102">
        <f t="shared" ca="1" si="8"/>
        <v>73.333333333333329</v>
      </c>
      <c r="E92" s="103">
        <f t="shared" ca="1" si="9"/>
        <v>0.91001468176494904</v>
      </c>
      <c r="F92" s="104">
        <f ca="1">IF($C$4="Hombre",(+VLOOKUP(INT(D92)+1,Tablas!$G$9:$K$1240,5,0)*(D92-INT(D92))+VLOOKUP(INT(D92),Tablas!$G$9:$K$1240,5,0)*(INT(D92)+1-D92))/(VLOOKUP(INT($C$5)+1,Tablas!$G$9:$K$1240,5,0)*($C$5-INT($C$5))+VLOOKUP(INT($C$5),Tablas!$G$9:$K$124,5,0)*(INT($C$5)+1-$C$5)),(+VLOOKUP(INT(D92)+1,Tablas!$G$9:$O$1240,9,0)*(D92-INT(D92))+VLOOKUP(INT(D92),Tablas!$G$9:$O$1240,9,0)*(INT(D92)+1-D92))/(VLOOKUP(INT($C$5)+1,Tablas!$G$9:$O$1240,9,0)*($C$5-INT($C$5))+VLOOKUP(INT($C$5),Tablas!$G$9:$O$124,9,0)*(INT($C$5)+1-$C$5)))</f>
        <v>0.96852107641138807</v>
      </c>
      <c r="G92" s="97">
        <f ca="1">IF($C$4="Hombre",(+VLOOKUP(INT(D92)+1,Tablas!$G$9:$K$1240,5,0)*(D92-INT(D92))+VLOOKUP(INT(D92),Tablas!$G$9:$K$1240,5,0)*(INT(D92)+1-D92)),+VLOOKUP(INT(D92)+1,Tablas!$G$9:$O$1240,9,0)*(D92-INT(D92))+VLOOKUP(INT(D92),Tablas!$G$9:$O$1240,9,0)*(INT(D92)+1-D92))</f>
        <v>894252.80890551838</v>
      </c>
      <c r="H92" s="105">
        <f t="shared" ca="1" si="10"/>
        <v>1</v>
      </c>
      <c r="I92" s="106">
        <f t="shared" ca="1" si="11"/>
        <v>7.3447366594429603E-2</v>
      </c>
      <c r="J92" s="106">
        <f t="shared" ca="1" si="15"/>
        <v>6.2954885652368231E-2</v>
      </c>
      <c r="K92" s="105">
        <f t="shared" ca="1" si="12"/>
        <v>0.96852107641138807</v>
      </c>
      <c r="L92" s="75"/>
    </row>
    <row r="93" spans="2:12">
      <c r="B93" s="101">
        <f t="shared" ca="1" si="13"/>
        <v>55095</v>
      </c>
      <c r="C93" s="101">
        <f t="shared" ca="1" si="14"/>
        <v>55124</v>
      </c>
      <c r="D93" s="102">
        <f t="shared" ca="1" si="8"/>
        <v>73.4154688569473</v>
      </c>
      <c r="E93" s="103">
        <f t="shared" ca="1" si="9"/>
        <v>0.90890251954754886</v>
      </c>
      <c r="F93" s="104">
        <f ca="1">IF($C$4="Hombre",(+VLOOKUP(INT(D93)+1,Tablas!$G$9:$K$1240,5,0)*(D93-INT(D93))+VLOOKUP(INT(D93),Tablas!$G$9:$K$1240,5,0)*(INT(D93)+1-D93))/(VLOOKUP(INT($C$5)+1,Tablas!$G$9:$K$1240,5,0)*($C$5-INT($C$5))+VLOOKUP(INT($C$5),Tablas!$G$9:$K$124,5,0)*(INT($C$5)+1-$C$5)),(+VLOOKUP(INT(D93)+1,Tablas!$G$9:$O$1240,9,0)*(D93-INT(D93))+VLOOKUP(INT(D93),Tablas!$G$9:$O$1240,9,0)*(INT(D93)+1-D93))/(VLOOKUP(INT($C$5)+1,Tablas!$G$9:$O$1240,9,0)*($C$5-INT($C$5))+VLOOKUP(INT($C$5),Tablas!$G$9:$O$124,9,0)*(INT($C$5)+1-$C$5)))</f>
        <v>0.96800904782271147</v>
      </c>
      <c r="G93" s="97">
        <f ca="1">IF($C$4="Hombre",(+VLOOKUP(INT(D93)+1,Tablas!$G$9:$K$1240,5,0)*(D93-INT(D93))+VLOOKUP(INT(D93),Tablas!$G$9:$K$1240,5,0)*(INT(D93)+1-D93)),+VLOOKUP(INT(D93)+1,Tablas!$G$9:$O$1240,9,0)*(D93-INT(D93))+VLOOKUP(INT(D93),Tablas!$G$9:$O$1240,9,0)*(INT(D93)+1-D93))</f>
        <v>893780.04376409203</v>
      </c>
      <c r="H93" s="105">
        <f t="shared" ca="1" si="10"/>
        <v>1</v>
      </c>
      <c r="I93" s="106">
        <f t="shared" ca="1" si="11"/>
        <v>7.3318821875907172E-2</v>
      </c>
      <c r="J93" s="106">
        <f t="shared" ca="1" si="15"/>
        <v>0.12568940893012659</v>
      </c>
      <c r="K93" s="105">
        <f t="shared" ca="1" si="12"/>
        <v>0.96800904782271147</v>
      </c>
      <c r="L93" s="75"/>
    </row>
    <row r="94" spans="2:12">
      <c r="B94" s="101">
        <f t="shared" ca="1" si="13"/>
        <v>55125</v>
      </c>
      <c r="C94" s="101">
        <f t="shared" ca="1" si="14"/>
        <v>55155</v>
      </c>
      <c r="D94" s="102">
        <f t="shared" ca="1" si="8"/>
        <v>73.500342231348398</v>
      </c>
      <c r="E94" s="103">
        <f t="shared" ca="1" si="9"/>
        <v>0.90775471316677592</v>
      </c>
      <c r="F94" s="104">
        <f ca="1">IF($C$4="Hombre",(+VLOOKUP(INT(D94)+1,Tablas!$G$9:$K$1240,5,0)*(D94-INT(D94))+VLOOKUP(INT(D94),Tablas!$G$9:$K$1240,5,0)*(INT(D94)+1-D94))/(VLOOKUP(INT($C$5)+1,Tablas!$G$9:$K$1240,5,0)*($C$5-INT($C$5))+VLOOKUP(INT($C$5),Tablas!$G$9:$K$124,5,0)*(INT($C$5)+1-$C$5)),(+VLOOKUP(INT(D94)+1,Tablas!$G$9:$O$1240,9,0)*(D94-INT(D94))+VLOOKUP(INT(D94),Tablas!$G$9:$O$1240,9,0)*(INT(D94)+1-D94))/(VLOOKUP(INT($C$5)+1,Tablas!$G$9:$O$1240,9,0)*($C$5-INT($C$5))+VLOOKUP(INT($C$5),Tablas!$G$9:$O$124,9,0)*(INT($C$5)+1-$C$5)))</f>
        <v>0.96747995161441236</v>
      </c>
      <c r="G94" s="97">
        <f ca="1">IF($C$4="Hombre",(+VLOOKUP(INT(D94)+1,Tablas!$G$9:$K$1240,5,0)*(D94-INT(D94))+VLOOKUP(INT(D94),Tablas!$G$9:$K$1240,5,0)*(INT(D94)+1-D94)),+VLOOKUP(INT(D94)+1,Tablas!$G$9:$O$1240,9,0)*(D94-INT(D94))+VLOOKUP(INT(D94),Tablas!$G$9:$O$1240,9,0)*(INT(D94)+1-D94))</f>
        <v>893291.51978461829</v>
      </c>
      <c r="H94" s="105">
        <f t="shared" ca="1" si="10"/>
        <v>1</v>
      </c>
      <c r="I94" s="106">
        <f t="shared" ca="1" si="11"/>
        <v>7.3186207164362249E-2</v>
      </c>
      <c r="J94" s="106">
        <f t="shared" ca="1" si="15"/>
        <v>6.2731034712310493E-2</v>
      </c>
      <c r="K94" s="105">
        <f t="shared" ca="1" si="12"/>
        <v>0.96747995161441236</v>
      </c>
      <c r="L94" s="75"/>
    </row>
    <row r="95" spans="2:12">
      <c r="B95" s="101">
        <f t="shared" ca="1" si="13"/>
        <v>55156</v>
      </c>
      <c r="C95" s="101">
        <f t="shared" ca="1" si="14"/>
        <v>55186</v>
      </c>
      <c r="D95" s="102">
        <f t="shared" ca="1" si="8"/>
        <v>73.585215605749482</v>
      </c>
      <c r="E95" s="103">
        <f t="shared" ca="1" si="9"/>
        <v>0.90660835629181891</v>
      </c>
      <c r="F95" s="104">
        <f ca="1">IF($C$4="Hombre",(+VLOOKUP(INT(D95)+1,Tablas!$G$9:$K$1240,5,0)*(D95-INT(D95))+VLOOKUP(INT(D95),Tablas!$G$9:$K$1240,5,0)*(INT(D95)+1-D95))/(VLOOKUP(INT($C$5)+1,Tablas!$G$9:$K$1240,5,0)*($C$5-INT($C$5))+VLOOKUP(INT($C$5),Tablas!$G$9:$K$124,5,0)*(INT($C$5)+1-$C$5)),(+VLOOKUP(INT(D95)+1,Tablas!$G$9:$O$1240,9,0)*(D95-INT(D95))+VLOOKUP(INT(D95),Tablas!$G$9:$O$1240,9,0)*(INT(D95)+1-D95))/(VLOOKUP(INT($C$5)+1,Tablas!$G$9:$O$1240,9,0)*($C$5-INT($C$5))+VLOOKUP(INT($C$5),Tablas!$G$9:$O$124,9,0)*(INT($C$5)+1-$C$5)))</f>
        <v>0.96695085540611336</v>
      </c>
      <c r="G95" s="97">
        <f ca="1">IF($C$4="Hombre",(+VLOOKUP(INT(D95)+1,Tablas!$G$9:$K$1240,5,0)*(D95-INT(D95))+VLOOKUP(INT(D95),Tablas!$G$9:$K$1240,5,0)*(INT(D95)+1-D95)),+VLOOKUP(INT(D95)+1,Tablas!$G$9:$O$1240,9,0)*(D95-INT(D95))+VLOOKUP(INT(D95),Tablas!$G$9:$O$1240,9,0)*(INT(D95)+1-D95))</f>
        <v>892802.99580514454</v>
      </c>
      <c r="H95" s="105">
        <f t="shared" ca="1" si="10"/>
        <v>1</v>
      </c>
      <c r="I95" s="106">
        <f t="shared" ca="1" si="11"/>
        <v>7.3053810469558722E-2</v>
      </c>
      <c r="J95" s="106">
        <f t="shared" ca="1" si="15"/>
        <v>6.2617551831050333E-2</v>
      </c>
      <c r="K95" s="105">
        <f t="shared" ca="1" si="12"/>
        <v>0.96695085540611336</v>
      </c>
      <c r="L95" s="75"/>
    </row>
    <row r="96" spans="2:12">
      <c r="B96" s="101">
        <f t="shared" ca="1" si="13"/>
        <v>55187</v>
      </c>
      <c r="C96" s="101">
        <f t="shared" ca="1" si="14"/>
        <v>55214</v>
      </c>
      <c r="D96" s="102">
        <f t="shared" ca="1" si="8"/>
        <v>73.661875427789184</v>
      </c>
      <c r="E96" s="103">
        <f t="shared" ca="1" si="9"/>
        <v>0.90557418153747093</v>
      </c>
      <c r="F96" s="104">
        <f ca="1">IF($C$4="Hombre",(+VLOOKUP(INT(D96)+1,Tablas!$G$9:$K$1240,5,0)*(D96-INT(D96))+VLOOKUP(INT(D96),Tablas!$G$9:$K$1240,5,0)*(INT(D96)+1-D96))/(VLOOKUP(INT($C$5)+1,Tablas!$G$9:$K$1240,5,0)*($C$5-INT($C$5))+VLOOKUP(INT($C$5),Tablas!$G$9:$K$124,5,0)*(INT($C$5)+1-$C$5)),(+VLOOKUP(INT(D96)+1,Tablas!$G$9:$O$1240,9,0)*(D96-INT(D96))+VLOOKUP(INT(D96),Tablas!$G$9:$O$1240,9,0)*(INT(D96)+1-D96))/(VLOOKUP(INT($C$5)+1,Tablas!$G$9:$O$1240,9,0)*($C$5-INT($C$5))+VLOOKUP(INT($C$5),Tablas!$G$9:$O$124,9,0)*(INT($C$5)+1-$C$5)))</f>
        <v>0.96647296205668198</v>
      </c>
      <c r="G96" s="97">
        <f ca="1">IF($C$4="Hombre",(+VLOOKUP(INT(D96)+1,Tablas!$G$9:$K$1240,5,0)*(D96-INT(D96))+VLOOKUP(INT(D96),Tablas!$G$9:$K$1240,5,0)*(INT(D96)+1-D96)),+VLOOKUP(INT(D96)+1,Tablas!$G$9:$O$1240,9,0)*(D96-INT(D96))+VLOOKUP(INT(D96),Tablas!$G$9:$O$1240,9,0)*(INT(D96)+1-D96))</f>
        <v>892361.74833981344</v>
      </c>
      <c r="H96" s="105">
        <f t="shared" ca="1" si="10"/>
        <v>1</v>
      </c>
      <c r="I96" s="106">
        <f t="shared" ca="1" si="11"/>
        <v>7.2934413466047912E-2</v>
      </c>
      <c r="J96" s="106">
        <f t="shared" ca="1" si="15"/>
        <v>6.2515211542326782E-2</v>
      </c>
      <c r="K96" s="105">
        <f t="shared" ca="1" si="12"/>
        <v>0.96647296205668198</v>
      </c>
      <c r="L96" s="75"/>
    </row>
    <row r="97" spans="2:12">
      <c r="B97" s="101">
        <f t="shared" ca="1" si="13"/>
        <v>55215</v>
      </c>
      <c r="C97" s="101">
        <f t="shared" ca="1" si="14"/>
        <v>55245</v>
      </c>
      <c r="D97" s="102">
        <f t="shared" ca="1" si="8"/>
        <v>73.746748802190282</v>
      </c>
      <c r="E97" s="103">
        <f t="shared" ca="1" si="9"/>
        <v>0.90443057834408414</v>
      </c>
      <c r="F97" s="104">
        <f ca="1">IF($C$4="Hombre",(+VLOOKUP(INT(D97)+1,Tablas!$G$9:$K$1240,5,0)*(D97-INT(D97))+VLOOKUP(INT(D97),Tablas!$G$9:$K$1240,5,0)*(INT(D97)+1-D97))/(VLOOKUP(INT($C$5)+1,Tablas!$G$9:$K$1240,5,0)*($C$5-INT($C$5))+VLOOKUP(INT($C$5),Tablas!$G$9:$K$124,5,0)*(INT($C$5)+1-$C$5)),(+VLOOKUP(INT(D97)+1,Tablas!$G$9:$O$1240,9,0)*(D97-INT(D97))+VLOOKUP(INT(D97),Tablas!$G$9:$O$1240,9,0)*(INT(D97)+1-D97))/(VLOOKUP(INT($C$5)+1,Tablas!$G$9:$O$1240,9,0)*($C$5-INT($C$5))+VLOOKUP(INT($C$5),Tablas!$G$9:$O$124,9,0)*(INT($C$5)+1-$C$5)))</f>
        <v>0.96594386584838277</v>
      </c>
      <c r="G97" s="97">
        <f ca="1">IF($C$4="Hombre",(+VLOOKUP(INT(D97)+1,Tablas!$G$9:$K$1240,5,0)*(D97-INT(D97))+VLOOKUP(INT(D97),Tablas!$G$9:$K$1240,5,0)*(INT(D97)+1-D97)),+VLOOKUP(INT(D97)+1,Tablas!$G$9:$O$1240,9,0)*(D97-INT(D97))+VLOOKUP(INT(D97),Tablas!$G$9:$O$1240,9,0)*(INT(D97)+1-D97))</f>
        <v>891873.22436033958</v>
      </c>
      <c r="H97" s="105">
        <f t="shared" ca="1" si="10"/>
        <v>1</v>
      </c>
      <c r="I97" s="106">
        <f t="shared" ca="1" si="11"/>
        <v>7.2802430769764434E-2</v>
      </c>
      <c r="J97" s="106">
        <f t="shared" ca="1" si="15"/>
        <v>6.2402083516940939E-2</v>
      </c>
      <c r="K97" s="105">
        <f t="shared" ca="1" si="12"/>
        <v>0.96594386584838277</v>
      </c>
      <c r="L97" s="75"/>
    </row>
    <row r="98" spans="2:12">
      <c r="B98" s="101">
        <f t="shared" ca="1" si="13"/>
        <v>55246</v>
      </c>
      <c r="C98" s="101">
        <f t="shared" ca="1" si="14"/>
        <v>55275</v>
      </c>
      <c r="D98" s="102">
        <f t="shared" ca="1" si="8"/>
        <v>73.828884325804239</v>
      </c>
      <c r="E98" s="103">
        <f t="shared" ca="1" si="9"/>
        <v>0.90332524066365838</v>
      </c>
      <c r="F98" s="104">
        <f ca="1">IF($C$4="Hombre",(+VLOOKUP(INT(D98)+1,Tablas!$G$9:$K$1240,5,0)*(D98-INT(D98))+VLOOKUP(INT(D98),Tablas!$G$9:$K$1240,5,0)*(INT(D98)+1-D98))/(VLOOKUP(INT($C$5)+1,Tablas!$G$9:$K$1240,5,0)*($C$5-INT($C$5))+VLOOKUP(INT($C$5),Tablas!$G$9:$K$124,5,0)*(INT($C$5)+1-$C$5)),(+VLOOKUP(INT(D98)+1,Tablas!$G$9:$O$1240,9,0)*(D98-INT(D98))+VLOOKUP(INT(D98),Tablas!$G$9:$O$1240,9,0)*(INT(D98)+1-D98))/(VLOOKUP(INT($C$5)+1,Tablas!$G$9:$O$1240,9,0)*($C$5-INT($C$5))+VLOOKUP(INT($C$5),Tablas!$G$9:$O$124,9,0)*(INT($C$5)+1-$C$5)))</f>
        <v>0.96543183725970627</v>
      </c>
      <c r="G98" s="97">
        <f ca="1">IF($C$4="Hombre",(+VLOOKUP(INT(D98)+1,Tablas!$G$9:$K$1240,5,0)*(D98-INT(D98))+VLOOKUP(INT(D98),Tablas!$G$9:$K$1240,5,0)*(INT(D98)+1-D98)),+VLOOKUP(INT(D98)+1,Tablas!$G$9:$O$1240,9,0)*(D98-INT(D98))+VLOOKUP(INT(D98),Tablas!$G$9:$O$1240,9,0)*(INT(D98)+1-D98))</f>
        <v>891400.45921891334</v>
      </c>
      <c r="H98" s="105">
        <f t="shared" ca="1" si="10"/>
        <v>1</v>
      </c>
      <c r="I98" s="106">
        <f t="shared" ca="1" si="11"/>
        <v>7.2674912228081825E-2</v>
      </c>
      <c r="J98" s="106">
        <f t="shared" ca="1" si="15"/>
        <v>6.2292781909784427E-2</v>
      </c>
      <c r="K98" s="105">
        <f t="shared" ca="1" si="12"/>
        <v>0.96543183725970627</v>
      </c>
      <c r="L98" s="75"/>
    </row>
    <row r="99" spans="2:12">
      <c r="B99" s="101">
        <f t="shared" ca="1" si="13"/>
        <v>55276</v>
      </c>
      <c r="C99" s="101">
        <f t="shared" ca="1" si="14"/>
        <v>55306</v>
      </c>
      <c r="D99" s="102">
        <f t="shared" ca="1" si="8"/>
        <v>73.913757700205338</v>
      </c>
      <c r="E99" s="103">
        <f t="shared" ca="1" si="9"/>
        <v>0.90218447754236897</v>
      </c>
      <c r="F99" s="104">
        <f ca="1">IF($C$4="Hombre",(+VLOOKUP(INT(D99)+1,Tablas!$G$9:$K$1240,5,0)*(D99-INT(D99))+VLOOKUP(INT(D99),Tablas!$G$9:$K$1240,5,0)*(INT(D99)+1-D99))/(VLOOKUP(INT($C$5)+1,Tablas!$G$9:$K$1240,5,0)*($C$5-INT($C$5))+VLOOKUP(INT($C$5),Tablas!$G$9:$K$124,5,0)*(INT($C$5)+1-$C$5)),(+VLOOKUP(INT(D99)+1,Tablas!$G$9:$O$1240,9,0)*(D99-INT(D99))+VLOOKUP(INT(D99),Tablas!$G$9:$O$1240,9,0)*(INT(D99)+1-D99))/(VLOOKUP(INT($C$5)+1,Tablas!$G$9:$O$1240,9,0)*($C$5-INT($C$5))+VLOOKUP(INT($C$5),Tablas!$G$9:$O$124,9,0)*(INT($C$5)+1-$C$5)))</f>
        <v>0.96490274105140716</v>
      </c>
      <c r="G99" s="97">
        <f ca="1">IF($C$4="Hombre",(+VLOOKUP(INT(D99)+1,Tablas!$G$9:$K$1240,5,0)*(D99-INT(D99))+VLOOKUP(INT(D99),Tablas!$G$9:$K$1240,5,0)*(INT(D99)+1-D99)),+VLOOKUP(INT(D99)+1,Tablas!$G$9:$O$1240,9,0)*(D99-INT(D99))+VLOOKUP(INT(D99),Tablas!$G$9:$O$1240,9,0)*(INT(D99)+1-D99))</f>
        <v>890911.9352394396</v>
      </c>
      <c r="H99" s="105">
        <f t="shared" ca="1" si="10"/>
        <v>1</v>
      </c>
      <c r="I99" s="106">
        <f t="shared" ca="1" si="11"/>
        <v>7.2543356276221965E-2</v>
      </c>
      <c r="J99" s="106">
        <f t="shared" ca="1" si="15"/>
        <v>0.12436003933066622</v>
      </c>
      <c r="K99" s="105">
        <f t="shared" ca="1" si="12"/>
        <v>0.96490274105140716</v>
      </c>
      <c r="L99" s="75"/>
    </row>
    <row r="100" spans="2:12">
      <c r="B100" s="101">
        <f t="shared" ca="1" si="13"/>
        <v>55307</v>
      </c>
      <c r="C100" s="101">
        <f t="shared" ca="1" si="14"/>
        <v>55336</v>
      </c>
      <c r="D100" s="102">
        <f t="shared" ca="1" si="8"/>
        <v>73.995893223819309</v>
      </c>
      <c r="E100" s="103">
        <f t="shared" ca="1" si="9"/>
        <v>0.90108188490386154</v>
      </c>
      <c r="F100" s="104">
        <f ca="1">IF($C$4="Hombre",(+VLOOKUP(INT(D100)+1,Tablas!$G$9:$K$1240,5,0)*(D100-INT(D100))+VLOOKUP(INT(D100),Tablas!$G$9:$K$1240,5,0)*(INT(D100)+1-D100))/(VLOOKUP(INT($C$5)+1,Tablas!$G$9:$K$1240,5,0)*($C$5-INT($C$5))+VLOOKUP(INT($C$5),Tablas!$G$9:$K$124,5,0)*(INT($C$5)+1-$C$5)),(+VLOOKUP(INT(D100)+1,Tablas!$G$9:$O$1240,9,0)*(D100-INT(D100))+VLOOKUP(INT(D100),Tablas!$G$9:$O$1240,9,0)*(INT(D100)+1-D100))/(VLOOKUP(INT($C$5)+1,Tablas!$G$9:$O$1240,9,0)*($C$5-INT($C$5))+VLOOKUP(INT($C$5),Tablas!$G$9:$O$124,9,0)*(INT($C$5)+1-$C$5)))</f>
        <v>0.96439071246273056</v>
      </c>
      <c r="G100" s="97">
        <f ca="1">IF($C$4="Hombre",(+VLOOKUP(INT(D100)+1,Tablas!$G$9:$K$1240,5,0)*(D100-INT(D100))+VLOOKUP(INT(D100),Tablas!$G$9:$K$1240,5,0)*(INT(D100)+1-D100)),+VLOOKUP(INT(D100)+1,Tablas!$G$9:$O$1240,9,0)*(D100-INT(D100))+VLOOKUP(INT(D100),Tablas!$G$9:$O$1240,9,0)*(INT(D100)+1-D100))</f>
        <v>890439.17009801324</v>
      </c>
      <c r="H100" s="105">
        <f t="shared" ca="1" si="10"/>
        <v>1</v>
      </c>
      <c r="I100" s="106">
        <f t="shared" ca="1" si="11"/>
        <v>7.2416250080807931E-2</v>
      </c>
      <c r="J100" s="106">
        <f t="shared" ca="1" si="15"/>
        <v>6.2071071497835369E-2</v>
      </c>
      <c r="K100" s="105">
        <f t="shared" ca="1" si="12"/>
        <v>0.96439071246273056</v>
      </c>
      <c r="L100" s="75"/>
    </row>
    <row r="101" spans="2:12">
      <c r="B101" s="101">
        <f t="shared" ca="1" si="13"/>
        <v>55337</v>
      </c>
      <c r="C101" s="101">
        <f t="shared" ca="1" si="14"/>
        <v>55367</v>
      </c>
      <c r="D101" s="102">
        <f t="shared" ca="1" si="8"/>
        <v>74.080766598220393</v>
      </c>
      <c r="E101" s="103">
        <f t="shared" ca="1" si="9"/>
        <v>0.89994395480151568</v>
      </c>
      <c r="F101" s="104">
        <f ca="1">IF($C$4="Hombre",(+VLOOKUP(INT(D101)+1,Tablas!$G$9:$K$1240,5,0)*(D101-INT(D101))+VLOOKUP(INT(D101),Tablas!$G$9:$K$1240,5,0)*(INT(D101)+1-D101))/(VLOOKUP(INT($C$5)+1,Tablas!$G$9:$K$1240,5,0)*($C$5-INT($C$5))+VLOOKUP(INT($C$5),Tablas!$G$9:$K$124,5,0)*(INT($C$5)+1-$C$5)),(+VLOOKUP(INT(D101)+1,Tablas!$G$9:$O$1240,9,0)*(D101-INT(D101))+VLOOKUP(INT(D101),Tablas!$G$9:$O$1240,9,0)*(INT(D101)+1-D101))/(VLOOKUP(INT($C$5)+1,Tablas!$G$9:$O$1240,9,0)*($C$5-INT($C$5))+VLOOKUP(INT($C$5),Tablas!$G$9:$O$124,9,0)*(INT($C$5)+1-$C$5)))</f>
        <v>0.96380250174561222</v>
      </c>
      <c r="G101" s="97">
        <f ca="1">IF($C$4="Hombre",(+VLOOKUP(INT(D101)+1,Tablas!$G$9:$K$1240,5,0)*(D101-INT(D101))+VLOOKUP(INT(D101),Tablas!$G$9:$K$1240,5,0)*(INT(D101)+1-D101)),+VLOOKUP(INT(D101)+1,Tablas!$G$9:$O$1240,9,0)*(D101-INT(D101))+VLOOKUP(INT(D101),Tablas!$G$9:$O$1240,9,0)*(INT(D101)+1-D101))</f>
        <v>889896.06463668414</v>
      </c>
      <c r="H101" s="105">
        <f t="shared" ca="1" si="10"/>
        <v>1</v>
      </c>
      <c r="I101" s="106">
        <f t="shared" ca="1" si="11"/>
        <v>7.2280686255711754E-2</v>
      </c>
      <c r="J101" s="106">
        <f t="shared" ca="1" si="15"/>
        <v>6.1954873933467214E-2</v>
      </c>
      <c r="K101" s="105">
        <f t="shared" ca="1" si="12"/>
        <v>0.96380250174561222</v>
      </c>
      <c r="L101" s="75"/>
    </row>
    <row r="102" spans="2:12">
      <c r="B102" s="101">
        <f t="shared" ca="1" si="13"/>
        <v>55368</v>
      </c>
      <c r="C102" s="101">
        <f t="shared" ca="1" si="14"/>
        <v>55398</v>
      </c>
      <c r="D102" s="102">
        <f t="shared" ca="1" si="8"/>
        <v>74.165639972621491</v>
      </c>
      <c r="E102" s="103">
        <f t="shared" ca="1" si="9"/>
        <v>0.89880746173273929</v>
      </c>
      <c r="F102" s="104">
        <f ca="1">IF($C$4="Hombre",(+VLOOKUP(INT(D102)+1,Tablas!$G$9:$K$1240,5,0)*(D102-INT(D102))+VLOOKUP(INT(D102),Tablas!$G$9:$K$1240,5,0)*(INT(D102)+1-D102))/(VLOOKUP(INT($C$5)+1,Tablas!$G$9:$K$1240,5,0)*($C$5-INT($C$5))+VLOOKUP(INT($C$5),Tablas!$G$9:$K$124,5,0)*(INT($C$5)+1-$C$5)),(+VLOOKUP(INT(D102)+1,Tablas!$G$9:$O$1240,9,0)*(D102-INT(D102))+VLOOKUP(INT(D102),Tablas!$G$9:$O$1240,9,0)*(INT(D102)+1-D102))/(VLOOKUP(INT($C$5)+1,Tablas!$G$9:$O$1240,9,0)*($C$5-INT($C$5))+VLOOKUP(INT($C$5),Tablas!$G$9:$O$124,9,0)*(INT($C$5)+1-$C$5)))</f>
        <v>0.96321128520601129</v>
      </c>
      <c r="G102" s="97">
        <f ca="1">IF($C$4="Hombre",(+VLOOKUP(INT(D102)+1,Tablas!$G$9:$K$1240,5,0)*(D102-INT(D102))+VLOOKUP(INT(D102),Tablas!$G$9:$K$1240,5,0)*(INT(D102)+1-D102)),+VLOOKUP(INT(D102)+1,Tablas!$G$9:$O$1240,9,0)*(D102-INT(D102))+VLOOKUP(INT(D102),Tablas!$G$9:$O$1240,9,0)*(INT(D102)+1-D102))</f>
        <v>889350.18384576892</v>
      </c>
      <c r="H102" s="105">
        <f t="shared" ca="1" si="10"/>
        <v>1</v>
      </c>
      <c r="I102" s="106">
        <f t="shared" ca="1" si="11"/>
        <v>7.2145124197362048E-2</v>
      </c>
      <c r="J102" s="106">
        <f t="shared" ca="1" si="15"/>
        <v>6.1838677883453187E-2</v>
      </c>
      <c r="K102" s="105">
        <f t="shared" ca="1" si="12"/>
        <v>0.96321128520601129</v>
      </c>
      <c r="L102" s="75"/>
    </row>
    <row r="103" spans="2:12">
      <c r="B103" s="101">
        <f t="shared" ca="1" si="13"/>
        <v>55399</v>
      </c>
      <c r="C103" s="101">
        <f t="shared" ca="1" si="14"/>
        <v>55428</v>
      </c>
      <c r="D103" s="102">
        <f t="shared" ca="1" si="8"/>
        <v>74.247775496235448</v>
      </c>
      <c r="E103" s="103">
        <f t="shared" ca="1" si="9"/>
        <v>0.89770899626873424</v>
      </c>
      <c r="F103" s="104">
        <f ca="1">IF($C$4="Hombre",(+VLOOKUP(INT(D103)+1,Tablas!$G$9:$K$1240,5,0)*(D103-INT(D103))+VLOOKUP(INT(D103),Tablas!$G$9:$K$1240,5,0)*(INT(D103)+1-D103))/(VLOOKUP(INT($C$5)+1,Tablas!$G$9:$K$1240,5,0)*($C$5-INT($C$5))+VLOOKUP(INT($C$5),Tablas!$G$9:$K$124,5,0)*(INT($C$5)+1-$C$5)),(+VLOOKUP(INT(D103)+1,Tablas!$G$9:$O$1240,9,0)*(D103-INT(D103))+VLOOKUP(INT(D103),Tablas!$G$9:$O$1240,9,0)*(INT(D103)+1-D103))/(VLOOKUP(INT($C$5)+1,Tablas!$G$9:$O$1240,9,0)*($C$5-INT($C$5))+VLOOKUP(INT($C$5),Tablas!$G$9:$O$124,9,0)*(INT($C$5)+1-$C$5)))</f>
        <v>0.96263914016768803</v>
      </c>
      <c r="G103" s="97">
        <f ca="1">IF($C$4="Hombre",(+VLOOKUP(INT(D103)+1,Tablas!$G$9:$K$1240,5,0)*(D103-INT(D103))+VLOOKUP(INT(D103),Tablas!$G$9:$K$1240,5,0)*(INT(D103)+1-D103)),+VLOOKUP(INT(D103)+1,Tablas!$G$9:$O$1240,9,0)*(D103-INT(D103))+VLOOKUP(INT(D103),Tablas!$G$9:$O$1240,9,0)*(INT(D103)+1-D103))</f>
        <v>888821.91211262532</v>
      </c>
      <c r="H103" s="105">
        <f t="shared" ca="1" si="10"/>
        <v>1</v>
      </c>
      <c r="I103" s="106">
        <f t="shared" ca="1" si="11"/>
        <v>7.2014151357411044E-2</v>
      </c>
      <c r="J103" s="106">
        <f t="shared" ca="1" si="15"/>
        <v>6.1726415449209468E-2</v>
      </c>
      <c r="K103" s="105">
        <f t="shared" ca="1" si="12"/>
        <v>0.96263914016768803</v>
      </c>
      <c r="L103" s="75"/>
    </row>
    <row r="104" spans="2:12">
      <c r="B104" s="101">
        <f t="shared" ca="1" si="13"/>
        <v>55429</v>
      </c>
      <c r="C104" s="101">
        <f t="shared" ca="1" si="14"/>
        <v>55459</v>
      </c>
      <c r="D104" s="102">
        <f t="shared" ca="1" si="8"/>
        <v>74.332648870636547</v>
      </c>
      <c r="E104" s="103">
        <f t="shared" ca="1" si="9"/>
        <v>0.89657532561447373</v>
      </c>
      <c r="F104" s="104">
        <f ca="1">IF($C$4="Hombre",(+VLOOKUP(INT(D104)+1,Tablas!$G$9:$K$1240,5,0)*(D104-INT(D104))+VLOOKUP(INT(D104),Tablas!$G$9:$K$1240,5,0)*(INT(D104)+1-D104))/(VLOOKUP(INT($C$5)+1,Tablas!$G$9:$K$1240,5,0)*($C$5-INT($C$5))+VLOOKUP(INT($C$5),Tablas!$G$9:$K$124,5,0)*(INT($C$5)+1-$C$5)),(+VLOOKUP(INT(D104)+1,Tablas!$G$9:$O$1240,9,0)*(D104-INT(D104))+VLOOKUP(INT(D104),Tablas!$G$9:$O$1240,9,0)*(INT(D104)+1-D104))/(VLOOKUP(INT($C$5)+1,Tablas!$G$9:$O$1240,9,0)*($C$5-INT($C$5))+VLOOKUP(INT($C$5),Tablas!$G$9:$O$124,9,0)*(INT($C$5)+1-$C$5)))</f>
        <v>0.96204792362808722</v>
      </c>
      <c r="G104" s="97">
        <f ca="1">IF($C$4="Hombre",(+VLOOKUP(INT(D104)+1,Tablas!$G$9:$K$1240,5,0)*(D104-INT(D104))+VLOOKUP(INT(D104),Tablas!$G$9:$K$1240,5,0)*(INT(D104)+1-D104)),+VLOOKUP(INT(D104)+1,Tablas!$G$9:$O$1240,9,0)*(D104-INT(D104))+VLOOKUP(INT(D104),Tablas!$G$9:$O$1240,9,0)*(INT(D104)+1-D104))</f>
        <v>888276.03132171021</v>
      </c>
      <c r="H104" s="105">
        <f t="shared" ca="1" si="10"/>
        <v>1</v>
      </c>
      <c r="I104" s="106">
        <f t="shared" ca="1" si="11"/>
        <v>7.1879035865298382E-2</v>
      </c>
      <c r="J104" s="106">
        <f t="shared" ca="1" si="15"/>
        <v>6.1610602170255761E-2</v>
      </c>
      <c r="K104" s="105">
        <f t="shared" ca="1" si="12"/>
        <v>0.96204792362808722</v>
      </c>
      <c r="L104" s="75"/>
    </row>
    <row r="105" spans="2:12">
      <c r="B105" s="101">
        <f t="shared" ca="1" si="13"/>
        <v>55460</v>
      </c>
      <c r="C105" s="101">
        <f t="shared" ca="1" si="14"/>
        <v>55489</v>
      </c>
      <c r="D105" s="102">
        <f t="shared" ca="1" si="8"/>
        <v>74.414784394250518</v>
      </c>
      <c r="E105" s="103">
        <f t="shared" ca="1" si="9"/>
        <v>0.89547958812563699</v>
      </c>
      <c r="F105" s="104">
        <f ca="1">IF($C$4="Hombre",(+VLOOKUP(INT(D105)+1,Tablas!$G$9:$K$1240,5,0)*(D105-INT(D105))+VLOOKUP(INT(D105),Tablas!$G$9:$K$1240,5,0)*(INT(D105)+1-D105))/(VLOOKUP(INT($C$5)+1,Tablas!$G$9:$K$1240,5,0)*($C$5-INT($C$5))+VLOOKUP(INT($C$5),Tablas!$G$9:$K$124,5,0)*(INT($C$5)+1-$C$5)),(+VLOOKUP(INT(D105)+1,Tablas!$G$9:$O$1240,9,0)*(D105-INT(D105))+VLOOKUP(INT(D105),Tablas!$G$9:$O$1240,9,0)*(INT(D105)+1-D105))/(VLOOKUP(INT($C$5)+1,Tablas!$G$9:$O$1240,9,0)*($C$5-INT($C$5))+VLOOKUP(INT($C$5),Tablas!$G$9:$O$124,9,0)*(INT($C$5)+1-$C$5)))</f>
        <v>0.96147577858976385</v>
      </c>
      <c r="G105" s="97">
        <f ca="1">IF($C$4="Hombre",(+VLOOKUP(INT(D105)+1,Tablas!$G$9:$K$1240,5,0)*(D105-INT(D105))+VLOOKUP(INT(D105),Tablas!$G$9:$K$1240,5,0)*(INT(D105)+1-D105)),+VLOOKUP(INT(D105)+1,Tablas!$G$9:$O$1240,9,0)*(D105-INT(D105))+VLOOKUP(INT(D105),Tablas!$G$9:$O$1240,9,0)*(INT(D105)+1-D105))</f>
        <v>887747.75958856649</v>
      </c>
      <c r="H105" s="105">
        <f t="shared" ca="1" si="10"/>
        <v>1</v>
      </c>
      <c r="I105" s="106">
        <f t="shared" ca="1" si="11"/>
        <v>7.1748494517028152E-2</v>
      </c>
      <c r="J105" s="106">
        <f t="shared" ca="1" si="15"/>
        <v>0.12299741917204828</v>
      </c>
      <c r="K105" s="105">
        <f t="shared" ca="1" si="12"/>
        <v>0.96147577858976385</v>
      </c>
      <c r="L105" s="75"/>
    </row>
    <row r="106" spans="2:12">
      <c r="B106" s="101">
        <f t="shared" ca="1" si="13"/>
        <v>55490</v>
      </c>
      <c r="C106" s="101">
        <f t="shared" ca="1" si="14"/>
        <v>55520</v>
      </c>
      <c r="D106" s="102">
        <f t="shared" ca="1" si="8"/>
        <v>74.499657768651602</v>
      </c>
      <c r="E106" s="103">
        <f t="shared" ca="1" si="9"/>
        <v>0.89434873287659022</v>
      </c>
      <c r="F106" s="104">
        <f ca="1">IF($C$4="Hombre",(+VLOOKUP(INT(D106)+1,Tablas!$G$9:$K$1240,5,0)*(D106-INT(D106))+VLOOKUP(INT(D106),Tablas!$G$9:$K$1240,5,0)*(INT(D106)+1-D106))/(VLOOKUP(INT($C$5)+1,Tablas!$G$9:$K$1240,5,0)*($C$5-INT($C$5))+VLOOKUP(INT($C$5),Tablas!$G$9:$K$124,5,0)*(INT($C$5)+1-$C$5)),(+VLOOKUP(INT(D106)+1,Tablas!$G$9:$O$1240,9,0)*(D106-INT(D106))+VLOOKUP(INT(D106),Tablas!$G$9:$O$1240,9,0)*(INT(D106)+1-D106))/(VLOOKUP(INT($C$5)+1,Tablas!$G$9:$O$1240,9,0)*($C$5-INT($C$5))+VLOOKUP(INT($C$5),Tablas!$G$9:$O$124,9,0)*(INT($C$5)+1-$C$5)))</f>
        <v>0.96088456205016326</v>
      </c>
      <c r="G106" s="97">
        <f ca="1">IF($C$4="Hombre",(+VLOOKUP(INT(D106)+1,Tablas!$G$9:$K$1240,5,0)*(D106-INT(D106))+VLOOKUP(INT(D106),Tablas!$G$9:$K$1240,5,0)*(INT(D106)+1-D106)),+VLOOKUP(INT(D106)+1,Tablas!$G$9:$O$1240,9,0)*(D106-INT(D106))+VLOOKUP(INT(D106),Tablas!$G$9:$O$1240,9,0)*(INT(D106)+1-D106))</f>
        <v>887201.8787976515</v>
      </c>
      <c r="H106" s="105">
        <f t="shared" ca="1" si="10"/>
        <v>1</v>
      </c>
      <c r="I106" s="106">
        <f t="shared" ca="1" si="11"/>
        <v>7.1613824209186744E-2</v>
      </c>
      <c r="J106" s="106">
        <f t="shared" ca="1" si="15"/>
        <v>6.1383277893588641E-2</v>
      </c>
      <c r="K106" s="105">
        <f t="shared" ca="1" si="12"/>
        <v>0.96088456205016326</v>
      </c>
      <c r="L106" s="75"/>
    </row>
    <row r="107" spans="2:12">
      <c r="B107" s="101">
        <f t="shared" ca="1" si="13"/>
        <v>55521</v>
      </c>
      <c r="C107" s="101">
        <f t="shared" ca="1" si="14"/>
        <v>55551</v>
      </c>
      <c r="D107" s="102">
        <f t="shared" ca="1" si="8"/>
        <v>74.5845311430527</v>
      </c>
      <c r="E107" s="103">
        <f t="shared" ca="1" si="9"/>
        <v>0.89321930572664365</v>
      </c>
      <c r="F107" s="104">
        <f ca="1">IF($C$4="Hombre",(+VLOOKUP(INT(D107)+1,Tablas!$G$9:$K$1240,5,0)*(D107-INT(D107))+VLOOKUP(INT(D107),Tablas!$G$9:$K$1240,5,0)*(INT(D107)+1-D107))/(VLOOKUP(INT($C$5)+1,Tablas!$G$9:$K$1240,5,0)*($C$5-INT($C$5))+VLOOKUP(INT($C$5),Tablas!$G$9:$K$124,5,0)*(INT($C$5)+1-$C$5)),(+VLOOKUP(INT(D107)+1,Tablas!$G$9:$O$1240,9,0)*(D107-INT(D107))+VLOOKUP(INT(D107),Tablas!$G$9:$O$1240,9,0)*(INT(D107)+1-D107))/(VLOOKUP(INT($C$5)+1,Tablas!$G$9:$O$1240,9,0)*($C$5-INT($C$5))+VLOOKUP(INT($C$5),Tablas!$G$9:$O$124,9,0)*(INT($C$5)+1-$C$5)))</f>
        <v>0.96029334551056245</v>
      </c>
      <c r="G107" s="97">
        <f ca="1">IF($C$4="Hombre",(+VLOOKUP(INT(D107)+1,Tablas!$G$9:$K$1240,5,0)*(D107-INT(D107))+VLOOKUP(INT(D107),Tablas!$G$9:$K$1240,5,0)*(INT(D107)+1-D107)),+VLOOKUP(INT(D107)+1,Tablas!$G$9:$O$1240,9,0)*(D107-INT(D107))+VLOOKUP(INT(D107),Tablas!$G$9:$O$1240,9,0)*(INT(D107)+1-D107))</f>
        <v>886655.99800673639</v>
      </c>
      <c r="H107" s="105">
        <f t="shared" ca="1" si="10"/>
        <v>1</v>
      </c>
      <c r="I107" s="106">
        <f t="shared" ca="1" si="11"/>
        <v>7.1479379614238364E-2</v>
      </c>
      <c r="J107" s="106">
        <f t="shared" ca="1" si="15"/>
        <v>6.1268039669347171E-2</v>
      </c>
      <c r="K107" s="105">
        <f t="shared" ca="1" si="12"/>
        <v>0.96029334551056245</v>
      </c>
      <c r="L107" s="75"/>
    </row>
    <row r="108" spans="2:12">
      <c r="B108" s="101">
        <f t="shared" ca="1" si="13"/>
        <v>55552</v>
      </c>
      <c r="C108" s="101">
        <f t="shared" ca="1" si="14"/>
        <v>55580</v>
      </c>
      <c r="D108" s="102">
        <f t="shared" ca="1" si="8"/>
        <v>74.66392881587953</v>
      </c>
      <c r="E108" s="103">
        <f t="shared" ca="1" si="9"/>
        <v>0.89216403611489037</v>
      </c>
      <c r="F108" s="104">
        <f ca="1">IF($C$4="Hombre",(+VLOOKUP(INT(D108)+1,Tablas!$G$9:$K$1240,5,0)*(D108-INT(D108))+VLOOKUP(INT(D108),Tablas!$G$9:$K$1240,5,0)*(INT(D108)+1-D108))/(VLOOKUP(INT($C$5)+1,Tablas!$G$9:$K$1240,5,0)*($C$5-INT($C$5))+VLOOKUP(INT($C$5),Tablas!$G$9:$K$124,5,0)*(INT($C$5)+1-$C$5)),(+VLOOKUP(INT(D108)+1,Tablas!$G$9:$O$1240,9,0)*(D108-INT(D108))+VLOOKUP(INT(D108),Tablas!$G$9:$O$1240,9,0)*(INT(D108)+1-D108))/(VLOOKUP(INT($C$5)+1,Tablas!$G$9:$O$1240,9,0)*($C$5-INT($C$5))+VLOOKUP(INT($C$5),Tablas!$G$9:$O$124,9,0)*(INT($C$5)+1-$C$5)))</f>
        <v>0.95974027197351652</v>
      </c>
      <c r="G108" s="97">
        <f ca="1">IF($C$4="Hombre",(+VLOOKUP(INT(D108)+1,Tablas!$G$9:$K$1240,5,0)*(D108-INT(D108))+VLOOKUP(INT(D108),Tablas!$G$9:$K$1240,5,0)*(INT(D108)+1-D108)),+VLOOKUP(INT(D108)+1,Tablas!$G$9:$O$1240,9,0)*(D108-INT(D108))+VLOOKUP(INT(D108),Tablas!$G$9:$O$1240,9,0)*(INT(D108)+1-D108))</f>
        <v>886145.33533136419</v>
      </c>
      <c r="H108" s="105">
        <f t="shared" ca="1" si="10"/>
        <v>1</v>
      </c>
      <c r="I108" s="106">
        <f t="shared" ca="1" si="11"/>
        <v>7.1353812888824586E-2</v>
      </c>
      <c r="J108" s="106">
        <f t="shared" ca="1" si="15"/>
        <v>6.116041104756393E-2</v>
      </c>
      <c r="K108" s="105">
        <f t="shared" ca="1" si="12"/>
        <v>0.95974027197351652</v>
      </c>
      <c r="L108" s="75"/>
    </row>
    <row r="109" spans="2:12">
      <c r="B109" s="101">
        <f t="shared" ca="1" si="13"/>
        <v>55581</v>
      </c>
      <c r="C109" s="101">
        <f t="shared" ca="1" si="14"/>
        <v>55611</v>
      </c>
      <c r="D109" s="102">
        <f t="shared" ca="1" si="8"/>
        <v>74.748802190280628</v>
      </c>
      <c r="E109" s="103">
        <f t="shared" ca="1" si="9"/>
        <v>0.89103736790644672</v>
      </c>
      <c r="F109" s="104">
        <f ca="1">IF($C$4="Hombre",(+VLOOKUP(INT(D109)+1,Tablas!$G$9:$K$1240,5,0)*(D109-INT(D109))+VLOOKUP(INT(D109),Tablas!$G$9:$K$1240,5,0)*(INT(D109)+1-D109))/(VLOOKUP(INT($C$5)+1,Tablas!$G$9:$K$1240,5,0)*($C$5-INT($C$5))+VLOOKUP(INT($C$5),Tablas!$G$9:$K$124,5,0)*(INT($C$5)+1-$C$5)),(+VLOOKUP(INT(D109)+1,Tablas!$G$9:$O$1240,9,0)*(D109-INT(D109))+VLOOKUP(INT(D109),Tablas!$G$9:$O$1240,9,0)*(INT(D109)+1-D109))/(VLOOKUP(INT($C$5)+1,Tablas!$G$9:$O$1240,9,0)*($C$5-INT($C$5))+VLOOKUP(INT($C$5),Tablas!$G$9:$O$124,9,0)*(INT($C$5)+1-$C$5)))</f>
        <v>0.9591490554339156</v>
      </c>
      <c r="G109" s="97">
        <f ca="1">IF($C$4="Hombre",(+VLOOKUP(INT(D109)+1,Tablas!$G$9:$K$1240,5,0)*(D109-INT(D109))+VLOOKUP(INT(D109),Tablas!$G$9:$K$1240,5,0)*(INT(D109)+1-D109)),+VLOOKUP(INT(D109)+1,Tablas!$G$9:$O$1240,9,0)*(D109-INT(D109))+VLOOKUP(INT(D109),Tablas!$G$9:$O$1240,9,0)*(INT(D109)+1-D109))</f>
        <v>885599.45454044896</v>
      </c>
      <c r="H109" s="105">
        <f t="shared" ca="1" si="10"/>
        <v>1</v>
      </c>
      <c r="I109" s="106">
        <f t="shared" ca="1" si="11"/>
        <v>7.1219804148649216E-2</v>
      </c>
      <c r="J109" s="106">
        <f t="shared" ca="1" si="15"/>
        <v>6.1045546413127906E-2</v>
      </c>
      <c r="K109" s="105">
        <f t="shared" ca="1" si="12"/>
        <v>0.9591490554339156</v>
      </c>
      <c r="L109" s="75"/>
    </row>
    <row r="110" spans="2:12">
      <c r="B110" s="101">
        <f t="shared" ca="1" si="13"/>
        <v>55612</v>
      </c>
      <c r="C110" s="101">
        <f t="shared" ca="1" si="14"/>
        <v>55641</v>
      </c>
      <c r="D110" s="102">
        <f t="shared" ca="1" si="8"/>
        <v>74.830937713894599</v>
      </c>
      <c r="E110" s="103">
        <f t="shared" ca="1" si="9"/>
        <v>0.88994839855822105</v>
      </c>
      <c r="F110" s="104">
        <f ca="1">IF($C$4="Hombre",(+VLOOKUP(INT(D110)+1,Tablas!$G$9:$K$1240,5,0)*(D110-INT(D110))+VLOOKUP(INT(D110),Tablas!$G$9:$K$1240,5,0)*(INT(D110)+1-D110))/(VLOOKUP(INT($C$5)+1,Tablas!$G$9:$K$1240,5,0)*($C$5-INT($C$5))+VLOOKUP(INT($C$5),Tablas!$G$9:$K$124,5,0)*(INT($C$5)+1-$C$5)),(+VLOOKUP(INT(D110)+1,Tablas!$G$9:$O$1240,9,0)*(D110-INT(D110))+VLOOKUP(INT(D110),Tablas!$G$9:$O$1240,9,0)*(INT(D110)+1-D110))/(VLOOKUP(INT($C$5)+1,Tablas!$G$9:$O$1240,9,0)*($C$5-INT($C$5))+VLOOKUP(INT($C$5),Tablas!$G$9:$O$124,9,0)*(INT($C$5)+1-$C$5)))</f>
        <v>0.95857691039559234</v>
      </c>
      <c r="G110" s="97">
        <f ca="1">IF($C$4="Hombre",(+VLOOKUP(INT(D110)+1,Tablas!$G$9:$K$1240,5,0)*(D110-INT(D110))+VLOOKUP(INT(D110),Tablas!$G$9:$K$1240,5,0)*(INT(D110)+1-D110)),+VLOOKUP(INT(D110)+1,Tablas!$G$9:$O$1240,9,0)*(D110-INT(D110))+VLOOKUP(INT(D110),Tablas!$G$9:$O$1240,9,0)*(INT(D110)+1-D110))</f>
        <v>885071.18280730536</v>
      </c>
      <c r="H110" s="105">
        <f t="shared" ca="1" si="10"/>
        <v>1</v>
      </c>
      <c r="I110" s="106">
        <f t="shared" ca="1" si="11"/>
        <v>7.1090332191787065E-2</v>
      </c>
      <c r="J110" s="106">
        <f t="shared" ca="1" si="15"/>
        <v>6.0934570450103198E-2</v>
      </c>
      <c r="K110" s="105">
        <f t="shared" ca="1" si="12"/>
        <v>0.95857691039559234</v>
      </c>
      <c r="L110" s="75"/>
    </row>
    <row r="111" spans="2:12">
      <c r="B111" s="101">
        <f t="shared" ca="1" si="13"/>
        <v>55642</v>
      </c>
      <c r="C111" s="101">
        <f t="shared" ca="1" si="14"/>
        <v>55672</v>
      </c>
      <c r="D111" s="102">
        <f t="shared" ca="1" si="8"/>
        <v>74.915811088295683</v>
      </c>
      <c r="E111" s="103">
        <f t="shared" ca="1" si="9"/>
        <v>0.88882452836482351</v>
      </c>
      <c r="F111" s="104">
        <f ca="1">IF($C$4="Hombre",(+VLOOKUP(INT(D111)+1,Tablas!$G$9:$K$1240,5,0)*(D111-INT(D111))+VLOOKUP(INT(D111),Tablas!$G$9:$K$1240,5,0)*(INT(D111)+1-D111))/(VLOOKUP(INT($C$5)+1,Tablas!$G$9:$K$1240,5,0)*($C$5-INT($C$5))+VLOOKUP(INT($C$5),Tablas!$G$9:$K$124,5,0)*(INT($C$5)+1-$C$5)),(+VLOOKUP(INT(D111)+1,Tablas!$G$9:$O$1240,9,0)*(D111-INT(D111))+VLOOKUP(INT(D111),Tablas!$G$9:$O$1240,9,0)*(INT(D111)+1-D111))/(VLOOKUP(INT($C$5)+1,Tablas!$G$9:$O$1240,9,0)*($C$5-INT($C$5))+VLOOKUP(INT($C$5),Tablas!$G$9:$O$124,9,0)*(INT($C$5)+1-$C$5)))</f>
        <v>0.95798569385599153</v>
      </c>
      <c r="G111" s="97">
        <f ca="1">IF($C$4="Hombre",(+VLOOKUP(INT(D111)+1,Tablas!$G$9:$K$1240,5,0)*(D111-INT(D111))+VLOOKUP(INT(D111),Tablas!$G$9:$K$1240,5,0)*(INT(D111)+1-D111)),+VLOOKUP(INT(D111)+1,Tablas!$G$9:$O$1240,9,0)*(D111-INT(D111))+VLOOKUP(INT(D111),Tablas!$G$9:$O$1240,9,0)*(INT(D111)+1-D111))</f>
        <v>884525.30201639025</v>
      </c>
      <c r="H111" s="105">
        <f t="shared" ca="1" si="10"/>
        <v>1</v>
      </c>
      <c r="I111" s="106">
        <f t="shared" ca="1" si="11"/>
        <v>7.0956765210149986E-2</v>
      </c>
      <c r="J111" s="106">
        <f t="shared" ca="1" si="15"/>
        <v>0.12164016893168569</v>
      </c>
      <c r="K111" s="105">
        <f t="shared" ca="1" si="12"/>
        <v>0.95798569385599153</v>
      </c>
      <c r="L111" s="75"/>
    </row>
    <row r="112" spans="2:12">
      <c r="B112" s="101">
        <f t="shared" ca="1" si="13"/>
        <v>55673</v>
      </c>
      <c r="C112" s="101">
        <f t="shared" ca="1" si="14"/>
        <v>55702</v>
      </c>
      <c r="D112" s="102">
        <f t="shared" ca="1" si="8"/>
        <v>74.997946611909654</v>
      </c>
      <c r="E112" s="103">
        <f t="shared" ca="1" si="9"/>
        <v>0.88773826340871442</v>
      </c>
      <c r="F112" s="104">
        <f ca="1">IF($C$4="Hombre",(+VLOOKUP(INT(D112)+1,Tablas!$G$9:$K$1240,5,0)*(D112-INT(D112))+VLOOKUP(INT(D112),Tablas!$G$9:$K$1240,5,0)*(INT(D112)+1-D112))/(VLOOKUP(INT($C$5)+1,Tablas!$G$9:$K$1240,5,0)*($C$5-INT($C$5))+VLOOKUP(INT($C$5),Tablas!$G$9:$K$124,5,0)*(INT($C$5)+1-$C$5)),(+VLOOKUP(INT(D112)+1,Tablas!$G$9:$O$1240,9,0)*(D112-INT(D112))+VLOOKUP(INT(D112),Tablas!$G$9:$O$1240,9,0)*(INT(D112)+1-D112))/(VLOOKUP(INT($C$5)+1,Tablas!$G$9:$O$1240,9,0)*($C$5-INT($C$5))+VLOOKUP(INT($C$5),Tablas!$G$9:$O$124,9,0)*(INT($C$5)+1-$C$5)))</f>
        <v>0.95741354881766816</v>
      </c>
      <c r="G112" s="97">
        <f ca="1">IF($C$4="Hombre",(+VLOOKUP(INT(D112)+1,Tablas!$G$9:$K$1240,5,0)*(D112-INT(D112))+VLOOKUP(INT(D112),Tablas!$G$9:$K$1240,5,0)*(INT(D112)+1-D112)),+VLOOKUP(INT(D112)+1,Tablas!$G$9:$O$1240,9,0)*(D112-INT(D112))+VLOOKUP(INT(D112),Tablas!$G$9:$O$1240,9,0)*(INT(D112)+1-D112))</f>
        <v>883997.03028324654</v>
      </c>
      <c r="H112" s="105">
        <f t="shared" ca="1" si="10"/>
        <v>1</v>
      </c>
      <c r="I112" s="106">
        <f t="shared" ca="1" si="11"/>
        <v>7.0827720099280927E-2</v>
      </c>
      <c r="J112" s="106">
        <f t="shared" ca="1" si="15"/>
        <v>6.0709474370812221E-2</v>
      </c>
      <c r="K112" s="105">
        <f t="shared" ca="1" si="12"/>
        <v>0.95741354881766816</v>
      </c>
      <c r="L112" s="75"/>
    </row>
    <row r="113" spans="2:12">
      <c r="B113" s="101">
        <f t="shared" ca="1" si="13"/>
        <v>55703</v>
      </c>
      <c r="C113" s="101">
        <f t="shared" ca="1" si="14"/>
        <v>55733</v>
      </c>
      <c r="D113" s="102">
        <f t="shared" ca="1" si="8"/>
        <v>75.082819986310753</v>
      </c>
      <c r="E113" s="103">
        <f t="shared" ca="1" si="9"/>
        <v>0.88661718428165481</v>
      </c>
      <c r="F113" s="104">
        <f ca="1">IF($C$4="Hombre",(+VLOOKUP(INT(D113)+1,Tablas!$G$9:$K$1240,5,0)*(D113-INT(D113))+VLOOKUP(INT(D113),Tablas!$G$9:$K$1240,5,0)*(INT(D113)+1-D113))/(VLOOKUP(INT($C$5)+1,Tablas!$G$9:$K$1240,5,0)*($C$5-INT($C$5))+VLOOKUP(INT($C$5),Tablas!$G$9:$K$124,5,0)*(INT($C$5)+1-$C$5)),(+VLOOKUP(INT(D113)+1,Tablas!$G$9:$O$1240,9,0)*(D113-INT(D113))+VLOOKUP(INT(D113),Tablas!$G$9:$O$1240,9,0)*(INT(D113)+1-D113))/(VLOOKUP(INT($C$5)+1,Tablas!$G$9:$O$1240,9,0)*($C$5-INT($C$5))+VLOOKUP(INT($C$5),Tablas!$G$9:$O$124,9,0)*(INT($C$5)+1-$C$5)))</f>
        <v>0.95675255618401334</v>
      </c>
      <c r="G113" s="97">
        <f ca="1">IF($C$4="Hombre",(+VLOOKUP(INT(D113)+1,Tablas!$G$9:$K$1240,5,0)*(D113-INT(D113))+VLOOKUP(INT(D113),Tablas!$G$9:$K$1240,5,0)*(INT(D113)+1-D113)),+VLOOKUP(INT(D113)+1,Tablas!$G$9:$O$1240,9,0)*(D113-INT(D113))+VLOOKUP(INT(D113),Tablas!$G$9:$O$1240,9,0)*(INT(D113)+1-D113))</f>
        <v>883386.72397839895</v>
      </c>
      <c r="H113" s="105">
        <f t="shared" ca="1" si="10"/>
        <v>1</v>
      </c>
      <c r="I113" s="106">
        <f t="shared" ca="1" si="11"/>
        <v>7.0689438118178793E-2</v>
      </c>
      <c r="J113" s="106">
        <f t="shared" ca="1" si="15"/>
        <v>6.0590946958438967E-2</v>
      </c>
      <c r="K113" s="105">
        <f t="shared" ca="1" si="12"/>
        <v>0.95675255618401334</v>
      </c>
      <c r="L113" s="75"/>
    </row>
    <row r="114" spans="2:12">
      <c r="B114" s="101">
        <f t="shared" ca="1" si="13"/>
        <v>55734</v>
      </c>
      <c r="C114" s="101">
        <f t="shared" ca="1" si="14"/>
        <v>55764</v>
      </c>
      <c r="D114" s="102">
        <f t="shared" ca="1" si="8"/>
        <v>75.167693360711837</v>
      </c>
      <c r="E114" s="103">
        <f t="shared" ca="1" si="9"/>
        <v>0.88549752090793266</v>
      </c>
      <c r="F114" s="104">
        <f ca="1">IF($C$4="Hombre",(+VLOOKUP(INT(D114)+1,Tablas!$G$9:$K$1240,5,0)*(D114-INT(D114))+VLOOKUP(INT(D114),Tablas!$G$9:$K$1240,5,0)*(INT(D114)+1-D114))/(VLOOKUP(INT($C$5)+1,Tablas!$G$9:$K$1240,5,0)*($C$5-INT($C$5))+VLOOKUP(INT($C$5),Tablas!$G$9:$K$124,5,0)*(INT($C$5)+1-$C$5)),(+VLOOKUP(INT(D114)+1,Tablas!$G$9:$O$1240,9,0)*(D114-INT(D114))+VLOOKUP(INT(D114),Tablas!$G$9:$O$1240,9,0)*(INT(D114)+1-D114))/(VLOOKUP(INT($C$5)+1,Tablas!$G$9:$O$1240,9,0)*($C$5-INT($C$5))+VLOOKUP(INT($C$5),Tablas!$G$9:$O$124,9,0)*(INT($C$5)+1-$C$5)))</f>
        <v>0.95608983356455568</v>
      </c>
      <c r="G114" s="97">
        <f ca="1">IF($C$4="Hombre",(+VLOOKUP(INT(D114)+1,Tablas!$G$9:$K$1240,5,0)*(D114-INT(D114))+VLOOKUP(INT(D114),Tablas!$G$9:$K$1240,5,0)*(INT(D114)+1-D114)),+VLOOKUP(INT(D114)+1,Tablas!$G$9:$O$1240,9,0)*(D114-INT(D114))+VLOOKUP(INT(D114),Tablas!$G$9:$O$1240,9,0)*(INT(D114)+1-D114))</f>
        <v>882774.82034675975</v>
      </c>
      <c r="H114" s="105">
        <f t="shared" ca="1" si="10"/>
        <v>1</v>
      </c>
      <c r="I114" s="106">
        <f t="shared" ca="1" si="11"/>
        <v>7.0551264782224329E-2</v>
      </c>
      <c r="J114" s="106">
        <f t="shared" ca="1" si="15"/>
        <v>6.0472512670477992E-2</v>
      </c>
      <c r="K114" s="105">
        <f t="shared" ca="1" si="12"/>
        <v>0.95608983356455568</v>
      </c>
      <c r="L114" s="75"/>
    </row>
    <row r="115" spans="2:12">
      <c r="B115" s="101">
        <f t="shared" ca="1" si="13"/>
        <v>55765</v>
      </c>
      <c r="C115" s="101">
        <f t="shared" ca="1" si="14"/>
        <v>55794</v>
      </c>
      <c r="D115" s="102">
        <f t="shared" ca="1" si="8"/>
        <v>75.249828884325808</v>
      </c>
      <c r="E115" s="103">
        <f t="shared" ca="1" si="9"/>
        <v>0.88441532200928918</v>
      </c>
      <c r="F115" s="104">
        <f ca="1">IF($C$4="Hombre",(+VLOOKUP(INT(D115)+1,Tablas!$G$9:$K$1240,5,0)*(D115-INT(D115))+VLOOKUP(INT(D115),Tablas!$G$9:$K$1240,5,0)*(INT(D115)+1-D115))/(VLOOKUP(INT($C$5)+1,Tablas!$G$9:$K$1240,5,0)*($C$5-INT($C$5))+VLOOKUP(INT($C$5),Tablas!$G$9:$K$124,5,0)*(INT($C$5)+1-$C$5)),(+VLOOKUP(INT(D115)+1,Tablas!$G$9:$O$1240,9,0)*(D115-INT(D115))+VLOOKUP(INT(D115),Tablas!$G$9:$O$1240,9,0)*(INT(D115)+1-D115))/(VLOOKUP(INT($C$5)+1,Tablas!$G$9:$O$1240,9,0)*($C$5-INT($C$5))+VLOOKUP(INT($C$5),Tablas!$G$9:$O$124,9,0)*(INT($C$5)+1-$C$5)))</f>
        <v>0.95544848909411262</v>
      </c>
      <c r="G115" s="97">
        <f ca="1">IF($C$4="Hombre",(+VLOOKUP(INT(D115)+1,Tablas!$G$9:$K$1240,5,0)*(D115-INT(D115))+VLOOKUP(INT(D115),Tablas!$G$9:$K$1240,5,0)*(INT(D115)+1-D115)),+VLOOKUP(INT(D115)+1,Tablas!$G$9:$O$1240,9,0)*(D115-INT(D115))+VLOOKUP(INT(D115),Tablas!$G$9:$O$1240,9,0)*(INT(D115)+1-D115))</f>
        <v>882182.65554194746</v>
      </c>
      <c r="H115" s="105">
        <f t="shared" ca="1" si="10"/>
        <v>1</v>
      </c>
      <c r="I115" s="106">
        <f t="shared" ca="1" si="11"/>
        <v>7.0417773595454869E-2</v>
      </c>
      <c r="J115" s="106">
        <f t="shared" ca="1" si="15"/>
        <v>6.0358091653247029E-2</v>
      </c>
      <c r="K115" s="105">
        <f t="shared" ca="1" si="12"/>
        <v>0.95544848909411262</v>
      </c>
      <c r="L115" s="75"/>
    </row>
    <row r="116" spans="2:12">
      <c r="B116" s="101">
        <f t="shared" ca="1" si="13"/>
        <v>55795</v>
      </c>
      <c r="C116" s="101">
        <f t="shared" ca="1" si="14"/>
        <v>55825</v>
      </c>
      <c r="D116" s="102">
        <f t="shared" ca="1" si="8"/>
        <v>75.334702258726892</v>
      </c>
      <c r="E116" s="103">
        <f t="shared" ca="1" si="9"/>
        <v>0.88329843925451301</v>
      </c>
      <c r="F116" s="104">
        <f ca="1">IF($C$4="Hombre",(+VLOOKUP(INT(D116)+1,Tablas!$G$9:$K$1240,5,0)*(D116-INT(D116))+VLOOKUP(INT(D116),Tablas!$G$9:$K$1240,5,0)*(INT(D116)+1-D116))/(VLOOKUP(INT($C$5)+1,Tablas!$G$9:$K$1240,5,0)*($C$5-INT($C$5))+VLOOKUP(INT($C$5),Tablas!$G$9:$K$124,5,0)*(INT($C$5)+1-$C$5)),(+VLOOKUP(INT(D116)+1,Tablas!$G$9:$O$1240,9,0)*(D116-INT(D116))+VLOOKUP(INT(D116),Tablas!$G$9:$O$1240,9,0)*(INT(D116)+1-D116))/(VLOOKUP(INT($C$5)+1,Tablas!$G$9:$O$1240,9,0)*($C$5-INT($C$5))+VLOOKUP(INT($C$5),Tablas!$G$9:$O$124,9,0)*(INT($C$5)+1-$C$5)))</f>
        <v>0.95478576647465485</v>
      </c>
      <c r="G116" s="97">
        <f ca="1">IF($C$4="Hombre",(+VLOOKUP(INT(D116)+1,Tablas!$G$9:$K$1240,5,0)*(D116-INT(D116))+VLOOKUP(INT(D116),Tablas!$G$9:$K$1240,5,0)*(INT(D116)+1-D116)),+VLOOKUP(INT(D116)+1,Tablas!$G$9:$O$1240,9,0)*(D116-INT(D116))+VLOOKUP(INT(D116),Tablas!$G$9:$O$1240,9,0)*(INT(D116)+1-D116))</f>
        <v>881570.75191030814</v>
      </c>
      <c r="H116" s="105">
        <f t="shared" ca="1" si="10"/>
        <v>1</v>
      </c>
      <c r="I116" s="106">
        <f t="shared" ca="1" si="11"/>
        <v>7.028006477912388E-2</v>
      </c>
      <c r="J116" s="106">
        <f t="shared" ca="1" si="15"/>
        <v>6.0240055524963323E-2</v>
      </c>
      <c r="K116" s="105">
        <f t="shared" ca="1" si="12"/>
        <v>0.95478576647465485</v>
      </c>
      <c r="L116" s="75"/>
    </row>
    <row r="117" spans="2:12">
      <c r="B117" s="101">
        <f t="shared" ca="1" si="13"/>
        <v>55826</v>
      </c>
      <c r="C117" s="101">
        <f t="shared" ca="1" si="14"/>
        <v>55855</v>
      </c>
      <c r="D117" s="102">
        <f t="shared" ca="1" si="8"/>
        <v>75.416837782340863</v>
      </c>
      <c r="E117" s="103">
        <f t="shared" ca="1" si="9"/>
        <v>0.88221892793396806</v>
      </c>
      <c r="F117" s="104">
        <f ca="1">IF($C$4="Hombre",(+VLOOKUP(INT(D117)+1,Tablas!$G$9:$K$1240,5,0)*(D117-INT(D117))+VLOOKUP(INT(D117),Tablas!$G$9:$K$1240,5,0)*(INT(D117)+1-D117))/(VLOOKUP(INT($C$5)+1,Tablas!$G$9:$K$1240,5,0)*($C$5-INT($C$5))+VLOOKUP(INT($C$5),Tablas!$G$9:$K$124,5,0)*(INT($C$5)+1-$C$5)),(+VLOOKUP(INT(D117)+1,Tablas!$G$9:$O$1240,9,0)*(D117-INT(D117))+VLOOKUP(INT(D117),Tablas!$G$9:$O$1240,9,0)*(INT(D117)+1-D117))/(VLOOKUP(INT($C$5)+1,Tablas!$G$9:$O$1240,9,0)*($C$5-INT($C$5))+VLOOKUP(INT($C$5),Tablas!$G$9:$O$124,9,0)*(INT($C$5)+1-$C$5)))</f>
        <v>0.95414442200421179</v>
      </c>
      <c r="G117" s="97">
        <f ca="1">IF($C$4="Hombre",(+VLOOKUP(INT(D117)+1,Tablas!$G$9:$K$1240,5,0)*(D117-INT(D117))+VLOOKUP(INT(D117),Tablas!$G$9:$K$1240,5,0)*(INT(D117)+1-D117)),+VLOOKUP(INT(D117)+1,Tablas!$G$9:$O$1240,9,0)*(D117-INT(D117))+VLOOKUP(INT(D117),Tablas!$G$9:$O$1240,9,0)*(INT(D117)+1-D117))</f>
        <v>880978.58710549586</v>
      </c>
      <c r="H117" s="105">
        <f t="shared" ca="1" si="10"/>
        <v>1</v>
      </c>
      <c r="I117" s="106">
        <f t="shared" ca="1" si="11"/>
        <v>7.0147022422894265E-2</v>
      </c>
      <c r="J117" s="106">
        <f t="shared" ca="1" si="15"/>
        <v>0.1202520384392473</v>
      </c>
      <c r="K117" s="105">
        <f t="shared" ca="1" si="12"/>
        <v>0.95414442200421179</v>
      </c>
      <c r="L117" s="75"/>
    </row>
    <row r="118" spans="2:12">
      <c r="B118" s="101">
        <f t="shared" ca="1" si="13"/>
        <v>55856</v>
      </c>
      <c r="C118" s="101">
        <f t="shared" ca="1" si="14"/>
        <v>55886</v>
      </c>
      <c r="D118" s="102">
        <f t="shared" ca="1" si="8"/>
        <v>75.501711156741962</v>
      </c>
      <c r="E118" s="103">
        <f t="shared" ca="1" si="9"/>
        <v>0.88110481889263181</v>
      </c>
      <c r="F118" s="104">
        <f ca="1">IF($C$4="Hombre",(+VLOOKUP(INT(D118)+1,Tablas!$G$9:$K$1240,5,0)*(D118-INT(D118))+VLOOKUP(INT(D118),Tablas!$G$9:$K$1240,5,0)*(INT(D118)+1-D118))/(VLOOKUP(INT($C$5)+1,Tablas!$G$9:$K$1240,5,0)*($C$5-INT($C$5))+VLOOKUP(INT($C$5),Tablas!$G$9:$K$124,5,0)*(INT($C$5)+1-$C$5)),(+VLOOKUP(INT(D118)+1,Tablas!$G$9:$O$1240,9,0)*(D118-INT(D118))+VLOOKUP(INT(D118),Tablas!$G$9:$O$1240,9,0)*(INT(D118)+1-D118))/(VLOOKUP(INT($C$5)+1,Tablas!$G$9:$O$1240,9,0)*($C$5-INT($C$5))+VLOOKUP(INT($C$5),Tablas!$G$9:$O$124,9,0)*(INT($C$5)+1-$C$5)))</f>
        <v>0.95348169938475391</v>
      </c>
      <c r="G118" s="97">
        <f ca="1">IF($C$4="Hombre",(+VLOOKUP(INT(D118)+1,Tablas!$G$9:$K$1240,5,0)*(D118-INT(D118))+VLOOKUP(INT(D118),Tablas!$G$9:$K$1240,5,0)*(INT(D118)+1-D118)),+VLOOKUP(INT(D118)+1,Tablas!$G$9:$O$1240,9,0)*(D118-INT(D118))+VLOOKUP(INT(D118),Tablas!$G$9:$O$1240,9,0)*(INT(D118)+1-D118))</f>
        <v>880366.68347385642</v>
      </c>
      <c r="H118" s="105">
        <f t="shared" ca="1" si="10"/>
        <v>1</v>
      </c>
      <c r="I118" s="106">
        <f t="shared" ca="1" si="11"/>
        <v>7.0009776671153531E-2</v>
      </c>
      <c r="J118" s="106">
        <f t="shared" ca="1" si="15"/>
        <v>6.0008380003845882E-2</v>
      </c>
      <c r="K118" s="105">
        <f t="shared" ca="1" si="12"/>
        <v>0.95348169938475391</v>
      </c>
      <c r="L118" s="75"/>
    </row>
    <row r="119" spans="2:12">
      <c r="B119" s="101">
        <f t="shared" ca="1" si="13"/>
        <v>55887</v>
      </c>
      <c r="C119" s="101">
        <f t="shared" ca="1" si="14"/>
        <v>55917</v>
      </c>
      <c r="D119" s="102">
        <f t="shared" ca="1" si="8"/>
        <v>75.586584531143046</v>
      </c>
      <c r="E119" s="103">
        <f t="shared" ca="1" si="9"/>
        <v>0.87999211680246947</v>
      </c>
      <c r="F119" s="104">
        <f ca="1">IF($C$4="Hombre",(+VLOOKUP(INT(D119)+1,Tablas!$G$9:$K$1240,5,0)*(D119-INT(D119))+VLOOKUP(INT(D119),Tablas!$G$9:$K$1240,5,0)*(INT(D119)+1-D119))/(VLOOKUP(INT($C$5)+1,Tablas!$G$9:$K$1240,5,0)*($C$5-INT($C$5))+VLOOKUP(INT($C$5),Tablas!$G$9:$K$124,5,0)*(INT($C$5)+1-$C$5)),(+VLOOKUP(INT(D119)+1,Tablas!$G$9:$O$1240,9,0)*(D119-INT(D119))+VLOOKUP(INT(D119),Tablas!$G$9:$O$1240,9,0)*(INT(D119)+1-D119))/(VLOOKUP(INT($C$5)+1,Tablas!$G$9:$O$1240,9,0)*($C$5-INT($C$5))+VLOOKUP(INT($C$5),Tablas!$G$9:$O$124,9,0)*(INT($C$5)+1-$C$5)))</f>
        <v>0.95281897676529625</v>
      </c>
      <c r="G119" s="97">
        <f ca="1">IF($C$4="Hombre",(+VLOOKUP(INT(D119)+1,Tablas!$G$9:$K$1240,5,0)*(D119-INT(D119))+VLOOKUP(INT(D119),Tablas!$G$9:$K$1240,5,0)*(INT(D119)+1-D119)),+VLOOKUP(INT(D119)+1,Tablas!$G$9:$O$1240,9,0)*(D119-INT(D119))+VLOOKUP(INT(D119),Tablas!$G$9:$O$1240,9,0)*(INT(D119)+1-D119))</f>
        <v>879754.77984221722</v>
      </c>
      <c r="H119" s="105">
        <f t="shared" ca="1" si="10"/>
        <v>1</v>
      </c>
      <c r="I119" s="106">
        <f t="shared" ca="1" si="11"/>
        <v>6.9872765691104663E-2</v>
      </c>
      <c r="J119" s="106">
        <f t="shared" ca="1" si="15"/>
        <v>5.9890942020946851E-2</v>
      </c>
      <c r="K119" s="105">
        <f t="shared" ca="1" si="12"/>
        <v>0.95281897676529625</v>
      </c>
      <c r="L119" s="75"/>
    </row>
    <row r="120" spans="2:12">
      <c r="B120" s="101">
        <f t="shared" ca="1" si="13"/>
        <v>55918</v>
      </c>
      <c r="C120" s="101">
        <f t="shared" ca="1" si="14"/>
        <v>55945</v>
      </c>
      <c r="D120" s="102">
        <f t="shared" ca="1" si="8"/>
        <v>75.663244353182748</v>
      </c>
      <c r="E120" s="103">
        <f t="shared" ca="1" si="9"/>
        <v>0.87898830338633827</v>
      </c>
      <c r="F120" s="104">
        <f ca="1">IF($C$4="Hombre",(+VLOOKUP(INT(D120)+1,Tablas!$G$9:$K$1240,5,0)*(D120-INT(D120))+VLOOKUP(INT(D120),Tablas!$G$9:$K$1240,5,0)*(INT(D120)+1-D120))/(VLOOKUP(INT($C$5)+1,Tablas!$G$9:$K$1240,5,0)*($C$5-INT($C$5))+VLOOKUP(INT($C$5),Tablas!$G$9:$K$124,5,0)*(INT($C$5)+1-$C$5)),(+VLOOKUP(INT(D120)+1,Tablas!$G$9:$O$1240,9,0)*(D120-INT(D120))+VLOOKUP(INT(D120),Tablas!$G$9:$O$1240,9,0)*(INT(D120)+1-D120))/(VLOOKUP(INT($C$5)+1,Tablas!$G$9:$O$1240,9,0)*($C$5-INT($C$5))+VLOOKUP(INT($C$5),Tablas!$G$9:$O$124,9,0)*(INT($C$5)+1-$C$5)))</f>
        <v>0.95222038859288283</v>
      </c>
      <c r="G120" s="97">
        <f ca="1">IF($C$4="Hombre",(+VLOOKUP(INT(D120)+1,Tablas!$G$9:$K$1240,5,0)*(D120-INT(D120))+VLOOKUP(INT(D120),Tablas!$G$9:$K$1240,5,0)*(INT(D120)+1-D120)),+VLOOKUP(INT(D120)+1,Tablas!$G$9:$O$1240,9,0)*(D120-INT(D120))+VLOOKUP(INT(D120),Tablas!$G$9:$O$1240,9,0)*(INT(D120)+1-D120))</f>
        <v>879202.09269105922</v>
      </c>
      <c r="H120" s="105">
        <f t="shared" ca="1" si="10"/>
        <v>1</v>
      </c>
      <c r="I120" s="106">
        <f t="shared" ca="1" si="11"/>
        <v>6.9749215318261476E-2</v>
      </c>
      <c r="J120" s="106">
        <f t="shared" ca="1" si="15"/>
        <v>5.9785041701366982E-2</v>
      </c>
      <c r="K120" s="105">
        <f t="shared" ca="1" si="12"/>
        <v>0.95222038859288283</v>
      </c>
      <c r="L120" s="75"/>
    </row>
    <row r="121" spans="2:12">
      <c r="B121" s="101">
        <f t="shared" ca="1" si="13"/>
        <v>55946</v>
      </c>
      <c r="C121" s="101">
        <f t="shared" ca="1" si="14"/>
        <v>55976</v>
      </c>
      <c r="D121" s="102">
        <f t="shared" ca="1" si="8"/>
        <v>75.748117727583846</v>
      </c>
      <c r="E121" s="103">
        <f t="shared" ca="1" si="9"/>
        <v>0.87787827413506758</v>
      </c>
      <c r="F121" s="104">
        <f ca="1">IF($C$4="Hombre",(+VLOOKUP(INT(D121)+1,Tablas!$G$9:$K$1240,5,0)*(D121-INT(D121))+VLOOKUP(INT(D121),Tablas!$G$9:$K$1240,5,0)*(INT(D121)+1-D121))/(VLOOKUP(INT($C$5)+1,Tablas!$G$9:$K$1240,5,0)*($C$5-INT($C$5))+VLOOKUP(INT($C$5),Tablas!$G$9:$K$124,5,0)*(INT($C$5)+1-$C$5)),(+VLOOKUP(INT(D121)+1,Tablas!$G$9:$O$1240,9,0)*(D121-INT(D121))+VLOOKUP(INT(D121),Tablas!$G$9:$O$1240,9,0)*(INT(D121)+1-D121))/(VLOOKUP(INT($C$5)+1,Tablas!$G$9:$O$1240,9,0)*($C$5-INT($C$5))+VLOOKUP(INT($C$5),Tablas!$G$9:$O$124,9,0)*(INT($C$5)+1-$C$5)))</f>
        <v>0.95155766597342495</v>
      </c>
      <c r="G121" s="97">
        <f ca="1">IF($C$4="Hombre",(+VLOOKUP(INT(D121)+1,Tablas!$G$9:$K$1240,5,0)*(D121-INT(D121))+VLOOKUP(INT(D121),Tablas!$G$9:$K$1240,5,0)*(INT(D121)+1-D121)),+VLOOKUP(INT(D121)+1,Tablas!$G$9:$O$1240,9,0)*(D121-INT(D121))+VLOOKUP(INT(D121),Tablas!$G$9:$O$1240,9,0)*(INT(D121)+1-D121))</f>
        <v>878590.18905941979</v>
      </c>
      <c r="H121" s="105">
        <f t="shared" ca="1" si="10"/>
        <v>1</v>
      </c>
      <c r="I121" s="106">
        <f t="shared" ca="1" si="11"/>
        <v>6.9612650128728609E-2</v>
      </c>
      <c r="J121" s="106">
        <f t="shared" ca="1" si="15"/>
        <v>5.9667985824624521E-2</v>
      </c>
      <c r="K121" s="105">
        <f t="shared" ca="1" si="12"/>
        <v>0.95155766597342495</v>
      </c>
      <c r="L121" s="75"/>
    </row>
    <row r="122" spans="2:12">
      <c r="B122" s="101">
        <f t="shared" ca="1" si="13"/>
        <v>55977</v>
      </c>
      <c r="C122" s="101">
        <f t="shared" ca="1" si="14"/>
        <v>56006</v>
      </c>
      <c r="D122" s="102">
        <f t="shared" ca="1" si="8"/>
        <v>75.830253251197803</v>
      </c>
      <c r="E122" s="103">
        <f t="shared" ca="1" si="9"/>
        <v>0.87680538699650423</v>
      </c>
      <c r="F122" s="104">
        <f ca="1">IF($C$4="Hombre",(+VLOOKUP(INT(D122)+1,Tablas!$G$9:$K$1240,5,0)*(D122-INT(D122))+VLOOKUP(INT(D122),Tablas!$G$9:$K$1240,5,0)*(INT(D122)+1-D122))/(VLOOKUP(INT($C$5)+1,Tablas!$G$9:$K$1240,5,0)*($C$5-INT($C$5))+VLOOKUP(INT($C$5),Tablas!$G$9:$K$124,5,0)*(INT($C$5)+1-$C$5)),(+VLOOKUP(INT(D122)+1,Tablas!$G$9:$O$1240,9,0)*(D122-INT(D122))+VLOOKUP(INT(D122),Tablas!$G$9:$O$1240,9,0)*(INT(D122)+1-D122))/(VLOOKUP(INT($C$5)+1,Tablas!$G$9:$O$1240,9,0)*($C$5-INT($C$5))+VLOOKUP(INT($C$5),Tablas!$G$9:$O$124,9,0)*(INT($C$5)+1-$C$5)))</f>
        <v>0.95091632150298189</v>
      </c>
      <c r="G122" s="97">
        <f ca="1">IF($C$4="Hombre",(+VLOOKUP(INT(D122)+1,Tablas!$G$9:$K$1240,5,0)*(D122-INT(D122))+VLOOKUP(INT(D122),Tablas!$G$9:$K$1240,5,0)*(INT(D122)+1-D122)),+VLOOKUP(INT(D122)+1,Tablas!$G$9:$O$1240,9,0)*(D122-INT(D122))+VLOOKUP(INT(D122),Tablas!$G$9:$O$1240,9,0)*(INT(D122)+1-D122))</f>
        <v>877998.0242546075</v>
      </c>
      <c r="H122" s="105">
        <f t="shared" ca="1" si="10"/>
        <v>1</v>
      </c>
      <c r="I122" s="106">
        <f t="shared" ca="1" si="11"/>
        <v>6.9480712773059519E-2</v>
      </c>
      <c r="J122" s="106">
        <f t="shared" ca="1" si="15"/>
        <v>5.9554896662622446E-2</v>
      </c>
      <c r="K122" s="105">
        <f t="shared" ca="1" si="12"/>
        <v>0.95091632150298189</v>
      </c>
      <c r="L122" s="75"/>
    </row>
    <row r="123" spans="2:12">
      <c r="B123" s="101">
        <f t="shared" ca="1" si="13"/>
        <v>56007</v>
      </c>
      <c r="C123" s="101">
        <f t="shared" ca="1" si="14"/>
        <v>56037</v>
      </c>
      <c r="D123" s="102">
        <f t="shared" ca="1" si="8"/>
        <v>75.915126625598901</v>
      </c>
      <c r="E123" s="103">
        <f t="shared" ca="1" si="9"/>
        <v>0.87569811443839585</v>
      </c>
      <c r="F123" s="104">
        <f ca="1">IF($C$4="Hombre",(+VLOOKUP(INT(D123)+1,Tablas!$G$9:$K$1240,5,0)*(D123-INT(D123))+VLOOKUP(INT(D123),Tablas!$G$9:$K$1240,5,0)*(INT(D123)+1-D123))/(VLOOKUP(INT($C$5)+1,Tablas!$G$9:$K$1240,5,0)*($C$5-INT($C$5))+VLOOKUP(INT($C$5),Tablas!$G$9:$K$124,5,0)*(INT($C$5)+1-$C$5)),(+VLOOKUP(INT(D123)+1,Tablas!$G$9:$O$1240,9,0)*(D123-INT(D123))+VLOOKUP(INT(D123),Tablas!$G$9:$O$1240,9,0)*(INT(D123)+1-D123))/(VLOOKUP(INT($C$5)+1,Tablas!$G$9:$O$1240,9,0)*($C$5-INT($C$5))+VLOOKUP(INT($C$5),Tablas!$G$9:$O$124,9,0)*(INT($C$5)+1-$C$5)))</f>
        <v>0.95025359888352423</v>
      </c>
      <c r="G123" s="97">
        <f ca="1">IF($C$4="Hombre",(+VLOOKUP(INT(D123)+1,Tablas!$G$9:$K$1240,5,0)*(D123-INT(D123))+VLOOKUP(INT(D123),Tablas!$G$9:$K$1240,5,0)*(INT(D123)+1-D123)),+VLOOKUP(INT(D123)+1,Tablas!$G$9:$O$1240,9,0)*(D123-INT(D123))+VLOOKUP(INT(D123),Tablas!$G$9:$O$1240,9,0)*(INT(D123)+1-D123))</f>
        <v>877386.1206229683</v>
      </c>
      <c r="H123" s="105">
        <f t="shared" ca="1" si="10"/>
        <v>1</v>
      </c>
      <c r="I123" s="106">
        <f t="shared" ca="1" si="11"/>
        <v>6.9344607065050148E-2</v>
      </c>
      <c r="J123" s="106">
        <f t="shared" ca="1" si="15"/>
        <v>0.11887646925437169</v>
      </c>
      <c r="K123" s="105">
        <f t="shared" ca="1" si="12"/>
        <v>0.95025359888352423</v>
      </c>
      <c r="L123" s="75"/>
    </row>
    <row r="124" spans="2:12">
      <c r="B124" s="101">
        <f t="shared" ca="1" si="13"/>
        <v>56038</v>
      </c>
      <c r="C124" s="101">
        <f t="shared" ca="1" si="14"/>
        <v>56067</v>
      </c>
      <c r="D124" s="102">
        <f t="shared" ca="1" si="8"/>
        <v>75.997262149212872</v>
      </c>
      <c r="E124" s="103">
        <f t="shared" ca="1" si="9"/>
        <v>0.87462789175271549</v>
      </c>
      <c r="F124" s="104">
        <f ca="1">IF($C$4="Hombre",(+VLOOKUP(INT(D124)+1,Tablas!$G$9:$K$1240,5,0)*(D124-INT(D124))+VLOOKUP(INT(D124),Tablas!$G$9:$K$1240,5,0)*(INT(D124)+1-D124))/(VLOOKUP(INT($C$5)+1,Tablas!$G$9:$K$1240,5,0)*($C$5-INT($C$5))+VLOOKUP(INT($C$5),Tablas!$G$9:$K$124,5,0)*(INT($C$5)+1-$C$5)),(+VLOOKUP(INT(D124)+1,Tablas!$G$9:$O$1240,9,0)*(D124-INT(D124))+VLOOKUP(INT(D124),Tablas!$G$9:$O$1240,9,0)*(INT(D124)+1-D124))/(VLOOKUP(INT($C$5)+1,Tablas!$G$9:$O$1240,9,0)*($C$5-INT($C$5))+VLOOKUP(INT($C$5),Tablas!$G$9:$O$124,9,0)*(INT($C$5)+1-$C$5)))</f>
        <v>0.94961225441308095</v>
      </c>
      <c r="G124" s="97">
        <f ca="1">IF($C$4="Hombre",(+VLOOKUP(INT(D124)+1,Tablas!$G$9:$K$1240,5,0)*(D124-INT(D124))+VLOOKUP(INT(D124),Tablas!$G$9:$K$1240,5,0)*(INT(D124)+1-D124)),+VLOOKUP(INT(D124)+1,Tablas!$G$9:$O$1240,9,0)*(D124-INT(D124))+VLOOKUP(INT(D124),Tablas!$G$9:$O$1240,9,0)*(INT(D124)+1-D124))</f>
        <v>876793.9558181559</v>
      </c>
      <c r="H124" s="105">
        <f t="shared" ca="1" si="10"/>
        <v>1</v>
      </c>
      <c r="I124" s="106">
        <f t="shared" ca="1" si="11"/>
        <v>6.9213113671654683E-2</v>
      </c>
      <c r="J124" s="106">
        <f t="shared" ca="1" si="15"/>
        <v>5.9325526004275445E-2</v>
      </c>
      <c r="K124" s="105">
        <f t="shared" ca="1" si="12"/>
        <v>0.94961225441308095</v>
      </c>
      <c r="L124" s="75"/>
    </row>
    <row r="125" spans="2:12">
      <c r="B125" s="101">
        <f t="shared" ca="1" si="13"/>
        <v>56068</v>
      </c>
      <c r="C125" s="101">
        <f t="shared" ca="1" si="14"/>
        <v>56098</v>
      </c>
      <c r="D125" s="102">
        <f t="shared" ca="1" si="8"/>
        <v>76.082135523613957</v>
      </c>
      <c r="E125" s="103">
        <f t="shared" ca="1" si="9"/>
        <v>0.87352336904168237</v>
      </c>
      <c r="F125" s="104">
        <f ca="1">IF($C$4="Hombre",(+VLOOKUP(INT(D125)+1,Tablas!$G$9:$K$1240,5,0)*(D125-INT(D125))+VLOOKUP(INT(D125),Tablas!$G$9:$K$1240,5,0)*(INT(D125)+1-D125))/(VLOOKUP(INT($C$5)+1,Tablas!$G$9:$K$1240,5,0)*($C$5-INT($C$5))+VLOOKUP(INT($C$5),Tablas!$G$9:$K$124,5,0)*(INT($C$5)+1-$C$5)),(+VLOOKUP(INT(D125)+1,Tablas!$G$9:$O$1240,9,0)*(D125-INT(D125))+VLOOKUP(INT(D125),Tablas!$G$9:$O$1240,9,0)*(INT(D125)+1-D125))/(VLOOKUP(INT($C$5)+1,Tablas!$G$9:$O$1240,9,0)*($C$5-INT($C$5))+VLOOKUP(INT($C$5),Tablas!$G$9:$O$124,9,0)*(INT($C$5)+1-$C$5)))</f>
        <v>0.94886784504119026</v>
      </c>
      <c r="G125" s="97">
        <f ca="1">IF($C$4="Hombre",(+VLOOKUP(INT(D125)+1,Tablas!$G$9:$K$1240,5,0)*(D125-INT(D125))+VLOOKUP(INT(D125),Tablas!$G$9:$K$1240,5,0)*(INT(D125)+1-D125)),+VLOOKUP(INT(D125)+1,Tablas!$G$9:$O$1240,9,0)*(D125-INT(D125))+VLOOKUP(INT(D125),Tablas!$G$9:$O$1240,9,0)*(INT(D125)+1-D125))</f>
        <v>876106.62934896292</v>
      </c>
      <c r="H125" s="105">
        <f t="shared" ca="1" si="10"/>
        <v>1</v>
      </c>
      <c r="I125" s="106">
        <f t="shared" ca="1" si="11"/>
        <v>6.9071519731308456E-2</v>
      </c>
      <c r="J125" s="106">
        <f t="shared" ca="1" si="15"/>
        <v>5.9204159769692961E-2</v>
      </c>
      <c r="K125" s="105">
        <f t="shared" ca="1" si="12"/>
        <v>0.94886784504119026</v>
      </c>
      <c r="L125" s="75"/>
    </row>
    <row r="126" spans="2:12">
      <c r="B126" s="101">
        <f t="shared" ca="1" si="13"/>
        <v>56099</v>
      </c>
      <c r="C126" s="101">
        <f t="shared" ca="1" si="14"/>
        <v>56129</v>
      </c>
      <c r="D126" s="102">
        <f t="shared" ca="1" si="8"/>
        <v>76.167008898015055</v>
      </c>
      <c r="E126" s="103">
        <f t="shared" ca="1" si="9"/>
        <v>0.8724202411757378</v>
      </c>
      <c r="F126" s="104">
        <f ca="1">IF($C$4="Hombre",(+VLOOKUP(INT(D126)+1,Tablas!$G$9:$K$1240,5,0)*(D126-INT(D126))+VLOOKUP(INT(D126),Tablas!$G$9:$K$1240,5,0)*(INT(D126)+1-D126))/(VLOOKUP(INT($C$5)+1,Tablas!$G$9:$K$1240,5,0)*($C$5-INT($C$5))+VLOOKUP(INT($C$5),Tablas!$G$9:$K$124,5,0)*(INT($C$5)+1-$C$5)),(+VLOOKUP(INT(D126)+1,Tablas!$G$9:$O$1240,9,0)*(D126-INT(D126))+VLOOKUP(INT(D126),Tablas!$G$9:$O$1240,9,0)*(INT(D126)+1-D126))/(VLOOKUP(INT($C$5)+1,Tablas!$G$9:$O$1240,9,0)*($C$5-INT($C$5))+VLOOKUP(INT($C$5),Tablas!$G$9:$O$124,9,0)*(INT($C$5)+1-$C$5)))</f>
        <v>0.94812071277755183</v>
      </c>
      <c r="G126" s="97">
        <f ca="1">IF($C$4="Hombre",(+VLOOKUP(INT(D126)+1,Tablas!$G$9:$K$1240,5,0)*(D126-INT(D126))+VLOOKUP(INT(D126),Tablas!$G$9:$K$1240,5,0)*(INT(D126)+1-D126)),+VLOOKUP(INT(D126)+1,Tablas!$G$9:$O$1240,9,0)*(D126-INT(D126))+VLOOKUP(INT(D126),Tablas!$G$9:$O$1240,9,0)*(INT(D126)+1-D126))</f>
        <v>875416.78878518473</v>
      </c>
      <c r="H126" s="105">
        <f t="shared" ca="1" si="10"/>
        <v>1</v>
      </c>
      <c r="I126" s="106">
        <f t="shared" ca="1" si="11"/>
        <v>6.8929975075425337E-2</v>
      </c>
      <c r="J126" s="106">
        <f t="shared" ca="1" si="15"/>
        <v>5.9082835778936006E-2</v>
      </c>
      <c r="K126" s="105">
        <f t="shared" ca="1" si="12"/>
        <v>0.94812071277755183</v>
      </c>
      <c r="L126" s="75"/>
    </row>
    <row r="127" spans="2:12">
      <c r="B127" s="101">
        <f t="shared" ca="1" si="13"/>
        <v>56130</v>
      </c>
      <c r="C127" s="101">
        <f t="shared" ca="1" si="14"/>
        <v>56159</v>
      </c>
      <c r="D127" s="102">
        <f t="shared" ca="1" si="8"/>
        <v>76.249144421629026</v>
      </c>
      <c r="E127" s="103">
        <f t="shared" ca="1" si="9"/>
        <v>0.87135402449882771</v>
      </c>
      <c r="F127" s="104">
        <f ca="1">IF($C$4="Hombre",(+VLOOKUP(INT(D127)+1,Tablas!$G$9:$K$1240,5,0)*(D127-INT(D127))+VLOOKUP(INT(D127),Tablas!$G$9:$K$1240,5,0)*(INT(D127)+1-D127))/(VLOOKUP(INT($C$5)+1,Tablas!$G$9:$K$1240,5,0)*($C$5-INT($C$5))+VLOOKUP(INT($C$5),Tablas!$G$9:$K$124,5,0)*(INT($C$5)+1-$C$5)),(+VLOOKUP(INT(D127)+1,Tablas!$G$9:$O$1240,9,0)*(D127-INT(D127))+VLOOKUP(INT(D127),Tablas!$G$9:$O$1240,9,0)*(INT(D127)+1-D127))/(VLOOKUP(INT($C$5)+1,Tablas!$G$9:$O$1240,9,0)*($C$5-INT($C$5))+VLOOKUP(INT($C$5),Tablas!$G$9:$O$124,9,0)*(INT($C$5)+1-$C$5)))</f>
        <v>0.94739768155467574</v>
      </c>
      <c r="G127" s="97">
        <f ca="1">IF($C$4="Hombre",(+VLOOKUP(INT(D127)+1,Tablas!$G$9:$K$1240,5,0)*(D127-INT(D127))+VLOOKUP(INT(D127),Tablas!$G$9:$K$1240,5,0)*(INT(D127)+1-D127)),+VLOOKUP(INT(D127)+1,Tablas!$G$9:$O$1240,9,0)*(D127-INT(D127))+VLOOKUP(INT(D127),Tablas!$G$9:$O$1240,9,0)*(INT(D127)+1-D127))</f>
        <v>874749.20114281867</v>
      </c>
      <c r="H127" s="105">
        <f t="shared" ca="1" si="10"/>
        <v>1</v>
      </c>
      <c r="I127" s="106">
        <f t="shared" ca="1" si="11"/>
        <v>6.8793231885293793E-2</v>
      </c>
      <c r="J127" s="106">
        <f t="shared" ca="1" si="15"/>
        <v>5.8965627330251826E-2</v>
      </c>
      <c r="K127" s="105">
        <f t="shared" ca="1" si="12"/>
        <v>0.94739768155467574</v>
      </c>
      <c r="L127" s="75"/>
    </row>
    <row r="128" spans="2:12">
      <c r="B128" s="101">
        <f t="shared" ca="1" si="13"/>
        <v>56160</v>
      </c>
      <c r="C128" s="101">
        <f t="shared" ca="1" si="14"/>
        <v>56190</v>
      </c>
      <c r="D128" s="102">
        <f t="shared" ca="1" si="8"/>
        <v>76.334017796030111</v>
      </c>
      <c r="E128" s="103">
        <f t="shared" ca="1" si="9"/>
        <v>0.87025363618685603</v>
      </c>
      <c r="F128" s="104">
        <f ca="1">IF($C$4="Hombre",(+VLOOKUP(INT(D128)+1,Tablas!$G$9:$K$1240,5,0)*(D128-INT(D128))+VLOOKUP(INT(D128),Tablas!$G$9:$K$1240,5,0)*(INT(D128)+1-D128))/(VLOOKUP(INT($C$5)+1,Tablas!$G$9:$K$1240,5,0)*($C$5-INT($C$5))+VLOOKUP(INT($C$5),Tablas!$G$9:$K$124,5,0)*(INT($C$5)+1-$C$5)),(+VLOOKUP(INT(D128)+1,Tablas!$G$9:$O$1240,9,0)*(D128-INT(D128))+VLOOKUP(INT(D128),Tablas!$G$9:$O$1240,9,0)*(INT(D128)+1-D128))/(VLOOKUP(INT($C$5)+1,Tablas!$G$9:$O$1240,9,0)*($C$5-INT($C$5))+VLOOKUP(INT($C$5),Tablas!$G$9:$O$124,9,0)*(INT($C$5)+1-$C$5)))</f>
        <v>0.94665054929103731</v>
      </c>
      <c r="G128" s="97">
        <f ca="1">IF($C$4="Hombre",(+VLOOKUP(INT(D128)+1,Tablas!$G$9:$K$1240,5,0)*(D128-INT(D128))+VLOOKUP(INT(D128),Tablas!$G$9:$K$1240,5,0)*(INT(D128)+1-D128)),+VLOOKUP(INT(D128)+1,Tablas!$G$9:$O$1240,9,0)*(D128-INT(D128))+VLOOKUP(INT(D128),Tablas!$G$9:$O$1240,9,0)*(INT(D128)+1-D128))</f>
        <v>874059.3605790406</v>
      </c>
      <c r="H128" s="105">
        <f t="shared" ca="1" si="10"/>
        <v>1</v>
      </c>
      <c r="I128" s="106">
        <f t="shared" ca="1" si="11"/>
        <v>6.8652173559900817E-2</v>
      </c>
      <c r="J128" s="106">
        <f t="shared" ca="1" si="15"/>
        <v>5.8844720194200693E-2</v>
      </c>
      <c r="K128" s="105">
        <f t="shared" ca="1" si="12"/>
        <v>0.94665054929103731</v>
      </c>
      <c r="L128" s="75"/>
    </row>
    <row r="129" spans="2:12">
      <c r="B129" s="101">
        <f t="shared" ca="1" si="13"/>
        <v>56191</v>
      </c>
      <c r="C129" s="101">
        <f t="shared" ca="1" si="14"/>
        <v>56220</v>
      </c>
      <c r="D129" s="102">
        <f t="shared" ca="1" si="8"/>
        <v>76.416153319644081</v>
      </c>
      <c r="E129" s="103">
        <f t="shared" ca="1" si="9"/>
        <v>0.86919006739712512</v>
      </c>
      <c r="F129" s="104">
        <f ca="1">IF($C$4="Hombre",(+VLOOKUP(INT(D129)+1,Tablas!$G$9:$K$1240,5,0)*(D129-INT(D129))+VLOOKUP(INT(D129),Tablas!$G$9:$K$1240,5,0)*(INT(D129)+1-D129))/(VLOOKUP(INT($C$5)+1,Tablas!$G$9:$K$1240,5,0)*($C$5-INT($C$5))+VLOOKUP(INT($C$5),Tablas!$G$9:$K$124,5,0)*(INT($C$5)+1-$C$5)),(+VLOOKUP(INT(D129)+1,Tablas!$G$9:$O$1240,9,0)*(D129-INT(D129))+VLOOKUP(INT(D129),Tablas!$G$9:$O$1240,9,0)*(INT(D129)+1-D129))/(VLOOKUP(INT($C$5)+1,Tablas!$G$9:$O$1240,9,0)*($C$5-INT($C$5))+VLOOKUP(INT($C$5),Tablas!$G$9:$O$124,9,0)*(INT($C$5)+1-$C$5)))</f>
        <v>0.94592751806816122</v>
      </c>
      <c r="G129" s="97">
        <f ca="1">IF($C$4="Hombre",(+VLOOKUP(INT(D129)+1,Tablas!$G$9:$K$1240,5,0)*(D129-INT(D129))+VLOOKUP(INT(D129),Tablas!$G$9:$K$1240,5,0)*(INT(D129)+1-D129)),+VLOOKUP(INT(D129)+1,Tablas!$G$9:$O$1240,9,0)*(D129-INT(D129))+VLOOKUP(INT(D129),Tablas!$G$9:$O$1240,9,0)*(INT(D129)+1-D129))</f>
        <v>873391.77293667453</v>
      </c>
      <c r="H129" s="105">
        <f t="shared" ca="1" si="10"/>
        <v>1</v>
      </c>
      <c r="I129" s="106">
        <f t="shared" ca="1" si="11"/>
        <v>6.8515900265205015E-2</v>
      </c>
      <c r="J129" s="106">
        <f t="shared" ca="1" si="15"/>
        <v>0.11745582902606574</v>
      </c>
      <c r="K129" s="105">
        <f t="shared" ca="1" si="12"/>
        <v>0.94592751806816122</v>
      </c>
      <c r="L129" s="75"/>
    </row>
    <row r="130" spans="2:12">
      <c r="B130" s="101">
        <f t="shared" ca="1" si="13"/>
        <v>56221</v>
      </c>
      <c r="C130" s="101">
        <f t="shared" ca="1" si="14"/>
        <v>56251</v>
      </c>
      <c r="D130" s="102">
        <f t="shared" ca="1" si="8"/>
        <v>76.50102669404518</v>
      </c>
      <c r="E130" s="103">
        <f t="shared" ca="1" si="9"/>
        <v>0.86809241183560304</v>
      </c>
      <c r="F130" s="104">
        <f ca="1">IF($C$4="Hombre",(+VLOOKUP(INT(D130)+1,Tablas!$G$9:$K$1240,5,0)*(D130-INT(D130))+VLOOKUP(INT(D130),Tablas!$G$9:$K$1240,5,0)*(INT(D130)+1-D130))/(VLOOKUP(INT($C$5)+1,Tablas!$G$9:$K$1240,5,0)*($C$5-INT($C$5))+VLOOKUP(INT($C$5),Tablas!$G$9:$K$124,5,0)*(INT($C$5)+1-$C$5)),(+VLOOKUP(INT(D130)+1,Tablas!$G$9:$O$1240,9,0)*(D130-INT(D130))+VLOOKUP(INT(D130),Tablas!$G$9:$O$1240,9,0)*(INT(D130)+1-D130))/(VLOOKUP(INT($C$5)+1,Tablas!$G$9:$O$1240,9,0)*($C$5-INT($C$5))+VLOOKUP(INT($C$5),Tablas!$G$9:$O$124,9,0)*(INT($C$5)+1-$C$5)))</f>
        <v>0.9451803858045229</v>
      </c>
      <c r="G130" s="97">
        <f ca="1">IF($C$4="Hombre",(+VLOOKUP(INT(D130)+1,Tablas!$G$9:$K$1240,5,0)*(D130-INT(D130))+VLOOKUP(INT(D130),Tablas!$G$9:$K$1240,5,0)*(INT(D130)+1-D130)),+VLOOKUP(INT(D130)+1,Tablas!$G$9:$O$1240,9,0)*(D130-INT(D130))+VLOOKUP(INT(D130),Tablas!$G$9:$O$1240,9,0)*(INT(D130)+1-D130))</f>
        <v>872701.93237289647</v>
      </c>
      <c r="H130" s="105">
        <f t="shared" ca="1" si="10"/>
        <v>1</v>
      </c>
      <c r="I130" s="106">
        <f t="shared" ca="1" si="11"/>
        <v>6.8375326727729502E-2</v>
      </c>
      <c r="J130" s="106">
        <f t="shared" ca="1" si="15"/>
        <v>5.8607422909482433E-2</v>
      </c>
      <c r="K130" s="105">
        <f t="shared" ca="1" si="12"/>
        <v>0.9451803858045229</v>
      </c>
      <c r="L130" s="75"/>
    </row>
    <row r="131" spans="2:12">
      <c r="B131" s="101">
        <f t="shared" ca="1" si="13"/>
        <v>56252</v>
      </c>
      <c r="C131" s="101">
        <f t="shared" ca="1" si="14"/>
        <v>56282</v>
      </c>
      <c r="D131" s="102">
        <f t="shared" ca="1" si="8"/>
        <v>76.585900068446264</v>
      </c>
      <c r="E131" s="103">
        <f t="shared" ca="1" si="9"/>
        <v>0.86699614244699896</v>
      </c>
      <c r="F131" s="104">
        <f ca="1">IF($C$4="Hombre",(+VLOOKUP(INT(D131)+1,Tablas!$G$9:$K$1240,5,0)*(D131-INT(D131))+VLOOKUP(INT(D131),Tablas!$G$9:$K$1240,5,0)*(INT(D131)+1-D131))/(VLOOKUP(INT($C$5)+1,Tablas!$G$9:$K$1240,5,0)*($C$5-INT($C$5))+VLOOKUP(INT($C$5),Tablas!$G$9:$K$124,5,0)*(INT($C$5)+1-$C$5)),(+VLOOKUP(INT(D131)+1,Tablas!$G$9:$O$1240,9,0)*(D131-INT(D131))+VLOOKUP(INT(D131),Tablas!$G$9:$O$1240,9,0)*(INT(D131)+1-D131))/(VLOOKUP(INT($C$5)+1,Tablas!$G$9:$O$1240,9,0)*($C$5-INT($C$5))+VLOOKUP(INT($C$5),Tablas!$G$9:$O$124,9,0)*(INT($C$5)+1-$C$5)))</f>
        <v>0.94443325354088437</v>
      </c>
      <c r="G131" s="97">
        <f ca="1">IF($C$4="Hombre",(+VLOOKUP(INT(D131)+1,Tablas!$G$9:$K$1240,5,0)*(D131-INT(D131))+VLOOKUP(INT(D131),Tablas!$G$9:$K$1240,5,0)*(INT(D131)+1-D131)),+VLOOKUP(INT(D131)+1,Tablas!$G$9:$O$1240,9,0)*(D131-INT(D131))+VLOOKUP(INT(D131),Tablas!$G$9:$O$1240,9,0)*(INT(D131)+1-D131))</f>
        <v>872012.09180911828</v>
      </c>
      <c r="H131" s="105">
        <f t="shared" ca="1" si="10"/>
        <v>1</v>
      </c>
      <c r="I131" s="106">
        <f t="shared" ca="1" si="11"/>
        <v>6.8234998968217941E-2</v>
      </c>
      <c r="J131" s="106">
        <f t="shared" ca="1" si="15"/>
        <v>5.8487141972758235E-2</v>
      </c>
      <c r="K131" s="105">
        <f t="shared" ca="1" si="12"/>
        <v>0.94443325354088437</v>
      </c>
      <c r="L131" s="75"/>
    </row>
    <row r="132" spans="2:12">
      <c r="B132" s="101">
        <f t="shared" ca="1" si="13"/>
        <v>56283</v>
      </c>
      <c r="C132" s="101">
        <f t="shared" ca="1" si="14"/>
        <v>56310</v>
      </c>
      <c r="D132" s="102">
        <f t="shared" ca="1" si="8"/>
        <v>76.662559890485966</v>
      </c>
      <c r="E132" s="103">
        <f t="shared" ca="1" si="9"/>
        <v>0.86600715363345748</v>
      </c>
      <c r="F132" s="104">
        <f ca="1">IF($C$4="Hombre",(+VLOOKUP(INT(D132)+1,Tablas!$G$9:$K$1240,5,0)*(D132-INT(D132))+VLOOKUP(INT(D132),Tablas!$G$9:$K$1240,5,0)*(INT(D132)+1-D132))/(VLOOKUP(INT($C$5)+1,Tablas!$G$9:$K$1240,5,0)*($C$5-INT($C$5))+VLOOKUP(INT($C$5),Tablas!$G$9:$K$124,5,0)*(INT($C$5)+1-$C$5)),(+VLOOKUP(INT(D132)+1,Tablas!$G$9:$O$1240,9,0)*(D132-INT(D132))+VLOOKUP(INT(D132),Tablas!$G$9:$O$1240,9,0)*(INT(D132)+1-D132))/(VLOOKUP(INT($C$5)+1,Tablas!$G$9:$O$1240,9,0)*($C$5-INT($C$5))+VLOOKUP(INT($C$5),Tablas!$G$9:$O$124,9,0)*(INT($C$5)+1-$C$5)))</f>
        <v>0.94375842439953328</v>
      </c>
      <c r="G132" s="97">
        <f ca="1">IF($C$4="Hombre",(+VLOOKUP(INT(D132)+1,Tablas!$G$9:$K$1240,5,0)*(D132-INT(D132))+VLOOKUP(INT(D132),Tablas!$G$9:$K$1240,5,0)*(INT(D132)+1-D132)),+VLOOKUP(INT(D132)+1,Tablas!$G$9:$O$1240,9,0)*(D132-INT(D132))+VLOOKUP(INT(D132),Tablas!$G$9:$O$1240,9,0)*(INT(D132)+1-D132))</f>
        <v>871389.01000957657</v>
      </c>
      <c r="H132" s="105">
        <f t="shared" ca="1" si="10"/>
        <v>1</v>
      </c>
      <c r="I132" s="106">
        <f t="shared" ca="1" si="11"/>
        <v>6.8108462235986364E-2</v>
      </c>
      <c r="J132" s="106">
        <f t="shared" ca="1" si="15"/>
        <v>5.837868191655974E-2</v>
      </c>
      <c r="K132" s="105">
        <f t="shared" ca="1" si="12"/>
        <v>0.94375842439953328</v>
      </c>
      <c r="L132" s="75"/>
    </row>
    <row r="133" spans="2:12">
      <c r="B133" s="101">
        <f t="shared" ca="1" si="13"/>
        <v>56311</v>
      </c>
      <c r="C133" s="101">
        <f t="shared" ca="1" si="14"/>
        <v>56341</v>
      </c>
      <c r="D133" s="102">
        <f t="shared" ca="1" si="8"/>
        <v>76.747433264887064</v>
      </c>
      <c r="E133" s="103">
        <f t="shared" ca="1" si="9"/>
        <v>0.86491351761049862</v>
      </c>
      <c r="F133" s="104">
        <f ca="1">IF($C$4="Hombre",(+VLOOKUP(INT(D133)+1,Tablas!$G$9:$K$1240,5,0)*(D133-INT(D133))+VLOOKUP(INT(D133),Tablas!$G$9:$K$1240,5,0)*(INT(D133)+1-D133))/(VLOOKUP(INT($C$5)+1,Tablas!$G$9:$K$1240,5,0)*($C$5-INT($C$5))+VLOOKUP(INT($C$5),Tablas!$G$9:$K$124,5,0)*(INT($C$5)+1-$C$5)),(+VLOOKUP(INT(D133)+1,Tablas!$G$9:$O$1240,9,0)*(D133-INT(D133))+VLOOKUP(INT(D133),Tablas!$G$9:$O$1240,9,0)*(INT(D133)+1-D133))/(VLOOKUP(INT($C$5)+1,Tablas!$G$9:$O$1240,9,0)*($C$5-INT($C$5))+VLOOKUP(INT($C$5),Tablas!$G$9:$O$124,9,0)*(INT($C$5)+1-$C$5)))</f>
        <v>0.94301129213589485</v>
      </c>
      <c r="G133" s="97">
        <f ca="1">IF($C$4="Hombre",(+VLOOKUP(INT(D133)+1,Tablas!$G$9:$K$1240,5,0)*(D133-INT(D133))+VLOOKUP(INT(D133),Tablas!$G$9:$K$1240,5,0)*(INT(D133)+1-D133)),+VLOOKUP(INT(D133)+1,Tablas!$G$9:$O$1240,9,0)*(D133-INT(D133))+VLOOKUP(INT(D133),Tablas!$G$9:$O$1240,9,0)*(INT(D133)+1-D133))</f>
        <v>870699.1694457985</v>
      </c>
      <c r="H133" s="105">
        <f t="shared" ca="1" si="10"/>
        <v>1</v>
      </c>
      <c r="I133" s="106">
        <f t="shared" ca="1" si="11"/>
        <v>6.7968601152306532E-2</v>
      </c>
      <c r="J133" s="106">
        <f t="shared" ca="1" si="15"/>
        <v>5.8258800987691317E-2</v>
      </c>
      <c r="K133" s="105">
        <f t="shared" ca="1" si="12"/>
        <v>0.94301129213589485</v>
      </c>
      <c r="L133" s="75"/>
    </row>
    <row r="134" spans="2:12">
      <c r="B134" s="101">
        <f t="shared" ca="1" si="13"/>
        <v>56342</v>
      </c>
      <c r="C134" s="101">
        <f t="shared" ca="1" si="14"/>
        <v>56371</v>
      </c>
      <c r="D134" s="102">
        <f t="shared" ca="1" si="8"/>
        <v>76.829568788501021</v>
      </c>
      <c r="E134" s="103">
        <f t="shared" ca="1" si="9"/>
        <v>0.86385647517494213</v>
      </c>
      <c r="F134" s="104">
        <f ca="1">IF($C$4="Hombre",(+VLOOKUP(INT(D134)+1,Tablas!$G$9:$K$1240,5,0)*(D134-INT(D134))+VLOOKUP(INT(D134),Tablas!$G$9:$K$1240,5,0)*(INT(D134)+1-D134))/(VLOOKUP(INT($C$5)+1,Tablas!$G$9:$K$1240,5,0)*($C$5-INT($C$5))+VLOOKUP(INT($C$5),Tablas!$G$9:$K$124,5,0)*(INT($C$5)+1-$C$5)),(+VLOOKUP(INT(D134)+1,Tablas!$G$9:$O$1240,9,0)*(D134-INT(D134))+VLOOKUP(INT(D134),Tablas!$G$9:$O$1240,9,0)*(INT(D134)+1-D134))/(VLOOKUP(INT($C$5)+1,Tablas!$G$9:$O$1240,9,0)*($C$5-INT($C$5))+VLOOKUP(INT($C$5),Tablas!$G$9:$O$124,9,0)*(INT($C$5)+1-$C$5)))</f>
        <v>0.94228826091301887</v>
      </c>
      <c r="G134" s="97">
        <f ca="1">IF($C$4="Hombre",(+VLOOKUP(INT(D134)+1,Tablas!$G$9:$K$1240,5,0)*(D134-INT(D134))+VLOOKUP(INT(D134),Tablas!$G$9:$K$1240,5,0)*(INT(D134)+1-D134)),+VLOOKUP(INT(D134)+1,Tablas!$G$9:$O$1240,9,0)*(D134-INT(D134))+VLOOKUP(INT(D134),Tablas!$G$9:$O$1240,9,0)*(INT(D134)+1-D134))</f>
        <v>870031.58180343255</v>
      </c>
      <c r="H134" s="105">
        <f t="shared" ca="1" si="10"/>
        <v>1</v>
      </c>
      <c r="I134" s="106">
        <f t="shared" ca="1" si="11"/>
        <v>6.7833484639253885E-2</v>
      </c>
      <c r="J134" s="106">
        <f t="shared" ca="1" si="15"/>
        <v>5.8142986833646194E-2</v>
      </c>
      <c r="K134" s="105">
        <f t="shared" ca="1" si="12"/>
        <v>0.94228826091301887</v>
      </c>
      <c r="L134" s="75"/>
    </row>
    <row r="135" spans="2:12">
      <c r="B135" s="101">
        <f t="shared" ca="1" si="13"/>
        <v>56372</v>
      </c>
      <c r="C135" s="101">
        <f t="shared" ca="1" si="14"/>
        <v>56402</v>
      </c>
      <c r="D135" s="102">
        <f t="shared" ca="1" si="8"/>
        <v>76.91444216290212</v>
      </c>
      <c r="E135" s="103">
        <f t="shared" ca="1" si="9"/>
        <v>0.86276555513351538</v>
      </c>
      <c r="F135" s="104">
        <f ca="1">IF($C$4="Hombre",(+VLOOKUP(INT(D135)+1,Tablas!$G$9:$K$1240,5,0)*(D135-INT(D135))+VLOOKUP(INT(D135),Tablas!$G$9:$K$1240,5,0)*(INT(D135)+1-D135))/(VLOOKUP(INT($C$5)+1,Tablas!$G$9:$K$1240,5,0)*($C$5-INT($C$5))+VLOOKUP(INT($C$5),Tablas!$G$9:$K$124,5,0)*(INT($C$5)+1-$C$5)),(+VLOOKUP(INT(D135)+1,Tablas!$G$9:$O$1240,9,0)*(D135-INT(D135))+VLOOKUP(INT(D135),Tablas!$G$9:$O$1240,9,0)*(INT(D135)+1-D135))/(VLOOKUP(INT($C$5)+1,Tablas!$G$9:$O$1240,9,0)*($C$5-INT($C$5))+VLOOKUP(INT($C$5),Tablas!$G$9:$O$124,9,0)*(INT($C$5)+1-$C$5)))</f>
        <v>0.94154112864938044</v>
      </c>
      <c r="G135" s="97">
        <f ca="1">IF($C$4="Hombre",(+VLOOKUP(INT(D135)+1,Tablas!$G$9:$K$1240,5,0)*(D135-INT(D135))+VLOOKUP(INT(D135),Tablas!$G$9:$K$1240,5,0)*(INT(D135)+1-D135)),+VLOOKUP(INT(D135)+1,Tablas!$G$9:$O$1240,9,0)*(D135-INT(D135))+VLOOKUP(INT(D135),Tablas!$G$9:$O$1240,9,0)*(INT(D135)+1-D135))</f>
        <v>869341.74123965437</v>
      </c>
      <c r="H135" s="105">
        <f t="shared" ca="1" si="10"/>
        <v>1</v>
      </c>
      <c r="I135" s="106">
        <f t="shared" ca="1" si="11"/>
        <v>6.7694104545018272E-2</v>
      </c>
      <c r="J135" s="106">
        <f t="shared" ca="1" si="15"/>
        <v>0.11604703636288846</v>
      </c>
      <c r="K135" s="105">
        <f t="shared" ca="1" si="12"/>
        <v>0.94154112864938044</v>
      </c>
      <c r="L135" s="75"/>
    </row>
    <row r="136" spans="2:12">
      <c r="B136" s="101">
        <f t="shared" ca="1" si="13"/>
        <v>56403</v>
      </c>
      <c r="C136" s="101">
        <f t="shared" ca="1" si="14"/>
        <v>56432</v>
      </c>
      <c r="D136" s="102">
        <f t="shared" ca="1" si="8"/>
        <v>76.99657768651609</v>
      </c>
      <c r="E136" s="103">
        <f t="shared" ca="1" si="9"/>
        <v>0.86171113780144226</v>
      </c>
      <c r="F136" s="104">
        <f ca="1">IF($C$4="Hombre",(+VLOOKUP(INT(D136)+1,Tablas!$G$9:$K$1240,5,0)*(D136-INT(D136))+VLOOKUP(INT(D136),Tablas!$G$9:$K$1240,5,0)*(INT(D136)+1-D136))/(VLOOKUP(INT($C$5)+1,Tablas!$G$9:$K$1240,5,0)*($C$5-INT($C$5))+VLOOKUP(INT($C$5),Tablas!$G$9:$K$124,5,0)*(INT($C$5)+1-$C$5)),(+VLOOKUP(INT(D136)+1,Tablas!$G$9:$O$1240,9,0)*(D136-INT(D136))+VLOOKUP(INT(D136),Tablas!$G$9:$O$1240,9,0)*(INT(D136)+1-D136))/(VLOOKUP(INT($C$5)+1,Tablas!$G$9:$O$1240,9,0)*($C$5-INT($C$5))+VLOOKUP(INT($C$5),Tablas!$G$9:$O$124,9,0)*(INT($C$5)+1-$C$5)))</f>
        <v>0.94081809742650435</v>
      </c>
      <c r="G136" s="97">
        <f ca="1">IF($C$4="Hombre",(+VLOOKUP(INT(D136)+1,Tablas!$G$9:$K$1240,5,0)*(D136-INT(D136))+VLOOKUP(INT(D136),Tablas!$G$9:$K$1240,5,0)*(INT(D136)+1-D136)),+VLOOKUP(INT(D136)+1,Tablas!$G$9:$O$1240,9,0)*(D136-INT(D136))+VLOOKUP(INT(D136),Tablas!$G$9:$O$1240,9,0)*(INT(D136)+1-D136))</f>
        <v>868674.1535972883</v>
      </c>
      <c r="H136" s="105">
        <f t="shared" ca="1" si="10"/>
        <v>1</v>
      </c>
      <c r="I136" s="106">
        <f t="shared" ca="1" si="11"/>
        <v>6.7559452766465092E-2</v>
      </c>
      <c r="J136" s="106">
        <f t="shared" ca="1" si="15"/>
        <v>5.79081023712558E-2</v>
      </c>
      <c r="K136" s="105">
        <f t="shared" ca="1" si="12"/>
        <v>0.94081809742650435</v>
      </c>
      <c r="L136" s="75"/>
    </row>
    <row r="137" spans="2:12">
      <c r="B137" s="101">
        <f t="shared" ca="1" si="13"/>
        <v>56433</v>
      </c>
      <c r="C137" s="101">
        <f t="shared" ca="1" si="14"/>
        <v>56463</v>
      </c>
      <c r="D137" s="102">
        <f t="shared" ca="1" si="8"/>
        <v>77.081451060917175</v>
      </c>
      <c r="E137" s="103">
        <f t="shared" ca="1" si="9"/>
        <v>0.86062292699656562</v>
      </c>
      <c r="F137" s="104">
        <f ca="1">IF($C$4="Hombre",(+VLOOKUP(INT(D137)+1,Tablas!$G$9:$K$1240,5,0)*(D137-INT(D137))+VLOOKUP(INT(D137),Tablas!$G$9:$K$1240,5,0)*(INT(D137)+1-D137))/(VLOOKUP(INT($C$5)+1,Tablas!$G$9:$K$1240,5,0)*($C$5-INT($C$5))+VLOOKUP(INT($C$5),Tablas!$G$9:$K$124,5,0)*(INT($C$5)+1-$C$5)),(+VLOOKUP(INT(D137)+1,Tablas!$G$9:$O$1240,9,0)*(D137-INT(D137))+VLOOKUP(INT(D137),Tablas!$G$9:$O$1240,9,0)*(INT(D137)+1-D137))/(VLOOKUP(INT($C$5)+1,Tablas!$G$9:$O$1240,9,0)*($C$5-INT($C$5))+VLOOKUP(INT($C$5),Tablas!$G$9:$O$124,9,0)*(INT($C$5)+1-$C$5)))</f>
        <v>0.93997964328774108</v>
      </c>
      <c r="G137" s="97">
        <f ca="1">IF($C$4="Hombre",(+VLOOKUP(INT(D137)+1,Tablas!$G$9:$K$1240,5,0)*(D137-INT(D137))+VLOOKUP(INT(D137),Tablas!$G$9:$K$1240,5,0)*(INT(D137)+1-D137)),+VLOOKUP(INT(D137)+1,Tablas!$G$9:$O$1240,9,0)*(D137-INT(D137))+VLOOKUP(INT(D137),Tablas!$G$9:$O$1240,9,0)*(INT(D137)+1-D137))</f>
        <v>867899.99391507916</v>
      </c>
      <c r="H137" s="105">
        <f t="shared" ca="1" si="10"/>
        <v>1</v>
      </c>
      <c r="I137" s="106">
        <f t="shared" ca="1" si="11"/>
        <v>6.7414002660290281E-2</v>
      </c>
      <c r="J137" s="106">
        <f t="shared" ca="1" si="15"/>
        <v>5.7783430851677378E-2</v>
      </c>
      <c r="K137" s="105">
        <f t="shared" ca="1" si="12"/>
        <v>0.93997964328774108</v>
      </c>
      <c r="L137" s="75"/>
    </row>
    <row r="138" spans="2:12">
      <c r="B138" s="101">
        <f t="shared" ca="1" si="13"/>
        <v>56464</v>
      </c>
      <c r="C138" s="101">
        <f t="shared" ca="1" si="14"/>
        <v>56494</v>
      </c>
      <c r="D138" s="102">
        <f t="shared" ca="1" si="8"/>
        <v>77.166324435318273</v>
      </c>
      <c r="E138" s="103">
        <f t="shared" ca="1" si="9"/>
        <v>0.8595360904373075</v>
      </c>
      <c r="F138" s="104">
        <f ca="1">IF($C$4="Hombre",(+VLOOKUP(INT(D138)+1,Tablas!$G$9:$K$1240,5,0)*(D138-INT(D138))+VLOOKUP(INT(D138),Tablas!$G$9:$K$1240,5,0)*(INT(D138)+1-D138))/(VLOOKUP(INT($C$5)+1,Tablas!$G$9:$K$1240,5,0)*($C$5-INT($C$5))+VLOOKUP(INT($C$5),Tablas!$G$9:$K$124,5,0)*(INT($C$5)+1-$C$5)),(+VLOOKUP(INT(D138)+1,Tablas!$G$9:$O$1240,9,0)*(D138-INT(D138))+VLOOKUP(INT(D138),Tablas!$G$9:$O$1240,9,0)*(INT(D138)+1-D138))/(VLOOKUP(INT($C$5)+1,Tablas!$G$9:$O$1240,9,0)*($C$5-INT($C$5))+VLOOKUP(INT($C$5),Tablas!$G$9:$O$124,9,0)*(INT($C$5)+1-$C$5)))</f>
        <v>0.93913735209540106</v>
      </c>
      <c r="G138" s="97">
        <f ca="1">IF($C$4="Hombre",(+VLOOKUP(INT(D138)+1,Tablas!$G$9:$K$1240,5,0)*(D138-INT(D138))+VLOOKUP(INT(D138),Tablas!$G$9:$K$1240,5,0)*(INT(D138)+1-D138)),+VLOOKUP(INT(D138)+1,Tablas!$G$9:$O$1240,9,0)*(D138-INT(D138))+VLOOKUP(INT(D138),Tablas!$G$9:$O$1240,9,0)*(INT(D138)+1-D138))</f>
        <v>867122.29141276784</v>
      </c>
      <c r="H138" s="105">
        <f t="shared" ca="1" si="10"/>
        <v>1</v>
      </c>
      <c r="I138" s="106">
        <f t="shared" ca="1" si="11"/>
        <v>6.7268537333643838E-2</v>
      </c>
      <c r="J138" s="106">
        <f t="shared" ca="1" si="15"/>
        <v>5.7658746285980431E-2</v>
      </c>
      <c r="K138" s="105">
        <f t="shared" ca="1" si="12"/>
        <v>0.93913735209540106</v>
      </c>
      <c r="L138" s="75"/>
    </row>
    <row r="139" spans="2:12">
      <c r="B139" s="101">
        <f t="shared" ca="1" si="13"/>
        <v>56495</v>
      </c>
      <c r="C139" s="101">
        <f t="shared" ca="1" si="14"/>
        <v>56524</v>
      </c>
      <c r="D139" s="102">
        <f t="shared" ca="1" si="8"/>
        <v>77.248459958932244</v>
      </c>
      <c r="E139" s="103">
        <f t="shared" ca="1" si="9"/>
        <v>0.85848561995212569</v>
      </c>
      <c r="F139" s="104">
        <f ca="1">IF($C$4="Hombre",(+VLOOKUP(INT(D139)+1,Tablas!$G$9:$K$1240,5,0)*(D139-INT(D139))+VLOOKUP(INT(D139),Tablas!$G$9:$K$1240,5,0)*(INT(D139)+1-D139))/(VLOOKUP(INT($C$5)+1,Tablas!$G$9:$K$1240,5,0)*($C$5-INT($C$5))+VLOOKUP(INT($C$5),Tablas!$G$9:$K$124,5,0)*(INT($C$5)+1-$C$5)),(+VLOOKUP(INT(D139)+1,Tablas!$G$9:$O$1240,9,0)*(D139-INT(D139))+VLOOKUP(INT(D139),Tablas!$G$9:$O$1240,9,0)*(INT(D139)+1-D139))/(VLOOKUP(INT($C$5)+1,Tablas!$G$9:$O$1240,9,0)*($C$5-INT($C$5))+VLOOKUP(INT($C$5),Tablas!$G$9:$O$124,9,0)*(INT($C$5)+1-$C$5)))</f>
        <v>0.93832223158668493</v>
      </c>
      <c r="G139" s="97">
        <f ca="1">IF($C$4="Hombre",(+VLOOKUP(INT(D139)+1,Tablas!$G$9:$K$1240,5,0)*(D139-INT(D139))+VLOOKUP(INT(D139),Tablas!$G$9:$K$1240,5,0)*(INT(D139)+1-D139)),+VLOOKUP(INT(D139)+1,Tablas!$G$9:$O$1240,9,0)*(D139-INT(D139))+VLOOKUP(INT(D139),Tablas!$G$9:$O$1240,9,0)*(INT(D139)+1-D139))</f>
        <v>866369.67608795036</v>
      </c>
      <c r="H139" s="105">
        <f t="shared" ca="1" si="10"/>
        <v>1</v>
      </c>
      <c r="I139" s="106">
        <f t="shared" ca="1" si="11"/>
        <v>6.7128011891546435E-2</v>
      </c>
      <c r="J139" s="106">
        <f t="shared" ca="1" si="15"/>
        <v>5.7538295907039801E-2</v>
      </c>
      <c r="K139" s="105">
        <f t="shared" ca="1" si="12"/>
        <v>0.93832223158668493</v>
      </c>
      <c r="L139" s="75"/>
    </row>
    <row r="140" spans="2:12">
      <c r="B140" s="101">
        <f t="shared" ca="1" si="13"/>
        <v>56525</v>
      </c>
      <c r="C140" s="101">
        <f t="shared" ca="1" si="14"/>
        <v>56555</v>
      </c>
      <c r="D140" s="102">
        <f t="shared" ca="1" si="8"/>
        <v>77.333333333333329</v>
      </c>
      <c r="E140" s="103">
        <f t="shared" ca="1" si="9"/>
        <v>0.85740148248832693</v>
      </c>
      <c r="F140" s="104">
        <f ca="1">IF($C$4="Hombre",(+VLOOKUP(INT(D140)+1,Tablas!$G$9:$K$1240,5,0)*(D140-INT(D140))+VLOOKUP(INT(D140),Tablas!$G$9:$K$1240,5,0)*(INT(D140)+1-D140))/(VLOOKUP(INT($C$5)+1,Tablas!$G$9:$K$1240,5,0)*($C$5-INT($C$5))+VLOOKUP(INT($C$5),Tablas!$G$9:$K$124,5,0)*(INT($C$5)+1-$C$5)),(+VLOOKUP(INT(D140)+1,Tablas!$G$9:$O$1240,9,0)*(D140-INT(D140))+VLOOKUP(INT(D140),Tablas!$G$9:$O$1240,9,0)*(INT(D140)+1-D140))/(VLOOKUP(INT($C$5)+1,Tablas!$G$9:$O$1240,9,0)*($C$5-INT($C$5))+VLOOKUP(INT($C$5),Tablas!$G$9:$O$124,9,0)*(INT($C$5)+1-$C$5)))</f>
        <v>0.93747994039434512</v>
      </c>
      <c r="G140" s="97">
        <f ca="1">IF($C$4="Hombre",(+VLOOKUP(INT(D140)+1,Tablas!$G$9:$K$1240,5,0)*(D140-INT(D140))+VLOOKUP(INT(D140),Tablas!$G$9:$K$1240,5,0)*(INT(D140)+1-D140)),+VLOOKUP(INT(D140)+1,Tablas!$G$9:$O$1240,9,0)*(D140-INT(D140))+VLOOKUP(INT(D140),Tablas!$G$9:$O$1240,9,0)*(INT(D140)+1-D140))</f>
        <v>865591.97358563915</v>
      </c>
      <c r="H140" s="105">
        <f t="shared" ca="1" si="10"/>
        <v>1</v>
      </c>
      <c r="I140" s="106">
        <f t="shared" ca="1" si="11"/>
        <v>6.6983057558098316E-2</v>
      </c>
      <c r="J140" s="106">
        <f t="shared" ca="1" si="15"/>
        <v>5.7414049335512848E-2</v>
      </c>
      <c r="K140" s="105">
        <f t="shared" ca="1" si="12"/>
        <v>0.93747994039434512</v>
      </c>
      <c r="L140" s="75"/>
    </row>
    <row r="141" spans="2:12">
      <c r="B141" s="101">
        <f t="shared" ca="1" si="13"/>
        <v>56556</v>
      </c>
      <c r="C141" s="101">
        <f t="shared" ca="1" si="14"/>
        <v>56585</v>
      </c>
      <c r="D141" s="102">
        <f t="shared" ca="1" si="8"/>
        <v>77.4154688569473</v>
      </c>
      <c r="E141" s="103">
        <f t="shared" ca="1" si="9"/>
        <v>0.85635362078557165</v>
      </c>
      <c r="F141" s="104">
        <f ca="1">IF($C$4="Hombre",(+VLOOKUP(INT(D141)+1,Tablas!$G$9:$K$1240,5,0)*(D141-INT(D141))+VLOOKUP(INT(D141),Tablas!$G$9:$K$1240,5,0)*(INT(D141)+1-D141))/(VLOOKUP(INT($C$5)+1,Tablas!$G$9:$K$1240,5,0)*($C$5-INT($C$5))+VLOOKUP(INT($C$5),Tablas!$G$9:$K$124,5,0)*(INT($C$5)+1-$C$5)),(+VLOOKUP(INT(D141)+1,Tablas!$G$9:$O$1240,9,0)*(D141-INT(D141))+VLOOKUP(INT(D141),Tablas!$G$9:$O$1240,9,0)*(INT(D141)+1-D141))/(VLOOKUP(INT($C$5)+1,Tablas!$G$9:$O$1240,9,0)*($C$5-INT($C$5))+VLOOKUP(INT($C$5),Tablas!$G$9:$O$124,9,0)*(INT($C$5)+1-$C$5)))</f>
        <v>0.93666481988562877</v>
      </c>
      <c r="G141" s="97">
        <f ca="1">IF($C$4="Hombre",(+VLOOKUP(INT(D141)+1,Tablas!$G$9:$K$1240,5,0)*(D141-INT(D141))+VLOOKUP(INT(D141),Tablas!$G$9:$K$1240,5,0)*(INT(D141)+1-D141)),+VLOOKUP(INT(D141)+1,Tablas!$G$9:$O$1240,9,0)*(D141-INT(D141))+VLOOKUP(INT(D141),Tablas!$G$9:$O$1240,9,0)*(INT(D141)+1-D141))</f>
        <v>864839.35826082155</v>
      </c>
      <c r="H141" s="105">
        <f t="shared" ca="1" si="10"/>
        <v>1</v>
      </c>
      <c r="I141" s="106">
        <f t="shared" ca="1" si="11"/>
        <v>6.6843025830960287E-2</v>
      </c>
      <c r="J141" s="106">
        <f t="shared" ca="1" si="15"/>
        <v>0.11458804428164619</v>
      </c>
      <c r="K141" s="105">
        <f t="shared" ca="1" si="12"/>
        <v>0.93666481988562877</v>
      </c>
      <c r="L141" s="75"/>
    </row>
    <row r="142" spans="2:12">
      <c r="B142" s="101">
        <f t="shared" ca="1" si="13"/>
        <v>56586</v>
      </c>
      <c r="C142" s="101">
        <f t="shared" ca="1" si="14"/>
        <v>56616</v>
      </c>
      <c r="D142" s="102">
        <f t="shared" ca="1" si="8"/>
        <v>77.500342231348398</v>
      </c>
      <c r="E142" s="103">
        <f t="shared" ca="1" si="9"/>
        <v>0.85527217571418501</v>
      </c>
      <c r="F142" s="104">
        <f ca="1">IF($C$4="Hombre",(+VLOOKUP(INT(D142)+1,Tablas!$G$9:$K$1240,5,0)*(D142-INT(D142))+VLOOKUP(INT(D142),Tablas!$G$9:$K$1240,5,0)*(INT(D142)+1-D142))/(VLOOKUP(INT($C$5)+1,Tablas!$G$9:$K$1240,5,0)*($C$5-INT($C$5))+VLOOKUP(INT($C$5),Tablas!$G$9:$K$124,5,0)*(INT($C$5)+1-$C$5)),(+VLOOKUP(INT(D142)+1,Tablas!$G$9:$O$1240,9,0)*(D142-INT(D142))+VLOOKUP(INT(D142),Tablas!$G$9:$O$1240,9,0)*(INT(D142)+1-D142))/(VLOOKUP(INT($C$5)+1,Tablas!$G$9:$O$1240,9,0)*($C$5-INT($C$5))+VLOOKUP(INT($C$5),Tablas!$G$9:$O$124,9,0)*(INT($C$5)+1-$C$5)))</f>
        <v>0.93582252869328886</v>
      </c>
      <c r="G142" s="97">
        <f ca="1">IF($C$4="Hombre",(+VLOOKUP(INT(D142)+1,Tablas!$G$9:$K$1240,5,0)*(D142-INT(D142))+VLOOKUP(INT(D142),Tablas!$G$9:$K$1240,5,0)*(INT(D142)+1-D142)),+VLOOKUP(INT(D142)+1,Tablas!$G$9:$O$1240,9,0)*(D142-INT(D142))+VLOOKUP(INT(D142),Tablas!$G$9:$O$1240,9,0)*(INT(D142)+1-D142))</f>
        <v>864061.65575851023</v>
      </c>
      <c r="H142" s="105">
        <f t="shared" ca="1" si="10"/>
        <v>1</v>
      </c>
      <c r="I142" s="106">
        <f t="shared" ca="1" si="11"/>
        <v>6.6698580849821623E-2</v>
      </c>
      <c r="J142" s="106">
        <f t="shared" ca="1" si="15"/>
        <v>5.7170212156989968E-2</v>
      </c>
      <c r="K142" s="105">
        <f t="shared" ca="1" si="12"/>
        <v>0.93582252869328886</v>
      </c>
      <c r="L142" s="75"/>
    </row>
    <row r="143" spans="2:12">
      <c r="B143" s="101">
        <f t="shared" ca="1" si="13"/>
        <v>56617</v>
      </c>
      <c r="C143" s="101">
        <f t="shared" ca="1" si="14"/>
        <v>56647</v>
      </c>
      <c r="D143" s="102">
        <f t="shared" ca="1" si="8"/>
        <v>77.585215605749482</v>
      </c>
      <c r="E143" s="103">
        <f t="shared" ca="1" si="9"/>
        <v>0.8541920963443197</v>
      </c>
      <c r="F143" s="104">
        <f ca="1">IF($C$4="Hombre",(+VLOOKUP(INT(D143)+1,Tablas!$G$9:$K$1240,5,0)*(D143-INT(D143))+VLOOKUP(INT(D143),Tablas!$G$9:$K$1240,5,0)*(INT(D143)+1-D143))/(VLOOKUP(INT($C$5)+1,Tablas!$G$9:$K$1240,5,0)*($C$5-INT($C$5))+VLOOKUP(INT($C$5),Tablas!$G$9:$K$124,5,0)*(INT($C$5)+1-$C$5)),(+VLOOKUP(INT(D143)+1,Tablas!$G$9:$O$1240,9,0)*(D143-INT(D143))+VLOOKUP(INT(D143),Tablas!$G$9:$O$1240,9,0)*(INT(D143)+1-D143))/(VLOOKUP(INT($C$5)+1,Tablas!$G$9:$O$1240,9,0)*($C$5-INT($C$5))+VLOOKUP(INT($C$5),Tablas!$G$9:$O$124,9,0)*(INT($C$5)+1-$C$5)))</f>
        <v>0.93498023750094894</v>
      </c>
      <c r="G143" s="97">
        <f ca="1">IF($C$4="Hombre",(+VLOOKUP(INT(D143)+1,Tablas!$G$9:$K$1240,5,0)*(D143-INT(D143))+VLOOKUP(INT(D143),Tablas!$G$9:$K$1240,5,0)*(INT(D143)+1-D143)),+VLOOKUP(INT(D143)+1,Tablas!$G$9:$O$1240,9,0)*(D143-INT(D143))+VLOOKUP(INT(D143),Tablas!$G$9:$O$1240,9,0)*(INT(D143)+1-D143))</f>
        <v>863283.95325619902</v>
      </c>
      <c r="H143" s="105">
        <f t="shared" ca="1" si="10"/>
        <v>1</v>
      </c>
      <c r="I143" s="106">
        <f t="shared" ca="1" si="11"/>
        <v>6.6554394092620442E-2</v>
      </c>
      <c r="J143" s="106">
        <f t="shared" ca="1" si="15"/>
        <v>5.704662350796038E-2</v>
      </c>
      <c r="K143" s="105">
        <f t="shared" ca="1" si="12"/>
        <v>0.93498023750094894</v>
      </c>
      <c r="L143" s="75"/>
    </row>
    <row r="144" spans="2:12">
      <c r="B144" s="101">
        <f t="shared" ca="1" si="13"/>
        <v>56648</v>
      </c>
      <c r="C144" s="101">
        <f t="shared" ca="1" si="14"/>
        <v>56675</v>
      </c>
      <c r="D144" s="102">
        <f t="shared" ca="1" si="8"/>
        <v>77.661875427789184</v>
      </c>
      <c r="E144" s="103">
        <f t="shared" ca="1" si="9"/>
        <v>0.85321771319941242</v>
      </c>
      <c r="F144" s="104">
        <f ca="1">IF($C$4="Hombre",(+VLOOKUP(INT(D144)+1,Tablas!$G$9:$K$1240,5,0)*(D144-INT(D144))+VLOOKUP(INT(D144),Tablas!$G$9:$K$1240,5,0)*(INT(D144)+1-D144))/(VLOOKUP(INT($C$5)+1,Tablas!$G$9:$K$1240,5,0)*($C$5-INT($C$5))+VLOOKUP(INT($C$5),Tablas!$G$9:$K$124,5,0)*(INT($C$5)+1-$C$5)),(+VLOOKUP(INT(D144)+1,Tablas!$G$9:$O$1240,9,0)*(D144-INT(D144))+VLOOKUP(INT(D144),Tablas!$G$9:$O$1240,9,0)*(INT(D144)+1-D144))/(VLOOKUP(INT($C$5)+1,Tablas!$G$9:$O$1240,9,0)*($C$5-INT($C$5))+VLOOKUP(INT($C$5),Tablas!$G$9:$O$124,9,0)*(INT($C$5)+1-$C$5)))</f>
        <v>0.9342194583594805</v>
      </c>
      <c r="G144" s="97">
        <f ca="1">IF($C$4="Hombre",(+VLOOKUP(INT(D144)+1,Tablas!$G$9:$K$1240,5,0)*(D144-INT(D144))+VLOOKUP(INT(D144),Tablas!$G$9:$K$1240,5,0)*(INT(D144)+1-D144)),+VLOOKUP(INT(D144)+1,Tablas!$G$9:$O$1240,9,0)*(D144-INT(D144))+VLOOKUP(INT(D144),Tablas!$G$9:$O$1240,9,0)*(INT(D144)+1-D144))</f>
        <v>862581.51228636934</v>
      </c>
      <c r="H144" s="105">
        <f t="shared" ca="1" si="10"/>
        <v>1</v>
      </c>
      <c r="I144" s="106">
        <f t="shared" ca="1" si="11"/>
        <v>6.6424382490655798E-2</v>
      </c>
      <c r="J144" s="106">
        <f t="shared" ca="1" si="15"/>
        <v>5.6935184991990684E-2</v>
      </c>
      <c r="K144" s="105">
        <f t="shared" ca="1" si="12"/>
        <v>0.9342194583594805</v>
      </c>
      <c r="L144" s="75"/>
    </row>
    <row r="145" spans="2:12">
      <c r="B145" s="101">
        <f t="shared" ca="1" si="13"/>
        <v>56676</v>
      </c>
      <c r="C145" s="101">
        <f t="shared" ca="1" si="14"/>
        <v>56706</v>
      </c>
      <c r="D145" s="102">
        <f t="shared" ca="1" si="8"/>
        <v>77.746748802190282</v>
      </c>
      <c r="E145" s="103">
        <f t="shared" ca="1" si="9"/>
        <v>0.85214022830489788</v>
      </c>
      <c r="F145" s="104">
        <f ca="1">IF($C$4="Hombre",(+VLOOKUP(INT(D145)+1,Tablas!$G$9:$K$1240,5,0)*(D145-INT(D145))+VLOOKUP(INT(D145),Tablas!$G$9:$K$1240,5,0)*(INT(D145)+1-D145))/(VLOOKUP(INT($C$5)+1,Tablas!$G$9:$K$1240,5,0)*($C$5-INT($C$5))+VLOOKUP(INT($C$5),Tablas!$G$9:$K$124,5,0)*(INT($C$5)+1-$C$5)),(+VLOOKUP(INT(D145)+1,Tablas!$G$9:$O$1240,9,0)*(D145-INT(D145))+VLOOKUP(INT(D145),Tablas!$G$9:$O$1240,9,0)*(INT(D145)+1-D145))/(VLOOKUP(INT($C$5)+1,Tablas!$G$9:$O$1240,9,0)*($C$5-INT($C$5))+VLOOKUP(INT($C$5),Tablas!$G$9:$O$124,9,0)*(INT($C$5)+1-$C$5)))</f>
        <v>0.93337716716714059</v>
      </c>
      <c r="G145" s="97">
        <f ca="1">IF($C$4="Hombre",(+VLOOKUP(INT(D145)+1,Tablas!$G$9:$K$1240,5,0)*(D145-INT(D145))+VLOOKUP(INT(D145),Tablas!$G$9:$K$1240,5,0)*(INT(D145)+1-D145)),+VLOOKUP(INT(D145)+1,Tablas!$G$9:$O$1240,9,0)*(D145-INT(D145))+VLOOKUP(INT(D145),Tablas!$G$9:$O$1240,9,0)*(INT(D145)+1-D145))</f>
        <v>861803.80978405802</v>
      </c>
      <c r="H145" s="105">
        <f t="shared" ca="1" si="10"/>
        <v>1</v>
      </c>
      <c r="I145" s="106">
        <f t="shared" ca="1" si="11"/>
        <v>6.628068602703216E-2</v>
      </c>
      <c r="J145" s="106">
        <f t="shared" ca="1" si="15"/>
        <v>5.6812016594598995E-2</v>
      </c>
      <c r="K145" s="105">
        <f t="shared" ca="1" si="12"/>
        <v>0.93337716716714059</v>
      </c>
      <c r="L145" s="75"/>
    </row>
    <row r="146" spans="2:12">
      <c r="B146" s="101">
        <f t="shared" ca="1" si="13"/>
        <v>56707</v>
      </c>
      <c r="C146" s="101">
        <f t="shared" ca="1" si="14"/>
        <v>56736</v>
      </c>
      <c r="D146" s="102">
        <f t="shared" ref="D146:D209" ca="1" si="16">-_xlfn.DAYS($C$3,C146)/365.25</f>
        <v>77.828884325804239</v>
      </c>
      <c r="E146" s="103">
        <f t="shared" ref="E146:E209" ca="1" si="17">IF($D$17+40&lt;=D146,(1+$D$7)^-(D146-$C$5),(1+$C$7)^-(D146-$C$5))</f>
        <v>0.85109879657325893</v>
      </c>
      <c r="F146" s="104">
        <f ca="1">IF($C$4="Hombre",(+VLOOKUP(INT(D146)+1,Tablas!$G$9:$K$1240,5,0)*(D146-INT(D146))+VLOOKUP(INT(D146),Tablas!$G$9:$K$1240,5,0)*(INT(D146)+1-D146))/(VLOOKUP(INT($C$5)+1,Tablas!$G$9:$K$1240,5,0)*($C$5-INT($C$5))+VLOOKUP(INT($C$5),Tablas!$G$9:$K$124,5,0)*(INT($C$5)+1-$C$5)),(+VLOOKUP(INT(D146)+1,Tablas!$G$9:$O$1240,9,0)*(D146-INT(D146))+VLOOKUP(INT(D146),Tablas!$G$9:$O$1240,9,0)*(INT(D146)+1-D146))/(VLOOKUP(INT($C$5)+1,Tablas!$G$9:$O$1240,9,0)*($C$5-INT($C$5))+VLOOKUP(INT($C$5),Tablas!$G$9:$O$124,9,0)*(INT($C$5)+1-$C$5)))</f>
        <v>0.93256204665842446</v>
      </c>
      <c r="G146" s="97">
        <f ca="1">IF($C$4="Hombre",(+VLOOKUP(INT(D146)+1,Tablas!$G$9:$K$1240,5,0)*(D146-INT(D146))+VLOOKUP(INT(D146),Tablas!$G$9:$K$1240,5,0)*(INT(D146)+1-D146)),+VLOOKUP(INT(D146)+1,Tablas!$G$9:$O$1240,9,0)*(D146-INT(D146))+VLOOKUP(INT(D146),Tablas!$G$9:$O$1240,9,0)*(INT(D146)+1-D146))</f>
        <v>861051.19445924065</v>
      </c>
      <c r="H146" s="105">
        <f t="shared" ref="H146:H209" ca="1" si="18">+IF(MONTH(B146)=1,H145*(1+$C$9),H145)</f>
        <v>1</v>
      </c>
      <c r="I146" s="106">
        <f t="shared" ref="I146:I209" ca="1" si="19">IF(B146&lt;$C$10,0,IF(B146&lt;$C$11,$C$8/12*E146*F146*H146,0))</f>
        <v>6.6141869636740028E-2</v>
      </c>
      <c r="J146" s="106">
        <f t="shared" ca="1" si="15"/>
        <v>5.6693031117205743E-2</v>
      </c>
      <c r="K146" s="105">
        <f t="shared" ref="K146:K209" ca="1" si="20">G146/$G$15</f>
        <v>0.93256204665842446</v>
      </c>
      <c r="L146" s="75"/>
    </row>
    <row r="147" spans="2:12">
      <c r="B147" s="101">
        <f t="shared" ref="B147:B210" ca="1" si="21">+DATE(YEAR(B146),MONTH(B146)+1,DAY(B146))</f>
        <v>56737</v>
      </c>
      <c r="C147" s="101">
        <f t="shared" ref="C147:C210" ca="1" si="22">+B148-1</f>
        <v>56767</v>
      </c>
      <c r="D147" s="102">
        <f t="shared" ca="1" si="16"/>
        <v>77.913757700205338</v>
      </c>
      <c r="E147" s="103">
        <f t="shared" ca="1" si="17"/>
        <v>0.85002398754988739</v>
      </c>
      <c r="F147" s="104">
        <f ca="1">IF($C$4="Hombre",(+VLOOKUP(INT(D147)+1,Tablas!$G$9:$K$1240,5,0)*(D147-INT(D147))+VLOOKUP(INT(D147),Tablas!$G$9:$K$1240,5,0)*(INT(D147)+1-D147))/(VLOOKUP(INT($C$5)+1,Tablas!$G$9:$K$1240,5,0)*($C$5-INT($C$5))+VLOOKUP(INT($C$5),Tablas!$G$9:$K$124,5,0)*(INT($C$5)+1-$C$5)),(+VLOOKUP(INT(D147)+1,Tablas!$G$9:$O$1240,9,0)*(D147-INT(D147))+VLOOKUP(INT(D147),Tablas!$G$9:$O$1240,9,0)*(INT(D147)+1-D147))/(VLOOKUP(INT($C$5)+1,Tablas!$G$9:$O$1240,9,0)*($C$5-INT($C$5))+VLOOKUP(INT($C$5),Tablas!$G$9:$O$124,9,0)*(INT($C$5)+1-$C$5)))</f>
        <v>0.93171975546608443</v>
      </c>
      <c r="G147" s="97">
        <f ca="1">IF($C$4="Hombre",(+VLOOKUP(INT(D147)+1,Tablas!$G$9:$K$1240,5,0)*(D147-INT(D147))+VLOOKUP(INT(D147),Tablas!$G$9:$K$1240,5,0)*(INT(D147)+1-D147)),+VLOOKUP(INT(D147)+1,Tablas!$G$9:$O$1240,9,0)*(D147-INT(D147))+VLOOKUP(INT(D147),Tablas!$G$9:$O$1240,9,0)*(INT(D147)+1-D147))</f>
        <v>860273.49195692921</v>
      </c>
      <c r="H147" s="105">
        <f t="shared" ca="1" si="18"/>
        <v>1</v>
      </c>
      <c r="I147" s="106">
        <f t="shared" ca="1" si="19"/>
        <v>6.5998678485023929E-2</v>
      </c>
      <c r="J147" s="106">
        <f t="shared" ref="J147:J210" ca="1" si="23">I147*12/14+IF(OR(MONTH(C147)=6,MONTH(C147)=12),I147*12/14,0)</f>
        <v>0.11314059168861244</v>
      </c>
      <c r="K147" s="105">
        <f t="shared" ca="1" si="20"/>
        <v>0.93171975546608443</v>
      </c>
      <c r="L147" s="75"/>
    </row>
    <row r="148" spans="2:12">
      <c r="B148" s="101">
        <f t="shared" ca="1" si="21"/>
        <v>56768</v>
      </c>
      <c r="C148" s="101">
        <f t="shared" ca="1" si="22"/>
        <v>56797</v>
      </c>
      <c r="D148" s="102">
        <f t="shared" ca="1" si="16"/>
        <v>77.995893223819309</v>
      </c>
      <c r="E148" s="103">
        <f t="shared" ca="1" si="17"/>
        <v>0.84898514215345544</v>
      </c>
      <c r="F148" s="104">
        <f ca="1">IF($C$4="Hombre",(+VLOOKUP(INT(D148)+1,Tablas!$G$9:$K$1240,5,0)*(D148-INT(D148))+VLOOKUP(INT(D148),Tablas!$G$9:$K$1240,5,0)*(INT(D148)+1-D148))/(VLOOKUP(INT($C$5)+1,Tablas!$G$9:$K$1240,5,0)*($C$5-INT($C$5))+VLOOKUP(INT($C$5),Tablas!$G$9:$K$124,5,0)*(INT($C$5)+1-$C$5)),(+VLOOKUP(INT(D148)+1,Tablas!$G$9:$O$1240,9,0)*(D148-INT(D148))+VLOOKUP(INT(D148),Tablas!$G$9:$O$1240,9,0)*(INT(D148)+1-D148))/(VLOOKUP(INT($C$5)+1,Tablas!$G$9:$O$1240,9,0)*($C$5-INT($C$5))+VLOOKUP(INT($C$5),Tablas!$G$9:$O$124,9,0)*(INT($C$5)+1-$C$5)))</f>
        <v>0.93090463495736819</v>
      </c>
      <c r="G148" s="97">
        <f ca="1">IF($C$4="Hombre",(+VLOOKUP(INT(D148)+1,Tablas!$G$9:$K$1240,5,0)*(D148-INT(D148))+VLOOKUP(INT(D148),Tablas!$G$9:$K$1240,5,0)*(INT(D148)+1-D148)),+VLOOKUP(INT(D148)+1,Tablas!$G$9:$O$1240,9,0)*(D148-INT(D148))+VLOOKUP(INT(D148),Tablas!$G$9:$O$1240,9,0)*(INT(D148)+1-D148))</f>
        <v>859520.87663211173</v>
      </c>
      <c r="H148" s="105">
        <f t="shared" ca="1" si="18"/>
        <v>1</v>
      </c>
      <c r="I148" s="106">
        <f t="shared" ca="1" si="19"/>
        <v>6.5860350320049305E-2</v>
      </c>
      <c r="J148" s="106">
        <f t="shared" ca="1" si="23"/>
        <v>5.6451728845756548E-2</v>
      </c>
      <c r="K148" s="105">
        <f t="shared" ca="1" si="20"/>
        <v>0.93090463495736819</v>
      </c>
      <c r="L148" s="75"/>
    </row>
    <row r="149" spans="2:12">
      <c r="B149" s="101">
        <f t="shared" ca="1" si="21"/>
        <v>56798</v>
      </c>
      <c r="C149" s="101">
        <f t="shared" ca="1" si="22"/>
        <v>56828</v>
      </c>
      <c r="D149" s="102">
        <f t="shared" ca="1" si="16"/>
        <v>78.080766598220393</v>
      </c>
      <c r="E149" s="103">
        <f t="shared" ca="1" si="17"/>
        <v>0.84791300235585654</v>
      </c>
      <c r="F149" s="104">
        <f ca="1">IF($C$4="Hombre",(+VLOOKUP(INT(D149)+1,Tablas!$G$9:$K$1240,5,0)*(D149-INT(D149))+VLOOKUP(INT(D149),Tablas!$G$9:$K$1240,5,0)*(INT(D149)+1-D149))/(VLOOKUP(INT($C$5)+1,Tablas!$G$9:$K$1240,5,0)*($C$5-INT($C$5))+VLOOKUP(INT($C$5),Tablas!$G$9:$K$124,5,0)*(INT($C$5)+1-$C$5)),(+VLOOKUP(INT(D149)+1,Tablas!$G$9:$O$1240,9,0)*(D149-INT(D149))+VLOOKUP(INT(D149),Tablas!$G$9:$O$1240,9,0)*(INT(D149)+1-D149))/(VLOOKUP(INT($C$5)+1,Tablas!$G$9:$O$1240,9,0)*($C$5-INT($C$5))+VLOOKUP(INT($C$5),Tablas!$G$9:$O$124,9,0)*(INT($C$5)+1-$C$5)))</f>
        <v>0.92995580913174003</v>
      </c>
      <c r="G149" s="97">
        <f ca="1">IF($C$4="Hombre",(+VLOOKUP(INT(D149)+1,Tablas!$G$9:$K$1240,5,0)*(D149-INT(D149))+VLOOKUP(INT(D149),Tablas!$G$9:$K$1240,5,0)*(INT(D149)+1-D149)),+VLOOKUP(INT(D149)+1,Tablas!$G$9:$O$1240,9,0)*(D149-INT(D149))+VLOOKUP(INT(D149),Tablas!$G$9:$O$1240,9,0)*(INT(D149)+1-D149))</f>
        <v>858644.80880003725</v>
      </c>
      <c r="H149" s="105">
        <f t="shared" ca="1" si="18"/>
        <v>1</v>
      </c>
      <c r="I149" s="106">
        <f t="shared" ca="1" si="19"/>
        <v>6.5710135181596963E-2</v>
      </c>
      <c r="J149" s="106">
        <f t="shared" ca="1" si="23"/>
        <v>5.6322973012797393E-2</v>
      </c>
      <c r="K149" s="105">
        <f t="shared" ca="1" si="20"/>
        <v>0.92995580913174003</v>
      </c>
      <c r="L149" s="75"/>
    </row>
    <row r="150" spans="2:12">
      <c r="B150" s="101">
        <f t="shared" ca="1" si="21"/>
        <v>56829</v>
      </c>
      <c r="C150" s="101">
        <f t="shared" ca="1" si="22"/>
        <v>56859</v>
      </c>
      <c r="D150" s="102">
        <f t="shared" ca="1" si="16"/>
        <v>78.165639972621491</v>
      </c>
      <c r="E150" s="103">
        <f t="shared" ca="1" si="17"/>
        <v>0.84684221650862557</v>
      </c>
      <c r="F150" s="104">
        <f ca="1">IF($C$4="Hombre",(+VLOOKUP(INT(D150)+1,Tablas!$G$9:$K$1240,5,0)*(D150-INT(D150))+VLOOKUP(INT(D150),Tablas!$G$9:$K$1240,5,0)*(INT(D150)+1-D150))/(VLOOKUP(INT($C$5)+1,Tablas!$G$9:$K$1240,5,0)*($C$5-INT($C$5))+VLOOKUP(INT($C$5),Tablas!$G$9:$K$124,5,0)*(INT($C$5)+1-$C$5)),(+VLOOKUP(INT(D150)+1,Tablas!$G$9:$O$1240,9,0)*(D150-INT(D150))+VLOOKUP(INT(D150),Tablas!$G$9:$O$1240,9,0)*(INT(D150)+1-D150))/(VLOOKUP(INT($C$5)+1,Tablas!$G$9:$O$1240,9,0)*($C$5-INT($C$5))+VLOOKUP(INT($C$5),Tablas!$G$9:$O$124,9,0)*(INT($C$5)+1-$C$5)))</f>
        <v>0.9290015662908595</v>
      </c>
      <c r="G150" s="97">
        <f ca="1">IF($C$4="Hombre",(+VLOOKUP(INT(D150)+1,Tablas!$G$9:$K$1240,5,0)*(D150-INT(D150))+VLOOKUP(INT(D150),Tablas!$G$9:$K$1240,5,0)*(INT(D150)+1-D150)),+VLOOKUP(INT(D150)+1,Tablas!$G$9:$O$1240,9,0)*(D150-INT(D150))+VLOOKUP(INT(D150),Tablas!$G$9:$O$1240,9,0)*(INT(D150)+1-D150))</f>
        <v>857763.73934102536</v>
      </c>
      <c r="H150" s="105">
        <f t="shared" ca="1" si="18"/>
        <v>1</v>
      </c>
      <c r="I150" s="106">
        <f t="shared" ca="1" si="19"/>
        <v>6.5559812128144698E-2</v>
      </c>
      <c r="J150" s="106">
        <f t="shared" ca="1" si="23"/>
        <v>5.6194124681266881E-2</v>
      </c>
      <c r="K150" s="105">
        <f t="shared" ca="1" si="20"/>
        <v>0.9290015662908595</v>
      </c>
      <c r="L150" s="75"/>
    </row>
    <row r="151" spans="2:12">
      <c r="B151" s="101">
        <f t="shared" ca="1" si="21"/>
        <v>56860</v>
      </c>
      <c r="C151" s="101">
        <f t="shared" ca="1" si="22"/>
        <v>56889</v>
      </c>
      <c r="D151" s="102">
        <f t="shared" ca="1" si="16"/>
        <v>78.247775496235448</v>
      </c>
      <c r="E151" s="103">
        <f t="shared" ca="1" si="17"/>
        <v>0.84580725967092529</v>
      </c>
      <c r="F151" s="104">
        <f ca="1">IF($C$4="Hombre",(+VLOOKUP(INT(D151)+1,Tablas!$G$9:$K$1240,5,0)*(D151-INT(D151))+VLOOKUP(INT(D151),Tablas!$G$9:$K$1240,5,0)*(INT(D151)+1-D151))/(VLOOKUP(INT($C$5)+1,Tablas!$G$9:$K$1240,5,0)*($C$5-INT($C$5))+VLOOKUP(INT($C$5),Tablas!$G$9:$K$124,5,0)*(INT($C$5)+1-$C$5)),(+VLOOKUP(INT(D151)+1,Tablas!$G$9:$O$1240,9,0)*(D151-INT(D151))+VLOOKUP(INT(D151),Tablas!$G$9:$O$1240,9,0)*(INT(D151)+1-D151))/(VLOOKUP(INT($C$5)+1,Tablas!$G$9:$O$1240,9,0)*($C$5-INT($C$5))+VLOOKUP(INT($C$5),Tablas!$G$9:$O$124,9,0)*(INT($C$5)+1-$C$5)))</f>
        <v>0.92807810547710423</v>
      </c>
      <c r="G151" s="97">
        <f ca="1">IF($C$4="Hombre",(+VLOOKUP(INT(D151)+1,Tablas!$G$9:$K$1240,5,0)*(D151-INT(D151))+VLOOKUP(INT(D151),Tablas!$G$9:$K$1240,5,0)*(INT(D151)+1-D151)),+VLOOKUP(INT(D151)+1,Tablas!$G$9:$O$1240,9,0)*(D151-INT(D151))+VLOOKUP(INT(D151),Tablas!$G$9:$O$1240,9,0)*(INT(D151)+1-D151))</f>
        <v>856911.09147746558</v>
      </c>
      <c r="H151" s="105">
        <f t="shared" ca="1" si="18"/>
        <v>1</v>
      </c>
      <c r="I151" s="106">
        <f t="shared" ca="1" si="19"/>
        <v>6.5414599929514455E-2</v>
      </c>
      <c r="J151" s="106">
        <f t="shared" ca="1" si="23"/>
        <v>5.6069657082440959E-2</v>
      </c>
      <c r="K151" s="105">
        <f t="shared" ca="1" si="20"/>
        <v>0.92807810547710423</v>
      </c>
      <c r="L151" s="75"/>
    </row>
    <row r="152" spans="2:12">
      <c r="B152" s="101">
        <f t="shared" ca="1" si="21"/>
        <v>56890</v>
      </c>
      <c r="C152" s="101">
        <f t="shared" ca="1" si="22"/>
        <v>56920</v>
      </c>
      <c r="D152" s="102">
        <f t="shared" ca="1" si="16"/>
        <v>78.332648870636547</v>
      </c>
      <c r="E152" s="103">
        <f t="shared" ca="1" si="17"/>
        <v>0.8447391330581423</v>
      </c>
      <c r="F152" s="104">
        <f ca="1">IF($C$4="Hombre",(+VLOOKUP(INT(D152)+1,Tablas!$G$9:$K$1240,5,0)*(D152-INT(D152))+VLOOKUP(INT(D152),Tablas!$G$9:$K$1240,5,0)*(INT(D152)+1-D152))/(VLOOKUP(INT($C$5)+1,Tablas!$G$9:$K$1240,5,0)*($C$5-INT($C$5))+VLOOKUP(INT($C$5),Tablas!$G$9:$K$124,5,0)*(INT($C$5)+1-$C$5)),(+VLOOKUP(INT(D152)+1,Tablas!$G$9:$O$1240,9,0)*(D152-INT(D152))+VLOOKUP(INT(D152),Tablas!$G$9:$O$1240,9,0)*(INT(D152)+1-D152))/(VLOOKUP(INT($C$5)+1,Tablas!$G$9:$O$1240,9,0)*($C$5-INT($C$5))+VLOOKUP(INT($C$5),Tablas!$G$9:$O$124,9,0)*(INT($C$5)+1-$C$5)))</f>
        <v>0.92712386263622382</v>
      </c>
      <c r="G152" s="97">
        <f ca="1">IF($C$4="Hombre",(+VLOOKUP(INT(D152)+1,Tablas!$G$9:$K$1240,5,0)*(D152-INT(D152))+VLOOKUP(INT(D152),Tablas!$G$9:$K$1240,5,0)*(INT(D152)+1-D152)),+VLOOKUP(INT(D152)+1,Tablas!$G$9:$O$1240,9,0)*(D152-INT(D152))+VLOOKUP(INT(D152),Tablas!$G$9:$O$1240,9,0)*(INT(D152)+1-D152))</f>
        <v>856030.0220184538</v>
      </c>
      <c r="H152" s="105">
        <f t="shared" ca="1" si="18"/>
        <v>1</v>
      </c>
      <c r="I152" s="106">
        <f t="shared" ca="1" si="19"/>
        <v>6.5264817330069988E-2</v>
      </c>
      <c r="J152" s="106">
        <f t="shared" ca="1" si="23"/>
        <v>5.5941271997202842E-2</v>
      </c>
      <c r="K152" s="105">
        <f t="shared" ca="1" si="20"/>
        <v>0.92712386263622382</v>
      </c>
      <c r="L152" s="75"/>
    </row>
    <row r="153" spans="2:12">
      <c r="B153" s="101">
        <f t="shared" ca="1" si="21"/>
        <v>56921</v>
      </c>
      <c r="C153" s="101">
        <f t="shared" ca="1" si="22"/>
        <v>56950</v>
      </c>
      <c r="D153" s="102">
        <f t="shared" ca="1" si="16"/>
        <v>78.414784394250518</v>
      </c>
      <c r="E153" s="103">
        <f t="shared" ca="1" si="17"/>
        <v>0.84370674647562616</v>
      </c>
      <c r="F153" s="104">
        <f ca="1">IF($C$4="Hombre",(+VLOOKUP(INT(D153)+1,Tablas!$G$9:$K$1240,5,0)*(D153-INT(D153))+VLOOKUP(INT(D153),Tablas!$G$9:$K$1240,5,0)*(INT(D153)+1-D153))/(VLOOKUP(INT($C$5)+1,Tablas!$G$9:$K$1240,5,0)*($C$5-INT($C$5))+VLOOKUP(INT($C$5),Tablas!$G$9:$K$124,5,0)*(INT($C$5)+1-$C$5)),(+VLOOKUP(INT(D153)+1,Tablas!$G$9:$O$1240,9,0)*(D153-INT(D153))+VLOOKUP(INT(D153),Tablas!$G$9:$O$1240,9,0)*(INT(D153)+1-D153))/(VLOOKUP(INT($C$5)+1,Tablas!$G$9:$O$1240,9,0)*($C$5-INT($C$5))+VLOOKUP(INT($C$5),Tablas!$G$9:$O$124,9,0)*(INT($C$5)+1-$C$5)))</f>
        <v>0.92620040182246832</v>
      </c>
      <c r="G153" s="97">
        <f ca="1">IF($C$4="Hombre",(+VLOOKUP(INT(D153)+1,Tablas!$G$9:$K$1240,5,0)*(D153-INT(D153))+VLOOKUP(INT(D153),Tablas!$G$9:$K$1240,5,0)*(INT(D153)+1-D153)),+VLOOKUP(INT(D153)+1,Tablas!$G$9:$O$1240,9,0)*(D153-INT(D153))+VLOOKUP(INT(D153),Tablas!$G$9:$O$1240,9,0)*(INT(D153)+1-D153))</f>
        <v>855177.3741548938</v>
      </c>
      <c r="H153" s="105">
        <f t="shared" ca="1" si="18"/>
        <v>1</v>
      </c>
      <c r="I153" s="106">
        <f t="shared" ca="1" si="19"/>
        <v>6.5120127300504357E-2</v>
      </c>
      <c r="J153" s="106">
        <f t="shared" ca="1" si="23"/>
        <v>0.11163450394372175</v>
      </c>
      <c r="K153" s="105">
        <f t="shared" ca="1" si="20"/>
        <v>0.92620040182246832</v>
      </c>
      <c r="L153" s="75"/>
    </row>
    <row r="154" spans="2:12">
      <c r="B154" s="101">
        <f t="shared" ca="1" si="21"/>
        <v>56951</v>
      </c>
      <c r="C154" s="101">
        <f t="shared" ca="1" si="22"/>
        <v>56981</v>
      </c>
      <c r="D154" s="102">
        <f t="shared" ca="1" si="16"/>
        <v>78.499657768651602</v>
      </c>
      <c r="E154" s="103">
        <f t="shared" ca="1" si="17"/>
        <v>0.84264127249323728</v>
      </c>
      <c r="F154" s="104">
        <f ca="1">IF($C$4="Hombre",(+VLOOKUP(INT(D154)+1,Tablas!$G$9:$K$1240,5,0)*(D154-INT(D154))+VLOOKUP(INT(D154),Tablas!$G$9:$K$1240,5,0)*(INT(D154)+1-D154))/(VLOOKUP(INT($C$5)+1,Tablas!$G$9:$K$1240,5,0)*($C$5-INT($C$5))+VLOOKUP(INT($C$5),Tablas!$G$9:$K$124,5,0)*(INT($C$5)+1-$C$5)),(+VLOOKUP(INT(D154)+1,Tablas!$G$9:$O$1240,9,0)*(D154-INT(D154))+VLOOKUP(INT(D154),Tablas!$G$9:$O$1240,9,0)*(INT(D154)+1-D154))/(VLOOKUP(INT($C$5)+1,Tablas!$G$9:$O$1240,9,0)*($C$5-INT($C$5))+VLOOKUP(INT($C$5),Tablas!$G$9:$O$124,9,0)*(INT($C$5)+1-$C$5)))</f>
        <v>0.92524615898158802</v>
      </c>
      <c r="G154" s="97">
        <f ca="1">IF($C$4="Hombre",(+VLOOKUP(INT(D154)+1,Tablas!$G$9:$K$1240,5,0)*(D154-INT(D154))+VLOOKUP(INT(D154),Tablas!$G$9:$K$1240,5,0)*(INT(D154)+1-D154)),+VLOOKUP(INT(D154)+1,Tablas!$G$9:$O$1240,9,0)*(D154-INT(D154))+VLOOKUP(INT(D154),Tablas!$G$9:$O$1240,9,0)*(INT(D154)+1-D154))</f>
        <v>854296.30469588214</v>
      </c>
      <c r="H154" s="105">
        <f t="shared" ca="1" si="18"/>
        <v>1</v>
      </c>
      <c r="I154" s="106">
        <f t="shared" ca="1" si="19"/>
        <v>6.4970883397810444E-2</v>
      </c>
      <c r="J154" s="106">
        <f t="shared" ca="1" si="23"/>
        <v>5.5689328626694672E-2</v>
      </c>
      <c r="K154" s="105">
        <f t="shared" ca="1" si="20"/>
        <v>0.92524615898158802</v>
      </c>
      <c r="L154" s="75"/>
    </row>
    <row r="155" spans="2:12">
      <c r="B155" s="101">
        <f t="shared" ca="1" si="21"/>
        <v>56982</v>
      </c>
      <c r="C155" s="101">
        <f t="shared" ca="1" si="22"/>
        <v>57012</v>
      </c>
      <c r="D155" s="102">
        <f t="shared" ca="1" si="16"/>
        <v>78.5845311430527</v>
      </c>
      <c r="E155" s="103">
        <f t="shared" ca="1" si="17"/>
        <v>0.84157714404330008</v>
      </c>
      <c r="F155" s="104">
        <f ca="1">IF($C$4="Hombre",(+VLOOKUP(INT(D155)+1,Tablas!$G$9:$K$1240,5,0)*(D155-INT(D155))+VLOOKUP(INT(D155),Tablas!$G$9:$K$1240,5,0)*(INT(D155)+1-D155))/(VLOOKUP(INT($C$5)+1,Tablas!$G$9:$K$1240,5,0)*($C$5-INT($C$5))+VLOOKUP(INT($C$5),Tablas!$G$9:$K$124,5,0)*(INT($C$5)+1-$C$5)),(+VLOOKUP(INT(D155)+1,Tablas!$G$9:$O$1240,9,0)*(D155-INT(D155))+VLOOKUP(INT(D155),Tablas!$G$9:$O$1240,9,0)*(INT(D155)+1-D155))/(VLOOKUP(INT($C$5)+1,Tablas!$G$9:$O$1240,9,0)*($C$5-INT($C$5))+VLOOKUP(INT($C$5),Tablas!$G$9:$O$124,9,0)*(INT($C$5)+1-$C$5)))</f>
        <v>0.92429191614070749</v>
      </c>
      <c r="G155" s="97">
        <f ca="1">IF($C$4="Hombre",(+VLOOKUP(INT(D155)+1,Tablas!$G$9:$K$1240,5,0)*(D155-INT(D155))+VLOOKUP(INT(D155),Tablas!$G$9:$K$1240,5,0)*(INT(D155)+1-D155)),+VLOOKUP(INT(D155)+1,Tablas!$G$9:$O$1240,9,0)*(D155-INT(D155))+VLOOKUP(INT(D155),Tablas!$G$9:$O$1240,9,0)*(INT(D155)+1-D155))</f>
        <v>853415.23523687024</v>
      </c>
      <c r="H155" s="105">
        <f t="shared" ca="1" si="18"/>
        <v>1</v>
      </c>
      <c r="I155" s="106">
        <f t="shared" ca="1" si="19"/>
        <v>6.482191258733383E-2</v>
      </c>
      <c r="J155" s="106">
        <f t="shared" ca="1" si="23"/>
        <v>5.5561639360571853E-2</v>
      </c>
      <c r="K155" s="105">
        <f t="shared" ca="1" si="20"/>
        <v>0.92429191614070749</v>
      </c>
      <c r="L155" s="75"/>
    </row>
    <row r="156" spans="2:12">
      <c r="B156" s="101">
        <f t="shared" ca="1" si="21"/>
        <v>57013</v>
      </c>
      <c r="C156" s="101">
        <f t="shared" ca="1" si="22"/>
        <v>57041</v>
      </c>
      <c r="D156" s="102">
        <f t="shared" ca="1" si="16"/>
        <v>78.66392881587953</v>
      </c>
      <c r="E156" s="103">
        <f t="shared" ca="1" si="17"/>
        <v>0.84058288565640527</v>
      </c>
      <c r="F156" s="104">
        <f ca="1">IF($C$4="Hombre",(+VLOOKUP(INT(D156)+1,Tablas!$G$9:$K$1240,5,0)*(D156-INT(D156))+VLOOKUP(INT(D156),Tablas!$G$9:$K$1240,5,0)*(INT(D156)+1-D156))/(VLOOKUP(INT($C$5)+1,Tablas!$G$9:$K$1240,5,0)*($C$5-INT($C$5))+VLOOKUP(INT($C$5),Tablas!$G$9:$K$124,5,0)*(INT($C$5)+1-$C$5)),(+VLOOKUP(INT(D156)+1,Tablas!$G$9:$O$1240,9,0)*(D156-INT(D156))+VLOOKUP(INT(D156),Tablas!$G$9:$O$1240,9,0)*(INT(D156)+1-D156))/(VLOOKUP(INT($C$5)+1,Tablas!$G$9:$O$1240,9,0)*($C$5-INT($C$5))+VLOOKUP(INT($C$5),Tablas!$G$9:$O$124,9,0)*(INT($C$5)+1-$C$5)))</f>
        <v>0.92339923735407747</v>
      </c>
      <c r="G156" s="97">
        <f ca="1">IF($C$4="Hombre",(+VLOOKUP(INT(D156)+1,Tablas!$G$9:$K$1240,5,0)*(D156-INT(D156))+VLOOKUP(INT(D156),Tablas!$G$9:$K$1240,5,0)*(INT(D156)+1-D156)),+VLOOKUP(INT(D156)+1,Tablas!$G$9:$O$1240,9,0)*(D156-INT(D156))+VLOOKUP(INT(D156),Tablas!$G$9:$O$1240,9,0)*(INT(D156)+1-D156))</f>
        <v>852591.00896876247</v>
      </c>
      <c r="H156" s="105">
        <f t="shared" ca="1" si="18"/>
        <v>1</v>
      </c>
      <c r="I156" s="106">
        <f t="shared" ca="1" si="19"/>
        <v>6.4682799629001184E-2</v>
      </c>
      <c r="J156" s="106">
        <f t="shared" ca="1" si="23"/>
        <v>5.5442399682001008E-2</v>
      </c>
      <c r="K156" s="105">
        <f t="shared" ca="1" si="20"/>
        <v>0.92339923735407747</v>
      </c>
      <c r="L156" s="75"/>
    </row>
    <row r="157" spans="2:12">
      <c r="B157" s="101">
        <f t="shared" ca="1" si="21"/>
        <v>57042</v>
      </c>
      <c r="C157" s="101">
        <f t="shared" ca="1" si="22"/>
        <v>57072</v>
      </c>
      <c r="D157" s="102">
        <f t="shared" ca="1" si="16"/>
        <v>78.748802190280628</v>
      </c>
      <c r="E157" s="103">
        <f t="shared" ca="1" si="17"/>
        <v>0.83952135663764416</v>
      </c>
      <c r="F157" s="104">
        <f ca="1">IF($C$4="Hombre",(+VLOOKUP(INT(D157)+1,Tablas!$G$9:$K$1240,5,0)*(D157-INT(D157))+VLOOKUP(INT(D157),Tablas!$G$9:$K$1240,5,0)*(INT(D157)+1-D157))/(VLOOKUP(INT($C$5)+1,Tablas!$G$9:$K$1240,5,0)*($C$5-INT($C$5))+VLOOKUP(INT($C$5),Tablas!$G$9:$K$124,5,0)*(INT($C$5)+1-$C$5)),(+VLOOKUP(INT(D157)+1,Tablas!$G$9:$O$1240,9,0)*(D157-INT(D157))+VLOOKUP(INT(D157),Tablas!$G$9:$O$1240,9,0)*(INT(D157)+1-D157))/(VLOOKUP(INT($C$5)+1,Tablas!$G$9:$O$1240,9,0)*($C$5-INT($C$5))+VLOOKUP(INT($C$5),Tablas!$G$9:$O$124,9,0)*(INT($C$5)+1-$C$5)))</f>
        <v>0.92244499451319695</v>
      </c>
      <c r="G157" s="97">
        <f ca="1">IF($C$4="Hombre",(+VLOOKUP(INT(D157)+1,Tablas!$G$9:$K$1240,5,0)*(D157-INT(D157))+VLOOKUP(INT(D157),Tablas!$G$9:$K$1240,5,0)*(INT(D157)+1-D157)),+VLOOKUP(INT(D157)+1,Tablas!$G$9:$O$1240,9,0)*(D157-INT(D157))+VLOOKUP(INT(D157),Tablas!$G$9:$O$1240,9,0)*(INT(D157)+1-D157))</f>
        <v>851709.93950975058</v>
      </c>
      <c r="H157" s="105">
        <f t="shared" ca="1" si="18"/>
        <v>1</v>
      </c>
      <c r="I157" s="106">
        <f t="shared" ca="1" si="19"/>
        <v>6.4534356101443605E-2</v>
      </c>
      <c r="J157" s="106">
        <f t="shared" ca="1" si="23"/>
        <v>5.5315162372665948E-2</v>
      </c>
      <c r="K157" s="105">
        <f t="shared" ca="1" si="20"/>
        <v>0.92244499451319695</v>
      </c>
      <c r="L157" s="75"/>
    </row>
    <row r="158" spans="2:12">
      <c r="B158" s="101">
        <f t="shared" ca="1" si="21"/>
        <v>57073</v>
      </c>
      <c r="C158" s="101">
        <f t="shared" ca="1" si="22"/>
        <v>57102</v>
      </c>
      <c r="D158" s="102">
        <f t="shared" ca="1" si="16"/>
        <v>78.830937713894599</v>
      </c>
      <c r="E158" s="103">
        <f t="shared" ca="1" si="17"/>
        <v>0.83849534689048044</v>
      </c>
      <c r="F158" s="104">
        <f ca="1">IF($C$4="Hombre",(+VLOOKUP(INT(D158)+1,Tablas!$G$9:$K$1240,5,0)*(D158-INT(D158))+VLOOKUP(INT(D158),Tablas!$G$9:$K$1240,5,0)*(INT(D158)+1-D158))/(VLOOKUP(INT($C$5)+1,Tablas!$G$9:$K$1240,5,0)*($C$5-INT($C$5))+VLOOKUP(INT($C$5),Tablas!$G$9:$K$124,5,0)*(INT($C$5)+1-$C$5)),(+VLOOKUP(INT(D158)+1,Tablas!$G$9:$O$1240,9,0)*(D158-INT(D158))+VLOOKUP(INT(D158),Tablas!$G$9:$O$1240,9,0)*(INT(D158)+1-D158))/(VLOOKUP(INT($C$5)+1,Tablas!$G$9:$O$1240,9,0)*($C$5-INT($C$5))+VLOOKUP(INT($C$5),Tablas!$G$9:$O$124,9,0)*(INT($C$5)+1-$C$5)))</f>
        <v>0.92152153369944168</v>
      </c>
      <c r="G158" s="97">
        <f ca="1">IF($C$4="Hombre",(+VLOOKUP(INT(D158)+1,Tablas!$G$9:$K$1240,5,0)*(D158-INT(D158))+VLOOKUP(INT(D158),Tablas!$G$9:$K$1240,5,0)*(INT(D158)+1-D158)),+VLOOKUP(INT(D158)+1,Tablas!$G$9:$O$1240,9,0)*(D158-INT(D158))+VLOOKUP(INT(D158),Tablas!$G$9:$O$1240,9,0)*(INT(D158)+1-D158))</f>
        <v>850857.29164619069</v>
      </c>
      <c r="H158" s="105">
        <f t="shared" ca="1" si="18"/>
        <v>1</v>
      </c>
      <c r="I158" s="106">
        <f t="shared" ca="1" si="19"/>
        <v>6.4390959838863407E-2</v>
      </c>
      <c r="J158" s="106">
        <f t="shared" ca="1" si="23"/>
        <v>5.5192251290454353E-2</v>
      </c>
      <c r="K158" s="105">
        <f t="shared" ca="1" si="20"/>
        <v>0.92152153369944168</v>
      </c>
      <c r="L158" s="75"/>
    </row>
    <row r="159" spans="2:12">
      <c r="B159" s="101">
        <f t="shared" ca="1" si="21"/>
        <v>57103</v>
      </c>
      <c r="C159" s="101">
        <f t="shared" ca="1" si="22"/>
        <v>57133</v>
      </c>
      <c r="D159" s="102">
        <f t="shared" ca="1" si="16"/>
        <v>78.915811088295683</v>
      </c>
      <c r="E159" s="103">
        <f t="shared" ca="1" si="17"/>
        <v>0.83743645411737189</v>
      </c>
      <c r="F159" s="104">
        <f ca="1">IF($C$4="Hombre",(+VLOOKUP(INT(D159)+1,Tablas!$G$9:$K$1240,5,0)*(D159-INT(D159))+VLOOKUP(INT(D159),Tablas!$G$9:$K$1240,5,0)*(INT(D159)+1-D159))/(VLOOKUP(INT($C$5)+1,Tablas!$G$9:$K$1240,5,0)*($C$5-INT($C$5))+VLOOKUP(INT($C$5),Tablas!$G$9:$K$124,5,0)*(INT($C$5)+1-$C$5)),(+VLOOKUP(INT(D159)+1,Tablas!$G$9:$O$1240,9,0)*(D159-INT(D159))+VLOOKUP(INT(D159),Tablas!$G$9:$O$1240,9,0)*(INT(D159)+1-D159))/(VLOOKUP(INT($C$5)+1,Tablas!$G$9:$O$1240,9,0)*($C$5-INT($C$5))+VLOOKUP(INT($C$5),Tablas!$G$9:$O$124,9,0)*(INT($C$5)+1-$C$5)))</f>
        <v>0.92056729085856137</v>
      </c>
      <c r="G159" s="97">
        <f ca="1">IF($C$4="Hombre",(+VLOOKUP(INT(D159)+1,Tablas!$G$9:$K$1240,5,0)*(D159-INT(D159))+VLOOKUP(INT(D159),Tablas!$G$9:$K$1240,5,0)*(INT(D159)+1-D159)),+VLOOKUP(INT(D159)+1,Tablas!$G$9:$O$1240,9,0)*(D159-INT(D159))+VLOOKUP(INT(D159),Tablas!$G$9:$O$1240,9,0)*(INT(D159)+1-D159))</f>
        <v>849976.22218717902</v>
      </c>
      <c r="H159" s="105">
        <f t="shared" ca="1" si="18"/>
        <v>1</v>
      </c>
      <c r="I159" s="106">
        <f t="shared" ca="1" si="19"/>
        <v>6.4243050652752404E-2</v>
      </c>
      <c r="J159" s="106">
        <f t="shared" ca="1" si="23"/>
        <v>0.11013094397614698</v>
      </c>
      <c r="K159" s="105">
        <f t="shared" ca="1" si="20"/>
        <v>0.92056729085856137</v>
      </c>
      <c r="L159" s="75"/>
    </row>
    <row r="160" spans="2:12">
      <c r="B160" s="101">
        <f t="shared" ca="1" si="21"/>
        <v>57134</v>
      </c>
      <c r="C160" s="101">
        <f t="shared" ca="1" si="22"/>
        <v>57163</v>
      </c>
      <c r="D160" s="102">
        <f t="shared" ca="1" si="16"/>
        <v>78.997946611909654</v>
      </c>
      <c r="E160" s="103">
        <f t="shared" ca="1" si="17"/>
        <v>0.83641299240581291</v>
      </c>
      <c r="F160" s="104">
        <f ca="1">IF($C$4="Hombre",(+VLOOKUP(INT(D160)+1,Tablas!$G$9:$K$1240,5,0)*(D160-INT(D160))+VLOOKUP(INT(D160),Tablas!$G$9:$K$1240,5,0)*(INT(D160)+1-D160))/(VLOOKUP(INT($C$5)+1,Tablas!$G$9:$K$1240,5,0)*($C$5-INT($C$5))+VLOOKUP(INT($C$5),Tablas!$G$9:$K$124,5,0)*(INT($C$5)+1-$C$5)),(+VLOOKUP(INT(D160)+1,Tablas!$G$9:$O$1240,9,0)*(D160-INT(D160))+VLOOKUP(INT(D160),Tablas!$G$9:$O$1240,9,0)*(INT(D160)+1-D160))/(VLOOKUP(INT($C$5)+1,Tablas!$G$9:$O$1240,9,0)*($C$5-INT($C$5))+VLOOKUP(INT($C$5),Tablas!$G$9:$O$124,9,0)*(INT($C$5)+1-$C$5)))</f>
        <v>0.91964383004480588</v>
      </c>
      <c r="G160" s="97">
        <f ca="1">IF($C$4="Hombre",(+VLOOKUP(INT(D160)+1,Tablas!$G$9:$K$1240,5,0)*(D160-INT(D160))+VLOOKUP(INT(D160),Tablas!$G$9:$K$1240,5,0)*(INT(D160)+1-D160)),+VLOOKUP(INT(D160)+1,Tablas!$G$9:$O$1240,9,0)*(D160-INT(D160))+VLOOKUP(INT(D160),Tablas!$G$9:$O$1240,9,0)*(INT(D160)+1-D160))</f>
        <v>849123.57432361902</v>
      </c>
      <c r="H160" s="105">
        <f t="shared" ca="1" si="18"/>
        <v>1</v>
      </c>
      <c r="I160" s="106">
        <f t="shared" ca="1" si="19"/>
        <v>6.4100170652943239E-2</v>
      </c>
      <c r="J160" s="106">
        <f t="shared" ca="1" si="23"/>
        <v>5.4943003416808488E-2</v>
      </c>
      <c r="K160" s="105">
        <f t="shared" ca="1" si="20"/>
        <v>0.91964383004480588</v>
      </c>
      <c r="L160" s="75"/>
    </row>
    <row r="161" spans="2:12">
      <c r="B161" s="101">
        <f t="shared" ca="1" si="21"/>
        <v>57164</v>
      </c>
      <c r="C161" s="101">
        <f t="shared" ca="1" si="22"/>
        <v>57194</v>
      </c>
      <c r="D161" s="102">
        <f t="shared" ca="1" si="16"/>
        <v>79.082819986310753</v>
      </c>
      <c r="E161" s="103">
        <f t="shared" ca="1" si="17"/>
        <v>0.83535672933139371</v>
      </c>
      <c r="F161" s="104">
        <f ca="1">IF($C$4="Hombre",(+VLOOKUP(INT(D161)+1,Tablas!$G$9:$K$1240,5,0)*(D161-INT(D161))+VLOOKUP(INT(D161),Tablas!$G$9:$K$1240,5,0)*(INT(D161)+1-D161))/(VLOOKUP(INT($C$5)+1,Tablas!$G$9:$K$1240,5,0)*($C$5-INT($C$5))+VLOOKUP(INT($C$5),Tablas!$G$9:$K$124,5,0)*(INT($C$5)+1-$C$5)),(+VLOOKUP(INT(D161)+1,Tablas!$G$9:$O$1240,9,0)*(D161-INT(D161))+VLOOKUP(INT(D161),Tablas!$G$9:$O$1240,9,0)*(INT(D161)+1-D161))/(VLOOKUP(INT($C$5)+1,Tablas!$G$9:$O$1240,9,0)*($C$5-INT($C$5))+VLOOKUP(INT($C$5),Tablas!$G$9:$O$124,9,0)*(INT($C$5)+1-$C$5)))</f>
        <v>0.91856095509548685</v>
      </c>
      <c r="G161" s="97">
        <f ca="1">IF($C$4="Hombre",(+VLOOKUP(INT(D161)+1,Tablas!$G$9:$K$1240,5,0)*(D161-INT(D161))+VLOOKUP(INT(D161),Tablas!$G$9:$K$1240,5,0)*(INT(D161)+1-D161)),+VLOOKUP(INT(D161)+1,Tablas!$G$9:$O$1240,9,0)*(D161-INT(D161))+VLOOKUP(INT(D161),Tablas!$G$9:$O$1240,9,0)*(INT(D161)+1-D161))</f>
        <v>848123.73654134793</v>
      </c>
      <c r="H161" s="105">
        <f t="shared" ca="1" si="18"/>
        <v>1</v>
      </c>
      <c r="I161" s="106">
        <f t="shared" ca="1" si="19"/>
        <v>6.3943839595007254E-2</v>
      </c>
      <c r="J161" s="106">
        <f t="shared" ca="1" si="23"/>
        <v>5.4809005367149069E-2</v>
      </c>
      <c r="K161" s="105">
        <f t="shared" ca="1" si="20"/>
        <v>0.91856095509548685</v>
      </c>
      <c r="L161" s="75"/>
    </row>
    <row r="162" spans="2:12">
      <c r="B162" s="101">
        <f t="shared" ca="1" si="21"/>
        <v>57195</v>
      </c>
      <c r="C162" s="101">
        <f t="shared" ca="1" si="22"/>
        <v>57225</v>
      </c>
      <c r="D162" s="102">
        <f t="shared" ca="1" si="16"/>
        <v>79.167693360711837</v>
      </c>
      <c r="E162" s="103">
        <f t="shared" ca="1" si="17"/>
        <v>0.83430180015744315</v>
      </c>
      <c r="F162" s="104">
        <f ca="1">IF($C$4="Hombre",(+VLOOKUP(INT(D162)+1,Tablas!$G$9:$K$1240,5,0)*(D162-INT(D162))+VLOOKUP(INT(D162),Tablas!$G$9:$K$1240,5,0)*(INT(D162)+1-D162))/(VLOOKUP(INT($C$5)+1,Tablas!$G$9:$K$1240,5,0)*($C$5-INT($C$5))+VLOOKUP(INT($C$5),Tablas!$G$9:$K$124,5,0)*(INT($C$5)+1-$C$5)),(+VLOOKUP(INT(D162)+1,Tablas!$G$9:$O$1240,9,0)*(D162-INT(D162))+VLOOKUP(INT(D162),Tablas!$G$9:$O$1240,9,0)*(INT(D162)+1-D162))/(VLOOKUP(INT($C$5)+1,Tablas!$G$9:$O$1240,9,0)*($C$5-INT($C$5))+VLOOKUP(INT($C$5),Tablas!$G$9:$O$124,9,0)*(INT($C$5)+1-$C$5)))</f>
        <v>0.91747489092033896</v>
      </c>
      <c r="G162" s="97">
        <f ca="1">IF($C$4="Hombre",(+VLOOKUP(INT(D162)+1,Tablas!$G$9:$K$1240,5,0)*(D162-INT(D162))+VLOOKUP(INT(D162),Tablas!$G$9:$K$1240,5,0)*(INT(D162)+1-D162)),+VLOOKUP(INT(D162)+1,Tablas!$G$9:$O$1240,9,0)*(D162-INT(D162))+VLOOKUP(INT(D162),Tablas!$G$9:$O$1240,9,0)*(INT(D162)+1-D162))</f>
        <v>847120.95408990537</v>
      </c>
      <c r="H162" s="105">
        <f t="shared" ca="1" si="18"/>
        <v>1</v>
      </c>
      <c r="I162" s="106">
        <f t="shared" ca="1" si="19"/>
        <v>6.3787579424507718E-2</v>
      </c>
      <c r="J162" s="106">
        <f t="shared" ca="1" si="23"/>
        <v>5.4675068078149473E-2</v>
      </c>
      <c r="K162" s="105">
        <f t="shared" ca="1" si="20"/>
        <v>0.91747489092033896</v>
      </c>
      <c r="L162" s="75"/>
    </row>
    <row r="163" spans="2:12">
      <c r="B163" s="101">
        <f t="shared" ca="1" si="21"/>
        <v>57226</v>
      </c>
      <c r="C163" s="101">
        <f t="shared" ca="1" si="22"/>
        <v>57255</v>
      </c>
      <c r="D163" s="102">
        <f t="shared" ca="1" si="16"/>
        <v>79.249828884325808</v>
      </c>
      <c r="E163" s="103">
        <f t="shared" ca="1" si="17"/>
        <v>0.83328216942110755</v>
      </c>
      <c r="F163" s="104">
        <f ca="1">IF($C$4="Hombre",(+VLOOKUP(INT(D163)+1,Tablas!$G$9:$K$1240,5,0)*(D163-INT(D163))+VLOOKUP(INT(D163),Tablas!$G$9:$K$1240,5,0)*(INT(D163)+1-D163))/(VLOOKUP(INT($C$5)+1,Tablas!$G$9:$K$1240,5,0)*($C$5-INT($C$5))+VLOOKUP(INT($C$5),Tablas!$G$9:$K$124,5,0)*(INT($C$5)+1-$C$5)),(+VLOOKUP(INT(D163)+1,Tablas!$G$9:$O$1240,9,0)*(D163-INT(D163))+VLOOKUP(INT(D163),Tablas!$G$9:$O$1240,9,0)*(INT(D163)+1-D163))/(VLOOKUP(INT($C$5)+1,Tablas!$G$9:$O$1240,9,0)*($C$5-INT($C$5))+VLOOKUP(INT($C$5),Tablas!$G$9:$O$124,9,0)*(INT($C$5)+1-$C$5)))</f>
        <v>0.91642386107342144</v>
      </c>
      <c r="G163" s="97">
        <f ca="1">IF($C$4="Hombre",(+VLOOKUP(INT(D163)+1,Tablas!$G$9:$K$1240,5,0)*(D163-INT(D163))+VLOOKUP(INT(D163),Tablas!$G$9:$K$1240,5,0)*(INT(D163)+1-D163)),+VLOOKUP(INT(D163)+1,Tablas!$G$9:$O$1240,9,0)*(D163-INT(D163))+VLOOKUP(INT(D163),Tablas!$G$9:$O$1240,9,0)*(INT(D163)+1-D163))</f>
        <v>846150.51945947681</v>
      </c>
      <c r="H163" s="105">
        <f t="shared" ca="1" si="18"/>
        <v>1</v>
      </c>
      <c r="I163" s="106">
        <f t="shared" ca="1" si="19"/>
        <v>6.3636638588710687E-2</v>
      </c>
      <c r="J163" s="106">
        <f t="shared" ca="1" si="23"/>
        <v>5.4545690218894875E-2</v>
      </c>
      <c r="K163" s="105">
        <f t="shared" ca="1" si="20"/>
        <v>0.91642386107342144</v>
      </c>
      <c r="L163" s="75"/>
    </row>
    <row r="164" spans="2:12">
      <c r="B164" s="101">
        <f t="shared" ca="1" si="21"/>
        <v>57256</v>
      </c>
      <c r="C164" s="101">
        <f t="shared" ca="1" si="22"/>
        <v>57286</v>
      </c>
      <c r="D164" s="102">
        <f t="shared" ca="1" si="16"/>
        <v>79.334702258726892</v>
      </c>
      <c r="E164" s="103">
        <f t="shared" ca="1" si="17"/>
        <v>0.83222986010247824</v>
      </c>
      <c r="F164" s="104">
        <f ca="1">IF($C$4="Hombre",(+VLOOKUP(INT(D164)+1,Tablas!$G$9:$K$1240,5,0)*(D164-INT(D164))+VLOOKUP(INT(D164),Tablas!$G$9:$K$1240,5,0)*(INT(D164)+1-D164))/(VLOOKUP(INT($C$5)+1,Tablas!$G$9:$K$1240,5,0)*($C$5-INT($C$5))+VLOOKUP(INT($C$5),Tablas!$G$9:$K$124,5,0)*(INT($C$5)+1-$C$5)),(+VLOOKUP(INT(D164)+1,Tablas!$G$9:$O$1240,9,0)*(D164-INT(D164))+VLOOKUP(INT(D164),Tablas!$G$9:$O$1240,9,0)*(INT(D164)+1-D164))/(VLOOKUP(INT($C$5)+1,Tablas!$G$9:$O$1240,9,0)*($C$5-INT($C$5))+VLOOKUP(INT($C$5),Tablas!$G$9:$O$124,9,0)*(INT($C$5)+1-$C$5)))</f>
        <v>0.91533779689827355</v>
      </c>
      <c r="G164" s="97">
        <f ca="1">IF($C$4="Hombre",(+VLOOKUP(INT(D164)+1,Tablas!$G$9:$K$1240,5,0)*(D164-INT(D164))+VLOOKUP(INT(D164),Tablas!$G$9:$K$1240,5,0)*(INT(D164)+1-D164)),+VLOOKUP(INT(D164)+1,Tablas!$G$9:$O$1240,9,0)*(D164-INT(D164))+VLOOKUP(INT(D164),Tablas!$G$9:$O$1240,9,0)*(INT(D164)+1-D164))</f>
        <v>845147.73700803414</v>
      </c>
      <c r="H164" s="105">
        <f t="shared" ca="1" si="18"/>
        <v>1</v>
      </c>
      <c r="I164" s="106">
        <f t="shared" ca="1" si="19"/>
        <v>6.34809538882634E-2</v>
      </c>
      <c r="J164" s="106">
        <f t="shared" ca="1" si="23"/>
        <v>5.4412246189940054E-2</v>
      </c>
      <c r="K164" s="105">
        <f t="shared" ca="1" si="20"/>
        <v>0.91533779689827355</v>
      </c>
      <c r="L164" s="75"/>
    </row>
    <row r="165" spans="2:12">
      <c r="B165" s="101">
        <f t="shared" ca="1" si="21"/>
        <v>57287</v>
      </c>
      <c r="C165" s="101">
        <f t="shared" ca="1" si="22"/>
        <v>57316</v>
      </c>
      <c r="D165" s="102">
        <f t="shared" ca="1" si="16"/>
        <v>79.416837782340863</v>
      </c>
      <c r="E165" s="103">
        <f t="shared" ca="1" si="17"/>
        <v>0.83121276155984469</v>
      </c>
      <c r="F165" s="104">
        <f ca="1">IF($C$4="Hombre",(+VLOOKUP(INT(D165)+1,Tablas!$G$9:$K$1240,5,0)*(D165-INT(D165))+VLOOKUP(INT(D165),Tablas!$G$9:$K$1240,5,0)*(INT(D165)+1-D165))/(VLOOKUP(INT($C$5)+1,Tablas!$G$9:$K$1240,5,0)*($C$5-INT($C$5))+VLOOKUP(INT($C$5),Tablas!$G$9:$K$124,5,0)*(INT($C$5)+1-$C$5)),(+VLOOKUP(INT(D165)+1,Tablas!$G$9:$O$1240,9,0)*(D165-INT(D165))+VLOOKUP(INT(D165),Tablas!$G$9:$O$1240,9,0)*(INT(D165)+1-D165))/(VLOOKUP(INT($C$5)+1,Tablas!$G$9:$O$1240,9,0)*($C$5-INT($C$5))+VLOOKUP(INT($C$5),Tablas!$G$9:$O$124,9,0)*(INT($C$5)+1-$C$5)))</f>
        <v>0.91428676705135592</v>
      </c>
      <c r="G165" s="97">
        <f ca="1">IF($C$4="Hombre",(+VLOOKUP(INT(D165)+1,Tablas!$G$9:$K$1240,5,0)*(D165-INT(D165))+VLOOKUP(INT(D165),Tablas!$G$9:$K$1240,5,0)*(INT(D165)+1-D165)),+VLOOKUP(INT(D165)+1,Tablas!$G$9:$O$1240,9,0)*(D165-INT(D165))+VLOOKUP(INT(D165),Tablas!$G$9:$O$1240,9,0)*(INT(D165)+1-D165))</f>
        <v>844177.30237760558</v>
      </c>
      <c r="H165" s="105">
        <f t="shared" ca="1" si="18"/>
        <v>1</v>
      </c>
      <c r="I165" s="106">
        <f t="shared" ca="1" si="19"/>
        <v>6.3330569041531656E-2</v>
      </c>
      <c r="J165" s="106">
        <f t="shared" ca="1" si="23"/>
        <v>0.10856668978548283</v>
      </c>
      <c r="K165" s="105">
        <f t="shared" ca="1" si="20"/>
        <v>0.91428676705135592</v>
      </c>
      <c r="L165" s="75"/>
    </row>
    <row r="166" spans="2:12">
      <c r="B166" s="101">
        <f t="shared" ca="1" si="21"/>
        <v>57317</v>
      </c>
      <c r="C166" s="101">
        <f t="shared" ca="1" si="22"/>
        <v>57347</v>
      </c>
      <c r="D166" s="102">
        <f t="shared" ca="1" si="16"/>
        <v>79.501711156741962</v>
      </c>
      <c r="E166" s="103">
        <f t="shared" ca="1" si="17"/>
        <v>0.83016306559027797</v>
      </c>
      <c r="F166" s="104">
        <f ca="1">IF($C$4="Hombre",(+VLOOKUP(INT(D166)+1,Tablas!$G$9:$K$1240,5,0)*(D166-INT(D166))+VLOOKUP(INT(D166),Tablas!$G$9:$K$1240,5,0)*(INT(D166)+1-D166))/(VLOOKUP(INT($C$5)+1,Tablas!$G$9:$K$1240,5,0)*($C$5-INT($C$5))+VLOOKUP(INT($C$5),Tablas!$G$9:$K$124,5,0)*(INT($C$5)+1-$C$5)),(+VLOOKUP(INT(D166)+1,Tablas!$G$9:$O$1240,9,0)*(D166-INT(D166))+VLOOKUP(INT(D166),Tablas!$G$9:$O$1240,9,0)*(INT(D166)+1-D166))/(VLOOKUP(INT($C$5)+1,Tablas!$G$9:$O$1240,9,0)*($C$5-INT($C$5))+VLOOKUP(INT($C$5),Tablas!$G$9:$O$124,9,0)*(INT($C$5)+1-$C$5)))</f>
        <v>0.91320070287620791</v>
      </c>
      <c r="G166" s="97">
        <f ca="1">IF($C$4="Hombre",(+VLOOKUP(INT(D166)+1,Tablas!$G$9:$K$1240,5,0)*(D166-INT(D166))+VLOOKUP(INT(D166),Tablas!$G$9:$K$1240,5,0)*(INT(D166)+1-D166)),+VLOOKUP(INT(D166)+1,Tablas!$G$9:$O$1240,9,0)*(D166-INT(D166))+VLOOKUP(INT(D166),Tablas!$G$9:$O$1240,9,0)*(INT(D166)+1-D166))</f>
        <v>843174.51992616279</v>
      </c>
      <c r="H166" s="105">
        <f t="shared" ca="1" si="18"/>
        <v>1</v>
      </c>
      <c r="I166" s="106">
        <f t="shared" ca="1" si="19"/>
        <v>6.3175457916575764E-2</v>
      </c>
      <c r="J166" s="106">
        <f t="shared" ca="1" si="23"/>
        <v>5.4150392499922088E-2</v>
      </c>
      <c r="K166" s="105">
        <f t="shared" ca="1" si="20"/>
        <v>0.91320070287620791</v>
      </c>
      <c r="L166" s="75"/>
    </row>
    <row r="167" spans="2:12">
      <c r="B167" s="101">
        <f t="shared" ca="1" si="21"/>
        <v>57348</v>
      </c>
      <c r="C167" s="101">
        <f t="shared" ca="1" si="22"/>
        <v>57378</v>
      </c>
      <c r="D167" s="102">
        <f t="shared" ca="1" si="16"/>
        <v>79.586584531143046</v>
      </c>
      <c r="E167" s="103">
        <f t="shared" ca="1" si="17"/>
        <v>0.82911469522791981</v>
      </c>
      <c r="F167" s="104">
        <f ca="1">IF($C$4="Hombre",(+VLOOKUP(INT(D167)+1,Tablas!$G$9:$K$1240,5,0)*(D167-INT(D167))+VLOOKUP(INT(D167),Tablas!$G$9:$K$1240,5,0)*(INT(D167)+1-D167))/(VLOOKUP(INT($C$5)+1,Tablas!$G$9:$K$1240,5,0)*($C$5-INT($C$5))+VLOOKUP(INT($C$5),Tablas!$G$9:$K$124,5,0)*(INT($C$5)+1-$C$5)),(+VLOOKUP(INT(D167)+1,Tablas!$G$9:$O$1240,9,0)*(D167-INT(D167))+VLOOKUP(INT(D167),Tablas!$G$9:$O$1240,9,0)*(INT(D167)+1-D167))/(VLOOKUP(INT($C$5)+1,Tablas!$G$9:$O$1240,9,0)*($C$5-INT($C$5))+VLOOKUP(INT($C$5),Tablas!$G$9:$O$124,9,0)*(INT($C$5)+1-$C$5)))</f>
        <v>0.91211463870106002</v>
      </c>
      <c r="G167" s="97">
        <f ca="1">IF($C$4="Hombre",(+VLOOKUP(INT(D167)+1,Tablas!$G$9:$K$1240,5,0)*(D167-INT(D167))+VLOOKUP(INT(D167),Tablas!$G$9:$K$1240,5,0)*(INT(D167)+1-D167)),+VLOOKUP(INT(D167)+1,Tablas!$G$9:$O$1240,9,0)*(D167-INT(D167))+VLOOKUP(INT(D167),Tablas!$G$9:$O$1240,9,0)*(INT(D167)+1-D167))</f>
        <v>842171.73747472023</v>
      </c>
      <c r="H167" s="105">
        <f t="shared" ca="1" si="18"/>
        <v>1</v>
      </c>
      <c r="I167" s="106">
        <f t="shared" ca="1" si="19"/>
        <v>6.3020637556629469E-2</v>
      </c>
      <c r="J167" s="106">
        <f t="shared" ca="1" si="23"/>
        <v>5.4017689334253834E-2</v>
      </c>
      <c r="K167" s="105">
        <f t="shared" ca="1" si="20"/>
        <v>0.91211463870106002</v>
      </c>
      <c r="L167" s="75"/>
    </row>
    <row r="168" spans="2:12">
      <c r="B168" s="101">
        <f t="shared" ca="1" si="21"/>
        <v>57379</v>
      </c>
      <c r="C168" s="101">
        <f t="shared" ca="1" si="22"/>
        <v>57406</v>
      </c>
      <c r="D168" s="102">
        <f t="shared" ca="1" si="16"/>
        <v>79.663244353182748</v>
      </c>
      <c r="E168" s="103">
        <f t="shared" ca="1" si="17"/>
        <v>0.82816891805709092</v>
      </c>
      <c r="F168" s="104">
        <f ca="1">IF($C$4="Hombre",(+VLOOKUP(INT(D168)+1,Tablas!$G$9:$K$1240,5,0)*(D168-INT(D168))+VLOOKUP(INT(D168),Tablas!$G$9:$K$1240,5,0)*(INT(D168)+1-D168))/(VLOOKUP(INT($C$5)+1,Tablas!$G$9:$K$1240,5,0)*($C$5-INT($C$5))+VLOOKUP(INT($C$5),Tablas!$G$9:$K$124,5,0)*(INT($C$5)+1-$C$5)),(+VLOOKUP(INT(D168)+1,Tablas!$G$9:$O$1240,9,0)*(D168-INT(D168))+VLOOKUP(INT(D168),Tablas!$G$9:$O$1240,9,0)*(INT(D168)+1-D168))/(VLOOKUP(INT($C$5)+1,Tablas!$G$9:$O$1240,9,0)*($C$5-INT($C$5))+VLOOKUP(INT($C$5),Tablas!$G$9:$O$124,9,0)*(INT($C$5)+1-$C$5)))</f>
        <v>0.9111336775106037</v>
      </c>
      <c r="G168" s="97">
        <f ca="1">IF($C$4="Hombre",(+VLOOKUP(INT(D168)+1,Tablas!$G$9:$K$1240,5,0)*(D168-INT(D168))+VLOOKUP(INT(D168),Tablas!$G$9:$K$1240,5,0)*(INT(D168)+1-D168)),+VLOOKUP(INT(D168)+1,Tablas!$G$9:$O$1240,9,0)*(D168-INT(D168))+VLOOKUP(INT(D168),Tablas!$G$9:$O$1240,9,0)*(INT(D168)+1-D168))</f>
        <v>841265.99848632026</v>
      </c>
      <c r="H168" s="105">
        <f t="shared" ca="1" si="18"/>
        <v>1</v>
      </c>
      <c r="I168" s="106">
        <f t="shared" ca="1" si="19"/>
        <v>6.2881049325777927E-2</v>
      </c>
      <c r="J168" s="106">
        <f t="shared" ca="1" si="23"/>
        <v>5.3898042279238223E-2</v>
      </c>
      <c r="K168" s="105">
        <f t="shared" ca="1" si="20"/>
        <v>0.9111336775106037</v>
      </c>
      <c r="L168" s="75"/>
    </row>
    <row r="169" spans="2:12">
      <c r="B169" s="101">
        <f t="shared" ca="1" si="21"/>
        <v>57407</v>
      </c>
      <c r="C169" s="101">
        <f t="shared" ca="1" si="22"/>
        <v>57437</v>
      </c>
      <c r="D169" s="102">
        <f t="shared" ca="1" si="16"/>
        <v>79.748117727583846</v>
      </c>
      <c r="E169" s="103">
        <f t="shared" ca="1" si="17"/>
        <v>0.82712306600138652</v>
      </c>
      <c r="F169" s="104">
        <f ca="1">IF($C$4="Hombre",(+VLOOKUP(INT(D169)+1,Tablas!$G$9:$K$1240,5,0)*(D169-INT(D169))+VLOOKUP(INT(D169),Tablas!$G$9:$K$1240,5,0)*(INT(D169)+1-D169))/(VLOOKUP(INT($C$5)+1,Tablas!$G$9:$K$1240,5,0)*($C$5-INT($C$5))+VLOOKUP(INT($C$5),Tablas!$G$9:$K$124,5,0)*(INT($C$5)+1-$C$5)),(+VLOOKUP(INT(D169)+1,Tablas!$G$9:$O$1240,9,0)*(D169-INT(D169))+VLOOKUP(INT(D169),Tablas!$G$9:$O$1240,9,0)*(INT(D169)+1-D169))/(VLOOKUP(INT($C$5)+1,Tablas!$G$9:$O$1240,9,0)*($C$5-INT($C$5))+VLOOKUP(INT($C$5),Tablas!$G$9:$O$124,9,0)*(INT($C$5)+1-$C$5)))</f>
        <v>0.91004761333545559</v>
      </c>
      <c r="G169" s="97">
        <f ca="1">IF($C$4="Hombre",(+VLOOKUP(INT(D169)+1,Tablas!$G$9:$K$1240,5,0)*(D169-INT(D169))+VLOOKUP(INT(D169),Tablas!$G$9:$K$1240,5,0)*(INT(D169)+1-D169)),+VLOOKUP(INT(D169)+1,Tablas!$G$9:$O$1240,9,0)*(D169-INT(D169))+VLOOKUP(INT(D169),Tablas!$G$9:$O$1240,9,0)*(INT(D169)+1-D169))</f>
        <v>840263.21603487746</v>
      </c>
      <c r="H169" s="105">
        <f t="shared" ca="1" si="18"/>
        <v>1</v>
      </c>
      <c r="I169" s="106">
        <f t="shared" ca="1" si="19"/>
        <v>6.2726781012438851E-2</v>
      </c>
      <c r="J169" s="106">
        <f t="shared" ca="1" si="23"/>
        <v>5.3765812296376163E-2</v>
      </c>
      <c r="K169" s="105">
        <f t="shared" ca="1" si="20"/>
        <v>0.91004761333545559</v>
      </c>
      <c r="L169" s="75"/>
    </row>
    <row r="170" spans="2:12">
      <c r="B170" s="101">
        <f t="shared" ca="1" si="21"/>
        <v>57438</v>
      </c>
      <c r="C170" s="101">
        <f t="shared" ca="1" si="22"/>
        <v>57467</v>
      </c>
      <c r="D170" s="102">
        <f t="shared" ca="1" si="16"/>
        <v>79.830253251197803</v>
      </c>
      <c r="E170" s="103">
        <f t="shared" ca="1" si="17"/>
        <v>0.82611220865855473</v>
      </c>
      <c r="F170" s="104">
        <f ca="1">IF($C$4="Hombre",(+VLOOKUP(INT(D170)+1,Tablas!$G$9:$K$1240,5,0)*(D170-INT(D170))+VLOOKUP(INT(D170),Tablas!$G$9:$K$1240,5,0)*(INT(D170)+1-D170))/(VLOOKUP(INT($C$5)+1,Tablas!$G$9:$K$1240,5,0)*($C$5-INT($C$5))+VLOOKUP(INT($C$5),Tablas!$G$9:$K$124,5,0)*(INT($C$5)+1-$C$5)),(+VLOOKUP(INT(D170)+1,Tablas!$G$9:$O$1240,9,0)*(D170-INT(D170))+VLOOKUP(INT(D170),Tablas!$G$9:$O$1240,9,0)*(INT(D170)+1-D170))/(VLOOKUP(INT($C$5)+1,Tablas!$G$9:$O$1240,9,0)*($C$5-INT($C$5))+VLOOKUP(INT($C$5),Tablas!$G$9:$O$124,9,0)*(INT($C$5)+1-$C$5)))</f>
        <v>0.90899658348853829</v>
      </c>
      <c r="G170" s="97">
        <f ca="1">IF($C$4="Hombre",(+VLOOKUP(INT(D170)+1,Tablas!$G$9:$K$1240,5,0)*(D170-INT(D170))+VLOOKUP(INT(D170),Tablas!$G$9:$K$1240,5,0)*(INT(D170)+1-D170)),+VLOOKUP(INT(D170)+1,Tablas!$G$9:$O$1240,9,0)*(D170-INT(D170))+VLOOKUP(INT(D170),Tablas!$G$9:$O$1240,9,0)*(INT(D170)+1-D170))</f>
        <v>839292.78140444914</v>
      </c>
      <c r="H170" s="105">
        <f t="shared" ca="1" si="18"/>
        <v>1</v>
      </c>
      <c r="I170" s="106">
        <f t="shared" ca="1" si="19"/>
        <v>6.2577764604066388E-2</v>
      </c>
      <c r="J170" s="106">
        <f t="shared" ca="1" si="23"/>
        <v>5.3638083946342618E-2</v>
      </c>
      <c r="K170" s="105">
        <f t="shared" ca="1" si="20"/>
        <v>0.90899658348853829</v>
      </c>
      <c r="L170" s="75"/>
    </row>
    <row r="171" spans="2:12">
      <c r="B171" s="101">
        <f t="shared" ca="1" si="21"/>
        <v>57468</v>
      </c>
      <c r="C171" s="101">
        <f t="shared" ca="1" si="22"/>
        <v>57498</v>
      </c>
      <c r="D171" s="102">
        <f t="shared" ca="1" si="16"/>
        <v>79.915126625598901</v>
      </c>
      <c r="E171" s="103">
        <f t="shared" ca="1" si="17"/>
        <v>0.82506895391567581</v>
      </c>
      <c r="F171" s="104">
        <f ca="1">IF($C$4="Hombre",(+VLOOKUP(INT(D171)+1,Tablas!$G$9:$K$1240,5,0)*(D171-INT(D171))+VLOOKUP(INT(D171),Tablas!$G$9:$K$1240,5,0)*(INT(D171)+1-D171))/(VLOOKUP(INT($C$5)+1,Tablas!$G$9:$K$1240,5,0)*($C$5-INT($C$5))+VLOOKUP(INT($C$5),Tablas!$G$9:$K$124,5,0)*(INT($C$5)+1-$C$5)),(+VLOOKUP(INT(D171)+1,Tablas!$G$9:$O$1240,9,0)*(D171-INT(D171))+VLOOKUP(INT(D171),Tablas!$G$9:$O$1240,9,0)*(INT(D171)+1-D171))/(VLOOKUP(INT($C$5)+1,Tablas!$G$9:$O$1240,9,0)*($C$5-INT($C$5))+VLOOKUP(INT($C$5),Tablas!$G$9:$O$124,9,0)*(INT($C$5)+1-$C$5)))</f>
        <v>0.90791051931339006</v>
      </c>
      <c r="G171" s="97">
        <f ca="1">IF($C$4="Hombre",(+VLOOKUP(INT(D171)+1,Tablas!$G$9:$K$1240,5,0)*(D171-INT(D171))+VLOOKUP(INT(D171),Tablas!$G$9:$K$1240,5,0)*(INT(D171)+1-D171)),+VLOOKUP(INT(D171)+1,Tablas!$G$9:$O$1240,9,0)*(D171-INT(D171))+VLOOKUP(INT(D171),Tablas!$G$9:$O$1240,9,0)*(INT(D171)+1-D171))</f>
        <v>838289.99895300623</v>
      </c>
      <c r="H171" s="105">
        <f t="shared" ca="1" si="18"/>
        <v>1</v>
      </c>
      <c r="I171" s="106">
        <f t="shared" ca="1" si="19"/>
        <v>6.2424065201578054E-2</v>
      </c>
      <c r="J171" s="106">
        <f t="shared" ca="1" si="23"/>
        <v>0.10701268320270522</v>
      </c>
      <c r="K171" s="105">
        <f t="shared" ca="1" si="20"/>
        <v>0.90791051931339006</v>
      </c>
      <c r="L171" s="75"/>
    </row>
    <row r="172" spans="2:12">
      <c r="B172" s="101">
        <f t="shared" ca="1" si="21"/>
        <v>57499</v>
      </c>
      <c r="C172" s="101">
        <f t="shared" ca="1" si="22"/>
        <v>57528</v>
      </c>
      <c r="D172" s="102">
        <f t="shared" ca="1" si="16"/>
        <v>79.997262149212872</v>
      </c>
      <c r="E172" s="103">
        <f t="shared" ca="1" si="17"/>
        <v>0.82406060697833272</v>
      </c>
      <c r="F172" s="104">
        <f ca="1">IF($C$4="Hombre",(+VLOOKUP(INT(D172)+1,Tablas!$G$9:$K$1240,5,0)*(D172-INT(D172))+VLOOKUP(INT(D172),Tablas!$G$9:$K$1240,5,0)*(INT(D172)+1-D172))/(VLOOKUP(INT($C$5)+1,Tablas!$G$9:$K$1240,5,0)*($C$5-INT($C$5))+VLOOKUP(INT($C$5),Tablas!$G$9:$K$124,5,0)*(INT($C$5)+1-$C$5)),(+VLOOKUP(INT(D172)+1,Tablas!$G$9:$O$1240,9,0)*(D172-INT(D172))+VLOOKUP(INT(D172),Tablas!$G$9:$O$1240,9,0)*(INT(D172)+1-D172))/(VLOOKUP(INT($C$5)+1,Tablas!$G$9:$O$1240,9,0)*($C$5-INT($C$5))+VLOOKUP(INT($C$5),Tablas!$G$9:$O$124,9,0)*(INT($C$5)+1-$C$5)))</f>
        <v>0.90685948946647255</v>
      </c>
      <c r="G172" s="97">
        <f ca="1">IF($C$4="Hombre",(+VLOOKUP(INT(D172)+1,Tablas!$G$9:$K$1240,5,0)*(D172-INT(D172))+VLOOKUP(INT(D172),Tablas!$G$9:$K$1240,5,0)*(INT(D172)+1-D172)),+VLOOKUP(INT(D172)+1,Tablas!$G$9:$O$1240,9,0)*(D172-INT(D172))+VLOOKUP(INT(D172),Tablas!$G$9:$O$1240,9,0)*(INT(D172)+1-D172))</f>
        <v>837319.56432257767</v>
      </c>
      <c r="H172" s="105">
        <f t="shared" ca="1" si="18"/>
        <v>1</v>
      </c>
      <c r="I172" s="106">
        <f t="shared" ca="1" si="19"/>
        <v>6.2275598444483521E-2</v>
      </c>
      <c r="J172" s="106">
        <f t="shared" ca="1" si="23"/>
        <v>5.3379084380985875E-2</v>
      </c>
      <c r="K172" s="105">
        <f t="shared" ca="1" si="20"/>
        <v>0.90685948946647255</v>
      </c>
      <c r="L172" s="75"/>
    </row>
    <row r="173" spans="2:12">
      <c r="B173" s="101">
        <f t="shared" ca="1" si="21"/>
        <v>57529</v>
      </c>
      <c r="C173" s="101">
        <f t="shared" ca="1" si="22"/>
        <v>57559</v>
      </c>
      <c r="D173" s="102">
        <f t="shared" ca="1" si="16"/>
        <v>80.082135523613957</v>
      </c>
      <c r="E173" s="103">
        <f t="shared" ca="1" si="17"/>
        <v>0.82301994309800386</v>
      </c>
      <c r="F173" s="104">
        <f ca="1">IF($C$4="Hombre",(+VLOOKUP(INT(D173)+1,Tablas!$G$9:$K$1240,5,0)*(D173-INT(D173))+VLOOKUP(INT(D173),Tablas!$G$9:$K$1240,5,0)*(INT(D173)+1-D173))/(VLOOKUP(INT($C$5)+1,Tablas!$G$9:$K$1240,5,0)*($C$5-INT($C$5))+VLOOKUP(INT($C$5),Tablas!$G$9:$K$124,5,0)*(INT($C$5)+1-$C$5)),(+VLOOKUP(INT(D173)+1,Tablas!$G$9:$O$1240,9,0)*(D173-INT(D173))+VLOOKUP(INT(D173),Tablas!$G$9:$O$1240,9,0)*(INT(D173)+1-D173))/(VLOOKUP(INT($C$5)+1,Tablas!$G$9:$O$1240,9,0)*($C$5-INT($C$5))+VLOOKUP(INT($C$5),Tablas!$G$9:$O$124,9,0)*(INT($C$5)+1-$C$5)))</f>
        <v>0.90563221564449248</v>
      </c>
      <c r="G173" s="97">
        <f ca="1">IF($C$4="Hombre",(+VLOOKUP(INT(D173)+1,Tablas!$G$9:$K$1240,5,0)*(D173-INT(D173))+VLOOKUP(INT(D173),Tablas!$G$9:$K$1240,5,0)*(INT(D173)+1-D173)),+VLOOKUP(INT(D173)+1,Tablas!$G$9:$O$1240,9,0)*(D173-INT(D173))+VLOOKUP(INT(D173),Tablas!$G$9:$O$1240,9,0)*(INT(D173)+1-D173))</f>
        <v>836186.4004820257</v>
      </c>
      <c r="H173" s="105">
        <f t="shared" ca="1" si="18"/>
        <v>1</v>
      </c>
      <c r="I173" s="106">
        <f t="shared" ca="1" si="19"/>
        <v>6.2112781215620777E-2</v>
      </c>
      <c r="J173" s="106">
        <f t="shared" ca="1" si="23"/>
        <v>5.323952675624638E-2</v>
      </c>
      <c r="K173" s="105">
        <f t="shared" ca="1" si="20"/>
        <v>0.90563221564449248</v>
      </c>
      <c r="L173" s="75"/>
    </row>
    <row r="174" spans="2:12">
      <c r="B174" s="101">
        <f t="shared" ca="1" si="21"/>
        <v>57560</v>
      </c>
      <c r="C174" s="101">
        <f t="shared" ca="1" si="22"/>
        <v>57590</v>
      </c>
      <c r="D174" s="102">
        <f t="shared" ca="1" si="16"/>
        <v>80.167008898015055</v>
      </c>
      <c r="E174" s="103">
        <f t="shared" ca="1" si="17"/>
        <v>0.82198059341872098</v>
      </c>
      <c r="F174" s="104">
        <f ca="1">IF($C$4="Hombre",(+VLOOKUP(INT(D174)+1,Tablas!$G$9:$K$1240,5,0)*(D174-INT(D174))+VLOOKUP(INT(D174),Tablas!$G$9:$K$1240,5,0)*(INT(D174)+1-D174))/(VLOOKUP(INT($C$5)+1,Tablas!$G$9:$K$1240,5,0)*($C$5-INT($C$5))+VLOOKUP(INT($C$5),Tablas!$G$9:$K$124,5,0)*(INT($C$5)+1-$C$5)),(+VLOOKUP(INT(D174)+1,Tablas!$G$9:$O$1240,9,0)*(D174-INT(D174))+VLOOKUP(INT(D174),Tablas!$G$9:$O$1240,9,0)*(INT(D174)+1-D174))/(VLOOKUP(INT($C$5)+1,Tablas!$G$9:$O$1240,9,0)*($C$5-INT($C$5))+VLOOKUP(INT($C$5),Tablas!$G$9:$O$124,9,0)*(INT($C$5)+1-$C$5)))</f>
        <v>0.90440023483428467</v>
      </c>
      <c r="G174" s="97">
        <f ca="1">IF($C$4="Hombre",(+VLOOKUP(INT(D174)+1,Tablas!$G$9:$K$1240,5,0)*(D174-INT(D174))+VLOOKUP(INT(D174),Tablas!$G$9:$K$1240,5,0)*(INT(D174)+1-D174)),+VLOOKUP(INT(D174)+1,Tablas!$G$9:$O$1240,9,0)*(D174-INT(D174))+VLOOKUP(INT(D174),Tablas!$G$9:$O$1240,9,0)*(INT(D174)+1-D174))</f>
        <v>835048.89059516997</v>
      </c>
      <c r="H174" s="105">
        <f t="shared" ca="1" si="18"/>
        <v>1</v>
      </c>
      <c r="I174" s="106">
        <f t="shared" ca="1" si="19"/>
        <v>6.1949953476426324E-2</v>
      </c>
      <c r="J174" s="106">
        <f t="shared" ca="1" si="23"/>
        <v>5.3099960122651134E-2</v>
      </c>
      <c r="K174" s="105">
        <f t="shared" ca="1" si="20"/>
        <v>0.90440023483428467</v>
      </c>
      <c r="L174" s="75"/>
    </row>
    <row r="175" spans="2:12">
      <c r="B175" s="101">
        <f t="shared" ca="1" si="21"/>
        <v>57591</v>
      </c>
      <c r="C175" s="101">
        <f t="shared" ca="1" si="22"/>
        <v>57620</v>
      </c>
      <c r="D175" s="102">
        <f t="shared" ca="1" si="16"/>
        <v>80.249144421629026</v>
      </c>
      <c r="E175" s="103">
        <f t="shared" ca="1" si="17"/>
        <v>0.82097602087966737</v>
      </c>
      <c r="F175" s="104">
        <f ca="1">IF($C$4="Hombre",(+VLOOKUP(INT(D175)+1,Tablas!$G$9:$K$1240,5,0)*(D175-INT(D175))+VLOOKUP(INT(D175),Tablas!$G$9:$K$1240,5,0)*(INT(D175)+1-D175))/(VLOOKUP(INT($C$5)+1,Tablas!$G$9:$K$1240,5,0)*($C$5-INT($C$5))+VLOOKUP(INT($C$5),Tablas!$G$9:$K$124,5,0)*(INT($C$5)+1-$C$5)),(+VLOOKUP(INT(D175)+1,Tablas!$G$9:$O$1240,9,0)*(D175-INT(D175))+VLOOKUP(INT(D175),Tablas!$G$9:$O$1240,9,0)*(INT(D175)+1-D175))/(VLOOKUP(INT($C$5)+1,Tablas!$G$9:$O$1240,9,0)*($C$5-INT($C$5))+VLOOKUP(INT($C$5),Tablas!$G$9:$O$124,9,0)*(INT($C$5)+1-$C$5)))</f>
        <v>0.90320799534053497</v>
      </c>
      <c r="G175" s="97">
        <f ca="1">IF($C$4="Hombre",(+VLOOKUP(INT(D175)+1,Tablas!$G$9:$K$1240,5,0)*(D175-INT(D175))+VLOOKUP(INT(D175),Tablas!$G$9:$K$1240,5,0)*(INT(D175)+1-D175)),+VLOOKUP(INT(D175)+1,Tablas!$G$9:$O$1240,9,0)*(D175-INT(D175))+VLOOKUP(INT(D175),Tablas!$G$9:$O$1240,9,0)*(INT(D175)+1-D175))</f>
        <v>833948.07457563211</v>
      </c>
      <c r="H175" s="105">
        <f t="shared" ca="1" si="18"/>
        <v>1</v>
      </c>
      <c r="I175" s="106">
        <f t="shared" ca="1" si="19"/>
        <v>6.1792675503447789E-2</v>
      </c>
      <c r="J175" s="106">
        <f t="shared" ca="1" si="23"/>
        <v>5.2965150431526671E-2</v>
      </c>
      <c r="K175" s="105">
        <f t="shared" ca="1" si="20"/>
        <v>0.90320799534053497</v>
      </c>
      <c r="L175" s="75"/>
    </row>
    <row r="176" spans="2:12">
      <c r="B176" s="101">
        <f t="shared" ca="1" si="21"/>
        <v>57621</v>
      </c>
      <c r="C176" s="101">
        <f t="shared" ca="1" si="22"/>
        <v>57651</v>
      </c>
      <c r="D176" s="102">
        <f t="shared" ca="1" si="16"/>
        <v>80.334017796030111</v>
      </c>
      <c r="E176" s="103">
        <f t="shared" ca="1" si="17"/>
        <v>0.81993925236493603</v>
      </c>
      <c r="F176" s="104">
        <f ca="1">IF($C$4="Hombre",(+VLOOKUP(INT(D176)+1,Tablas!$G$9:$K$1240,5,0)*(D176-INT(D176))+VLOOKUP(INT(D176),Tablas!$G$9:$K$1240,5,0)*(INT(D176)+1-D176))/(VLOOKUP(INT($C$5)+1,Tablas!$G$9:$K$1240,5,0)*($C$5-INT($C$5))+VLOOKUP(INT($C$5),Tablas!$G$9:$K$124,5,0)*(INT($C$5)+1-$C$5)),(+VLOOKUP(INT(D176)+1,Tablas!$G$9:$O$1240,9,0)*(D176-INT(D176))+VLOOKUP(INT(D176),Tablas!$G$9:$O$1240,9,0)*(INT(D176)+1-D176))/(VLOOKUP(INT($C$5)+1,Tablas!$G$9:$O$1240,9,0)*($C$5-INT($C$5))+VLOOKUP(INT($C$5),Tablas!$G$9:$O$124,9,0)*(INT($C$5)+1-$C$5)))</f>
        <v>0.90197601453032739</v>
      </c>
      <c r="G176" s="97">
        <f ca="1">IF($C$4="Hombre",(+VLOOKUP(INT(D176)+1,Tablas!$G$9:$K$1240,5,0)*(D176-INT(D176))+VLOOKUP(INT(D176),Tablas!$G$9:$K$1240,5,0)*(INT(D176)+1-D176)),+VLOOKUP(INT(D176)+1,Tablas!$G$9:$O$1240,9,0)*(D176-INT(D176))+VLOOKUP(INT(D176),Tablas!$G$9:$O$1240,9,0)*(INT(D176)+1-D176))</f>
        <v>832810.56468877662</v>
      </c>
      <c r="H176" s="105">
        <f t="shared" ca="1" si="18"/>
        <v>1</v>
      </c>
      <c r="I176" s="106">
        <f t="shared" ca="1" si="19"/>
        <v>6.1630461583758442E-2</v>
      </c>
      <c r="J176" s="106">
        <f t="shared" ca="1" si="23"/>
        <v>5.2826109928935806E-2</v>
      </c>
      <c r="K176" s="105">
        <f t="shared" ca="1" si="20"/>
        <v>0.90197601453032739</v>
      </c>
      <c r="L176" s="75"/>
    </row>
    <row r="177" spans="2:12">
      <c r="B177" s="101">
        <f t="shared" ca="1" si="21"/>
        <v>57652</v>
      </c>
      <c r="C177" s="101">
        <f t="shared" ca="1" si="22"/>
        <v>57681</v>
      </c>
      <c r="D177" s="102">
        <f t="shared" ca="1" si="16"/>
        <v>80.416153319644081</v>
      </c>
      <c r="E177" s="103">
        <f t="shared" ca="1" si="17"/>
        <v>0.8189371746234263</v>
      </c>
      <c r="F177" s="104">
        <f ca="1">IF($C$4="Hombre",(+VLOOKUP(INT(D177)+1,Tablas!$G$9:$K$1240,5,0)*(D177-INT(D177))+VLOOKUP(INT(D177),Tablas!$G$9:$K$1240,5,0)*(INT(D177)+1-D177))/(VLOOKUP(INT($C$5)+1,Tablas!$G$9:$K$1240,5,0)*($C$5-INT($C$5))+VLOOKUP(INT($C$5),Tablas!$G$9:$K$124,5,0)*(INT($C$5)+1-$C$5)),(+VLOOKUP(INT(D177)+1,Tablas!$G$9:$O$1240,9,0)*(D177-INT(D177))+VLOOKUP(INT(D177),Tablas!$G$9:$O$1240,9,0)*(INT(D177)+1-D177))/(VLOOKUP(INT($C$5)+1,Tablas!$G$9:$O$1240,9,0)*($C$5-INT($C$5))+VLOOKUP(INT($C$5),Tablas!$G$9:$O$124,9,0)*(INT($C$5)+1-$C$5)))</f>
        <v>0.90078377503657769</v>
      </c>
      <c r="G177" s="97">
        <f ca="1">IF($C$4="Hombre",(+VLOOKUP(INT(D177)+1,Tablas!$G$9:$K$1240,5,0)*(D177-INT(D177))+VLOOKUP(INT(D177),Tablas!$G$9:$K$1240,5,0)*(INT(D177)+1-D177)),+VLOOKUP(INT(D177)+1,Tablas!$G$9:$O$1240,9,0)*(D177-INT(D177))+VLOOKUP(INT(D177),Tablas!$G$9:$O$1240,9,0)*(INT(D177)+1-D177))</f>
        <v>831709.74866923876</v>
      </c>
      <c r="H177" s="105">
        <f t="shared" ca="1" si="18"/>
        <v>1</v>
      </c>
      <c r="I177" s="106">
        <f t="shared" ca="1" si="19"/>
        <v>6.1473776639589917E-2</v>
      </c>
      <c r="J177" s="106">
        <f t="shared" ca="1" si="23"/>
        <v>0.10538361709643985</v>
      </c>
      <c r="K177" s="105">
        <f t="shared" ca="1" si="20"/>
        <v>0.90078377503657769</v>
      </c>
      <c r="L177" s="75"/>
    </row>
    <row r="178" spans="2:12">
      <c r="B178" s="101">
        <f t="shared" ca="1" si="21"/>
        <v>57682</v>
      </c>
      <c r="C178" s="101">
        <f t="shared" ca="1" si="22"/>
        <v>57712</v>
      </c>
      <c r="D178" s="102">
        <f t="shared" ca="1" si="16"/>
        <v>80.50102669404518</v>
      </c>
      <c r="E178" s="103">
        <f t="shared" ca="1" si="17"/>
        <v>0.81790298086307367</v>
      </c>
      <c r="F178" s="104">
        <f ca="1">IF($C$4="Hombre",(+VLOOKUP(INT(D178)+1,Tablas!$G$9:$K$1240,5,0)*(D178-INT(D178))+VLOOKUP(INT(D178),Tablas!$G$9:$K$1240,5,0)*(INT(D178)+1-D178))/(VLOOKUP(INT($C$5)+1,Tablas!$G$9:$K$1240,5,0)*($C$5-INT($C$5))+VLOOKUP(INT($C$5),Tablas!$G$9:$K$124,5,0)*(INT($C$5)+1-$C$5)),(+VLOOKUP(INT(D178)+1,Tablas!$G$9:$O$1240,9,0)*(D178-INT(D178))+VLOOKUP(INT(D178),Tablas!$G$9:$O$1240,9,0)*(INT(D178)+1-D178))/(VLOOKUP(INT($C$5)+1,Tablas!$G$9:$O$1240,9,0)*($C$5-INT($C$5))+VLOOKUP(INT($C$5),Tablas!$G$9:$O$124,9,0)*(INT($C$5)+1-$C$5)))</f>
        <v>0.89955179422636999</v>
      </c>
      <c r="G178" s="97">
        <f ca="1">IF($C$4="Hombre",(+VLOOKUP(INT(D178)+1,Tablas!$G$9:$K$1240,5,0)*(D178-INT(D178))+VLOOKUP(INT(D178),Tablas!$G$9:$K$1240,5,0)*(INT(D178)+1-D178)),+VLOOKUP(INT(D178)+1,Tablas!$G$9:$O$1240,9,0)*(D178-INT(D178))+VLOOKUP(INT(D178),Tablas!$G$9:$O$1240,9,0)*(INT(D178)+1-D178))</f>
        <v>830572.23878238315</v>
      </c>
      <c r="H178" s="105">
        <f t="shared" ca="1" si="18"/>
        <v>1</v>
      </c>
      <c r="I178" s="106">
        <f t="shared" ca="1" si="19"/>
        <v>6.1312174494872848E-2</v>
      </c>
      <c r="J178" s="106">
        <f t="shared" ca="1" si="23"/>
        <v>5.2553292424176723E-2</v>
      </c>
      <c r="K178" s="105">
        <f t="shared" ca="1" si="20"/>
        <v>0.89955179422636999</v>
      </c>
      <c r="L178" s="75"/>
    </row>
    <row r="179" spans="2:12">
      <c r="B179" s="101">
        <f t="shared" ca="1" si="21"/>
        <v>57713</v>
      </c>
      <c r="C179" s="101">
        <f t="shared" ca="1" si="22"/>
        <v>57743</v>
      </c>
      <c r="D179" s="102">
        <f t="shared" ca="1" si="16"/>
        <v>80.585900068446264</v>
      </c>
      <c r="E179" s="103">
        <f t="shared" ca="1" si="17"/>
        <v>0.81687009313298486</v>
      </c>
      <c r="F179" s="104">
        <f ca="1">IF($C$4="Hombre",(+VLOOKUP(INT(D179)+1,Tablas!$G$9:$K$1240,5,0)*(D179-INT(D179))+VLOOKUP(INT(D179),Tablas!$G$9:$K$1240,5,0)*(INT(D179)+1-D179))/(VLOOKUP(INT($C$5)+1,Tablas!$G$9:$K$1240,5,0)*($C$5-INT($C$5))+VLOOKUP(INT($C$5),Tablas!$G$9:$K$124,5,0)*(INT($C$5)+1-$C$5)),(+VLOOKUP(INT(D179)+1,Tablas!$G$9:$O$1240,9,0)*(D179-INT(D179))+VLOOKUP(INT(D179),Tablas!$G$9:$O$1240,9,0)*(INT(D179)+1-D179))/(VLOOKUP(INT($C$5)+1,Tablas!$G$9:$O$1240,9,0)*($C$5-INT($C$5))+VLOOKUP(INT($C$5),Tablas!$G$9:$O$124,9,0)*(INT($C$5)+1-$C$5)))</f>
        <v>0.89831981341616218</v>
      </c>
      <c r="G179" s="97">
        <f ca="1">IF($C$4="Hombre",(+VLOOKUP(INT(D179)+1,Tablas!$G$9:$K$1240,5,0)*(D179-INT(D179))+VLOOKUP(INT(D179),Tablas!$G$9:$K$1240,5,0)*(INT(D179)+1-D179)),+VLOOKUP(INT(D179)+1,Tablas!$G$9:$O$1240,9,0)*(D179-INT(D179))+VLOOKUP(INT(D179),Tablas!$G$9:$O$1240,9,0)*(INT(D179)+1-D179))</f>
        <v>829434.72889552754</v>
      </c>
      <c r="H179" s="105">
        <f t="shared" ca="1" si="18"/>
        <v>1</v>
      </c>
      <c r="I179" s="106">
        <f t="shared" ca="1" si="19"/>
        <v>6.1150882470705492E-2</v>
      </c>
      <c r="J179" s="106">
        <f t="shared" ca="1" si="23"/>
        <v>5.2415042117747564E-2</v>
      </c>
      <c r="K179" s="105">
        <f t="shared" ca="1" si="20"/>
        <v>0.89831981341616218</v>
      </c>
      <c r="L179" s="75"/>
    </row>
    <row r="180" spans="2:12">
      <c r="B180" s="101">
        <f t="shared" ca="1" si="21"/>
        <v>57744</v>
      </c>
      <c r="C180" s="101">
        <f t="shared" ca="1" si="22"/>
        <v>57771</v>
      </c>
      <c r="D180" s="102">
        <f t="shared" ca="1" si="16"/>
        <v>80.662559890485966</v>
      </c>
      <c r="E180" s="103">
        <f t="shared" ca="1" si="17"/>
        <v>0.81593828346893615</v>
      </c>
      <c r="F180" s="104">
        <f ca="1">IF($C$4="Hombre",(+VLOOKUP(INT(D180)+1,Tablas!$G$9:$K$1240,5,0)*(D180-INT(D180))+VLOOKUP(INT(D180),Tablas!$G$9:$K$1240,5,0)*(INT(D180)+1-D180))/(VLOOKUP(INT($C$5)+1,Tablas!$G$9:$K$1240,5,0)*($C$5-INT($C$5))+VLOOKUP(INT($C$5),Tablas!$G$9:$K$124,5,0)*(INT($C$5)+1-$C$5)),(+VLOOKUP(INT(D180)+1,Tablas!$G$9:$O$1240,9,0)*(D180-INT(D180))+VLOOKUP(INT(D180),Tablas!$G$9:$O$1240,9,0)*(INT(D180)+1-D180))/(VLOOKUP(INT($C$5)+1,Tablas!$G$9:$O$1240,9,0)*($C$5-INT($C$5))+VLOOKUP(INT($C$5),Tablas!$G$9:$O$124,9,0)*(INT($C$5)+1-$C$5)))</f>
        <v>0.89720705655532929</v>
      </c>
      <c r="G180" s="97">
        <f ca="1">IF($C$4="Hombre",(+VLOOKUP(INT(D180)+1,Tablas!$G$9:$K$1240,5,0)*(D180-INT(D180))+VLOOKUP(INT(D180),Tablas!$G$9:$K$1240,5,0)*(INT(D180)+1-D180)),+VLOOKUP(INT(D180)+1,Tablas!$G$9:$O$1240,9,0)*(D180-INT(D180))+VLOOKUP(INT(D180),Tablas!$G$9:$O$1240,9,0)*(INT(D180)+1-D180))</f>
        <v>828407.30061062565</v>
      </c>
      <c r="H180" s="105">
        <f t="shared" ca="1" si="18"/>
        <v>1</v>
      </c>
      <c r="I180" s="106">
        <f t="shared" ca="1" si="19"/>
        <v>6.1005465470164333E-2</v>
      </c>
      <c r="J180" s="106">
        <f t="shared" ca="1" si="23"/>
        <v>5.2290398974426569E-2</v>
      </c>
      <c r="K180" s="105">
        <f t="shared" ca="1" si="20"/>
        <v>0.89720705655532929</v>
      </c>
      <c r="L180" s="75"/>
    </row>
    <row r="181" spans="2:12">
      <c r="B181" s="101">
        <f t="shared" ca="1" si="21"/>
        <v>57772</v>
      </c>
      <c r="C181" s="101">
        <f t="shared" ca="1" si="22"/>
        <v>57802</v>
      </c>
      <c r="D181" s="102">
        <f t="shared" ca="1" si="16"/>
        <v>80.747433264887064</v>
      </c>
      <c r="E181" s="103">
        <f t="shared" ca="1" si="17"/>
        <v>0.81490787685443078</v>
      </c>
      <c r="F181" s="104">
        <f ca="1">IF($C$4="Hombre",(+VLOOKUP(INT(D181)+1,Tablas!$G$9:$K$1240,5,0)*(D181-INT(D181))+VLOOKUP(INT(D181),Tablas!$G$9:$K$1240,5,0)*(INT(D181)+1-D181))/(VLOOKUP(INT($C$5)+1,Tablas!$G$9:$K$1240,5,0)*($C$5-INT($C$5))+VLOOKUP(INT($C$5),Tablas!$G$9:$K$124,5,0)*(INT($C$5)+1-$C$5)),(+VLOOKUP(INT(D181)+1,Tablas!$G$9:$O$1240,9,0)*(D181-INT(D181))+VLOOKUP(INT(D181),Tablas!$G$9:$O$1240,9,0)*(INT(D181)+1-D181))/(VLOOKUP(INT($C$5)+1,Tablas!$G$9:$O$1240,9,0)*($C$5-INT($C$5))+VLOOKUP(INT($C$5),Tablas!$G$9:$O$124,9,0)*(INT($C$5)+1-$C$5)))</f>
        <v>0.89597507574512136</v>
      </c>
      <c r="G181" s="97">
        <f ca="1">IF($C$4="Hombre",(+VLOOKUP(INT(D181)+1,Tablas!$G$9:$K$1240,5,0)*(D181-INT(D181))+VLOOKUP(INT(D181),Tablas!$G$9:$K$1240,5,0)*(INT(D181)+1-D181)),+VLOOKUP(INT(D181)+1,Tablas!$G$9:$O$1240,9,0)*(D181-INT(D181))+VLOOKUP(INT(D181),Tablas!$G$9:$O$1240,9,0)*(INT(D181)+1-D181))</f>
        <v>827269.79072376993</v>
      </c>
      <c r="H181" s="105">
        <f t="shared" ca="1" si="18"/>
        <v>1</v>
      </c>
      <c r="I181" s="106">
        <f t="shared" ca="1" si="19"/>
        <v>6.0844762224162047E-2</v>
      </c>
      <c r="J181" s="106">
        <f t="shared" ca="1" si="23"/>
        <v>5.2152653334996038E-2</v>
      </c>
      <c r="K181" s="105">
        <f t="shared" ca="1" si="20"/>
        <v>0.89597507574512136</v>
      </c>
      <c r="L181" s="75"/>
    </row>
    <row r="182" spans="2:12">
      <c r="B182" s="101">
        <f t="shared" ca="1" si="21"/>
        <v>57803</v>
      </c>
      <c r="C182" s="101">
        <f t="shared" ca="1" si="22"/>
        <v>57832</v>
      </c>
      <c r="D182" s="102">
        <f t="shared" ca="1" si="16"/>
        <v>80.829568788501021</v>
      </c>
      <c r="E182" s="103">
        <f t="shared" ca="1" si="17"/>
        <v>0.81391194814090562</v>
      </c>
      <c r="F182" s="104">
        <f ca="1">IF($C$4="Hombre",(+VLOOKUP(INT(D182)+1,Tablas!$G$9:$K$1240,5,0)*(D182-INT(D182))+VLOOKUP(INT(D182),Tablas!$G$9:$K$1240,5,0)*(INT(D182)+1-D182))/(VLOOKUP(INT($C$5)+1,Tablas!$G$9:$K$1240,5,0)*($C$5-INT($C$5))+VLOOKUP(INT($C$5),Tablas!$G$9:$K$124,5,0)*(INT($C$5)+1-$C$5)),(+VLOOKUP(INT(D182)+1,Tablas!$G$9:$O$1240,9,0)*(D182-INT(D182))+VLOOKUP(INT(D182),Tablas!$G$9:$O$1240,9,0)*(INT(D182)+1-D182))/(VLOOKUP(INT($C$5)+1,Tablas!$G$9:$O$1240,9,0)*($C$5-INT($C$5))+VLOOKUP(INT($C$5),Tablas!$G$9:$O$124,9,0)*(INT($C$5)+1-$C$5)))</f>
        <v>0.894782836251372</v>
      </c>
      <c r="G182" s="97">
        <f ca="1">IF($C$4="Hombre",(+VLOOKUP(INT(D182)+1,Tablas!$G$9:$K$1240,5,0)*(D182-INT(D182))+VLOOKUP(INT(D182),Tablas!$G$9:$K$1240,5,0)*(INT(D182)+1-D182)),+VLOOKUP(INT(D182)+1,Tablas!$G$9:$O$1240,9,0)*(D182-INT(D182))+VLOOKUP(INT(D182),Tablas!$G$9:$O$1240,9,0)*(INT(D182)+1-D182))</f>
        <v>826168.9747042323</v>
      </c>
      <c r="H182" s="105">
        <f t="shared" ca="1" si="18"/>
        <v>1</v>
      </c>
      <c r="I182" s="106">
        <f t="shared" ca="1" si="19"/>
        <v>6.0689536784699925E-2</v>
      </c>
      <c r="J182" s="106">
        <f t="shared" ca="1" si="23"/>
        <v>5.2019602958314218E-2</v>
      </c>
      <c r="K182" s="105">
        <f t="shared" ca="1" si="20"/>
        <v>0.894782836251372</v>
      </c>
      <c r="L182" s="75"/>
    </row>
    <row r="183" spans="2:12">
      <c r="B183" s="101">
        <f t="shared" ca="1" si="21"/>
        <v>57833</v>
      </c>
      <c r="C183" s="101">
        <f t="shared" ca="1" si="22"/>
        <v>57863</v>
      </c>
      <c r="D183" s="102">
        <f t="shared" ca="1" si="16"/>
        <v>80.91444216290212</v>
      </c>
      <c r="E183" s="103">
        <f t="shared" ca="1" si="17"/>
        <v>0.81288410048136961</v>
      </c>
      <c r="F183" s="104">
        <f ca="1">IF($C$4="Hombre",(+VLOOKUP(INT(D183)+1,Tablas!$G$9:$K$1240,5,0)*(D183-INT(D183))+VLOOKUP(INT(D183),Tablas!$G$9:$K$1240,5,0)*(INT(D183)+1-D183))/(VLOOKUP(INT($C$5)+1,Tablas!$G$9:$K$1240,5,0)*($C$5-INT($C$5))+VLOOKUP(INT($C$5),Tablas!$G$9:$K$124,5,0)*(INT($C$5)+1-$C$5)),(+VLOOKUP(INT(D183)+1,Tablas!$G$9:$O$1240,9,0)*(D183-INT(D183))+VLOOKUP(INT(D183),Tablas!$G$9:$O$1240,9,0)*(INT(D183)+1-D183))/(VLOOKUP(INT($C$5)+1,Tablas!$G$9:$O$1240,9,0)*($C$5-INT($C$5))+VLOOKUP(INT($C$5),Tablas!$G$9:$O$124,9,0)*(INT($C$5)+1-$C$5)))</f>
        <v>0.89355085544116419</v>
      </c>
      <c r="G183" s="97">
        <f ca="1">IF($C$4="Hombre",(+VLOOKUP(INT(D183)+1,Tablas!$G$9:$K$1240,5,0)*(D183-INT(D183))+VLOOKUP(INT(D183),Tablas!$G$9:$K$1240,5,0)*(INT(D183)+1-D183)),+VLOOKUP(INT(D183)+1,Tablas!$G$9:$O$1240,9,0)*(D183-INT(D183))+VLOOKUP(INT(D183),Tablas!$G$9:$O$1240,9,0)*(INT(D183)+1-D183))</f>
        <v>825031.46481737657</v>
      </c>
      <c r="H183" s="105">
        <f t="shared" ca="1" si="18"/>
        <v>1</v>
      </c>
      <c r="I183" s="106">
        <f t="shared" ca="1" si="19"/>
        <v>6.0529440279970752E-2</v>
      </c>
      <c r="J183" s="106">
        <f t="shared" ca="1" si="23"/>
        <v>0.10376475476566414</v>
      </c>
      <c r="K183" s="105">
        <f t="shared" ca="1" si="20"/>
        <v>0.89355085544116419</v>
      </c>
      <c r="L183" s="75"/>
    </row>
    <row r="184" spans="2:12">
      <c r="B184" s="101">
        <f t="shared" ca="1" si="21"/>
        <v>57864</v>
      </c>
      <c r="C184" s="101">
        <f t="shared" ca="1" si="22"/>
        <v>57893</v>
      </c>
      <c r="D184" s="102">
        <f t="shared" ca="1" si="16"/>
        <v>80.99657768651609</v>
      </c>
      <c r="E184" s="103">
        <f t="shared" ca="1" si="17"/>
        <v>0.81189064509894926</v>
      </c>
      <c r="F184" s="104">
        <f ca="1">IF($C$4="Hombre",(+VLOOKUP(INT(D184)+1,Tablas!$G$9:$K$1240,5,0)*(D184-INT(D184))+VLOOKUP(INT(D184),Tablas!$G$9:$K$1240,5,0)*(INT(D184)+1-D184))/(VLOOKUP(INT($C$5)+1,Tablas!$G$9:$K$1240,5,0)*($C$5-INT($C$5))+VLOOKUP(INT($C$5),Tablas!$G$9:$K$124,5,0)*(INT($C$5)+1-$C$5)),(+VLOOKUP(INT(D184)+1,Tablas!$G$9:$O$1240,9,0)*(D184-INT(D184))+VLOOKUP(INT(D184),Tablas!$G$9:$O$1240,9,0)*(INT(D184)+1-D184))/(VLOOKUP(INT($C$5)+1,Tablas!$G$9:$O$1240,9,0)*($C$5-INT($C$5))+VLOOKUP(INT($C$5),Tablas!$G$9:$O$124,9,0)*(INT($C$5)+1-$C$5)))</f>
        <v>0.8923586159474145</v>
      </c>
      <c r="G184" s="97">
        <f ca="1">IF($C$4="Hombre",(+VLOOKUP(INT(D184)+1,Tablas!$G$9:$K$1240,5,0)*(D184-INT(D184))+VLOOKUP(INT(D184),Tablas!$G$9:$K$1240,5,0)*(INT(D184)+1-D184)),+VLOOKUP(INT(D184)+1,Tablas!$G$9:$O$1240,9,0)*(D184-INT(D184))+VLOOKUP(INT(D184),Tablas!$G$9:$O$1240,9,0)*(INT(D184)+1-D184))</f>
        <v>823930.64879783872</v>
      </c>
      <c r="H184" s="105">
        <f t="shared" ca="1" si="18"/>
        <v>1</v>
      </c>
      <c r="I184" s="106">
        <f t="shared" ca="1" si="19"/>
        <v>6.0374801030095987E-2</v>
      </c>
      <c r="J184" s="106">
        <f t="shared" ca="1" si="23"/>
        <v>5.1749829454367992E-2</v>
      </c>
      <c r="K184" s="105">
        <f t="shared" ca="1" si="20"/>
        <v>0.8923586159474145</v>
      </c>
      <c r="L184" s="75"/>
    </row>
    <row r="185" spans="2:12">
      <c r="B185" s="101">
        <f t="shared" ca="1" si="21"/>
        <v>57894</v>
      </c>
      <c r="C185" s="101">
        <f t="shared" ca="1" si="22"/>
        <v>57924</v>
      </c>
      <c r="D185" s="102">
        <f t="shared" ca="1" si="16"/>
        <v>81.081451060917175</v>
      </c>
      <c r="E185" s="103">
        <f t="shared" ca="1" si="17"/>
        <v>0.81086535003936699</v>
      </c>
      <c r="F185" s="104">
        <f ca="1">IF($C$4="Hombre",(+VLOOKUP(INT(D185)+1,Tablas!$G$9:$K$1240,5,0)*(D185-INT(D185))+VLOOKUP(INT(D185),Tablas!$G$9:$K$1240,5,0)*(INT(D185)+1-D185))/(VLOOKUP(INT($C$5)+1,Tablas!$G$9:$K$1240,5,0)*($C$5-INT($C$5))+VLOOKUP(INT($C$5),Tablas!$G$9:$K$124,5,0)*(INT($C$5)+1-$C$5)),(+VLOOKUP(INT(D185)+1,Tablas!$G$9:$O$1240,9,0)*(D185-INT(D185))+VLOOKUP(INT(D185),Tablas!$G$9:$O$1240,9,0)*(INT(D185)+1-D185))/(VLOOKUP(INT($C$5)+1,Tablas!$G$9:$O$1240,9,0)*($C$5-INT($C$5))+VLOOKUP(INT($C$5),Tablas!$G$9:$O$124,9,0)*(INT($C$5)+1-$C$5)))</f>
        <v>0.8909600522749983</v>
      </c>
      <c r="G185" s="97">
        <f ca="1">IF($C$4="Hombre",(+VLOOKUP(INT(D185)+1,Tablas!$G$9:$K$1240,5,0)*(D185-INT(D185))+VLOOKUP(INT(D185),Tablas!$G$9:$K$1240,5,0)*(INT(D185)+1-D185)),+VLOOKUP(INT(D185)+1,Tablas!$G$9:$O$1240,9,0)*(D185-INT(D185))+VLOOKUP(INT(D185),Tablas!$G$9:$O$1240,9,0)*(INT(D185)+1-D185))</f>
        <v>822639.32997891796</v>
      </c>
      <c r="H185" s="105">
        <f t="shared" ca="1" si="18"/>
        <v>1</v>
      </c>
      <c r="I185" s="106">
        <f t="shared" ca="1" si="19"/>
        <v>6.0204052888254929E-2</v>
      </c>
      <c r="J185" s="106">
        <f t="shared" ca="1" si="23"/>
        <v>5.1603473904218509E-2</v>
      </c>
      <c r="K185" s="105">
        <f t="shared" ca="1" si="20"/>
        <v>0.8909600522749983</v>
      </c>
      <c r="L185" s="75"/>
    </row>
    <row r="186" spans="2:12">
      <c r="B186" s="101">
        <f t="shared" ca="1" si="21"/>
        <v>57925</v>
      </c>
      <c r="C186" s="101">
        <f t="shared" ca="1" si="22"/>
        <v>57955</v>
      </c>
      <c r="D186" s="102">
        <f t="shared" ca="1" si="16"/>
        <v>81.166324435318273</v>
      </c>
      <c r="E186" s="103">
        <f t="shared" ca="1" si="17"/>
        <v>0.80984134977233491</v>
      </c>
      <c r="F186" s="104">
        <f ca="1">IF($C$4="Hombre",(+VLOOKUP(INT(D186)+1,Tablas!$G$9:$K$1240,5,0)*(D186-INT(D186))+VLOOKUP(INT(D186),Tablas!$G$9:$K$1240,5,0)*(INT(D186)+1-D186))/(VLOOKUP(INT($C$5)+1,Tablas!$G$9:$K$1240,5,0)*($C$5-INT($C$5))+VLOOKUP(INT($C$5),Tablas!$G$9:$K$124,5,0)*(INT($C$5)+1-$C$5)),(+VLOOKUP(INT(D186)+1,Tablas!$G$9:$O$1240,9,0)*(D186-INT(D186))+VLOOKUP(INT(D186),Tablas!$G$9:$O$1240,9,0)*(INT(D186)+1-D186))/(VLOOKUP(INT($C$5)+1,Tablas!$G$9:$O$1240,9,0)*($C$5-INT($C$5))+VLOOKUP(INT($C$5),Tablas!$G$9:$O$124,9,0)*(INT($C$5)+1-$C$5)))</f>
        <v>0.88955448932265713</v>
      </c>
      <c r="G186" s="97">
        <f ca="1">IF($C$4="Hombre",(+VLOOKUP(INT(D186)+1,Tablas!$G$9:$K$1240,5,0)*(D186-INT(D186))+VLOOKUP(INT(D186),Tablas!$G$9:$K$1240,5,0)*(INT(D186)+1-D186)),+VLOOKUP(INT(D186)+1,Tablas!$G$9:$O$1240,9,0)*(D186-INT(D186))+VLOOKUP(INT(D186),Tablas!$G$9:$O$1240,9,0)*(INT(D186)+1-D186))</f>
        <v>821341.54859982617</v>
      </c>
      <c r="H186" s="105">
        <f t="shared" ca="1" si="18"/>
        <v>1</v>
      </c>
      <c r="I186" s="106">
        <f t="shared" ca="1" si="19"/>
        <v>6.0033167360758394E-2</v>
      </c>
      <c r="J186" s="106">
        <f t="shared" ca="1" si="23"/>
        <v>5.1457000594935763E-2</v>
      </c>
      <c r="K186" s="105">
        <f t="shared" ca="1" si="20"/>
        <v>0.88955448932265713</v>
      </c>
      <c r="L186" s="75"/>
    </row>
    <row r="187" spans="2:12">
      <c r="B187" s="101">
        <f t="shared" ca="1" si="21"/>
        <v>57956</v>
      </c>
      <c r="C187" s="101">
        <f t="shared" ca="1" si="22"/>
        <v>57985</v>
      </c>
      <c r="D187" s="102">
        <f t="shared" ca="1" si="16"/>
        <v>81.248459958932244</v>
      </c>
      <c r="E187" s="103">
        <f t="shared" ca="1" si="17"/>
        <v>0.80885161304681485</v>
      </c>
      <c r="F187" s="104">
        <f ca="1">IF($C$4="Hombre",(+VLOOKUP(INT(D187)+1,Tablas!$G$9:$K$1240,5,0)*(D187-INT(D187))+VLOOKUP(INT(D187),Tablas!$G$9:$K$1240,5,0)*(INT(D187)+1-D187))/(VLOOKUP(INT($C$5)+1,Tablas!$G$9:$K$1240,5,0)*($C$5-INT($C$5))+VLOOKUP(INT($C$5),Tablas!$G$9:$K$124,5,0)*(INT($C$5)+1-$C$5)),(+VLOOKUP(INT(D187)+1,Tablas!$G$9:$O$1240,9,0)*(D187-INT(D187))+VLOOKUP(INT(D187),Tablas!$G$9:$O$1240,9,0)*(INT(D187)+1-D187))/(VLOOKUP(INT($C$5)+1,Tablas!$G$9:$O$1240,9,0)*($C$5-INT($C$5))+VLOOKUP(INT($C$5),Tablas!$G$9:$O$124,9,0)*(INT($C$5)+1-$C$5)))</f>
        <v>0.88819426711071403</v>
      </c>
      <c r="G187" s="97">
        <f ca="1">IF($C$4="Hombre",(+VLOOKUP(INT(D187)+1,Tablas!$G$9:$K$1240,5,0)*(D187-INT(D187))+VLOOKUP(INT(D187),Tablas!$G$9:$K$1240,5,0)*(INT(D187)+1-D187)),+VLOOKUP(INT(D187)+1,Tablas!$G$9:$O$1240,9,0)*(D187-INT(D187))+VLOOKUP(INT(D187),Tablas!$G$9:$O$1240,9,0)*(INT(D187)+1-D187))</f>
        <v>820085.63113618898</v>
      </c>
      <c r="H187" s="105">
        <f t="shared" ca="1" si="18"/>
        <v>1</v>
      </c>
      <c r="I187" s="106">
        <f t="shared" ca="1" si="19"/>
        <v>5.9868113804286208E-2</v>
      </c>
      <c r="J187" s="106">
        <f t="shared" ca="1" si="23"/>
        <v>5.1315526117959608E-2</v>
      </c>
      <c r="K187" s="105">
        <f t="shared" ca="1" si="20"/>
        <v>0.88819426711071403</v>
      </c>
      <c r="L187" s="75"/>
    </row>
    <row r="188" spans="2:12">
      <c r="B188" s="101">
        <f t="shared" ca="1" si="21"/>
        <v>57986</v>
      </c>
      <c r="C188" s="101">
        <f t="shared" ca="1" si="22"/>
        <v>58016</v>
      </c>
      <c r="D188" s="102">
        <f t="shared" ca="1" si="16"/>
        <v>81.333333333333329</v>
      </c>
      <c r="E188" s="103">
        <f t="shared" ca="1" si="17"/>
        <v>0.80783015582496065</v>
      </c>
      <c r="F188" s="104">
        <f ca="1">IF($C$4="Hombre",(+VLOOKUP(INT(D188)+1,Tablas!$G$9:$K$1240,5,0)*(D188-INT(D188))+VLOOKUP(INT(D188),Tablas!$G$9:$K$1240,5,0)*(INT(D188)+1-D188))/(VLOOKUP(INT($C$5)+1,Tablas!$G$9:$K$1240,5,0)*($C$5-INT($C$5))+VLOOKUP(INT($C$5),Tablas!$G$9:$K$124,5,0)*(INT($C$5)+1-$C$5)),(+VLOOKUP(INT(D188)+1,Tablas!$G$9:$O$1240,9,0)*(D188-INT(D188))+VLOOKUP(INT(D188),Tablas!$G$9:$O$1240,9,0)*(INT(D188)+1-D188))/(VLOOKUP(INT($C$5)+1,Tablas!$G$9:$O$1240,9,0)*($C$5-INT($C$5))+VLOOKUP(INT($C$5),Tablas!$G$9:$O$124,9,0)*(INT($C$5)+1-$C$5)))</f>
        <v>0.88678870415837296</v>
      </c>
      <c r="G188" s="97">
        <f ca="1">IF($C$4="Hombre",(+VLOOKUP(INT(D188)+1,Tablas!$G$9:$K$1240,5,0)*(D188-INT(D188))+VLOOKUP(INT(D188),Tablas!$G$9:$K$1240,5,0)*(INT(D188)+1-D188)),+VLOOKUP(INT(D188)+1,Tablas!$G$9:$O$1240,9,0)*(D188-INT(D188))+VLOOKUP(INT(D188),Tablas!$G$9:$O$1240,9,0)*(INT(D188)+1-D188))</f>
        <v>818787.84975709731</v>
      </c>
      <c r="H188" s="105">
        <f t="shared" ca="1" si="18"/>
        <v>1</v>
      </c>
      <c r="I188" s="106">
        <f t="shared" ca="1" si="19"/>
        <v>5.9697888088672775E-2</v>
      </c>
      <c r="J188" s="106">
        <f t="shared" ca="1" si="23"/>
        <v>5.1169618361719522E-2</v>
      </c>
      <c r="K188" s="105">
        <f t="shared" ca="1" si="20"/>
        <v>0.88678870415837296</v>
      </c>
      <c r="L188" s="75"/>
    </row>
    <row r="189" spans="2:12">
      <c r="B189" s="101">
        <f t="shared" ca="1" si="21"/>
        <v>58017</v>
      </c>
      <c r="C189" s="101">
        <f t="shared" ca="1" si="22"/>
        <v>58046</v>
      </c>
      <c r="D189" s="102">
        <f t="shared" ca="1" si="16"/>
        <v>81.4154688569473</v>
      </c>
      <c r="E189" s="103">
        <f t="shared" ca="1" si="17"/>
        <v>0.8068428770531032</v>
      </c>
      <c r="F189" s="104">
        <f ca="1">IF($C$4="Hombre",(+VLOOKUP(INT(D189)+1,Tablas!$G$9:$K$1240,5,0)*(D189-INT(D189))+VLOOKUP(INT(D189),Tablas!$G$9:$K$1240,5,0)*(INT(D189)+1-D189))/(VLOOKUP(INT($C$5)+1,Tablas!$G$9:$K$1240,5,0)*($C$5-INT($C$5))+VLOOKUP(INT($C$5),Tablas!$G$9:$K$124,5,0)*(INT($C$5)+1-$C$5)),(+VLOOKUP(INT(D189)+1,Tablas!$G$9:$O$1240,9,0)*(D189-INT(D189))+VLOOKUP(INT(D189),Tablas!$G$9:$O$1240,9,0)*(INT(D189)+1-D189))/(VLOOKUP(INT($C$5)+1,Tablas!$G$9:$O$1240,9,0)*($C$5-INT($C$5))+VLOOKUP(INT($C$5),Tablas!$G$9:$O$124,9,0)*(INT($C$5)+1-$C$5)))</f>
        <v>0.88542848194642987</v>
      </c>
      <c r="G189" s="97">
        <f ca="1">IF($C$4="Hombre",(+VLOOKUP(INT(D189)+1,Tablas!$G$9:$K$1240,5,0)*(D189-INT(D189))+VLOOKUP(INT(D189),Tablas!$G$9:$K$1240,5,0)*(INT(D189)+1-D189)),+VLOOKUP(INT(D189)+1,Tablas!$G$9:$O$1240,9,0)*(D189-INT(D189))+VLOOKUP(INT(D189),Tablas!$G$9:$O$1240,9,0)*(INT(D189)+1-D189))</f>
        <v>817531.93229346001</v>
      </c>
      <c r="H189" s="105">
        <f t="shared" ca="1" si="18"/>
        <v>1</v>
      </c>
      <c r="I189" s="106">
        <f t="shared" ca="1" si="19"/>
        <v>5.9533471983201587E-2</v>
      </c>
      <c r="J189" s="106">
        <f t="shared" ca="1" si="23"/>
        <v>0.10205738054263129</v>
      </c>
      <c r="K189" s="105">
        <f t="shared" ca="1" si="20"/>
        <v>0.88542848194642987</v>
      </c>
      <c r="L189" s="75"/>
    </row>
    <row r="190" spans="2:12">
      <c r="B190" s="101">
        <f t="shared" ca="1" si="21"/>
        <v>58047</v>
      </c>
      <c r="C190" s="101">
        <f t="shared" ca="1" si="22"/>
        <v>58077</v>
      </c>
      <c r="D190" s="102">
        <f t="shared" ca="1" si="16"/>
        <v>81.500342231348398</v>
      </c>
      <c r="E190" s="103">
        <f t="shared" ca="1" si="17"/>
        <v>0.80582395656092154</v>
      </c>
      <c r="F190" s="104">
        <f ca="1">IF($C$4="Hombre",(+VLOOKUP(INT(D190)+1,Tablas!$G$9:$K$1240,5,0)*(D190-INT(D190))+VLOOKUP(INT(D190),Tablas!$G$9:$K$1240,5,0)*(INT(D190)+1-D190))/(VLOOKUP(INT($C$5)+1,Tablas!$G$9:$K$1240,5,0)*($C$5-INT($C$5))+VLOOKUP(INT($C$5),Tablas!$G$9:$K$124,5,0)*(INT($C$5)+1-$C$5)),(+VLOOKUP(INT(D190)+1,Tablas!$G$9:$O$1240,9,0)*(D190-INT(D190))+VLOOKUP(INT(D190),Tablas!$G$9:$O$1240,9,0)*(INT(D190)+1-D190))/(VLOOKUP(INT($C$5)+1,Tablas!$G$9:$O$1240,9,0)*($C$5-INT($C$5))+VLOOKUP(INT($C$5),Tablas!$G$9:$O$124,9,0)*(INT($C$5)+1-$C$5)))</f>
        <v>0.88402291899408869</v>
      </c>
      <c r="G190" s="97">
        <f ca="1">IF($C$4="Hombre",(+VLOOKUP(INT(D190)+1,Tablas!$G$9:$K$1240,5,0)*(D190-INT(D190))+VLOOKUP(INT(D190),Tablas!$G$9:$K$1240,5,0)*(INT(D190)+1-D190)),+VLOOKUP(INT(D190)+1,Tablas!$G$9:$O$1240,9,0)*(D190-INT(D190))+VLOOKUP(INT(D190),Tablas!$G$9:$O$1240,9,0)*(INT(D190)+1-D190))</f>
        <v>816234.15091436822</v>
      </c>
      <c r="H190" s="105">
        <f t="shared" ca="1" si="18"/>
        <v>1</v>
      </c>
      <c r="I190" s="106">
        <f t="shared" ca="1" si="19"/>
        <v>5.9363903856195964E-2</v>
      </c>
      <c r="J190" s="106">
        <f t="shared" ca="1" si="23"/>
        <v>5.0883346162453678E-2</v>
      </c>
      <c r="K190" s="105">
        <f t="shared" ca="1" si="20"/>
        <v>0.88402291899408869</v>
      </c>
      <c r="L190" s="75"/>
    </row>
    <row r="191" spans="2:12">
      <c r="B191" s="101">
        <f t="shared" ca="1" si="21"/>
        <v>58078</v>
      </c>
      <c r="C191" s="101">
        <f t="shared" ca="1" si="22"/>
        <v>58108</v>
      </c>
      <c r="D191" s="102">
        <f t="shared" ca="1" si="16"/>
        <v>81.585215605749482</v>
      </c>
      <c r="E191" s="103">
        <f t="shared" ca="1" si="17"/>
        <v>0.80480632281117637</v>
      </c>
      <c r="F191" s="104">
        <f ca="1">IF($C$4="Hombre",(+VLOOKUP(INT(D191)+1,Tablas!$G$9:$K$1240,5,0)*(D191-INT(D191))+VLOOKUP(INT(D191),Tablas!$G$9:$K$1240,5,0)*(INT(D191)+1-D191))/(VLOOKUP(INT($C$5)+1,Tablas!$G$9:$K$1240,5,0)*($C$5-INT($C$5))+VLOOKUP(INT($C$5),Tablas!$G$9:$K$124,5,0)*(INT($C$5)+1-$C$5)),(+VLOOKUP(INT(D191)+1,Tablas!$G$9:$O$1240,9,0)*(D191-INT(D191))+VLOOKUP(INT(D191),Tablas!$G$9:$O$1240,9,0)*(INT(D191)+1-D191))/(VLOOKUP(INT($C$5)+1,Tablas!$G$9:$O$1240,9,0)*($C$5-INT($C$5))+VLOOKUP(INT($C$5),Tablas!$G$9:$O$124,9,0)*(INT($C$5)+1-$C$5)))</f>
        <v>0.88261735604174785</v>
      </c>
      <c r="G191" s="97">
        <f ca="1">IF($C$4="Hombre",(+VLOOKUP(INT(D191)+1,Tablas!$G$9:$K$1240,5,0)*(D191-INT(D191))+VLOOKUP(INT(D191),Tablas!$G$9:$K$1240,5,0)*(INT(D191)+1-D191)),+VLOOKUP(INT(D191)+1,Tablas!$G$9:$O$1240,9,0)*(D191-INT(D191))+VLOOKUP(INT(D191),Tablas!$G$9:$O$1240,9,0)*(INT(D191)+1-D191))</f>
        <v>814936.36953527678</v>
      </c>
      <c r="H191" s="105">
        <f t="shared" ca="1" si="18"/>
        <v>1</v>
      </c>
      <c r="I191" s="106">
        <f t="shared" ca="1" si="19"/>
        <v>5.9194669063773485E-2</v>
      </c>
      <c r="J191" s="106">
        <f t="shared" ca="1" si="23"/>
        <v>5.0738287768948696E-2</v>
      </c>
      <c r="K191" s="105">
        <f t="shared" ca="1" si="20"/>
        <v>0.88261735604174785</v>
      </c>
      <c r="L191" s="75"/>
    </row>
    <row r="192" spans="2:12">
      <c r="B192" s="101">
        <f t="shared" ca="1" si="21"/>
        <v>58109</v>
      </c>
      <c r="C192" s="101">
        <f t="shared" ca="1" si="22"/>
        <v>58136</v>
      </c>
      <c r="D192" s="102">
        <f t="shared" ca="1" si="16"/>
        <v>81.661875427789184</v>
      </c>
      <c r="E192" s="103">
        <f t="shared" ca="1" si="17"/>
        <v>0.80388827437778743</v>
      </c>
      <c r="F192" s="104">
        <f ca="1">IF($C$4="Hombre",(+VLOOKUP(INT(D192)+1,Tablas!$G$9:$K$1240,5,0)*(D192-INT(D192))+VLOOKUP(INT(D192),Tablas!$G$9:$K$1240,5,0)*(INT(D192)+1-D192))/(VLOOKUP(INT($C$5)+1,Tablas!$G$9:$K$1240,5,0)*($C$5-INT($C$5))+VLOOKUP(INT($C$5),Tablas!$G$9:$K$124,5,0)*(INT($C$5)+1-$C$5)),(+VLOOKUP(INT(D192)+1,Tablas!$G$9:$O$1240,9,0)*(D192-INT(D192))+VLOOKUP(INT(D192),Tablas!$G$9:$O$1240,9,0)*(INT(D192)+1-D192))/(VLOOKUP(INT($C$5)+1,Tablas!$G$9:$O$1240,9,0)*($C$5-INT($C$5))+VLOOKUP(INT($C$5),Tablas!$G$9:$O$124,9,0)*(INT($C$5)+1-$C$5)))</f>
        <v>0.88134781531060091</v>
      </c>
      <c r="G192" s="97">
        <f ca="1">IF($C$4="Hombre",(+VLOOKUP(INT(D192)+1,Tablas!$G$9:$K$1240,5,0)*(D192-INT(D192))+VLOOKUP(INT(D192),Tablas!$G$9:$K$1240,5,0)*(INT(D192)+1-D192)),+VLOOKUP(INT(D192)+1,Tablas!$G$9:$O$1240,9,0)*(D192-INT(D192))+VLOOKUP(INT(D192),Tablas!$G$9:$O$1240,9,0)*(INT(D192)+1-D192))</f>
        <v>813764.17990254867</v>
      </c>
      <c r="H192" s="105">
        <f t="shared" ca="1" si="18"/>
        <v>1</v>
      </c>
      <c r="I192" s="106">
        <f t="shared" ca="1" si="19"/>
        <v>5.9042097864722649E-2</v>
      </c>
      <c r="J192" s="106">
        <f t="shared" ca="1" si="23"/>
        <v>5.060751245547656E-2</v>
      </c>
      <c r="K192" s="105">
        <f t="shared" ca="1" si="20"/>
        <v>0.88134781531060091</v>
      </c>
      <c r="L192" s="75"/>
    </row>
    <row r="193" spans="2:12">
      <c r="B193" s="101">
        <f t="shared" ca="1" si="21"/>
        <v>58137</v>
      </c>
      <c r="C193" s="101">
        <f t="shared" ca="1" si="22"/>
        <v>58167</v>
      </c>
      <c r="D193" s="102">
        <f t="shared" ca="1" si="16"/>
        <v>81.746748802190282</v>
      </c>
      <c r="E193" s="103">
        <f t="shared" ca="1" si="17"/>
        <v>0.80287308510180377</v>
      </c>
      <c r="F193" s="104">
        <f ca="1">IF($C$4="Hombre",(+VLOOKUP(INT(D193)+1,Tablas!$G$9:$K$1240,5,0)*(D193-INT(D193))+VLOOKUP(INT(D193),Tablas!$G$9:$K$1240,5,0)*(INT(D193)+1-D193))/(VLOOKUP(INT($C$5)+1,Tablas!$G$9:$K$1240,5,0)*($C$5-INT($C$5))+VLOOKUP(INT($C$5),Tablas!$G$9:$K$124,5,0)*(INT($C$5)+1-$C$5)),(+VLOOKUP(INT(D193)+1,Tablas!$G$9:$O$1240,9,0)*(D193-INT(D193))+VLOOKUP(INT(D193),Tablas!$G$9:$O$1240,9,0)*(INT(D193)+1-D193))/(VLOOKUP(INT($C$5)+1,Tablas!$G$9:$O$1240,9,0)*($C$5-INT($C$5))+VLOOKUP(INT($C$5),Tablas!$G$9:$O$124,9,0)*(INT($C$5)+1-$C$5)))</f>
        <v>0.87994225235825974</v>
      </c>
      <c r="G193" s="97">
        <f ca="1">IF($C$4="Hombre",(+VLOOKUP(INT(D193)+1,Tablas!$G$9:$K$1240,5,0)*(D193-INT(D193))+VLOOKUP(INT(D193),Tablas!$G$9:$K$1240,5,0)*(INT(D193)+1-D193)),+VLOOKUP(INT(D193)+1,Tablas!$G$9:$O$1240,9,0)*(D193-INT(D193))+VLOOKUP(INT(D193),Tablas!$G$9:$O$1240,9,0)*(INT(D193)+1-D193))</f>
        <v>812466.39852345688</v>
      </c>
      <c r="H193" s="105">
        <f t="shared" ca="1" si="18"/>
        <v>1</v>
      </c>
      <c r="I193" s="106">
        <f t="shared" ca="1" si="19"/>
        <v>5.8873495905192155E-2</v>
      </c>
      <c r="J193" s="106">
        <f t="shared" ca="1" si="23"/>
        <v>5.046299649016471E-2</v>
      </c>
      <c r="K193" s="105">
        <f t="shared" ca="1" si="20"/>
        <v>0.87994225235825974</v>
      </c>
      <c r="L193" s="75"/>
    </row>
    <row r="194" spans="2:12">
      <c r="B194" s="101">
        <f t="shared" ca="1" si="21"/>
        <v>58168</v>
      </c>
      <c r="C194" s="101">
        <f t="shared" ca="1" si="22"/>
        <v>58197</v>
      </c>
      <c r="D194" s="102">
        <f t="shared" ca="1" si="16"/>
        <v>81.828884325804239</v>
      </c>
      <c r="E194" s="103">
        <f t="shared" ca="1" si="17"/>
        <v>0.8018918645473333</v>
      </c>
      <c r="F194" s="104">
        <f ca="1">IF($C$4="Hombre",(+VLOOKUP(INT(D194)+1,Tablas!$G$9:$K$1240,5,0)*(D194-INT(D194))+VLOOKUP(INT(D194),Tablas!$G$9:$K$1240,5,0)*(INT(D194)+1-D194))/(VLOOKUP(INT($C$5)+1,Tablas!$G$9:$K$1240,5,0)*($C$5-INT($C$5))+VLOOKUP(INT($C$5),Tablas!$G$9:$K$124,5,0)*(INT($C$5)+1-$C$5)),(+VLOOKUP(INT(D194)+1,Tablas!$G$9:$O$1240,9,0)*(D194-INT(D194))+VLOOKUP(INT(D194),Tablas!$G$9:$O$1240,9,0)*(INT(D194)+1-D194))/(VLOOKUP(INT($C$5)+1,Tablas!$G$9:$O$1240,9,0)*($C$5-INT($C$5))+VLOOKUP(INT($C$5),Tablas!$G$9:$O$124,9,0)*(INT($C$5)+1-$C$5)))</f>
        <v>0.87858203014631686</v>
      </c>
      <c r="G194" s="97">
        <f ca="1">IF($C$4="Hombre",(+VLOOKUP(INT(D194)+1,Tablas!$G$9:$K$1240,5,0)*(D194-INT(D194))+VLOOKUP(INT(D194),Tablas!$G$9:$K$1240,5,0)*(INT(D194)+1-D194)),+VLOOKUP(INT(D194)+1,Tablas!$G$9:$O$1240,9,0)*(D194-INT(D194))+VLOOKUP(INT(D194),Tablas!$G$9:$O$1240,9,0)*(INT(D194)+1-D194))</f>
        <v>811210.48105981981</v>
      </c>
      <c r="H194" s="105">
        <f t="shared" ca="1" si="18"/>
        <v>1</v>
      </c>
      <c r="I194" s="106">
        <f t="shared" ca="1" si="19"/>
        <v>5.8710648525984281E-2</v>
      </c>
      <c r="J194" s="106">
        <f t="shared" ca="1" si="23"/>
        <v>5.0323413022272237E-2</v>
      </c>
      <c r="K194" s="105">
        <f t="shared" ca="1" si="20"/>
        <v>0.87858203014631686</v>
      </c>
      <c r="L194" s="75"/>
    </row>
    <row r="195" spans="2:12">
      <c r="B195" s="101">
        <f t="shared" ca="1" si="21"/>
        <v>58198</v>
      </c>
      <c r="C195" s="101">
        <f t="shared" ca="1" si="22"/>
        <v>58228</v>
      </c>
      <c r="D195" s="102">
        <f t="shared" ca="1" si="16"/>
        <v>81.913757700205338</v>
      </c>
      <c r="E195" s="103">
        <f t="shared" ca="1" si="17"/>
        <v>0.80087919643494287</v>
      </c>
      <c r="F195" s="104">
        <f ca="1">IF($C$4="Hombre",(+VLOOKUP(INT(D195)+1,Tablas!$G$9:$K$1240,5,0)*(D195-INT(D195))+VLOOKUP(INT(D195),Tablas!$G$9:$K$1240,5,0)*(INT(D195)+1-D195))/(VLOOKUP(INT($C$5)+1,Tablas!$G$9:$K$1240,5,0)*($C$5-INT($C$5))+VLOOKUP(INT($C$5),Tablas!$G$9:$K$124,5,0)*(INT($C$5)+1-$C$5)),(+VLOOKUP(INT(D195)+1,Tablas!$G$9:$O$1240,9,0)*(D195-INT(D195))+VLOOKUP(INT(D195),Tablas!$G$9:$O$1240,9,0)*(INT(D195)+1-D195))/(VLOOKUP(INT($C$5)+1,Tablas!$G$9:$O$1240,9,0)*($C$5-INT($C$5))+VLOOKUP(INT($C$5),Tablas!$G$9:$O$124,9,0)*(INT($C$5)+1-$C$5)))</f>
        <v>0.87717646719397568</v>
      </c>
      <c r="G195" s="97">
        <f ca="1">IF($C$4="Hombre",(+VLOOKUP(INT(D195)+1,Tablas!$G$9:$K$1240,5,0)*(D195-INT(D195))+VLOOKUP(INT(D195),Tablas!$G$9:$K$1240,5,0)*(INT(D195)+1-D195)),+VLOOKUP(INT(D195)+1,Tablas!$G$9:$O$1240,9,0)*(D195-INT(D195))+VLOOKUP(INT(D195),Tablas!$G$9:$O$1240,9,0)*(INT(D195)+1-D195))</f>
        <v>809912.69968072802</v>
      </c>
      <c r="H195" s="105">
        <f t="shared" ca="1" si="18"/>
        <v>1</v>
      </c>
      <c r="I195" s="106">
        <f t="shared" ca="1" si="19"/>
        <v>5.85426986814961E-2</v>
      </c>
      <c r="J195" s="106">
        <f t="shared" ca="1" si="23"/>
        <v>0.1003589120254219</v>
      </c>
      <c r="K195" s="105">
        <f t="shared" ca="1" si="20"/>
        <v>0.87717646719397568</v>
      </c>
      <c r="L195" s="75"/>
    </row>
    <row r="196" spans="2:12">
      <c r="B196" s="101">
        <f t="shared" ca="1" si="21"/>
        <v>58229</v>
      </c>
      <c r="C196" s="101">
        <f t="shared" ca="1" si="22"/>
        <v>58258</v>
      </c>
      <c r="D196" s="102">
        <f t="shared" ca="1" si="16"/>
        <v>81.995893223819309</v>
      </c>
      <c r="E196" s="103">
        <f t="shared" ca="1" si="17"/>
        <v>0.79990041268471879</v>
      </c>
      <c r="F196" s="104">
        <f ca="1">IF($C$4="Hombre",(+VLOOKUP(INT(D196)+1,Tablas!$G$9:$K$1240,5,0)*(D196-INT(D196))+VLOOKUP(INT(D196),Tablas!$G$9:$K$1240,5,0)*(INT(D196)+1-D196))/(VLOOKUP(INT($C$5)+1,Tablas!$G$9:$K$1240,5,0)*($C$5-INT($C$5))+VLOOKUP(INT($C$5),Tablas!$G$9:$K$124,5,0)*(INT($C$5)+1-$C$5)),(+VLOOKUP(INT(D196)+1,Tablas!$G$9:$O$1240,9,0)*(D196-INT(D196))+VLOOKUP(INT(D196),Tablas!$G$9:$O$1240,9,0)*(INT(D196)+1-D196))/(VLOOKUP(INT($C$5)+1,Tablas!$G$9:$O$1240,9,0)*($C$5-INT($C$5))+VLOOKUP(INT($C$5),Tablas!$G$9:$O$124,9,0)*(INT($C$5)+1-$C$5)))</f>
        <v>0.87581624498203259</v>
      </c>
      <c r="G196" s="97">
        <f ca="1">IF($C$4="Hombre",(+VLOOKUP(INT(D196)+1,Tablas!$G$9:$K$1240,5,0)*(D196-INT(D196))+VLOOKUP(INT(D196),Tablas!$G$9:$K$1240,5,0)*(INT(D196)+1-D196)),+VLOOKUP(INT(D196)+1,Tablas!$G$9:$O$1240,9,0)*(D196-INT(D196))+VLOOKUP(INT(D196),Tablas!$G$9:$O$1240,9,0)*(INT(D196)+1-D196))</f>
        <v>808656.78221709083</v>
      </c>
      <c r="H196" s="105">
        <f t="shared" ca="1" si="18"/>
        <v>1</v>
      </c>
      <c r="I196" s="106">
        <f t="shared" ca="1" si="19"/>
        <v>5.8380481316425717E-2</v>
      </c>
      <c r="J196" s="106">
        <f t="shared" ca="1" si="23"/>
        <v>5.004041255693633E-2</v>
      </c>
      <c r="K196" s="105">
        <f t="shared" ca="1" si="20"/>
        <v>0.87581624498203259</v>
      </c>
      <c r="L196" s="75"/>
    </row>
    <row r="197" spans="2:12">
      <c r="B197" s="101">
        <f t="shared" ca="1" si="21"/>
        <v>58259</v>
      </c>
      <c r="C197" s="101">
        <f t="shared" ca="1" si="22"/>
        <v>58289</v>
      </c>
      <c r="D197" s="102">
        <f t="shared" ca="1" si="16"/>
        <v>82.080766598220393</v>
      </c>
      <c r="E197" s="103">
        <f t="shared" ca="1" si="17"/>
        <v>0.79889025947475822</v>
      </c>
      <c r="F197" s="104">
        <f ca="1">IF($C$4="Hombre",(+VLOOKUP(INT(D197)+1,Tablas!$G$9:$K$1240,5,0)*(D197-INT(D197))+VLOOKUP(INT(D197),Tablas!$G$9:$K$1240,5,0)*(INT(D197)+1-D197))/(VLOOKUP(INT($C$5)+1,Tablas!$G$9:$K$1240,5,0)*($C$5-INT($C$5))+VLOOKUP(INT($C$5),Tablas!$G$9:$K$124,5,0)*(INT($C$5)+1-$C$5)),(+VLOOKUP(INT(D197)+1,Tablas!$G$9:$O$1240,9,0)*(D197-INT(D197))+VLOOKUP(INT(D197),Tablas!$G$9:$O$1240,9,0)*(INT(D197)+1-D197))/(VLOOKUP(INT($C$5)+1,Tablas!$G$9:$O$1240,9,0)*($C$5-INT($C$5))+VLOOKUP(INT($C$5),Tablas!$G$9:$O$124,9,0)*(INT($C$5)+1-$C$5)))</f>
        <v>0.87423594115965064</v>
      </c>
      <c r="G197" s="97">
        <f ca="1">IF($C$4="Hombre",(+VLOOKUP(INT(D197)+1,Tablas!$G$9:$K$1240,5,0)*(D197-INT(D197))+VLOOKUP(INT(D197),Tablas!$G$9:$K$1240,5,0)*(INT(D197)+1-D197)),+VLOOKUP(INT(D197)+1,Tablas!$G$9:$O$1240,9,0)*(D197-INT(D197))+VLOOKUP(INT(D197),Tablas!$G$9:$O$1240,9,0)*(INT(D197)+1-D197))</f>
        <v>807197.65947158961</v>
      </c>
      <c r="H197" s="105">
        <f t="shared" ca="1" si="18"/>
        <v>1</v>
      </c>
      <c r="I197" s="106">
        <f t="shared" ca="1" si="19"/>
        <v>5.8201548156266061E-2</v>
      </c>
      <c r="J197" s="106">
        <f t="shared" ca="1" si="23"/>
        <v>4.9887041276799486E-2</v>
      </c>
      <c r="K197" s="105">
        <f t="shared" ca="1" si="20"/>
        <v>0.87423594115965064</v>
      </c>
      <c r="L197" s="75"/>
    </row>
    <row r="198" spans="2:12">
      <c r="B198" s="101">
        <f t="shared" ca="1" si="21"/>
        <v>58290</v>
      </c>
      <c r="C198" s="101">
        <f t="shared" ca="1" si="22"/>
        <v>58320</v>
      </c>
      <c r="D198" s="102">
        <f t="shared" ca="1" si="16"/>
        <v>82.165639972621491</v>
      </c>
      <c r="E198" s="103">
        <f t="shared" ca="1" si="17"/>
        <v>0.79788138193548286</v>
      </c>
      <c r="F198" s="104">
        <f ca="1">IF($C$4="Hombre",(+VLOOKUP(INT(D198)+1,Tablas!$G$9:$K$1240,5,0)*(D198-INT(D198))+VLOOKUP(INT(D198),Tablas!$G$9:$K$1240,5,0)*(INT(D198)+1-D198))/(VLOOKUP(INT($C$5)+1,Tablas!$G$9:$K$1240,5,0)*($C$5-INT($C$5))+VLOOKUP(INT($C$5),Tablas!$G$9:$K$124,5,0)*(INT($C$5)+1-$C$5)),(+VLOOKUP(INT(D198)+1,Tablas!$G$9:$O$1240,9,0)*(D198-INT(D198))+VLOOKUP(INT(D198),Tablas!$G$9:$O$1240,9,0)*(INT(D198)+1-D198))/(VLOOKUP(INT($C$5)+1,Tablas!$G$9:$O$1240,9,0)*($C$5-INT($C$5))+VLOOKUP(INT($C$5),Tablas!$G$9:$O$124,9,0)*(INT($C$5)+1-$C$5)))</f>
        <v>0.87264675220828314</v>
      </c>
      <c r="G198" s="97">
        <f ca="1">IF($C$4="Hombre",(+VLOOKUP(INT(D198)+1,Tablas!$G$9:$K$1240,5,0)*(D198-INT(D198))+VLOOKUP(INT(D198),Tablas!$G$9:$K$1240,5,0)*(INT(D198)+1-D198)),+VLOOKUP(INT(D198)+1,Tablas!$G$9:$O$1240,9,0)*(D198-INT(D198))+VLOOKUP(INT(D198),Tablas!$G$9:$O$1240,9,0)*(INT(D198)+1-D198))</f>
        <v>805730.33292779594</v>
      </c>
      <c r="H198" s="105">
        <f t="shared" ca="1" si="18"/>
        <v>1</v>
      </c>
      <c r="I198" s="106">
        <f t="shared" ca="1" si="19"/>
        <v>5.8022383049454646E-2</v>
      </c>
      <c r="J198" s="106">
        <f t="shared" ca="1" si="23"/>
        <v>4.973347118524684E-2</v>
      </c>
      <c r="K198" s="105">
        <f t="shared" ca="1" si="20"/>
        <v>0.87264675220828314</v>
      </c>
      <c r="L198" s="75"/>
    </row>
    <row r="199" spans="2:12">
      <c r="B199" s="101">
        <f t="shared" ca="1" si="21"/>
        <v>58321</v>
      </c>
      <c r="C199" s="101">
        <f t="shared" ca="1" si="22"/>
        <v>58350</v>
      </c>
      <c r="D199" s="102">
        <f t="shared" ca="1" si="16"/>
        <v>82.247775496235448</v>
      </c>
      <c r="E199" s="103">
        <f t="shared" ca="1" si="17"/>
        <v>0.79690626192397429</v>
      </c>
      <c r="F199" s="104">
        <f ca="1">IF($C$4="Hombre",(+VLOOKUP(INT(D199)+1,Tablas!$G$9:$K$1240,5,0)*(D199-INT(D199))+VLOOKUP(INT(D199),Tablas!$G$9:$K$1240,5,0)*(INT(D199)+1-D199))/(VLOOKUP(INT($C$5)+1,Tablas!$G$9:$K$1240,5,0)*($C$5-INT($C$5))+VLOOKUP(INT($C$5),Tablas!$G$9:$K$124,5,0)*(INT($C$5)+1-$C$5)),(+VLOOKUP(INT(D199)+1,Tablas!$G$9:$O$1240,9,0)*(D199-INT(D199))+VLOOKUP(INT(D199),Tablas!$G$9:$O$1240,9,0)*(INT(D199)+1-D199))/(VLOOKUP(INT($C$5)+1,Tablas!$G$9:$O$1240,9,0)*($C$5-INT($C$5))+VLOOKUP(INT($C$5),Tablas!$G$9:$O$124,9,0)*(INT($C$5)+1-$C$5)))</f>
        <v>0.87110882741663742</v>
      </c>
      <c r="G199" s="97">
        <f ca="1">IF($C$4="Hombre",(+VLOOKUP(INT(D199)+1,Tablas!$G$9:$K$1240,5,0)*(D199-INT(D199))+VLOOKUP(INT(D199),Tablas!$G$9:$K$1240,5,0)*(INT(D199)+1-D199)),+VLOOKUP(INT(D199)+1,Tablas!$G$9:$O$1240,9,0)*(D199-INT(D199))+VLOOKUP(INT(D199),Tablas!$G$9:$O$1240,9,0)*(INT(D199)+1-D199))</f>
        <v>804310.3394983185</v>
      </c>
      <c r="H199" s="105">
        <f t="shared" ca="1" si="18"/>
        <v>1</v>
      </c>
      <c r="I199" s="106">
        <f t="shared" ca="1" si="19"/>
        <v>5.7849339948797408E-2</v>
      </c>
      <c r="J199" s="106">
        <f t="shared" ca="1" si="23"/>
        <v>4.9585148527540639E-2</v>
      </c>
      <c r="K199" s="105">
        <f t="shared" ca="1" si="20"/>
        <v>0.87110882741663742</v>
      </c>
      <c r="L199" s="75"/>
    </row>
    <row r="200" spans="2:12">
      <c r="B200" s="101">
        <f t="shared" ca="1" si="21"/>
        <v>58351</v>
      </c>
      <c r="C200" s="101">
        <f t="shared" ca="1" si="22"/>
        <v>58381</v>
      </c>
      <c r="D200" s="102">
        <f t="shared" ca="1" si="16"/>
        <v>82.332648870636547</v>
      </c>
      <c r="E200" s="103">
        <f t="shared" ca="1" si="17"/>
        <v>0.79589988987346061</v>
      </c>
      <c r="F200" s="104">
        <f ca="1">IF($C$4="Hombre",(+VLOOKUP(INT(D200)+1,Tablas!$G$9:$K$1240,5,0)*(D200-INT(D200))+VLOOKUP(INT(D200),Tablas!$G$9:$K$1240,5,0)*(INT(D200)+1-D200))/(VLOOKUP(INT($C$5)+1,Tablas!$G$9:$K$1240,5,0)*($C$5-INT($C$5))+VLOOKUP(INT($C$5),Tablas!$G$9:$K$124,5,0)*(INT($C$5)+1-$C$5)),(+VLOOKUP(INT(D200)+1,Tablas!$G$9:$O$1240,9,0)*(D200-INT(D200))+VLOOKUP(INT(D200),Tablas!$G$9:$O$1240,9,0)*(INT(D200)+1-D200))/(VLOOKUP(INT($C$5)+1,Tablas!$G$9:$O$1240,9,0)*($C$5-INT($C$5))+VLOOKUP(INT($C$5),Tablas!$G$9:$O$124,9,0)*(INT($C$5)+1-$C$5)))</f>
        <v>0.86951963846527003</v>
      </c>
      <c r="G200" s="97">
        <f ca="1">IF($C$4="Hombre",(+VLOOKUP(INT(D200)+1,Tablas!$G$9:$K$1240,5,0)*(D200-INT(D200))+VLOOKUP(INT(D200),Tablas!$G$9:$K$1240,5,0)*(INT(D200)+1-D200)),+VLOOKUP(INT(D200)+1,Tablas!$G$9:$O$1240,9,0)*(D200-INT(D200))+VLOOKUP(INT(D200),Tablas!$G$9:$O$1240,9,0)*(INT(D200)+1-D200))</f>
        <v>802843.01295452495</v>
      </c>
      <c r="H200" s="105">
        <f t="shared" ca="1" si="18"/>
        <v>1</v>
      </c>
      <c r="I200" s="106">
        <f t="shared" ca="1" si="19"/>
        <v>5.7670882041443307E-2</v>
      </c>
      <c r="J200" s="106">
        <f t="shared" ca="1" si="23"/>
        <v>4.943218460695141E-2</v>
      </c>
      <c r="K200" s="105">
        <f t="shared" ca="1" si="20"/>
        <v>0.86951963846527003</v>
      </c>
      <c r="L200" s="75"/>
    </row>
    <row r="201" spans="2:12">
      <c r="B201" s="101">
        <f t="shared" ca="1" si="21"/>
        <v>58382</v>
      </c>
      <c r="C201" s="101">
        <f t="shared" ca="1" si="22"/>
        <v>58411</v>
      </c>
      <c r="D201" s="102">
        <f t="shared" ca="1" si="16"/>
        <v>82.414784394250518</v>
      </c>
      <c r="E201" s="103">
        <f t="shared" ca="1" si="17"/>
        <v>0.79492719151585434</v>
      </c>
      <c r="F201" s="104">
        <f ca="1">IF($C$4="Hombre",(+VLOOKUP(INT(D201)+1,Tablas!$G$9:$K$1240,5,0)*(D201-INT(D201))+VLOOKUP(INT(D201),Tablas!$G$9:$K$1240,5,0)*(INT(D201)+1-D201))/(VLOOKUP(INT($C$5)+1,Tablas!$G$9:$K$1240,5,0)*($C$5-INT($C$5))+VLOOKUP(INT($C$5),Tablas!$G$9:$K$124,5,0)*(INT($C$5)+1-$C$5)),(+VLOOKUP(INT(D201)+1,Tablas!$G$9:$O$1240,9,0)*(D201-INT(D201))+VLOOKUP(INT(D201),Tablas!$G$9:$O$1240,9,0)*(INT(D201)+1-D201))/(VLOOKUP(INT($C$5)+1,Tablas!$G$9:$O$1240,9,0)*($C$5-INT($C$5))+VLOOKUP(INT($C$5),Tablas!$G$9:$O$124,9,0)*(INT($C$5)+1-$C$5)))</f>
        <v>0.86798171367362409</v>
      </c>
      <c r="G201" s="97">
        <f ca="1">IF($C$4="Hombre",(+VLOOKUP(INT(D201)+1,Tablas!$G$9:$K$1240,5,0)*(D201-INT(D201))+VLOOKUP(INT(D201),Tablas!$G$9:$K$1240,5,0)*(INT(D201)+1-D201)),+VLOOKUP(INT(D201)+1,Tablas!$G$9:$O$1240,9,0)*(D201-INT(D201))+VLOOKUP(INT(D201),Tablas!$G$9:$O$1240,9,0)*(INT(D201)+1-D201))</f>
        <v>801423.01952504728</v>
      </c>
      <c r="H201" s="105">
        <f t="shared" ca="1" si="18"/>
        <v>1</v>
      </c>
      <c r="I201" s="106">
        <f t="shared" ca="1" si="19"/>
        <v>5.7498522161474365E-2</v>
      </c>
      <c r="J201" s="106">
        <f t="shared" ca="1" si="23"/>
        <v>9.8568895133956058E-2</v>
      </c>
      <c r="K201" s="105">
        <f t="shared" ca="1" si="20"/>
        <v>0.86798171367362409</v>
      </c>
      <c r="L201" s="75"/>
    </row>
    <row r="202" spans="2:12">
      <c r="B202" s="101">
        <f t="shared" ca="1" si="21"/>
        <v>58412</v>
      </c>
      <c r="C202" s="101">
        <f t="shared" ca="1" si="22"/>
        <v>58442</v>
      </c>
      <c r="D202" s="102">
        <f t="shared" ca="1" si="16"/>
        <v>82.499657768651602</v>
      </c>
      <c r="E202" s="103">
        <f t="shared" ca="1" si="17"/>
        <v>0.79392331873186683</v>
      </c>
      <c r="F202" s="104">
        <f ca="1">IF($C$4="Hombre",(+VLOOKUP(INT(D202)+1,Tablas!$G$9:$K$1240,5,0)*(D202-INT(D202))+VLOOKUP(INT(D202),Tablas!$G$9:$K$1240,5,0)*(INT(D202)+1-D202))/(VLOOKUP(INT($C$5)+1,Tablas!$G$9:$K$1240,5,0)*($C$5-INT($C$5))+VLOOKUP(INT($C$5),Tablas!$G$9:$K$124,5,0)*(INT($C$5)+1-$C$5)),(+VLOOKUP(INT(D202)+1,Tablas!$G$9:$O$1240,9,0)*(D202-INT(D202))+VLOOKUP(INT(D202),Tablas!$G$9:$O$1240,9,0)*(INT(D202)+1-D202))/(VLOOKUP(INT($C$5)+1,Tablas!$G$9:$O$1240,9,0)*($C$5-INT($C$5))+VLOOKUP(INT($C$5),Tablas!$G$9:$O$124,9,0)*(INT($C$5)+1-$C$5)))</f>
        <v>0.86639252472225681</v>
      </c>
      <c r="G202" s="97">
        <f ca="1">IF($C$4="Hombre",(+VLOOKUP(INT(D202)+1,Tablas!$G$9:$K$1240,5,0)*(D202-INT(D202))+VLOOKUP(INT(D202),Tablas!$G$9:$K$1240,5,0)*(INT(D202)+1-D202)),+VLOOKUP(INT(D202)+1,Tablas!$G$9:$O$1240,9,0)*(D202-INT(D202))+VLOOKUP(INT(D202),Tablas!$G$9:$O$1240,9,0)*(INT(D202)+1-D202))</f>
        <v>799955.69298125384</v>
      </c>
      <c r="H202" s="105">
        <f t="shared" ca="1" si="18"/>
        <v>1</v>
      </c>
      <c r="I202" s="106">
        <f t="shared" ca="1" si="19"/>
        <v>5.7320769045997921E-2</v>
      </c>
      <c r="J202" s="106">
        <f t="shared" ca="1" si="23"/>
        <v>4.9132087753712507E-2</v>
      </c>
      <c r="K202" s="105">
        <f t="shared" ca="1" si="20"/>
        <v>0.86639252472225681</v>
      </c>
      <c r="L202" s="75"/>
    </row>
    <row r="203" spans="2:12">
      <c r="B203" s="101">
        <f t="shared" ca="1" si="21"/>
        <v>58443</v>
      </c>
      <c r="C203" s="101">
        <f t="shared" ca="1" si="22"/>
        <v>58473</v>
      </c>
      <c r="D203" s="102">
        <f t="shared" ca="1" si="16"/>
        <v>82.5845311430527</v>
      </c>
      <c r="E203" s="103">
        <f t="shared" ca="1" si="17"/>
        <v>0.79292071368733641</v>
      </c>
      <c r="F203" s="104">
        <f ca="1">IF($C$4="Hombre",(+VLOOKUP(INT(D203)+1,Tablas!$G$9:$K$1240,5,0)*(D203-INT(D203))+VLOOKUP(INT(D203),Tablas!$G$9:$K$1240,5,0)*(INT(D203)+1-D203))/(VLOOKUP(INT($C$5)+1,Tablas!$G$9:$K$1240,5,0)*($C$5-INT($C$5))+VLOOKUP(INT($C$5),Tablas!$G$9:$K$124,5,0)*(INT($C$5)+1-$C$5)),(+VLOOKUP(INT(D203)+1,Tablas!$G$9:$O$1240,9,0)*(D203-INT(D203))+VLOOKUP(INT(D203),Tablas!$G$9:$O$1240,9,0)*(INT(D203)+1-D203))/(VLOOKUP(INT($C$5)+1,Tablas!$G$9:$O$1240,9,0)*($C$5-INT($C$5))+VLOOKUP(INT($C$5),Tablas!$G$9:$O$124,9,0)*(INT($C$5)+1-$C$5)))</f>
        <v>0.8648033357708893</v>
      </c>
      <c r="G203" s="97">
        <f ca="1">IF($C$4="Hombre",(+VLOOKUP(INT(D203)+1,Tablas!$G$9:$K$1240,5,0)*(D203-INT(D203))+VLOOKUP(INT(D203),Tablas!$G$9:$K$1240,5,0)*(INT(D203)+1-D203)),+VLOOKUP(INT(D203)+1,Tablas!$G$9:$O$1240,9,0)*(D203-INT(D203))+VLOOKUP(INT(D203),Tablas!$G$9:$O$1240,9,0)*(INT(D203)+1-D203))</f>
        <v>798488.3664374603</v>
      </c>
      <c r="H203" s="105">
        <f t="shared" ca="1" si="18"/>
        <v>1</v>
      </c>
      <c r="I203" s="106">
        <f t="shared" ca="1" si="19"/>
        <v>5.7143373183220221E-2</v>
      </c>
      <c r="J203" s="106">
        <f t="shared" ca="1" si="23"/>
        <v>4.8980034157045903E-2</v>
      </c>
      <c r="K203" s="105">
        <f t="shared" ca="1" si="20"/>
        <v>0.8648033357708893</v>
      </c>
      <c r="L203" s="75"/>
    </row>
    <row r="204" spans="2:12">
      <c r="B204" s="101">
        <f t="shared" ca="1" si="21"/>
        <v>58474</v>
      </c>
      <c r="C204" s="101">
        <f t="shared" ca="1" si="22"/>
        <v>58502</v>
      </c>
      <c r="D204" s="102">
        <f t="shared" ca="1" si="16"/>
        <v>82.66392881587953</v>
      </c>
      <c r="E204" s="103">
        <f t="shared" ca="1" si="17"/>
        <v>0.79198393911437392</v>
      </c>
      <c r="F204" s="104">
        <f ca="1">IF($C$4="Hombre",(+VLOOKUP(INT(D204)+1,Tablas!$G$9:$K$1240,5,0)*(D204-INT(D204))+VLOOKUP(INT(D204),Tablas!$G$9:$K$1240,5,0)*(INT(D204)+1-D204))/(VLOOKUP(INT($C$5)+1,Tablas!$G$9:$K$1240,5,0)*($C$5-INT($C$5))+VLOOKUP(INT($C$5),Tablas!$G$9:$K$124,5,0)*(INT($C$5)+1-$C$5)),(+VLOOKUP(INT(D204)+1,Tablas!$G$9:$O$1240,9,0)*(D204-INT(D204))+VLOOKUP(INT(D204),Tablas!$G$9:$O$1240,9,0)*(INT(D204)+1-D204))/(VLOOKUP(INT($C$5)+1,Tablas!$G$9:$O$1240,9,0)*($C$5-INT($C$5))+VLOOKUP(INT($C$5),Tablas!$G$9:$O$124,9,0)*(INT($C$5)+1-$C$5)))</f>
        <v>0.86331667513896515</v>
      </c>
      <c r="G204" s="97">
        <f ca="1">IF($C$4="Hombre",(+VLOOKUP(INT(D204)+1,Tablas!$G$9:$K$1240,5,0)*(D204-INT(D204))+VLOOKUP(INT(D204),Tablas!$G$9:$K$1240,5,0)*(INT(D204)+1-D204)),+VLOOKUP(INT(D204)+1,Tablas!$G$9:$O$1240,9,0)*(D204-INT(D204))+VLOOKUP(INT(D204),Tablas!$G$9:$O$1240,9,0)*(INT(D204)+1-D204))</f>
        <v>797115.70612229872</v>
      </c>
      <c r="H204" s="105">
        <f t="shared" ca="1" si="18"/>
        <v>1</v>
      </c>
      <c r="I204" s="106">
        <f t="shared" ca="1" si="19"/>
        <v>5.697774508997349E-2</v>
      </c>
      <c r="J204" s="106">
        <f t="shared" ca="1" si="23"/>
        <v>4.8838067219977278E-2</v>
      </c>
      <c r="K204" s="105">
        <f t="shared" ca="1" si="20"/>
        <v>0.86331667513896515</v>
      </c>
      <c r="L204" s="75"/>
    </row>
    <row r="205" spans="2:12">
      <c r="B205" s="101">
        <f t="shared" ca="1" si="21"/>
        <v>58503</v>
      </c>
      <c r="C205" s="101">
        <f t="shared" ca="1" si="22"/>
        <v>58533</v>
      </c>
      <c r="D205" s="102">
        <f t="shared" ca="1" si="16"/>
        <v>82.748802190280628</v>
      </c>
      <c r="E205" s="103">
        <f t="shared" ca="1" si="17"/>
        <v>0.79098378321290552</v>
      </c>
      <c r="F205" s="104">
        <f ca="1">IF($C$4="Hombre",(+VLOOKUP(INT(D205)+1,Tablas!$G$9:$K$1240,5,0)*(D205-INT(D205))+VLOOKUP(INT(D205),Tablas!$G$9:$K$1240,5,0)*(INT(D205)+1-D205))/(VLOOKUP(INT($C$5)+1,Tablas!$G$9:$K$1240,5,0)*($C$5-INT($C$5))+VLOOKUP(INT($C$5),Tablas!$G$9:$K$124,5,0)*(INT($C$5)+1-$C$5)),(+VLOOKUP(INT(D205)+1,Tablas!$G$9:$O$1240,9,0)*(D205-INT(D205))+VLOOKUP(INT(D205),Tablas!$G$9:$O$1240,9,0)*(INT(D205)+1-D205))/(VLOOKUP(INT($C$5)+1,Tablas!$G$9:$O$1240,9,0)*($C$5-INT($C$5))+VLOOKUP(INT($C$5),Tablas!$G$9:$O$124,9,0)*(INT($C$5)+1-$C$5)))</f>
        <v>0.86172748618759776</v>
      </c>
      <c r="G205" s="97">
        <f ca="1">IF($C$4="Hombre",(+VLOOKUP(INT(D205)+1,Tablas!$G$9:$K$1240,5,0)*(D205-INT(D205))+VLOOKUP(INT(D205),Tablas!$G$9:$K$1240,5,0)*(INT(D205)+1-D205)),+VLOOKUP(INT(D205)+1,Tablas!$G$9:$O$1240,9,0)*(D205-INT(D205))+VLOOKUP(INT(D205),Tablas!$G$9:$O$1240,9,0)*(INT(D205)+1-D205))</f>
        <v>795648.37957850518</v>
      </c>
      <c r="H205" s="105">
        <f t="shared" ca="1" si="18"/>
        <v>1</v>
      </c>
      <c r="I205" s="106">
        <f t="shared" ca="1" si="19"/>
        <v>5.6801038926934402E-2</v>
      </c>
      <c r="J205" s="106">
        <f t="shared" ca="1" si="23"/>
        <v>4.8686604794515205E-2</v>
      </c>
      <c r="K205" s="105">
        <f t="shared" ca="1" si="20"/>
        <v>0.86172748618759776</v>
      </c>
      <c r="L205" s="75"/>
    </row>
    <row r="206" spans="2:12">
      <c r="B206" s="101">
        <f t="shared" ca="1" si="21"/>
        <v>58534</v>
      </c>
      <c r="C206" s="101">
        <f t="shared" ca="1" si="22"/>
        <v>58563</v>
      </c>
      <c r="D206" s="102">
        <f t="shared" ca="1" si="16"/>
        <v>82.830937713894599</v>
      </c>
      <c r="E206" s="103">
        <f t="shared" ca="1" si="17"/>
        <v>0.79001709300900724</v>
      </c>
      <c r="F206" s="104">
        <f ca="1">IF($C$4="Hombre",(+VLOOKUP(INT(D206)+1,Tablas!$G$9:$K$1240,5,0)*(D206-INT(D206))+VLOOKUP(INT(D206),Tablas!$G$9:$K$1240,5,0)*(INT(D206)+1-D206))/(VLOOKUP(INT($C$5)+1,Tablas!$G$9:$K$1240,5,0)*($C$5-INT($C$5))+VLOOKUP(INT($C$5),Tablas!$G$9:$K$124,5,0)*(INT($C$5)+1-$C$5)),(+VLOOKUP(INT(D206)+1,Tablas!$G$9:$O$1240,9,0)*(D206-INT(D206))+VLOOKUP(INT(D206),Tablas!$G$9:$O$1240,9,0)*(INT(D206)+1-D206))/(VLOOKUP(INT($C$5)+1,Tablas!$G$9:$O$1240,9,0)*($C$5-INT($C$5))+VLOOKUP(INT($C$5),Tablas!$G$9:$O$124,9,0)*(INT($C$5)+1-$C$5)))</f>
        <v>0.8601895613959516</v>
      </c>
      <c r="G206" s="97">
        <f ca="1">IF($C$4="Hombre",(+VLOOKUP(INT(D206)+1,Tablas!$G$9:$K$1240,5,0)*(D206-INT(D206))+VLOOKUP(INT(D206),Tablas!$G$9:$K$1240,5,0)*(INT(D206)+1-D206)),+VLOOKUP(INT(D206)+1,Tablas!$G$9:$O$1240,9,0)*(D206-INT(D206))+VLOOKUP(INT(D206),Tablas!$G$9:$O$1240,9,0)*(INT(D206)+1-D206))</f>
        <v>794228.38614902738</v>
      </c>
      <c r="H206" s="105">
        <f t="shared" ca="1" si="18"/>
        <v>1</v>
      </c>
      <c r="I206" s="106">
        <f t="shared" ca="1" si="19"/>
        <v>5.6630371394226879E-2</v>
      </c>
      <c r="J206" s="106">
        <f t="shared" ca="1" si="23"/>
        <v>4.8540318337908749E-2</v>
      </c>
      <c r="K206" s="105">
        <f t="shared" ca="1" si="20"/>
        <v>0.8601895613959516</v>
      </c>
      <c r="L206" s="75"/>
    </row>
    <row r="207" spans="2:12">
      <c r="B207" s="101">
        <f t="shared" ca="1" si="21"/>
        <v>58564</v>
      </c>
      <c r="C207" s="101">
        <f t="shared" ca="1" si="22"/>
        <v>58594</v>
      </c>
      <c r="D207" s="102">
        <f t="shared" ca="1" si="16"/>
        <v>82.915811088295683</v>
      </c>
      <c r="E207" s="103">
        <f t="shared" ca="1" si="17"/>
        <v>0.78901942093661981</v>
      </c>
      <c r="F207" s="104">
        <f ca="1">IF($C$4="Hombre",(+VLOOKUP(INT(D207)+1,Tablas!$G$9:$K$1240,5,0)*(D207-INT(D207))+VLOOKUP(INT(D207),Tablas!$G$9:$K$1240,5,0)*(INT(D207)+1-D207))/(VLOOKUP(INT($C$5)+1,Tablas!$G$9:$K$1240,5,0)*($C$5-INT($C$5))+VLOOKUP(INT($C$5),Tablas!$G$9:$K$124,5,0)*(INT($C$5)+1-$C$5)),(+VLOOKUP(INT(D207)+1,Tablas!$G$9:$O$1240,9,0)*(D207-INT(D207))+VLOOKUP(INT(D207),Tablas!$G$9:$O$1240,9,0)*(INT(D207)+1-D207))/(VLOOKUP(INT($C$5)+1,Tablas!$G$9:$O$1240,9,0)*($C$5-INT($C$5))+VLOOKUP(INT($C$5),Tablas!$G$9:$O$124,9,0)*(INT($C$5)+1-$C$5)))</f>
        <v>0.85860037244458465</v>
      </c>
      <c r="G207" s="97">
        <f ca="1">IF($C$4="Hombre",(+VLOOKUP(INT(D207)+1,Tablas!$G$9:$K$1240,5,0)*(D207-INT(D207))+VLOOKUP(INT(D207),Tablas!$G$9:$K$1240,5,0)*(INT(D207)+1-D207)),+VLOOKUP(INT(D207)+1,Tablas!$G$9:$O$1240,9,0)*(D207-INT(D207))+VLOOKUP(INT(D207),Tablas!$G$9:$O$1240,9,0)*(INT(D207)+1-D207))</f>
        <v>792761.05960523419</v>
      </c>
      <c r="H207" s="105">
        <f t="shared" ca="1" si="18"/>
        <v>1</v>
      </c>
      <c r="I207" s="106">
        <f t="shared" ca="1" si="19"/>
        <v>5.6454364056849352E-2</v>
      </c>
      <c r="J207" s="106">
        <f t="shared" ca="1" si="23"/>
        <v>9.6778909811741753E-2</v>
      </c>
      <c r="K207" s="105">
        <f t="shared" ca="1" si="20"/>
        <v>0.85860037244458465</v>
      </c>
      <c r="L207" s="75"/>
    </row>
    <row r="208" spans="2:12">
      <c r="B208" s="101">
        <f t="shared" ca="1" si="21"/>
        <v>58595</v>
      </c>
      <c r="C208" s="101">
        <f t="shared" ca="1" si="22"/>
        <v>58624</v>
      </c>
      <c r="D208" s="102">
        <f t="shared" ca="1" si="16"/>
        <v>82.997946611909654</v>
      </c>
      <c r="E208" s="103">
        <f t="shared" ca="1" si="17"/>
        <v>0.78805513145168671</v>
      </c>
      <c r="F208" s="104">
        <f ca="1">IF($C$4="Hombre",(+VLOOKUP(INT(D208)+1,Tablas!$G$9:$K$1240,5,0)*(D208-INT(D208))+VLOOKUP(INT(D208),Tablas!$G$9:$K$1240,5,0)*(INT(D208)+1-D208))/(VLOOKUP(INT($C$5)+1,Tablas!$G$9:$K$1240,5,0)*($C$5-INT($C$5))+VLOOKUP(INT($C$5),Tablas!$G$9:$K$124,5,0)*(INT($C$5)+1-$C$5)),(+VLOOKUP(INT(D208)+1,Tablas!$G$9:$O$1240,9,0)*(D208-INT(D208))+VLOOKUP(INT(D208),Tablas!$G$9:$O$1240,9,0)*(INT(D208)+1-D208))/(VLOOKUP(INT($C$5)+1,Tablas!$G$9:$O$1240,9,0)*($C$5-INT($C$5))+VLOOKUP(INT($C$5),Tablas!$G$9:$O$124,9,0)*(INT($C$5)+1-$C$5)))</f>
        <v>0.85706244765293871</v>
      </c>
      <c r="G208" s="97">
        <f ca="1">IF($C$4="Hombre",(+VLOOKUP(INT(D208)+1,Tablas!$G$9:$K$1240,5,0)*(D208-INT(D208))+VLOOKUP(INT(D208),Tablas!$G$9:$K$1240,5,0)*(INT(D208)+1-D208)),+VLOOKUP(INT(D208)+1,Tablas!$G$9:$O$1240,9,0)*(D208-INT(D208))+VLOOKUP(INT(D208),Tablas!$G$9:$O$1240,9,0)*(INT(D208)+1-D208))</f>
        <v>791341.06617575651</v>
      </c>
      <c r="H208" s="105">
        <f t="shared" ca="1" si="18"/>
        <v>1</v>
      </c>
      <c r="I208" s="106">
        <f t="shared" ca="1" si="19"/>
        <v>5.6284371653953412E-2</v>
      </c>
      <c r="J208" s="106">
        <f t="shared" ca="1" si="23"/>
        <v>4.8243747131960064E-2</v>
      </c>
      <c r="K208" s="105">
        <f t="shared" ca="1" si="20"/>
        <v>0.85706244765293871</v>
      </c>
      <c r="L208" s="75"/>
    </row>
    <row r="209" spans="2:12">
      <c r="B209" s="101">
        <f t="shared" ca="1" si="21"/>
        <v>58625</v>
      </c>
      <c r="C209" s="101">
        <f t="shared" ca="1" si="22"/>
        <v>58655</v>
      </c>
      <c r="D209" s="102">
        <f t="shared" ca="1" si="16"/>
        <v>83.082819986310753</v>
      </c>
      <c r="E209" s="103">
        <f t="shared" ca="1" si="17"/>
        <v>0.78705993703993471</v>
      </c>
      <c r="F209" s="104">
        <f ca="1">IF($C$4="Hombre",(+VLOOKUP(INT(D209)+1,Tablas!$G$9:$K$1240,5,0)*(D209-INT(D209))+VLOOKUP(INT(D209),Tablas!$G$9:$K$1240,5,0)*(INT(D209)+1-D209))/(VLOOKUP(INT($C$5)+1,Tablas!$G$9:$K$1240,5,0)*($C$5-INT($C$5))+VLOOKUP(INT($C$5),Tablas!$G$9:$K$124,5,0)*(INT($C$5)+1-$C$5)),(+VLOOKUP(INT(D209)+1,Tablas!$G$9:$O$1240,9,0)*(D209-INT(D209))+VLOOKUP(INT(D209),Tablas!$G$9:$O$1240,9,0)*(INT(D209)+1-D209))/(VLOOKUP(INT($C$5)+1,Tablas!$G$9:$O$1240,9,0)*($C$5-INT($C$5))+VLOOKUP(INT($C$5),Tablas!$G$9:$O$124,9,0)*(INT($C$5)+1-$C$5)))</f>
        <v>0.85526490182757409</v>
      </c>
      <c r="G209" s="97">
        <f ca="1">IF($C$4="Hombre",(+VLOOKUP(INT(D209)+1,Tablas!$G$9:$K$1240,5,0)*(D209-INT(D209))+VLOOKUP(INT(D209),Tablas!$G$9:$K$1240,5,0)*(INT(D209)+1-D209)),+VLOOKUP(INT(D209)+1,Tablas!$G$9:$O$1240,9,0)*(D209-INT(D209))+VLOOKUP(INT(D209),Tablas!$G$9:$O$1240,9,0)*(INT(D209)+1-D209))</f>
        <v>789681.36000867479</v>
      </c>
      <c r="H209" s="105">
        <f t="shared" ca="1" si="18"/>
        <v>1</v>
      </c>
      <c r="I209" s="106">
        <f t="shared" ca="1" si="19"/>
        <v>5.6095394982073027E-2</v>
      </c>
      <c r="J209" s="106">
        <f t="shared" ca="1" si="23"/>
        <v>4.8081767127491168E-2</v>
      </c>
      <c r="K209" s="105">
        <f t="shared" ca="1" si="20"/>
        <v>0.85526490182757409</v>
      </c>
      <c r="L209" s="75"/>
    </row>
    <row r="210" spans="2:12">
      <c r="B210" s="101">
        <f t="shared" ca="1" si="21"/>
        <v>58656</v>
      </c>
      <c r="C210" s="101">
        <f t="shared" ca="1" si="22"/>
        <v>58686</v>
      </c>
      <c r="D210" s="102">
        <f t="shared" ref="D210:D273" ca="1" si="24">-_xlfn.DAYS($C$3,C210)/365.25</f>
        <v>83.167693360711837</v>
      </c>
      <c r="E210" s="103">
        <f t="shared" ref="E210:E273" ca="1" si="25">IF($D$17+40&lt;=D210,(1+$D$7)^-(D210-$C$5),(1+$C$7)^-(D210-$C$5))</f>
        <v>0.78606599940816912</v>
      </c>
      <c r="F210" s="104">
        <f ca="1">IF($C$4="Hombre",(+VLOOKUP(INT(D210)+1,Tablas!$G$9:$K$1240,5,0)*(D210-INT(D210))+VLOOKUP(INT(D210),Tablas!$G$9:$K$1240,5,0)*(INT(D210)+1-D210))/(VLOOKUP(INT($C$5)+1,Tablas!$G$9:$K$1240,5,0)*($C$5-INT($C$5))+VLOOKUP(INT($C$5),Tablas!$G$9:$K$124,5,0)*(INT($C$5)+1-$C$5)),(+VLOOKUP(INT(D210)+1,Tablas!$G$9:$O$1240,9,0)*(D210-INT(D210))+VLOOKUP(INT(D210),Tablas!$G$9:$O$1240,9,0)*(INT(D210)+1-D210))/(VLOOKUP(INT($C$5)+1,Tablas!$G$9:$O$1240,9,0)*($C$5-INT($C$5))+VLOOKUP(INT($C$5),Tablas!$G$9:$O$124,9,0)*(INT($C$5)+1-$C$5)))</f>
        <v>0.85346219012930091</v>
      </c>
      <c r="G210" s="97">
        <f ca="1">IF($C$4="Hombre",(+VLOOKUP(INT(D210)+1,Tablas!$G$9:$K$1240,5,0)*(D210-INT(D210))+VLOOKUP(INT(D210),Tablas!$G$9:$K$1240,5,0)*(INT(D210)+1-D210)),+VLOOKUP(INT(D210)+1,Tablas!$G$9:$O$1240,9,0)*(D210-INT(D210))+VLOOKUP(INT(D210),Tablas!$G$9:$O$1240,9,0)*(INT(D210)+1-D210))</f>
        <v>788016.88409886719</v>
      </c>
      <c r="H210" s="105">
        <f t="shared" ref="H210:H273" ca="1" si="26">+IF(MONTH(B210)=1,H209*(1+$C$9),H209)</f>
        <v>1</v>
      </c>
      <c r="I210" s="106">
        <f t="shared" ref="I210:I273" ca="1" si="27">IF(B210&lt;$C$10,0,IF(B210&lt;$C$11,$C$8/12*E210*F210*H210,0))</f>
        <v>5.5906467453422808E-2</v>
      </c>
      <c r="J210" s="106">
        <f t="shared" ca="1" si="23"/>
        <v>4.7919829245790975E-2</v>
      </c>
      <c r="K210" s="105">
        <f t="shared" ref="K210:K273" ca="1" si="28">G210/$G$15</f>
        <v>0.85346219012930091</v>
      </c>
      <c r="L210" s="75"/>
    </row>
    <row r="211" spans="2:12">
      <c r="B211" s="101">
        <f t="shared" ref="B211:B274" ca="1" si="29">+DATE(YEAR(B210),MONTH(B210)+1,DAY(B210))</f>
        <v>58687</v>
      </c>
      <c r="C211" s="101">
        <f t="shared" ref="C211:C274" ca="1" si="30">+B212-1</f>
        <v>58716</v>
      </c>
      <c r="D211" s="102">
        <f t="shared" ca="1" si="24"/>
        <v>83.249828884325808</v>
      </c>
      <c r="E211" s="103">
        <f t="shared" ca="1" si="25"/>
        <v>0.78510531940767803</v>
      </c>
      <c r="F211" s="104">
        <f ca="1">IF($C$4="Hombre",(+VLOOKUP(INT(D211)+1,Tablas!$G$9:$K$1240,5,0)*(D211-INT(D211))+VLOOKUP(INT(D211),Tablas!$G$9:$K$1240,5,0)*(INT(D211)+1-D211))/(VLOOKUP(INT($C$5)+1,Tablas!$G$9:$K$1240,5,0)*($C$5-INT($C$5))+VLOOKUP(INT($C$5),Tablas!$G$9:$K$124,5,0)*(INT($C$5)+1-$C$5)),(+VLOOKUP(INT(D211)+1,Tablas!$G$9:$O$1240,9,0)*(D211-INT(D211))+VLOOKUP(INT(D211),Tablas!$G$9:$O$1240,9,0)*(INT(D211)+1-D211))/(VLOOKUP(INT($C$5)+1,Tablas!$G$9:$O$1240,9,0)*($C$5-INT($C$5))+VLOOKUP(INT($C$5),Tablas!$G$9:$O$124,9,0)*(INT($C$5)+1-$C$5)))</f>
        <v>0.851717630421294</v>
      </c>
      <c r="G211" s="97">
        <f ca="1">IF($C$4="Hombre",(+VLOOKUP(INT(D211)+1,Tablas!$G$9:$K$1240,5,0)*(D211-INT(D211))+VLOOKUP(INT(D211),Tablas!$G$9:$K$1240,5,0)*(INT(D211)+1-D211)),+VLOOKUP(INT(D211)+1,Tablas!$G$9:$O$1240,9,0)*(D211-INT(D211))+VLOOKUP(INT(D211),Tablas!$G$9:$O$1240,9,0)*(INT(D211)+1-D211))</f>
        <v>786406.10096034326</v>
      </c>
      <c r="H211" s="105">
        <f t="shared" ca="1" si="26"/>
        <v>1</v>
      </c>
      <c r="I211" s="106">
        <f t="shared" ca="1" si="27"/>
        <v>5.5724003523088386E-2</v>
      </c>
      <c r="J211" s="106">
        <f t="shared" ref="J211:J274" ca="1" si="31">I211*12/14+IF(OR(MONTH(C211)=6,MONTH(C211)=12),I211*12/14,0)</f>
        <v>4.7763431591218618E-2</v>
      </c>
      <c r="K211" s="105">
        <f t="shared" ca="1" si="28"/>
        <v>0.851717630421294</v>
      </c>
      <c r="L211" s="75"/>
    </row>
    <row r="212" spans="2:12">
      <c r="B212" s="101">
        <f t="shared" ca="1" si="29"/>
        <v>58717</v>
      </c>
      <c r="C212" s="101">
        <f t="shared" ca="1" si="30"/>
        <v>58747</v>
      </c>
      <c r="D212" s="102">
        <f t="shared" ca="1" si="24"/>
        <v>83.334702258726892</v>
      </c>
      <c r="E212" s="103">
        <f t="shared" ca="1" si="25"/>
        <v>0.78411385016228186</v>
      </c>
      <c r="F212" s="104">
        <f ca="1">IF($C$4="Hombre",(+VLOOKUP(INT(D212)+1,Tablas!$G$9:$K$1240,5,0)*(D212-INT(D212))+VLOOKUP(INT(D212),Tablas!$G$9:$K$1240,5,0)*(INT(D212)+1-D212))/(VLOOKUP(INT($C$5)+1,Tablas!$G$9:$K$1240,5,0)*($C$5-INT($C$5))+VLOOKUP(INT($C$5),Tablas!$G$9:$K$124,5,0)*(INT($C$5)+1-$C$5)),(+VLOOKUP(INT(D212)+1,Tablas!$G$9:$O$1240,9,0)*(D212-INT(D212))+VLOOKUP(INT(D212),Tablas!$G$9:$O$1240,9,0)*(INT(D212)+1-D212))/(VLOOKUP(INT($C$5)+1,Tablas!$G$9:$O$1240,9,0)*($C$5-INT($C$5))+VLOOKUP(INT($C$5),Tablas!$G$9:$O$124,9,0)*(INT($C$5)+1-$C$5)))</f>
        <v>0.84991491872302083</v>
      </c>
      <c r="G212" s="97">
        <f ca="1">IF($C$4="Hombre",(+VLOOKUP(INT(D212)+1,Tablas!$G$9:$K$1240,5,0)*(D212-INT(D212))+VLOOKUP(INT(D212),Tablas!$G$9:$K$1240,5,0)*(INT(D212)+1-D212)),+VLOOKUP(INT(D212)+1,Tablas!$G$9:$O$1240,9,0)*(D212-INT(D212))+VLOOKUP(INT(D212),Tablas!$G$9:$O$1240,9,0)*(INT(D212)+1-D212))</f>
        <v>784741.62505053566</v>
      </c>
      <c r="H212" s="105">
        <f t="shared" ca="1" si="26"/>
        <v>1</v>
      </c>
      <c r="I212" s="106">
        <f t="shared" ca="1" si="27"/>
        <v>5.5535838269189224E-2</v>
      </c>
      <c r="J212" s="106">
        <f t="shared" ca="1" si="31"/>
        <v>4.7602147087876474E-2</v>
      </c>
      <c r="K212" s="105">
        <f t="shared" ca="1" si="28"/>
        <v>0.84991491872302083</v>
      </c>
      <c r="L212" s="75"/>
    </row>
    <row r="213" spans="2:12">
      <c r="B213" s="101">
        <f t="shared" ca="1" si="29"/>
        <v>58748</v>
      </c>
      <c r="C213" s="101">
        <f t="shared" ca="1" si="30"/>
        <v>58777</v>
      </c>
      <c r="D213" s="102">
        <f t="shared" ca="1" si="24"/>
        <v>83.416837782340863</v>
      </c>
      <c r="E213" s="103">
        <f t="shared" ca="1" si="25"/>
        <v>0.78315555595476483</v>
      </c>
      <c r="F213" s="104">
        <f ca="1">IF($C$4="Hombre",(+VLOOKUP(INT(D213)+1,Tablas!$G$9:$K$1240,5,0)*(D213-INT(D213))+VLOOKUP(INT(D213),Tablas!$G$9:$K$1240,5,0)*(INT(D213)+1-D213))/(VLOOKUP(INT($C$5)+1,Tablas!$G$9:$K$1240,5,0)*($C$5-INT($C$5))+VLOOKUP(INT($C$5),Tablas!$G$9:$K$124,5,0)*(INT($C$5)+1-$C$5)),(+VLOOKUP(INT(D213)+1,Tablas!$G$9:$O$1240,9,0)*(D213-INT(D213))+VLOOKUP(INT(D213),Tablas!$G$9:$O$1240,9,0)*(INT(D213)+1-D213))/(VLOOKUP(INT($C$5)+1,Tablas!$G$9:$O$1240,9,0)*($C$5-INT($C$5))+VLOOKUP(INT($C$5),Tablas!$G$9:$O$124,9,0)*(INT($C$5)+1-$C$5)))</f>
        <v>0.84817035901501414</v>
      </c>
      <c r="G213" s="97">
        <f ca="1">IF($C$4="Hombre",(+VLOOKUP(INT(D213)+1,Tablas!$G$9:$K$1240,5,0)*(D213-INT(D213))+VLOOKUP(INT(D213),Tablas!$G$9:$K$1240,5,0)*(INT(D213)+1-D213)),+VLOOKUP(INT(D213)+1,Tablas!$G$9:$O$1240,9,0)*(D213-INT(D213))+VLOOKUP(INT(D213),Tablas!$G$9:$O$1240,9,0)*(INT(D213)+1-D213))</f>
        <v>783130.84191201185</v>
      </c>
      <c r="H213" s="105">
        <f t="shared" ca="1" si="26"/>
        <v>1</v>
      </c>
      <c r="I213" s="106">
        <f t="shared" ca="1" si="27"/>
        <v>5.5354110754896317E-2</v>
      </c>
      <c r="J213" s="106">
        <f t="shared" ca="1" si="31"/>
        <v>9.4892761294107966E-2</v>
      </c>
      <c r="K213" s="105">
        <f t="shared" ca="1" si="28"/>
        <v>0.84817035901501414</v>
      </c>
      <c r="L213" s="75"/>
    </row>
    <row r="214" spans="2:12">
      <c r="B214" s="101">
        <f t="shared" ca="1" si="29"/>
        <v>58778</v>
      </c>
      <c r="C214" s="101">
        <f t="shared" ca="1" si="30"/>
        <v>58808</v>
      </c>
      <c r="D214" s="102">
        <f t="shared" ca="1" si="24"/>
        <v>83.501711156741962</v>
      </c>
      <c r="E214" s="103">
        <f t="shared" ca="1" si="25"/>
        <v>0.78216654896564342</v>
      </c>
      <c r="F214" s="104">
        <f ca="1">IF($C$4="Hombre",(+VLOOKUP(INT(D214)+1,Tablas!$G$9:$K$1240,5,0)*(D214-INT(D214))+VLOOKUP(INT(D214),Tablas!$G$9:$K$1240,5,0)*(INT(D214)+1-D214))/(VLOOKUP(INT($C$5)+1,Tablas!$G$9:$K$1240,5,0)*($C$5-INT($C$5))+VLOOKUP(INT($C$5),Tablas!$G$9:$K$124,5,0)*(INT($C$5)+1-$C$5)),(+VLOOKUP(INT(D214)+1,Tablas!$G$9:$O$1240,9,0)*(D214-INT(D214))+VLOOKUP(INT(D214),Tablas!$G$9:$O$1240,9,0)*(INT(D214)+1-D214))/(VLOOKUP(INT($C$5)+1,Tablas!$G$9:$O$1240,9,0)*($C$5-INT($C$5))+VLOOKUP(INT($C$5),Tablas!$G$9:$O$124,9,0)*(INT($C$5)+1-$C$5)))</f>
        <v>0.84636764731674075</v>
      </c>
      <c r="G214" s="97">
        <f ca="1">IF($C$4="Hombre",(+VLOOKUP(INT(D214)+1,Tablas!$G$9:$K$1240,5,0)*(D214-INT(D214))+VLOOKUP(INT(D214),Tablas!$G$9:$K$1240,5,0)*(INT(D214)+1-D214)),+VLOOKUP(INT(D214)+1,Tablas!$G$9:$O$1240,9,0)*(D214-INT(D214))+VLOOKUP(INT(D214),Tablas!$G$9:$O$1240,9,0)*(INT(D214)+1-D214))</f>
        <v>781466.36600220413</v>
      </c>
      <c r="H214" s="105">
        <f t="shared" ca="1" si="26"/>
        <v>1</v>
      </c>
      <c r="I214" s="106">
        <f t="shared" ca="1" si="27"/>
        <v>5.5166705154825482E-2</v>
      </c>
      <c r="J214" s="106">
        <f t="shared" ca="1" si="31"/>
        <v>4.7285747275564706E-2</v>
      </c>
      <c r="K214" s="105">
        <f t="shared" ca="1" si="28"/>
        <v>0.84636764731674075</v>
      </c>
      <c r="L214" s="75"/>
    </row>
    <row r="215" spans="2:12">
      <c r="B215" s="101">
        <f t="shared" ca="1" si="29"/>
        <v>58809</v>
      </c>
      <c r="C215" s="101">
        <f t="shared" ca="1" si="30"/>
        <v>58839</v>
      </c>
      <c r="D215" s="102">
        <f t="shared" ca="1" si="24"/>
        <v>83.586584531143046</v>
      </c>
      <c r="E215" s="103">
        <f t="shared" ca="1" si="25"/>
        <v>0.78117879094272968</v>
      </c>
      <c r="F215" s="104">
        <f ca="1">IF($C$4="Hombre",(+VLOOKUP(INT(D215)+1,Tablas!$G$9:$K$1240,5,0)*(D215-INT(D215))+VLOOKUP(INT(D215),Tablas!$G$9:$K$1240,5,0)*(INT(D215)+1-D215))/(VLOOKUP(INT($C$5)+1,Tablas!$G$9:$K$1240,5,0)*($C$5-INT($C$5))+VLOOKUP(INT($C$5),Tablas!$G$9:$K$124,5,0)*(INT($C$5)+1-$C$5)),(+VLOOKUP(INT(D215)+1,Tablas!$G$9:$O$1240,9,0)*(D215-INT(D215))+VLOOKUP(INT(D215),Tablas!$G$9:$O$1240,9,0)*(INT(D215)+1-D215))/(VLOOKUP(INT($C$5)+1,Tablas!$G$9:$O$1240,9,0)*($C$5-INT($C$5))+VLOOKUP(INT($C$5),Tablas!$G$9:$O$124,9,0)*(INT($C$5)+1-$C$5)))</f>
        <v>0.84456493561846735</v>
      </c>
      <c r="G215" s="97">
        <f ca="1">IF($C$4="Hombre",(+VLOOKUP(INT(D215)+1,Tablas!$G$9:$K$1240,5,0)*(D215-INT(D215))+VLOOKUP(INT(D215),Tablas!$G$9:$K$1240,5,0)*(INT(D215)+1-D215)),+VLOOKUP(INT(D215)+1,Tablas!$G$9:$O$1240,9,0)*(D215-INT(D215))+VLOOKUP(INT(D215),Tablas!$G$9:$O$1240,9,0)*(INT(D215)+1-D215))</f>
        <v>779801.89009239641</v>
      </c>
      <c r="H215" s="105">
        <f t="shared" ca="1" si="26"/>
        <v>1</v>
      </c>
      <c r="I215" s="106">
        <f t="shared" ca="1" si="27"/>
        <v>5.4979684606588218E-2</v>
      </c>
      <c r="J215" s="106">
        <f t="shared" ca="1" si="31"/>
        <v>4.7125443948504188E-2</v>
      </c>
      <c r="K215" s="105">
        <f t="shared" ca="1" si="28"/>
        <v>0.84456493561846735</v>
      </c>
      <c r="L215" s="75"/>
    </row>
    <row r="216" spans="2:12">
      <c r="B216" s="101">
        <f t="shared" ca="1" si="29"/>
        <v>58840</v>
      </c>
      <c r="C216" s="101">
        <f t="shared" ca="1" si="30"/>
        <v>58867</v>
      </c>
      <c r="D216" s="102">
        <f t="shared" ca="1" si="24"/>
        <v>83.663244353182748</v>
      </c>
      <c r="E216" s="103">
        <f t="shared" ca="1" si="25"/>
        <v>0.78028769460700942</v>
      </c>
      <c r="F216" s="104">
        <f ca="1">IF($C$4="Hombre",(+VLOOKUP(INT(D216)+1,Tablas!$G$9:$K$1240,5,0)*(D216-INT(D216))+VLOOKUP(INT(D216),Tablas!$G$9:$K$1240,5,0)*(INT(D216)+1-D216))/(VLOOKUP(INT($C$5)+1,Tablas!$G$9:$K$1240,5,0)*($C$5-INT($C$5))+VLOOKUP(INT($C$5),Tablas!$G$9:$K$124,5,0)*(INT($C$5)+1-$C$5)),(+VLOOKUP(INT(D216)+1,Tablas!$G$9:$O$1240,9,0)*(D216-INT(D216))+VLOOKUP(INT(D216),Tablas!$G$9:$O$1240,9,0)*(INT(D216)+1-D216))/(VLOOKUP(INT($C$5)+1,Tablas!$G$9:$O$1240,9,0)*($C$5-INT($C$5))+VLOOKUP(INT($C$5),Tablas!$G$9:$O$124,9,0)*(INT($C$5)+1-$C$5)))</f>
        <v>0.84293667989099463</v>
      </c>
      <c r="G216" s="97">
        <f ca="1">IF($C$4="Hombre",(+VLOOKUP(INT(D216)+1,Tablas!$G$9:$K$1240,5,0)*(D216-INT(D216))+VLOOKUP(INT(D216),Tablas!$G$9:$K$1240,5,0)*(INT(D216)+1-D216)),+VLOOKUP(INT(D216)+1,Tablas!$G$9:$O$1240,9,0)*(D216-INT(D216))+VLOOKUP(INT(D216),Tablas!$G$9:$O$1240,9,0)*(INT(D216)+1-D216))</f>
        <v>778298.492496441</v>
      </c>
      <c r="H216" s="105">
        <f t="shared" ca="1" si="26"/>
        <v>1</v>
      </c>
      <c r="I216" s="106">
        <f t="shared" ca="1" si="27"/>
        <v>5.4811093220985908E-2</v>
      </c>
      <c r="J216" s="106">
        <f t="shared" ca="1" si="31"/>
        <v>4.6980937046559354E-2</v>
      </c>
      <c r="K216" s="105">
        <f t="shared" ca="1" si="28"/>
        <v>0.84293667989099463</v>
      </c>
      <c r="L216" s="75"/>
    </row>
    <row r="217" spans="2:12">
      <c r="B217" s="101">
        <f t="shared" ca="1" si="29"/>
        <v>58868</v>
      </c>
      <c r="C217" s="101">
        <f t="shared" ca="1" si="30"/>
        <v>58898</v>
      </c>
      <c r="D217" s="102">
        <f t="shared" ca="1" si="24"/>
        <v>83.748117727583846</v>
      </c>
      <c r="E217" s="103">
        <f t="shared" ca="1" si="25"/>
        <v>0.77930230929291189</v>
      </c>
      <c r="F217" s="104">
        <f ca="1">IF($C$4="Hombre",(+VLOOKUP(INT(D217)+1,Tablas!$G$9:$K$1240,5,0)*(D217-INT(D217))+VLOOKUP(INT(D217),Tablas!$G$9:$K$1240,5,0)*(INT(D217)+1-D217))/(VLOOKUP(INT($C$5)+1,Tablas!$G$9:$K$1240,5,0)*($C$5-INT($C$5))+VLOOKUP(INT($C$5),Tablas!$G$9:$K$124,5,0)*(INT($C$5)+1-$C$5)),(+VLOOKUP(INT(D217)+1,Tablas!$G$9:$O$1240,9,0)*(D217-INT(D217))+VLOOKUP(INT(D217),Tablas!$G$9:$O$1240,9,0)*(INT(D217)+1-D217))/(VLOOKUP(INT($C$5)+1,Tablas!$G$9:$O$1240,9,0)*($C$5-INT($C$5))+VLOOKUP(INT($C$5),Tablas!$G$9:$O$124,9,0)*(INT($C$5)+1-$C$5)))</f>
        <v>0.84113396819272102</v>
      </c>
      <c r="G217" s="97">
        <f ca="1">IF($C$4="Hombre",(+VLOOKUP(INT(D217)+1,Tablas!$G$9:$K$1240,5,0)*(D217-INT(D217))+VLOOKUP(INT(D217),Tablas!$G$9:$K$1240,5,0)*(INT(D217)+1-D217)),+VLOOKUP(INT(D217)+1,Tablas!$G$9:$O$1240,9,0)*(D217-INT(D217))+VLOOKUP(INT(D217),Tablas!$G$9:$O$1240,9,0)*(INT(D217)+1-D217))</f>
        <v>776634.01658663305</v>
      </c>
      <c r="H217" s="105">
        <f t="shared" ca="1" si="26"/>
        <v>1</v>
      </c>
      <c r="I217" s="106">
        <f t="shared" ca="1" si="27"/>
        <v>5.4624803653108178E-2</v>
      </c>
      <c r="J217" s="106">
        <f t="shared" ca="1" si="31"/>
        <v>4.6821260274092724E-2</v>
      </c>
      <c r="K217" s="105">
        <f t="shared" ca="1" si="28"/>
        <v>0.84113396819272102</v>
      </c>
      <c r="L217" s="75"/>
    </row>
    <row r="218" spans="2:12">
      <c r="B218" s="101">
        <f t="shared" ca="1" si="29"/>
        <v>58899</v>
      </c>
      <c r="C218" s="101">
        <f t="shared" ca="1" si="30"/>
        <v>58928</v>
      </c>
      <c r="D218" s="102">
        <f t="shared" ca="1" si="24"/>
        <v>83.830253251197803</v>
      </c>
      <c r="E218" s="103">
        <f t="shared" ca="1" si="25"/>
        <v>0.7783498954454261</v>
      </c>
      <c r="F218" s="104">
        <f ca="1">IF($C$4="Hombre",(+VLOOKUP(INT(D218)+1,Tablas!$G$9:$K$1240,5,0)*(D218-INT(D218))+VLOOKUP(INT(D218),Tablas!$G$9:$K$1240,5,0)*(INT(D218)+1-D218))/(VLOOKUP(INT($C$5)+1,Tablas!$G$9:$K$1240,5,0)*($C$5-INT($C$5))+VLOOKUP(INT($C$5),Tablas!$G$9:$K$124,5,0)*(INT($C$5)+1-$C$5)),(+VLOOKUP(INT(D218)+1,Tablas!$G$9:$O$1240,9,0)*(D218-INT(D218))+VLOOKUP(INT(D218),Tablas!$G$9:$O$1240,9,0)*(INT(D218)+1-D218))/(VLOOKUP(INT($C$5)+1,Tablas!$G$9:$O$1240,9,0)*($C$5-INT($C$5))+VLOOKUP(INT($C$5),Tablas!$G$9:$O$124,9,0)*(INT($C$5)+1-$C$5)))</f>
        <v>0.83938940848471466</v>
      </c>
      <c r="G218" s="97">
        <f ca="1">IF($C$4="Hombre",(+VLOOKUP(INT(D218)+1,Tablas!$G$9:$K$1240,5,0)*(D218-INT(D218))+VLOOKUP(INT(D218),Tablas!$G$9:$K$1240,5,0)*(INT(D218)+1-D218)),+VLOOKUP(INT(D218)+1,Tablas!$G$9:$O$1240,9,0)*(D218-INT(D218))+VLOOKUP(INT(D218),Tablas!$G$9:$O$1240,9,0)*(INT(D218)+1-D218))</f>
        <v>775023.23344810959</v>
      </c>
      <c r="H218" s="105">
        <f t="shared" ca="1" si="26"/>
        <v>1</v>
      </c>
      <c r="I218" s="106">
        <f t="shared" ca="1" si="27"/>
        <v>5.4444888194339638E-2</v>
      </c>
      <c r="J218" s="106">
        <f t="shared" ca="1" si="31"/>
        <v>4.6667047023719696E-2</v>
      </c>
      <c r="K218" s="105">
        <f t="shared" ca="1" si="28"/>
        <v>0.83938940848471466</v>
      </c>
      <c r="L218" s="75"/>
    </row>
    <row r="219" spans="2:12">
      <c r="B219" s="101">
        <f t="shared" ca="1" si="29"/>
        <v>58929</v>
      </c>
      <c r="C219" s="101">
        <f t="shared" ca="1" si="30"/>
        <v>58959</v>
      </c>
      <c r="D219" s="102">
        <f t="shared" ca="1" si="24"/>
        <v>83.915126625598901</v>
      </c>
      <c r="E219" s="103">
        <f t="shared" ca="1" si="25"/>
        <v>0.77736695727851379</v>
      </c>
      <c r="F219" s="104">
        <f ca="1">IF($C$4="Hombre",(+VLOOKUP(INT(D219)+1,Tablas!$G$9:$K$1240,5,0)*(D219-INT(D219))+VLOOKUP(INT(D219),Tablas!$G$9:$K$1240,5,0)*(INT(D219)+1-D219))/(VLOOKUP(INT($C$5)+1,Tablas!$G$9:$K$1240,5,0)*($C$5-INT($C$5))+VLOOKUP(INT($C$5),Tablas!$G$9:$K$124,5,0)*(INT($C$5)+1-$C$5)),(+VLOOKUP(INT(D219)+1,Tablas!$G$9:$O$1240,9,0)*(D219-INT(D219))+VLOOKUP(INT(D219),Tablas!$G$9:$O$1240,9,0)*(INT(D219)+1-D219))/(VLOOKUP(INT($C$5)+1,Tablas!$G$9:$O$1240,9,0)*($C$5-INT($C$5))+VLOOKUP(INT($C$5),Tablas!$G$9:$O$124,9,0)*(INT($C$5)+1-$C$5)))</f>
        <v>0.83758669678644104</v>
      </c>
      <c r="G219" s="97">
        <f ca="1">IF($C$4="Hombre",(+VLOOKUP(INT(D219)+1,Tablas!$G$9:$K$1240,5,0)*(D219-INT(D219))+VLOOKUP(INT(D219),Tablas!$G$9:$K$1240,5,0)*(INT(D219)+1-D219)),+VLOOKUP(INT(D219)+1,Tablas!$G$9:$O$1240,9,0)*(D219-INT(D219))+VLOOKUP(INT(D219),Tablas!$G$9:$O$1240,9,0)*(INT(D219)+1-D219))</f>
        <v>773358.75753830164</v>
      </c>
      <c r="H219" s="105">
        <f t="shared" ca="1" si="26"/>
        <v>1</v>
      </c>
      <c r="I219" s="106">
        <f t="shared" ca="1" si="27"/>
        <v>5.4259351828153057E-2</v>
      </c>
      <c r="J219" s="106">
        <f t="shared" ca="1" si="31"/>
        <v>9.3016031705405247E-2</v>
      </c>
      <c r="K219" s="105">
        <f t="shared" ca="1" si="28"/>
        <v>0.83758669678644104</v>
      </c>
      <c r="L219" s="75"/>
    </row>
    <row r="220" spans="2:12">
      <c r="B220" s="101">
        <f t="shared" ca="1" si="29"/>
        <v>58960</v>
      </c>
      <c r="C220" s="101">
        <f t="shared" ca="1" si="30"/>
        <v>58989</v>
      </c>
      <c r="D220" s="102">
        <f t="shared" ca="1" si="24"/>
        <v>83.997262149212872</v>
      </c>
      <c r="E220" s="103">
        <f t="shared" ca="1" si="25"/>
        <v>0.77641690869549118</v>
      </c>
      <c r="F220" s="104">
        <f ca="1">IF($C$4="Hombre",(+VLOOKUP(INT(D220)+1,Tablas!$G$9:$K$1240,5,0)*(D220-INT(D220))+VLOOKUP(INT(D220),Tablas!$G$9:$K$1240,5,0)*(INT(D220)+1-D220))/(VLOOKUP(INT($C$5)+1,Tablas!$G$9:$K$1240,5,0)*($C$5-INT($C$5))+VLOOKUP(INT($C$5),Tablas!$G$9:$K$124,5,0)*(INT($C$5)+1-$C$5)),(+VLOOKUP(INT(D220)+1,Tablas!$G$9:$O$1240,9,0)*(D220-INT(D220))+VLOOKUP(INT(D220),Tablas!$G$9:$O$1240,9,0)*(INT(D220)+1-D220))/(VLOOKUP(INT($C$5)+1,Tablas!$G$9:$O$1240,9,0)*($C$5-INT($C$5))+VLOOKUP(INT($C$5),Tablas!$G$9:$O$124,9,0)*(INT($C$5)+1-$C$5)))</f>
        <v>0.83584213707843436</v>
      </c>
      <c r="G220" s="97">
        <f ca="1">IF($C$4="Hombre",(+VLOOKUP(INT(D220)+1,Tablas!$G$9:$K$1240,5,0)*(D220-INT(D220))+VLOOKUP(INT(D220),Tablas!$G$9:$K$1240,5,0)*(INT(D220)+1-D220)),+VLOOKUP(INT(D220)+1,Tablas!$G$9:$O$1240,9,0)*(D220-INT(D220))+VLOOKUP(INT(D220),Tablas!$G$9:$O$1240,9,0)*(INT(D220)+1-D220))</f>
        <v>771747.97439977783</v>
      </c>
      <c r="H220" s="105">
        <f t="shared" ca="1" si="26"/>
        <v>1</v>
      </c>
      <c r="I220" s="106">
        <f t="shared" ca="1" si="27"/>
        <v>5.4080164018989248E-2</v>
      </c>
      <c r="J220" s="106">
        <f t="shared" ca="1" si="31"/>
        <v>4.6354426301990784E-2</v>
      </c>
      <c r="K220" s="105">
        <f t="shared" ca="1" si="28"/>
        <v>0.83584213707843436</v>
      </c>
      <c r="L220" s="75"/>
    </row>
    <row r="221" spans="2:12">
      <c r="B221" s="101">
        <f t="shared" ca="1" si="29"/>
        <v>58990</v>
      </c>
      <c r="C221" s="101">
        <f t="shared" ca="1" si="30"/>
        <v>59020</v>
      </c>
      <c r="D221" s="102">
        <f t="shared" ca="1" si="24"/>
        <v>84.082135523613957</v>
      </c>
      <c r="E221" s="103">
        <f t="shared" ca="1" si="25"/>
        <v>0.77543641159841636</v>
      </c>
      <c r="F221" s="104">
        <f ca="1">IF($C$4="Hombre",(+VLOOKUP(INT(D221)+1,Tablas!$G$9:$K$1240,5,0)*(D221-INT(D221))+VLOOKUP(INT(D221),Tablas!$G$9:$K$1240,5,0)*(INT(D221)+1-D221))/(VLOOKUP(INT($C$5)+1,Tablas!$G$9:$K$1240,5,0)*($C$5-INT($C$5))+VLOOKUP(INT($C$5),Tablas!$G$9:$K$124,5,0)*(INT($C$5)+1-$C$5)),(+VLOOKUP(INT(D221)+1,Tablas!$G$9:$O$1240,9,0)*(D221-INT(D221))+VLOOKUP(INT(D221),Tablas!$G$9:$O$1240,9,0)*(INT(D221)+1-D221))/(VLOOKUP(INT($C$5)+1,Tablas!$G$9:$O$1240,9,0)*($C$5-INT($C$5))+VLOOKUP(INT($C$5),Tablas!$G$9:$O$124,9,0)*(INT($C$5)+1-$C$5)))</f>
        <v>0.8338226443726654</v>
      </c>
      <c r="G221" s="97">
        <f ca="1">IF($C$4="Hombre",(+VLOOKUP(INT(D221)+1,Tablas!$G$9:$K$1240,5,0)*(D221-INT(D221))+VLOOKUP(INT(D221),Tablas!$G$9:$K$1240,5,0)*(INT(D221)+1-D221)),+VLOOKUP(INT(D221)+1,Tablas!$G$9:$O$1240,9,0)*(D221-INT(D221))+VLOOKUP(INT(D221),Tablas!$G$9:$O$1240,9,0)*(INT(D221)+1-D221))</f>
        <v>769883.34071375674</v>
      </c>
      <c r="H221" s="105">
        <f t="shared" ca="1" si="26"/>
        <v>1</v>
      </c>
      <c r="I221" s="106">
        <f t="shared" ca="1" si="27"/>
        <v>5.3881369938486835E-2</v>
      </c>
      <c r="J221" s="106">
        <f t="shared" ca="1" si="31"/>
        <v>4.6184031375845862E-2</v>
      </c>
      <c r="K221" s="105">
        <f t="shared" ca="1" si="28"/>
        <v>0.8338226443726654</v>
      </c>
      <c r="L221" s="75"/>
    </row>
    <row r="222" spans="2:12">
      <c r="B222" s="101">
        <f t="shared" ca="1" si="29"/>
        <v>59021</v>
      </c>
      <c r="C222" s="101">
        <f t="shared" ca="1" si="30"/>
        <v>59051</v>
      </c>
      <c r="D222" s="102">
        <f t="shared" ca="1" si="24"/>
        <v>84.167008898015055</v>
      </c>
      <c r="E222" s="103">
        <f t="shared" ca="1" si="25"/>
        <v>0.77445715272084248</v>
      </c>
      <c r="F222" s="104">
        <f ca="1">IF($C$4="Hombre",(+VLOOKUP(INT(D222)+1,Tablas!$G$9:$K$1240,5,0)*(D222-INT(D222))+VLOOKUP(INT(D222),Tablas!$G$9:$K$1240,5,0)*(INT(D222)+1-D222))/(VLOOKUP(INT($C$5)+1,Tablas!$G$9:$K$1240,5,0)*($C$5-INT($C$5))+VLOOKUP(INT($C$5),Tablas!$G$9:$K$124,5,0)*(INT($C$5)+1-$C$5)),(+VLOOKUP(INT(D222)+1,Tablas!$G$9:$O$1240,9,0)*(D222-INT(D222))+VLOOKUP(INT(D222),Tablas!$G$9:$O$1240,9,0)*(INT(D222)+1-D222))/(VLOOKUP(INT($C$5)+1,Tablas!$G$9:$O$1240,9,0)*($C$5-INT($C$5))+VLOOKUP(INT($C$5),Tablas!$G$9:$O$124,9,0)*(INT($C$5)+1-$C$5)))</f>
        <v>0.83179592563331284</v>
      </c>
      <c r="G222" s="97">
        <f ca="1">IF($C$4="Hombre",(+VLOOKUP(INT(D222)+1,Tablas!$G$9:$K$1240,5,0)*(D222-INT(D222))+VLOOKUP(INT(D222),Tablas!$G$9:$K$1240,5,0)*(INT(D222)+1-D222)),+VLOOKUP(INT(D222)+1,Tablas!$G$9:$O$1240,9,0)*(D222-INT(D222))+VLOOKUP(INT(D222),Tablas!$G$9:$O$1240,9,0)*(INT(D222)+1-D222))</f>
        <v>768012.03510186146</v>
      </c>
      <c r="H222" s="105">
        <f t="shared" ca="1" si="26"/>
        <v>1</v>
      </c>
      <c r="I222" s="106">
        <f t="shared" ca="1" si="27"/>
        <v>5.3682525350897757E-2</v>
      </c>
      <c r="J222" s="106">
        <f t="shared" ca="1" si="31"/>
        <v>4.6013593157912362E-2</v>
      </c>
      <c r="K222" s="105">
        <f t="shared" ca="1" si="28"/>
        <v>0.83179592563331284</v>
      </c>
      <c r="L222" s="75"/>
    </row>
    <row r="223" spans="2:12">
      <c r="B223" s="101">
        <f t="shared" ca="1" si="29"/>
        <v>59052</v>
      </c>
      <c r="C223" s="101">
        <f t="shared" ca="1" si="30"/>
        <v>59081</v>
      </c>
      <c r="D223" s="102">
        <f t="shared" ca="1" si="24"/>
        <v>84.249144421629026</v>
      </c>
      <c r="E223" s="103">
        <f t="shared" ca="1" si="25"/>
        <v>0.77351066031636717</v>
      </c>
      <c r="F223" s="104">
        <f ca="1">IF($C$4="Hombre",(+VLOOKUP(INT(D223)+1,Tablas!$G$9:$K$1240,5,0)*(D223-INT(D223))+VLOOKUP(INT(D223),Tablas!$G$9:$K$1240,5,0)*(INT(D223)+1-D223))/(VLOOKUP(INT($C$5)+1,Tablas!$G$9:$K$1240,5,0)*($C$5-INT($C$5))+VLOOKUP(INT($C$5),Tablas!$G$9:$K$124,5,0)*(INT($C$5)+1-$C$5)),(+VLOOKUP(INT(D223)+1,Tablas!$G$9:$O$1240,9,0)*(D223-INT(D223))+VLOOKUP(INT(D223),Tablas!$G$9:$O$1240,9,0)*(INT(D223)+1-D223))/(VLOOKUP(INT($C$5)+1,Tablas!$G$9:$O$1240,9,0)*($C$5-INT($C$5))+VLOOKUP(INT($C$5),Tablas!$G$9:$O$124,9,0)*(INT($C$5)+1-$C$5)))</f>
        <v>0.82983458491781037</v>
      </c>
      <c r="G223" s="97">
        <f ca="1">IF($C$4="Hombre",(+VLOOKUP(INT(D223)+1,Tablas!$G$9:$K$1240,5,0)*(D223-INT(D223))+VLOOKUP(INT(D223),Tablas!$G$9:$K$1240,5,0)*(INT(D223)+1-D223)),+VLOOKUP(INT(D223)+1,Tablas!$G$9:$O$1240,9,0)*(D223-INT(D223))+VLOOKUP(INT(D223),Tablas!$G$9:$O$1240,9,0)*(INT(D223)+1-D223))</f>
        <v>766201.09418712417</v>
      </c>
      <c r="H223" s="105">
        <f t="shared" ca="1" si="26"/>
        <v>1</v>
      </c>
      <c r="I223" s="106">
        <f t="shared" ca="1" si="27"/>
        <v>5.3490491477761158E-2</v>
      </c>
      <c r="J223" s="106">
        <f t="shared" ca="1" si="31"/>
        <v>4.5848992695223849E-2</v>
      </c>
      <c r="K223" s="105">
        <f t="shared" ca="1" si="28"/>
        <v>0.82983458491781037</v>
      </c>
      <c r="L223" s="75"/>
    </row>
    <row r="224" spans="2:12">
      <c r="B224" s="101">
        <f t="shared" ca="1" si="29"/>
        <v>59082</v>
      </c>
      <c r="C224" s="101">
        <f t="shared" ca="1" si="30"/>
        <v>59112</v>
      </c>
      <c r="D224" s="102">
        <f t="shared" ca="1" si="24"/>
        <v>84.334017796030111</v>
      </c>
      <c r="E224" s="103">
        <f t="shared" ca="1" si="25"/>
        <v>0.77253383337132941</v>
      </c>
      <c r="F224" s="104">
        <f ca="1">IF($C$4="Hombre",(+VLOOKUP(INT(D224)+1,Tablas!$G$9:$K$1240,5,0)*(D224-INT(D224))+VLOOKUP(INT(D224),Tablas!$G$9:$K$1240,5,0)*(INT(D224)+1-D224))/(VLOOKUP(INT($C$5)+1,Tablas!$G$9:$K$1240,5,0)*($C$5-INT($C$5))+VLOOKUP(INT($C$5),Tablas!$G$9:$K$124,5,0)*(INT($C$5)+1-$C$5)),(+VLOOKUP(INT(D224)+1,Tablas!$G$9:$O$1240,9,0)*(D224-INT(D224))+VLOOKUP(INT(D224),Tablas!$G$9:$O$1240,9,0)*(INT(D224)+1-D224))/(VLOOKUP(INT($C$5)+1,Tablas!$G$9:$O$1240,9,0)*($C$5-INT($C$5))+VLOOKUP(INT($C$5),Tablas!$G$9:$O$124,9,0)*(INT($C$5)+1-$C$5)))</f>
        <v>0.82780786617845814</v>
      </c>
      <c r="G224" s="97">
        <f ca="1">IF($C$4="Hombre",(+VLOOKUP(INT(D224)+1,Tablas!$G$9:$K$1240,5,0)*(D224-INT(D224))+VLOOKUP(INT(D224),Tablas!$G$9:$K$1240,5,0)*(INT(D224)+1-D224)),+VLOOKUP(INT(D224)+1,Tablas!$G$9:$O$1240,9,0)*(D224-INT(D224))+VLOOKUP(INT(D224),Tablas!$G$9:$O$1240,9,0)*(INT(D224)+1-D224))</f>
        <v>764329.78857522923</v>
      </c>
      <c r="H224" s="105">
        <f t="shared" ca="1" si="26"/>
        <v>1</v>
      </c>
      <c r="I224" s="106">
        <f t="shared" ca="1" si="27"/>
        <v>5.3292465346148725E-2</v>
      </c>
      <c r="J224" s="106">
        <f t="shared" ca="1" si="31"/>
        <v>4.5679256010984617E-2</v>
      </c>
      <c r="K224" s="105">
        <f t="shared" ca="1" si="28"/>
        <v>0.82780786617845814</v>
      </c>
      <c r="L224" s="75"/>
    </row>
    <row r="225" spans="2:12">
      <c r="B225" s="101">
        <f t="shared" ca="1" si="29"/>
        <v>59113</v>
      </c>
      <c r="C225" s="101">
        <f t="shared" ca="1" si="30"/>
        <v>59142</v>
      </c>
      <c r="D225" s="102">
        <f t="shared" ca="1" si="24"/>
        <v>84.416153319644081</v>
      </c>
      <c r="E225" s="103">
        <f t="shared" ca="1" si="25"/>
        <v>0.77158969152575763</v>
      </c>
      <c r="F225" s="104">
        <f ca="1">IF($C$4="Hombre",(+VLOOKUP(INT(D225)+1,Tablas!$G$9:$K$1240,5,0)*(D225-INT(D225))+VLOOKUP(INT(D225),Tablas!$G$9:$K$1240,5,0)*(INT(D225)+1-D225))/(VLOOKUP(INT($C$5)+1,Tablas!$G$9:$K$1240,5,0)*($C$5-INT($C$5))+VLOOKUP(INT($C$5),Tablas!$G$9:$K$124,5,0)*(INT($C$5)+1-$C$5)),(+VLOOKUP(INT(D225)+1,Tablas!$G$9:$O$1240,9,0)*(D225-INT(D225))+VLOOKUP(INT(D225),Tablas!$G$9:$O$1240,9,0)*(INT(D225)+1-D225))/(VLOOKUP(INT($C$5)+1,Tablas!$G$9:$O$1240,9,0)*($C$5-INT($C$5))+VLOOKUP(INT($C$5),Tablas!$G$9:$O$124,9,0)*(INT($C$5)+1-$C$5)))</f>
        <v>0.82584652546295567</v>
      </c>
      <c r="G225" s="97">
        <f ca="1">IF($C$4="Hombre",(+VLOOKUP(INT(D225)+1,Tablas!$G$9:$K$1240,5,0)*(D225-INT(D225))+VLOOKUP(INT(D225),Tablas!$G$9:$K$1240,5,0)*(INT(D225)+1-D225)),+VLOOKUP(INT(D225)+1,Tablas!$G$9:$O$1240,9,0)*(D225-INT(D225))+VLOOKUP(INT(D225),Tablas!$G$9:$O$1240,9,0)*(INT(D225)+1-D225))</f>
        <v>762518.84766049183</v>
      </c>
      <c r="H225" s="105">
        <f t="shared" ca="1" si="26"/>
        <v>1</v>
      </c>
      <c r="I225" s="106">
        <f t="shared" ca="1" si="27"/>
        <v>5.3101222152465058E-2</v>
      </c>
      <c r="J225" s="106">
        <f t="shared" ca="1" si="31"/>
        <v>9.1030666547082958E-2</v>
      </c>
      <c r="K225" s="105">
        <f t="shared" ca="1" si="28"/>
        <v>0.82584652546295567</v>
      </c>
      <c r="L225" s="75"/>
    </row>
    <row r="226" spans="2:12">
      <c r="B226" s="101">
        <f t="shared" ca="1" si="29"/>
        <v>59143</v>
      </c>
      <c r="C226" s="101">
        <f t="shared" ca="1" si="30"/>
        <v>59173</v>
      </c>
      <c r="D226" s="102">
        <f t="shared" ca="1" si="24"/>
        <v>84.50102669404518</v>
      </c>
      <c r="E226" s="103">
        <f t="shared" ca="1" si="25"/>
        <v>0.77061529047369259</v>
      </c>
      <c r="F226" s="104">
        <f ca="1">IF($C$4="Hombre",(+VLOOKUP(INT(D226)+1,Tablas!$G$9:$K$1240,5,0)*(D226-INT(D226))+VLOOKUP(INT(D226),Tablas!$G$9:$K$1240,5,0)*(INT(D226)+1-D226))/(VLOOKUP(INT($C$5)+1,Tablas!$G$9:$K$1240,5,0)*($C$5-INT($C$5))+VLOOKUP(INT($C$5),Tablas!$G$9:$K$124,5,0)*(INT($C$5)+1-$C$5)),(+VLOOKUP(INT(D226)+1,Tablas!$G$9:$O$1240,9,0)*(D226-INT(D226))+VLOOKUP(INT(D226),Tablas!$G$9:$O$1240,9,0)*(INT(D226)+1-D226))/(VLOOKUP(INT($C$5)+1,Tablas!$G$9:$O$1240,9,0)*($C$5-INT($C$5))+VLOOKUP(INT($C$5),Tablas!$G$9:$O$124,9,0)*(INT($C$5)+1-$C$5)))</f>
        <v>0.82381980672360311</v>
      </c>
      <c r="G226" s="97">
        <f ca="1">IF($C$4="Hombre",(+VLOOKUP(INT(D226)+1,Tablas!$G$9:$K$1240,5,0)*(D226-INT(D226))+VLOOKUP(INT(D226),Tablas!$G$9:$K$1240,5,0)*(INT(D226)+1-D226)),+VLOOKUP(INT(D226)+1,Tablas!$G$9:$O$1240,9,0)*(D226-INT(D226))+VLOOKUP(INT(D226),Tablas!$G$9:$O$1240,9,0)*(INT(D226)+1-D226))</f>
        <v>760647.54204859654</v>
      </c>
      <c r="H226" s="105">
        <f t="shared" ca="1" si="26"/>
        <v>1</v>
      </c>
      <c r="I226" s="106">
        <f t="shared" ca="1" si="27"/>
        <v>5.2904011638024225E-2</v>
      </c>
      <c r="J226" s="106">
        <f t="shared" ca="1" si="31"/>
        <v>4.5346295689735049E-2</v>
      </c>
      <c r="K226" s="105">
        <f t="shared" ca="1" si="28"/>
        <v>0.82381980672360311</v>
      </c>
      <c r="L226" s="75"/>
    </row>
    <row r="227" spans="2:12">
      <c r="B227" s="101">
        <f t="shared" ca="1" si="29"/>
        <v>59174</v>
      </c>
      <c r="C227" s="101">
        <f t="shared" ca="1" si="30"/>
        <v>59204</v>
      </c>
      <c r="D227" s="102">
        <f t="shared" ca="1" si="24"/>
        <v>84.585900068446264</v>
      </c>
      <c r="E227" s="103">
        <f t="shared" ca="1" si="25"/>
        <v>0.76964211994274612</v>
      </c>
      <c r="F227" s="104">
        <f ca="1">IF($C$4="Hombre",(+VLOOKUP(INT(D227)+1,Tablas!$G$9:$K$1240,5,0)*(D227-INT(D227))+VLOOKUP(INT(D227),Tablas!$G$9:$K$1240,5,0)*(INT(D227)+1-D227))/(VLOOKUP(INT($C$5)+1,Tablas!$G$9:$K$1240,5,0)*($C$5-INT($C$5))+VLOOKUP(INT($C$5),Tablas!$G$9:$K$124,5,0)*(INT($C$5)+1-$C$5)),(+VLOOKUP(INT(D227)+1,Tablas!$G$9:$O$1240,9,0)*(D227-INT(D227))+VLOOKUP(INT(D227),Tablas!$G$9:$O$1240,9,0)*(INT(D227)+1-D227))/(VLOOKUP(INT($C$5)+1,Tablas!$G$9:$O$1240,9,0)*($C$5-INT($C$5))+VLOOKUP(INT($C$5),Tablas!$G$9:$O$124,9,0)*(INT($C$5)+1-$C$5)))</f>
        <v>0.82179308798425099</v>
      </c>
      <c r="G227" s="97">
        <f ca="1">IF($C$4="Hombre",(+VLOOKUP(INT(D227)+1,Tablas!$G$9:$K$1240,5,0)*(D227-INT(D227))+VLOOKUP(INT(D227),Tablas!$G$9:$K$1240,5,0)*(INT(D227)+1-D227)),+VLOOKUP(INT(D227)+1,Tablas!$G$9:$O$1240,9,0)*(D227-INT(D227))+VLOOKUP(INT(D227),Tablas!$G$9:$O$1240,9,0)*(INT(D227)+1-D227))</f>
        <v>758776.23643670173</v>
      </c>
      <c r="H227" s="105">
        <f t="shared" ca="1" si="26"/>
        <v>1</v>
      </c>
      <c r="I227" s="106">
        <f t="shared" ca="1" si="27"/>
        <v>5.2707214532541215E-2</v>
      </c>
      <c r="J227" s="106">
        <f t="shared" ca="1" si="31"/>
        <v>4.51776124564639E-2</v>
      </c>
      <c r="K227" s="105">
        <f t="shared" ca="1" si="28"/>
        <v>0.82179308798425099</v>
      </c>
      <c r="L227" s="75"/>
    </row>
    <row r="228" spans="2:12">
      <c r="B228" s="101">
        <f t="shared" ca="1" si="29"/>
        <v>59205</v>
      </c>
      <c r="C228" s="101">
        <f t="shared" ca="1" si="30"/>
        <v>59232</v>
      </c>
      <c r="D228" s="102">
        <f t="shared" ca="1" si="24"/>
        <v>84.662559890485966</v>
      </c>
      <c r="E228" s="103">
        <f t="shared" ca="1" si="25"/>
        <v>0.76876418357165066</v>
      </c>
      <c r="F228" s="104">
        <f ca="1">IF($C$4="Hombre",(+VLOOKUP(INT(D228)+1,Tablas!$G$9:$K$1240,5,0)*(D228-INT(D228))+VLOOKUP(INT(D228),Tablas!$G$9:$K$1240,5,0)*(INT(D228)+1-D228))/(VLOOKUP(INT($C$5)+1,Tablas!$G$9:$K$1240,5,0)*($C$5-INT($C$5))+VLOOKUP(INT($C$5),Tablas!$G$9:$K$124,5,0)*(INT($C$5)+1-$C$5)),(+VLOOKUP(INT(D228)+1,Tablas!$G$9:$O$1240,9,0)*(D228-INT(D228))+VLOOKUP(INT(D228),Tablas!$G$9:$O$1240,9,0)*(INT(D228)+1-D228))/(VLOOKUP(INT($C$5)+1,Tablas!$G$9:$O$1240,9,0)*($C$5-INT($C$5))+VLOOKUP(INT($C$5),Tablas!$G$9:$O$124,9,0)*(INT($C$5)+1-$C$5)))</f>
        <v>0.81996250331644871</v>
      </c>
      <c r="G228" s="97">
        <f ca="1">IF($C$4="Hombre",(+VLOOKUP(INT(D228)+1,Tablas!$G$9:$K$1240,5,0)*(D228-INT(D228))+VLOOKUP(INT(D228),Tablas!$G$9:$K$1240,5,0)*(INT(D228)+1-D228)),+VLOOKUP(INT(D228)+1,Tablas!$G$9:$O$1240,9,0)*(D228-INT(D228))+VLOOKUP(INT(D228),Tablas!$G$9:$O$1240,9,0)*(INT(D228)+1-D228))</f>
        <v>757086.02491628018</v>
      </c>
      <c r="H228" s="105">
        <f t="shared" ca="1" si="26"/>
        <v>1</v>
      </c>
      <c r="I228" s="106">
        <f t="shared" ca="1" si="27"/>
        <v>5.2529817035119712E-2</v>
      </c>
      <c r="J228" s="106">
        <f t="shared" ca="1" si="31"/>
        <v>4.5025557458674037E-2</v>
      </c>
      <c r="K228" s="105">
        <f t="shared" ca="1" si="28"/>
        <v>0.81996250331644871</v>
      </c>
      <c r="L228" s="75"/>
    </row>
    <row r="229" spans="2:12">
      <c r="B229" s="101">
        <f t="shared" ca="1" si="29"/>
        <v>59233</v>
      </c>
      <c r="C229" s="101">
        <f t="shared" ca="1" si="30"/>
        <v>59263</v>
      </c>
      <c r="D229" s="102">
        <f t="shared" ca="1" si="24"/>
        <v>84.747433264887064</v>
      </c>
      <c r="E229" s="103">
        <f t="shared" ca="1" si="25"/>
        <v>0.76779335070868049</v>
      </c>
      <c r="F229" s="104">
        <f ca="1">IF($C$4="Hombre",(+VLOOKUP(INT(D229)+1,Tablas!$G$9:$K$1240,5,0)*(D229-INT(D229))+VLOOKUP(INT(D229),Tablas!$G$9:$K$1240,5,0)*(INT(D229)+1-D229))/(VLOOKUP(INT($C$5)+1,Tablas!$G$9:$K$1240,5,0)*($C$5-INT($C$5))+VLOOKUP(INT($C$5),Tablas!$G$9:$K$124,5,0)*(INT($C$5)+1-$C$5)),(+VLOOKUP(INT(D229)+1,Tablas!$G$9:$O$1240,9,0)*(D229-INT(D229))+VLOOKUP(INT(D229),Tablas!$G$9:$O$1240,9,0)*(INT(D229)+1-D229))/(VLOOKUP(INT($C$5)+1,Tablas!$G$9:$O$1240,9,0)*($C$5-INT($C$5))+VLOOKUP(INT($C$5),Tablas!$G$9:$O$124,9,0)*(INT($C$5)+1-$C$5)))</f>
        <v>0.81793578457709626</v>
      </c>
      <c r="G229" s="97">
        <f ca="1">IF($C$4="Hombre",(+VLOOKUP(INT(D229)+1,Tablas!$G$9:$K$1240,5,0)*(D229-INT(D229))+VLOOKUP(INT(D229),Tablas!$G$9:$K$1240,5,0)*(INT(D229)+1-D229)),+VLOOKUP(INT(D229)+1,Tablas!$G$9:$O$1240,9,0)*(D229-INT(D229))+VLOOKUP(INT(D229),Tablas!$G$9:$O$1240,9,0)*(INT(D229)+1-D229))</f>
        <v>755214.71930438501</v>
      </c>
      <c r="H229" s="105">
        <f t="shared" ca="1" si="26"/>
        <v>1</v>
      </c>
      <c r="I229" s="106">
        <f t="shared" ca="1" si="27"/>
        <v>5.2333804725415184E-2</v>
      </c>
      <c r="J229" s="106">
        <f t="shared" ca="1" si="31"/>
        <v>4.4857546907498727E-2</v>
      </c>
      <c r="K229" s="105">
        <f t="shared" ca="1" si="28"/>
        <v>0.81793578457709626</v>
      </c>
      <c r="L229" s="75"/>
    </row>
    <row r="230" spans="2:12">
      <c r="B230" s="101">
        <f t="shared" ca="1" si="29"/>
        <v>59264</v>
      </c>
      <c r="C230" s="101">
        <f t="shared" ca="1" si="30"/>
        <v>59293</v>
      </c>
      <c r="D230" s="102">
        <f t="shared" ca="1" si="24"/>
        <v>84.829568788501021</v>
      </c>
      <c r="E230" s="103">
        <f t="shared" ca="1" si="25"/>
        <v>0.76685500238030746</v>
      </c>
      <c r="F230" s="104">
        <f ca="1">IF($C$4="Hombre",(+VLOOKUP(INT(D230)+1,Tablas!$G$9:$K$1240,5,0)*(D230-INT(D230))+VLOOKUP(INT(D230),Tablas!$G$9:$K$1240,5,0)*(INT(D230)+1-D230))/(VLOOKUP(INT($C$5)+1,Tablas!$G$9:$K$1240,5,0)*($C$5-INT($C$5))+VLOOKUP(INT($C$5),Tablas!$G$9:$K$124,5,0)*(INT($C$5)+1-$C$5)),(+VLOOKUP(INT(D230)+1,Tablas!$G$9:$O$1240,9,0)*(D230-INT(D230))+VLOOKUP(INT(D230),Tablas!$G$9:$O$1240,9,0)*(INT(D230)+1-D230))/(VLOOKUP(INT($C$5)+1,Tablas!$G$9:$O$1240,9,0)*($C$5-INT($C$5))+VLOOKUP(INT($C$5),Tablas!$G$9:$O$124,9,0)*(INT($C$5)+1-$C$5)))</f>
        <v>0.81597444386159401</v>
      </c>
      <c r="G230" s="97">
        <f ca="1">IF($C$4="Hombre",(+VLOOKUP(INT(D230)+1,Tablas!$G$9:$K$1240,5,0)*(D230-INT(D230))+VLOOKUP(INT(D230),Tablas!$G$9:$K$1240,5,0)*(INT(D230)+1-D230)),+VLOOKUP(INT(D230)+1,Tablas!$G$9:$O$1240,9,0)*(D230-INT(D230))+VLOOKUP(INT(D230),Tablas!$G$9:$O$1240,9,0)*(INT(D230)+1-D230))</f>
        <v>753403.77838964784</v>
      </c>
      <c r="H230" s="105">
        <f t="shared" ca="1" si="26"/>
        <v>1</v>
      </c>
      <c r="I230" s="106">
        <f t="shared" ca="1" si="27"/>
        <v>5.2144507007479392E-2</v>
      </c>
      <c r="J230" s="106">
        <f t="shared" ca="1" si="31"/>
        <v>4.4695291720696625E-2</v>
      </c>
      <c r="K230" s="105">
        <f t="shared" ca="1" si="28"/>
        <v>0.81597444386159401</v>
      </c>
      <c r="L230" s="75"/>
    </row>
    <row r="231" spans="2:12">
      <c r="B231" s="101">
        <f t="shared" ca="1" si="29"/>
        <v>59294</v>
      </c>
      <c r="C231" s="101">
        <f t="shared" ca="1" si="30"/>
        <v>59324</v>
      </c>
      <c r="D231" s="102">
        <f t="shared" ca="1" si="24"/>
        <v>84.91444216290212</v>
      </c>
      <c r="E231" s="103">
        <f t="shared" ca="1" si="25"/>
        <v>0.76588658052435543</v>
      </c>
      <c r="F231" s="104">
        <f ca="1">IF($C$4="Hombre",(+VLOOKUP(INT(D231)+1,Tablas!$G$9:$K$1240,5,0)*(D231-INT(D231))+VLOOKUP(INT(D231),Tablas!$G$9:$K$1240,5,0)*(INT(D231)+1-D231))/(VLOOKUP(INT($C$5)+1,Tablas!$G$9:$K$1240,5,0)*($C$5-INT($C$5))+VLOOKUP(INT($C$5),Tablas!$G$9:$K$124,5,0)*(INT($C$5)+1-$C$5)),(+VLOOKUP(INT(D231)+1,Tablas!$G$9:$O$1240,9,0)*(D231-INT(D231))+VLOOKUP(INT(D231),Tablas!$G$9:$O$1240,9,0)*(INT(D231)+1-D231))/(VLOOKUP(INT($C$5)+1,Tablas!$G$9:$O$1240,9,0)*($C$5-INT($C$5))+VLOOKUP(INT($C$5),Tablas!$G$9:$O$124,9,0)*(INT($C$5)+1-$C$5)))</f>
        <v>0.81394772512224156</v>
      </c>
      <c r="G231" s="97">
        <f ca="1">IF($C$4="Hombre",(+VLOOKUP(INT(D231)+1,Tablas!$G$9:$K$1240,5,0)*(D231-INT(D231))+VLOOKUP(INT(D231),Tablas!$G$9:$K$1240,5,0)*(INT(D231)+1-D231)),+VLOOKUP(INT(D231)+1,Tablas!$G$9:$O$1240,9,0)*(D231-INT(D231))+VLOOKUP(INT(D231),Tablas!$G$9:$O$1240,9,0)*(INT(D231)+1-D231))</f>
        <v>751532.47277775267</v>
      </c>
      <c r="H231" s="105">
        <f t="shared" ca="1" si="26"/>
        <v>1</v>
      </c>
      <c r="I231" s="106">
        <f t="shared" ca="1" si="27"/>
        <v>5.1949303326620962E-2</v>
      </c>
      <c r="J231" s="106">
        <f t="shared" ca="1" si="31"/>
        <v>8.9055948559921647E-2</v>
      </c>
      <c r="K231" s="105">
        <f t="shared" ca="1" si="28"/>
        <v>0.81394772512224156</v>
      </c>
      <c r="L231" s="75"/>
    </row>
    <row r="232" spans="2:12">
      <c r="B232" s="101">
        <f t="shared" ca="1" si="29"/>
        <v>59325</v>
      </c>
      <c r="C232" s="101">
        <f t="shared" ca="1" si="30"/>
        <v>59354</v>
      </c>
      <c r="D232" s="102">
        <f t="shared" ca="1" si="24"/>
        <v>84.99657768651609</v>
      </c>
      <c r="E232" s="103">
        <f t="shared" ca="1" si="25"/>
        <v>0.76495056252954563</v>
      </c>
      <c r="F232" s="104">
        <f ca="1">IF($C$4="Hombre",(+VLOOKUP(INT(D232)+1,Tablas!$G$9:$K$1240,5,0)*(D232-INT(D232))+VLOOKUP(INT(D232),Tablas!$G$9:$K$1240,5,0)*(INT(D232)+1-D232))/(VLOOKUP(INT($C$5)+1,Tablas!$G$9:$K$1240,5,0)*($C$5-INT($C$5))+VLOOKUP(INT($C$5),Tablas!$G$9:$K$124,5,0)*(INT($C$5)+1-$C$5)),(+VLOOKUP(INT(D232)+1,Tablas!$G$9:$O$1240,9,0)*(D232-INT(D232))+VLOOKUP(INT(D232),Tablas!$G$9:$O$1240,9,0)*(INT(D232)+1-D232))/(VLOOKUP(INT($C$5)+1,Tablas!$G$9:$O$1240,9,0)*($C$5-INT($C$5))+VLOOKUP(INT($C$5),Tablas!$G$9:$O$124,9,0)*(INT($C$5)+1-$C$5)))</f>
        <v>0.81198638440673909</v>
      </c>
      <c r="G232" s="97">
        <f ca="1">IF($C$4="Hombre",(+VLOOKUP(INT(D232)+1,Tablas!$G$9:$K$1240,5,0)*(D232-INT(D232))+VLOOKUP(INT(D232),Tablas!$G$9:$K$1240,5,0)*(INT(D232)+1-D232)),+VLOOKUP(INT(D232)+1,Tablas!$G$9:$O$1240,9,0)*(D232-INT(D232))+VLOOKUP(INT(D232),Tablas!$G$9:$O$1240,9,0)*(INT(D232)+1-D232))</f>
        <v>749721.53186301538</v>
      </c>
      <c r="H232" s="105">
        <f t="shared" ca="1" si="26"/>
        <v>1</v>
      </c>
      <c r="I232" s="106">
        <f t="shared" ca="1" si="27"/>
        <v>5.1760786793188913E-2</v>
      </c>
      <c r="J232" s="106">
        <f t="shared" ca="1" si="31"/>
        <v>4.4366388679876211E-2</v>
      </c>
      <c r="K232" s="105">
        <f t="shared" ca="1" si="28"/>
        <v>0.81198638440673909</v>
      </c>
      <c r="L232" s="75"/>
    </row>
    <row r="233" spans="2:12">
      <c r="B233" s="101">
        <f t="shared" ca="1" si="29"/>
        <v>59355</v>
      </c>
      <c r="C233" s="101">
        <f t="shared" ca="1" si="30"/>
        <v>59385</v>
      </c>
      <c r="D233" s="102">
        <f t="shared" ca="1" si="24"/>
        <v>85.081451060917175</v>
      </c>
      <c r="E233" s="103">
        <f t="shared" ca="1" si="25"/>
        <v>0.76398454569301621</v>
      </c>
      <c r="F233" s="104">
        <f ca="1">IF($C$4="Hombre",(+VLOOKUP(INT(D233)+1,Tablas!$G$9:$K$1240,5,0)*(D233-INT(D233))+VLOOKUP(INT(D233),Tablas!$G$9:$K$1240,5,0)*(INT(D233)+1-D233))/(VLOOKUP(INT($C$5)+1,Tablas!$G$9:$K$1240,5,0)*($C$5-INT($C$5))+VLOOKUP(INT($C$5),Tablas!$G$9:$K$124,5,0)*(INT($C$5)+1-$C$5)),(+VLOOKUP(INT(D233)+1,Tablas!$G$9:$O$1240,9,0)*(D233-INT(D233))+VLOOKUP(INT(D233),Tablas!$G$9:$O$1240,9,0)*(INT(D233)+1-D233))/(VLOOKUP(INT($C$5)+1,Tablas!$G$9:$O$1240,9,0)*($C$5-INT($C$5))+VLOOKUP(INT($C$5),Tablas!$G$9:$O$124,9,0)*(INT($C$5)+1-$C$5)))</f>
        <v>0.80973495309209254</v>
      </c>
      <c r="G233" s="97">
        <f ca="1">IF($C$4="Hombre",(+VLOOKUP(INT(D233)+1,Tablas!$G$9:$K$1240,5,0)*(D233-INT(D233))+VLOOKUP(INT(D233),Tablas!$G$9:$K$1240,5,0)*(INT(D233)+1-D233)),+VLOOKUP(INT(D233)+1,Tablas!$G$9:$O$1240,9,0)*(D233-INT(D233))+VLOOKUP(INT(D233),Tablas!$G$9:$O$1240,9,0)*(INT(D233)+1-D233))</f>
        <v>747642.74511669029</v>
      </c>
      <c r="H233" s="105">
        <f t="shared" ca="1" si="26"/>
        <v>1</v>
      </c>
      <c r="I233" s="106">
        <f t="shared" ca="1" si="27"/>
        <v>5.1552082522484839E-2</v>
      </c>
      <c r="J233" s="106">
        <f t="shared" ca="1" si="31"/>
        <v>4.4187499304987006E-2</v>
      </c>
      <c r="K233" s="105">
        <f t="shared" ca="1" si="28"/>
        <v>0.80973495309209254</v>
      </c>
      <c r="L233" s="75"/>
    </row>
    <row r="234" spans="2:12">
      <c r="B234" s="101">
        <f t="shared" ca="1" si="29"/>
        <v>59386</v>
      </c>
      <c r="C234" s="101">
        <f t="shared" ca="1" si="30"/>
        <v>59416</v>
      </c>
      <c r="D234" s="102">
        <f t="shared" ca="1" si="24"/>
        <v>85.166324435318273</v>
      </c>
      <c r="E234" s="103">
        <f t="shared" ca="1" si="25"/>
        <v>0.76301974878960932</v>
      </c>
      <c r="F234" s="104">
        <f ca="1">IF($C$4="Hombre",(+VLOOKUP(INT(D234)+1,Tablas!$G$9:$K$1240,5,0)*(D234-INT(D234))+VLOOKUP(INT(D234),Tablas!$G$9:$K$1240,5,0)*(INT(D234)+1-D234))/(VLOOKUP(INT($C$5)+1,Tablas!$G$9:$K$1240,5,0)*($C$5-INT($C$5))+VLOOKUP(INT($C$5),Tablas!$G$9:$K$124,5,0)*(INT($C$5)+1-$C$5)),(+VLOOKUP(INT(D234)+1,Tablas!$G$9:$O$1240,9,0)*(D234-INT(D234))+VLOOKUP(INT(D234),Tablas!$G$9:$O$1240,9,0)*(INT(D234)+1-D234))/(VLOOKUP(INT($C$5)+1,Tablas!$G$9:$O$1240,9,0)*($C$5-INT($C$5))+VLOOKUP(INT($C$5),Tablas!$G$9:$O$124,9,0)*(INT($C$5)+1-$C$5)))</f>
        <v>0.80747408007260146</v>
      </c>
      <c r="G234" s="97">
        <f ca="1">IF($C$4="Hombre",(+VLOOKUP(INT(D234)+1,Tablas!$G$9:$K$1240,5,0)*(D234-INT(D234))+VLOOKUP(INT(D234),Tablas!$G$9:$K$1240,5,0)*(INT(D234)+1-D234)),+VLOOKUP(INT(D234)+1,Tablas!$G$9:$O$1240,9,0)*(D234-INT(D234))+VLOOKUP(INT(D234),Tablas!$G$9:$O$1240,9,0)*(INT(D234)+1-D234))</f>
        <v>745555.24067564099</v>
      </c>
      <c r="H234" s="105">
        <f t="shared" ca="1" si="26"/>
        <v>1</v>
      </c>
      <c r="I234" s="106">
        <f t="shared" ca="1" si="27"/>
        <v>5.1343222477593098E-2</v>
      </c>
      <c r="J234" s="106">
        <f t="shared" ca="1" si="31"/>
        <v>4.4008476409365511E-2</v>
      </c>
      <c r="K234" s="105">
        <f t="shared" ca="1" si="28"/>
        <v>0.80747408007260146</v>
      </c>
      <c r="L234" s="75"/>
    </row>
    <row r="235" spans="2:12">
      <c r="B235" s="101">
        <f t="shared" ca="1" si="29"/>
        <v>59417</v>
      </c>
      <c r="C235" s="101">
        <f t="shared" ca="1" si="30"/>
        <v>59446</v>
      </c>
      <c r="D235" s="102">
        <f t="shared" ca="1" si="24"/>
        <v>85.248459958932244</v>
      </c>
      <c r="E235" s="103">
        <f t="shared" ca="1" si="25"/>
        <v>0.76208723445468862</v>
      </c>
      <c r="F235" s="104">
        <f ca="1">IF($C$4="Hombre",(+VLOOKUP(INT(D235)+1,Tablas!$G$9:$K$1240,5,0)*(D235-INT(D235))+VLOOKUP(INT(D235),Tablas!$G$9:$K$1240,5,0)*(INT(D235)+1-D235))/(VLOOKUP(INT($C$5)+1,Tablas!$G$9:$K$1240,5,0)*($C$5-INT($C$5))+VLOOKUP(INT($C$5),Tablas!$G$9:$K$124,5,0)*(INT($C$5)+1-$C$5)),(+VLOOKUP(INT(D235)+1,Tablas!$G$9:$O$1240,9,0)*(D235-INT(D235))+VLOOKUP(INT(D235),Tablas!$G$9:$O$1240,9,0)*(INT(D235)+1-D235))/(VLOOKUP(INT($C$5)+1,Tablas!$G$9:$O$1240,9,0)*($C$5-INT($C$5))+VLOOKUP(INT($C$5),Tablas!$G$9:$O$124,9,0)*(INT($C$5)+1-$C$5)))</f>
        <v>0.80528613844083596</v>
      </c>
      <c r="G235" s="97">
        <f ca="1">IF($C$4="Hombre",(+VLOOKUP(INT(D235)+1,Tablas!$G$9:$K$1240,5,0)*(D235-INT(D235))+VLOOKUP(INT(D235),Tablas!$G$9:$K$1240,5,0)*(INT(D235)+1-D235)),+VLOOKUP(INT(D235)+1,Tablas!$G$9:$O$1240,9,0)*(D235-INT(D235))+VLOOKUP(INT(D235),Tablas!$G$9:$O$1240,9,0)*(INT(D235)+1-D235))</f>
        <v>743535.07508752879</v>
      </c>
      <c r="H235" s="105">
        <f t="shared" ca="1" si="26"/>
        <v>1</v>
      </c>
      <c r="I235" s="106">
        <f t="shared" ca="1" si="27"/>
        <v>5.1141523849089342E-2</v>
      </c>
      <c r="J235" s="106">
        <f t="shared" ca="1" si="31"/>
        <v>4.3835591870648005E-2</v>
      </c>
      <c r="K235" s="105">
        <f t="shared" ca="1" si="28"/>
        <v>0.80528613844083596</v>
      </c>
      <c r="L235" s="75"/>
    </row>
    <row r="236" spans="2:12">
      <c r="B236" s="101">
        <f t="shared" ca="1" si="29"/>
        <v>59447</v>
      </c>
      <c r="C236" s="101">
        <f t="shared" ca="1" si="30"/>
        <v>59477</v>
      </c>
      <c r="D236" s="102">
        <f t="shared" ca="1" si="24"/>
        <v>85.333333333333329</v>
      </c>
      <c r="E236" s="103">
        <f t="shared" ca="1" si="25"/>
        <v>0.76112483356834515</v>
      </c>
      <c r="F236" s="104">
        <f ca="1">IF($C$4="Hombre",(+VLOOKUP(INT(D236)+1,Tablas!$G$9:$K$1240,5,0)*(D236-INT(D236))+VLOOKUP(INT(D236),Tablas!$G$9:$K$1240,5,0)*(INT(D236)+1-D236))/(VLOOKUP(INT($C$5)+1,Tablas!$G$9:$K$1240,5,0)*($C$5-INT($C$5))+VLOOKUP(INT($C$5),Tablas!$G$9:$K$124,5,0)*(INT($C$5)+1-$C$5)),(+VLOOKUP(INT(D236)+1,Tablas!$G$9:$O$1240,9,0)*(D236-INT(D236))+VLOOKUP(INT(D236),Tablas!$G$9:$O$1240,9,0)*(INT(D236)+1-D236))/(VLOOKUP(INT($C$5)+1,Tablas!$G$9:$O$1240,9,0)*($C$5-INT($C$5))+VLOOKUP(INT($C$5),Tablas!$G$9:$O$124,9,0)*(INT($C$5)+1-$C$5)))</f>
        <v>0.80302526542134522</v>
      </c>
      <c r="G236" s="97">
        <f ca="1">IF($C$4="Hombre",(+VLOOKUP(INT(D236)+1,Tablas!$G$9:$K$1240,5,0)*(D236-INT(D236))+VLOOKUP(INT(D236),Tablas!$G$9:$K$1240,5,0)*(INT(D236)+1-D236)),+VLOOKUP(INT(D236)+1,Tablas!$G$9:$O$1240,9,0)*(D236-INT(D236))+VLOOKUP(INT(D236),Tablas!$G$9:$O$1240,9,0)*(INT(D236)+1-D236))</f>
        <v>741447.57064647984</v>
      </c>
      <c r="H236" s="105">
        <f t="shared" ca="1" si="26"/>
        <v>1</v>
      </c>
      <c r="I236" s="106">
        <f t="shared" ca="1" si="27"/>
        <v>5.0933539291249795E-2</v>
      </c>
      <c r="J236" s="106">
        <f t="shared" ca="1" si="31"/>
        <v>4.3657319392499824E-2</v>
      </c>
      <c r="K236" s="105">
        <f t="shared" ca="1" si="28"/>
        <v>0.80302526542134522</v>
      </c>
      <c r="L236" s="75"/>
    </row>
    <row r="237" spans="2:12">
      <c r="B237" s="101">
        <f t="shared" ca="1" si="29"/>
        <v>59478</v>
      </c>
      <c r="C237" s="101">
        <f t="shared" ca="1" si="30"/>
        <v>59507</v>
      </c>
      <c r="D237" s="102">
        <f t="shared" ca="1" si="24"/>
        <v>85.4154688569473</v>
      </c>
      <c r="E237" s="103">
        <f t="shared" ca="1" si="25"/>
        <v>0.76019463507860419</v>
      </c>
      <c r="F237" s="104">
        <f ca="1">IF($C$4="Hombre",(+VLOOKUP(INT(D237)+1,Tablas!$G$9:$K$1240,5,0)*(D237-INT(D237))+VLOOKUP(INT(D237),Tablas!$G$9:$K$1240,5,0)*(INT(D237)+1-D237))/(VLOOKUP(INT($C$5)+1,Tablas!$G$9:$K$1240,5,0)*($C$5-INT($C$5))+VLOOKUP(INT($C$5),Tablas!$G$9:$K$124,5,0)*(INT($C$5)+1-$C$5)),(+VLOOKUP(INT(D237)+1,Tablas!$G$9:$O$1240,9,0)*(D237-INT(D237))+VLOOKUP(INT(D237),Tablas!$G$9:$O$1240,9,0)*(INT(D237)+1-D237))/(VLOOKUP(INT($C$5)+1,Tablas!$G$9:$O$1240,9,0)*($C$5-INT($C$5))+VLOOKUP(INT($C$5),Tablas!$G$9:$O$124,9,0)*(INT($C$5)+1-$C$5)))</f>
        <v>0.80083732378957961</v>
      </c>
      <c r="G237" s="97">
        <f ca="1">IF($C$4="Hombre",(+VLOOKUP(INT(D237)+1,Tablas!$G$9:$K$1240,5,0)*(D237-INT(D237))+VLOOKUP(INT(D237),Tablas!$G$9:$K$1240,5,0)*(INT(D237)+1-D237)),+VLOOKUP(INT(D237)+1,Tablas!$G$9:$O$1240,9,0)*(D237-INT(D237))+VLOOKUP(INT(D237),Tablas!$G$9:$O$1240,9,0)*(INT(D237)+1-D237))</f>
        <v>739427.40505836764</v>
      </c>
      <c r="H237" s="105">
        <f t="shared" ca="1" si="26"/>
        <v>1</v>
      </c>
      <c r="I237" s="106">
        <f t="shared" ca="1" si="27"/>
        <v>5.0732686426295449E-2</v>
      </c>
      <c r="J237" s="106">
        <f t="shared" ca="1" si="31"/>
        <v>8.6970319587935066E-2</v>
      </c>
      <c r="K237" s="105">
        <f t="shared" ca="1" si="28"/>
        <v>0.80083732378957961</v>
      </c>
      <c r="L237" s="75"/>
    </row>
    <row r="238" spans="2:12">
      <c r="B238" s="101">
        <f t="shared" ca="1" si="29"/>
        <v>59508</v>
      </c>
      <c r="C238" s="101">
        <f t="shared" ca="1" si="30"/>
        <v>59538</v>
      </c>
      <c r="D238" s="102">
        <f t="shared" ca="1" si="24"/>
        <v>85.500342231348398</v>
      </c>
      <c r="E238" s="103">
        <f t="shared" ca="1" si="25"/>
        <v>0.75923462425895449</v>
      </c>
      <c r="F238" s="104">
        <f ca="1">IF($C$4="Hombre",(+VLOOKUP(INT(D238)+1,Tablas!$G$9:$K$1240,5,0)*(D238-INT(D238))+VLOOKUP(INT(D238),Tablas!$G$9:$K$1240,5,0)*(INT(D238)+1-D238))/(VLOOKUP(INT($C$5)+1,Tablas!$G$9:$K$1240,5,0)*($C$5-INT($C$5))+VLOOKUP(INT($C$5),Tablas!$G$9:$K$124,5,0)*(INT($C$5)+1-$C$5)),(+VLOOKUP(INT(D238)+1,Tablas!$G$9:$O$1240,9,0)*(D238-INT(D238))+VLOOKUP(INT(D238),Tablas!$G$9:$O$1240,9,0)*(INT(D238)+1-D238))/(VLOOKUP(INT($C$5)+1,Tablas!$G$9:$O$1240,9,0)*($C$5-INT($C$5))+VLOOKUP(INT($C$5),Tablas!$G$9:$O$124,9,0)*(INT($C$5)+1-$C$5)))</f>
        <v>0.79857645077008843</v>
      </c>
      <c r="G238" s="97">
        <f ca="1">IF($C$4="Hombre",(+VLOOKUP(INT(D238)+1,Tablas!$G$9:$K$1240,5,0)*(D238-INT(D238))+VLOOKUP(INT(D238),Tablas!$G$9:$K$1240,5,0)*(INT(D238)+1-D238)),+VLOOKUP(INT(D238)+1,Tablas!$G$9:$O$1240,9,0)*(D238-INT(D238))+VLOOKUP(INT(D238),Tablas!$G$9:$O$1240,9,0)*(INT(D238)+1-D238))</f>
        <v>737339.90061731823</v>
      </c>
      <c r="H238" s="105">
        <f t="shared" ca="1" si="26"/>
        <v>1</v>
      </c>
      <c r="I238" s="106">
        <f t="shared" ca="1" si="27"/>
        <v>5.052557429520646E-2</v>
      </c>
      <c r="J238" s="106">
        <f t="shared" ca="1" si="31"/>
        <v>4.3307635110176969E-2</v>
      </c>
      <c r="K238" s="105">
        <f t="shared" ca="1" si="28"/>
        <v>0.79857645077008843</v>
      </c>
      <c r="L238" s="75"/>
    </row>
    <row r="239" spans="2:12">
      <c r="B239" s="101">
        <f t="shared" ca="1" si="29"/>
        <v>59539</v>
      </c>
      <c r="C239" s="101">
        <f t="shared" ca="1" si="30"/>
        <v>59569</v>
      </c>
      <c r="D239" s="102">
        <f t="shared" ca="1" si="24"/>
        <v>85.585215605749482</v>
      </c>
      <c r="E239" s="103">
        <f t="shared" ca="1" si="25"/>
        <v>0.75827582578773711</v>
      </c>
      <c r="F239" s="104">
        <f ca="1">IF($C$4="Hombre",(+VLOOKUP(INT(D239)+1,Tablas!$G$9:$K$1240,5,0)*(D239-INT(D239))+VLOOKUP(INT(D239),Tablas!$G$9:$K$1240,5,0)*(INT(D239)+1-D239))/(VLOOKUP(INT($C$5)+1,Tablas!$G$9:$K$1240,5,0)*($C$5-INT($C$5))+VLOOKUP(INT($C$5),Tablas!$G$9:$K$124,5,0)*(INT($C$5)+1-$C$5)),(+VLOOKUP(INT(D239)+1,Tablas!$G$9:$O$1240,9,0)*(D239-INT(D239))+VLOOKUP(INT(D239),Tablas!$G$9:$O$1240,9,0)*(INT(D239)+1-D239))/(VLOOKUP(INT($C$5)+1,Tablas!$G$9:$O$1240,9,0)*($C$5-INT($C$5))+VLOOKUP(INT($C$5),Tablas!$G$9:$O$124,9,0)*(INT($C$5)+1-$C$5)))</f>
        <v>0.79631557775059769</v>
      </c>
      <c r="G239" s="97">
        <f ca="1">IF($C$4="Hombre",(+VLOOKUP(INT(D239)+1,Tablas!$G$9:$K$1240,5,0)*(D239-INT(D239))+VLOOKUP(INT(D239),Tablas!$G$9:$K$1240,5,0)*(INT(D239)+1-D239)),+VLOOKUP(INT(D239)+1,Tablas!$G$9:$O$1240,9,0)*(D239-INT(D239))+VLOOKUP(INT(D239),Tablas!$G$9:$O$1240,9,0)*(INT(D239)+1-D239))</f>
        <v>735252.39617626928</v>
      </c>
      <c r="H239" s="105">
        <f t="shared" ca="1" si="26"/>
        <v>1</v>
      </c>
      <c r="I239" s="106">
        <f t="shared" ca="1" si="27"/>
        <v>5.031890435887279E-2</v>
      </c>
      <c r="J239" s="106">
        <f t="shared" ca="1" si="31"/>
        <v>4.3130489450462391E-2</v>
      </c>
      <c r="K239" s="105">
        <f t="shared" ca="1" si="28"/>
        <v>0.79631557775059769</v>
      </c>
      <c r="L239" s="75"/>
    </row>
    <row r="240" spans="2:12">
      <c r="B240" s="101">
        <f t="shared" ca="1" si="29"/>
        <v>59570</v>
      </c>
      <c r="C240" s="101">
        <f t="shared" ca="1" si="30"/>
        <v>59597</v>
      </c>
      <c r="D240" s="102">
        <f t="shared" ca="1" si="24"/>
        <v>85.661875427789184</v>
      </c>
      <c r="E240" s="103">
        <f t="shared" ca="1" si="25"/>
        <v>0.75741085503115868</v>
      </c>
      <c r="F240" s="104">
        <f ca="1">IF($C$4="Hombre",(+VLOOKUP(INT(D240)+1,Tablas!$G$9:$K$1240,5,0)*(D240-INT(D240))+VLOOKUP(INT(D240),Tablas!$G$9:$K$1240,5,0)*(INT(D240)+1-D240))/(VLOOKUP(INT($C$5)+1,Tablas!$G$9:$K$1240,5,0)*($C$5-INT($C$5))+VLOOKUP(INT($C$5),Tablas!$G$9:$K$124,5,0)*(INT($C$5)+1-$C$5)),(+VLOOKUP(INT(D240)+1,Tablas!$G$9:$O$1240,9,0)*(D240-INT(D240))+VLOOKUP(INT(D240),Tablas!$G$9:$O$1240,9,0)*(INT(D240)+1-D240))/(VLOOKUP(INT($C$5)+1,Tablas!$G$9:$O$1240,9,0)*($C$5-INT($C$5))+VLOOKUP(INT($C$5),Tablas!$G$9:$O$124,9,0)*(INT($C$5)+1-$C$5)))</f>
        <v>0.79427349889428323</v>
      </c>
      <c r="G240" s="97">
        <f ca="1">IF($C$4="Hombre",(+VLOOKUP(INT(D240)+1,Tablas!$G$9:$K$1240,5,0)*(D240-INT(D240))+VLOOKUP(INT(D240),Tablas!$G$9:$K$1240,5,0)*(INT(D240)+1-D240)),+VLOOKUP(INT(D240)+1,Tablas!$G$9:$O$1240,9,0)*(D240-INT(D240))+VLOOKUP(INT(D240),Tablas!$G$9:$O$1240,9,0)*(INT(D240)+1-D240))</f>
        <v>733366.90829403128</v>
      </c>
      <c r="H240" s="105">
        <f t="shared" ca="1" si="26"/>
        <v>1</v>
      </c>
      <c r="I240" s="106">
        <f t="shared" ca="1" si="27"/>
        <v>5.0132614160509091E-2</v>
      </c>
      <c r="J240" s="106">
        <f t="shared" ca="1" si="31"/>
        <v>4.2970812137579216E-2</v>
      </c>
      <c r="K240" s="105">
        <f t="shared" ca="1" si="28"/>
        <v>0.79427349889428323</v>
      </c>
      <c r="L240" s="75"/>
    </row>
    <row r="241" spans="2:12">
      <c r="B241" s="101">
        <f t="shared" ca="1" si="29"/>
        <v>59598</v>
      </c>
      <c r="C241" s="101">
        <f t="shared" ca="1" si="30"/>
        <v>59628</v>
      </c>
      <c r="D241" s="102">
        <f t="shared" ca="1" si="24"/>
        <v>85.746748802190282</v>
      </c>
      <c r="E241" s="103">
        <f t="shared" ca="1" si="25"/>
        <v>0.75645435970457076</v>
      </c>
      <c r="F241" s="104">
        <f ca="1">IF($C$4="Hombre",(+VLOOKUP(INT(D241)+1,Tablas!$G$9:$K$1240,5,0)*(D241-INT(D241))+VLOOKUP(INT(D241),Tablas!$G$9:$K$1240,5,0)*(INT(D241)+1-D241))/(VLOOKUP(INT($C$5)+1,Tablas!$G$9:$K$1240,5,0)*($C$5-INT($C$5))+VLOOKUP(INT($C$5),Tablas!$G$9:$K$124,5,0)*(INT($C$5)+1-$C$5)),(+VLOOKUP(INT(D241)+1,Tablas!$G$9:$O$1240,9,0)*(D241-INT(D241))+VLOOKUP(INT(D241),Tablas!$G$9:$O$1240,9,0)*(INT(D241)+1-D241))/(VLOOKUP(INT($C$5)+1,Tablas!$G$9:$O$1240,9,0)*($C$5-INT($C$5))+VLOOKUP(INT($C$5),Tablas!$G$9:$O$124,9,0)*(INT($C$5)+1-$C$5)))</f>
        <v>0.79201262587479226</v>
      </c>
      <c r="G241" s="97">
        <f ca="1">IF($C$4="Hombre",(+VLOOKUP(INT(D241)+1,Tablas!$G$9:$K$1240,5,0)*(D241-INT(D241))+VLOOKUP(INT(D241),Tablas!$G$9:$K$1240,5,0)*(INT(D241)+1-D241)),+VLOOKUP(INT(D241)+1,Tablas!$G$9:$O$1240,9,0)*(D241-INT(D241))+VLOOKUP(INT(D241),Tablas!$G$9:$O$1240,9,0)*(INT(D241)+1-D241))</f>
        <v>731279.4038529821</v>
      </c>
      <c r="H241" s="105">
        <f t="shared" ca="1" si="26"/>
        <v>1</v>
      </c>
      <c r="I241" s="106">
        <f t="shared" ca="1" si="27"/>
        <v>4.9926783648670973E-2</v>
      </c>
      <c r="J241" s="106">
        <f t="shared" ca="1" si="31"/>
        <v>4.279438598457512E-2</v>
      </c>
      <c r="K241" s="105">
        <f t="shared" ca="1" si="28"/>
        <v>0.79201262587479226</v>
      </c>
      <c r="L241" s="75"/>
    </row>
    <row r="242" spans="2:12">
      <c r="B242" s="101">
        <f t="shared" ca="1" si="29"/>
        <v>59629</v>
      </c>
      <c r="C242" s="101">
        <f t="shared" ca="1" si="30"/>
        <v>59658</v>
      </c>
      <c r="D242" s="102">
        <f t="shared" ca="1" si="24"/>
        <v>85.828884325804239</v>
      </c>
      <c r="E242" s="103">
        <f t="shared" ca="1" si="25"/>
        <v>0.75552986917171538</v>
      </c>
      <c r="F242" s="104">
        <f ca="1">IF($C$4="Hombre",(+VLOOKUP(INT(D242)+1,Tablas!$G$9:$K$1240,5,0)*(D242-INT(D242))+VLOOKUP(INT(D242),Tablas!$G$9:$K$1240,5,0)*(INT(D242)+1-D242))/(VLOOKUP(INT($C$5)+1,Tablas!$G$9:$K$1240,5,0)*($C$5-INT($C$5))+VLOOKUP(INT($C$5),Tablas!$G$9:$K$124,5,0)*(INT($C$5)+1-$C$5)),(+VLOOKUP(INT(D242)+1,Tablas!$G$9:$O$1240,9,0)*(D242-INT(D242))+VLOOKUP(INT(D242),Tablas!$G$9:$O$1240,9,0)*(INT(D242)+1-D242))/(VLOOKUP(INT($C$5)+1,Tablas!$G$9:$O$1240,9,0)*($C$5-INT($C$5))+VLOOKUP(INT($C$5),Tablas!$G$9:$O$124,9,0)*(INT($C$5)+1-$C$5)))</f>
        <v>0.78982468424302699</v>
      </c>
      <c r="G242" s="97">
        <f ca="1">IF($C$4="Hombre",(+VLOOKUP(INT(D242)+1,Tablas!$G$9:$K$1240,5,0)*(D242-INT(D242))+VLOOKUP(INT(D242),Tablas!$G$9:$K$1240,5,0)*(INT(D242)+1-D242)),+VLOOKUP(INT(D242)+1,Tablas!$G$9:$O$1240,9,0)*(D242-INT(D242))+VLOOKUP(INT(D242),Tablas!$G$9:$O$1240,9,0)*(INT(D242)+1-D242))</f>
        <v>729259.23826487013</v>
      </c>
      <c r="H242" s="105">
        <f t="shared" ca="1" si="26"/>
        <v>1</v>
      </c>
      <c r="I242" s="106">
        <f t="shared" ca="1" si="27"/>
        <v>4.9728011696227134E-2</v>
      </c>
      <c r="J242" s="106">
        <f t="shared" ca="1" si="31"/>
        <v>4.2624010025337541E-2</v>
      </c>
      <c r="K242" s="105">
        <f t="shared" ca="1" si="28"/>
        <v>0.78982468424302699</v>
      </c>
      <c r="L242" s="75"/>
    </row>
    <row r="243" spans="2:12">
      <c r="B243" s="101">
        <f t="shared" ca="1" si="29"/>
        <v>59659</v>
      </c>
      <c r="C243" s="101">
        <f t="shared" ca="1" si="30"/>
        <v>59689</v>
      </c>
      <c r="D243" s="102">
        <f t="shared" ca="1" si="24"/>
        <v>85.913757700205338</v>
      </c>
      <c r="E243" s="103">
        <f t="shared" ca="1" si="25"/>
        <v>0.75457574924570681</v>
      </c>
      <c r="F243" s="104">
        <f ca="1">IF($C$4="Hombre",(+VLOOKUP(INT(D243)+1,Tablas!$G$9:$K$1240,5,0)*(D243-INT(D243))+VLOOKUP(INT(D243),Tablas!$G$9:$K$1240,5,0)*(INT(D243)+1-D243))/(VLOOKUP(INT($C$5)+1,Tablas!$G$9:$K$1240,5,0)*($C$5-INT($C$5))+VLOOKUP(INT($C$5),Tablas!$G$9:$K$124,5,0)*(INT($C$5)+1-$C$5)),(+VLOOKUP(INT(D243)+1,Tablas!$G$9:$O$1240,9,0)*(D243-INT(D243))+VLOOKUP(INT(D243),Tablas!$G$9:$O$1240,9,0)*(INT(D243)+1-D243))/(VLOOKUP(INT($C$5)+1,Tablas!$G$9:$O$1240,9,0)*($C$5-INT($C$5))+VLOOKUP(INT($C$5),Tablas!$G$9:$O$124,9,0)*(INT($C$5)+1-$C$5)))</f>
        <v>0.7875638112235358</v>
      </c>
      <c r="G243" s="97">
        <f ca="1">IF($C$4="Hombre",(+VLOOKUP(INT(D243)+1,Tablas!$G$9:$K$1240,5,0)*(D243-INT(D243))+VLOOKUP(INT(D243),Tablas!$G$9:$K$1240,5,0)*(INT(D243)+1-D243)),+VLOOKUP(INT(D243)+1,Tablas!$G$9:$O$1240,9,0)*(D243-INT(D243))+VLOOKUP(INT(D243),Tablas!$G$9:$O$1240,9,0)*(INT(D243)+1-D243))</f>
        <v>727171.73382382083</v>
      </c>
      <c r="H243" s="105">
        <f t="shared" ca="1" si="26"/>
        <v>1</v>
      </c>
      <c r="I243" s="106">
        <f t="shared" ca="1" si="27"/>
        <v>4.9523046077733661E-2</v>
      </c>
      <c r="J243" s="106">
        <f t="shared" ca="1" si="31"/>
        <v>8.4896650418971986E-2</v>
      </c>
      <c r="K243" s="105">
        <f t="shared" ca="1" si="28"/>
        <v>0.7875638112235358</v>
      </c>
      <c r="L243" s="75"/>
    </row>
    <row r="244" spans="2:12">
      <c r="B244" s="101">
        <f t="shared" ca="1" si="29"/>
        <v>59690</v>
      </c>
      <c r="C244" s="101">
        <f t="shared" ca="1" si="30"/>
        <v>59719</v>
      </c>
      <c r="D244" s="102">
        <f t="shared" ca="1" si="24"/>
        <v>85.995893223819309</v>
      </c>
      <c r="E244" s="103">
        <f t="shared" ca="1" si="25"/>
        <v>0.75365355463138484</v>
      </c>
      <c r="F244" s="104">
        <f ca="1">IF($C$4="Hombre",(+VLOOKUP(INT(D244)+1,Tablas!$G$9:$K$1240,5,0)*(D244-INT(D244))+VLOOKUP(INT(D244),Tablas!$G$9:$K$1240,5,0)*(INT(D244)+1-D244))/(VLOOKUP(INT($C$5)+1,Tablas!$G$9:$K$1240,5,0)*($C$5-INT($C$5))+VLOOKUP(INT($C$5),Tablas!$G$9:$K$124,5,0)*(INT($C$5)+1-$C$5)),(+VLOOKUP(INT(D244)+1,Tablas!$G$9:$O$1240,9,0)*(D244-INT(D244))+VLOOKUP(INT(D244),Tablas!$G$9:$O$1240,9,0)*(INT(D244)+1-D244))/(VLOOKUP(INT($C$5)+1,Tablas!$G$9:$O$1240,9,0)*($C$5-INT($C$5))+VLOOKUP(INT($C$5),Tablas!$G$9:$O$124,9,0)*(INT($C$5)+1-$C$5)))</f>
        <v>0.78537586959177019</v>
      </c>
      <c r="G244" s="97">
        <f ca="1">IF($C$4="Hombre",(+VLOOKUP(INT(D244)+1,Tablas!$G$9:$K$1240,5,0)*(D244-INT(D244))+VLOOKUP(INT(D244),Tablas!$G$9:$K$1240,5,0)*(INT(D244)+1-D244)),+VLOOKUP(INT(D244)+1,Tablas!$G$9:$O$1240,9,0)*(D244-INT(D244))+VLOOKUP(INT(D244),Tablas!$G$9:$O$1240,9,0)*(INT(D244)+1-D244))</f>
        <v>725151.56823570852</v>
      </c>
      <c r="H244" s="105">
        <f t="shared" ca="1" si="26"/>
        <v>1</v>
      </c>
      <c r="I244" s="106">
        <f t="shared" ca="1" si="27"/>
        <v>4.9325109653296048E-2</v>
      </c>
      <c r="J244" s="106">
        <f t="shared" ca="1" si="31"/>
        <v>4.2278665417110894E-2</v>
      </c>
      <c r="K244" s="105">
        <f t="shared" ca="1" si="28"/>
        <v>0.78537586959177019</v>
      </c>
      <c r="L244" s="75"/>
    </row>
    <row r="245" spans="2:12">
      <c r="B245" s="101">
        <f t="shared" ca="1" si="29"/>
        <v>59720</v>
      </c>
      <c r="C245" s="101">
        <f t="shared" ca="1" si="30"/>
        <v>59750</v>
      </c>
      <c r="D245" s="102">
        <f t="shared" ca="1" si="24"/>
        <v>86.080766598220393</v>
      </c>
      <c r="E245" s="103">
        <f t="shared" ca="1" si="25"/>
        <v>0.75270180420678656</v>
      </c>
      <c r="F245" s="104">
        <f ca="1">IF($C$4="Hombre",(+VLOOKUP(INT(D245)+1,Tablas!$G$9:$K$1240,5,0)*(D245-INT(D245))+VLOOKUP(INT(D245),Tablas!$G$9:$K$1240,5,0)*(INT(D245)+1-D245))/(VLOOKUP(INT($C$5)+1,Tablas!$G$9:$K$1240,5,0)*($C$5-INT($C$5))+VLOOKUP(INT($C$5),Tablas!$G$9:$K$124,5,0)*(INT($C$5)+1-$C$5)),(+VLOOKUP(INT(D245)+1,Tablas!$G$9:$O$1240,9,0)*(D245-INT(D245))+VLOOKUP(INT(D245),Tablas!$G$9:$O$1240,9,0)*(INT(D245)+1-D245))/(VLOOKUP(INT($C$5)+1,Tablas!$G$9:$O$1240,9,0)*($C$5-INT($C$5))+VLOOKUP(INT($C$5),Tablas!$G$9:$O$124,9,0)*(INT($C$5)+1-$C$5)))</f>
        <v>0.78289023673432223</v>
      </c>
      <c r="G245" s="97">
        <f ca="1">IF($C$4="Hombre",(+VLOOKUP(INT(D245)+1,Tablas!$G$9:$K$1240,5,0)*(D245-INT(D245))+VLOOKUP(INT(D245),Tablas!$G$9:$K$1240,5,0)*(INT(D245)+1-D245)),+VLOOKUP(INT(D245)+1,Tablas!$G$9:$O$1240,9,0)*(D245-INT(D245))+VLOOKUP(INT(D245),Tablas!$G$9:$O$1240,9,0)*(INT(D245)+1-D245))</f>
        <v>722856.53902176861</v>
      </c>
      <c r="H245" s="105">
        <f t="shared" ca="1" si="26"/>
        <v>1</v>
      </c>
      <c r="I245" s="106">
        <f t="shared" ca="1" si="27"/>
        <v>4.9106907807150213E-2</v>
      </c>
      <c r="J245" s="106">
        <f t="shared" ca="1" si="31"/>
        <v>4.2091635263271608E-2</v>
      </c>
      <c r="K245" s="105">
        <f t="shared" ca="1" si="28"/>
        <v>0.78289023673432223</v>
      </c>
      <c r="L245" s="75"/>
    </row>
    <row r="246" spans="2:12">
      <c r="B246" s="101">
        <f t="shared" ca="1" si="29"/>
        <v>59751</v>
      </c>
      <c r="C246" s="101">
        <f t="shared" ca="1" si="30"/>
        <v>59781</v>
      </c>
      <c r="D246" s="102">
        <f t="shared" ca="1" si="24"/>
        <v>86.165639972621491</v>
      </c>
      <c r="E246" s="103">
        <f t="shared" ca="1" si="25"/>
        <v>0.75175125569899082</v>
      </c>
      <c r="F246" s="104">
        <f ca="1">IF($C$4="Hombre",(+VLOOKUP(INT(D246)+1,Tablas!$G$9:$K$1240,5,0)*(D246-INT(D246))+VLOOKUP(INT(D246),Tablas!$G$9:$K$1240,5,0)*(INT(D246)+1-D246))/(VLOOKUP(INT($C$5)+1,Tablas!$G$9:$K$1240,5,0)*($C$5-INT($C$5))+VLOOKUP(INT($C$5),Tablas!$G$9:$K$124,5,0)*(INT($C$5)+1-$C$5)),(+VLOOKUP(INT(D246)+1,Tablas!$G$9:$O$1240,9,0)*(D246-INT(D246))+VLOOKUP(INT(D246),Tablas!$G$9:$O$1240,9,0)*(INT(D246)+1-D246))/(VLOOKUP(INT($C$5)+1,Tablas!$G$9:$O$1240,9,0)*($C$5-INT($C$5))+VLOOKUP(INT($C$5),Tablas!$G$9:$O$124,9,0)*(INT($C$5)+1-$C$5)))</f>
        <v>0.7803931754105371</v>
      </c>
      <c r="G246" s="97">
        <f ca="1">IF($C$4="Hombre",(+VLOOKUP(INT(D246)+1,Tablas!$G$9:$K$1240,5,0)*(D246-INT(D246))+VLOOKUP(INT(D246),Tablas!$G$9:$K$1240,5,0)*(INT(D246)+1-D246)),+VLOOKUP(INT(D246)+1,Tablas!$G$9:$O$1240,9,0)*(D246-INT(D246))+VLOOKUP(INT(D246),Tablas!$G$9:$O$1240,9,0)*(INT(D246)+1-D246))</f>
        <v>720550.95770073216</v>
      </c>
      <c r="H246" s="105">
        <f t="shared" ca="1" si="26"/>
        <v>1</v>
      </c>
      <c r="I246" s="106">
        <f t="shared" ca="1" si="27"/>
        <v>4.8888462462816168E-2</v>
      </c>
      <c r="J246" s="106">
        <f t="shared" ca="1" si="31"/>
        <v>4.1904396396699573E-2</v>
      </c>
      <c r="K246" s="105">
        <f t="shared" ca="1" si="28"/>
        <v>0.7803931754105371</v>
      </c>
      <c r="L246" s="75"/>
    </row>
    <row r="247" spans="2:12">
      <c r="B247" s="101">
        <f t="shared" ca="1" si="29"/>
        <v>59782</v>
      </c>
      <c r="C247" s="101">
        <f t="shared" ca="1" si="30"/>
        <v>59811</v>
      </c>
      <c r="D247" s="102">
        <f t="shared" ca="1" si="24"/>
        <v>86.247775496235448</v>
      </c>
      <c r="E247" s="103">
        <f t="shared" ca="1" si="25"/>
        <v>0.75083251300151044</v>
      </c>
      <c r="F247" s="104">
        <f ca="1">IF($C$4="Hombre",(+VLOOKUP(INT(D247)+1,Tablas!$G$9:$K$1240,5,0)*(D247-INT(D247))+VLOOKUP(INT(D247),Tablas!$G$9:$K$1240,5,0)*(INT(D247)+1-D247))/(VLOOKUP(INT($C$5)+1,Tablas!$G$9:$K$1240,5,0)*($C$5-INT($C$5))+VLOOKUP(INT($C$5),Tablas!$G$9:$K$124,5,0)*(INT($C$5)+1-$C$5)),(+VLOOKUP(INT(D247)+1,Tablas!$G$9:$O$1240,9,0)*(D247-INT(D247))+VLOOKUP(INT(D247),Tablas!$G$9:$O$1240,9,0)*(INT(D247)+1-D247))/(VLOOKUP(INT($C$5)+1,Tablas!$G$9:$O$1240,9,0)*($C$5-INT($C$5))+VLOOKUP(INT($C$5),Tablas!$G$9:$O$124,9,0)*(INT($C$5)+1-$C$5)))</f>
        <v>0.77797666445203562</v>
      </c>
      <c r="G247" s="97">
        <f ca="1">IF($C$4="Hombre",(+VLOOKUP(INT(D247)+1,Tablas!$G$9:$K$1240,5,0)*(D247-INT(D247))+VLOOKUP(INT(D247),Tablas!$G$9:$K$1240,5,0)*(INT(D247)+1-D247)),+VLOOKUP(INT(D247)+1,Tablas!$G$9:$O$1240,9,0)*(D247-INT(D247))+VLOOKUP(INT(D247),Tablas!$G$9:$O$1240,9,0)*(INT(D247)+1-D247))</f>
        <v>718319.74997069722</v>
      </c>
      <c r="H247" s="105">
        <f t="shared" ca="1" si="26"/>
        <v>1</v>
      </c>
      <c r="I247" s="106">
        <f t="shared" ca="1" si="27"/>
        <v>4.8677514502254556E-2</v>
      </c>
      <c r="J247" s="106">
        <f t="shared" ca="1" si="31"/>
        <v>4.1723583859075333E-2</v>
      </c>
      <c r="K247" s="105">
        <f t="shared" ca="1" si="28"/>
        <v>0.77797666445203562</v>
      </c>
      <c r="L247" s="75"/>
    </row>
    <row r="248" spans="2:12">
      <c r="B248" s="101">
        <f t="shared" ca="1" si="29"/>
        <v>59812</v>
      </c>
      <c r="C248" s="101">
        <f t="shared" ca="1" si="30"/>
        <v>59842</v>
      </c>
      <c r="D248" s="102">
        <f t="shared" ca="1" si="24"/>
        <v>86.332648870636547</v>
      </c>
      <c r="E248" s="103">
        <f t="shared" ca="1" si="25"/>
        <v>0.74988432512571501</v>
      </c>
      <c r="F248" s="104">
        <f ca="1">IF($C$4="Hombre",(+VLOOKUP(INT(D248)+1,Tablas!$G$9:$K$1240,5,0)*(D248-INT(D248))+VLOOKUP(INT(D248),Tablas!$G$9:$K$1240,5,0)*(INT(D248)+1-D248))/(VLOOKUP(INT($C$5)+1,Tablas!$G$9:$K$1240,5,0)*($C$5-INT($C$5))+VLOOKUP(INT($C$5),Tablas!$G$9:$K$124,5,0)*(INT($C$5)+1-$C$5)),(+VLOOKUP(INT(D248)+1,Tablas!$G$9:$O$1240,9,0)*(D248-INT(D248))+VLOOKUP(INT(D248),Tablas!$G$9:$O$1240,9,0)*(INT(D248)+1-D248))/(VLOOKUP(INT($C$5)+1,Tablas!$G$9:$O$1240,9,0)*($C$5-INT($C$5))+VLOOKUP(INT($C$5),Tablas!$G$9:$O$124,9,0)*(INT($C$5)+1-$C$5)))</f>
        <v>0.77547960312825037</v>
      </c>
      <c r="G248" s="97">
        <f ca="1">IF($C$4="Hombre",(+VLOOKUP(INT(D248)+1,Tablas!$G$9:$K$1240,5,0)*(D248-INT(D248))+VLOOKUP(INT(D248),Tablas!$G$9:$K$1240,5,0)*(INT(D248)+1-D248)),+VLOOKUP(INT(D248)+1,Tablas!$G$9:$O$1240,9,0)*(D248-INT(D248))+VLOOKUP(INT(D248),Tablas!$G$9:$O$1240,9,0)*(INT(D248)+1-D248))</f>
        <v>716014.16864966066</v>
      </c>
      <c r="H248" s="105">
        <f t="shared" ca="1" si="26"/>
        <v>1</v>
      </c>
      <c r="I248" s="106">
        <f t="shared" ca="1" si="27"/>
        <v>4.8459999903382109E-2</v>
      </c>
      <c r="J248" s="106">
        <f t="shared" ca="1" si="31"/>
        <v>4.1537142774327518E-2</v>
      </c>
      <c r="K248" s="105">
        <f t="shared" ca="1" si="28"/>
        <v>0.77547960312825037</v>
      </c>
      <c r="L248" s="75"/>
    </row>
    <row r="249" spans="2:12">
      <c r="B249" s="101">
        <f t="shared" ca="1" si="29"/>
        <v>59843</v>
      </c>
      <c r="C249" s="101">
        <f t="shared" ca="1" si="30"/>
        <v>59872</v>
      </c>
      <c r="D249" s="102">
        <f t="shared" ca="1" si="24"/>
        <v>86.414784394250518</v>
      </c>
      <c r="E249" s="103">
        <f t="shared" ca="1" si="25"/>
        <v>0.74896786407235272</v>
      </c>
      <c r="F249" s="104">
        <f ca="1">IF($C$4="Hombre",(+VLOOKUP(INT(D249)+1,Tablas!$G$9:$K$1240,5,0)*(D249-INT(D249))+VLOOKUP(INT(D249),Tablas!$G$9:$K$1240,5,0)*(INT(D249)+1-D249))/(VLOOKUP(INT($C$5)+1,Tablas!$G$9:$K$1240,5,0)*($C$5-INT($C$5))+VLOOKUP(INT($C$5),Tablas!$G$9:$K$124,5,0)*(INT($C$5)+1-$C$5)),(+VLOOKUP(INT(D249)+1,Tablas!$G$9:$O$1240,9,0)*(D249-INT(D249))+VLOOKUP(INT(D249),Tablas!$G$9:$O$1240,9,0)*(INT(D249)+1-D249))/(VLOOKUP(INT($C$5)+1,Tablas!$G$9:$O$1240,9,0)*($C$5-INT($C$5))+VLOOKUP(INT($C$5),Tablas!$G$9:$O$124,9,0)*(INT($C$5)+1-$C$5)))</f>
        <v>0.77306309216974856</v>
      </c>
      <c r="G249" s="97">
        <f ca="1">IF($C$4="Hombre",(+VLOOKUP(INT(D249)+1,Tablas!$G$9:$K$1240,5,0)*(D249-INT(D249))+VLOOKUP(INT(D249),Tablas!$G$9:$K$1240,5,0)*(INT(D249)+1-D249)),+VLOOKUP(INT(D249)+1,Tablas!$G$9:$O$1240,9,0)*(D249-INT(D249))+VLOOKUP(INT(D249),Tablas!$G$9:$O$1240,9,0)*(INT(D249)+1-D249))</f>
        <v>713782.96091962536</v>
      </c>
      <c r="H249" s="105">
        <f t="shared" ca="1" si="26"/>
        <v>1</v>
      </c>
      <c r="I249" s="106">
        <f t="shared" ca="1" si="27"/>
        <v>4.8249951077962074E-2</v>
      </c>
      <c r="J249" s="106">
        <f t="shared" ca="1" si="31"/>
        <v>8.2714201847934987E-2</v>
      </c>
      <c r="K249" s="105">
        <f t="shared" ca="1" si="28"/>
        <v>0.77306309216974856</v>
      </c>
      <c r="L249" s="75"/>
    </row>
    <row r="250" spans="2:12">
      <c r="B250" s="101">
        <f t="shared" ca="1" si="29"/>
        <v>59873</v>
      </c>
      <c r="C250" s="101">
        <f t="shared" ca="1" si="30"/>
        <v>59903</v>
      </c>
      <c r="D250" s="102">
        <f t="shared" ca="1" si="24"/>
        <v>86.499657768651602</v>
      </c>
      <c r="E250" s="103">
        <f t="shared" ca="1" si="25"/>
        <v>0.74802203096606568</v>
      </c>
      <c r="F250" s="104">
        <f ca="1">IF($C$4="Hombre",(+VLOOKUP(INT(D250)+1,Tablas!$G$9:$K$1240,5,0)*(D250-INT(D250))+VLOOKUP(INT(D250),Tablas!$G$9:$K$1240,5,0)*(INT(D250)+1-D250))/(VLOOKUP(INT($C$5)+1,Tablas!$G$9:$K$1240,5,0)*($C$5-INT($C$5))+VLOOKUP(INT($C$5),Tablas!$G$9:$K$124,5,0)*(INT($C$5)+1-$C$5)),(+VLOOKUP(INT(D250)+1,Tablas!$G$9:$O$1240,9,0)*(D250-INT(D250))+VLOOKUP(INT(D250),Tablas!$G$9:$O$1240,9,0)*(INT(D250)+1-D250))/(VLOOKUP(INT($C$5)+1,Tablas!$G$9:$O$1240,9,0)*($C$5-INT($C$5))+VLOOKUP(INT($C$5),Tablas!$G$9:$O$124,9,0)*(INT($C$5)+1-$C$5)))</f>
        <v>0.77056603084596398</v>
      </c>
      <c r="G250" s="97">
        <f ca="1">IF($C$4="Hombre",(+VLOOKUP(INT(D250)+1,Tablas!$G$9:$K$1240,5,0)*(D250-INT(D250))+VLOOKUP(INT(D250),Tablas!$G$9:$K$1240,5,0)*(INT(D250)+1-D250)),+VLOOKUP(INT(D250)+1,Tablas!$G$9:$O$1240,9,0)*(D250-INT(D250))+VLOOKUP(INT(D250),Tablas!$G$9:$O$1240,9,0)*(INT(D250)+1-D250))</f>
        <v>711477.37959858938</v>
      </c>
      <c r="H250" s="105">
        <f t="shared" ca="1" si="26"/>
        <v>1</v>
      </c>
      <c r="I250" s="106">
        <f t="shared" ca="1" si="27"/>
        <v>4.8033363948904832E-2</v>
      </c>
      <c r="J250" s="106">
        <f t="shared" ca="1" si="31"/>
        <v>4.1171454813346997E-2</v>
      </c>
      <c r="K250" s="105">
        <f t="shared" ca="1" si="28"/>
        <v>0.77056603084596398</v>
      </c>
      <c r="L250" s="75"/>
    </row>
    <row r="251" spans="2:12">
      <c r="B251" s="101">
        <f t="shared" ca="1" si="29"/>
        <v>59904</v>
      </c>
      <c r="C251" s="101">
        <f t="shared" ca="1" si="30"/>
        <v>59934</v>
      </c>
      <c r="D251" s="102">
        <f t="shared" ca="1" si="24"/>
        <v>86.5845311430527</v>
      </c>
      <c r="E251" s="103">
        <f t="shared" ca="1" si="25"/>
        <v>0.74707739230390324</v>
      </c>
      <c r="F251" s="104">
        <f ca="1">IF($C$4="Hombre",(+VLOOKUP(INT(D251)+1,Tablas!$G$9:$K$1240,5,0)*(D251-INT(D251))+VLOOKUP(INT(D251),Tablas!$G$9:$K$1240,5,0)*(INT(D251)+1-D251))/(VLOOKUP(INT($C$5)+1,Tablas!$G$9:$K$1240,5,0)*($C$5-INT($C$5))+VLOOKUP(INT($C$5),Tablas!$G$9:$K$124,5,0)*(INT($C$5)+1-$C$5)),(+VLOOKUP(INT(D251)+1,Tablas!$G$9:$O$1240,9,0)*(D251-INT(D251))+VLOOKUP(INT(D251),Tablas!$G$9:$O$1240,9,0)*(INT(D251)+1-D251))/(VLOOKUP(INT($C$5)+1,Tablas!$G$9:$O$1240,9,0)*($C$5-INT($C$5))+VLOOKUP(INT($C$5),Tablas!$G$9:$O$124,9,0)*(INT($C$5)+1-$C$5)))</f>
        <v>0.76806896952217862</v>
      </c>
      <c r="G251" s="97">
        <f ca="1">IF($C$4="Hombre",(+VLOOKUP(INT(D251)+1,Tablas!$G$9:$K$1240,5,0)*(D251-INT(D251))+VLOOKUP(INT(D251),Tablas!$G$9:$K$1240,5,0)*(INT(D251)+1-D251)),+VLOOKUP(INT(D251)+1,Tablas!$G$9:$O$1240,9,0)*(D251-INT(D251))+VLOOKUP(INT(D251),Tablas!$G$9:$O$1240,9,0)*(INT(D251)+1-D251))</f>
        <v>709171.79827755282</v>
      </c>
      <c r="H251" s="105">
        <f t="shared" ca="1" si="26"/>
        <v>1</v>
      </c>
      <c r="I251" s="106">
        <f t="shared" ca="1" si="27"/>
        <v>4.7817246905014613E-2</v>
      </c>
      <c r="J251" s="106">
        <f t="shared" ca="1" si="31"/>
        <v>4.0986211632869675E-2</v>
      </c>
      <c r="K251" s="105">
        <f t="shared" ca="1" si="28"/>
        <v>0.76806896952217862</v>
      </c>
      <c r="L251" s="75"/>
    </row>
    <row r="252" spans="2:12">
      <c r="B252" s="101">
        <f t="shared" ca="1" si="29"/>
        <v>59935</v>
      </c>
      <c r="C252" s="101">
        <f t="shared" ca="1" si="30"/>
        <v>59963</v>
      </c>
      <c r="D252" s="102">
        <f t="shared" ca="1" si="24"/>
        <v>86.66392881587953</v>
      </c>
      <c r="E252" s="103">
        <f t="shared" ca="1" si="25"/>
        <v>0.74619477807392431</v>
      </c>
      <c r="F252" s="104">
        <f ca="1">IF($C$4="Hombre",(+VLOOKUP(INT(D252)+1,Tablas!$G$9:$K$1240,5,0)*(D252-INT(D252))+VLOOKUP(INT(D252),Tablas!$G$9:$K$1240,5,0)*(INT(D252)+1-D252))/(VLOOKUP(INT($C$5)+1,Tablas!$G$9:$K$1240,5,0)*($C$5-INT($C$5))+VLOOKUP(INT($C$5),Tablas!$G$9:$K$124,5,0)*(INT($C$5)+1-$C$5)),(+VLOOKUP(INT(D252)+1,Tablas!$G$9:$O$1240,9,0)*(D252-INT(D252))+VLOOKUP(INT(D252),Tablas!$G$9:$O$1240,9,0)*(INT(D252)+1-D252))/(VLOOKUP(INT($C$5)+1,Tablas!$G$9:$O$1240,9,0)*($C$5-INT($C$5))+VLOOKUP(INT($C$5),Tablas!$G$9:$O$124,9,0)*(INT($C$5)+1-$C$5)))</f>
        <v>0.76573300892896046</v>
      </c>
      <c r="G252" s="97">
        <f ca="1">IF($C$4="Hombre",(+VLOOKUP(INT(D252)+1,Tablas!$G$9:$K$1240,5,0)*(D252-INT(D252))+VLOOKUP(INT(D252),Tablas!$G$9:$K$1240,5,0)*(INT(D252)+1-D252)),+VLOOKUP(INT(D252)+1,Tablas!$G$9:$O$1240,9,0)*(D252-INT(D252))+VLOOKUP(INT(D252),Tablas!$G$9:$O$1240,9,0)*(INT(D252)+1-D252))</f>
        <v>707014.9641385189</v>
      </c>
      <c r="H252" s="105">
        <f t="shared" ca="1" si="26"/>
        <v>1</v>
      </c>
      <c r="I252" s="106">
        <f t="shared" ca="1" si="27"/>
        <v>4.7615497721801993E-2</v>
      </c>
      <c r="J252" s="106">
        <f t="shared" ca="1" si="31"/>
        <v>4.0813283761544569E-2</v>
      </c>
      <c r="K252" s="105">
        <f t="shared" ca="1" si="28"/>
        <v>0.76573300892896046</v>
      </c>
      <c r="L252" s="75"/>
    </row>
    <row r="253" spans="2:12">
      <c r="B253" s="101">
        <f t="shared" ca="1" si="29"/>
        <v>59964</v>
      </c>
      <c r="C253" s="101">
        <f t="shared" ca="1" si="30"/>
        <v>59994</v>
      </c>
      <c r="D253" s="102">
        <f t="shared" ca="1" si="24"/>
        <v>86.748802190280628</v>
      </c>
      <c r="E253" s="103">
        <f t="shared" ca="1" si="25"/>
        <v>0.74525244695573256</v>
      </c>
      <c r="F253" s="104">
        <f ca="1">IF($C$4="Hombre",(+VLOOKUP(INT(D253)+1,Tablas!$G$9:$K$1240,5,0)*(D253-INT(D253))+VLOOKUP(INT(D253),Tablas!$G$9:$K$1240,5,0)*(INT(D253)+1-D253))/(VLOOKUP(INT($C$5)+1,Tablas!$G$9:$K$1240,5,0)*($C$5-INT($C$5))+VLOOKUP(INT($C$5),Tablas!$G$9:$K$124,5,0)*(INT($C$5)+1-$C$5)),(+VLOOKUP(INT(D253)+1,Tablas!$G$9:$O$1240,9,0)*(D253-INT(D253))+VLOOKUP(INT(D253),Tablas!$G$9:$O$1240,9,0)*(INT(D253)+1-D253))/(VLOOKUP(INT($C$5)+1,Tablas!$G$9:$O$1240,9,0)*($C$5-INT($C$5))+VLOOKUP(INT($C$5),Tablas!$G$9:$O$124,9,0)*(INT($C$5)+1-$C$5)))</f>
        <v>0.76323594760517532</v>
      </c>
      <c r="G253" s="97">
        <f ca="1">IF($C$4="Hombre",(+VLOOKUP(INT(D253)+1,Tablas!$G$9:$K$1240,5,0)*(D253-INT(D253))+VLOOKUP(INT(D253),Tablas!$G$9:$K$1240,5,0)*(INT(D253)+1-D253)),+VLOOKUP(INT(D253)+1,Tablas!$G$9:$O$1240,9,0)*(D253-INT(D253))+VLOOKUP(INT(D253),Tablas!$G$9:$O$1240,9,0)*(INT(D253)+1-D253))</f>
        <v>704709.38281748246</v>
      </c>
      <c r="H253" s="105">
        <f t="shared" ca="1" si="26"/>
        <v>1</v>
      </c>
      <c r="I253" s="106">
        <f t="shared" ca="1" si="27"/>
        <v>4.7400288129777847E-2</v>
      </c>
      <c r="J253" s="106">
        <f t="shared" ca="1" si="31"/>
        <v>4.062881839695244E-2</v>
      </c>
      <c r="K253" s="105">
        <f t="shared" ca="1" si="28"/>
        <v>0.76323594760517532</v>
      </c>
      <c r="L253" s="75"/>
    </row>
    <row r="254" spans="2:12">
      <c r="B254" s="101">
        <f t="shared" ca="1" si="29"/>
        <v>59995</v>
      </c>
      <c r="C254" s="101">
        <f t="shared" ca="1" si="30"/>
        <v>60024</v>
      </c>
      <c r="D254" s="102">
        <f t="shared" ca="1" si="24"/>
        <v>86.830937713894599</v>
      </c>
      <c r="E254" s="103">
        <f t="shared" ca="1" si="25"/>
        <v>0.74434164669004699</v>
      </c>
      <c r="F254" s="104">
        <f ca="1">IF($C$4="Hombre",(+VLOOKUP(INT(D254)+1,Tablas!$G$9:$K$1240,5,0)*(D254-INT(D254))+VLOOKUP(INT(D254),Tablas!$G$9:$K$1240,5,0)*(INT(D254)+1-D254))/(VLOOKUP(INT($C$5)+1,Tablas!$G$9:$K$1240,5,0)*($C$5-INT($C$5))+VLOOKUP(INT($C$5),Tablas!$G$9:$K$124,5,0)*(INT($C$5)+1-$C$5)),(+VLOOKUP(INT(D254)+1,Tablas!$G$9:$O$1240,9,0)*(D254-INT(D254))+VLOOKUP(INT(D254),Tablas!$G$9:$O$1240,9,0)*(INT(D254)+1-D254))/(VLOOKUP(INT($C$5)+1,Tablas!$G$9:$O$1240,9,0)*($C$5-INT($C$5))+VLOOKUP(INT($C$5),Tablas!$G$9:$O$124,9,0)*(INT($C$5)+1-$C$5)))</f>
        <v>0.7608194366466734</v>
      </c>
      <c r="G254" s="97">
        <f ca="1">IF($C$4="Hombre",(+VLOOKUP(INT(D254)+1,Tablas!$G$9:$K$1240,5,0)*(D254-INT(D254))+VLOOKUP(INT(D254),Tablas!$G$9:$K$1240,5,0)*(INT(D254)+1-D254)),+VLOOKUP(INT(D254)+1,Tablas!$G$9:$O$1240,9,0)*(D254-INT(D254))+VLOOKUP(INT(D254),Tablas!$G$9:$O$1240,9,0)*(INT(D254)+1-D254))</f>
        <v>702478.17508744705</v>
      </c>
      <c r="H254" s="105">
        <f t="shared" ca="1" si="26"/>
        <v>1</v>
      </c>
      <c r="I254" s="106">
        <f t="shared" ca="1" si="27"/>
        <v>4.7192466025614895E-2</v>
      </c>
      <c r="J254" s="106">
        <f t="shared" ca="1" si="31"/>
        <v>4.0450685164812768E-2</v>
      </c>
      <c r="K254" s="105">
        <f t="shared" ca="1" si="28"/>
        <v>0.7608194366466734</v>
      </c>
      <c r="L254" s="75"/>
    </row>
    <row r="255" spans="2:12">
      <c r="B255" s="101">
        <f t="shared" ca="1" si="29"/>
        <v>60025</v>
      </c>
      <c r="C255" s="101">
        <f t="shared" ca="1" si="30"/>
        <v>60055</v>
      </c>
      <c r="D255" s="102">
        <f t="shared" ca="1" si="24"/>
        <v>86.915811088295683</v>
      </c>
      <c r="E255" s="103">
        <f t="shared" ca="1" si="25"/>
        <v>0.74340165579644613</v>
      </c>
      <c r="F255" s="104">
        <f ca="1">IF($C$4="Hombre",(+VLOOKUP(INT(D255)+1,Tablas!$G$9:$K$1240,5,0)*(D255-INT(D255))+VLOOKUP(INT(D255),Tablas!$G$9:$K$1240,5,0)*(INT(D255)+1-D255))/(VLOOKUP(INT($C$5)+1,Tablas!$G$9:$K$1240,5,0)*($C$5-INT($C$5))+VLOOKUP(INT($C$5),Tablas!$G$9:$K$124,5,0)*(INT($C$5)+1-$C$5)),(+VLOOKUP(INT(D255)+1,Tablas!$G$9:$O$1240,9,0)*(D255-INT(D255))+VLOOKUP(INT(D255),Tablas!$G$9:$O$1240,9,0)*(INT(D255)+1-D255))/(VLOOKUP(INT($C$5)+1,Tablas!$G$9:$O$1240,9,0)*($C$5-INT($C$5))+VLOOKUP(INT($C$5),Tablas!$G$9:$O$124,9,0)*(INT($C$5)+1-$C$5)))</f>
        <v>0.7583223753228886</v>
      </c>
      <c r="G255" s="97">
        <f ca="1">IF($C$4="Hombre",(+VLOOKUP(INT(D255)+1,Tablas!$G$9:$K$1240,5,0)*(D255-INT(D255))+VLOOKUP(INT(D255),Tablas!$G$9:$K$1240,5,0)*(INT(D255)+1-D255)),+VLOOKUP(INT(D255)+1,Tablas!$G$9:$O$1240,9,0)*(D255-INT(D255))+VLOOKUP(INT(D255),Tablas!$G$9:$O$1240,9,0)*(INT(D255)+1-D255))</f>
        <v>700172.59376641095</v>
      </c>
      <c r="H255" s="105">
        <f t="shared" ca="1" si="26"/>
        <v>1</v>
      </c>
      <c r="I255" s="106">
        <f t="shared" ca="1" si="27"/>
        <v>4.6978175786877456E-2</v>
      </c>
      <c r="J255" s="106">
        <f t="shared" ca="1" si="31"/>
        <v>8.0534015634647058E-2</v>
      </c>
      <c r="K255" s="105">
        <f t="shared" ca="1" si="28"/>
        <v>0.7583223753228886</v>
      </c>
      <c r="L255" s="75"/>
    </row>
    <row r="256" spans="2:12">
      <c r="B256" s="101">
        <f t="shared" ca="1" si="29"/>
        <v>60056</v>
      </c>
      <c r="C256" s="101">
        <f t="shared" ca="1" si="30"/>
        <v>60085</v>
      </c>
      <c r="D256" s="102">
        <f t="shared" ca="1" si="24"/>
        <v>86.997946611909654</v>
      </c>
      <c r="E256" s="103">
        <f t="shared" ca="1" si="25"/>
        <v>0.74249311745031077</v>
      </c>
      <c r="F256" s="104">
        <f ca="1">IF($C$4="Hombre",(+VLOOKUP(INT(D256)+1,Tablas!$G$9:$K$1240,5,0)*(D256-INT(D256))+VLOOKUP(INT(D256),Tablas!$G$9:$K$1240,5,0)*(INT(D256)+1-D256))/(VLOOKUP(INT($C$5)+1,Tablas!$G$9:$K$1240,5,0)*($C$5-INT($C$5))+VLOOKUP(INT($C$5),Tablas!$G$9:$K$124,5,0)*(INT($C$5)+1-$C$5)),(+VLOOKUP(INT(D256)+1,Tablas!$G$9:$O$1240,9,0)*(D256-INT(D256))+VLOOKUP(INT(D256),Tablas!$G$9:$O$1240,9,0)*(INT(D256)+1-D256))/(VLOOKUP(INT($C$5)+1,Tablas!$G$9:$O$1240,9,0)*($C$5-INT($C$5))+VLOOKUP(INT($C$5),Tablas!$G$9:$O$124,9,0)*(INT($C$5)+1-$C$5)))</f>
        <v>0.75590586436438667</v>
      </c>
      <c r="G256" s="97">
        <f ca="1">IF($C$4="Hombre",(+VLOOKUP(INT(D256)+1,Tablas!$G$9:$K$1240,5,0)*(D256-INT(D256))+VLOOKUP(INT(D256),Tablas!$G$9:$K$1240,5,0)*(INT(D256)+1-D256)),+VLOOKUP(INT(D256)+1,Tablas!$G$9:$O$1240,9,0)*(D256-INT(D256))+VLOOKUP(INT(D256),Tablas!$G$9:$O$1240,9,0)*(INT(D256)+1-D256))</f>
        <v>697941.38603637554</v>
      </c>
      <c r="H256" s="105">
        <f t="shared" ca="1" si="26"/>
        <v>1</v>
      </c>
      <c r="I256" s="106">
        <f t="shared" ca="1" si="27"/>
        <v>4.6771241810907103E-2</v>
      </c>
      <c r="J256" s="106">
        <f t="shared" ca="1" si="31"/>
        <v>4.008963583792037E-2</v>
      </c>
      <c r="K256" s="105">
        <f t="shared" ca="1" si="28"/>
        <v>0.75590586436438667</v>
      </c>
      <c r="L256" s="75"/>
    </row>
    <row r="257" spans="2:12">
      <c r="B257" s="101">
        <f t="shared" ca="1" si="29"/>
        <v>60086</v>
      </c>
      <c r="C257" s="101">
        <f t="shared" ca="1" si="30"/>
        <v>60116</v>
      </c>
      <c r="D257" s="102">
        <f t="shared" ca="1" si="24"/>
        <v>87.082819986310753</v>
      </c>
      <c r="E257" s="103">
        <f t="shared" ca="1" si="25"/>
        <v>0.74155546096948854</v>
      </c>
      <c r="F257" s="104">
        <f ca="1">IF($C$4="Hombre",(+VLOOKUP(INT(D257)+1,Tablas!$G$9:$K$1240,5,0)*(D257-INT(D257))+VLOOKUP(INT(D257),Tablas!$G$9:$K$1240,5,0)*(INT(D257)+1-D257))/(VLOOKUP(INT($C$5)+1,Tablas!$G$9:$K$1240,5,0)*($C$5-INT($C$5))+VLOOKUP(INT($C$5),Tablas!$G$9:$K$124,5,0)*(INT($C$5)+1-$C$5)),(+VLOOKUP(INT(D257)+1,Tablas!$G$9:$O$1240,9,0)*(D257-INT(D257))+VLOOKUP(INT(D257),Tablas!$G$9:$O$1240,9,0)*(INT(D257)+1-D257))/(VLOOKUP(INT($C$5)+1,Tablas!$G$9:$O$1240,9,0)*($C$5-INT($C$5))+VLOOKUP(INT($C$5),Tablas!$G$9:$O$124,9,0)*(INT($C$5)+1-$C$5)))</f>
        <v>0.75318505012223846</v>
      </c>
      <c r="G257" s="97">
        <f ca="1">IF($C$4="Hombre",(+VLOOKUP(INT(D257)+1,Tablas!$G$9:$K$1240,5,0)*(D257-INT(D257))+VLOOKUP(INT(D257),Tablas!$G$9:$K$1240,5,0)*(INT(D257)+1-D257)),+VLOOKUP(INT(D257)+1,Tablas!$G$9:$O$1240,9,0)*(D257-INT(D257))+VLOOKUP(INT(D257),Tablas!$G$9:$O$1240,9,0)*(INT(D257)+1-D257))</f>
        <v>695429.20964929427</v>
      </c>
      <c r="H257" s="105">
        <f t="shared" ca="1" si="26"/>
        <v>1</v>
      </c>
      <c r="I257" s="106">
        <f t="shared" ca="1" si="27"/>
        <v>4.6544040586560323E-2</v>
      </c>
      <c r="J257" s="106">
        <f t="shared" ca="1" si="31"/>
        <v>3.9894891931337426E-2</v>
      </c>
      <c r="K257" s="105">
        <f t="shared" ca="1" si="28"/>
        <v>0.75318505012223846</v>
      </c>
      <c r="L257" s="75"/>
    </row>
    <row r="258" spans="2:12">
      <c r="B258" s="101">
        <f t="shared" ca="1" si="29"/>
        <v>60117</v>
      </c>
      <c r="C258" s="101">
        <f t="shared" ca="1" si="30"/>
        <v>60147</v>
      </c>
      <c r="D258" s="102">
        <f t="shared" ca="1" si="24"/>
        <v>87.167693360711837</v>
      </c>
      <c r="E258" s="103">
        <f t="shared" ca="1" si="25"/>
        <v>0.74061898860695052</v>
      </c>
      <c r="F258" s="104">
        <f ca="1">IF($C$4="Hombre",(+VLOOKUP(INT(D258)+1,Tablas!$G$9:$K$1240,5,0)*(D258-INT(D258))+VLOOKUP(INT(D258),Tablas!$G$9:$K$1240,5,0)*(INT(D258)+1-D258))/(VLOOKUP(INT($C$5)+1,Tablas!$G$9:$K$1240,5,0)*($C$5-INT($C$5))+VLOOKUP(INT($C$5),Tablas!$G$9:$K$124,5,0)*(INT($C$5)+1-$C$5)),(+VLOOKUP(INT(D258)+1,Tablas!$G$9:$O$1240,9,0)*(D258-INT(D258))+VLOOKUP(INT(D258),Tablas!$G$9:$O$1240,9,0)*(INT(D258)+1-D258))/(VLOOKUP(INT($C$5)+1,Tablas!$G$9:$O$1240,9,0)*($C$5-INT($C$5))+VLOOKUP(INT($C$5),Tablas!$G$9:$O$124,9,0)*(INT($C$5)+1-$C$5)))</f>
        <v>0.75045868828707318</v>
      </c>
      <c r="G258" s="97">
        <f ca="1">IF($C$4="Hombre",(+VLOOKUP(INT(D258)+1,Tablas!$G$9:$K$1240,5,0)*(D258-INT(D258))+VLOOKUP(INT(D258),Tablas!$G$9:$K$1240,5,0)*(INT(D258)+1-D258)),+VLOOKUP(INT(D258)+1,Tablas!$G$9:$O$1240,9,0)*(D258-INT(D258))+VLOOKUP(INT(D258),Tablas!$G$9:$O$1240,9,0)*(INT(D258)+1-D258))</f>
        <v>692911.91107049317</v>
      </c>
      <c r="H258" s="105">
        <f t="shared" ca="1" si="26"/>
        <v>1</v>
      </c>
      <c r="I258" s="106">
        <f t="shared" ca="1" si="27"/>
        <v>4.6316996225872577E-2</v>
      </c>
      <c r="J258" s="106">
        <f t="shared" ca="1" si="31"/>
        <v>3.9700282479319352E-2</v>
      </c>
      <c r="K258" s="105">
        <f t="shared" ca="1" si="28"/>
        <v>0.75045868828707318</v>
      </c>
      <c r="L258" s="75"/>
    </row>
    <row r="259" spans="2:12">
      <c r="B259" s="101">
        <f t="shared" ca="1" si="29"/>
        <v>60148</v>
      </c>
      <c r="C259" s="101">
        <f t="shared" ca="1" si="30"/>
        <v>60177</v>
      </c>
      <c r="D259" s="102">
        <f t="shared" ca="1" si="24"/>
        <v>87.249828884325808</v>
      </c>
      <c r="E259" s="103">
        <f t="shared" ca="1" si="25"/>
        <v>0.7397138510601361</v>
      </c>
      <c r="F259" s="104">
        <f ca="1">IF($C$4="Hombre",(+VLOOKUP(INT(D259)+1,Tablas!$G$9:$K$1240,5,0)*(D259-INT(D259))+VLOOKUP(INT(D259),Tablas!$G$9:$K$1240,5,0)*(INT(D259)+1-D259))/(VLOOKUP(INT($C$5)+1,Tablas!$G$9:$K$1240,5,0)*($C$5-INT($C$5))+VLOOKUP(INT($C$5),Tablas!$G$9:$K$124,5,0)*(INT($C$5)+1-$C$5)),(+VLOOKUP(INT(D259)+1,Tablas!$G$9:$O$1240,9,0)*(D259-INT(D259))+VLOOKUP(INT(D259),Tablas!$G$9:$O$1240,9,0)*(INT(D259)+1-D259))/(VLOOKUP(INT($C$5)+1,Tablas!$G$9:$O$1240,9,0)*($C$5-INT($C$5))+VLOOKUP(INT($C$5),Tablas!$G$9:$O$124,9,0)*(INT($C$5)+1-$C$5)))</f>
        <v>0.7478202736078805</v>
      </c>
      <c r="G259" s="97">
        <f ca="1">IF($C$4="Hombre",(+VLOOKUP(INT(D259)+1,Tablas!$G$9:$K$1240,5,0)*(D259-INT(D259))+VLOOKUP(INT(D259),Tablas!$G$9:$K$1240,5,0)*(INT(D259)+1-D259)),+VLOOKUP(INT(D259)+1,Tablas!$G$9:$O$1240,9,0)*(D259-INT(D259))+VLOOKUP(INT(D259),Tablas!$G$9:$O$1240,9,0)*(INT(D259)+1-D259))</f>
        <v>690475.8156716529</v>
      </c>
      <c r="H259" s="105">
        <f t="shared" ca="1" si="26"/>
        <v>1</v>
      </c>
      <c r="I259" s="106">
        <f t="shared" ca="1" si="27"/>
        <v>4.6097751207610824E-2</v>
      </c>
      <c r="J259" s="106">
        <f t="shared" ca="1" si="31"/>
        <v>3.951235817795213E-2</v>
      </c>
      <c r="K259" s="105">
        <f t="shared" ca="1" si="28"/>
        <v>0.7478202736078805</v>
      </c>
      <c r="L259" s="75"/>
    </row>
    <row r="260" spans="2:12">
      <c r="B260" s="101">
        <f t="shared" ca="1" si="29"/>
        <v>60178</v>
      </c>
      <c r="C260" s="101">
        <f t="shared" ca="1" si="30"/>
        <v>60208</v>
      </c>
      <c r="D260" s="102">
        <f t="shared" ca="1" si="24"/>
        <v>87.334702258726892</v>
      </c>
      <c r="E260" s="103">
        <f t="shared" ca="1" si="25"/>
        <v>0.73877970437230933</v>
      </c>
      <c r="F260" s="104">
        <f ca="1">IF($C$4="Hombre",(+VLOOKUP(INT(D260)+1,Tablas!$G$9:$K$1240,5,0)*(D260-INT(D260))+VLOOKUP(INT(D260),Tablas!$G$9:$K$1240,5,0)*(INT(D260)+1-D260))/(VLOOKUP(INT($C$5)+1,Tablas!$G$9:$K$1240,5,0)*($C$5-INT($C$5))+VLOOKUP(INT($C$5),Tablas!$G$9:$K$124,5,0)*(INT($C$5)+1-$C$5)),(+VLOOKUP(INT(D260)+1,Tablas!$G$9:$O$1240,9,0)*(D260-INT(D260))+VLOOKUP(INT(D260),Tablas!$G$9:$O$1240,9,0)*(INT(D260)+1-D260))/(VLOOKUP(INT($C$5)+1,Tablas!$G$9:$O$1240,9,0)*($C$5-INT($C$5))+VLOOKUP(INT($C$5),Tablas!$G$9:$O$124,9,0)*(INT($C$5)+1-$C$5)))</f>
        <v>0.74509391177271544</v>
      </c>
      <c r="G260" s="97">
        <f ca="1">IF($C$4="Hombre",(+VLOOKUP(INT(D260)+1,Tablas!$G$9:$K$1240,5,0)*(D260-INT(D260))+VLOOKUP(INT(D260),Tablas!$G$9:$K$1240,5,0)*(INT(D260)+1-D260)),+VLOOKUP(INT(D260)+1,Tablas!$G$9:$O$1240,9,0)*(D260-INT(D260))+VLOOKUP(INT(D260),Tablas!$G$9:$O$1240,9,0)*(INT(D260)+1-D260))</f>
        <v>687958.51709285192</v>
      </c>
      <c r="H260" s="105">
        <f t="shared" ca="1" si="26"/>
        <v>1</v>
      </c>
      <c r="I260" s="106">
        <f t="shared" ca="1" si="27"/>
        <v>4.5871688322421181E-2</v>
      </c>
      <c r="J260" s="106">
        <f t="shared" ca="1" si="31"/>
        <v>3.9318589990646732E-2</v>
      </c>
      <c r="K260" s="105">
        <f t="shared" ca="1" si="28"/>
        <v>0.74509391177271544</v>
      </c>
      <c r="L260" s="75"/>
    </row>
    <row r="261" spans="2:12">
      <c r="B261" s="101">
        <f t="shared" ca="1" si="29"/>
        <v>60209</v>
      </c>
      <c r="C261" s="101">
        <f t="shared" ca="1" si="30"/>
        <v>60238</v>
      </c>
      <c r="D261" s="102">
        <f t="shared" ca="1" si="24"/>
        <v>87.416837782340863</v>
      </c>
      <c r="E261" s="103">
        <f t="shared" ca="1" si="25"/>
        <v>0.73787681468201183</v>
      </c>
      <c r="F261" s="104">
        <f ca="1">IF($C$4="Hombre",(+VLOOKUP(INT(D261)+1,Tablas!$G$9:$K$1240,5,0)*(D261-INT(D261))+VLOOKUP(INT(D261),Tablas!$G$9:$K$1240,5,0)*(INT(D261)+1-D261))/(VLOOKUP(INT($C$5)+1,Tablas!$G$9:$K$1240,5,0)*($C$5-INT($C$5))+VLOOKUP(INT($C$5),Tablas!$G$9:$K$124,5,0)*(INT($C$5)+1-$C$5)),(+VLOOKUP(INT(D261)+1,Tablas!$G$9:$O$1240,9,0)*(D261-INT(D261))+VLOOKUP(INT(D261),Tablas!$G$9:$O$1240,9,0)*(INT(D261)+1-D261))/(VLOOKUP(INT($C$5)+1,Tablas!$G$9:$O$1240,9,0)*($C$5-INT($C$5))+VLOOKUP(INT($C$5),Tablas!$G$9:$O$124,9,0)*(INT($C$5)+1-$C$5)))</f>
        <v>0.74245549709352276</v>
      </c>
      <c r="G261" s="97">
        <f ca="1">IF($C$4="Hombre",(+VLOOKUP(INT(D261)+1,Tablas!$G$9:$K$1240,5,0)*(D261-INT(D261))+VLOOKUP(INT(D261),Tablas!$G$9:$K$1240,5,0)*(INT(D261)+1-D261)),+VLOOKUP(INT(D261)+1,Tablas!$G$9:$O$1240,9,0)*(D261-INT(D261))+VLOOKUP(INT(D261),Tablas!$G$9:$O$1240,9,0)*(INT(D261)+1-D261))</f>
        <v>685522.42169401166</v>
      </c>
      <c r="H261" s="105">
        <f t="shared" ca="1" si="26"/>
        <v>1</v>
      </c>
      <c r="I261" s="106">
        <f t="shared" ca="1" si="27"/>
        <v>4.5653391436543192E-2</v>
      </c>
      <c r="J261" s="106">
        <f t="shared" ca="1" si="31"/>
        <v>7.8262956748359772E-2</v>
      </c>
      <c r="K261" s="105">
        <f t="shared" ca="1" si="28"/>
        <v>0.74245549709352276</v>
      </c>
      <c r="L261" s="75"/>
    </row>
    <row r="262" spans="2:12">
      <c r="B262" s="101">
        <f t="shared" ca="1" si="29"/>
        <v>60239</v>
      </c>
      <c r="C262" s="101">
        <f t="shared" ca="1" si="30"/>
        <v>60269</v>
      </c>
      <c r="D262" s="102">
        <f t="shared" ca="1" si="24"/>
        <v>87.501711156741962</v>
      </c>
      <c r="E262" s="103">
        <f t="shared" ca="1" si="25"/>
        <v>0.73694498789321827</v>
      </c>
      <c r="F262" s="104">
        <f ca="1">IF($C$4="Hombre",(+VLOOKUP(INT(D262)+1,Tablas!$G$9:$K$1240,5,0)*(D262-INT(D262))+VLOOKUP(INT(D262),Tablas!$G$9:$K$1240,5,0)*(INT(D262)+1-D262))/(VLOOKUP(INT($C$5)+1,Tablas!$G$9:$K$1240,5,0)*($C$5-INT($C$5))+VLOOKUP(INT($C$5),Tablas!$G$9:$K$124,5,0)*(INT($C$5)+1-$C$5)),(+VLOOKUP(INT(D262)+1,Tablas!$G$9:$O$1240,9,0)*(D262-INT(D262))+VLOOKUP(INT(D262),Tablas!$G$9:$O$1240,9,0)*(INT(D262)+1-D262))/(VLOOKUP(INT($C$5)+1,Tablas!$G$9:$O$1240,9,0)*($C$5-INT($C$5))+VLOOKUP(INT($C$5),Tablas!$G$9:$O$124,9,0)*(INT($C$5)+1-$C$5)))</f>
        <v>0.73972913525835704</v>
      </c>
      <c r="G262" s="97">
        <f ca="1">IF($C$4="Hombre",(+VLOOKUP(INT(D262)+1,Tablas!$G$9:$K$1240,5,0)*(D262-INT(D262))+VLOOKUP(INT(D262),Tablas!$G$9:$K$1240,5,0)*(INT(D262)+1-D262)),+VLOOKUP(INT(D262)+1,Tablas!$G$9:$O$1240,9,0)*(D262-INT(D262))+VLOOKUP(INT(D262),Tablas!$G$9:$O$1240,9,0)*(INT(D262)+1-D262))</f>
        <v>683005.1231152101</v>
      </c>
      <c r="H262" s="105">
        <f t="shared" ca="1" si="26"/>
        <v>1</v>
      </c>
      <c r="I262" s="106">
        <f t="shared" ca="1" si="27"/>
        <v>4.5428306552269225E-2</v>
      </c>
      <c r="J262" s="106">
        <f t="shared" ca="1" si="31"/>
        <v>3.8938548473373621E-2</v>
      </c>
      <c r="K262" s="105">
        <f t="shared" ca="1" si="28"/>
        <v>0.73972913525835704</v>
      </c>
      <c r="L262" s="75"/>
    </row>
    <row r="263" spans="2:12">
      <c r="B263" s="101">
        <f t="shared" ca="1" si="29"/>
        <v>60270</v>
      </c>
      <c r="C263" s="101">
        <f t="shared" ca="1" si="30"/>
        <v>60300</v>
      </c>
      <c r="D263" s="102">
        <f t="shared" ca="1" si="24"/>
        <v>87.586584531143046</v>
      </c>
      <c r="E263" s="103">
        <f t="shared" ca="1" si="25"/>
        <v>0.73601433786068959</v>
      </c>
      <c r="F263" s="104">
        <f ca="1">IF($C$4="Hombre",(+VLOOKUP(INT(D263)+1,Tablas!$G$9:$K$1240,5,0)*(D263-INT(D263))+VLOOKUP(INT(D263),Tablas!$G$9:$K$1240,5,0)*(INT(D263)+1-D263))/(VLOOKUP(INT($C$5)+1,Tablas!$G$9:$K$1240,5,0)*($C$5-INT($C$5))+VLOOKUP(INT($C$5),Tablas!$G$9:$K$124,5,0)*(INT($C$5)+1-$C$5)),(+VLOOKUP(INT(D263)+1,Tablas!$G$9:$O$1240,9,0)*(D263-INT(D263))+VLOOKUP(INT(D263),Tablas!$G$9:$O$1240,9,0)*(INT(D263)+1-D263))/(VLOOKUP(INT($C$5)+1,Tablas!$G$9:$O$1240,9,0)*($C$5-INT($C$5))+VLOOKUP(INT($C$5),Tablas!$G$9:$O$124,9,0)*(INT($C$5)+1-$C$5)))</f>
        <v>0.73700277342319198</v>
      </c>
      <c r="G263" s="97">
        <f ca="1">IF($C$4="Hombre",(+VLOOKUP(INT(D263)+1,Tablas!$G$9:$K$1240,5,0)*(D263-INT(D263))+VLOOKUP(INT(D263),Tablas!$G$9:$K$1240,5,0)*(INT(D263)+1-D263)),+VLOOKUP(INT(D263)+1,Tablas!$G$9:$O$1240,9,0)*(D263-INT(D263))+VLOOKUP(INT(D263),Tablas!$G$9:$O$1240,9,0)*(INT(D263)+1-D263))</f>
        <v>680487.82453640911</v>
      </c>
      <c r="H263" s="105">
        <f t="shared" ca="1" si="26"/>
        <v>1</v>
      </c>
      <c r="I263" s="106">
        <f t="shared" ca="1" si="27"/>
        <v>4.520371735688021E-2</v>
      </c>
      <c r="J263" s="106">
        <f t="shared" ca="1" si="31"/>
        <v>3.8746043448754465E-2</v>
      </c>
      <c r="K263" s="105">
        <f t="shared" ca="1" si="28"/>
        <v>0.73700277342319198</v>
      </c>
      <c r="L263" s="75"/>
    </row>
    <row r="264" spans="2:12">
      <c r="B264" s="101">
        <f t="shared" ca="1" si="29"/>
        <v>60301</v>
      </c>
      <c r="C264" s="101">
        <f t="shared" ca="1" si="30"/>
        <v>60328</v>
      </c>
      <c r="D264" s="102">
        <f t="shared" ca="1" si="24"/>
        <v>87.663244353182748</v>
      </c>
      <c r="E264" s="103">
        <f t="shared" ca="1" si="25"/>
        <v>0.73517476094550771</v>
      </c>
      <c r="F264" s="104">
        <f ca="1">IF($C$4="Hombre",(+VLOOKUP(INT(D264)+1,Tablas!$G$9:$K$1240,5,0)*(D264-INT(D264))+VLOOKUP(INT(D264),Tablas!$G$9:$K$1240,5,0)*(INT(D264)+1-D264))/(VLOOKUP(INT($C$5)+1,Tablas!$G$9:$K$1240,5,0)*($C$5-INT($C$5))+VLOOKUP(INT($C$5),Tablas!$G$9:$K$124,5,0)*(INT($C$5)+1-$C$5)),(+VLOOKUP(INT(D264)+1,Tablas!$G$9:$O$1240,9,0)*(D264-INT(D264))+VLOOKUP(INT(D264),Tablas!$G$9:$O$1240,9,0)*(INT(D264)+1-D264))/(VLOOKUP(INT($C$5)+1,Tablas!$G$9:$O$1240,9,0)*($C$5-INT($C$5))+VLOOKUP(INT($C$5),Tablas!$G$9:$O$124,9,0)*(INT($C$5)+1-$C$5)))</f>
        <v>0.73454025305594561</v>
      </c>
      <c r="G264" s="97">
        <f ca="1">IF($C$4="Hombre",(+VLOOKUP(INT(D264)+1,Tablas!$G$9:$K$1240,5,0)*(D264-INT(D264))+VLOOKUP(INT(D264),Tablas!$G$9:$K$1240,5,0)*(INT(D264)+1-D264)),+VLOOKUP(INT(D264)+1,Tablas!$G$9:$O$1240,9,0)*(D264-INT(D264))+VLOOKUP(INT(D264),Tablas!$G$9:$O$1240,9,0)*(INT(D264)+1-D264))</f>
        <v>678214.13549749169</v>
      </c>
      <c r="H264" s="105">
        <f t="shared" ca="1" si="26"/>
        <v>1</v>
      </c>
      <c r="I264" s="106">
        <f t="shared" ca="1" si="27"/>
        <v>4.5001287912104795E-2</v>
      </c>
      <c r="J264" s="106">
        <f t="shared" ca="1" si="31"/>
        <v>3.8572532496089829E-2</v>
      </c>
      <c r="K264" s="105">
        <f t="shared" ca="1" si="28"/>
        <v>0.73454025305594561</v>
      </c>
      <c r="L264" s="75"/>
    </row>
    <row r="265" spans="2:12">
      <c r="B265" s="101">
        <f t="shared" ca="1" si="29"/>
        <v>60329</v>
      </c>
      <c r="C265" s="101">
        <f t="shared" ca="1" si="30"/>
        <v>60359</v>
      </c>
      <c r="D265" s="102">
        <f t="shared" ca="1" si="24"/>
        <v>87.748117727583846</v>
      </c>
      <c r="E265" s="103">
        <f t="shared" ca="1" si="25"/>
        <v>0.73424634644180897</v>
      </c>
      <c r="F265" s="104">
        <f ca="1">IF($C$4="Hombre",(+VLOOKUP(INT(D265)+1,Tablas!$G$9:$K$1240,5,0)*(D265-INT(D265))+VLOOKUP(INT(D265),Tablas!$G$9:$K$1240,5,0)*(INT(D265)+1-D265))/(VLOOKUP(INT($C$5)+1,Tablas!$G$9:$K$1240,5,0)*($C$5-INT($C$5))+VLOOKUP(INT($C$5),Tablas!$G$9:$K$124,5,0)*(INT($C$5)+1-$C$5)),(+VLOOKUP(INT(D265)+1,Tablas!$G$9:$O$1240,9,0)*(D265-INT(D265))+VLOOKUP(INT(D265),Tablas!$G$9:$O$1240,9,0)*(INT(D265)+1-D265))/(VLOOKUP(INT($C$5)+1,Tablas!$G$9:$O$1240,9,0)*($C$5-INT($C$5))+VLOOKUP(INT($C$5),Tablas!$G$9:$O$124,9,0)*(INT($C$5)+1-$C$5)))</f>
        <v>0.73181389122078</v>
      </c>
      <c r="G265" s="97">
        <f ca="1">IF($C$4="Hombre",(+VLOOKUP(INT(D265)+1,Tablas!$G$9:$K$1240,5,0)*(D265-INT(D265))+VLOOKUP(INT(D265),Tablas!$G$9:$K$1240,5,0)*(INT(D265)+1-D265)),+VLOOKUP(INT(D265)+1,Tablas!$G$9:$O$1240,9,0)*(D265-INT(D265))+VLOOKUP(INT(D265),Tablas!$G$9:$O$1240,9,0)*(INT(D265)+1-D265))</f>
        <v>675696.83691869024</v>
      </c>
      <c r="H265" s="105">
        <f t="shared" ca="1" si="26"/>
        <v>1</v>
      </c>
      <c r="I265" s="106">
        <f t="shared" ca="1" si="27"/>
        <v>4.4777639658685094E-2</v>
      </c>
      <c r="J265" s="106">
        <f t="shared" ca="1" si="31"/>
        <v>3.8380833993158656E-2</v>
      </c>
      <c r="K265" s="105">
        <f t="shared" ca="1" si="28"/>
        <v>0.73181389122078</v>
      </c>
      <c r="L265" s="75"/>
    </row>
    <row r="266" spans="2:12">
      <c r="B266" s="101">
        <f t="shared" ca="1" si="29"/>
        <v>60360</v>
      </c>
      <c r="C266" s="101">
        <f t="shared" ca="1" si="30"/>
        <v>60389</v>
      </c>
      <c r="D266" s="102">
        <f t="shared" ca="1" si="24"/>
        <v>87.830253251197803</v>
      </c>
      <c r="E266" s="103">
        <f t="shared" ca="1" si="25"/>
        <v>0.73334899713400115</v>
      </c>
      <c r="F266" s="104">
        <f ca="1">IF($C$4="Hombre",(+VLOOKUP(INT(D266)+1,Tablas!$G$9:$K$1240,5,0)*(D266-INT(D266))+VLOOKUP(INT(D266),Tablas!$G$9:$K$1240,5,0)*(INT(D266)+1-D266))/(VLOOKUP(INT($C$5)+1,Tablas!$G$9:$K$1240,5,0)*($C$5-INT($C$5))+VLOOKUP(INT($C$5),Tablas!$G$9:$K$124,5,0)*(INT($C$5)+1-$C$5)),(+VLOOKUP(INT(D266)+1,Tablas!$G$9:$O$1240,9,0)*(D266-INT(D266))+VLOOKUP(INT(D266),Tablas!$G$9:$O$1240,9,0)*(INT(D266)+1-D266))/(VLOOKUP(INT($C$5)+1,Tablas!$G$9:$O$1240,9,0)*($C$5-INT($C$5))+VLOOKUP(INT($C$5),Tablas!$G$9:$O$124,9,0)*(INT($C$5)+1-$C$5)))</f>
        <v>0.72917547654158776</v>
      </c>
      <c r="G266" s="97">
        <f ca="1">IF($C$4="Hombre",(+VLOOKUP(INT(D266)+1,Tablas!$G$9:$K$1240,5,0)*(D266-INT(D266))+VLOOKUP(INT(D266),Tablas!$G$9:$K$1240,5,0)*(INT(D266)+1-D266)),+VLOOKUP(INT(D266)+1,Tablas!$G$9:$O$1240,9,0)*(D266-INT(D266))+VLOOKUP(INT(D266),Tablas!$G$9:$O$1240,9,0)*(INT(D266)+1-D266))</f>
        <v>673260.74151985033</v>
      </c>
      <c r="H266" s="105">
        <f t="shared" ca="1" si="26"/>
        <v>1</v>
      </c>
      <c r="I266" s="106">
        <f t="shared" ca="1" si="27"/>
        <v>4.4561675371373392E-2</v>
      </c>
      <c r="J266" s="106">
        <f t="shared" ca="1" si="31"/>
        <v>3.8195721746891474E-2</v>
      </c>
      <c r="K266" s="105">
        <f t="shared" ca="1" si="28"/>
        <v>0.72917547654158776</v>
      </c>
      <c r="L266" s="75"/>
    </row>
    <row r="267" spans="2:12">
      <c r="B267" s="101">
        <f t="shared" ca="1" si="29"/>
        <v>60390</v>
      </c>
      <c r="C267" s="101">
        <f t="shared" ca="1" si="30"/>
        <v>60420</v>
      </c>
      <c r="D267" s="102">
        <f t="shared" ca="1" si="24"/>
        <v>87.915126625598901</v>
      </c>
      <c r="E267" s="103">
        <f t="shared" ca="1" si="25"/>
        <v>0.73242288829378943</v>
      </c>
      <c r="F267" s="104">
        <f ca="1">IF($C$4="Hombre",(+VLOOKUP(INT(D267)+1,Tablas!$G$9:$K$1240,5,0)*(D267-INT(D267))+VLOOKUP(INT(D267),Tablas!$G$9:$K$1240,5,0)*(INT(D267)+1-D267))/(VLOOKUP(INT($C$5)+1,Tablas!$G$9:$K$1240,5,0)*($C$5-INT($C$5))+VLOOKUP(INT($C$5),Tablas!$G$9:$K$124,5,0)*(INT($C$5)+1-$C$5)),(+VLOOKUP(INT(D267)+1,Tablas!$G$9:$O$1240,9,0)*(D267-INT(D267))+VLOOKUP(INT(D267),Tablas!$G$9:$O$1240,9,0)*(INT(D267)+1-D267))/(VLOOKUP(INT($C$5)+1,Tablas!$G$9:$O$1240,9,0)*($C$5-INT($C$5))+VLOOKUP(INT($C$5),Tablas!$G$9:$O$124,9,0)*(INT($C$5)+1-$C$5)))</f>
        <v>0.72644911470642215</v>
      </c>
      <c r="G267" s="97">
        <f ca="1">IF($C$4="Hombre",(+VLOOKUP(INT(D267)+1,Tablas!$G$9:$K$1240,5,0)*(D267-INT(D267))+VLOOKUP(INT(D267),Tablas!$G$9:$K$1240,5,0)*(INT(D267)+1-D267)),+VLOOKUP(INT(D267)+1,Tablas!$G$9:$O$1240,9,0)*(D267-INT(D267))+VLOOKUP(INT(D267),Tablas!$G$9:$O$1240,9,0)*(INT(D267)+1-D267))</f>
        <v>670743.44294104888</v>
      </c>
      <c r="H267" s="105">
        <f t="shared" ca="1" si="26"/>
        <v>1</v>
      </c>
      <c r="I267" s="106">
        <f t="shared" ca="1" si="27"/>
        <v>4.4338996565978665E-2</v>
      </c>
      <c r="J267" s="106">
        <f t="shared" ca="1" si="31"/>
        <v>7.6009708398820569E-2</v>
      </c>
      <c r="K267" s="105">
        <f t="shared" ca="1" si="28"/>
        <v>0.72644911470642215</v>
      </c>
      <c r="L267" s="75"/>
    </row>
    <row r="268" spans="2:12">
      <c r="B268" s="101">
        <f t="shared" ca="1" si="29"/>
        <v>60421</v>
      </c>
      <c r="C268" s="101">
        <f t="shared" ca="1" si="30"/>
        <v>60450</v>
      </c>
      <c r="D268" s="102">
        <f t="shared" ca="1" si="24"/>
        <v>87.997262149212872</v>
      </c>
      <c r="E268" s="103">
        <f t="shared" ca="1" si="25"/>
        <v>0.73152776750085924</v>
      </c>
      <c r="F268" s="104">
        <f ca="1">IF($C$4="Hombre",(+VLOOKUP(INT(D268)+1,Tablas!$G$9:$K$1240,5,0)*(D268-INT(D268))+VLOOKUP(INT(D268),Tablas!$G$9:$K$1240,5,0)*(INT(D268)+1-D268))/(VLOOKUP(INT($C$5)+1,Tablas!$G$9:$K$1240,5,0)*($C$5-INT($C$5))+VLOOKUP(INT($C$5),Tablas!$G$9:$K$124,5,0)*(INT($C$5)+1-$C$5)),(+VLOOKUP(INT(D268)+1,Tablas!$G$9:$O$1240,9,0)*(D268-INT(D268))+VLOOKUP(INT(D268),Tablas!$G$9:$O$1240,9,0)*(INT(D268)+1-D268))/(VLOOKUP(INT($C$5)+1,Tablas!$G$9:$O$1240,9,0)*($C$5-INT($C$5))+VLOOKUP(INT($C$5),Tablas!$G$9:$O$124,9,0)*(INT($C$5)+1-$C$5)))</f>
        <v>0.72381070002722947</v>
      </c>
      <c r="G268" s="97">
        <f ca="1">IF($C$4="Hombre",(+VLOOKUP(INT(D268)+1,Tablas!$G$9:$K$1240,5,0)*(D268-INT(D268))+VLOOKUP(INT(D268),Tablas!$G$9:$K$1240,5,0)*(INT(D268)+1-D268)),+VLOOKUP(INT(D268)+1,Tablas!$G$9:$O$1240,9,0)*(D268-INT(D268))+VLOOKUP(INT(D268),Tablas!$G$9:$O$1240,9,0)*(INT(D268)+1-D268))</f>
        <v>668307.34754220862</v>
      </c>
      <c r="H268" s="105">
        <f t="shared" ca="1" si="26"/>
        <v>1</v>
      </c>
      <c r="I268" s="106">
        <f t="shared" ca="1" si="27"/>
        <v>4.4123968790346108E-2</v>
      </c>
      <c r="J268" s="106">
        <f t="shared" ca="1" si="31"/>
        <v>3.7820544677439519E-2</v>
      </c>
      <c r="K268" s="105">
        <f t="shared" ca="1" si="28"/>
        <v>0.72381070002722947</v>
      </c>
      <c r="L268" s="75"/>
    </row>
    <row r="269" spans="2:12">
      <c r="B269" s="101">
        <f t="shared" ca="1" si="29"/>
        <v>60451</v>
      </c>
      <c r="C269" s="101">
        <f t="shared" ca="1" si="30"/>
        <v>60481</v>
      </c>
      <c r="D269" s="102">
        <f t="shared" ca="1" si="24"/>
        <v>88.082135523613957</v>
      </c>
      <c r="E269" s="103">
        <f t="shared" ca="1" si="25"/>
        <v>0.73060395859815352</v>
      </c>
      <c r="F269" s="104">
        <f ca="1">IF($C$4="Hombre",(+VLOOKUP(INT(D269)+1,Tablas!$G$9:$K$1240,5,0)*(D269-INT(D269))+VLOOKUP(INT(D269),Tablas!$G$9:$K$1240,5,0)*(INT(D269)+1-D269))/(VLOOKUP(INT($C$5)+1,Tablas!$G$9:$K$1240,5,0)*($C$5-INT($C$5))+VLOOKUP(INT($C$5),Tablas!$G$9:$K$124,5,0)*(INT($C$5)+1-$C$5)),(+VLOOKUP(INT(D269)+1,Tablas!$G$9:$O$1240,9,0)*(D269-INT(D269))+VLOOKUP(INT(D269),Tablas!$G$9:$O$1240,9,0)*(INT(D269)+1-D269))/(VLOOKUP(INT($C$5)+1,Tablas!$G$9:$O$1240,9,0)*($C$5-INT($C$5))+VLOOKUP(INT($C$5),Tablas!$G$9:$O$124,9,0)*(INT($C$5)+1-$C$5)))</f>
        <v>0.72087800750931175</v>
      </c>
      <c r="G269" s="97">
        <f ca="1">IF($C$4="Hombre",(+VLOOKUP(INT(D269)+1,Tablas!$G$9:$K$1240,5,0)*(D269-INT(D269))+VLOOKUP(INT(D269),Tablas!$G$9:$K$1240,5,0)*(INT(D269)+1-D269)),+VLOOKUP(INT(D269)+1,Tablas!$G$9:$O$1240,9,0)*(D269-INT(D269))+VLOOKUP(INT(D269),Tablas!$G$9:$O$1240,9,0)*(INT(D269)+1-D269))</f>
        <v>665599.54015868588</v>
      </c>
      <c r="H269" s="105">
        <f t="shared" ca="1" si="26"/>
        <v>1</v>
      </c>
      <c r="I269" s="106">
        <f t="shared" ca="1" si="27"/>
        <v>4.3889693829387719E-2</v>
      </c>
      <c r="J269" s="106">
        <f t="shared" ca="1" si="31"/>
        <v>3.761973756804661E-2</v>
      </c>
      <c r="K269" s="105">
        <f t="shared" ca="1" si="28"/>
        <v>0.72087800750931175</v>
      </c>
      <c r="L269" s="75"/>
    </row>
    <row r="270" spans="2:12">
      <c r="B270" s="101">
        <f t="shared" ca="1" si="29"/>
        <v>60482</v>
      </c>
      <c r="C270" s="101">
        <f t="shared" ca="1" si="30"/>
        <v>60512</v>
      </c>
      <c r="D270" s="102">
        <f t="shared" ca="1" si="24"/>
        <v>88.167008898015055</v>
      </c>
      <c r="E270" s="103">
        <f t="shared" ca="1" si="25"/>
        <v>0.72968131632633515</v>
      </c>
      <c r="F270" s="104">
        <f ca="1">IF($C$4="Hombre",(+VLOOKUP(INT(D270)+1,Tablas!$G$9:$K$1240,5,0)*(D270-INT(D270))+VLOOKUP(INT(D270),Tablas!$G$9:$K$1240,5,0)*(INT(D270)+1-D270))/(VLOOKUP(INT($C$5)+1,Tablas!$G$9:$K$1240,5,0)*($C$5-INT($C$5))+VLOOKUP(INT($C$5),Tablas!$G$9:$K$124,5,0)*(INT($C$5)+1-$C$5)),(+VLOOKUP(INT(D270)+1,Tablas!$G$9:$O$1240,9,0)*(D270-INT(D270))+VLOOKUP(INT(D270),Tablas!$G$9:$O$1240,9,0)*(INT(D270)+1-D270))/(VLOOKUP(INT($C$5)+1,Tablas!$G$9:$O$1240,9,0)*($C$5-INT($C$5))+VLOOKUP(INT($C$5),Tablas!$G$9:$O$124,9,0)*(INT($C$5)+1-$C$5)))</f>
        <v>0.71793843730196838</v>
      </c>
      <c r="G270" s="97">
        <f ca="1">IF($C$4="Hombre",(+VLOOKUP(INT(D270)+1,Tablas!$G$9:$K$1240,5,0)*(D270-INT(D270))+VLOOKUP(INT(D270),Tablas!$G$9:$K$1240,5,0)*(INT(D270)+1-D270)),+VLOOKUP(INT(D270)+1,Tablas!$G$9:$O$1240,9,0)*(D270-INT(D270))+VLOOKUP(INT(D270),Tablas!$G$9:$O$1240,9,0)*(INT(D270)+1-D270))</f>
        <v>662885.38248167199</v>
      </c>
      <c r="H270" s="105">
        <f t="shared" ca="1" si="26"/>
        <v>1</v>
      </c>
      <c r="I270" s="106">
        <f t="shared" ca="1" si="27"/>
        <v>4.3655521997647689E-2</v>
      </c>
      <c r="J270" s="106">
        <f t="shared" ca="1" si="31"/>
        <v>3.7419018855126593E-2</v>
      </c>
      <c r="K270" s="105">
        <f t="shared" ca="1" si="28"/>
        <v>0.71793843730196838</v>
      </c>
      <c r="L270" s="75"/>
    </row>
    <row r="271" spans="2:12">
      <c r="B271" s="101">
        <f t="shared" ca="1" si="29"/>
        <v>60513</v>
      </c>
      <c r="C271" s="101">
        <f t="shared" ca="1" si="30"/>
        <v>60542</v>
      </c>
      <c r="D271" s="102">
        <f t="shared" ca="1" si="24"/>
        <v>88.249144421629026</v>
      </c>
      <c r="E271" s="103">
        <f t="shared" ca="1" si="25"/>
        <v>0.72878954610875224</v>
      </c>
      <c r="F271" s="104">
        <f ca="1">IF($C$4="Hombre",(+VLOOKUP(INT(D271)+1,Tablas!$G$9:$K$1240,5,0)*(D271-INT(D271))+VLOOKUP(INT(D271),Tablas!$G$9:$K$1240,5,0)*(INT(D271)+1-D271))/(VLOOKUP(INT($C$5)+1,Tablas!$G$9:$K$1240,5,0)*($C$5-INT($C$5))+VLOOKUP(INT($C$5),Tablas!$G$9:$K$124,5,0)*(INT($C$5)+1-$C$5)),(+VLOOKUP(INT(D271)+1,Tablas!$G$9:$O$1240,9,0)*(D271-INT(D271))+VLOOKUP(INT(D271),Tablas!$G$9:$O$1240,9,0)*(INT(D271)+1-D271))/(VLOOKUP(INT($C$5)+1,Tablas!$G$9:$O$1240,9,0)*($C$5-INT($C$5))+VLOOKUP(INT($C$5),Tablas!$G$9:$O$124,9,0)*(INT($C$5)+1-$C$5)))</f>
        <v>0.71509369194002315</v>
      </c>
      <c r="G271" s="97">
        <f ca="1">IF($C$4="Hombre",(+VLOOKUP(INT(D271)+1,Tablas!$G$9:$K$1240,5,0)*(D271-INT(D271))+VLOOKUP(INT(D271),Tablas!$G$9:$K$1240,5,0)*(INT(D271)+1-D271)),+VLOOKUP(INT(D271)+1,Tablas!$G$9:$O$1240,9,0)*(D271-INT(D271))+VLOOKUP(INT(D271),Tablas!$G$9:$O$1240,9,0)*(INT(D271)+1-D271))</f>
        <v>660258.77827810997</v>
      </c>
      <c r="H271" s="105">
        <f t="shared" ca="1" si="26"/>
        <v>1</v>
      </c>
      <c r="I271" s="106">
        <f t="shared" ca="1" si="27"/>
        <v>4.342940059785011E-2</v>
      </c>
      <c r="J271" s="106">
        <f t="shared" ca="1" si="31"/>
        <v>3.7225200512442949E-2</v>
      </c>
      <c r="K271" s="105">
        <f t="shared" ca="1" si="28"/>
        <v>0.71509369194002315</v>
      </c>
      <c r="L271" s="75"/>
    </row>
    <row r="272" spans="2:12">
      <c r="B272" s="101">
        <f t="shared" ca="1" si="29"/>
        <v>60543</v>
      </c>
      <c r="C272" s="101">
        <f t="shared" ca="1" si="30"/>
        <v>60573</v>
      </c>
      <c r="D272" s="102">
        <f t="shared" ca="1" si="24"/>
        <v>88.334017796030111</v>
      </c>
      <c r="E272" s="103">
        <f t="shared" ca="1" si="25"/>
        <v>0.72786919516541859</v>
      </c>
      <c r="F272" s="104">
        <f ca="1">IF($C$4="Hombre",(+VLOOKUP(INT(D272)+1,Tablas!$G$9:$K$1240,5,0)*(D272-INT(D272))+VLOOKUP(INT(D272),Tablas!$G$9:$K$1240,5,0)*(INT(D272)+1-D272))/(VLOOKUP(INT($C$5)+1,Tablas!$G$9:$K$1240,5,0)*($C$5-INT($C$5))+VLOOKUP(INT($C$5),Tablas!$G$9:$K$124,5,0)*(INT($C$5)+1-$C$5)),(+VLOOKUP(INT(D272)+1,Tablas!$G$9:$O$1240,9,0)*(D272-INT(D272))+VLOOKUP(INT(D272),Tablas!$G$9:$O$1240,9,0)*(INT(D272)+1-D272))/(VLOOKUP(INT($C$5)+1,Tablas!$G$9:$O$1240,9,0)*($C$5-INT($C$5))+VLOOKUP(INT($C$5),Tablas!$G$9:$O$124,9,0)*(INT($C$5)+1-$C$5)))</f>
        <v>0.71215412173268033</v>
      </c>
      <c r="G272" s="97">
        <f ca="1">IF($C$4="Hombre",(+VLOOKUP(INT(D272)+1,Tablas!$G$9:$K$1240,5,0)*(D272-INT(D272))+VLOOKUP(INT(D272),Tablas!$G$9:$K$1240,5,0)*(INT(D272)+1-D272)),+VLOOKUP(INT(D272)+1,Tablas!$G$9:$O$1240,9,0)*(D272-INT(D272))+VLOOKUP(INT(D272),Tablas!$G$9:$O$1240,9,0)*(INT(D272)+1-D272))</f>
        <v>657544.62060109654</v>
      </c>
      <c r="H272" s="105">
        <f t="shared" ca="1" si="26"/>
        <v>1</v>
      </c>
      <c r="I272" s="106">
        <f t="shared" ca="1" si="27"/>
        <v>4.3196253951608463E-2</v>
      </c>
      <c r="J272" s="106">
        <f t="shared" ca="1" si="31"/>
        <v>3.7025360529950105E-2</v>
      </c>
      <c r="K272" s="105">
        <f t="shared" ca="1" si="28"/>
        <v>0.71215412173268033</v>
      </c>
      <c r="L272" s="75"/>
    </row>
    <row r="273" spans="2:12">
      <c r="B273" s="101">
        <f t="shared" ca="1" si="29"/>
        <v>60574</v>
      </c>
      <c r="C273" s="101">
        <f t="shared" ca="1" si="30"/>
        <v>60603</v>
      </c>
      <c r="D273" s="102">
        <f t="shared" ca="1" si="24"/>
        <v>88.416153319644081</v>
      </c>
      <c r="E273" s="103">
        <f t="shared" ca="1" si="25"/>
        <v>0.726979639607367</v>
      </c>
      <c r="F273" s="104">
        <f ca="1">IF($C$4="Hombre",(+VLOOKUP(INT(D273)+1,Tablas!$G$9:$K$1240,5,0)*(D273-INT(D273))+VLOOKUP(INT(D273),Tablas!$G$9:$K$1240,5,0)*(INT(D273)+1-D273))/(VLOOKUP(INT($C$5)+1,Tablas!$G$9:$K$1240,5,0)*($C$5-INT($C$5))+VLOOKUP(INT($C$5),Tablas!$G$9:$K$124,5,0)*(INT($C$5)+1-$C$5)),(+VLOOKUP(INT(D273)+1,Tablas!$G$9:$O$1240,9,0)*(D273-INT(D273))+VLOOKUP(INT(D273),Tablas!$G$9:$O$1240,9,0)*(INT(D273)+1-D273))/(VLOOKUP(INT($C$5)+1,Tablas!$G$9:$O$1240,9,0)*($C$5-INT($C$5))+VLOOKUP(INT($C$5),Tablas!$G$9:$O$124,9,0)*(INT($C$5)+1-$C$5)))</f>
        <v>0.70930937637073499</v>
      </c>
      <c r="G273" s="97">
        <f ca="1">IF($C$4="Hombre",(+VLOOKUP(INT(D273)+1,Tablas!$G$9:$K$1240,5,0)*(D273-INT(D273))+VLOOKUP(INT(D273),Tablas!$G$9:$K$1240,5,0)*(INT(D273)+1-D273)),+VLOOKUP(INT(D273)+1,Tablas!$G$9:$O$1240,9,0)*(D273-INT(D273))+VLOOKUP(INT(D273),Tablas!$G$9:$O$1240,9,0)*(INT(D273)+1-D273))</f>
        <v>654918.01639753452</v>
      </c>
      <c r="H273" s="105">
        <f t="shared" ca="1" si="26"/>
        <v>1</v>
      </c>
      <c r="I273" s="106">
        <f t="shared" ca="1" si="27"/>
        <v>4.2971122900343599E-2</v>
      </c>
      <c r="J273" s="106">
        <f t="shared" ca="1" si="31"/>
        <v>7.3664782114874733E-2</v>
      </c>
      <c r="K273" s="105">
        <f t="shared" ca="1" si="28"/>
        <v>0.70930937637073499</v>
      </c>
      <c r="L273" s="75"/>
    </row>
    <row r="274" spans="2:12">
      <c r="B274" s="101">
        <f t="shared" ca="1" si="29"/>
        <v>60604</v>
      </c>
      <c r="C274" s="101">
        <f t="shared" ca="1" si="30"/>
        <v>60634</v>
      </c>
      <c r="D274" s="102">
        <f t="shared" ref="D274:D337" ca="1" si="32">-_xlfn.DAYS($C$3,C274)/365.25</f>
        <v>88.50102669404518</v>
      </c>
      <c r="E274" s="103">
        <f t="shared" ref="E274:E337" ca="1" si="33">IF($D$17+40&lt;=D274,(1+$D$7)^-(D274-$C$5),(1+$C$7)^-(D274-$C$5))</f>
        <v>0.72606157430213647</v>
      </c>
      <c r="F274" s="104">
        <f ca="1">IF($C$4="Hombre",(+VLOOKUP(INT(D274)+1,Tablas!$G$9:$K$1240,5,0)*(D274-INT(D274))+VLOOKUP(INT(D274),Tablas!$G$9:$K$1240,5,0)*(INT(D274)+1-D274))/(VLOOKUP(INT($C$5)+1,Tablas!$G$9:$K$1240,5,0)*($C$5-INT($C$5))+VLOOKUP(INT($C$5),Tablas!$G$9:$K$124,5,0)*(INT($C$5)+1-$C$5)),(+VLOOKUP(INT(D274)+1,Tablas!$G$9:$O$1240,9,0)*(D274-INT(D274))+VLOOKUP(INT(D274),Tablas!$G$9:$O$1240,9,0)*(INT(D274)+1-D274))/(VLOOKUP(INT($C$5)+1,Tablas!$G$9:$O$1240,9,0)*($C$5-INT($C$5))+VLOOKUP(INT($C$5),Tablas!$G$9:$O$124,9,0)*(INT($C$5)+1-$C$5)))</f>
        <v>0.70636980616339162</v>
      </c>
      <c r="G274" s="97">
        <f ca="1">IF($C$4="Hombre",(+VLOOKUP(INT(D274)+1,Tablas!$G$9:$K$1240,5,0)*(D274-INT(D274))+VLOOKUP(INT(D274),Tablas!$G$9:$K$1240,5,0)*(INT(D274)+1-D274)),+VLOOKUP(INT(D274)+1,Tablas!$G$9:$O$1240,9,0)*(D274-INT(D274))+VLOOKUP(INT(D274),Tablas!$G$9:$O$1240,9,0)*(INT(D274)+1-D274))</f>
        <v>652203.85872052063</v>
      </c>
      <c r="H274" s="105">
        <f t="shared" ref="H274:H337" ca="1" si="34">+IF(MONTH(B274)=1,H273*(1+$C$9),H273)</f>
        <v>1</v>
      </c>
      <c r="I274" s="106">
        <f t="shared" ref="I274:I337" ca="1" si="35">IF(B274&lt;$C$10,0,IF(B274&lt;$C$11,$C$8/12*E274*F274*H274,0))</f>
        <v>4.2738997791873921E-2</v>
      </c>
      <c r="J274" s="106">
        <f t="shared" ca="1" si="31"/>
        <v>3.6633426678749074E-2</v>
      </c>
      <c r="K274" s="105">
        <f t="shared" ref="K274:K337" ca="1" si="36">G274/$G$15</f>
        <v>0.70636980616339162</v>
      </c>
      <c r="L274" s="75"/>
    </row>
    <row r="275" spans="2:12">
      <c r="B275" s="101">
        <f t="shared" ref="B275:B338" ca="1" si="37">+DATE(YEAR(B274),MONTH(B274)+1,DAY(B274))</f>
        <v>60635</v>
      </c>
      <c r="C275" s="101">
        <f t="shared" ref="C275:C338" ca="1" si="38">+B276-1</f>
        <v>60665</v>
      </c>
      <c r="D275" s="102">
        <f t="shared" ca="1" si="32"/>
        <v>88.585900068446264</v>
      </c>
      <c r="E275" s="103">
        <f t="shared" ca="1" si="33"/>
        <v>0.72514466837449909</v>
      </c>
      <c r="F275" s="104">
        <f ca="1">IF($C$4="Hombre",(+VLOOKUP(INT(D275)+1,Tablas!$G$9:$K$1240,5,0)*(D275-INT(D275))+VLOOKUP(INT(D275),Tablas!$G$9:$K$1240,5,0)*(INT(D275)+1-D275))/(VLOOKUP(INT($C$5)+1,Tablas!$G$9:$K$1240,5,0)*($C$5-INT($C$5))+VLOOKUP(INT($C$5),Tablas!$G$9:$K$124,5,0)*(INT($C$5)+1-$C$5)),(+VLOOKUP(INT(D275)+1,Tablas!$G$9:$O$1240,9,0)*(D275-INT(D275))+VLOOKUP(INT(D275),Tablas!$G$9:$O$1240,9,0)*(INT(D275)+1-D275))/(VLOOKUP(INT($C$5)+1,Tablas!$G$9:$O$1240,9,0)*($C$5-INT($C$5))+VLOOKUP(INT($C$5),Tablas!$G$9:$O$124,9,0)*(INT($C$5)+1-$C$5)))</f>
        <v>0.7034302359560487</v>
      </c>
      <c r="G275" s="97">
        <f ca="1">IF($C$4="Hombre",(+VLOOKUP(INT(D275)+1,Tablas!$G$9:$K$1240,5,0)*(D275-INT(D275))+VLOOKUP(INT(D275),Tablas!$G$9:$K$1240,5,0)*(INT(D275)+1-D275)),+VLOOKUP(INT(D275)+1,Tablas!$G$9:$O$1240,9,0)*(D275-INT(D275))+VLOOKUP(INT(D275),Tablas!$G$9:$O$1240,9,0)*(INT(D275)+1-D275))</f>
        <v>649489.70104350708</v>
      </c>
      <c r="H275" s="105">
        <f t="shared" ca="1" si="34"/>
        <v>1</v>
      </c>
      <c r="I275" s="106">
        <f t="shared" ca="1" si="35"/>
        <v>4.2507390431412044E-2</v>
      </c>
      <c r="J275" s="106">
        <f t="shared" ref="J275:J338" ca="1" si="39">I275*12/14+IF(OR(MONTH(C275)=6,MONTH(C275)=12),I275*12/14,0)</f>
        <v>3.6434906084067464E-2</v>
      </c>
      <c r="K275" s="105">
        <f t="shared" ca="1" si="36"/>
        <v>0.7034302359560487</v>
      </c>
      <c r="L275" s="75"/>
    </row>
    <row r="276" spans="2:12">
      <c r="B276" s="101">
        <f t="shared" ca="1" si="37"/>
        <v>60666</v>
      </c>
      <c r="C276" s="101">
        <f t="shared" ca="1" si="38"/>
        <v>60693</v>
      </c>
      <c r="D276" s="102">
        <f t="shared" ca="1" si="32"/>
        <v>88.662559890485966</v>
      </c>
      <c r="E276" s="103">
        <f t="shared" ca="1" si="33"/>
        <v>0.7243174905704578</v>
      </c>
      <c r="F276" s="104">
        <f ca="1">IF($C$4="Hombre",(+VLOOKUP(INT(D276)+1,Tablas!$G$9:$K$1240,5,0)*(D276-INT(D276))+VLOOKUP(INT(D276),Tablas!$G$9:$K$1240,5,0)*(INT(D276)+1-D276))/(VLOOKUP(INT($C$5)+1,Tablas!$G$9:$K$1240,5,0)*($C$5-INT($C$5))+VLOOKUP(INT($C$5),Tablas!$G$9:$K$124,5,0)*(INT($C$5)+1-$C$5)),(+VLOOKUP(INT(D276)+1,Tablas!$G$9:$O$1240,9,0)*(D276-INT(D276))+VLOOKUP(INT(D276),Tablas!$G$9:$O$1240,9,0)*(INT(D276)+1-D276))/(VLOOKUP(INT($C$5)+1,Tablas!$G$9:$O$1240,9,0)*($C$5-INT($C$5))+VLOOKUP(INT($C$5),Tablas!$G$9:$O$124,9,0)*(INT($C$5)+1-$C$5)))</f>
        <v>0.70077514028489996</v>
      </c>
      <c r="G276" s="97">
        <f ca="1">IF($C$4="Hombre",(+VLOOKUP(INT(D276)+1,Tablas!$G$9:$K$1240,5,0)*(D276-INT(D276))+VLOOKUP(INT(D276),Tablas!$G$9:$K$1240,5,0)*(INT(D276)+1-D276)),+VLOOKUP(INT(D276)+1,Tablas!$G$9:$O$1240,9,0)*(D276-INT(D276))+VLOOKUP(INT(D276),Tablas!$G$9:$O$1240,9,0)*(INT(D276)+1-D276))</f>
        <v>647038.20378684939</v>
      </c>
      <c r="H276" s="105">
        <f t="shared" ca="1" si="34"/>
        <v>1</v>
      </c>
      <c r="I276" s="106">
        <f t="shared" ca="1" si="35"/>
        <v>4.2298640922109935E-2</v>
      </c>
      <c r="J276" s="106">
        <f t="shared" ca="1" si="39"/>
        <v>3.6255977933237087E-2</v>
      </c>
      <c r="K276" s="105">
        <f t="shared" ca="1" si="36"/>
        <v>0.70077514028489996</v>
      </c>
      <c r="L276" s="75"/>
    </row>
    <row r="277" spans="2:12">
      <c r="B277" s="101">
        <f t="shared" ca="1" si="37"/>
        <v>60694</v>
      </c>
      <c r="C277" s="101">
        <f t="shared" ca="1" si="38"/>
        <v>60724</v>
      </c>
      <c r="D277" s="102">
        <f t="shared" ca="1" si="32"/>
        <v>88.747433264887064</v>
      </c>
      <c r="E277" s="103">
        <f t="shared" ca="1" si="33"/>
        <v>0.72340278715672324</v>
      </c>
      <c r="F277" s="104">
        <f ca="1">IF($C$4="Hombre",(+VLOOKUP(INT(D277)+1,Tablas!$G$9:$K$1240,5,0)*(D277-INT(D277))+VLOOKUP(INT(D277),Tablas!$G$9:$K$1240,5,0)*(INT(D277)+1-D277))/(VLOOKUP(INT($C$5)+1,Tablas!$G$9:$K$1240,5,0)*($C$5-INT($C$5))+VLOOKUP(INT($C$5),Tablas!$G$9:$K$124,5,0)*(INT($C$5)+1-$C$5)),(+VLOOKUP(INT(D277)+1,Tablas!$G$9:$O$1240,9,0)*(D277-INT(D277))+VLOOKUP(INT(D277),Tablas!$G$9:$O$1240,9,0)*(INT(D277)+1-D277))/(VLOOKUP(INT($C$5)+1,Tablas!$G$9:$O$1240,9,0)*($C$5-INT($C$5))+VLOOKUP(INT($C$5),Tablas!$G$9:$O$124,9,0)*(INT($C$5)+1-$C$5)))</f>
        <v>0.69783557007755659</v>
      </c>
      <c r="G277" s="97">
        <f ca="1">IF($C$4="Hombre",(+VLOOKUP(INT(D277)+1,Tablas!$G$9:$K$1240,5,0)*(D277-INT(D277))+VLOOKUP(INT(D277),Tablas!$G$9:$K$1240,5,0)*(INT(D277)+1-D277)),+VLOOKUP(INT(D277)+1,Tablas!$G$9:$O$1240,9,0)*(D277-INT(D277))+VLOOKUP(INT(D277),Tablas!$G$9:$O$1240,9,0)*(INT(D277)+1-D277))</f>
        <v>644324.0461098355</v>
      </c>
      <c r="H277" s="105">
        <f t="shared" ca="1" si="34"/>
        <v>1</v>
      </c>
      <c r="I277" s="106">
        <f t="shared" ca="1" si="35"/>
        <v>4.2068016364267102E-2</v>
      </c>
      <c r="J277" s="106">
        <f t="shared" ca="1" si="39"/>
        <v>3.6058299740800374E-2</v>
      </c>
      <c r="K277" s="105">
        <f t="shared" ca="1" si="36"/>
        <v>0.69783557007755659</v>
      </c>
      <c r="L277" s="75"/>
    </row>
    <row r="278" spans="2:12">
      <c r="B278" s="101">
        <f t="shared" ca="1" si="37"/>
        <v>60725</v>
      </c>
      <c r="C278" s="101">
        <f t="shared" ca="1" si="38"/>
        <v>60754</v>
      </c>
      <c r="D278" s="102">
        <f t="shared" ca="1" si="32"/>
        <v>88.829568788501021</v>
      </c>
      <c r="E278" s="103">
        <f t="shared" ca="1" si="33"/>
        <v>0.72251869015921399</v>
      </c>
      <c r="F278" s="104">
        <f ca="1">IF($C$4="Hombre",(+VLOOKUP(INT(D278)+1,Tablas!$G$9:$K$1240,5,0)*(D278-INT(D278))+VLOOKUP(INT(D278),Tablas!$G$9:$K$1240,5,0)*(INT(D278)+1-D278))/(VLOOKUP(INT($C$5)+1,Tablas!$G$9:$K$1240,5,0)*($C$5-INT($C$5))+VLOOKUP(INT($C$5),Tablas!$G$9:$K$124,5,0)*(INT($C$5)+1-$C$5)),(+VLOOKUP(INT(D278)+1,Tablas!$G$9:$O$1240,9,0)*(D278-INT(D278))+VLOOKUP(INT(D278),Tablas!$G$9:$O$1240,9,0)*(INT(D278)+1-D278))/(VLOOKUP(INT($C$5)+1,Tablas!$G$9:$O$1240,9,0)*($C$5-INT($C$5))+VLOOKUP(INT($C$5),Tablas!$G$9:$O$124,9,0)*(INT($C$5)+1-$C$5)))</f>
        <v>0.6949908247156118</v>
      </c>
      <c r="G278" s="97">
        <f ca="1">IF($C$4="Hombre",(+VLOOKUP(INT(D278)+1,Tablas!$G$9:$K$1240,5,0)*(D278-INT(D278))+VLOOKUP(INT(D278),Tablas!$G$9:$K$1240,5,0)*(INT(D278)+1-D278)),+VLOOKUP(INT(D278)+1,Tablas!$G$9:$O$1240,9,0)*(D278-INT(D278))+VLOOKUP(INT(D278),Tablas!$G$9:$O$1240,9,0)*(INT(D278)+1-D278))</f>
        <v>641697.44190627395</v>
      </c>
      <c r="H278" s="105">
        <f t="shared" ca="1" si="34"/>
        <v>1</v>
      </c>
      <c r="I278" s="106">
        <f t="shared" ca="1" si="35"/>
        <v>4.1845321695516309E-2</v>
      </c>
      <c r="J278" s="106">
        <f t="shared" ca="1" si="39"/>
        <v>3.5867418596156837E-2</v>
      </c>
      <c r="K278" s="105">
        <f t="shared" ca="1" si="36"/>
        <v>0.6949908247156118</v>
      </c>
      <c r="L278" s="75"/>
    </row>
    <row r="279" spans="2:12">
      <c r="B279" s="101">
        <f t="shared" ca="1" si="37"/>
        <v>60755</v>
      </c>
      <c r="C279" s="101">
        <f t="shared" ca="1" si="38"/>
        <v>60785</v>
      </c>
      <c r="D279" s="102">
        <f t="shared" ca="1" si="32"/>
        <v>88.91444216290212</v>
      </c>
      <c r="E279" s="103">
        <f t="shared" ca="1" si="33"/>
        <v>0.72160625835827108</v>
      </c>
      <c r="F279" s="104">
        <f ca="1">IF($C$4="Hombre",(+VLOOKUP(INT(D279)+1,Tablas!$G$9:$K$1240,5,0)*(D279-INT(D279))+VLOOKUP(INT(D279),Tablas!$G$9:$K$1240,5,0)*(INT(D279)+1-D279))/(VLOOKUP(INT($C$5)+1,Tablas!$G$9:$K$1240,5,0)*($C$5-INT($C$5))+VLOOKUP(INT($C$5),Tablas!$G$9:$K$124,5,0)*(INT($C$5)+1-$C$5)),(+VLOOKUP(INT(D279)+1,Tablas!$G$9:$O$1240,9,0)*(D279-INT(D279))+VLOOKUP(INT(D279),Tablas!$G$9:$O$1240,9,0)*(INT(D279)+1-D279))/(VLOOKUP(INT($C$5)+1,Tablas!$G$9:$O$1240,9,0)*($C$5-INT($C$5))+VLOOKUP(INT($C$5),Tablas!$G$9:$O$124,9,0)*(INT($C$5)+1-$C$5)))</f>
        <v>0.69205125450826854</v>
      </c>
      <c r="G279" s="97">
        <f ca="1">IF($C$4="Hombre",(+VLOOKUP(INT(D279)+1,Tablas!$G$9:$K$1240,5,0)*(D279-INT(D279))+VLOOKUP(INT(D279),Tablas!$G$9:$K$1240,5,0)*(INT(D279)+1-D279)),+VLOOKUP(INT(D279)+1,Tablas!$G$9:$O$1240,9,0)*(D279-INT(D279))+VLOOKUP(INT(D279),Tablas!$G$9:$O$1240,9,0)*(INT(D279)+1-D279))</f>
        <v>638983.28422926005</v>
      </c>
      <c r="H279" s="105">
        <f t="shared" ca="1" si="34"/>
        <v>1</v>
      </c>
      <c r="I279" s="106">
        <f t="shared" ca="1" si="35"/>
        <v>4.1615709696488271E-2</v>
      </c>
      <c r="J279" s="106">
        <f t="shared" ca="1" si="39"/>
        <v>7.1341216622551315E-2</v>
      </c>
      <c r="K279" s="105">
        <f t="shared" ca="1" si="36"/>
        <v>0.69205125450826854</v>
      </c>
      <c r="L279" s="75"/>
    </row>
    <row r="280" spans="2:12">
      <c r="B280" s="101">
        <f t="shared" ca="1" si="37"/>
        <v>60786</v>
      </c>
      <c r="C280" s="101">
        <f t="shared" ca="1" si="38"/>
        <v>60815</v>
      </c>
      <c r="D280" s="102">
        <f t="shared" ca="1" si="32"/>
        <v>88.99657768651609</v>
      </c>
      <c r="E280" s="103">
        <f t="shared" ca="1" si="33"/>
        <v>0.72072435696429671</v>
      </c>
      <c r="F280" s="104">
        <f ca="1">IF($C$4="Hombre",(+VLOOKUP(INT(D280)+1,Tablas!$G$9:$K$1240,5,0)*(D280-INT(D280))+VLOOKUP(INT(D280),Tablas!$G$9:$K$1240,5,0)*(INT(D280)+1-D280))/(VLOOKUP(INT($C$5)+1,Tablas!$G$9:$K$1240,5,0)*($C$5-INT($C$5))+VLOOKUP(INT($C$5),Tablas!$G$9:$K$124,5,0)*(INT($C$5)+1-$C$5)),(+VLOOKUP(INT(D280)+1,Tablas!$G$9:$O$1240,9,0)*(D280-INT(D280))+VLOOKUP(INT(D280),Tablas!$G$9:$O$1240,9,0)*(INT(D280)+1-D280))/(VLOOKUP(INT($C$5)+1,Tablas!$G$9:$O$1240,9,0)*($C$5-INT($C$5))+VLOOKUP(INT($C$5),Tablas!$G$9:$O$124,9,0)*(INT($C$5)+1-$C$5)))</f>
        <v>0.6892065091463232</v>
      </c>
      <c r="G280" s="97">
        <f ca="1">IF($C$4="Hombre",(+VLOOKUP(INT(D280)+1,Tablas!$G$9:$K$1240,5,0)*(D280-INT(D280))+VLOOKUP(INT(D280),Tablas!$G$9:$K$1240,5,0)*(INT(D280)+1-D280)),+VLOOKUP(INT(D280)+1,Tablas!$G$9:$O$1240,9,0)*(D280-INT(D280))+VLOOKUP(INT(D280),Tablas!$G$9:$O$1240,9,0)*(INT(D280)+1-D280))</f>
        <v>636356.68002569804</v>
      </c>
      <c r="H280" s="105">
        <f t="shared" ca="1" si="34"/>
        <v>1</v>
      </c>
      <c r="I280" s="106">
        <f t="shared" ca="1" si="35"/>
        <v>4.139399317667429E-2</v>
      </c>
      <c r="J280" s="106">
        <f t="shared" ca="1" si="39"/>
        <v>3.5480565580006534E-2</v>
      </c>
      <c r="K280" s="105">
        <f t="shared" ca="1" si="36"/>
        <v>0.6892065091463232</v>
      </c>
      <c r="L280" s="75"/>
    </row>
    <row r="281" spans="2:12">
      <c r="B281" s="101">
        <f t="shared" ca="1" si="37"/>
        <v>60816</v>
      </c>
      <c r="C281" s="101">
        <f t="shared" ca="1" si="38"/>
        <v>60846</v>
      </c>
      <c r="D281" s="102">
        <f t="shared" ca="1" si="32"/>
        <v>89.081451060917175</v>
      </c>
      <c r="E281" s="103">
        <f t="shared" ca="1" si="33"/>
        <v>0.71981419113472722</v>
      </c>
      <c r="F281" s="104">
        <f ca="1">IF($C$4="Hombre",(+VLOOKUP(INT(D281)+1,Tablas!$G$9:$K$1240,5,0)*(D281-INT(D281))+VLOOKUP(INT(D281),Tablas!$G$9:$K$1240,5,0)*(INT(D281)+1-D281))/(VLOOKUP(INT($C$5)+1,Tablas!$G$9:$K$1240,5,0)*($C$5-INT($C$5))+VLOOKUP(INT($C$5),Tablas!$G$9:$K$124,5,0)*(INT($C$5)+1-$C$5)),(+VLOOKUP(INT(D281)+1,Tablas!$G$9:$O$1240,9,0)*(D281-INT(D281))+VLOOKUP(INT(D281),Tablas!$G$9:$O$1240,9,0)*(INT(D281)+1-D281))/(VLOOKUP(INT($C$5)+1,Tablas!$G$9:$O$1240,9,0)*($C$5-INT($C$5))+VLOOKUP(INT($C$5),Tablas!$G$9:$O$124,9,0)*(INT($C$5)+1-$C$5)))</f>
        <v>0.68608668367915682</v>
      </c>
      <c r="G281" s="97">
        <f ca="1">IF($C$4="Hombre",(+VLOOKUP(INT(D281)+1,Tablas!$G$9:$K$1240,5,0)*(D281-INT(D281))+VLOOKUP(INT(D281),Tablas!$G$9:$K$1240,5,0)*(INT(D281)+1-D281)),+VLOOKUP(INT(D281)+1,Tablas!$G$9:$O$1240,9,0)*(D281-INT(D281))+VLOOKUP(INT(D281),Tablas!$G$9:$O$1240,9,0)*(INT(D281)+1-D281))</f>
        <v>633476.08944769448</v>
      </c>
      <c r="H281" s="105">
        <f t="shared" ca="1" si="34"/>
        <v>1</v>
      </c>
      <c r="I281" s="106">
        <f t="shared" ca="1" si="35"/>
        <v>4.1154577605068306E-2</v>
      </c>
      <c r="J281" s="106">
        <f t="shared" ca="1" si="39"/>
        <v>3.527535223291569E-2</v>
      </c>
      <c r="K281" s="105">
        <f t="shared" ca="1" si="36"/>
        <v>0.68608668367915682</v>
      </c>
      <c r="L281" s="75"/>
    </row>
    <row r="282" spans="2:12">
      <c r="B282" s="101">
        <f t="shared" ca="1" si="37"/>
        <v>60847</v>
      </c>
      <c r="C282" s="101">
        <f t="shared" ca="1" si="38"/>
        <v>60877</v>
      </c>
      <c r="D282" s="102">
        <f t="shared" ca="1" si="32"/>
        <v>89.166324435318273</v>
      </c>
      <c r="E282" s="103">
        <f t="shared" ca="1" si="33"/>
        <v>0.71890517470690773</v>
      </c>
      <c r="F282" s="104">
        <f ca="1">IF($C$4="Hombre",(+VLOOKUP(INT(D282)+1,Tablas!$G$9:$K$1240,5,0)*(D282-INT(D282))+VLOOKUP(INT(D282),Tablas!$G$9:$K$1240,5,0)*(INT(D282)+1-D282))/(VLOOKUP(INT($C$5)+1,Tablas!$G$9:$K$1240,5,0)*($C$5-INT($C$5))+VLOOKUP(INT($C$5),Tablas!$G$9:$K$124,5,0)*(INT($C$5)+1-$C$5)),(+VLOOKUP(INT(D282)+1,Tablas!$G$9:$O$1240,9,0)*(D282-INT(D282))+VLOOKUP(INT(D282),Tablas!$G$9:$O$1240,9,0)*(INT(D282)+1-D282))/(VLOOKUP(INT($C$5)+1,Tablas!$G$9:$O$1240,9,0)*($C$5-INT($C$5))+VLOOKUP(INT($C$5),Tablas!$G$9:$O$124,9,0)*(INT($C$5)+1-$C$5)))</f>
        <v>0.68295928446157705</v>
      </c>
      <c r="G282" s="97">
        <f ca="1">IF($C$4="Hombre",(+VLOOKUP(INT(D282)+1,Tablas!$G$9:$K$1240,5,0)*(D282-INT(D282))+VLOOKUP(INT(D282),Tablas!$G$9:$K$1240,5,0)*(INT(D282)+1-D282)),+VLOOKUP(INT(D282)+1,Tablas!$G$9:$O$1240,9,0)*(D282-INT(D282))+VLOOKUP(INT(D282),Tablas!$G$9:$O$1240,9,0)*(INT(D282)+1-D282))</f>
        <v>630588.50589065719</v>
      </c>
      <c r="H282" s="105">
        <f t="shared" ca="1" si="34"/>
        <v>1</v>
      </c>
      <c r="I282" s="106">
        <f t="shared" ca="1" si="35"/>
        <v>4.0915246976129561E-2</v>
      </c>
      <c r="J282" s="106">
        <f t="shared" ca="1" si="39"/>
        <v>3.5070211693825341E-2</v>
      </c>
      <c r="K282" s="105">
        <f t="shared" ca="1" si="36"/>
        <v>0.68295928446157705</v>
      </c>
      <c r="L282" s="75"/>
    </row>
    <row r="283" spans="2:12">
      <c r="B283" s="101">
        <f t="shared" ca="1" si="37"/>
        <v>60878</v>
      </c>
      <c r="C283" s="101">
        <f t="shared" ca="1" si="38"/>
        <v>60907</v>
      </c>
      <c r="D283" s="102">
        <f t="shared" ca="1" si="32"/>
        <v>89.248459958932244</v>
      </c>
      <c r="E283" s="103">
        <f t="shared" ca="1" si="33"/>
        <v>0.71802657440602924</v>
      </c>
      <c r="F283" s="104">
        <f ca="1">IF($C$4="Hombre",(+VLOOKUP(INT(D283)+1,Tablas!$G$9:$K$1240,5,0)*(D283-INT(D283))+VLOOKUP(INT(D283),Tablas!$G$9:$K$1240,5,0)*(INT(D283)+1-D283))/(VLOOKUP(INT($C$5)+1,Tablas!$G$9:$K$1240,5,0)*($C$5-INT($C$5))+VLOOKUP(INT($C$5),Tablas!$G$9:$K$124,5,0)*(INT($C$5)+1-$C$5)),(+VLOOKUP(INT(D283)+1,Tablas!$G$9:$O$1240,9,0)*(D283-INT(D283))+VLOOKUP(INT(D283),Tablas!$G$9:$O$1240,9,0)*(INT(D283)+1-D283))/(VLOOKUP(INT($C$5)+1,Tablas!$G$9:$O$1240,9,0)*($C$5-INT($C$5))+VLOOKUP(INT($C$5),Tablas!$G$9:$O$124,9,0)*(INT($C$5)+1-$C$5)))</f>
        <v>0.67993276908972566</v>
      </c>
      <c r="G283" s="97">
        <f ca="1">IF($C$4="Hombre",(+VLOOKUP(INT(D283)+1,Tablas!$G$9:$K$1240,5,0)*(D283-INT(D283))+VLOOKUP(INT(D283),Tablas!$G$9:$K$1240,5,0)*(INT(D283)+1-D283)),+VLOOKUP(INT(D283)+1,Tablas!$G$9:$O$1240,9,0)*(D283-INT(D283))+VLOOKUP(INT(D283),Tablas!$G$9:$O$1240,9,0)*(INT(D283)+1-D283))</f>
        <v>627794.07019029849</v>
      </c>
      <c r="H283" s="105">
        <f t="shared" ca="1" si="34"/>
        <v>1</v>
      </c>
      <c r="I283" s="106">
        <f t="shared" ca="1" si="35"/>
        <v>4.0684149751325116E-2</v>
      </c>
      <c r="J283" s="106">
        <f t="shared" ca="1" si="39"/>
        <v>3.4872128358278673E-2</v>
      </c>
      <c r="K283" s="105">
        <f t="shared" ca="1" si="36"/>
        <v>0.67993276908972566</v>
      </c>
      <c r="L283" s="75"/>
    </row>
    <row r="284" spans="2:12">
      <c r="B284" s="101">
        <f t="shared" ca="1" si="37"/>
        <v>60908</v>
      </c>
      <c r="C284" s="101">
        <f t="shared" ca="1" si="38"/>
        <v>60938</v>
      </c>
      <c r="D284" s="102">
        <f t="shared" ca="1" si="32"/>
        <v>89.333333333333329</v>
      </c>
      <c r="E284" s="103">
        <f t="shared" ca="1" si="33"/>
        <v>0.71711981546770243</v>
      </c>
      <c r="F284" s="104">
        <f ca="1">IF($C$4="Hombre",(+VLOOKUP(INT(D284)+1,Tablas!$G$9:$K$1240,5,0)*(D284-INT(D284))+VLOOKUP(INT(D284),Tablas!$G$9:$K$1240,5,0)*(INT(D284)+1-D284))/(VLOOKUP(INT($C$5)+1,Tablas!$G$9:$K$1240,5,0)*($C$5-INT($C$5))+VLOOKUP(INT($C$5),Tablas!$G$9:$K$124,5,0)*(INT($C$5)+1-$C$5)),(+VLOOKUP(INT(D284)+1,Tablas!$G$9:$O$1240,9,0)*(D284-INT(D284))+VLOOKUP(INT(D284),Tablas!$G$9:$O$1240,9,0)*(INT(D284)+1-D284))/(VLOOKUP(INT($C$5)+1,Tablas!$G$9:$O$1240,9,0)*($C$5-INT($C$5))+VLOOKUP(INT($C$5),Tablas!$G$9:$O$124,9,0)*(INT($C$5)+1-$C$5)))</f>
        <v>0.67680536987214657</v>
      </c>
      <c r="G284" s="97">
        <f ca="1">IF($C$4="Hombre",(+VLOOKUP(INT(D284)+1,Tablas!$G$9:$K$1240,5,0)*(D284-INT(D284))+VLOOKUP(INT(D284),Tablas!$G$9:$K$1240,5,0)*(INT(D284)+1-D284)),+VLOOKUP(INT(D284)+1,Tablas!$G$9:$O$1240,9,0)*(D284-INT(D284))+VLOOKUP(INT(D284),Tablas!$G$9:$O$1240,9,0)*(INT(D284)+1-D284))</f>
        <v>624906.48663326178</v>
      </c>
      <c r="H284" s="105">
        <f t="shared" ca="1" si="34"/>
        <v>1</v>
      </c>
      <c r="I284" s="106">
        <f t="shared" ca="1" si="35"/>
        <v>4.044587849585532E-2</v>
      </c>
      <c r="J284" s="106">
        <f t="shared" ca="1" si="39"/>
        <v>3.4667895853590272E-2</v>
      </c>
      <c r="K284" s="105">
        <f t="shared" ca="1" si="36"/>
        <v>0.67680536987214657</v>
      </c>
      <c r="L284" s="75"/>
    </row>
    <row r="285" spans="2:12">
      <c r="B285" s="101">
        <f t="shared" ca="1" si="37"/>
        <v>60939</v>
      </c>
      <c r="C285" s="101">
        <f t="shared" ca="1" si="38"/>
        <v>60968</v>
      </c>
      <c r="D285" s="102">
        <f t="shared" ca="1" si="32"/>
        <v>89.4154688569473</v>
      </c>
      <c r="E285" s="103">
        <f t="shared" ca="1" si="33"/>
        <v>0.71624339711963203</v>
      </c>
      <c r="F285" s="104">
        <f ca="1">IF($C$4="Hombre",(+VLOOKUP(INT(D285)+1,Tablas!$G$9:$K$1240,5,0)*(D285-INT(D285))+VLOOKUP(INT(D285),Tablas!$G$9:$K$1240,5,0)*(INT(D285)+1-D285))/(VLOOKUP(INT($C$5)+1,Tablas!$G$9:$K$1240,5,0)*($C$5-INT($C$5))+VLOOKUP(INT($C$5),Tablas!$G$9:$K$124,5,0)*(INT($C$5)+1-$C$5)),(+VLOOKUP(INT(D285)+1,Tablas!$G$9:$O$1240,9,0)*(D285-INT(D285))+VLOOKUP(INT(D285),Tablas!$G$9:$O$1240,9,0)*(INT(D285)+1-D285))/(VLOOKUP(INT($C$5)+1,Tablas!$G$9:$O$1240,9,0)*($C$5-INT($C$5))+VLOOKUP(INT($C$5),Tablas!$G$9:$O$124,9,0)*(INT($C$5)+1-$C$5)))</f>
        <v>0.67377885450029529</v>
      </c>
      <c r="G285" s="97">
        <f ca="1">IF($C$4="Hombre",(+VLOOKUP(INT(D285)+1,Tablas!$G$9:$K$1240,5,0)*(D285-INT(D285))+VLOOKUP(INT(D285),Tablas!$G$9:$K$1240,5,0)*(INT(D285)+1-D285)),+VLOOKUP(INT(D285)+1,Tablas!$G$9:$O$1240,9,0)*(D285-INT(D285))+VLOOKUP(INT(D285),Tablas!$G$9:$O$1240,9,0)*(INT(D285)+1-D285))</f>
        <v>622112.05093290308</v>
      </c>
      <c r="H285" s="105">
        <f t="shared" ca="1" si="34"/>
        <v>1</v>
      </c>
      <c r="I285" s="106">
        <f t="shared" ca="1" si="35"/>
        <v>4.0215804637888812E-2</v>
      </c>
      <c r="J285" s="106">
        <f t="shared" ca="1" si="39"/>
        <v>6.8941379379237958E-2</v>
      </c>
      <c r="K285" s="105">
        <f t="shared" ca="1" si="36"/>
        <v>0.67377885450029529</v>
      </c>
      <c r="L285" s="75"/>
    </row>
    <row r="286" spans="2:12">
      <c r="B286" s="101">
        <f t="shared" ca="1" si="37"/>
        <v>60969</v>
      </c>
      <c r="C286" s="101">
        <f t="shared" ca="1" si="38"/>
        <v>60999</v>
      </c>
      <c r="D286" s="102">
        <f t="shared" ca="1" si="32"/>
        <v>89.500342231348398</v>
      </c>
      <c r="E286" s="103">
        <f t="shared" ca="1" si="33"/>
        <v>0.7153388900644535</v>
      </c>
      <c r="F286" s="104">
        <f ca="1">IF($C$4="Hombre",(+VLOOKUP(INT(D286)+1,Tablas!$G$9:$K$1240,5,0)*(D286-INT(D286))+VLOOKUP(INT(D286),Tablas!$G$9:$K$1240,5,0)*(INT(D286)+1-D286))/(VLOOKUP(INT($C$5)+1,Tablas!$G$9:$K$1240,5,0)*($C$5-INT($C$5))+VLOOKUP(INT($C$5),Tablas!$G$9:$K$124,5,0)*(INT($C$5)+1-$C$5)),(+VLOOKUP(INT(D286)+1,Tablas!$G$9:$O$1240,9,0)*(D286-INT(D286))+VLOOKUP(INT(D286),Tablas!$G$9:$O$1240,9,0)*(INT(D286)+1-D286))/(VLOOKUP(INT($C$5)+1,Tablas!$G$9:$O$1240,9,0)*($C$5-INT($C$5))+VLOOKUP(INT($C$5),Tablas!$G$9:$O$124,9,0)*(INT($C$5)+1-$C$5)))</f>
        <v>0.67065145528271564</v>
      </c>
      <c r="G286" s="97">
        <f ca="1">IF($C$4="Hombre",(+VLOOKUP(INT(D286)+1,Tablas!$G$9:$K$1240,5,0)*(D286-INT(D286))+VLOOKUP(INT(D286),Tablas!$G$9:$K$1240,5,0)*(INT(D286)+1-D286)),+VLOOKUP(INT(D286)+1,Tablas!$G$9:$O$1240,9,0)*(D286-INT(D286))+VLOOKUP(INT(D286),Tablas!$G$9:$O$1240,9,0)*(INT(D286)+1-D286))</f>
        <v>619224.4673758659</v>
      </c>
      <c r="H286" s="105">
        <f t="shared" ca="1" si="34"/>
        <v>1</v>
      </c>
      <c r="I286" s="106">
        <f t="shared" ca="1" si="35"/>
        <v>3.9978588970170689E-2</v>
      </c>
      <c r="J286" s="106">
        <f t="shared" ca="1" si="39"/>
        <v>3.4267361974432017E-2</v>
      </c>
      <c r="K286" s="105">
        <f t="shared" ca="1" si="36"/>
        <v>0.67065145528271564</v>
      </c>
      <c r="L286" s="75"/>
    </row>
    <row r="287" spans="2:12">
      <c r="B287" s="101">
        <f t="shared" ca="1" si="37"/>
        <v>61000</v>
      </c>
      <c r="C287" s="101">
        <f t="shared" ca="1" si="38"/>
        <v>61030</v>
      </c>
      <c r="D287" s="102">
        <f t="shared" ca="1" si="32"/>
        <v>89.585215605749482</v>
      </c>
      <c r="E287" s="103">
        <f t="shared" ca="1" si="33"/>
        <v>0.71443552526484944</v>
      </c>
      <c r="F287" s="104">
        <f ca="1">IF($C$4="Hombre",(+VLOOKUP(INT(D287)+1,Tablas!$G$9:$K$1240,5,0)*(D287-INT(D287))+VLOOKUP(INT(D287),Tablas!$G$9:$K$1240,5,0)*(INT(D287)+1-D287))/(VLOOKUP(INT($C$5)+1,Tablas!$G$9:$K$1240,5,0)*($C$5-INT($C$5))+VLOOKUP(INT($C$5),Tablas!$G$9:$K$124,5,0)*(INT($C$5)+1-$C$5)),(+VLOOKUP(INT(D287)+1,Tablas!$G$9:$O$1240,9,0)*(D287-INT(D287))+VLOOKUP(INT(D287),Tablas!$G$9:$O$1240,9,0)*(INT(D287)+1-D287))/(VLOOKUP(INT($C$5)+1,Tablas!$G$9:$O$1240,9,0)*($C$5-INT($C$5))+VLOOKUP(INT($C$5),Tablas!$G$9:$O$124,9,0)*(INT($C$5)+1-$C$5)))</f>
        <v>0.66752405606513654</v>
      </c>
      <c r="G287" s="97">
        <f ca="1">IF($C$4="Hombre",(+VLOOKUP(INT(D287)+1,Tablas!$G$9:$K$1240,5,0)*(D287-INT(D287))+VLOOKUP(INT(D287),Tablas!$G$9:$K$1240,5,0)*(INT(D287)+1-D287)),+VLOOKUP(INT(D287)+1,Tablas!$G$9:$O$1240,9,0)*(D287-INT(D287))+VLOOKUP(INT(D287),Tablas!$G$9:$O$1240,9,0)*(INT(D287)+1-D287))</f>
        <v>616336.8838188292</v>
      </c>
      <c r="H287" s="105">
        <f t="shared" ca="1" si="34"/>
        <v>1</v>
      </c>
      <c r="I287" s="106">
        <f t="shared" ca="1" si="35"/>
        <v>3.9741908301818216E-2</v>
      </c>
      <c r="J287" s="106">
        <f t="shared" ca="1" si="39"/>
        <v>3.4064492830129897E-2</v>
      </c>
      <c r="K287" s="105">
        <f t="shared" ca="1" si="36"/>
        <v>0.66752405606513654</v>
      </c>
      <c r="L287" s="75"/>
    </row>
    <row r="288" spans="2:12">
      <c r="B288" s="101">
        <f t="shared" ca="1" si="37"/>
        <v>61031</v>
      </c>
      <c r="C288" s="101">
        <f t="shared" ca="1" si="38"/>
        <v>61058</v>
      </c>
      <c r="D288" s="102">
        <f t="shared" ca="1" si="32"/>
        <v>89.661875427789184</v>
      </c>
      <c r="E288" s="103">
        <f t="shared" ca="1" si="33"/>
        <v>0.71362056345834202</v>
      </c>
      <c r="F288" s="104">
        <f ca="1">IF($C$4="Hombre",(+VLOOKUP(INT(D288)+1,Tablas!$G$9:$K$1240,5,0)*(D288-INT(D288))+VLOOKUP(INT(D288),Tablas!$G$9:$K$1240,5,0)*(INT(D288)+1-D288))/(VLOOKUP(INT($C$5)+1,Tablas!$G$9:$K$1240,5,0)*($C$5-INT($C$5))+VLOOKUP(INT($C$5),Tablas!$G$9:$K$124,5,0)*(INT($C$5)+1-$C$5)),(+VLOOKUP(INT(D288)+1,Tablas!$G$9:$O$1240,9,0)*(D288-INT(D288))+VLOOKUP(INT(D288),Tablas!$G$9:$O$1240,9,0)*(INT(D288)+1-D288))/(VLOOKUP(INT($C$5)+1,Tablas!$G$9:$O$1240,9,0)*($C$5-INT($C$5))+VLOOKUP(INT($C$5),Tablas!$G$9:$O$124,9,0)*(INT($C$5)+1-$C$5)))</f>
        <v>0.664699308384742</v>
      </c>
      <c r="G288" s="97">
        <f ca="1">IF($C$4="Hombre",(+VLOOKUP(INT(D288)+1,Tablas!$G$9:$K$1240,5,0)*(D288-INT(D288))+VLOOKUP(INT(D288),Tablas!$G$9:$K$1240,5,0)*(INT(D288)+1-D288)),+VLOOKUP(INT(D288)+1,Tablas!$G$9:$O$1240,9,0)*(D288-INT(D288))+VLOOKUP(INT(D288),Tablas!$G$9:$O$1240,9,0)*(INT(D288)+1-D288))</f>
        <v>613728.74383182777</v>
      </c>
      <c r="H288" s="105">
        <f t="shared" ca="1" si="34"/>
        <v>1</v>
      </c>
      <c r="I288" s="106">
        <f t="shared" ca="1" si="35"/>
        <v>3.9528591248324148E-2</v>
      </c>
      <c r="J288" s="106">
        <f t="shared" ca="1" si="39"/>
        <v>3.3881649641420701E-2</v>
      </c>
      <c r="K288" s="105">
        <f t="shared" ca="1" si="36"/>
        <v>0.664699308384742</v>
      </c>
      <c r="L288" s="75"/>
    </row>
    <row r="289" spans="2:12">
      <c r="B289" s="101">
        <f t="shared" ca="1" si="37"/>
        <v>61059</v>
      </c>
      <c r="C289" s="101">
        <f t="shared" ca="1" si="38"/>
        <v>61089</v>
      </c>
      <c r="D289" s="102">
        <f t="shared" ca="1" si="32"/>
        <v>89.746748802190282</v>
      </c>
      <c r="E289" s="103">
        <f t="shared" ca="1" si="33"/>
        <v>0.71271936864528784</v>
      </c>
      <c r="F289" s="104">
        <f ca="1">IF($C$4="Hombre",(+VLOOKUP(INT(D289)+1,Tablas!$G$9:$K$1240,5,0)*(D289-INT(D289))+VLOOKUP(INT(D289),Tablas!$G$9:$K$1240,5,0)*(INT(D289)+1-D289))/(VLOOKUP(INT($C$5)+1,Tablas!$G$9:$K$1240,5,0)*($C$5-INT($C$5))+VLOOKUP(INT($C$5),Tablas!$G$9:$K$124,5,0)*(INT($C$5)+1-$C$5)),(+VLOOKUP(INT(D289)+1,Tablas!$G$9:$O$1240,9,0)*(D289-INT(D289))+VLOOKUP(INT(D289),Tablas!$G$9:$O$1240,9,0)*(INT(D289)+1-D289))/(VLOOKUP(INT($C$5)+1,Tablas!$G$9:$O$1240,9,0)*($C$5-INT($C$5))+VLOOKUP(INT($C$5),Tablas!$G$9:$O$124,9,0)*(INT($C$5)+1-$C$5)))</f>
        <v>0.66157190916716235</v>
      </c>
      <c r="G289" s="97">
        <f ca="1">IF($C$4="Hombre",(+VLOOKUP(INT(D289)+1,Tablas!$G$9:$K$1240,5,0)*(D289-INT(D289))+VLOOKUP(INT(D289),Tablas!$G$9:$K$1240,5,0)*(INT(D289)+1-D289)),+VLOOKUP(INT(D289)+1,Tablas!$G$9:$O$1240,9,0)*(D289-INT(D289))+VLOOKUP(INT(D289),Tablas!$G$9:$O$1240,9,0)*(INT(D289)+1-D289))</f>
        <v>610841.1602747906</v>
      </c>
      <c r="H289" s="105">
        <f t="shared" ca="1" si="34"/>
        <v>1</v>
      </c>
      <c r="I289" s="106">
        <f t="shared" ca="1" si="35"/>
        <v>3.9292926117923135E-2</v>
      </c>
      <c r="J289" s="106">
        <f t="shared" ca="1" si="39"/>
        <v>3.3679650958219828E-2</v>
      </c>
      <c r="K289" s="105">
        <f t="shared" ca="1" si="36"/>
        <v>0.66157190916716235</v>
      </c>
      <c r="L289" s="75"/>
    </row>
    <row r="290" spans="2:12">
      <c r="B290" s="101">
        <f t="shared" ca="1" si="37"/>
        <v>61090</v>
      </c>
      <c r="C290" s="101">
        <f t="shared" ca="1" si="38"/>
        <v>61119</v>
      </c>
      <c r="D290" s="102">
        <f t="shared" ca="1" si="32"/>
        <v>89.828884325804239</v>
      </c>
      <c r="E290" s="103">
        <f t="shared" ca="1" si="33"/>
        <v>0.7118483282441822</v>
      </c>
      <c r="F290" s="104">
        <f ca="1">IF($C$4="Hombre",(+VLOOKUP(INT(D290)+1,Tablas!$G$9:$K$1240,5,0)*(D290-INT(D290))+VLOOKUP(INT(D290),Tablas!$G$9:$K$1240,5,0)*(INT(D290)+1-D290))/(VLOOKUP(INT($C$5)+1,Tablas!$G$9:$K$1240,5,0)*($C$5-INT($C$5))+VLOOKUP(INT($C$5),Tablas!$G$9:$K$124,5,0)*(INT($C$5)+1-$C$5)),(+VLOOKUP(INT(D290)+1,Tablas!$G$9:$O$1240,9,0)*(D290-INT(D290))+VLOOKUP(INT(D290),Tablas!$G$9:$O$1240,9,0)*(INT(D290)+1-D290))/(VLOOKUP(INT($C$5)+1,Tablas!$G$9:$O$1240,9,0)*($C$5-INT($C$5))+VLOOKUP(INT($C$5),Tablas!$G$9:$O$124,9,0)*(INT($C$5)+1-$C$5)))</f>
        <v>0.65854539379531152</v>
      </c>
      <c r="G290" s="97">
        <f ca="1">IF($C$4="Hombre",(+VLOOKUP(INT(D290)+1,Tablas!$G$9:$K$1240,5,0)*(D290-INT(D290))+VLOOKUP(INT(D290),Tablas!$G$9:$K$1240,5,0)*(INT(D290)+1-D290)),+VLOOKUP(INT(D290)+1,Tablas!$G$9:$O$1240,9,0)*(D290-INT(D290))+VLOOKUP(INT(D290),Tablas!$G$9:$O$1240,9,0)*(INT(D290)+1-D290))</f>
        <v>608046.72457443236</v>
      </c>
      <c r="H290" s="105">
        <f t="shared" ca="1" si="34"/>
        <v>1</v>
      </c>
      <c r="I290" s="106">
        <f t="shared" ca="1" si="35"/>
        <v>3.9065369803841593E-2</v>
      </c>
      <c r="J290" s="106">
        <f t="shared" ca="1" si="39"/>
        <v>3.3484602689007083E-2</v>
      </c>
      <c r="K290" s="105">
        <f t="shared" ca="1" si="36"/>
        <v>0.65854539379531152</v>
      </c>
      <c r="L290" s="75"/>
    </row>
    <row r="291" spans="2:12">
      <c r="B291" s="101">
        <f t="shared" ca="1" si="37"/>
        <v>61120</v>
      </c>
      <c r="C291" s="101">
        <f t="shared" ca="1" si="38"/>
        <v>61150</v>
      </c>
      <c r="D291" s="102">
        <f t="shared" ca="1" si="32"/>
        <v>89.913757700205338</v>
      </c>
      <c r="E291" s="103">
        <f t="shared" ca="1" si="33"/>
        <v>0.71094937149609461</v>
      </c>
      <c r="F291" s="104">
        <f ca="1">IF($C$4="Hombre",(+VLOOKUP(INT(D291)+1,Tablas!$G$9:$K$1240,5,0)*(D291-INT(D291))+VLOOKUP(INT(D291),Tablas!$G$9:$K$1240,5,0)*(INT(D291)+1-D291))/(VLOOKUP(INT($C$5)+1,Tablas!$G$9:$K$1240,5,0)*($C$5-INT($C$5))+VLOOKUP(INT($C$5),Tablas!$G$9:$K$124,5,0)*(INT($C$5)+1-$C$5)),(+VLOOKUP(INT(D291)+1,Tablas!$G$9:$O$1240,9,0)*(D291-INT(D291))+VLOOKUP(INT(D291),Tablas!$G$9:$O$1240,9,0)*(INT(D291)+1-D291))/(VLOOKUP(INT($C$5)+1,Tablas!$G$9:$O$1240,9,0)*($C$5-INT($C$5))+VLOOKUP(INT($C$5),Tablas!$G$9:$O$124,9,0)*(INT($C$5)+1-$C$5)))</f>
        <v>0.65541799457773176</v>
      </c>
      <c r="G291" s="97">
        <f ca="1">IF($C$4="Hombre",(+VLOOKUP(INT(D291)+1,Tablas!$G$9:$K$1240,5,0)*(D291-INT(D291))+VLOOKUP(INT(D291),Tablas!$G$9:$K$1240,5,0)*(INT(D291)+1-D291)),+VLOOKUP(INT(D291)+1,Tablas!$G$9:$O$1240,9,0)*(D291-INT(D291))+VLOOKUP(INT(D291),Tablas!$G$9:$O$1240,9,0)*(INT(D291)+1-D291))</f>
        <v>605159.14101739507</v>
      </c>
      <c r="H291" s="105">
        <f t="shared" ca="1" si="34"/>
        <v>1</v>
      </c>
      <c r="I291" s="106">
        <f t="shared" ca="1" si="35"/>
        <v>3.8830750942689091E-2</v>
      </c>
      <c r="J291" s="106">
        <f t="shared" ca="1" si="39"/>
        <v>6.6567001616038443E-2</v>
      </c>
      <c r="K291" s="105">
        <f t="shared" ca="1" si="36"/>
        <v>0.65541799457773176</v>
      </c>
      <c r="L291" s="75"/>
    </row>
    <row r="292" spans="2:12">
      <c r="B292" s="101">
        <f t="shared" ca="1" si="37"/>
        <v>61151</v>
      </c>
      <c r="C292" s="101">
        <f t="shared" ca="1" si="38"/>
        <v>61180</v>
      </c>
      <c r="D292" s="102">
        <f t="shared" ca="1" si="32"/>
        <v>89.995893223819309</v>
      </c>
      <c r="E292" s="103">
        <f t="shared" ca="1" si="33"/>
        <v>0.71008049427322506</v>
      </c>
      <c r="F292" s="104">
        <f ca="1">IF($C$4="Hombre",(+VLOOKUP(INT(D292)+1,Tablas!$G$9:$K$1240,5,0)*(D292-INT(D292))+VLOOKUP(INT(D292),Tablas!$G$9:$K$1240,5,0)*(INT(D292)+1-D292))/(VLOOKUP(INT($C$5)+1,Tablas!$G$9:$K$1240,5,0)*($C$5-INT($C$5))+VLOOKUP(INT($C$5),Tablas!$G$9:$K$124,5,0)*(INT($C$5)+1-$C$5)),(+VLOOKUP(INT(D292)+1,Tablas!$G$9:$O$1240,9,0)*(D292-INT(D292))+VLOOKUP(INT(D292),Tablas!$G$9:$O$1240,9,0)*(INT(D292)+1-D292))/(VLOOKUP(INT($C$5)+1,Tablas!$G$9:$O$1240,9,0)*($C$5-INT($C$5))+VLOOKUP(INT($C$5),Tablas!$G$9:$O$124,9,0)*(INT($C$5)+1-$C$5)))</f>
        <v>0.65239147920588048</v>
      </c>
      <c r="G292" s="97">
        <f ca="1">IF($C$4="Hombre",(+VLOOKUP(INT(D292)+1,Tablas!$G$9:$K$1240,5,0)*(D292-INT(D292))+VLOOKUP(INT(D292),Tablas!$G$9:$K$1240,5,0)*(INT(D292)+1-D292)),+VLOOKUP(INT(D292)+1,Tablas!$G$9:$O$1240,9,0)*(D292-INT(D292))+VLOOKUP(INT(D292),Tablas!$G$9:$O$1240,9,0)*(INT(D292)+1-D292))</f>
        <v>602364.70531703637</v>
      </c>
      <c r="H292" s="105">
        <f t="shared" ca="1" si="34"/>
        <v>1</v>
      </c>
      <c r="I292" s="106">
        <f t="shared" ca="1" si="35"/>
        <v>3.860420533451267E-2</v>
      </c>
      <c r="J292" s="106">
        <f t="shared" ca="1" si="39"/>
        <v>3.3089318858153714E-2</v>
      </c>
      <c r="K292" s="105">
        <f t="shared" ca="1" si="36"/>
        <v>0.65239147920588048</v>
      </c>
      <c r="L292" s="75"/>
    </row>
    <row r="293" spans="2:12">
      <c r="B293" s="101">
        <f t="shared" ca="1" si="37"/>
        <v>61181</v>
      </c>
      <c r="C293" s="101">
        <f t="shared" ca="1" si="38"/>
        <v>61211</v>
      </c>
      <c r="D293" s="102">
        <f t="shared" ca="1" si="32"/>
        <v>90.080766598220393</v>
      </c>
      <c r="E293" s="103">
        <f t="shared" ca="1" si="33"/>
        <v>0.70918377003199984</v>
      </c>
      <c r="F293" s="104">
        <f ca="1">IF($C$4="Hombre",(+VLOOKUP(INT(D293)+1,Tablas!$G$9:$K$1240,5,0)*(D293-INT(D293))+VLOOKUP(INT(D293),Tablas!$G$9:$K$1240,5,0)*(INT(D293)+1-D293))/(VLOOKUP(INT($C$5)+1,Tablas!$G$9:$K$1240,5,0)*($C$5-INT($C$5))+VLOOKUP(INT($C$5),Tablas!$G$9:$K$124,5,0)*(INT($C$5)+1-$C$5)),(+VLOOKUP(INT(D293)+1,Tablas!$G$9:$O$1240,9,0)*(D293-INT(D293))+VLOOKUP(INT(D293),Tablas!$G$9:$O$1240,9,0)*(INT(D293)+1-D293))/(VLOOKUP(INT($C$5)+1,Tablas!$G$9:$O$1240,9,0)*($C$5-INT($C$5))+VLOOKUP(INT($C$5),Tablas!$G$9:$O$124,9,0)*(INT($C$5)+1-$C$5)))</f>
        <v>0.649118012576412</v>
      </c>
      <c r="G293" s="97">
        <f ca="1">IF($C$4="Hombre",(+VLOOKUP(INT(D293)+1,Tablas!$G$9:$K$1240,5,0)*(D293-INT(D293))+VLOOKUP(INT(D293),Tablas!$G$9:$K$1240,5,0)*(INT(D293)+1-D293)),+VLOOKUP(INT(D293)+1,Tablas!$G$9:$O$1240,9,0)*(D293-INT(D293))+VLOOKUP(INT(D293),Tablas!$G$9:$O$1240,9,0)*(INT(D293)+1-D293))</f>
        <v>599342.25510964694</v>
      </c>
      <c r="H293" s="105">
        <f t="shared" ca="1" si="34"/>
        <v>1</v>
      </c>
      <c r="I293" s="106">
        <f t="shared" ca="1" si="35"/>
        <v>3.8361996612884912E-2</v>
      </c>
      <c r="J293" s="106">
        <f t="shared" ca="1" si="39"/>
        <v>3.2881711382472777E-2</v>
      </c>
      <c r="K293" s="105">
        <f t="shared" ca="1" si="36"/>
        <v>0.649118012576412</v>
      </c>
      <c r="L293" s="75"/>
    </row>
    <row r="294" spans="2:12">
      <c r="B294" s="101">
        <f t="shared" ca="1" si="37"/>
        <v>61212</v>
      </c>
      <c r="C294" s="101">
        <f t="shared" ca="1" si="38"/>
        <v>61242</v>
      </c>
      <c r="D294" s="102">
        <f t="shared" ca="1" si="32"/>
        <v>90.165639972621491</v>
      </c>
      <c r="E294" s="103">
        <f t="shared" ca="1" si="33"/>
        <v>0.70828817821783208</v>
      </c>
      <c r="F294" s="104">
        <f ca="1">IF($C$4="Hombre",(+VLOOKUP(INT(D294)+1,Tablas!$G$9:$K$1240,5,0)*(D294-INT(D294))+VLOOKUP(INT(D294),Tablas!$G$9:$K$1240,5,0)*(INT(D294)+1-D294))/(VLOOKUP(INT($C$5)+1,Tablas!$G$9:$K$1240,5,0)*($C$5-INT($C$5))+VLOOKUP(INT($C$5),Tablas!$G$9:$K$124,5,0)*(INT($C$5)+1-$C$5)),(+VLOOKUP(INT(D294)+1,Tablas!$G$9:$O$1240,9,0)*(D294-INT(D294))+VLOOKUP(INT(D294),Tablas!$G$9:$O$1240,9,0)*(INT(D294)+1-D294))/(VLOOKUP(INT($C$5)+1,Tablas!$G$9:$O$1240,9,0)*($C$5-INT($C$5))+VLOOKUP(INT($C$5),Tablas!$G$9:$O$124,9,0)*(INT($C$5)+1-$C$5)))</f>
        <v>0.64583711879040617</v>
      </c>
      <c r="G294" s="97">
        <f ca="1">IF($C$4="Hombre",(+VLOOKUP(INT(D294)+1,Tablas!$G$9:$K$1240,5,0)*(D294-INT(D294))+VLOOKUP(INT(D294),Tablas!$G$9:$K$1240,5,0)*(INT(D294)+1-D294)),+VLOOKUP(INT(D294)+1,Tablas!$G$9:$O$1240,9,0)*(D294-INT(D294))+VLOOKUP(INT(D294),Tablas!$G$9:$O$1240,9,0)*(INT(D294)+1-D294))</f>
        <v>596312.9472759678</v>
      </c>
      <c r="H294" s="105">
        <f t="shared" ca="1" si="34"/>
        <v>1</v>
      </c>
      <c r="I294" s="106">
        <f t="shared" ca="1" si="35"/>
        <v>3.8119899691125864E-2</v>
      </c>
      <c r="J294" s="106">
        <f t="shared" ca="1" si="39"/>
        <v>3.2674199735250743E-2</v>
      </c>
      <c r="K294" s="105">
        <f t="shared" ca="1" si="36"/>
        <v>0.64583711879040617</v>
      </c>
      <c r="L294" s="75"/>
    </row>
    <row r="295" spans="2:12">
      <c r="B295" s="101">
        <f t="shared" ca="1" si="37"/>
        <v>61243</v>
      </c>
      <c r="C295" s="101">
        <f t="shared" ca="1" si="38"/>
        <v>61272</v>
      </c>
      <c r="D295" s="102">
        <f t="shared" ca="1" si="32"/>
        <v>90.247775496235448</v>
      </c>
      <c r="E295" s="103">
        <f t="shared" ca="1" si="33"/>
        <v>0.707422553336575</v>
      </c>
      <c r="F295" s="104">
        <f ca="1">IF($C$4="Hombre",(+VLOOKUP(INT(D295)+1,Tablas!$G$9:$K$1240,5,0)*(D295-INT(D295))+VLOOKUP(INT(D295),Tablas!$G$9:$K$1240,5,0)*(INT(D295)+1-D295))/(VLOOKUP(INT($C$5)+1,Tablas!$G$9:$K$1240,5,0)*($C$5-INT($C$5))+VLOOKUP(INT($C$5),Tablas!$G$9:$K$124,5,0)*(INT($C$5)+1-$C$5)),(+VLOOKUP(INT(D295)+1,Tablas!$G$9:$O$1240,9,0)*(D295-INT(D295))+VLOOKUP(INT(D295),Tablas!$G$9:$O$1240,9,0)*(INT(D295)+1-D295))/(VLOOKUP(INT($C$5)+1,Tablas!$G$9:$O$1240,9,0)*($C$5-INT($C$5))+VLOOKUP(INT($C$5),Tablas!$G$9:$O$124,9,0)*(INT($C$5)+1-$C$5)))</f>
        <v>0.64266206028782036</v>
      </c>
      <c r="G295" s="97">
        <f ca="1">IF($C$4="Hombre",(+VLOOKUP(INT(D295)+1,Tablas!$G$9:$K$1240,5,0)*(D295-INT(D295))+VLOOKUP(INT(D295),Tablas!$G$9:$K$1240,5,0)*(INT(D295)+1-D295)),+VLOOKUP(INT(D295)+1,Tablas!$G$9:$O$1240,9,0)*(D295-INT(D295))+VLOOKUP(INT(D295),Tablas!$G$9:$O$1240,9,0)*(INT(D295)+1-D295))</f>
        <v>593381.35904982709</v>
      </c>
      <c r="H295" s="105">
        <f t="shared" ca="1" si="34"/>
        <v>1</v>
      </c>
      <c r="I295" s="106">
        <f t="shared" ca="1" si="35"/>
        <v>3.7886136301779484E-2</v>
      </c>
      <c r="J295" s="106">
        <f t="shared" ca="1" si="39"/>
        <v>3.2473831115810987E-2</v>
      </c>
      <c r="K295" s="105">
        <f t="shared" ca="1" si="36"/>
        <v>0.64266206028782036</v>
      </c>
      <c r="L295" s="75"/>
    </row>
    <row r="296" spans="2:12">
      <c r="B296" s="101">
        <f t="shared" ca="1" si="37"/>
        <v>61273</v>
      </c>
      <c r="C296" s="101">
        <f t="shared" ca="1" si="38"/>
        <v>61303</v>
      </c>
      <c r="D296" s="102">
        <f t="shared" ca="1" si="32"/>
        <v>90.332648870636547</v>
      </c>
      <c r="E296" s="103">
        <f t="shared" ca="1" si="33"/>
        <v>0.70652918567265155</v>
      </c>
      <c r="F296" s="104">
        <f ca="1">IF($C$4="Hombre",(+VLOOKUP(INT(D296)+1,Tablas!$G$9:$K$1240,5,0)*(D296-INT(D296))+VLOOKUP(INT(D296),Tablas!$G$9:$K$1240,5,0)*(INT(D296)+1-D296))/(VLOOKUP(INT($C$5)+1,Tablas!$G$9:$K$1240,5,0)*($C$5-INT($C$5))+VLOOKUP(INT($C$5),Tablas!$G$9:$K$124,5,0)*(INT($C$5)+1-$C$5)),(+VLOOKUP(INT(D296)+1,Tablas!$G$9:$O$1240,9,0)*(D296-INT(D296))+VLOOKUP(INT(D296),Tablas!$G$9:$O$1240,9,0)*(INT(D296)+1-D296))/(VLOOKUP(INT($C$5)+1,Tablas!$G$9:$O$1240,9,0)*($C$5-INT($C$5))+VLOOKUP(INT($C$5),Tablas!$G$9:$O$124,9,0)*(INT($C$5)+1-$C$5)))</f>
        <v>0.63938116650181454</v>
      </c>
      <c r="G296" s="97">
        <f ca="1">IF($C$4="Hombre",(+VLOOKUP(INT(D296)+1,Tablas!$G$9:$K$1240,5,0)*(D296-INT(D296))+VLOOKUP(INT(D296),Tablas!$G$9:$K$1240,5,0)*(INT(D296)+1-D296)),+VLOOKUP(INT(D296)+1,Tablas!$G$9:$O$1240,9,0)*(D296-INT(D296))+VLOOKUP(INT(D296),Tablas!$G$9:$O$1240,9,0)*(INT(D296)+1-D296))</f>
        <v>590352.05121614796</v>
      </c>
      <c r="H296" s="105">
        <f t="shared" ca="1" si="34"/>
        <v>1</v>
      </c>
      <c r="I296" s="106">
        <f t="shared" ca="1" si="35"/>
        <v>3.7645121241913083E-2</v>
      </c>
      <c r="J296" s="106">
        <f t="shared" ca="1" si="39"/>
        <v>3.2267246778782642E-2</v>
      </c>
      <c r="K296" s="105">
        <f t="shared" ca="1" si="36"/>
        <v>0.63938116650181454</v>
      </c>
      <c r="L296" s="75"/>
    </row>
    <row r="297" spans="2:12">
      <c r="B297" s="101">
        <f t="shared" ca="1" si="37"/>
        <v>61304</v>
      </c>
      <c r="C297" s="101">
        <f t="shared" ca="1" si="38"/>
        <v>61333</v>
      </c>
      <c r="D297" s="102">
        <f t="shared" ca="1" si="32"/>
        <v>90.414784394250518</v>
      </c>
      <c r="E297" s="103">
        <f t="shared" ca="1" si="33"/>
        <v>0.70566571052050164</v>
      </c>
      <c r="F297" s="104">
        <f ca="1">IF($C$4="Hombre",(+VLOOKUP(INT(D297)+1,Tablas!$G$9:$K$1240,5,0)*(D297-INT(D297))+VLOOKUP(INT(D297),Tablas!$G$9:$K$1240,5,0)*(INT(D297)+1-D297))/(VLOOKUP(INT($C$5)+1,Tablas!$G$9:$K$1240,5,0)*($C$5-INT($C$5))+VLOOKUP(INT($C$5),Tablas!$G$9:$K$124,5,0)*(INT($C$5)+1-$C$5)),(+VLOOKUP(INT(D297)+1,Tablas!$G$9:$O$1240,9,0)*(D297-INT(D297))+VLOOKUP(INT(D297),Tablas!$G$9:$O$1240,9,0)*(INT(D297)+1-D297))/(VLOOKUP(INT($C$5)+1,Tablas!$G$9:$O$1240,9,0)*($C$5-INT($C$5))+VLOOKUP(INT($C$5),Tablas!$G$9:$O$124,9,0)*(INT($C$5)+1-$C$5)))</f>
        <v>0.63620610799922794</v>
      </c>
      <c r="G297" s="97">
        <f ca="1">IF($C$4="Hombre",(+VLOOKUP(INT(D297)+1,Tablas!$G$9:$K$1240,5,0)*(D297-INT(D297))+VLOOKUP(INT(D297),Tablas!$G$9:$K$1240,5,0)*(INT(D297)+1-D297)),+VLOOKUP(INT(D297)+1,Tablas!$G$9:$O$1240,9,0)*(D297-INT(D297))+VLOOKUP(INT(D297),Tablas!$G$9:$O$1240,9,0)*(INT(D297)+1-D297))</f>
        <v>587420.46299000666</v>
      </c>
      <c r="H297" s="105">
        <f t="shared" ca="1" si="34"/>
        <v>1</v>
      </c>
      <c r="I297" s="106">
        <f t="shared" ca="1" si="35"/>
        <v>3.7412402936563179E-2</v>
      </c>
      <c r="J297" s="106">
        <f t="shared" ca="1" si="39"/>
        <v>6.4135547891251171E-2</v>
      </c>
      <c r="K297" s="105">
        <f t="shared" ca="1" si="36"/>
        <v>0.63620610799922794</v>
      </c>
      <c r="L297" s="75"/>
    </row>
    <row r="298" spans="2:12">
      <c r="B298" s="101">
        <f t="shared" ca="1" si="37"/>
        <v>61334</v>
      </c>
      <c r="C298" s="101">
        <f t="shared" ca="1" si="38"/>
        <v>61364</v>
      </c>
      <c r="D298" s="102">
        <f t="shared" ca="1" si="32"/>
        <v>90.499657768651602</v>
      </c>
      <c r="E298" s="103">
        <f t="shared" ca="1" si="33"/>
        <v>0.70477456148327478</v>
      </c>
      <c r="F298" s="104">
        <f ca="1">IF($C$4="Hombre",(+VLOOKUP(INT(D298)+1,Tablas!$G$9:$K$1240,5,0)*(D298-INT(D298))+VLOOKUP(INT(D298),Tablas!$G$9:$K$1240,5,0)*(INT(D298)+1-D298))/(VLOOKUP(INT($C$5)+1,Tablas!$G$9:$K$1240,5,0)*($C$5-INT($C$5))+VLOOKUP(INT($C$5),Tablas!$G$9:$K$124,5,0)*(INT($C$5)+1-$C$5)),(+VLOOKUP(INT(D298)+1,Tablas!$G$9:$O$1240,9,0)*(D298-INT(D298))+VLOOKUP(INT(D298),Tablas!$G$9:$O$1240,9,0)*(INT(D298)+1-D298))/(VLOOKUP(INT($C$5)+1,Tablas!$G$9:$O$1240,9,0)*($C$5-INT($C$5))+VLOOKUP(INT($C$5),Tablas!$G$9:$O$124,9,0)*(INT($C$5)+1-$C$5)))</f>
        <v>0.63292521421322279</v>
      </c>
      <c r="G298" s="97">
        <f ca="1">IF($C$4="Hombre",(+VLOOKUP(INT(D298)+1,Tablas!$G$9:$K$1240,5,0)*(D298-INT(D298))+VLOOKUP(INT(D298),Tablas!$G$9:$K$1240,5,0)*(INT(D298)+1-D298)),+VLOOKUP(INT(D298)+1,Tablas!$G$9:$O$1240,9,0)*(D298-INT(D298))+VLOOKUP(INT(D298),Tablas!$G$9:$O$1240,9,0)*(INT(D298)+1-D298))</f>
        <v>584391.15515632811</v>
      </c>
      <c r="H298" s="105">
        <f t="shared" ca="1" si="34"/>
        <v>1</v>
      </c>
      <c r="I298" s="106">
        <f t="shared" ca="1" si="35"/>
        <v>3.7172465858235984E-2</v>
      </c>
      <c r="J298" s="106">
        <f t="shared" ca="1" si="39"/>
        <v>3.1862113592773703E-2</v>
      </c>
      <c r="K298" s="105">
        <f t="shared" ca="1" si="36"/>
        <v>0.63292521421322279</v>
      </c>
      <c r="L298" s="75"/>
    </row>
    <row r="299" spans="2:12">
      <c r="B299" s="101">
        <f t="shared" ca="1" si="37"/>
        <v>61365</v>
      </c>
      <c r="C299" s="101">
        <f t="shared" ca="1" si="38"/>
        <v>61395</v>
      </c>
      <c r="D299" s="102">
        <f t="shared" ca="1" si="32"/>
        <v>90.5845311430527</v>
      </c>
      <c r="E299" s="103">
        <f t="shared" ca="1" si="33"/>
        <v>0.70388453783246618</v>
      </c>
      <c r="F299" s="104">
        <f ca="1">IF($C$4="Hombre",(+VLOOKUP(INT(D299)+1,Tablas!$G$9:$K$1240,5,0)*(D299-INT(D299))+VLOOKUP(INT(D299),Tablas!$G$9:$K$1240,5,0)*(INT(D299)+1-D299))/(VLOOKUP(INT($C$5)+1,Tablas!$G$9:$K$1240,5,0)*($C$5-INT($C$5))+VLOOKUP(INT($C$5),Tablas!$G$9:$K$124,5,0)*(INT($C$5)+1-$C$5)),(+VLOOKUP(INT(D299)+1,Tablas!$G$9:$O$1240,9,0)*(D299-INT(D299))+VLOOKUP(INT(D299),Tablas!$G$9:$O$1240,9,0)*(INT(D299)+1-D299))/(VLOOKUP(INT($C$5)+1,Tablas!$G$9:$O$1240,9,0)*($C$5-INT($C$5))+VLOOKUP(INT($C$5),Tablas!$G$9:$O$124,9,0)*(INT($C$5)+1-$C$5)))</f>
        <v>0.62964432042721696</v>
      </c>
      <c r="G299" s="97">
        <f ca="1">IF($C$4="Hombre",(+VLOOKUP(INT(D299)+1,Tablas!$G$9:$K$1240,5,0)*(D299-INT(D299))+VLOOKUP(INT(D299),Tablas!$G$9:$K$1240,5,0)*(INT(D299)+1-D299)),+VLOOKUP(INT(D299)+1,Tablas!$G$9:$O$1240,9,0)*(D299-INT(D299))+VLOOKUP(INT(D299),Tablas!$G$9:$O$1240,9,0)*(INT(D299)+1-D299))</f>
        <v>581361.84732264897</v>
      </c>
      <c r="H299" s="105">
        <f t="shared" ca="1" si="34"/>
        <v>1</v>
      </c>
      <c r="I299" s="106">
        <f t="shared" ca="1" si="35"/>
        <v>3.6933075123562406E-2</v>
      </c>
      <c r="J299" s="106">
        <f t="shared" ca="1" si="39"/>
        <v>3.165692153448206E-2</v>
      </c>
      <c r="K299" s="105">
        <f t="shared" ca="1" si="36"/>
        <v>0.62964432042721696</v>
      </c>
      <c r="L299" s="75"/>
    </row>
    <row r="300" spans="2:12">
      <c r="B300" s="101">
        <f t="shared" ca="1" si="37"/>
        <v>61396</v>
      </c>
      <c r="C300" s="101">
        <f t="shared" ca="1" si="38"/>
        <v>61424</v>
      </c>
      <c r="D300" s="102">
        <f t="shared" ca="1" si="32"/>
        <v>90.66392881587953</v>
      </c>
      <c r="E300" s="103">
        <f t="shared" ca="1" si="33"/>
        <v>0.70305295262355338</v>
      </c>
      <c r="F300" s="104">
        <f ca="1">IF($C$4="Hombre",(+VLOOKUP(INT(D300)+1,Tablas!$G$9:$K$1240,5,0)*(D300-INT(D300))+VLOOKUP(INT(D300),Tablas!$G$9:$K$1240,5,0)*(INT(D300)+1-D300))/(VLOOKUP(INT($C$5)+1,Tablas!$G$9:$K$1240,5,0)*($C$5-INT($C$5))+VLOOKUP(INT($C$5),Tablas!$G$9:$K$124,5,0)*(INT($C$5)+1-$C$5)),(+VLOOKUP(INT(D300)+1,Tablas!$G$9:$O$1240,9,0)*(D300-INT(D300))+VLOOKUP(INT(D300),Tablas!$G$9:$O$1240,9,0)*(INT(D300)+1-D300))/(VLOOKUP(INT($C$5)+1,Tablas!$G$9:$O$1240,9,0)*($C$5-INT($C$5))+VLOOKUP(INT($C$5),Tablas!$G$9:$O$124,9,0)*(INT($C$5)+1-$C$5)))</f>
        <v>0.62657509720805049</v>
      </c>
      <c r="G300" s="97">
        <f ca="1">IF($C$4="Hombre",(+VLOOKUP(INT(D300)+1,Tablas!$G$9:$K$1240,5,0)*(D300-INT(D300))+VLOOKUP(INT(D300),Tablas!$G$9:$K$1240,5,0)*(INT(D300)+1-D300)),+VLOOKUP(INT(D300)+1,Tablas!$G$9:$O$1240,9,0)*(D300-INT(D300))+VLOOKUP(INT(D300),Tablas!$G$9:$O$1240,9,0)*(INT(D300)+1-D300))</f>
        <v>578527.97870404611</v>
      </c>
      <c r="H300" s="105">
        <f t="shared" ca="1" si="34"/>
        <v>1</v>
      </c>
      <c r="I300" s="106">
        <f t="shared" ca="1" si="35"/>
        <v>3.6709622677709157E-2</v>
      </c>
      <c r="J300" s="106">
        <f t="shared" ca="1" si="39"/>
        <v>3.1465390866607844E-2</v>
      </c>
      <c r="K300" s="105">
        <f t="shared" ca="1" si="36"/>
        <v>0.62657509720805049</v>
      </c>
      <c r="L300" s="75"/>
    </row>
    <row r="301" spans="2:12">
      <c r="B301" s="101">
        <f t="shared" ca="1" si="37"/>
        <v>61425</v>
      </c>
      <c r="C301" s="101">
        <f t="shared" ca="1" si="38"/>
        <v>61455</v>
      </c>
      <c r="D301" s="102">
        <f t="shared" ca="1" si="32"/>
        <v>90.748802190280628</v>
      </c>
      <c r="E301" s="103">
        <f t="shared" ca="1" si="33"/>
        <v>0.7021651031042847</v>
      </c>
      <c r="F301" s="104">
        <f ca="1">IF($C$4="Hombre",(+VLOOKUP(INT(D301)+1,Tablas!$G$9:$K$1240,5,0)*(D301-INT(D301))+VLOOKUP(INT(D301),Tablas!$G$9:$K$1240,5,0)*(INT(D301)+1-D301))/(VLOOKUP(INT($C$5)+1,Tablas!$G$9:$K$1240,5,0)*($C$5-INT($C$5))+VLOOKUP(INT($C$5),Tablas!$G$9:$K$124,5,0)*(INT($C$5)+1-$C$5)),(+VLOOKUP(INT(D301)+1,Tablas!$G$9:$O$1240,9,0)*(D301-INT(D301))+VLOOKUP(INT(D301),Tablas!$G$9:$O$1240,9,0)*(INT(D301)+1-D301))/(VLOOKUP(INT($C$5)+1,Tablas!$G$9:$O$1240,9,0)*($C$5-INT($C$5))+VLOOKUP(INT($C$5),Tablas!$G$9:$O$124,9,0)*(INT($C$5)+1-$C$5)))</f>
        <v>0.62329420342204467</v>
      </c>
      <c r="G301" s="97">
        <f ca="1">IF($C$4="Hombre",(+VLOOKUP(INT(D301)+1,Tablas!$G$9:$K$1240,5,0)*(D301-INT(D301))+VLOOKUP(INT(D301),Tablas!$G$9:$K$1240,5,0)*(INT(D301)+1-D301)),+VLOOKUP(INT(D301)+1,Tablas!$G$9:$O$1240,9,0)*(D301-INT(D301))+VLOOKUP(INT(D301),Tablas!$G$9:$O$1240,9,0)*(INT(D301)+1-D301))</f>
        <v>575498.67087036697</v>
      </c>
      <c r="H301" s="105">
        <f t="shared" ca="1" si="34"/>
        <v>1</v>
      </c>
      <c r="I301" s="106">
        <f t="shared" ca="1" si="35"/>
        <v>3.647128655084525E-2</v>
      </c>
      <c r="J301" s="106">
        <f t="shared" ca="1" si="39"/>
        <v>3.1261102757867358E-2</v>
      </c>
      <c r="K301" s="105">
        <f t="shared" ca="1" si="36"/>
        <v>0.62329420342204467</v>
      </c>
      <c r="L301" s="75"/>
    </row>
    <row r="302" spans="2:12">
      <c r="B302" s="101">
        <f t="shared" ca="1" si="37"/>
        <v>61456</v>
      </c>
      <c r="C302" s="101">
        <f t="shared" ca="1" si="38"/>
        <v>61485</v>
      </c>
      <c r="D302" s="102">
        <f t="shared" ca="1" si="32"/>
        <v>90.830937713894599</v>
      </c>
      <c r="E302" s="103">
        <f t="shared" ca="1" si="33"/>
        <v>0.70130696145701477</v>
      </c>
      <c r="F302" s="104">
        <f ca="1">IF($C$4="Hombre",(+VLOOKUP(INT(D302)+1,Tablas!$G$9:$K$1240,5,0)*(D302-INT(D302))+VLOOKUP(INT(D302),Tablas!$G$9:$K$1240,5,0)*(INT(D302)+1-D302))/(VLOOKUP(INT($C$5)+1,Tablas!$G$9:$K$1240,5,0)*($C$5-INT($C$5))+VLOOKUP(INT($C$5),Tablas!$G$9:$K$124,5,0)*(INT($C$5)+1-$C$5)),(+VLOOKUP(INT(D302)+1,Tablas!$G$9:$O$1240,9,0)*(D302-INT(D302))+VLOOKUP(INT(D302),Tablas!$G$9:$O$1240,9,0)*(INT(D302)+1-D302))/(VLOOKUP(INT($C$5)+1,Tablas!$G$9:$O$1240,9,0)*($C$5-INT($C$5))+VLOOKUP(INT($C$5),Tablas!$G$9:$O$124,9,0)*(INT($C$5)+1-$C$5)))</f>
        <v>0.6201191449194583</v>
      </c>
      <c r="G302" s="97">
        <f ca="1">IF($C$4="Hombre",(+VLOOKUP(INT(D302)+1,Tablas!$G$9:$K$1240,5,0)*(D302-INT(D302))+VLOOKUP(INT(D302),Tablas!$G$9:$K$1240,5,0)*(INT(D302)+1-D302)),+VLOOKUP(INT(D302)+1,Tablas!$G$9:$O$1240,9,0)*(D302-INT(D302))+VLOOKUP(INT(D302),Tablas!$G$9:$O$1240,9,0)*(INT(D302)+1-D302))</f>
        <v>572567.0826442258</v>
      </c>
      <c r="H302" s="105">
        <f t="shared" ca="1" si="34"/>
        <v>1</v>
      </c>
      <c r="I302" s="106">
        <f t="shared" ca="1" si="35"/>
        <v>3.6241156105398957E-2</v>
      </c>
      <c r="J302" s="106">
        <f t="shared" ca="1" si="39"/>
        <v>3.1063848090341961E-2</v>
      </c>
      <c r="K302" s="105">
        <f t="shared" ca="1" si="36"/>
        <v>0.6201191449194583</v>
      </c>
      <c r="L302" s="75"/>
    </row>
    <row r="303" spans="2:12">
      <c r="B303" s="101">
        <f t="shared" ca="1" si="37"/>
        <v>61486</v>
      </c>
      <c r="C303" s="101">
        <f t="shared" ca="1" si="38"/>
        <v>61516</v>
      </c>
      <c r="D303" s="102">
        <f t="shared" ca="1" si="32"/>
        <v>90.915811088295683</v>
      </c>
      <c r="E303" s="103">
        <f t="shared" ca="1" si="33"/>
        <v>0.70042131686045095</v>
      </c>
      <c r="F303" s="104">
        <f ca="1">IF($C$4="Hombre",(+VLOOKUP(INT(D303)+1,Tablas!$G$9:$K$1240,5,0)*(D303-INT(D303))+VLOOKUP(INT(D303),Tablas!$G$9:$K$1240,5,0)*(INT(D303)+1-D303))/(VLOOKUP(INT($C$5)+1,Tablas!$G$9:$K$1240,5,0)*($C$5-INT($C$5))+VLOOKUP(INT($C$5),Tablas!$G$9:$K$124,5,0)*(INT($C$5)+1-$C$5)),(+VLOOKUP(INT(D303)+1,Tablas!$G$9:$O$1240,9,0)*(D303-INT(D303))+VLOOKUP(INT(D303),Tablas!$G$9:$O$1240,9,0)*(INT(D303)+1-D303))/(VLOOKUP(INT($C$5)+1,Tablas!$G$9:$O$1240,9,0)*($C$5-INT($C$5))+VLOOKUP(INT($C$5),Tablas!$G$9:$O$124,9,0)*(INT($C$5)+1-$C$5)))</f>
        <v>0.61683825113345292</v>
      </c>
      <c r="G303" s="97">
        <f ca="1">IF($C$4="Hombre",(+VLOOKUP(INT(D303)+1,Tablas!$G$9:$K$1240,5,0)*(D303-INT(D303))+VLOOKUP(INT(D303),Tablas!$G$9:$K$1240,5,0)*(INT(D303)+1-D303)),+VLOOKUP(INT(D303)+1,Tablas!$G$9:$O$1240,9,0)*(D303-INT(D303))+VLOOKUP(INT(D303),Tablas!$G$9:$O$1240,9,0)*(INT(D303)+1-D303))</f>
        <v>569537.77481054713</v>
      </c>
      <c r="H303" s="105">
        <f t="shared" ca="1" si="34"/>
        <v>1</v>
      </c>
      <c r="I303" s="106">
        <f t="shared" ca="1" si="35"/>
        <v>3.6003888345732551E-2</v>
      </c>
      <c r="J303" s="106">
        <f t="shared" ca="1" si="39"/>
        <v>6.1720951449827234E-2</v>
      </c>
      <c r="K303" s="105">
        <f t="shared" ca="1" si="36"/>
        <v>0.61683825113345292</v>
      </c>
      <c r="L303" s="75"/>
    </row>
    <row r="304" spans="2:12">
      <c r="B304" s="101">
        <f t="shared" ca="1" si="37"/>
        <v>61517</v>
      </c>
      <c r="C304" s="101">
        <f t="shared" ca="1" si="38"/>
        <v>61546</v>
      </c>
      <c r="D304" s="102">
        <f t="shared" ca="1" si="32"/>
        <v>90.997946611909654</v>
      </c>
      <c r="E304" s="103">
        <f t="shared" ca="1" si="33"/>
        <v>0.69956530635811143</v>
      </c>
      <c r="F304" s="104">
        <f ca="1">IF($C$4="Hombre",(+VLOOKUP(INT(D304)+1,Tablas!$G$9:$K$1240,5,0)*(D304-INT(D304))+VLOOKUP(INT(D304),Tablas!$G$9:$K$1240,5,0)*(INT(D304)+1-D304))/(VLOOKUP(INT($C$5)+1,Tablas!$G$9:$K$1240,5,0)*($C$5-INT($C$5))+VLOOKUP(INT($C$5),Tablas!$G$9:$K$124,5,0)*(INT($C$5)+1-$C$5)),(+VLOOKUP(INT(D304)+1,Tablas!$G$9:$O$1240,9,0)*(D304-INT(D304))+VLOOKUP(INT(D304),Tablas!$G$9:$O$1240,9,0)*(INT(D304)+1-D304))/(VLOOKUP(INT($C$5)+1,Tablas!$G$9:$O$1240,9,0)*($C$5-INT($C$5))+VLOOKUP(INT($C$5),Tablas!$G$9:$O$124,9,0)*(INT($C$5)+1-$C$5)))</f>
        <v>0.61366319263086644</v>
      </c>
      <c r="G304" s="97">
        <f ca="1">IF($C$4="Hombre",(+VLOOKUP(INT(D304)+1,Tablas!$G$9:$K$1240,5,0)*(D304-INT(D304))+VLOOKUP(INT(D304),Tablas!$G$9:$K$1240,5,0)*(INT(D304)+1-D304)),+VLOOKUP(INT(D304)+1,Tablas!$G$9:$O$1240,9,0)*(D304-INT(D304))+VLOOKUP(INT(D304),Tablas!$G$9:$O$1240,9,0)*(INT(D304)+1-D304))</f>
        <v>566606.18658440583</v>
      </c>
      <c r="H304" s="105">
        <f t="shared" ca="1" si="34"/>
        <v>1</v>
      </c>
      <c r="I304" s="106">
        <f t="shared" ca="1" si="35"/>
        <v>3.5774789946125735E-2</v>
      </c>
      <c r="J304" s="106">
        <f t="shared" ca="1" si="39"/>
        <v>3.0664105668107771E-2</v>
      </c>
      <c r="K304" s="105">
        <f t="shared" ca="1" si="36"/>
        <v>0.61366319263086644</v>
      </c>
      <c r="L304" s="75"/>
    </row>
    <row r="305" spans="2:12">
      <c r="B305" s="101">
        <f t="shared" ca="1" si="37"/>
        <v>61547</v>
      </c>
      <c r="C305" s="101">
        <f t="shared" ca="1" si="38"/>
        <v>61577</v>
      </c>
      <c r="D305" s="102">
        <f t="shared" ca="1" si="32"/>
        <v>91.082819986310753</v>
      </c>
      <c r="E305" s="103">
        <f t="shared" ca="1" si="33"/>
        <v>0.69868186120845466</v>
      </c>
      <c r="F305" s="104">
        <f ca="1">IF($C$4="Hombre",(+VLOOKUP(INT(D305)+1,Tablas!$G$9:$K$1240,5,0)*(D305-INT(D305))+VLOOKUP(INT(D305),Tablas!$G$9:$K$1240,5,0)*(INT(D305)+1-D305))/(VLOOKUP(INT($C$5)+1,Tablas!$G$9:$K$1240,5,0)*($C$5-INT($C$5))+VLOOKUP(INT($C$5),Tablas!$G$9:$K$124,5,0)*(INT($C$5)+1-$C$5)),(+VLOOKUP(INT(D305)+1,Tablas!$G$9:$O$1240,9,0)*(D305-INT(D305))+VLOOKUP(INT(D305),Tablas!$G$9:$O$1240,9,0)*(INT(D305)+1-D305))/(VLOOKUP(INT($C$5)+1,Tablas!$G$9:$O$1240,9,0)*($C$5-INT($C$5))+VLOOKUP(INT($C$5),Tablas!$G$9:$O$124,9,0)*(INT($C$5)+1-$C$5)))</f>
        <v>0.61023130209681564</v>
      </c>
      <c r="G305" s="97">
        <f ca="1">IF($C$4="Hombre",(+VLOOKUP(INT(D305)+1,Tablas!$G$9:$K$1240,5,0)*(D305-INT(D305))+VLOOKUP(INT(D305),Tablas!$G$9:$K$1240,5,0)*(INT(D305)+1-D305)),+VLOOKUP(INT(D305)+1,Tablas!$G$9:$O$1240,9,0)*(D305-INT(D305))+VLOOKUP(INT(D305),Tablas!$G$9:$O$1240,9,0)*(INT(D305)+1-D305))</f>
        <v>563437.46075625706</v>
      </c>
      <c r="H305" s="105">
        <f t="shared" ca="1" si="34"/>
        <v>1</v>
      </c>
      <c r="I305" s="106">
        <f t="shared" ca="1" si="35"/>
        <v>3.5529795159721822E-2</v>
      </c>
      <c r="J305" s="106">
        <f t="shared" ca="1" si="39"/>
        <v>3.0454110136904418E-2</v>
      </c>
      <c r="K305" s="105">
        <f t="shared" ca="1" si="36"/>
        <v>0.61023130209681564</v>
      </c>
      <c r="L305" s="75"/>
    </row>
    <row r="306" spans="2:12">
      <c r="B306" s="101">
        <f t="shared" ca="1" si="37"/>
        <v>61578</v>
      </c>
      <c r="C306" s="101">
        <f t="shared" ca="1" si="38"/>
        <v>61608</v>
      </c>
      <c r="D306" s="102">
        <f t="shared" ca="1" si="32"/>
        <v>91.167693360711837</v>
      </c>
      <c r="E306" s="103">
        <f t="shared" ca="1" si="33"/>
        <v>0.69779953171637188</v>
      </c>
      <c r="F306" s="104">
        <f ca="1">IF($C$4="Hombre",(+VLOOKUP(INT(D306)+1,Tablas!$G$9:$K$1240,5,0)*(D306-INT(D306))+VLOOKUP(INT(D306),Tablas!$G$9:$K$1240,5,0)*(INT(D306)+1-D306))/(VLOOKUP(INT($C$5)+1,Tablas!$G$9:$K$1240,5,0)*($C$5-INT($C$5))+VLOOKUP(INT($C$5),Tablas!$G$9:$K$124,5,0)*(INT($C$5)+1-$C$5)),(+VLOOKUP(INT(D306)+1,Tablas!$G$9:$O$1240,9,0)*(D306-INT(D306))+VLOOKUP(INT(D306),Tablas!$G$9:$O$1240,9,0)*(INT(D306)+1-D306))/(VLOOKUP(INT($C$5)+1,Tablas!$G$9:$O$1240,9,0)*($C$5-INT($C$5))+VLOOKUP(INT($C$5),Tablas!$G$9:$O$124,9,0)*(INT($C$5)+1-$C$5)))</f>
        <v>0.60679566784173944</v>
      </c>
      <c r="G306" s="97">
        <f ca="1">IF($C$4="Hombre",(+VLOOKUP(INT(D306)+1,Tablas!$G$9:$K$1240,5,0)*(D306-INT(D306))+VLOOKUP(INT(D306),Tablas!$G$9:$K$1240,5,0)*(INT(D306)+1-D306)),+VLOOKUP(INT(D306)+1,Tablas!$G$9:$O$1240,9,0)*(D306-INT(D306))+VLOOKUP(INT(D306),Tablas!$G$9:$O$1240,9,0)*(INT(D306)+1-D306))</f>
        <v>560265.27828361781</v>
      </c>
      <c r="H306" s="105">
        <f t="shared" ca="1" si="34"/>
        <v>1</v>
      </c>
      <c r="I306" s="106">
        <f t="shared" ca="1" si="35"/>
        <v>3.5285144405624073E-2</v>
      </c>
      <c r="J306" s="106">
        <f t="shared" ca="1" si="39"/>
        <v>3.0244409490534918E-2</v>
      </c>
      <c r="K306" s="105">
        <f t="shared" ca="1" si="36"/>
        <v>0.60679566784173944</v>
      </c>
      <c r="L306" s="75"/>
    </row>
    <row r="307" spans="2:12">
      <c r="B307" s="101">
        <f t="shared" ca="1" si="37"/>
        <v>61609</v>
      </c>
      <c r="C307" s="101">
        <f t="shared" ca="1" si="38"/>
        <v>61638</v>
      </c>
      <c r="D307" s="102">
        <f t="shared" ca="1" si="32"/>
        <v>91.249828884325808</v>
      </c>
      <c r="E307" s="103">
        <f t="shared" ca="1" si="33"/>
        <v>0.69694672539352287</v>
      </c>
      <c r="F307" s="104">
        <f ca="1">IF($C$4="Hombre",(+VLOOKUP(INT(D307)+1,Tablas!$G$9:$K$1240,5,0)*(D307-INT(D307))+VLOOKUP(INT(D307),Tablas!$G$9:$K$1240,5,0)*(INT(D307)+1-D307))/(VLOOKUP(INT($C$5)+1,Tablas!$G$9:$K$1240,5,0)*($C$5-INT($C$5))+VLOOKUP(INT($C$5),Tablas!$G$9:$K$124,5,0)*(INT($C$5)+1-$C$5)),(+VLOOKUP(INT(D307)+1,Tablas!$G$9:$O$1240,9,0)*(D307-INT(D307))+VLOOKUP(INT(D307),Tablas!$G$9:$O$1240,9,0)*(INT(D307)+1-D307))/(VLOOKUP(INT($C$5)+1,Tablas!$G$9:$O$1240,9,0)*($C$5-INT($C$5))+VLOOKUP(INT($C$5),Tablas!$G$9:$O$124,9,0)*(INT($C$5)+1-$C$5)))</f>
        <v>0.60347086049811649</v>
      </c>
      <c r="G307" s="97">
        <f ca="1">IF($C$4="Hombre",(+VLOOKUP(INT(D307)+1,Tablas!$G$9:$K$1240,5,0)*(D307-INT(D307))+VLOOKUP(INT(D307),Tablas!$G$9:$K$1240,5,0)*(INT(D307)+1-D307)),+VLOOKUP(INT(D307)+1,Tablas!$G$9:$O$1240,9,0)*(D307-INT(D307))+VLOOKUP(INT(D307),Tablas!$G$9:$O$1240,9,0)*(INT(D307)+1-D307))</f>
        <v>557195.42427783716</v>
      </c>
      <c r="H307" s="105">
        <f t="shared" ca="1" si="34"/>
        <v>1</v>
      </c>
      <c r="I307" s="106">
        <f t="shared" ca="1" si="35"/>
        <v>3.5048920007881144E-2</v>
      </c>
      <c r="J307" s="106">
        <f t="shared" ca="1" si="39"/>
        <v>3.0041931435326692E-2</v>
      </c>
      <c r="K307" s="105">
        <f t="shared" ca="1" si="36"/>
        <v>0.60347086049811649</v>
      </c>
      <c r="L307" s="75"/>
    </row>
    <row r="308" spans="2:12">
      <c r="B308" s="101">
        <f t="shared" ca="1" si="37"/>
        <v>61639</v>
      </c>
      <c r="C308" s="101">
        <f t="shared" ca="1" si="38"/>
        <v>61669</v>
      </c>
      <c r="D308" s="102">
        <f t="shared" ca="1" si="32"/>
        <v>91.334702258726892</v>
      </c>
      <c r="E308" s="103">
        <f t="shared" ca="1" si="33"/>
        <v>0.69606658711547797</v>
      </c>
      <c r="F308" s="104">
        <f ca="1">IF($C$4="Hombre",(+VLOOKUP(INT(D308)+1,Tablas!$G$9:$K$1240,5,0)*(D308-INT(D308))+VLOOKUP(INT(D308),Tablas!$G$9:$K$1240,5,0)*(INT(D308)+1-D308))/(VLOOKUP(INT($C$5)+1,Tablas!$G$9:$K$1240,5,0)*($C$5-INT($C$5))+VLOOKUP(INT($C$5),Tablas!$G$9:$K$124,5,0)*(INT($C$5)+1-$C$5)),(+VLOOKUP(INT(D308)+1,Tablas!$G$9:$O$1240,9,0)*(D308-INT(D308))+VLOOKUP(INT(D308),Tablas!$G$9:$O$1240,9,0)*(INT(D308)+1-D308))/(VLOOKUP(INT($C$5)+1,Tablas!$G$9:$O$1240,9,0)*($C$5-INT($C$5))+VLOOKUP(INT($C$5),Tablas!$G$9:$O$124,9,0)*(INT($C$5)+1-$C$5)))</f>
        <v>0.60003522624304029</v>
      </c>
      <c r="G308" s="97">
        <f ca="1">IF($C$4="Hombre",(+VLOOKUP(INT(D308)+1,Tablas!$G$9:$K$1240,5,0)*(D308-INT(D308))+VLOOKUP(INT(D308),Tablas!$G$9:$K$1240,5,0)*(INT(D308)+1-D308)),+VLOOKUP(INT(D308)+1,Tablas!$G$9:$O$1240,9,0)*(D308-INT(D308))+VLOOKUP(INT(D308),Tablas!$G$9:$O$1240,9,0)*(INT(D308)+1-D308))</f>
        <v>554023.2418051979</v>
      </c>
      <c r="H308" s="105">
        <f t="shared" ca="1" si="34"/>
        <v>1</v>
      </c>
      <c r="I308" s="106">
        <f t="shared" ca="1" si="35"/>
        <v>3.480537267333806E-2</v>
      </c>
      <c r="J308" s="106">
        <f t="shared" ca="1" si="39"/>
        <v>2.983317657714691E-2</v>
      </c>
      <c r="K308" s="105">
        <f t="shared" ca="1" si="36"/>
        <v>0.60003522624304029</v>
      </c>
      <c r="L308" s="75"/>
    </row>
    <row r="309" spans="2:12">
      <c r="B309" s="101">
        <f t="shared" ca="1" si="37"/>
        <v>61670</v>
      </c>
      <c r="C309" s="101">
        <f t="shared" ca="1" si="38"/>
        <v>61699</v>
      </c>
      <c r="D309" s="102">
        <f t="shared" ca="1" si="32"/>
        <v>91.416837782340863</v>
      </c>
      <c r="E309" s="103">
        <f t="shared" ca="1" si="33"/>
        <v>0.69521589868759104</v>
      </c>
      <c r="F309" s="104">
        <f ca="1">IF($C$4="Hombre",(+VLOOKUP(INT(D309)+1,Tablas!$G$9:$K$1240,5,0)*(D309-INT(D309))+VLOOKUP(INT(D309),Tablas!$G$9:$K$1240,5,0)*(INT(D309)+1-D309))/(VLOOKUP(INT($C$5)+1,Tablas!$G$9:$K$1240,5,0)*($C$5-INT($C$5))+VLOOKUP(INT($C$5),Tablas!$G$9:$K$124,5,0)*(INT($C$5)+1-$C$5)),(+VLOOKUP(INT(D309)+1,Tablas!$G$9:$O$1240,9,0)*(D309-INT(D309))+VLOOKUP(INT(D309),Tablas!$G$9:$O$1240,9,0)*(INT(D309)+1-D309))/(VLOOKUP(INT($C$5)+1,Tablas!$G$9:$O$1240,9,0)*($C$5-INT($C$5))+VLOOKUP(INT($C$5),Tablas!$G$9:$O$124,9,0)*(INT($C$5)+1-$C$5)))</f>
        <v>0.59671041889941756</v>
      </c>
      <c r="G309" s="97">
        <f ca="1">IF($C$4="Hombre",(+VLOOKUP(INT(D309)+1,Tablas!$G$9:$K$1240,5,0)*(D309-INT(D309))+VLOOKUP(INT(D309),Tablas!$G$9:$K$1240,5,0)*(INT(D309)+1-D309)),+VLOOKUP(INT(D309)+1,Tablas!$G$9:$O$1240,9,0)*(D309-INT(D309))+VLOOKUP(INT(D309),Tablas!$G$9:$O$1240,9,0)*(INT(D309)+1-D309))</f>
        <v>550953.38779941737</v>
      </c>
      <c r="H309" s="105">
        <f t="shared" ca="1" si="34"/>
        <v>1</v>
      </c>
      <c r="I309" s="106">
        <f t="shared" ca="1" si="35"/>
        <v>3.4570214177617291E-2</v>
      </c>
      <c r="J309" s="106">
        <f t="shared" ca="1" si="39"/>
        <v>5.9263224304486779E-2</v>
      </c>
      <c r="K309" s="105">
        <f t="shared" ca="1" si="36"/>
        <v>0.59671041889941756</v>
      </c>
      <c r="L309" s="75"/>
    </row>
    <row r="310" spans="2:12">
      <c r="B310" s="101">
        <f t="shared" ca="1" si="37"/>
        <v>61700</v>
      </c>
      <c r="C310" s="101">
        <f t="shared" ca="1" si="38"/>
        <v>61730</v>
      </c>
      <c r="D310" s="102">
        <f t="shared" ca="1" si="32"/>
        <v>91.501711156741962</v>
      </c>
      <c r="E310" s="103">
        <f t="shared" ca="1" si="33"/>
        <v>0.6943379461818312</v>
      </c>
      <c r="F310" s="104">
        <f ca="1">IF($C$4="Hombre",(+VLOOKUP(INT(D310)+1,Tablas!$G$9:$K$1240,5,0)*(D310-INT(D310))+VLOOKUP(INT(D310),Tablas!$G$9:$K$1240,5,0)*(INT(D310)+1-D310))/(VLOOKUP(INT($C$5)+1,Tablas!$G$9:$K$1240,5,0)*($C$5-INT($C$5))+VLOOKUP(INT($C$5),Tablas!$G$9:$K$124,5,0)*(INT($C$5)+1-$C$5)),(+VLOOKUP(INT(D310)+1,Tablas!$G$9:$O$1240,9,0)*(D310-INT(D310))+VLOOKUP(INT(D310),Tablas!$G$9:$O$1240,9,0)*(INT(D310)+1-D310))/(VLOOKUP(INT($C$5)+1,Tablas!$G$9:$O$1240,9,0)*($C$5-INT($C$5))+VLOOKUP(INT($C$5),Tablas!$G$9:$O$124,9,0)*(INT($C$5)+1-$C$5)))</f>
        <v>0.59327478464434058</v>
      </c>
      <c r="G310" s="97">
        <f ca="1">IF($C$4="Hombre",(+VLOOKUP(INT(D310)+1,Tablas!$G$9:$K$1240,5,0)*(D310-INT(D310))+VLOOKUP(INT(D310),Tablas!$G$9:$K$1240,5,0)*(INT(D310)+1-D310)),+VLOOKUP(INT(D310)+1,Tablas!$G$9:$O$1240,9,0)*(D310-INT(D310))+VLOOKUP(INT(D310),Tablas!$G$9:$O$1240,9,0)*(INT(D310)+1-D310))</f>
        <v>547781.20532677742</v>
      </c>
      <c r="H310" s="105">
        <f t="shared" ca="1" si="34"/>
        <v>1</v>
      </c>
      <c r="I310" s="106">
        <f t="shared" ca="1" si="35"/>
        <v>3.432776629095164E-2</v>
      </c>
      <c r="J310" s="106">
        <f t="shared" ca="1" si="39"/>
        <v>2.9423799677958551E-2</v>
      </c>
      <c r="K310" s="105">
        <f t="shared" ca="1" si="36"/>
        <v>0.59327478464434058</v>
      </c>
      <c r="L310" s="75"/>
    </row>
    <row r="311" spans="2:12">
      <c r="B311" s="101">
        <f t="shared" ca="1" si="37"/>
        <v>61731</v>
      </c>
      <c r="C311" s="101">
        <f t="shared" ca="1" si="38"/>
        <v>61761</v>
      </c>
      <c r="D311" s="102">
        <f t="shared" ca="1" si="32"/>
        <v>91.586584531143046</v>
      </c>
      <c r="E311" s="103">
        <f t="shared" ca="1" si="33"/>
        <v>0.69346110239726699</v>
      </c>
      <c r="F311" s="104">
        <f ca="1">IF($C$4="Hombre",(+VLOOKUP(INT(D311)+1,Tablas!$G$9:$K$1240,5,0)*(D311-INT(D311))+VLOOKUP(INT(D311),Tablas!$G$9:$K$1240,5,0)*(INT(D311)+1-D311))/(VLOOKUP(INT($C$5)+1,Tablas!$G$9:$K$1240,5,0)*($C$5-INT($C$5))+VLOOKUP(INT($C$5),Tablas!$G$9:$K$124,5,0)*(INT($C$5)+1-$C$5)),(+VLOOKUP(INT(D311)+1,Tablas!$G$9:$O$1240,9,0)*(D311-INT(D311))+VLOOKUP(INT(D311),Tablas!$G$9:$O$1240,9,0)*(INT(D311)+1-D311))/(VLOOKUP(INT($C$5)+1,Tablas!$G$9:$O$1240,9,0)*($C$5-INT($C$5))+VLOOKUP(INT($C$5),Tablas!$G$9:$O$124,9,0)*(INT($C$5)+1-$C$5)))</f>
        <v>0.58983915038926449</v>
      </c>
      <c r="G311" s="97">
        <f ca="1">IF($C$4="Hombre",(+VLOOKUP(INT(D311)+1,Tablas!$G$9:$K$1240,5,0)*(D311-INT(D311))+VLOOKUP(INT(D311),Tablas!$G$9:$K$1240,5,0)*(INT(D311)+1-D311)),+VLOOKUP(INT(D311)+1,Tablas!$G$9:$O$1240,9,0)*(D311-INT(D311))+VLOOKUP(INT(D311),Tablas!$G$9:$O$1240,9,0)*(INT(D311)+1-D311))</f>
        <v>544609.02285413828</v>
      </c>
      <c r="H311" s="105">
        <f t="shared" ca="1" si="34"/>
        <v>1</v>
      </c>
      <c r="I311" s="106">
        <f t="shared" ca="1" si="35"/>
        <v>3.4085875622167222E-2</v>
      </c>
      <c r="J311" s="106">
        <f t="shared" ca="1" si="39"/>
        <v>2.9216464819000476E-2</v>
      </c>
      <c r="K311" s="105">
        <f t="shared" ca="1" si="36"/>
        <v>0.58983915038926449</v>
      </c>
      <c r="L311" s="75"/>
    </row>
    <row r="312" spans="2:12">
      <c r="B312" s="101">
        <f t="shared" ca="1" si="37"/>
        <v>61762</v>
      </c>
      <c r="C312" s="101">
        <f t="shared" ca="1" si="38"/>
        <v>61789</v>
      </c>
      <c r="D312" s="102">
        <f t="shared" ca="1" si="32"/>
        <v>91.663244353182748</v>
      </c>
      <c r="E312" s="103">
        <f t="shared" ca="1" si="33"/>
        <v>0.6926700662676698</v>
      </c>
      <c r="F312" s="104">
        <f ca="1">IF($C$4="Hombre",(+VLOOKUP(INT(D312)+1,Tablas!$G$9:$K$1240,5,0)*(D312-INT(D312))+VLOOKUP(INT(D312),Tablas!$G$9:$K$1240,5,0)*(INT(D312)+1-D312))/(VLOOKUP(INT($C$5)+1,Tablas!$G$9:$K$1240,5,0)*($C$5-INT($C$5))+VLOOKUP(INT($C$5),Tablas!$G$9:$K$124,5,0)*(INT($C$5)+1-$C$5)),(+VLOOKUP(INT(D312)+1,Tablas!$G$9:$O$1240,9,0)*(D312-INT(D312))+VLOOKUP(INT(D312),Tablas!$G$9:$O$1240,9,0)*(INT(D312)+1-D312))/(VLOOKUP(INT($C$5)+1,Tablas!$G$9:$O$1240,9,0)*($C$5-INT($C$5))+VLOOKUP(INT($C$5),Tablas!$G$9:$O$124,9,0)*(INT($C$5)+1-$C$5)))</f>
        <v>0.58673599686854994</v>
      </c>
      <c r="G312" s="97">
        <f ca="1">IF($C$4="Hombre",(+VLOOKUP(INT(D312)+1,Tablas!$G$9:$K$1240,5,0)*(D312-INT(D312))+VLOOKUP(INT(D312),Tablas!$G$9:$K$1240,5,0)*(INT(D312)+1-D312)),+VLOOKUP(INT(D312)+1,Tablas!$G$9:$O$1240,9,0)*(D312-INT(D312))+VLOOKUP(INT(D312),Tablas!$G$9:$O$1240,9,0)*(INT(D312)+1-D312))</f>
        <v>541743.82578207646</v>
      </c>
      <c r="H312" s="105">
        <f t="shared" ca="1" si="34"/>
        <v>1</v>
      </c>
      <c r="I312" s="106">
        <f t="shared" ca="1" si="35"/>
        <v>3.3867871819380481E-2</v>
      </c>
      <c r="J312" s="106">
        <f t="shared" ca="1" si="39"/>
        <v>2.9029604416611843E-2</v>
      </c>
      <c r="K312" s="105">
        <f t="shared" ca="1" si="36"/>
        <v>0.58673599686854994</v>
      </c>
      <c r="L312" s="75"/>
    </row>
    <row r="313" spans="2:12">
      <c r="B313" s="101">
        <f t="shared" ca="1" si="37"/>
        <v>61790</v>
      </c>
      <c r="C313" s="101">
        <f t="shared" ca="1" si="38"/>
        <v>61820</v>
      </c>
      <c r="D313" s="102">
        <f t="shared" ca="1" si="32"/>
        <v>91.748117727583846</v>
      </c>
      <c r="E313" s="103">
        <f t="shared" ca="1" si="33"/>
        <v>0.69179532876311522</v>
      </c>
      <c r="F313" s="104">
        <f ca="1">IF($C$4="Hombre",(+VLOOKUP(INT(D313)+1,Tablas!$G$9:$K$1240,5,0)*(D313-INT(D313))+VLOOKUP(INT(D313),Tablas!$G$9:$K$1240,5,0)*(INT(D313)+1-D313))/(VLOOKUP(INT($C$5)+1,Tablas!$G$9:$K$1240,5,0)*($C$5-INT($C$5))+VLOOKUP(INT($C$5),Tablas!$G$9:$K$124,5,0)*(INT($C$5)+1-$C$5)),(+VLOOKUP(INT(D313)+1,Tablas!$G$9:$O$1240,9,0)*(D313-INT(D313))+VLOOKUP(INT(D313),Tablas!$G$9:$O$1240,9,0)*(INT(D313)+1-D313))/(VLOOKUP(INT($C$5)+1,Tablas!$G$9:$O$1240,9,0)*($C$5-INT($C$5))+VLOOKUP(INT($C$5),Tablas!$G$9:$O$124,9,0)*(INT($C$5)+1-$C$5)))</f>
        <v>0.58330036261347318</v>
      </c>
      <c r="G313" s="97">
        <f ca="1">IF($C$4="Hombre",(+VLOOKUP(INT(D313)+1,Tablas!$G$9:$K$1240,5,0)*(D313-INT(D313))+VLOOKUP(INT(D313),Tablas!$G$9:$K$1240,5,0)*(INT(D313)+1-D313)),+VLOOKUP(INT(D313)+1,Tablas!$G$9:$O$1240,9,0)*(D313-INT(D313))+VLOOKUP(INT(D313),Tablas!$G$9:$O$1240,9,0)*(INT(D313)+1-D313))</f>
        <v>538571.64330943674</v>
      </c>
      <c r="H313" s="105">
        <f t="shared" ca="1" si="34"/>
        <v>1</v>
      </c>
      <c r="I313" s="106">
        <f t="shared" ca="1" si="35"/>
        <v>3.3627038843486001E-2</v>
      </c>
      <c r="J313" s="106">
        <f t="shared" ca="1" si="39"/>
        <v>2.8823176151559431E-2</v>
      </c>
      <c r="K313" s="105">
        <f t="shared" ca="1" si="36"/>
        <v>0.58330036261347318</v>
      </c>
      <c r="L313" s="75"/>
    </row>
    <row r="314" spans="2:12">
      <c r="B314" s="101">
        <f t="shared" ca="1" si="37"/>
        <v>61821</v>
      </c>
      <c r="C314" s="101">
        <f t="shared" ca="1" si="38"/>
        <v>61850</v>
      </c>
      <c r="D314" s="102">
        <f t="shared" ca="1" si="32"/>
        <v>91.830253251197803</v>
      </c>
      <c r="E314" s="103">
        <f t="shared" ca="1" si="33"/>
        <v>0.69094986039624018</v>
      </c>
      <c r="F314" s="104">
        <f ca="1">IF($C$4="Hombre",(+VLOOKUP(INT(D314)+1,Tablas!$G$9:$K$1240,5,0)*(D314-INT(D314))+VLOOKUP(INT(D314),Tablas!$G$9:$K$1240,5,0)*(INT(D314)+1-D314))/(VLOOKUP(INT($C$5)+1,Tablas!$G$9:$K$1240,5,0)*($C$5-INT($C$5))+VLOOKUP(INT($C$5),Tablas!$G$9:$K$124,5,0)*(INT($C$5)+1-$C$5)),(+VLOOKUP(INT(D314)+1,Tablas!$G$9:$O$1240,9,0)*(D314-INT(D314))+VLOOKUP(INT(D314),Tablas!$G$9:$O$1240,9,0)*(INT(D314)+1-D314))/(VLOOKUP(INT($C$5)+1,Tablas!$G$9:$O$1240,9,0)*($C$5-INT($C$5))+VLOOKUP(INT($C$5),Tablas!$G$9:$O$124,9,0)*(INT($C$5)+1-$C$5)))</f>
        <v>0.5799755552698509</v>
      </c>
      <c r="G314" s="97">
        <f ca="1">IF($C$4="Hombre",(+VLOOKUP(INT(D314)+1,Tablas!$G$9:$K$1240,5,0)*(D314-INT(D314))+VLOOKUP(INT(D314),Tablas!$G$9:$K$1240,5,0)*(INT(D314)+1-D314)),+VLOOKUP(INT(D314)+1,Tablas!$G$9:$O$1240,9,0)*(D314-INT(D314))+VLOOKUP(INT(D314),Tablas!$G$9:$O$1240,9,0)*(INT(D314)+1-D314))</f>
        <v>535501.78930365667</v>
      </c>
      <c r="H314" s="105">
        <f t="shared" ca="1" si="34"/>
        <v>1</v>
      </c>
      <c r="I314" s="106">
        <f t="shared" ca="1" si="35"/>
        <v>3.3394502412244613E-2</v>
      </c>
      <c r="J314" s="106">
        <f t="shared" ca="1" si="39"/>
        <v>2.862385921049538E-2</v>
      </c>
      <c r="K314" s="105">
        <f t="shared" ca="1" si="36"/>
        <v>0.5799755552698509</v>
      </c>
      <c r="L314" s="75"/>
    </row>
    <row r="315" spans="2:12">
      <c r="B315" s="101">
        <f t="shared" ca="1" si="37"/>
        <v>61851</v>
      </c>
      <c r="C315" s="101">
        <f t="shared" ca="1" si="38"/>
        <v>61881</v>
      </c>
      <c r="D315" s="102">
        <f t="shared" ca="1" si="32"/>
        <v>91.915126625598901</v>
      </c>
      <c r="E315" s="103">
        <f t="shared" ca="1" si="33"/>
        <v>0.69007729525146344</v>
      </c>
      <c r="F315" s="104">
        <f ca="1">IF($C$4="Hombre",(+VLOOKUP(INT(D315)+1,Tablas!$G$9:$K$1240,5,0)*(D315-INT(D315))+VLOOKUP(INT(D315),Tablas!$G$9:$K$1240,5,0)*(INT(D315)+1-D315))/(VLOOKUP(INT($C$5)+1,Tablas!$G$9:$K$1240,5,0)*($C$5-INT($C$5))+VLOOKUP(INT($C$5),Tablas!$G$9:$K$124,5,0)*(INT($C$5)+1-$C$5)),(+VLOOKUP(INT(D315)+1,Tablas!$G$9:$O$1240,9,0)*(D315-INT(D315))+VLOOKUP(INT(D315),Tablas!$G$9:$O$1240,9,0)*(INT(D315)+1-D315))/(VLOOKUP(INT($C$5)+1,Tablas!$G$9:$O$1240,9,0)*($C$5-INT($C$5))+VLOOKUP(INT($C$5),Tablas!$G$9:$O$124,9,0)*(INT($C$5)+1-$C$5)))</f>
        <v>0.57653992101477403</v>
      </c>
      <c r="G315" s="97">
        <f ca="1">IF($C$4="Hombre",(+VLOOKUP(INT(D315)+1,Tablas!$G$9:$K$1240,5,0)*(D315-INT(D315))+VLOOKUP(INT(D315),Tablas!$G$9:$K$1240,5,0)*(INT(D315)+1-D315)),+VLOOKUP(INT(D315)+1,Tablas!$G$9:$O$1240,9,0)*(D315-INT(D315))+VLOOKUP(INT(D315),Tablas!$G$9:$O$1240,9,0)*(INT(D315)+1-D315))</f>
        <v>532329.60683101672</v>
      </c>
      <c r="H315" s="105">
        <f t="shared" ca="1" si="34"/>
        <v>1</v>
      </c>
      <c r="I315" s="106">
        <f t="shared" ca="1" si="35"/>
        <v>3.3154759108197304E-2</v>
      </c>
      <c r="J315" s="106">
        <f t="shared" ca="1" si="39"/>
        <v>5.6836729899766805E-2</v>
      </c>
      <c r="K315" s="105">
        <f t="shared" ca="1" si="36"/>
        <v>0.57653992101477403</v>
      </c>
      <c r="L315" s="75"/>
    </row>
    <row r="316" spans="2:12">
      <c r="B316" s="101">
        <f t="shared" ca="1" si="37"/>
        <v>61882</v>
      </c>
      <c r="C316" s="101">
        <f t="shared" ca="1" si="38"/>
        <v>61911</v>
      </c>
      <c r="D316" s="102">
        <f t="shared" ca="1" si="32"/>
        <v>91.997262149212872</v>
      </c>
      <c r="E316" s="103">
        <f t="shared" ca="1" si="33"/>
        <v>0.68923392655616289</v>
      </c>
      <c r="F316" s="104">
        <f ca="1">IF($C$4="Hombre",(+VLOOKUP(INT(D316)+1,Tablas!$G$9:$K$1240,5,0)*(D316-INT(D316))+VLOOKUP(INT(D316),Tablas!$G$9:$K$1240,5,0)*(INT(D316)+1-D316))/(VLOOKUP(INT($C$5)+1,Tablas!$G$9:$K$1240,5,0)*($C$5-INT($C$5))+VLOOKUP(INT($C$5),Tablas!$G$9:$K$124,5,0)*(INT($C$5)+1-$C$5)),(+VLOOKUP(INT(D316)+1,Tablas!$G$9:$O$1240,9,0)*(D316-INT(D316))+VLOOKUP(INT(D316),Tablas!$G$9:$O$1240,9,0)*(INT(D316)+1-D316))/(VLOOKUP(INT($C$5)+1,Tablas!$G$9:$O$1240,9,0)*($C$5-INT($C$5))+VLOOKUP(INT($C$5),Tablas!$G$9:$O$124,9,0)*(INT($C$5)+1-$C$5)))</f>
        <v>0.57321511367115119</v>
      </c>
      <c r="G316" s="97">
        <f ca="1">IF($C$4="Hombre",(+VLOOKUP(INT(D316)+1,Tablas!$G$9:$K$1240,5,0)*(D316-INT(D316))+VLOOKUP(INT(D316),Tablas!$G$9:$K$1240,5,0)*(INT(D316)+1-D316)),+VLOOKUP(INT(D316)+1,Tablas!$G$9:$O$1240,9,0)*(D316-INT(D316))+VLOOKUP(INT(D316),Tablas!$G$9:$O$1240,9,0)*(INT(D316)+1-D316))</f>
        <v>529259.75282523618</v>
      </c>
      <c r="H316" s="105">
        <f t="shared" ca="1" si="34"/>
        <v>1</v>
      </c>
      <c r="I316" s="106">
        <f t="shared" ca="1" si="35"/>
        <v>3.2923275296408733E-2</v>
      </c>
      <c r="J316" s="106">
        <f t="shared" ca="1" si="39"/>
        <v>2.8219950254064628E-2</v>
      </c>
      <c r="K316" s="105">
        <f t="shared" ca="1" si="36"/>
        <v>0.57321511367115119</v>
      </c>
      <c r="L316" s="75"/>
    </row>
    <row r="317" spans="2:12">
      <c r="B317" s="101">
        <f t="shared" ca="1" si="37"/>
        <v>61912</v>
      </c>
      <c r="C317" s="101">
        <f t="shared" ca="1" si="38"/>
        <v>61942</v>
      </c>
      <c r="D317" s="102">
        <f t="shared" ca="1" si="32"/>
        <v>92.082135523613957</v>
      </c>
      <c r="E317" s="103">
        <f t="shared" ca="1" si="33"/>
        <v>0.68836352837623493</v>
      </c>
      <c r="F317" s="104">
        <f ca="1">IF($C$4="Hombre",(+VLOOKUP(INT(D317)+1,Tablas!$G$9:$K$1240,5,0)*(D317-INT(D317))+VLOOKUP(INT(D317),Tablas!$G$9:$K$1240,5,0)*(INT(D317)+1-D317))/(VLOOKUP(INT($C$5)+1,Tablas!$G$9:$K$1240,5,0)*($C$5-INT($C$5))+VLOOKUP(INT($C$5),Tablas!$G$9:$K$124,5,0)*(INT($C$5)+1-$C$5)),(+VLOOKUP(INT(D317)+1,Tablas!$G$9:$O$1240,9,0)*(D317-INT(D317))+VLOOKUP(INT(D317),Tablas!$G$9:$O$1240,9,0)*(INT(D317)+1-D317))/(VLOOKUP(INT($C$5)+1,Tablas!$G$9:$O$1240,9,0)*($C$5-INT($C$5))+VLOOKUP(INT($C$5),Tablas!$G$9:$O$124,9,0)*(INT($C$5)+1-$C$5)))</f>
        <v>0.56960883339029333</v>
      </c>
      <c r="G317" s="97">
        <f ca="1">IF($C$4="Hombre",(+VLOOKUP(INT(D317)+1,Tablas!$G$9:$K$1240,5,0)*(D317-INT(D317))+VLOOKUP(INT(D317),Tablas!$G$9:$K$1240,5,0)*(INT(D317)+1-D317)),+VLOOKUP(INT(D317)+1,Tablas!$G$9:$O$1240,9,0)*(D317-INT(D317))+VLOOKUP(INT(D317),Tablas!$G$9:$O$1240,9,0)*(INT(D317)+1-D317))</f>
        <v>525930.00982903119</v>
      </c>
      <c r="H317" s="105">
        <f t="shared" ca="1" si="34"/>
        <v>1</v>
      </c>
      <c r="I317" s="106">
        <f t="shared" ca="1" si="35"/>
        <v>3.2674828862234433E-2</v>
      </c>
      <c r="J317" s="106">
        <f t="shared" ca="1" si="39"/>
        <v>2.800699616762951E-2</v>
      </c>
      <c r="K317" s="105">
        <f t="shared" ca="1" si="36"/>
        <v>0.56960883339029333</v>
      </c>
      <c r="L317" s="75"/>
    </row>
    <row r="318" spans="2:12">
      <c r="B318" s="101">
        <f t="shared" ca="1" si="37"/>
        <v>61943</v>
      </c>
      <c r="C318" s="101">
        <f t="shared" ca="1" si="38"/>
        <v>61973</v>
      </c>
      <c r="D318" s="102">
        <f t="shared" ca="1" si="32"/>
        <v>92.167008898015055</v>
      </c>
      <c r="E318" s="103">
        <f t="shared" ca="1" si="33"/>
        <v>0.6874942293775318</v>
      </c>
      <c r="F318" s="104">
        <f ca="1">IF($C$4="Hombre",(+VLOOKUP(INT(D318)+1,Tablas!$G$9:$K$1240,5,0)*(D318-INT(D318))+VLOOKUP(INT(D318),Tablas!$G$9:$K$1240,5,0)*(INT(D318)+1-D318))/(VLOOKUP(INT($C$5)+1,Tablas!$G$9:$K$1240,5,0)*($C$5-INT($C$5))+VLOOKUP(INT($C$5),Tablas!$G$9:$K$124,5,0)*(INT($C$5)+1-$C$5)),(+VLOOKUP(INT(D318)+1,Tablas!$G$9:$O$1240,9,0)*(D318-INT(D318))+VLOOKUP(INT(D318),Tablas!$G$9:$O$1240,9,0)*(INT(D318)+1-D318))/(VLOOKUP(INT($C$5)+1,Tablas!$G$9:$O$1240,9,0)*($C$5-INT($C$5))+VLOOKUP(INT($C$5),Tablas!$G$9:$O$124,9,0)*(INT($C$5)+1-$C$5)))</f>
        <v>0.56599686490857559</v>
      </c>
      <c r="G318" s="97">
        <f ca="1">IF($C$4="Hombre",(+VLOOKUP(INT(D318)+1,Tablas!$G$9:$K$1240,5,0)*(D318-INT(D318))+VLOOKUP(INT(D318),Tablas!$G$9:$K$1240,5,0)*(INT(D318)+1-D318)),+VLOOKUP(INT(D318)+1,Tablas!$G$9:$O$1240,9,0)*(D318-INT(D318))+VLOOKUP(INT(D318),Tablas!$G$9:$O$1240,9,0)*(INT(D318)+1-D318))</f>
        <v>522595.01481537358</v>
      </c>
      <c r="H318" s="105">
        <f t="shared" ca="1" si="34"/>
        <v>1</v>
      </c>
      <c r="I318" s="106">
        <f t="shared" ca="1" si="35"/>
        <v>3.2426631539201681E-2</v>
      </c>
      <c r="J318" s="106">
        <f t="shared" ca="1" si="39"/>
        <v>2.7794255605030013E-2</v>
      </c>
      <c r="K318" s="105">
        <f t="shared" ca="1" si="36"/>
        <v>0.56599686490857559</v>
      </c>
      <c r="L318" s="75"/>
    </row>
    <row r="319" spans="2:12">
      <c r="B319" s="101">
        <f t="shared" ca="1" si="37"/>
        <v>61974</v>
      </c>
      <c r="C319" s="101">
        <f t="shared" ca="1" si="38"/>
        <v>62003</v>
      </c>
      <c r="D319" s="102">
        <f t="shared" ca="1" si="32"/>
        <v>92.249144421629026</v>
      </c>
      <c r="E319" s="103">
        <f t="shared" ca="1" si="33"/>
        <v>0.68665401754148592</v>
      </c>
      <c r="F319" s="104">
        <f ca="1">IF($C$4="Hombre",(+VLOOKUP(INT(D319)+1,Tablas!$G$9:$K$1240,5,0)*(D319-INT(D319))+VLOOKUP(INT(D319),Tablas!$G$9:$K$1240,5,0)*(INT(D319)+1-D319))/(VLOOKUP(INT($C$5)+1,Tablas!$G$9:$K$1240,5,0)*($C$5-INT($C$5))+VLOOKUP(INT($C$5),Tablas!$G$9:$K$124,5,0)*(INT($C$5)+1-$C$5)),(+VLOOKUP(INT(D319)+1,Tablas!$G$9:$O$1240,9,0)*(D319-INT(D319))+VLOOKUP(INT(D319),Tablas!$G$9:$O$1240,9,0)*(INT(D319)+1-D319))/(VLOOKUP(INT($C$5)+1,Tablas!$G$9:$O$1240,9,0)*($C$5-INT($C$5))+VLOOKUP(INT($C$5),Tablas!$G$9:$O$124,9,0)*(INT($C$5)+1-$C$5)))</f>
        <v>0.56250141153917099</v>
      </c>
      <c r="G319" s="97">
        <f ca="1">IF($C$4="Hombre",(+VLOOKUP(INT(D319)+1,Tablas!$G$9:$K$1240,5,0)*(D319-INT(D319))+VLOOKUP(INT(D319),Tablas!$G$9:$K$1240,5,0)*(INT(D319)+1-D319)),+VLOOKUP(INT(D319)+1,Tablas!$G$9:$O$1240,9,0)*(D319-INT(D319))+VLOOKUP(INT(D319),Tablas!$G$9:$O$1240,9,0)*(INT(D319)+1-D319))</f>
        <v>519367.60028602724</v>
      </c>
      <c r="H319" s="105">
        <f t="shared" ca="1" si="34"/>
        <v>1</v>
      </c>
      <c r="I319" s="106">
        <f t="shared" ca="1" si="35"/>
        <v>3.2186987842177377E-2</v>
      </c>
      <c r="J319" s="106">
        <f t="shared" ca="1" si="39"/>
        <v>2.758884672186632E-2</v>
      </c>
      <c r="K319" s="105">
        <f t="shared" ca="1" si="36"/>
        <v>0.56250141153917099</v>
      </c>
      <c r="L319" s="75"/>
    </row>
    <row r="320" spans="2:12">
      <c r="B320" s="101">
        <f t="shared" ca="1" si="37"/>
        <v>62004</v>
      </c>
      <c r="C320" s="101">
        <f t="shared" ca="1" si="38"/>
        <v>62034</v>
      </c>
      <c r="D320" s="102">
        <f t="shared" ca="1" si="32"/>
        <v>92.334017796030111</v>
      </c>
      <c r="E320" s="103">
        <f t="shared" ca="1" si="33"/>
        <v>0.68578687739634747</v>
      </c>
      <c r="F320" s="104">
        <f ca="1">IF($C$4="Hombre",(+VLOOKUP(INT(D320)+1,Tablas!$G$9:$K$1240,5,0)*(D320-INT(D320))+VLOOKUP(INT(D320),Tablas!$G$9:$K$1240,5,0)*(INT(D320)+1-D320))/(VLOOKUP(INT($C$5)+1,Tablas!$G$9:$K$1240,5,0)*($C$5-INT($C$5))+VLOOKUP(INT($C$5),Tablas!$G$9:$K$124,5,0)*(INT($C$5)+1-$C$5)),(+VLOOKUP(INT(D320)+1,Tablas!$G$9:$O$1240,9,0)*(D320-INT(D320))+VLOOKUP(INT(D320),Tablas!$G$9:$O$1240,9,0)*(INT(D320)+1-D320))/(VLOOKUP(INT($C$5)+1,Tablas!$G$9:$O$1240,9,0)*($C$5-INT($C$5))+VLOOKUP(INT($C$5),Tablas!$G$9:$O$124,9,0)*(INT($C$5)+1-$C$5)))</f>
        <v>0.55888944305745381</v>
      </c>
      <c r="G320" s="97">
        <f ca="1">IF($C$4="Hombre",(+VLOOKUP(INT(D320)+1,Tablas!$G$9:$K$1240,5,0)*(D320-INT(D320))+VLOOKUP(INT(D320),Tablas!$G$9:$K$1240,5,0)*(INT(D320)+1-D320)),+VLOOKUP(INT(D320)+1,Tablas!$G$9:$O$1240,9,0)*(D320-INT(D320))+VLOOKUP(INT(D320),Tablas!$G$9:$O$1240,9,0)*(INT(D320)+1-D320))</f>
        <v>516032.6052723701</v>
      </c>
      <c r="H320" s="105">
        <f t="shared" ca="1" si="34"/>
        <v>1</v>
      </c>
      <c r="I320" s="106">
        <f t="shared" ca="1" si="35"/>
        <v>3.1939920497012914E-2</v>
      </c>
      <c r="J320" s="106">
        <f t="shared" ca="1" si="39"/>
        <v>2.7377074711725354E-2</v>
      </c>
      <c r="K320" s="105">
        <f t="shared" ca="1" si="36"/>
        <v>0.55888944305745381</v>
      </c>
      <c r="L320" s="75"/>
    </row>
    <row r="321" spans="2:12">
      <c r="B321" s="101">
        <f t="shared" ca="1" si="37"/>
        <v>62035</v>
      </c>
      <c r="C321" s="101">
        <f t="shared" ca="1" si="38"/>
        <v>62064</v>
      </c>
      <c r="D321" s="102">
        <f t="shared" ca="1" si="32"/>
        <v>92.416153319644081</v>
      </c>
      <c r="E321" s="103">
        <f t="shared" ca="1" si="33"/>
        <v>0.68494875217758733</v>
      </c>
      <c r="F321" s="104">
        <f ca="1">IF($C$4="Hombre",(+VLOOKUP(INT(D321)+1,Tablas!$G$9:$K$1240,5,0)*(D321-INT(D321))+VLOOKUP(INT(D321),Tablas!$G$9:$K$1240,5,0)*(INT(D321)+1-D321))/(VLOOKUP(INT($C$5)+1,Tablas!$G$9:$K$1240,5,0)*($C$5-INT($C$5))+VLOOKUP(INT($C$5),Tablas!$G$9:$K$124,5,0)*(INT($C$5)+1-$C$5)),(+VLOOKUP(INT(D321)+1,Tablas!$G$9:$O$1240,9,0)*(D321-INT(D321))+VLOOKUP(INT(D321),Tablas!$G$9:$O$1240,9,0)*(INT(D321)+1-D321))/(VLOOKUP(INT($C$5)+1,Tablas!$G$9:$O$1240,9,0)*($C$5-INT($C$5))+VLOOKUP(INT($C$5),Tablas!$G$9:$O$124,9,0)*(INT($C$5)+1-$C$5)))</f>
        <v>0.55539398968804932</v>
      </c>
      <c r="G321" s="97">
        <f ca="1">IF($C$4="Hombre",(+VLOOKUP(INT(D321)+1,Tablas!$G$9:$K$1240,5,0)*(D321-INT(D321))+VLOOKUP(INT(D321),Tablas!$G$9:$K$1240,5,0)*(INT(D321)+1-D321)),+VLOOKUP(INT(D321)+1,Tablas!$G$9:$O$1240,9,0)*(D321-INT(D321))+VLOOKUP(INT(D321),Tablas!$G$9:$O$1240,9,0)*(INT(D321)+1-D321))</f>
        <v>512805.19074302376</v>
      </c>
      <c r="H321" s="105">
        <f t="shared" ca="1" si="34"/>
        <v>1</v>
      </c>
      <c r="I321" s="106">
        <f t="shared" ca="1" si="35"/>
        <v>3.1701368350313432E-2</v>
      </c>
      <c r="J321" s="106">
        <f t="shared" ca="1" si="39"/>
        <v>5.4345202886251602E-2</v>
      </c>
      <c r="K321" s="105">
        <f t="shared" ca="1" si="36"/>
        <v>0.55539398968804932</v>
      </c>
      <c r="L321" s="75"/>
    </row>
    <row r="322" spans="2:12">
      <c r="B322" s="101">
        <f t="shared" ca="1" si="37"/>
        <v>62065</v>
      </c>
      <c r="C322" s="101">
        <f t="shared" ca="1" si="38"/>
        <v>62095</v>
      </c>
      <c r="D322" s="102">
        <f t="shared" ca="1" si="32"/>
        <v>92.50102669404518</v>
      </c>
      <c r="E322" s="103">
        <f t="shared" ca="1" si="33"/>
        <v>0.68408376552462569</v>
      </c>
      <c r="F322" s="104">
        <f ca="1">IF($C$4="Hombre",(+VLOOKUP(INT(D322)+1,Tablas!$G$9:$K$1240,5,0)*(D322-INT(D322))+VLOOKUP(INT(D322),Tablas!$G$9:$K$1240,5,0)*(INT(D322)+1-D322))/(VLOOKUP(INT($C$5)+1,Tablas!$G$9:$K$1240,5,0)*($C$5-INT($C$5))+VLOOKUP(INT($C$5),Tablas!$G$9:$K$124,5,0)*(INT($C$5)+1-$C$5)),(+VLOOKUP(INT(D322)+1,Tablas!$G$9:$O$1240,9,0)*(D322-INT(D322))+VLOOKUP(INT(D322),Tablas!$G$9:$O$1240,9,0)*(INT(D322)+1-D322))/(VLOOKUP(INT($C$5)+1,Tablas!$G$9:$O$1240,9,0)*($C$5-INT($C$5))+VLOOKUP(INT($C$5),Tablas!$G$9:$O$124,9,0)*(INT($C$5)+1-$C$5)))</f>
        <v>0.55178202120633157</v>
      </c>
      <c r="G322" s="97">
        <f ca="1">IF($C$4="Hombre",(+VLOOKUP(INT(D322)+1,Tablas!$G$9:$K$1240,5,0)*(D322-INT(D322))+VLOOKUP(INT(D322),Tablas!$G$9:$K$1240,5,0)*(INT(D322)+1-D322)),+VLOOKUP(INT(D322)+1,Tablas!$G$9:$O$1240,9,0)*(D322-INT(D322))+VLOOKUP(INT(D322),Tablas!$G$9:$O$1240,9,0)*(INT(D322)+1-D322))</f>
        <v>509470.19572936615</v>
      </c>
      <c r="H322" s="105">
        <f t="shared" ca="1" si="34"/>
        <v>1</v>
      </c>
      <c r="I322" s="106">
        <f t="shared" ca="1" si="35"/>
        <v>3.1455426901301348E-2</v>
      </c>
      <c r="J322" s="106">
        <f t="shared" ca="1" si="39"/>
        <v>2.6961794486829727E-2</v>
      </c>
      <c r="K322" s="105">
        <f t="shared" ca="1" si="36"/>
        <v>0.55178202120633157</v>
      </c>
      <c r="L322" s="75"/>
    </row>
    <row r="323" spans="2:12">
      <c r="B323" s="101">
        <f t="shared" ca="1" si="37"/>
        <v>62096</v>
      </c>
      <c r="C323" s="101">
        <f t="shared" ca="1" si="38"/>
        <v>62126</v>
      </c>
      <c r="D323" s="102">
        <f t="shared" ca="1" si="32"/>
        <v>92.585900068446264</v>
      </c>
      <c r="E323" s="103">
        <f t="shared" ca="1" si="33"/>
        <v>0.68321987121894934</v>
      </c>
      <c r="F323" s="104">
        <f ca="1">IF($C$4="Hombre",(+VLOOKUP(INT(D323)+1,Tablas!$G$9:$K$1240,5,0)*(D323-INT(D323))+VLOOKUP(INT(D323),Tablas!$G$9:$K$1240,5,0)*(INT(D323)+1-D323))/(VLOOKUP(INT($C$5)+1,Tablas!$G$9:$K$1240,5,0)*($C$5-INT($C$5))+VLOOKUP(INT($C$5),Tablas!$G$9:$K$124,5,0)*(INT($C$5)+1-$C$5)),(+VLOOKUP(INT(D323)+1,Tablas!$G$9:$O$1240,9,0)*(D323-INT(D323))+VLOOKUP(INT(D323),Tablas!$G$9:$O$1240,9,0)*(INT(D323)+1-D323))/(VLOOKUP(INT($C$5)+1,Tablas!$G$9:$O$1240,9,0)*($C$5-INT($C$5))+VLOOKUP(INT($C$5),Tablas!$G$9:$O$124,9,0)*(INT($C$5)+1-$C$5)))</f>
        <v>0.54817005272461428</v>
      </c>
      <c r="G323" s="97">
        <f ca="1">IF($C$4="Hombre",(+VLOOKUP(INT(D323)+1,Tablas!$G$9:$K$1240,5,0)*(D323-INT(D323))+VLOOKUP(INT(D323),Tablas!$G$9:$K$1240,5,0)*(INT(D323)+1-D323)),+VLOOKUP(INT(D323)+1,Tablas!$G$9:$O$1240,9,0)*(D323-INT(D323))+VLOOKUP(INT(D323),Tablas!$G$9:$O$1240,9,0)*(INT(D323)+1-D323))</f>
        <v>506135.20071570901</v>
      </c>
      <c r="H323" s="105">
        <f t="shared" ca="1" si="34"/>
        <v>1</v>
      </c>
      <c r="I323" s="106">
        <f t="shared" ca="1" si="35"/>
        <v>3.1210056069049637E-2</v>
      </c>
      <c r="J323" s="106">
        <f t="shared" ca="1" si="39"/>
        <v>2.6751476630613974E-2</v>
      </c>
      <c r="K323" s="105">
        <f t="shared" ca="1" si="36"/>
        <v>0.54817005272461428</v>
      </c>
      <c r="L323" s="75"/>
    </row>
    <row r="324" spans="2:12">
      <c r="B324" s="101">
        <f t="shared" ca="1" si="37"/>
        <v>62127</v>
      </c>
      <c r="C324" s="101">
        <f t="shared" ca="1" si="38"/>
        <v>62154</v>
      </c>
      <c r="D324" s="102">
        <f t="shared" ca="1" si="32"/>
        <v>92.662559890485966</v>
      </c>
      <c r="E324" s="103">
        <f t="shared" ca="1" si="33"/>
        <v>0.68244051733633848</v>
      </c>
      <c r="F324" s="104">
        <f ca="1">IF($C$4="Hombre",(+VLOOKUP(INT(D324)+1,Tablas!$G$9:$K$1240,5,0)*(D324-INT(D324))+VLOOKUP(INT(D324),Tablas!$G$9:$K$1240,5,0)*(INT(D324)+1-D324))/(VLOOKUP(INT($C$5)+1,Tablas!$G$9:$K$1240,5,0)*($C$5-INT($C$5))+VLOOKUP(INT($C$5),Tablas!$G$9:$K$124,5,0)*(INT($C$5)+1-$C$5)),(+VLOOKUP(INT(D324)+1,Tablas!$G$9:$O$1240,9,0)*(D324-INT(D324))+VLOOKUP(INT(D324),Tablas!$G$9:$O$1240,9,0)*(INT(D324)+1-D324))/(VLOOKUP(INT($C$5)+1,Tablas!$G$9:$O$1240,9,0)*($C$5-INT($C$5))+VLOOKUP(INT($C$5),Tablas!$G$9:$O$124,9,0)*(INT($C$5)+1-$C$5)))</f>
        <v>0.54490762957983696</v>
      </c>
      <c r="G324" s="97">
        <f ca="1">IF($C$4="Hombre",(+VLOOKUP(INT(D324)+1,Tablas!$G$9:$K$1240,5,0)*(D324-INT(D324))+VLOOKUP(INT(D324),Tablas!$G$9:$K$1240,5,0)*(INT(D324)+1-D324)),+VLOOKUP(INT(D324)+1,Tablas!$G$9:$O$1240,9,0)*(D324-INT(D324))+VLOOKUP(INT(D324),Tablas!$G$9:$O$1240,9,0)*(INT(D324)+1-D324))</f>
        <v>503122.94715498597</v>
      </c>
      <c r="H324" s="105">
        <f t="shared" ca="1" si="34"/>
        <v>1</v>
      </c>
      <c r="I324" s="106">
        <f t="shared" ca="1" si="35"/>
        <v>3.0988920385915154E-2</v>
      </c>
      <c r="J324" s="106">
        <f t="shared" ca="1" si="39"/>
        <v>2.6561931759355846E-2</v>
      </c>
      <c r="K324" s="105">
        <f t="shared" ca="1" si="36"/>
        <v>0.54490762957983696</v>
      </c>
      <c r="L324" s="75"/>
    </row>
    <row r="325" spans="2:12">
      <c r="B325" s="101">
        <f t="shared" ca="1" si="37"/>
        <v>62155</v>
      </c>
      <c r="C325" s="101">
        <f t="shared" ca="1" si="38"/>
        <v>62185</v>
      </c>
      <c r="D325" s="102">
        <f t="shared" ca="1" si="32"/>
        <v>92.747433264887064</v>
      </c>
      <c r="E325" s="103">
        <f t="shared" ca="1" si="33"/>
        <v>0.68157869820452821</v>
      </c>
      <c r="F325" s="104">
        <f ca="1">IF($C$4="Hombre",(+VLOOKUP(INT(D325)+1,Tablas!$G$9:$K$1240,5,0)*(D325-INT(D325))+VLOOKUP(INT(D325),Tablas!$G$9:$K$1240,5,0)*(INT(D325)+1-D325))/(VLOOKUP(INT($C$5)+1,Tablas!$G$9:$K$1240,5,0)*($C$5-INT($C$5))+VLOOKUP(INT($C$5),Tablas!$G$9:$K$124,5,0)*(INT($C$5)+1-$C$5)),(+VLOOKUP(INT(D325)+1,Tablas!$G$9:$O$1240,9,0)*(D325-INT(D325))+VLOOKUP(INT(D325),Tablas!$G$9:$O$1240,9,0)*(INT(D325)+1-D325))/(VLOOKUP(INT($C$5)+1,Tablas!$G$9:$O$1240,9,0)*($C$5-INT($C$5))+VLOOKUP(INT($C$5),Tablas!$G$9:$O$124,9,0)*(INT($C$5)+1-$C$5)))</f>
        <v>0.54129566109811922</v>
      </c>
      <c r="G325" s="97">
        <f ca="1">IF($C$4="Hombre",(+VLOOKUP(INT(D325)+1,Tablas!$G$9:$K$1240,5,0)*(D325-INT(D325))+VLOOKUP(INT(D325),Tablas!$G$9:$K$1240,5,0)*(INT(D325)+1-D325)),+VLOOKUP(INT(D325)+1,Tablas!$G$9:$O$1240,9,0)*(D325-INT(D325))+VLOOKUP(INT(D325),Tablas!$G$9:$O$1240,9,0)*(INT(D325)+1-D325))</f>
        <v>499787.95214132831</v>
      </c>
      <c r="H325" s="105">
        <f t="shared" ca="1" si="34"/>
        <v>1</v>
      </c>
      <c r="I325" s="106">
        <f t="shared" ca="1" si="35"/>
        <v>3.0744632669584628E-2</v>
      </c>
      <c r="J325" s="106">
        <f t="shared" ca="1" si="39"/>
        <v>2.6352542288215396E-2</v>
      </c>
      <c r="K325" s="105">
        <f t="shared" ca="1" si="36"/>
        <v>0.54129566109811922</v>
      </c>
      <c r="L325" s="75"/>
    </row>
    <row r="326" spans="2:12">
      <c r="B326" s="101">
        <f t="shared" ca="1" si="37"/>
        <v>62186</v>
      </c>
      <c r="C326" s="101">
        <f t="shared" ca="1" si="38"/>
        <v>62215</v>
      </c>
      <c r="D326" s="102">
        <f t="shared" ca="1" si="32"/>
        <v>92.829568788501021</v>
      </c>
      <c r="E326" s="103">
        <f t="shared" ca="1" si="33"/>
        <v>0.68074571595543143</v>
      </c>
      <c r="F326" s="104">
        <f ca="1">IF($C$4="Hombre",(+VLOOKUP(INT(D326)+1,Tablas!$G$9:$K$1240,5,0)*(D326-INT(D326))+VLOOKUP(INT(D326),Tablas!$G$9:$K$1240,5,0)*(INT(D326)+1-D326))/(VLOOKUP(INT($C$5)+1,Tablas!$G$9:$K$1240,5,0)*($C$5-INT($C$5))+VLOOKUP(INT($C$5),Tablas!$G$9:$K$124,5,0)*(INT($C$5)+1-$C$5)),(+VLOOKUP(INT(D326)+1,Tablas!$G$9:$O$1240,9,0)*(D326-INT(D326))+VLOOKUP(INT(D326),Tablas!$G$9:$O$1240,9,0)*(INT(D326)+1-D326))/(VLOOKUP(INT($C$5)+1,Tablas!$G$9:$O$1240,9,0)*($C$5-INT($C$5))+VLOOKUP(INT($C$5),Tablas!$G$9:$O$124,9,0)*(INT($C$5)+1-$C$5)))</f>
        <v>0.53780020772871517</v>
      </c>
      <c r="G326" s="97">
        <f ca="1">IF($C$4="Hombre",(+VLOOKUP(INT(D326)+1,Tablas!$G$9:$K$1240,5,0)*(D326-INT(D326))+VLOOKUP(INT(D326),Tablas!$G$9:$K$1240,5,0)*(INT(D326)+1-D326)),+VLOOKUP(INT(D326)+1,Tablas!$G$9:$O$1240,9,0)*(D326-INT(D326))+VLOOKUP(INT(D326),Tablas!$G$9:$O$1240,9,0)*(INT(D326)+1-D326))</f>
        <v>496560.53761198249</v>
      </c>
      <c r="H326" s="105">
        <f t="shared" ca="1" si="34"/>
        <v>1</v>
      </c>
      <c r="I326" s="106">
        <f t="shared" ca="1" si="35"/>
        <v>3.0508765620938662E-2</v>
      </c>
      <c r="J326" s="106">
        <f t="shared" ca="1" si="39"/>
        <v>2.6150370532233142E-2</v>
      </c>
      <c r="K326" s="105">
        <f t="shared" ca="1" si="36"/>
        <v>0.53780020772871517</v>
      </c>
      <c r="L326" s="75"/>
    </row>
    <row r="327" spans="2:12">
      <c r="B327" s="101">
        <f t="shared" ca="1" si="37"/>
        <v>62216</v>
      </c>
      <c r="C327" s="101">
        <f t="shared" ca="1" si="38"/>
        <v>62246</v>
      </c>
      <c r="D327" s="102">
        <f t="shared" ca="1" si="32"/>
        <v>92.91444216290212</v>
      </c>
      <c r="E327" s="103">
        <f t="shared" ca="1" si="33"/>
        <v>0.67988603710137085</v>
      </c>
      <c r="F327" s="104">
        <f ca="1">IF($C$4="Hombre",(+VLOOKUP(INT(D327)+1,Tablas!$G$9:$K$1240,5,0)*(D327-INT(D327))+VLOOKUP(INT(D327),Tablas!$G$9:$K$1240,5,0)*(INT(D327)+1-D327))/(VLOOKUP(INT($C$5)+1,Tablas!$G$9:$K$1240,5,0)*($C$5-INT($C$5))+VLOOKUP(INT($C$5),Tablas!$G$9:$K$124,5,0)*(INT($C$5)+1-$C$5)),(+VLOOKUP(INT(D327)+1,Tablas!$G$9:$O$1240,9,0)*(D327-INT(D327))+VLOOKUP(INT(D327),Tablas!$G$9:$O$1240,9,0)*(INT(D327)+1-D327))/(VLOOKUP(INT($C$5)+1,Tablas!$G$9:$O$1240,9,0)*($C$5-INT($C$5))+VLOOKUP(INT($C$5),Tablas!$G$9:$O$124,9,0)*(INT($C$5)+1-$C$5)))</f>
        <v>0.53418823924699743</v>
      </c>
      <c r="G327" s="97">
        <f ca="1">IF($C$4="Hombre",(+VLOOKUP(INT(D327)+1,Tablas!$G$9:$K$1240,5,0)*(D327-INT(D327))+VLOOKUP(INT(D327),Tablas!$G$9:$K$1240,5,0)*(INT(D327)+1-D327)),+VLOOKUP(INT(D327)+1,Tablas!$G$9:$O$1240,9,0)*(D327-INT(D327))+VLOOKUP(INT(D327),Tablas!$G$9:$O$1240,9,0)*(INT(D327)+1-D327))</f>
        <v>493225.54259832489</v>
      </c>
      <c r="H327" s="105">
        <f t="shared" ca="1" si="34"/>
        <v>1</v>
      </c>
      <c r="I327" s="106">
        <f t="shared" ca="1" si="35"/>
        <v>3.0265593753983338E-2</v>
      </c>
      <c r="J327" s="106">
        <f t="shared" ca="1" si="39"/>
        <v>5.1883875006828575E-2</v>
      </c>
      <c r="K327" s="105">
        <f t="shared" ca="1" si="36"/>
        <v>0.53418823924699743</v>
      </c>
      <c r="L327" s="75"/>
    </row>
    <row r="328" spans="2:12">
      <c r="B328" s="101">
        <f t="shared" ca="1" si="37"/>
        <v>62247</v>
      </c>
      <c r="C328" s="101">
        <f t="shared" ca="1" si="38"/>
        <v>62276</v>
      </c>
      <c r="D328" s="102">
        <f t="shared" ca="1" si="32"/>
        <v>92.99657768651609</v>
      </c>
      <c r="E328" s="103">
        <f t="shared" ca="1" si="33"/>
        <v>0.67905512351530029</v>
      </c>
      <c r="F328" s="104">
        <f ca="1">IF($C$4="Hombre",(+VLOOKUP(INT(D328)+1,Tablas!$G$9:$K$1240,5,0)*(D328-INT(D328))+VLOOKUP(INT(D328),Tablas!$G$9:$K$1240,5,0)*(INT(D328)+1-D328))/(VLOOKUP(INT($C$5)+1,Tablas!$G$9:$K$1240,5,0)*($C$5-INT($C$5))+VLOOKUP(INT($C$5),Tablas!$G$9:$K$124,5,0)*(INT($C$5)+1-$C$5)),(+VLOOKUP(INT(D328)+1,Tablas!$G$9:$O$1240,9,0)*(D328-INT(D328))+VLOOKUP(INT(D328),Tablas!$G$9:$O$1240,9,0)*(INT(D328)+1-D328))/(VLOOKUP(INT($C$5)+1,Tablas!$G$9:$O$1240,9,0)*($C$5-INT($C$5))+VLOOKUP(INT($C$5),Tablas!$G$9:$O$124,9,0)*(INT($C$5)+1-$C$5)))</f>
        <v>0.53069278587759294</v>
      </c>
      <c r="G328" s="97">
        <f ca="1">IF($C$4="Hombre",(+VLOOKUP(INT(D328)+1,Tablas!$G$9:$K$1240,5,0)*(D328-INT(D328))+VLOOKUP(INT(D328),Tablas!$G$9:$K$1240,5,0)*(INT(D328)+1-D328)),+VLOOKUP(INT(D328)+1,Tablas!$G$9:$O$1240,9,0)*(D328-INT(D328))+VLOOKUP(INT(D328),Tablas!$G$9:$O$1240,9,0)*(INT(D328)+1-D328))</f>
        <v>489998.12806897855</v>
      </c>
      <c r="H328" s="105">
        <f t="shared" ca="1" si="34"/>
        <v>1</v>
      </c>
      <c r="I328" s="106">
        <f t="shared" ca="1" si="35"/>
        <v>3.0030804605232306E-2</v>
      </c>
      <c r="J328" s="106">
        <f t="shared" ca="1" si="39"/>
        <v>2.5740689661627691E-2</v>
      </c>
      <c r="K328" s="105">
        <f t="shared" ca="1" si="36"/>
        <v>0.53069278587759294</v>
      </c>
      <c r="L328" s="75"/>
    </row>
    <row r="329" spans="2:12">
      <c r="B329" s="101">
        <f t="shared" ca="1" si="37"/>
        <v>62277</v>
      </c>
      <c r="C329" s="101">
        <f t="shared" ca="1" si="38"/>
        <v>62307</v>
      </c>
      <c r="D329" s="102">
        <f t="shared" ca="1" si="32"/>
        <v>93.081451060917175</v>
      </c>
      <c r="E329" s="103">
        <f t="shared" ca="1" si="33"/>
        <v>0.67819757962373395</v>
      </c>
      <c r="F329" s="104">
        <f ca="1">IF($C$4="Hombre",(+VLOOKUP(INT(D329)+1,Tablas!$G$9:$K$1240,5,0)*(D329-INT(D329))+VLOOKUP(INT(D329),Tablas!$G$9:$K$1240,5,0)*(INT(D329)+1-D329))/(VLOOKUP(INT($C$5)+1,Tablas!$G$9:$K$1240,5,0)*($C$5-INT($C$5))+VLOOKUP(INT($C$5),Tablas!$G$9:$K$124,5,0)*(INT($C$5)+1-$C$5)),(+VLOOKUP(INT(D329)+1,Tablas!$G$9:$O$1240,9,0)*(D329-INT(D329))+VLOOKUP(INT(D329),Tablas!$G$9:$O$1240,9,0)*(INT(D329)+1-D329))/(VLOOKUP(INT($C$5)+1,Tablas!$G$9:$O$1240,9,0)*($C$5-INT($C$5))+VLOOKUP(INT($C$5),Tablas!$G$9:$O$124,9,0)*(INT($C$5)+1-$C$5)))</f>
        <v>0.52692826483170452</v>
      </c>
      <c r="G329" s="97">
        <f ca="1">IF($C$4="Hombre",(+VLOOKUP(INT(D329)+1,Tablas!$G$9:$K$1240,5,0)*(D329-INT(D329))+VLOOKUP(INT(D329),Tablas!$G$9:$K$1240,5,0)*(INT(D329)+1-D329)),+VLOOKUP(INT(D329)+1,Tablas!$G$9:$O$1240,9,0)*(D329-INT(D329))+VLOOKUP(INT(D329),Tablas!$G$9:$O$1240,9,0)*(INT(D329)+1-D329))</f>
        <v>486522.2785480335</v>
      </c>
      <c r="H329" s="105">
        <f t="shared" ca="1" si="34"/>
        <v>1</v>
      </c>
      <c r="I329" s="106">
        <f t="shared" ca="1" si="35"/>
        <v>2.9780122820349655E-2</v>
      </c>
      <c r="J329" s="106">
        <f t="shared" ca="1" si="39"/>
        <v>2.5525819560299704E-2</v>
      </c>
      <c r="K329" s="105">
        <f t="shared" ca="1" si="36"/>
        <v>0.52692826483170452</v>
      </c>
      <c r="L329" s="75"/>
    </row>
    <row r="330" spans="2:12">
      <c r="B330" s="101">
        <f t="shared" ca="1" si="37"/>
        <v>62308</v>
      </c>
      <c r="C330" s="101">
        <f t="shared" ca="1" si="38"/>
        <v>62338</v>
      </c>
      <c r="D330" s="102">
        <f t="shared" ca="1" si="32"/>
        <v>93.166324435318273</v>
      </c>
      <c r="E330" s="103">
        <f t="shared" ca="1" si="33"/>
        <v>0.67734111868037095</v>
      </c>
      <c r="F330" s="104">
        <f ca="1">IF($C$4="Hombre",(+VLOOKUP(INT(D330)+1,Tablas!$G$9:$K$1240,5,0)*(D330-INT(D330))+VLOOKUP(INT(D330),Tablas!$G$9:$K$1240,5,0)*(INT(D330)+1-D330))/(VLOOKUP(INT($C$5)+1,Tablas!$G$9:$K$1240,5,0)*($C$5-INT($C$5))+VLOOKUP(INT($C$5),Tablas!$G$9:$K$124,5,0)*(INT($C$5)+1-$C$5)),(+VLOOKUP(INT(D330)+1,Tablas!$G$9:$O$1240,9,0)*(D330-INT(D330))+VLOOKUP(INT(D330),Tablas!$G$9:$O$1240,9,0)*(INT(D330)+1-D330))/(VLOOKUP(INT($C$5)+1,Tablas!$G$9:$O$1240,9,0)*($C$5-INT($C$5))+VLOOKUP(INT($C$5),Tablas!$G$9:$O$124,9,0)*(INT($C$5)+1-$C$5)))</f>
        <v>0.52315733401421161</v>
      </c>
      <c r="G330" s="97">
        <f ca="1">IF($C$4="Hombre",(+VLOOKUP(INT(D330)+1,Tablas!$G$9:$K$1240,5,0)*(D330-INT(D330))+VLOOKUP(INT(D330),Tablas!$G$9:$K$1240,5,0)*(INT(D330)+1-D330)),+VLOOKUP(INT(D330)+1,Tablas!$G$9:$O$1240,9,0)*(D330-INT(D330))+VLOOKUP(INT(D330),Tablas!$G$9:$O$1240,9,0)*(INT(D330)+1-D330))</f>
        <v>483040.51077047922</v>
      </c>
      <c r="H330" s="105">
        <f t="shared" ca="1" si="34"/>
        <v>1</v>
      </c>
      <c r="I330" s="106">
        <f t="shared" ca="1" si="35"/>
        <v>2.9529664488918882E-2</v>
      </c>
      <c r="J330" s="106">
        <f t="shared" ca="1" si="39"/>
        <v>2.5311140990501895E-2</v>
      </c>
      <c r="K330" s="105">
        <f t="shared" ca="1" si="36"/>
        <v>0.52315733401421161</v>
      </c>
      <c r="L330" s="75"/>
    </row>
    <row r="331" spans="2:12">
      <c r="B331" s="101">
        <f t="shared" ca="1" si="37"/>
        <v>62339</v>
      </c>
      <c r="C331" s="101">
        <f t="shared" ca="1" si="38"/>
        <v>62368</v>
      </c>
      <c r="D331" s="102">
        <f t="shared" ca="1" si="32"/>
        <v>93.248459958932244</v>
      </c>
      <c r="E331" s="103">
        <f t="shared" ca="1" si="33"/>
        <v>0.67651331533215808</v>
      </c>
      <c r="F331" s="104">
        <f ca="1">IF($C$4="Hombre",(+VLOOKUP(INT(D331)+1,Tablas!$G$9:$K$1240,5,0)*(D331-INT(D331))+VLOOKUP(INT(D331),Tablas!$G$9:$K$1240,5,0)*(INT(D331)+1-D331))/(VLOOKUP(INT($C$5)+1,Tablas!$G$9:$K$1240,5,0)*($C$5-INT($C$5))+VLOOKUP(INT($C$5),Tablas!$G$9:$K$124,5,0)*(INT($C$5)+1-$C$5)),(+VLOOKUP(INT(D331)+1,Tablas!$G$9:$O$1240,9,0)*(D331-INT(D331))+VLOOKUP(INT(D331),Tablas!$G$9:$O$1240,9,0)*(INT(D331)+1-D331))/(VLOOKUP(INT($C$5)+1,Tablas!$G$9:$O$1240,9,0)*($C$5-INT($C$5))+VLOOKUP(INT($C$5),Tablas!$G$9:$O$124,9,0)*(INT($C$5)+1-$C$5)))</f>
        <v>0.51950804612631518</v>
      </c>
      <c r="G331" s="97">
        <f ca="1">IF($C$4="Hombre",(+VLOOKUP(INT(D331)+1,Tablas!$G$9:$K$1240,5,0)*(D331-INT(D331))+VLOOKUP(INT(D331),Tablas!$G$9:$K$1240,5,0)*(INT(D331)+1-D331)),+VLOOKUP(INT(D331)+1,Tablas!$G$9:$O$1240,9,0)*(D331-INT(D331))+VLOOKUP(INT(D331),Tablas!$G$9:$O$1240,9,0)*(INT(D331)+1-D331))</f>
        <v>479671.05808252329</v>
      </c>
      <c r="H331" s="105">
        <f t="shared" ca="1" si="34"/>
        <v>1</v>
      </c>
      <c r="I331" s="106">
        <f t="shared" ca="1" si="35"/>
        <v>2.9287842552220431E-2</v>
      </c>
      <c r="J331" s="106">
        <f t="shared" ca="1" si="39"/>
        <v>2.5103865044760369E-2</v>
      </c>
      <c r="K331" s="105">
        <f t="shared" ca="1" si="36"/>
        <v>0.51950804612631518</v>
      </c>
      <c r="L331" s="75"/>
    </row>
    <row r="332" spans="2:12">
      <c r="B332" s="101">
        <f t="shared" ca="1" si="37"/>
        <v>62369</v>
      </c>
      <c r="C332" s="101">
        <f t="shared" ca="1" si="38"/>
        <v>62399</v>
      </c>
      <c r="D332" s="102">
        <f t="shared" ca="1" si="32"/>
        <v>93.333333333333329</v>
      </c>
      <c r="E332" s="103">
        <f t="shared" ca="1" si="33"/>
        <v>0.67565898135979496</v>
      </c>
      <c r="F332" s="104">
        <f ca="1">IF($C$4="Hombre",(+VLOOKUP(INT(D332)+1,Tablas!$G$9:$K$1240,5,0)*(D332-INT(D332))+VLOOKUP(INT(D332),Tablas!$G$9:$K$1240,5,0)*(INT(D332)+1-D332))/(VLOOKUP(INT($C$5)+1,Tablas!$G$9:$K$1240,5,0)*($C$5-INT($C$5))+VLOOKUP(INT($C$5),Tablas!$G$9:$K$124,5,0)*(INT($C$5)+1-$C$5)),(+VLOOKUP(INT(D332)+1,Tablas!$G$9:$O$1240,9,0)*(D332-INT(D332))+VLOOKUP(INT(D332),Tablas!$G$9:$O$1240,9,0)*(INT(D332)+1-D332))/(VLOOKUP(INT($C$5)+1,Tablas!$G$9:$O$1240,9,0)*($C$5-INT($C$5))+VLOOKUP(INT($C$5),Tablas!$G$9:$O$124,9,0)*(INT($C$5)+1-$C$5)))</f>
        <v>0.51573711530882294</v>
      </c>
      <c r="G332" s="97">
        <f ca="1">IF($C$4="Hombre",(+VLOOKUP(INT(D332)+1,Tablas!$G$9:$K$1240,5,0)*(D332-INT(D332))+VLOOKUP(INT(D332),Tablas!$G$9:$K$1240,5,0)*(INT(D332)+1-D332)),+VLOOKUP(INT(D332)+1,Tablas!$G$9:$O$1240,9,0)*(D332-INT(D332))+VLOOKUP(INT(D332),Tablas!$G$9:$O$1240,9,0)*(INT(D332)+1-D332))</f>
        <v>476189.29030496959</v>
      </c>
      <c r="H332" s="105">
        <f t="shared" ca="1" si="34"/>
        <v>1</v>
      </c>
      <c r="I332" s="106">
        <f t="shared" ca="1" si="35"/>
        <v>2.9038534498249866E-2</v>
      </c>
      <c r="J332" s="106">
        <f t="shared" ca="1" si="39"/>
        <v>2.4890172427071314E-2</v>
      </c>
      <c r="K332" s="105">
        <f t="shared" ca="1" si="36"/>
        <v>0.51573711530882294</v>
      </c>
      <c r="L332" s="75"/>
    </row>
    <row r="333" spans="2:12">
      <c r="B333" s="101">
        <f t="shared" ca="1" si="37"/>
        <v>62400</v>
      </c>
      <c r="C333" s="101">
        <f t="shared" ca="1" si="38"/>
        <v>62429</v>
      </c>
      <c r="D333" s="102">
        <f t="shared" ca="1" si="32"/>
        <v>93.4154688569473</v>
      </c>
      <c r="E333" s="103">
        <f t="shared" ca="1" si="33"/>
        <v>0.674833233813109</v>
      </c>
      <c r="F333" s="104">
        <f ca="1">IF($C$4="Hombre",(+VLOOKUP(INT(D333)+1,Tablas!$G$9:$K$1240,5,0)*(D333-INT(D333))+VLOOKUP(INT(D333),Tablas!$G$9:$K$1240,5,0)*(INT(D333)+1-D333))/(VLOOKUP(INT($C$5)+1,Tablas!$G$9:$K$1240,5,0)*($C$5-INT($C$5))+VLOOKUP(INT($C$5),Tablas!$G$9:$K$124,5,0)*(INT($C$5)+1-$C$5)),(+VLOOKUP(INT(D333)+1,Tablas!$G$9:$O$1240,9,0)*(D333-INT(D333))+VLOOKUP(INT(D333),Tablas!$G$9:$O$1240,9,0)*(INT(D333)+1-D333))/(VLOOKUP(INT($C$5)+1,Tablas!$G$9:$O$1240,9,0)*($C$5-INT($C$5))+VLOOKUP(INT($C$5),Tablas!$G$9:$O$124,9,0)*(INT($C$5)+1-$C$5)))</f>
        <v>0.5120878274209264</v>
      </c>
      <c r="G333" s="97">
        <f ca="1">IF($C$4="Hombre",(+VLOOKUP(INT(D333)+1,Tablas!$G$9:$K$1240,5,0)*(D333-INT(D333))+VLOOKUP(INT(D333),Tablas!$G$9:$K$1240,5,0)*(INT(D333)+1-D333)),+VLOOKUP(INT(D333)+1,Tablas!$G$9:$O$1240,9,0)*(D333-INT(D333))+VLOOKUP(INT(D333),Tablas!$G$9:$O$1240,9,0)*(INT(D333)+1-D333))</f>
        <v>472819.8376170136</v>
      </c>
      <c r="H333" s="105">
        <f t="shared" ca="1" si="34"/>
        <v>1</v>
      </c>
      <c r="I333" s="106">
        <f t="shared" ca="1" si="35"/>
        <v>2.8797823714566084E-2</v>
      </c>
      <c r="J333" s="106">
        <f t="shared" ca="1" si="39"/>
        <v>4.9367697796398997E-2</v>
      </c>
      <c r="K333" s="105">
        <f t="shared" ca="1" si="36"/>
        <v>0.5120878274209264</v>
      </c>
      <c r="L333" s="75"/>
    </row>
    <row r="334" spans="2:12">
      <c r="B334" s="101">
        <f t="shared" ca="1" si="37"/>
        <v>62430</v>
      </c>
      <c r="C334" s="101">
        <f t="shared" ca="1" si="38"/>
        <v>62460</v>
      </c>
      <c r="D334" s="102">
        <f t="shared" ca="1" si="32"/>
        <v>93.500342231348398</v>
      </c>
      <c r="E334" s="103">
        <f t="shared" ca="1" si="33"/>
        <v>0.67398102152953676</v>
      </c>
      <c r="F334" s="104">
        <f ca="1">IF($C$4="Hombre",(+VLOOKUP(INT(D334)+1,Tablas!$G$9:$K$1240,5,0)*(D334-INT(D334))+VLOOKUP(INT(D334),Tablas!$G$9:$K$1240,5,0)*(INT(D334)+1-D334))/(VLOOKUP(INT($C$5)+1,Tablas!$G$9:$K$1240,5,0)*($C$5-INT($C$5))+VLOOKUP(INT($C$5),Tablas!$G$9:$K$124,5,0)*(INT($C$5)+1-$C$5)),(+VLOOKUP(INT(D334)+1,Tablas!$G$9:$O$1240,9,0)*(D334-INT(D334))+VLOOKUP(INT(D334),Tablas!$G$9:$O$1240,9,0)*(INT(D334)+1-D334))/(VLOOKUP(INT($C$5)+1,Tablas!$G$9:$O$1240,9,0)*($C$5-INT($C$5))+VLOOKUP(INT($C$5),Tablas!$G$9:$O$124,9,0)*(INT($C$5)+1-$C$5)))</f>
        <v>0.50831689660343349</v>
      </c>
      <c r="G334" s="97">
        <f ca="1">IF($C$4="Hombre",(+VLOOKUP(INT(D334)+1,Tablas!$G$9:$K$1240,5,0)*(D334-INT(D334))+VLOOKUP(INT(D334),Tablas!$G$9:$K$1240,5,0)*(INT(D334)+1-D334)),+VLOOKUP(INT(D334)+1,Tablas!$G$9:$O$1240,9,0)*(D334-INT(D334))+VLOOKUP(INT(D334),Tablas!$G$9:$O$1240,9,0)*(INT(D334)+1-D334))</f>
        <v>469338.06983945926</v>
      </c>
      <c r="H334" s="105">
        <f t="shared" ca="1" si="34"/>
        <v>1</v>
      </c>
      <c r="I334" s="106">
        <f t="shared" ca="1" si="35"/>
        <v>2.8549661769458834E-2</v>
      </c>
      <c r="J334" s="106">
        <f t="shared" ca="1" si="39"/>
        <v>2.4471138659536144E-2</v>
      </c>
      <c r="K334" s="105">
        <f t="shared" ca="1" si="36"/>
        <v>0.50831689660343349</v>
      </c>
      <c r="L334" s="75"/>
    </row>
    <row r="335" spans="2:12">
      <c r="B335" s="101">
        <f t="shared" ca="1" si="37"/>
        <v>62461</v>
      </c>
      <c r="C335" s="101">
        <f t="shared" ca="1" si="38"/>
        <v>62491</v>
      </c>
      <c r="D335" s="102">
        <f t="shared" ca="1" si="32"/>
        <v>93.585215605749482</v>
      </c>
      <c r="E335" s="103">
        <f t="shared" ca="1" si="33"/>
        <v>0.67312988546115371</v>
      </c>
      <c r="F335" s="104">
        <f ca="1">IF($C$4="Hombre",(+VLOOKUP(INT(D335)+1,Tablas!$G$9:$K$1240,5,0)*(D335-INT(D335))+VLOOKUP(INT(D335),Tablas!$G$9:$K$1240,5,0)*(INT(D335)+1-D335))/(VLOOKUP(INT($C$5)+1,Tablas!$G$9:$K$1240,5,0)*($C$5-INT($C$5))+VLOOKUP(INT($C$5),Tablas!$G$9:$K$124,5,0)*(INT($C$5)+1-$C$5)),(+VLOOKUP(INT(D335)+1,Tablas!$G$9:$O$1240,9,0)*(D335-INT(D335))+VLOOKUP(INT(D335),Tablas!$G$9:$O$1240,9,0)*(INT(D335)+1-D335))/(VLOOKUP(INT($C$5)+1,Tablas!$G$9:$O$1240,9,0)*($C$5-INT($C$5))+VLOOKUP(INT($C$5),Tablas!$G$9:$O$124,9,0)*(INT($C$5)+1-$C$5)))</f>
        <v>0.50454596578594135</v>
      </c>
      <c r="G335" s="97">
        <f ca="1">IF($C$4="Hombre",(+VLOOKUP(INT(D335)+1,Tablas!$G$9:$K$1240,5,0)*(D335-INT(D335))+VLOOKUP(INT(D335),Tablas!$G$9:$K$1240,5,0)*(INT(D335)+1-D335)),+VLOOKUP(INT(D335)+1,Tablas!$G$9:$O$1240,9,0)*(D335-INT(D335))+VLOOKUP(INT(D335),Tablas!$G$9:$O$1240,9,0)*(INT(D335)+1-D335))</f>
        <v>465856.30206190562</v>
      </c>
      <c r="H335" s="105">
        <f t="shared" ca="1" si="34"/>
        <v>1</v>
      </c>
      <c r="I335" s="106">
        <f t="shared" ca="1" si="35"/>
        <v>2.8302080679948157E-2</v>
      </c>
      <c r="J335" s="106">
        <f t="shared" ca="1" si="39"/>
        <v>2.4258926297098419E-2</v>
      </c>
      <c r="K335" s="105">
        <f t="shared" ca="1" si="36"/>
        <v>0.50454596578594135</v>
      </c>
      <c r="L335" s="75"/>
    </row>
    <row r="336" spans="2:12">
      <c r="B336" s="101">
        <f t="shared" ca="1" si="37"/>
        <v>62492</v>
      </c>
      <c r="C336" s="101">
        <f t="shared" ca="1" si="38"/>
        <v>62519</v>
      </c>
      <c r="D336" s="102">
        <f t="shared" ca="1" si="32"/>
        <v>93.661875427789184</v>
      </c>
      <c r="E336" s="103">
        <f t="shared" ca="1" si="33"/>
        <v>0.67236204129877652</v>
      </c>
      <c r="F336" s="104">
        <f ca="1">IF($C$4="Hombre",(+VLOOKUP(INT(D336)+1,Tablas!$G$9:$K$1240,5,0)*(D336-INT(D336))+VLOOKUP(INT(D336),Tablas!$G$9:$K$1240,5,0)*(INT(D336)+1-D336))/(VLOOKUP(INT($C$5)+1,Tablas!$G$9:$K$1240,5,0)*($C$5-INT($C$5))+VLOOKUP(INT($C$5),Tablas!$G$9:$K$124,5,0)*(INT($C$5)+1-$C$5)),(+VLOOKUP(INT(D336)+1,Tablas!$G$9:$O$1240,9,0)*(D336-INT(D336))+VLOOKUP(INT(D336),Tablas!$G$9:$O$1240,9,0)*(INT(D336)+1-D336))/(VLOOKUP(INT($C$5)+1,Tablas!$G$9:$O$1240,9,0)*($C$5-INT($C$5))+VLOOKUP(INT($C$5),Tablas!$G$9:$O$124,9,0)*(INT($C$5)+1-$C$5)))</f>
        <v>0.50113996375723813</v>
      </c>
      <c r="G336" s="97">
        <f ca="1">IF($C$4="Hombre",(+VLOOKUP(INT(D336)+1,Tablas!$G$9:$K$1240,5,0)*(D336-INT(D336))+VLOOKUP(INT(D336),Tablas!$G$9:$K$1240,5,0)*(INT(D336)+1-D336)),+VLOOKUP(INT(D336)+1,Tablas!$G$9:$O$1240,9,0)*(D336-INT(D336))+VLOOKUP(INT(D336),Tablas!$G$9:$O$1240,9,0)*(INT(D336)+1-D336))</f>
        <v>462711.47955314693</v>
      </c>
      <c r="H336" s="105">
        <f t="shared" ca="1" si="34"/>
        <v>1</v>
      </c>
      <c r="I336" s="106">
        <f t="shared" ca="1" si="35"/>
        <v>2.8078957417350957E-2</v>
      </c>
      <c r="J336" s="106">
        <f t="shared" ca="1" si="39"/>
        <v>2.4067677786300819E-2</v>
      </c>
      <c r="K336" s="105">
        <f t="shared" ca="1" si="36"/>
        <v>0.50113996375723813</v>
      </c>
      <c r="L336" s="75"/>
    </row>
    <row r="337" spans="2:12">
      <c r="B337" s="101">
        <f t="shared" ca="1" si="37"/>
        <v>62520</v>
      </c>
      <c r="C337" s="101">
        <f t="shared" ca="1" si="38"/>
        <v>62550</v>
      </c>
      <c r="D337" s="102">
        <f t="shared" ca="1" si="32"/>
        <v>93.746748802190282</v>
      </c>
      <c r="E337" s="103">
        <f t="shared" ca="1" si="33"/>
        <v>0.67151294975750064</v>
      </c>
      <c r="F337" s="104">
        <f ca="1">IF($C$4="Hombre",(+VLOOKUP(INT(D337)+1,Tablas!$G$9:$K$1240,5,0)*(D337-INT(D337))+VLOOKUP(INT(D337),Tablas!$G$9:$K$1240,5,0)*(INT(D337)+1-D337))/(VLOOKUP(INT($C$5)+1,Tablas!$G$9:$K$1240,5,0)*($C$5-INT($C$5))+VLOOKUP(INT($C$5),Tablas!$G$9:$K$124,5,0)*(INT($C$5)+1-$C$5)),(+VLOOKUP(INT(D337)+1,Tablas!$G$9:$O$1240,9,0)*(D337-INT(D337))+VLOOKUP(INT(D337),Tablas!$G$9:$O$1240,9,0)*(INT(D337)+1-D337))/(VLOOKUP(INT($C$5)+1,Tablas!$G$9:$O$1240,9,0)*($C$5-INT($C$5))+VLOOKUP(INT($C$5),Tablas!$G$9:$O$124,9,0)*(INT($C$5)+1-$C$5)))</f>
        <v>0.49736903293974527</v>
      </c>
      <c r="G337" s="97">
        <f ca="1">IF($C$4="Hombre",(+VLOOKUP(INT(D337)+1,Tablas!$G$9:$K$1240,5,0)*(D337-INT(D337))+VLOOKUP(INT(D337),Tablas!$G$9:$K$1240,5,0)*(INT(D337)+1-D337)),+VLOOKUP(INT(D337)+1,Tablas!$G$9:$O$1240,9,0)*(D337-INT(D337))+VLOOKUP(INT(D337),Tablas!$G$9:$O$1240,9,0)*(INT(D337)+1-D337))</f>
        <v>459229.71177559264</v>
      </c>
      <c r="H337" s="105">
        <f t="shared" ca="1" si="34"/>
        <v>1</v>
      </c>
      <c r="I337" s="106">
        <f t="shared" ca="1" si="35"/>
        <v>2.7832478868950322E-2</v>
      </c>
      <c r="J337" s="106">
        <f t="shared" ca="1" si="39"/>
        <v>2.3856410459100277E-2</v>
      </c>
      <c r="K337" s="105">
        <f t="shared" ca="1" si="36"/>
        <v>0.49736903293974527</v>
      </c>
      <c r="L337" s="75"/>
    </row>
    <row r="338" spans="2:12">
      <c r="B338" s="101">
        <f t="shared" ca="1" si="37"/>
        <v>62551</v>
      </c>
      <c r="C338" s="101">
        <f t="shared" ca="1" si="38"/>
        <v>62580</v>
      </c>
      <c r="D338" s="102">
        <f t="shared" ref="D338:D401" ca="1" si="40">-_xlfn.DAYS($C$3,C338)/365.25</f>
        <v>93.828884325804239</v>
      </c>
      <c r="E338" s="103">
        <f t="shared" ref="E338:E401" ca="1" si="41">IF($D$17+40&lt;=D338,(1+$D$7)^-(D338-$C$5),(1+$C$7)^-(D338-$C$5))</f>
        <v>0.67069226922763625</v>
      </c>
      <c r="F338" s="104">
        <f ca="1">IF($C$4="Hombre",(+VLOOKUP(INT(D338)+1,Tablas!$G$9:$K$1240,5,0)*(D338-INT(D338))+VLOOKUP(INT(D338),Tablas!$G$9:$K$1240,5,0)*(INT(D338)+1-D338))/(VLOOKUP(INT($C$5)+1,Tablas!$G$9:$K$1240,5,0)*($C$5-INT($C$5))+VLOOKUP(INT($C$5),Tablas!$G$9:$K$124,5,0)*(INT($C$5)+1-$C$5)),(+VLOOKUP(INT(D338)+1,Tablas!$G$9:$O$1240,9,0)*(D338-INT(D338))+VLOOKUP(INT(D338),Tablas!$G$9:$O$1240,9,0)*(INT(D338)+1-D338))/(VLOOKUP(INT($C$5)+1,Tablas!$G$9:$O$1240,9,0)*($C$5-INT($C$5))+VLOOKUP(INT($C$5),Tablas!$G$9:$O$124,9,0)*(INT($C$5)+1-$C$5)))</f>
        <v>0.49371974505184935</v>
      </c>
      <c r="G338" s="97">
        <f ca="1">IF($C$4="Hombre",(+VLOOKUP(INT(D338)+1,Tablas!$G$9:$K$1240,5,0)*(D338-INT(D338))+VLOOKUP(INT(D338),Tablas!$G$9:$K$1240,5,0)*(INT(D338)+1-D338)),+VLOOKUP(INT(D338)+1,Tablas!$G$9:$O$1240,9,0)*(D338-INT(D338))+VLOOKUP(INT(D338),Tablas!$G$9:$O$1240,9,0)*(INT(D338)+1-D338))</f>
        <v>455860.25908763724</v>
      </c>
      <c r="H338" s="105">
        <f t="shared" ref="H338:H401" ca="1" si="42">+IF(MONTH(B338)=1,H337*(1+$C$9),H337)</f>
        <v>1</v>
      </c>
      <c r="I338" s="106">
        <f t="shared" ref="I338:I401" ca="1" si="43">IF(B338&lt;$C$10,0,IF(B338&lt;$C$11,$C$8/12*E338*F338*H338,0))</f>
        <v>2.759450134760957E-2</v>
      </c>
      <c r="J338" s="106">
        <f t="shared" ca="1" si="39"/>
        <v>2.3652429726522487E-2</v>
      </c>
      <c r="K338" s="105">
        <f t="shared" ref="K338:K401" ca="1" si="44">G338/$G$15</f>
        <v>0.49371974505184935</v>
      </c>
      <c r="L338" s="75"/>
    </row>
    <row r="339" spans="2:12">
      <c r="B339" s="101">
        <f t="shared" ref="B339:B402" ca="1" si="45">+DATE(YEAR(B338),MONTH(B338)+1,DAY(B338))</f>
        <v>62581</v>
      </c>
      <c r="C339" s="101">
        <f t="shared" ref="C339:C402" ca="1" si="46">+B340-1</f>
        <v>62611</v>
      </c>
      <c r="D339" s="102">
        <f t="shared" ca="1" si="40"/>
        <v>93.913757700205338</v>
      </c>
      <c r="E339" s="103">
        <f t="shared" ca="1" si="41"/>
        <v>0.66984528635587837</v>
      </c>
      <c r="F339" s="104">
        <f ca="1">IF($C$4="Hombre",(+VLOOKUP(INT(D339)+1,Tablas!$G$9:$K$1240,5,0)*(D339-INT(D339))+VLOOKUP(INT(D339),Tablas!$G$9:$K$1240,5,0)*(INT(D339)+1-D339))/(VLOOKUP(INT($C$5)+1,Tablas!$G$9:$K$1240,5,0)*($C$5-INT($C$5))+VLOOKUP(INT($C$5),Tablas!$G$9:$K$124,5,0)*(INT($C$5)+1-$C$5)),(+VLOOKUP(INT(D339)+1,Tablas!$G$9:$O$1240,9,0)*(D339-INT(D339))+VLOOKUP(INT(D339),Tablas!$G$9:$O$1240,9,0)*(INT(D339)+1-D339))/(VLOOKUP(INT($C$5)+1,Tablas!$G$9:$O$1240,9,0)*($C$5-INT($C$5))+VLOOKUP(INT($C$5),Tablas!$G$9:$O$124,9,0)*(INT($C$5)+1-$C$5)))</f>
        <v>0.48994881423435643</v>
      </c>
      <c r="G339" s="97">
        <f ca="1">IF($C$4="Hombre",(+VLOOKUP(INT(D339)+1,Tablas!$G$9:$K$1240,5,0)*(D339-INT(D339))+VLOOKUP(INT(D339),Tablas!$G$9:$K$1240,5,0)*(INT(D339)+1-D339)),+VLOOKUP(INT(D339)+1,Tablas!$G$9:$O$1240,9,0)*(D339-INT(D339))+VLOOKUP(INT(D339),Tablas!$G$9:$O$1240,9,0)*(INT(D339)+1-D339))</f>
        <v>452378.4913100829</v>
      </c>
      <c r="H339" s="105">
        <f t="shared" ca="1" si="42"/>
        <v>1</v>
      </c>
      <c r="I339" s="106">
        <f t="shared" ca="1" si="43"/>
        <v>2.7349158647544627E-2</v>
      </c>
      <c r="J339" s="106">
        <f t="shared" ref="J339:J402" ca="1" si="47">I339*12/14+IF(OR(MONTH(C339)=6,MONTH(C339)=12),I339*12/14,0)</f>
        <v>4.6884271967219358E-2</v>
      </c>
      <c r="K339" s="105">
        <f t="shared" ca="1" si="44"/>
        <v>0.48994881423435643</v>
      </c>
      <c r="L339" s="75"/>
    </row>
    <row r="340" spans="2:12">
      <c r="B340" s="101">
        <f t="shared" ca="1" si="45"/>
        <v>62612</v>
      </c>
      <c r="C340" s="101">
        <f t="shared" ca="1" si="46"/>
        <v>62641</v>
      </c>
      <c r="D340" s="102">
        <f t="shared" ca="1" si="40"/>
        <v>93.995893223819309</v>
      </c>
      <c r="E340" s="103">
        <f t="shared" ca="1" si="41"/>
        <v>0.66902664393843536</v>
      </c>
      <c r="F340" s="104">
        <f ca="1">IF($C$4="Hombre",(+VLOOKUP(INT(D340)+1,Tablas!$G$9:$K$1240,5,0)*(D340-INT(D340))+VLOOKUP(INT(D340),Tablas!$G$9:$K$1240,5,0)*(INT(D340)+1-D340))/(VLOOKUP(INT($C$5)+1,Tablas!$G$9:$K$1240,5,0)*($C$5-INT($C$5))+VLOOKUP(INT($C$5),Tablas!$G$9:$K$124,5,0)*(INT($C$5)+1-$C$5)),(+VLOOKUP(INT(D340)+1,Tablas!$G$9:$O$1240,9,0)*(D340-INT(D340))+VLOOKUP(INT(D340),Tablas!$G$9:$O$1240,9,0)*(INT(D340)+1-D340))/(VLOOKUP(INT($C$5)+1,Tablas!$G$9:$O$1240,9,0)*($C$5-INT($C$5))+VLOOKUP(INT($C$5),Tablas!$G$9:$O$124,9,0)*(INT($C$5)+1-$C$5)))</f>
        <v>0.48629952634645995</v>
      </c>
      <c r="G340" s="97">
        <f ca="1">IF($C$4="Hombre",(+VLOOKUP(INT(D340)+1,Tablas!$G$9:$K$1240,5,0)*(D340-INT(D340))+VLOOKUP(INT(D340),Tablas!$G$9:$K$1240,5,0)*(INT(D340)+1-D340)),+VLOOKUP(INT(D340)+1,Tablas!$G$9:$O$1240,9,0)*(D340-INT(D340))+VLOOKUP(INT(D340),Tablas!$G$9:$O$1240,9,0)*(INT(D340)+1-D340))</f>
        <v>449009.03862212697</v>
      </c>
      <c r="H340" s="105">
        <f t="shared" ca="1" si="42"/>
        <v>1</v>
      </c>
      <c r="I340" s="106">
        <f t="shared" ca="1" si="43"/>
        <v>2.7112278338368566E-2</v>
      </c>
      <c r="J340" s="106">
        <f t="shared" ca="1" si="47"/>
        <v>2.3239095718601627E-2</v>
      </c>
      <c r="K340" s="105">
        <f t="shared" ca="1" si="44"/>
        <v>0.48629952634645995</v>
      </c>
      <c r="L340" s="75"/>
    </row>
    <row r="341" spans="2:12">
      <c r="B341" s="101">
        <f t="shared" ca="1" si="45"/>
        <v>62642</v>
      </c>
      <c r="C341" s="101">
        <f t="shared" ca="1" si="46"/>
        <v>62672</v>
      </c>
      <c r="D341" s="102">
        <f t="shared" ca="1" si="40"/>
        <v>94.080766598220393</v>
      </c>
      <c r="E341" s="103">
        <f t="shared" ca="1" si="41"/>
        <v>0.66818176449943711</v>
      </c>
      <c r="F341" s="104">
        <f ca="1">IF($C$4="Hombre",(+VLOOKUP(INT(D341)+1,Tablas!$G$9:$K$1240,5,0)*(D341-INT(D341))+VLOOKUP(INT(D341),Tablas!$G$9:$K$1240,5,0)*(INT(D341)+1-D341))/(VLOOKUP(INT($C$5)+1,Tablas!$G$9:$K$1240,5,0)*($C$5-INT($C$5))+VLOOKUP(INT($C$5),Tablas!$G$9:$K$124,5,0)*(INT($C$5)+1-$C$5)),(+VLOOKUP(INT(D341)+1,Tablas!$G$9:$O$1240,9,0)*(D341-INT(D341))+VLOOKUP(INT(D341),Tablas!$G$9:$O$1240,9,0)*(INT(D341)+1-D341))/(VLOOKUP(INT($C$5)+1,Tablas!$G$9:$O$1240,9,0)*($C$5-INT($C$5))+VLOOKUP(INT($C$5),Tablas!$G$9:$O$124,9,0)*(INT($C$5)+1-$C$5)))</f>
        <v>0.482361577163754</v>
      </c>
      <c r="G341" s="97">
        <f ca="1">IF($C$4="Hombre",(+VLOOKUP(INT(D341)+1,Tablas!$G$9:$K$1240,5,0)*(D341-INT(D341))+VLOOKUP(INT(D341),Tablas!$G$9:$K$1240,5,0)*(INT(D341)+1-D341)),+VLOOKUP(INT(D341)+1,Tablas!$G$9:$O$1240,9,0)*(D341-INT(D341))+VLOOKUP(INT(D341),Tablas!$G$9:$O$1240,9,0)*(INT(D341)+1-D341))</f>
        <v>445373.05980480468</v>
      </c>
      <c r="H341" s="105">
        <f t="shared" ca="1" si="42"/>
        <v>1</v>
      </c>
      <c r="I341" s="106">
        <f t="shared" ca="1" si="43"/>
        <v>2.6858767479667377E-2</v>
      </c>
      <c r="J341" s="106">
        <f t="shared" ca="1" si="47"/>
        <v>2.3021800696857751E-2</v>
      </c>
      <c r="K341" s="105">
        <f t="shared" ca="1" si="44"/>
        <v>0.482361577163754</v>
      </c>
      <c r="L341" s="75"/>
    </row>
    <row r="342" spans="2:12">
      <c r="B342" s="101">
        <f t="shared" ca="1" si="45"/>
        <v>62673</v>
      </c>
      <c r="C342" s="101">
        <f t="shared" ca="1" si="46"/>
        <v>62703</v>
      </c>
      <c r="D342" s="102">
        <f t="shared" ca="1" si="40"/>
        <v>94.165639972621491</v>
      </c>
      <c r="E342" s="103">
        <f t="shared" ca="1" si="41"/>
        <v>0.6673379520153544</v>
      </c>
      <c r="F342" s="104">
        <f ca="1">IF($C$4="Hombre",(+VLOOKUP(INT(D342)+1,Tablas!$G$9:$K$1240,5,0)*(D342-INT(D342))+VLOOKUP(INT(D342),Tablas!$G$9:$K$1240,5,0)*(INT(D342)+1-D342))/(VLOOKUP(INT($C$5)+1,Tablas!$G$9:$K$1240,5,0)*($C$5-INT($C$5))+VLOOKUP(INT($C$5),Tablas!$G$9:$K$124,5,0)*(INT($C$5)+1-$C$5)),(+VLOOKUP(INT(D342)+1,Tablas!$G$9:$O$1240,9,0)*(D342-INT(D342))+VLOOKUP(INT(D342),Tablas!$G$9:$O$1240,9,0)*(INT(D342)+1-D342))/(VLOOKUP(INT($C$5)+1,Tablas!$G$9:$O$1240,9,0)*($C$5-INT($C$5))+VLOOKUP(INT($C$5),Tablas!$G$9:$O$124,9,0)*(INT($C$5)+1-$C$5)))</f>
        <v>0.4784151355217991</v>
      </c>
      <c r="G342" s="97">
        <f ca="1">IF($C$4="Hombre",(+VLOOKUP(INT(D342)+1,Tablas!$G$9:$K$1240,5,0)*(D342-INT(D342))+VLOOKUP(INT(D342),Tablas!$G$9:$K$1240,5,0)*(INT(D342)+1-D342)),+VLOOKUP(INT(D342)+1,Tablas!$G$9:$O$1240,9,0)*(D342-INT(D342))+VLOOKUP(INT(D342),Tablas!$G$9:$O$1240,9,0)*(INT(D342)+1-D342))</f>
        <v>441729.23974817141</v>
      </c>
      <c r="H342" s="105">
        <f t="shared" ca="1" si="42"/>
        <v>1</v>
      </c>
      <c r="I342" s="106">
        <f t="shared" ca="1" si="43"/>
        <v>2.6605381396022133E-2</v>
      </c>
      <c r="J342" s="106">
        <f t="shared" ca="1" si="47"/>
        <v>2.280461262516183E-2</v>
      </c>
      <c r="K342" s="105">
        <f t="shared" ca="1" si="44"/>
        <v>0.4784151355217991</v>
      </c>
      <c r="L342" s="75"/>
    </row>
    <row r="343" spans="2:12">
      <c r="B343" s="101">
        <f t="shared" ca="1" si="45"/>
        <v>62704</v>
      </c>
      <c r="C343" s="101">
        <f t="shared" ca="1" si="46"/>
        <v>62733</v>
      </c>
      <c r="D343" s="102">
        <f t="shared" ca="1" si="40"/>
        <v>94.247775496235448</v>
      </c>
      <c r="E343" s="103">
        <f t="shared" ca="1" si="41"/>
        <v>0.66652237390289004</v>
      </c>
      <c r="F343" s="104">
        <f ca="1">IF($C$4="Hombre",(+VLOOKUP(INT(D343)+1,Tablas!$G$9:$K$1240,5,0)*(D343-INT(D343))+VLOOKUP(INT(D343),Tablas!$G$9:$K$1240,5,0)*(INT(D343)+1-D343))/(VLOOKUP(INT($C$5)+1,Tablas!$G$9:$K$1240,5,0)*($C$5-INT($C$5))+VLOOKUP(INT($C$5),Tablas!$G$9:$K$124,5,0)*(INT($C$5)+1-$C$5)),(+VLOOKUP(INT(D343)+1,Tablas!$G$9:$O$1240,9,0)*(D343-INT(D343))+VLOOKUP(INT(D343),Tablas!$G$9:$O$1240,9,0)*(INT(D343)+1-D343))/(VLOOKUP(INT($C$5)+1,Tablas!$G$9:$O$1240,9,0)*($C$5-INT($C$5))+VLOOKUP(INT($C$5),Tablas!$G$9:$O$124,9,0)*(INT($C$5)+1-$C$5)))</f>
        <v>0.47459599844894013</v>
      </c>
      <c r="G343" s="97">
        <f ca="1">IF($C$4="Hombre",(+VLOOKUP(INT(D343)+1,Tablas!$G$9:$K$1240,5,0)*(D343-INT(D343))+VLOOKUP(INT(D343),Tablas!$G$9:$K$1240,5,0)*(INT(D343)+1-D343)),+VLOOKUP(INT(D343)+1,Tablas!$G$9:$O$1240,9,0)*(D343-INT(D343))+VLOOKUP(INT(D343),Tablas!$G$9:$O$1240,9,0)*(INT(D343)+1-D343))</f>
        <v>438202.9622740107</v>
      </c>
      <c r="H343" s="105">
        <f t="shared" ca="1" si="42"/>
        <v>1</v>
      </c>
      <c r="I343" s="106">
        <f t="shared" ca="1" si="43"/>
        <v>2.6360737627583324E-2</v>
      </c>
      <c r="J343" s="106">
        <f t="shared" ca="1" si="47"/>
        <v>2.259491796649999E-2</v>
      </c>
      <c r="K343" s="105">
        <f t="shared" ca="1" si="44"/>
        <v>0.47459599844894013</v>
      </c>
      <c r="L343" s="75"/>
    </row>
    <row r="344" spans="2:12">
      <c r="B344" s="101">
        <f t="shared" ca="1" si="45"/>
        <v>62734</v>
      </c>
      <c r="C344" s="101">
        <f t="shared" ca="1" si="46"/>
        <v>62764</v>
      </c>
      <c r="D344" s="102">
        <f t="shared" ca="1" si="40"/>
        <v>94.332648870636547</v>
      </c>
      <c r="E344" s="103">
        <f t="shared" ca="1" si="41"/>
        <v>0.66568065697809342</v>
      </c>
      <c r="F344" s="104">
        <f ca="1">IF($C$4="Hombre",(+VLOOKUP(INT(D344)+1,Tablas!$G$9:$K$1240,5,0)*(D344-INT(D344))+VLOOKUP(INT(D344),Tablas!$G$9:$K$1240,5,0)*(INT(D344)+1-D344))/(VLOOKUP(INT($C$5)+1,Tablas!$G$9:$K$1240,5,0)*($C$5-INT($C$5))+VLOOKUP(INT($C$5),Tablas!$G$9:$K$124,5,0)*(INT($C$5)+1-$C$5)),(+VLOOKUP(INT(D344)+1,Tablas!$G$9:$O$1240,9,0)*(D344-INT(D344))+VLOOKUP(INT(D344),Tablas!$G$9:$O$1240,9,0)*(INT(D344)+1-D344))/(VLOOKUP(INT($C$5)+1,Tablas!$G$9:$O$1240,9,0)*($C$5-INT($C$5))+VLOOKUP(INT($C$5),Tablas!$G$9:$O$124,9,0)*(INT($C$5)+1-$C$5)))</f>
        <v>0.47064955680698528</v>
      </c>
      <c r="G344" s="97">
        <f ca="1">IF($C$4="Hombre",(+VLOOKUP(INT(D344)+1,Tablas!$G$9:$K$1240,5,0)*(D344-INT(D344))+VLOOKUP(INT(D344),Tablas!$G$9:$K$1240,5,0)*(INT(D344)+1-D344)),+VLOOKUP(INT(D344)+1,Tablas!$G$9:$O$1240,9,0)*(D344-INT(D344))+VLOOKUP(INT(D344),Tablas!$G$9:$O$1240,9,0)*(INT(D344)+1-D344))</f>
        <v>434559.14221737749</v>
      </c>
      <c r="H344" s="105">
        <f t="shared" ca="1" si="42"/>
        <v>1</v>
      </c>
      <c r="I344" s="106">
        <f t="shared" ca="1" si="43"/>
        <v>2.6108525515143539E-2</v>
      </c>
      <c r="J344" s="106">
        <f t="shared" ca="1" si="47"/>
        <v>2.2378736155837322E-2</v>
      </c>
      <c r="K344" s="105">
        <f t="shared" ca="1" si="44"/>
        <v>0.47064955680698528</v>
      </c>
      <c r="L344" s="75"/>
    </row>
    <row r="345" spans="2:12">
      <c r="B345" s="101">
        <f t="shared" ca="1" si="45"/>
        <v>62765</v>
      </c>
      <c r="C345" s="101">
        <f t="shared" ca="1" si="46"/>
        <v>62794</v>
      </c>
      <c r="D345" s="102">
        <f t="shared" ca="1" si="40"/>
        <v>94.414784394250518</v>
      </c>
      <c r="E345" s="103">
        <f t="shared" ca="1" si="41"/>
        <v>0.66486710430649321</v>
      </c>
      <c r="F345" s="104">
        <f ca="1">IF($C$4="Hombre",(+VLOOKUP(INT(D345)+1,Tablas!$G$9:$K$1240,5,0)*(D345-INT(D345))+VLOOKUP(INT(D345),Tablas!$G$9:$K$1240,5,0)*(INT(D345)+1-D345))/(VLOOKUP(INT($C$5)+1,Tablas!$G$9:$K$1240,5,0)*($C$5-INT($C$5))+VLOOKUP(INT($C$5),Tablas!$G$9:$K$124,5,0)*(INT($C$5)+1-$C$5)),(+VLOOKUP(INT(D345)+1,Tablas!$G$9:$O$1240,9,0)*(D345-INT(D345))+VLOOKUP(INT(D345),Tablas!$G$9:$O$1240,9,0)*(INT(D345)+1-D345))/(VLOOKUP(INT($C$5)+1,Tablas!$G$9:$O$1240,9,0)*($C$5-INT($C$5))+VLOOKUP(INT($C$5),Tablas!$G$9:$O$124,9,0)*(INT($C$5)+1-$C$5)))</f>
        <v>0.46683041973412559</v>
      </c>
      <c r="G345" s="97">
        <f ca="1">IF($C$4="Hombre",(+VLOOKUP(INT(D345)+1,Tablas!$G$9:$K$1240,5,0)*(D345-INT(D345))+VLOOKUP(INT(D345),Tablas!$G$9:$K$1240,5,0)*(INT(D345)+1-D345)),+VLOOKUP(INT(D345)+1,Tablas!$G$9:$O$1240,9,0)*(D345-INT(D345))+VLOOKUP(INT(D345),Tablas!$G$9:$O$1240,9,0)*(INT(D345)+1-D345))</f>
        <v>431032.86474321614</v>
      </c>
      <c r="H345" s="105">
        <f t="shared" ca="1" si="42"/>
        <v>1</v>
      </c>
      <c r="I345" s="106">
        <f t="shared" ca="1" si="43"/>
        <v>2.5865015780901075E-2</v>
      </c>
      <c r="J345" s="106">
        <f t="shared" ca="1" si="47"/>
        <v>4.4340027052973276E-2</v>
      </c>
      <c r="K345" s="105">
        <f t="shared" ca="1" si="44"/>
        <v>0.46683041973412559</v>
      </c>
      <c r="L345" s="75"/>
    </row>
    <row r="346" spans="2:12">
      <c r="B346" s="101">
        <f t="shared" ca="1" si="45"/>
        <v>62795</v>
      </c>
      <c r="C346" s="101">
        <f t="shared" ca="1" si="46"/>
        <v>62825</v>
      </c>
      <c r="D346" s="102">
        <f t="shared" ca="1" si="40"/>
        <v>94.499657768651602</v>
      </c>
      <c r="E346" s="103">
        <f t="shared" ca="1" si="41"/>
        <v>0.66402747773678295</v>
      </c>
      <c r="F346" s="104">
        <f ca="1">IF($C$4="Hombre",(+VLOOKUP(INT(D346)+1,Tablas!$G$9:$K$1240,5,0)*(D346-INT(D346))+VLOOKUP(INT(D346),Tablas!$G$9:$K$1240,5,0)*(INT(D346)+1-D346))/(VLOOKUP(INT($C$5)+1,Tablas!$G$9:$K$1240,5,0)*($C$5-INT($C$5))+VLOOKUP(INT($C$5),Tablas!$G$9:$K$124,5,0)*(INT($C$5)+1-$C$5)),(+VLOOKUP(INT(D346)+1,Tablas!$G$9:$O$1240,9,0)*(D346-INT(D346))+VLOOKUP(INT(D346),Tablas!$G$9:$O$1240,9,0)*(INT(D346)+1-D346))/(VLOOKUP(INT($C$5)+1,Tablas!$G$9:$O$1240,9,0)*($C$5-INT($C$5))+VLOOKUP(INT($C$5),Tablas!$G$9:$O$124,9,0)*(INT($C$5)+1-$C$5)))</f>
        <v>0.46288397809217147</v>
      </c>
      <c r="G346" s="97">
        <f ca="1">IF($C$4="Hombre",(+VLOOKUP(INT(D346)+1,Tablas!$G$9:$K$1240,5,0)*(D346-INT(D346))+VLOOKUP(INT(D346),Tablas!$G$9:$K$1240,5,0)*(INT(D346)+1-D346)),+VLOOKUP(INT(D346)+1,Tablas!$G$9:$O$1240,9,0)*(D346-INT(D346))+VLOOKUP(INT(D346),Tablas!$G$9:$O$1240,9,0)*(INT(D346)+1-D346))</f>
        <v>427389.04468658357</v>
      </c>
      <c r="H346" s="105">
        <f t="shared" ca="1" si="42"/>
        <v>1</v>
      </c>
      <c r="I346" s="106">
        <f t="shared" ca="1" si="43"/>
        <v>2.5613973371442739E-2</v>
      </c>
      <c r="J346" s="106">
        <f t="shared" ca="1" si="47"/>
        <v>2.1954834318379492E-2</v>
      </c>
      <c r="K346" s="105">
        <f t="shared" ca="1" si="44"/>
        <v>0.46288397809217147</v>
      </c>
      <c r="L346" s="75"/>
    </row>
    <row r="347" spans="2:12">
      <c r="B347" s="101">
        <f t="shared" ca="1" si="45"/>
        <v>62826</v>
      </c>
      <c r="C347" s="101">
        <f t="shared" ca="1" si="46"/>
        <v>62856</v>
      </c>
      <c r="D347" s="102">
        <f t="shared" ca="1" si="40"/>
        <v>94.5845311430527</v>
      </c>
      <c r="E347" s="103">
        <f t="shared" ca="1" si="41"/>
        <v>0.66318891148840897</v>
      </c>
      <c r="F347" s="104">
        <f ca="1">IF($C$4="Hombre",(+VLOOKUP(INT(D347)+1,Tablas!$G$9:$K$1240,5,0)*(D347-INT(D347))+VLOOKUP(INT(D347),Tablas!$G$9:$K$1240,5,0)*(INT(D347)+1-D347))/(VLOOKUP(INT($C$5)+1,Tablas!$G$9:$K$1240,5,0)*($C$5-INT($C$5))+VLOOKUP(INT($C$5),Tablas!$G$9:$K$124,5,0)*(INT($C$5)+1-$C$5)),(+VLOOKUP(INT(D347)+1,Tablas!$G$9:$O$1240,9,0)*(D347-INT(D347))+VLOOKUP(INT(D347),Tablas!$G$9:$O$1240,9,0)*(INT(D347)+1-D347))/(VLOOKUP(INT($C$5)+1,Tablas!$G$9:$O$1240,9,0)*($C$5-INT($C$5))+VLOOKUP(INT($C$5),Tablas!$G$9:$O$124,9,0)*(INT($C$5)+1-$C$5)))</f>
        <v>0.45893753645021668</v>
      </c>
      <c r="G347" s="97">
        <f ca="1">IF($C$4="Hombre",(+VLOOKUP(INT(D347)+1,Tablas!$G$9:$K$1240,5,0)*(D347-INT(D347))+VLOOKUP(INT(D347),Tablas!$G$9:$K$1240,5,0)*(INT(D347)+1-D347)),+VLOOKUP(INT(D347)+1,Tablas!$G$9:$O$1240,9,0)*(D347-INT(D347))+VLOOKUP(INT(D347),Tablas!$G$9:$O$1240,9,0)*(INT(D347)+1-D347))</f>
        <v>423745.22462995036</v>
      </c>
      <c r="H347" s="105">
        <f t="shared" ca="1" si="42"/>
        <v>1</v>
      </c>
      <c r="I347" s="106">
        <f t="shared" ca="1" si="43"/>
        <v>2.5363523769965934E-2</v>
      </c>
      <c r="J347" s="106">
        <f t="shared" ca="1" si="47"/>
        <v>2.1740163231399372E-2</v>
      </c>
      <c r="K347" s="105">
        <f t="shared" ca="1" si="44"/>
        <v>0.45893753645021668</v>
      </c>
      <c r="L347" s="75"/>
    </row>
    <row r="348" spans="2:12">
      <c r="B348" s="101">
        <f t="shared" ca="1" si="45"/>
        <v>62857</v>
      </c>
      <c r="C348" s="101">
        <f t="shared" ca="1" si="46"/>
        <v>62885</v>
      </c>
      <c r="D348" s="102">
        <f t="shared" ca="1" si="40"/>
        <v>94.66392881587953</v>
      </c>
      <c r="E348" s="103">
        <f t="shared" ca="1" si="41"/>
        <v>0.66240540501843159</v>
      </c>
      <c r="F348" s="104">
        <f ca="1">IF($C$4="Hombre",(+VLOOKUP(INT(D348)+1,Tablas!$G$9:$K$1240,5,0)*(D348-INT(D348))+VLOOKUP(INT(D348),Tablas!$G$9:$K$1240,5,0)*(INT(D348)+1-D348))/(VLOOKUP(INT($C$5)+1,Tablas!$G$9:$K$1240,5,0)*($C$5-INT($C$5))+VLOOKUP(INT($C$5),Tablas!$G$9:$K$124,5,0)*(INT($C$5)+1-$C$5)),(+VLOOKUP(INT(D348)+1,Tablas!$G$9:$O$1240,9,0)*(D348-INT(D348))+VLOOKUP(INT(D348),Tablas!$G$9:$O$1240,9,0)*(INT(D348)+1-D348))/(VLOOKUP(INT($C$5)+1,Tablas!$G$9:$O$1240,9,0)*($C$5-INT($C$5))+VLOOKUP(INT($C$5),Tablas!$G$9:$O$124,9,0)*(INT($C$5)+1-$C$5)))</f>
        <v>0.4552457039464527</v>
      </c>
      <c r="G348" s="97">
        <f ca="1">IF($C$4="Hombre",(+VLOOKUP(INT(D348)+1,Tablas!$G$9:$K$1240,5,0)*(D348-INT(D348))+VLOOKUP(INT(D348),Tablas!$G$9:$K$1240,5,0)*(INT(D348)+1-D348)),+VLOOKUP(INT(D348)+1,Tablas!$G$9:$O$1240,9,0)*(D348-INT(D348))+VLOOKUP(INT(D348),Tablas!$G$9:$O$1240,9,0)*(INT(D348)+1-D348))</f>
        <v>420336.48973826144</v>
      </c>
      <c r="H348" s="105">
        <f t="shared" ca="1" si="42"/>
        <v>1</v>
      </c>
      <c r="I348" s="106">
        <f t="shared" ca="1" si="43"/>
        <v>2.5129767908795914E-2</v>
      </c>
      <c r="J348" s="106">
        <f t="shared" ca="1" si="47"/>
        <v>2.1539801064682212E-2</v>
      </c>
      <c r="K348" s="105">
        <f t="shared" ca="1" si="44"/>
        <v>0.4552457039464527</v>
      </c>
      <c r="L348" s="75"/>
    </row>
    <row r="349" spans="2:12">
      <c r="B349" s="101">
        <f t="shared" ca="1" si="45"/>
        <v>62886</v>
      </c>
      <c r="C349" s="101">
        <f t="shared" ca="1" si="46"/>
        <v>62916</v>
      </c>
      <c r="D349" s="102">
        <f t="shared" ca="1" si="40"/>
        <v>94.748802190280628</v>
      </c>
      <c r="E349" s="103">
        <f t="shared" ca="1" si="41"/>
        <v>0.66156888720250895</v>
      </c>
      <c r="F349" s="104">
        <f ca="1">IF($C$4="Hombre",(+VLOOKUP(INT(D349)+1,Tablas!$G$9:$K$1240,5,0)*(D349-INT(D349))+VLOOKUP(INT(D349),Tablas!$G$9:$K$1240,5,0)*(INT(D349)+1-D349))/(VLOOKUP(INT($C$5)+1,Tablas!$G$9:$K$1240,5,0)*($C$5-INT($C$5))+VLOOKUP(INT($C$5),Tablas!$G$9:$K$124,5,0)*(INT($C$5)+1-$C$5)),(+VLOOKUP(INT(D349)+1,Tablas!$G$9:$O$1240,9,0)*(D349-INT(D349))+VLOOKUP(INT(D349),Tablas!$G$9:$O$1240,9,0)*(INT(D349)+1-D349))/(VLOOKUP(INT($C$5)+1,Tablas!$G$9:$O$1240,9,0)*($C$5-INT($C$5))+VLOOKUP(INT($C$5),Tablas!$G$9:$O$124,9,0)*(INT($C$5)+1-$C$5)))</f>
        <v>0.45129926230449796</v>
      </c>
      <c r="G349" s="97">
        <f ca="1">IF($C$4="Hombre",(+VLOOKUP(INT(D349)+1,Tablas!$G$9:$K$1240,5,0)*(D349-INT(D349))+VLOOKUP(INT(D349),Tablas!$G$9:$K$1240,5,0)*(INT(D349)+1-D349)),+VLOOKUP(INT(D349)+1,Tablas!$G$9:$O$1240,9,0)*(D349-INT(D349))+VLOOKUP(INT(D349),Tablas!$G$9:$O$1240,9,0)*(INT(D349)+1-D349))</f>
        <v>416692.66968162829</v>
      </c>
      <c r="H349" s="105">
        <f t="shared" ca="1" si="42"/>
        <v>1</v>
      </c>
      <c r="I349" s="106">
        <f t="shared" ca="1" si="43"/>
        <v>2.4880462563174992E-2</v>
      </c>
      <c r="J349" s="106">
        <f t="shared" ca="1" si="47"/>
        <v>2.1326110768435706E-2</v>
      </c>
      <c r="K349" s="105">
        <f t="shared" ca="1" si="44"/>
        <v>0.45129926230449796</v>
      </c>
      <c r="L349" s="75"/>
    </row>
    <row r="350" spans="2:12">
      <c r="B350" s="101">
        <f t="shared" ca="1" si="45"/>
        <v>62917</v>
      </c>
      <c r="C350" s="101">
        <f t="shared" ca="1" si="46"/>
        <v>62946</v>
      </c>
      <c r="D350" s="102">
        <f t="shared" ca="1" si="40"/>
        <v>94.830937713894599</v>
      </c>
      <c r="E350" s="103">
        <f t="shared" ca="1" si="41"/>
        <v>0.66076035967509894</v>
      </c>
      <c r="F350" s="104">
        <f ca="1">IF($C$4="Hombre",(+VLOOKUP(INT(D350)+1,Tablas!$G$9:$K$1240,5,0)*(D350-INT(D350))+VLOOKUP(INT(D350),Tablas!$G$9:$K$1240,5,0)*(INT(D350)+1-D350))/(VLOOKUP(INT($C$5)+1,Tablas!$G$9:$K$1240,5,0)*($C$5-INT($C$5))+VLOOKUP(INT($C$5),Tablas!$G$9:$K$124,5,0)*(INT($C$5)+1-$C$5)),(+VLOOKUP(INT(D350)+1,Tablas!$G$9:$O$1240,9,0)*(D350-INT(D350))+VLOOKUP(INT(D350),Tablas!$G$9:$O$1240,9,0)*(INT(D350)+1-D350))/(VLOOKUP(INT($C$5)+1,Tablas!$G$9:$O$1240,9,0)*($C$5-INT($C$5))+VLOOKUP(INT($C$5),Tablas!$G$9:$O$124,9,0)*(INT($C$5)+1-$C$5)))</f>
        <v>0.44748012523163816</v>
      </c>
      <c r="G350" s="97">
        <f ca="1">IF($C$4="Hombre",(+VLOOKUP(INT(D350)+1,Tablas!$G$9:$K$1240,5,0)*(D350-INT(D350))+VLOOKUP(INT(D350),Tablas!$G$9:$K$1240,5,0)*(INT(D350)+1-D350)),+VLOOKUP(INT(D350)+1,Tablas!$G$9:$O$1240,9,0)*(D350-INT(D350))+VLOOKUP(INT(D350),Tablas!$G$9:$O$1240,9,0)*(INT(D350)+1-D350))</f>
        <v>413166.39220746688</v>
      </c>
      <c r="H350" s="105">
        <f t="shared" ca="1" si="42"/>
        <v>1</v>
      </c>
      <c r="I350" s="106">
        <f t="shared" ca="1" si="43"/>
        <v>2.4639760707959629E-2</v>
      </c>
      <c r="J350" s="106">
        <f t="shared" ca="1" si="47"/>
        <v>2.1119794892536823E-2</v>
      </c>
      <c r="K350" s="105">
        <f t="shared" ca="1" si="44"/>
        <v>0.44748012523163816</v>
      </c>
      <c r="L350" s="75"/>
    </row>
    <row r="351" spans="2:12">
      <c r="B351" s="101">
        <f t="shared" ca="1" si="45"/>
        <v>62947</v>
      </c>
      <c r="C351" s="101">
        <f t="shared" ca="1" si="46"/>
        <v>62977</v>
      </c>
      <c r="D351" s="102">
        <f t="shared" ca="1" si="40"/>
        <v>94.915811088295683</v>
      </c>
      <c r="E351" s="103">
        <f t="shared" ca="1" si="41"/>
        <v>0.65992591930257782</v>
      </c>
      <c r="F351" s="104">
        <f ca="1">IF($C$4="Hombre",(+VLOOKUP(INT(D351)+1,Tablas!$G$9:$K$1240,5,0)*(D351-INT(D351))+VLOOKUP(INT(D351),Tablas!$G$9:$K$1240,5,0)*(INT(D351)+1-D351))/(VLOOKUP(INT($C$5)+1,Tablas!$G$9:$K$1240,5,0)*($C$5-INT($C$5))+VLOOKUP(INT($C$5),Tablas!$G$9:$K$124,5,0)*(INT($C$5)+1-$C$5)),(+VLOOKUP(INT(D351)+1,Tablas!$G$9:$O$1240,9,0)*(D351-INT(D351))+VLOOKUP(INT(D351),Tablas!$G$9:$O$1240,9,0)*(INT(D351)+1-D351))/(VLOOKUP(INT($C$5)+1,Tablas!$G$9:$O$1240,9,0)*($C$5-INT($C$5))+VLOOKUP(INT($C$5),Tablas!$G$9:$O$124,9,0)*(INT($C$5)+1-$C$5)))</f>
        <v>0.44353368358968409</v>
      </c>
      <c r="G351" s="97">
        <f ca="1">IF($C$4="Hombre",(+VLOOKUP(INT(D351)+1,Tablas!$G$9:$K$1240,5,0)*(D351-INT(D351))+VLOOKUP(INT(D351),Tablas!$G$9:$K$1240,5,0)*(INT(D351)+1-D351)),+VLOOKUP(INT(D351)+1,Tablas!$G$9:$O$1240,9,0)*(D351-INT(D351))+VLOOKUP(INT(D351),Tablas!$G$9:$O$1240,9,0)*(INT(D351)+1-D351))</f>
        <v>409522.57215083431</v>
      </c>
      <c r="H351" s="105">
        <f t="shared" ca="1" si="42"/>
        <v>1</v>
      </c>
      <c r="I351" s="106">
        <f t="shared" ca="1" si="43"/>
        <v>2.4391614490381745E-2</v>
      </c>
      <c r="J351" s="106">
        <f t="shared" ca="1" si="47"/>
        <v>4.1814196269225848E-2</v>
      </c>
      <c r="K351" s="105">
        <f t="shared" ca="1" si="44"/>
        <v>0.44353368358968409</v>
      </c>
      <c r="L351" s="75"/>
    </row>
    <row r="352" spans="2:12">
      <c r="B352" s="101">
        <f t="shared" ca="1" si="45"/>
        <v>62978</v>
      </c>
      <c r="C352" s="101">
        <f t="shared" ca="1" si="46"/>
        <v>63007</v>
      </c>
      <c r="D352" s="102">
        <f t="shared" ca="1" si="40"/>
        <v>94.997946611909654</v>
      </c>
      <c r="E352" s="103">
        <f t="shared" ca="1" si="41"/>
        <v>0.65911939970631361</v>
      </c>
      <c r="F352" s="104">
        <f ca="1">IF($C$4="Hombre",(+VLOOKUP(INT(D352)+1,Tablas!$G$9:$K$1240,5,0)*(D352-INT(D352))+VLOOKUP(INT(D352),Tablas!$G$9:$K$1240,5,0)*(INT(D352)+1-D352))/(VLOOKUP(INT($C$5)+1,Tablas!$G$9:$K$1240,5,0)*($C$5-INT($C$5))+VLOOKUP(INT($C$5),Tablas!$G$9:$K$124,5,0)*(INT($C$5)+1-$C$5)),(+VLOOKUP(INT(D352)+1,Tablas!$G$9:$O$1240,9,0)*(D352-INT(D352))+VLOOKUP(INT(D352),Tablas!$G$9:$O$1240,9,0)*(INT(D352)+1-D352))/(VLOOKUP(INT($C$5)+1,Tablas!$G$9:$O$1240,9,0)*($C$5-INT($C$5))+VLOOKUP(INT($C$5),Tablas!$G$9:$O$124,9,0)*(INT($C$5)+1-$C$5)))</f>
        <v>0.43971454651682435</v>
      </c>
      <c r="G352" s="97">
        <f ca="1">IF($C$4="Hombre",(+VLOOKUP(INT(D352)+1,Tablas!$G$9:$K$1240,5,0)*(D352-INT(D352))+VLOOKUP(INT(D352),Tablas!$G$9:$K$1240,5,0)*(INT(D352)+1-D352)),+VLOOKUP(INT(D352)+1,Tablas!$G$9:$O$1240,9,0)*(D352-INT(D352))+VLOOKUP(INT(D352),Tablas!$G$9:$O$1240,9,0)*(INT(D352)+1-D352))</f>
        <v>405996.29467667296</v>
      </c>
      <c r="H352" s="105">
        <f t="shared" ca="1" si="42"/>
        <v>1</v>
      </c>
      <c r="I352" s="106">
        <f t="shared" ca="1" si="43"/>
        <v>2.4152032328525263E-2</v>
      </c>
      <c r="J352" s="106">
        <f t="shared" ca="1" si="47"/>
        <v>2.0701741995878795E-2</v>
      </c>
      <c r="K352" s="105">
        <f t="shared" ca="1" si="44"/>
        <v>0.43971454651682435</v>
      </c>
      <c r="L352" s="75"/>
    </row>
    <row r="353" spans="2:12">
      <c r="B353" s="101">
        <f t="shared" ca="1" si="45"/>
        <v>63008</v>
      </c>
      <c r="C353" s="101">
        <f t="shared" ca="1" si="46"/>
        <v>63038</v>
      </c>
      <c r="D353" s="102">
        <f t="shared" ca="1" si="40"/>
        <v>95.082819986310753</v>
      </c>
      <c r="E353" s="103">
        <f t="shared" ca="1" si="41"/>
        <v>0.65828703161798374</v>
      </c>
      <c r="F353" s="104">
        <f ca="1">IF($C$4="Hombre",(+VLOOKUP(INT(D353)+1,Tablas!$G$9:$K$1240,5,0)*(D353-INT(D353))+VLOOKUP(INT(D353),Tablas!$G$9:$K$1240,5,0)*(INT(D353)+1-D353))/(VLOOKUP(INT($C$5)+1,Tablas!$G$9:$K$1240,5,0)*($C$5-INT($C$5))+VLOOKUP(INT($C$5),Tablas!$G$9:$K$124,5,0)*(INT($C$5)+1-$C$5)),(+VLOOKUP(INT(D353)+1,Tablas!$G$9:$O$1240,9,0)*(D353-INT(D353))+VLOOKUP(INT(D353),Tablas!$G$9:$O$1240,9,0)*(INT(D353)+1-D353))/(VLOOKUP(INT($C$5)+1,Tablas!$G$9:$O$1240,9,0)*($C$5-INT($C$5))+VLOOKUP(INT($C$5),Tablas!$G$9:$O$124,9,0)*(INT($C$5)+1-$C$5)))</f>
        <v>0.43568411028328941</v>
      </c>
      <c r="G353" s="97">
        <f ca="1">IF($C$4="Hombre",(+VLOOKUP(INT(D353)+1,Tablas!$G$9:$K$1240,5,0)*(D353-INT(D353))+VLOOKUP(INT(D353),Tablas!$G$9:$K$1240,5,0)*(INT(D353)+1-D353)),+VLOOKUP(INT(D353)+1,Tablas!$G$9:$O$1240,9,0)*(D353-INT(D353))+VLOOKUP(INT(D353),Tablas!$G$9:$O$1240,9,0)*(INT(D353)+1-D353))</f>
        <v>402274.9209133804</v>
      </c>
      <c r="H353" s="105">
        <f t="shared" ca="1" si="42"/>
        <v>1</v>
      </c>
      <c r="I353" s="106">
        <f t="shared" ca="1" si="43"/>
        <v>2.3900433306792403E-2</v>
      </c>
      <c r="J353" s="106">
        <f t="shared" ca="1" si="47"/>
        <v>2.0486085691536347E-2</v>
      </c>
      <c r="K353" s="105">
        <f t="shared" ca="1" si="44"/>
        <v>0.43568411028328941</v>
      </c>
      <c r="L353" s="75"/>
    </row>
    <row r="354" spans="2:12">
      <c r="B354" s="101">
        <f t="shared" ca="1" si="45"/>
        <v>63039</v>
      </c>
      <c r="C354" s="101">
        <f t="shared" ca="1" si="46"/>
        <v>63069</v>
      </c>
      <c r="D354" s="102">
        <f t="shared" ca="1" si="40"/>
        <v>95.167693360711837</v>
      </c>
      <c r="E354" s="103">
        <f t="shared" ca="1" si="41"/>
        <v>0.6574557146846266</v>
      </c>
      <c r="F354" s="104">
        <f ca="1">IF($C$4="Hombre",(+VLOOKUP(INT(D354)+1,Tablas!$G$9:$K$1240,5,0)*(D354-INT(D354))+VLOOKUP(INT(D354),Tablas!$G$9:$K$1240,5,0)*(INT(D354)+1-D354))/(VLOOKUP(INT($C$5)+1,Tablas!$G$9:$K$1240,5,0)*($C$5-INT($C$5))+VLOOKUP(INT($C$5),Tablas!$G$9:$K$124,5,0)*(INT($C$5)+1-$C$5)),(+VLOOKUP(INT(D354)+1,Tablas!$G$9:$O$1240,9,0)*(D354-INT(D354))+VLOOKUP(INT(D354),Tablas!$G$9:$O$1240,9,0)*(INT(D354)+1-D354))/(VLOOKUP(INT($C$5)+1,Tablas!$G$9:$O$1240,9,0)*($C$5-INT($C$5))+VLOOKUP(INT($C$5),Tablas!$G$9:$O$124,9,0)*(INT($C$5)+1-$C$5)))</f>
        <v>0.43165159153922017</v>
      </c>
      <c r="G354" s="97">
        <f ca="1">IF($C$4="Hombre",(+VLOOKUP(INT(D354)+1,Tablas!$G$9:$K$1240,5,0)*(D354-INT(D354))+VLOOKUP(INT(D354),Tablas!$G$9:$K$1240,5,0)*(INT(D354)+1-D354)),+VLOOKUP(INT(D354)+1,Tablas!$G$9:$O$1240,9,0)*(D354-INT(D354))+VLOOKUP(INT(D354),Tablas!$G$9:$O$1240,9,0)*(INT(D354)+1-D354))</f>
        <v>398551.62433091516</v>
      </c>
      <c r="H354" s="105">
        <f t="shared" ca="1" si="42"/>
        <v>1</v>
      </c>
      <c r="I354" s="106">
        <f t="shared" ca="1" si="43"/>
        <v>2.3649317134181207E-2</v>
      </c>
      <c r="J354" s="106">
        <f t="shared" ca="1" si="47"/>
        <v>2.0270843257869604E-2</v>
      </c>
      <c r="K354" s="105">
        <f t="shared" ca="1" si="44"/>
        <v>0.43165159153922017</v>
      </c>
      <c r="L354" s="75"/>
    </row>
    <row r="355" spans="2:12">
      <c r="B355" s="101">
        <f t="shared" ca="1" si="45"/>
        <v>63070</v>
      </c>
      <c r="C355" s="101">
        <f t="shared" ca="1" si="46"/>
        <v>63099</v>
      </c>
      <c r="D355" s="102">
        <f t="shared" ca="1" si="40"/>
        <v>95.249828884325808</v>
      </c>
      <c r="E355" s="103">
        <f t="shared" ca="1" si="41"/>
        <v>0.65665221401574936</v>
      </c>
      <c r="F355" s="104">
        <f ca="1">IF($C$4="Hombre",(+VLOOKUP(INT(D355)+1,Tablas!$G$9:$K$1240,5,0)*(D355-INT(D355))+VLOOKUP(INT(D355),Tablas!$G$9:$K$1240,5,0)*(INT(D355)+1-D355))/(VLOOKUP(INT($C$5)+1,Tablas!$G$9:$K$1240,5,0)*($C$5-INT($C$5))+VLOOKUP(INT($C$5),Tablas!$G$9:$K$124,5,0)*(INT($C$5)+1-$C$5)),(+VLOOKUP(INT(D355)+1,Tablas!$G$9:$O$1240,9,0)*(D355-INT(D355))+VLOOKUP(INT(D355),Tablas!$G$9:$O$1240,9,0)*(INT(D355)+1-D355))/(VLOOKUP(INT($C$5)+1,Tablas!$G$9:$O$1240,9,0)*($C$5-INT($C$5))+VLOOKUP(INT($C$5),Tablas!$G$9:$O$124,9,0)*(INT($C$5)+1-$C$5)))</f>
        <v>0.42774915404495861</v>
      </c>
      <c r="G355" s="97">
        <f ca="1">IF($C$4="Hombre",(+VLOOKUP(INT(D355)+1,Tablas!$G$9:$K$1240,5,0)*(D355-INT(D355))+VLOOKUP(INT(D355),Tablas!$G$9:$K$1240,5,0)*(INT(D355)+1-D355)),+VLOOKUP(INT(D355)+1,Tablas!$G$9:$O$1240,9,0)*(D355-INT(D355))+VLOOKUP(INT(D355),Tablas!$G$9:$O$1240,9,0)*(INT(D355)+1-D355))</f>
        <v>394948.43408981885</v>
      </c>
      <c r="H355" s="105">
        <f t="shared" ca="1" si="42"/>
        <v>1</v>
      </c>
      <c r="I355" s="106">
        <f t="shared" ca="1" si="43"/>
        <v>2.3406869087248827E-2</v>
      </c>
      <c r="J355" s="106">
        <f t="shared" ca="1" si="47"/>
        <v>2.006303064621328E-2</v>
      </c>
      <c r="K355" s="105">
        <f t="shared" ca="1" si="44"/>
        <v>0.42774915404495861</v>
      </c>
      <c r="L355" s="75"/>
    </row>
    <row r="356" spans="2:12">
      <c r="B356" s="101">
        <f t="shared" ca="1" si="45"/>
        <v>63100</v>
      </c>
      <c r="C356" s="101">
        <f t="shared" ca="1" si="46"/>
        <v>63130</v>
      </c>
      <c r="D356" s="102">
        <f t="shared" ca="1" si="40"/>
        <v>95.334702258726892</v>
      </c>
      <c r="E356" s="103">
        <f t="shared" ca="1" si="41"/>
        <v>0.65582296160970377</v>
      </c>
      <c r="F356" s="104">
        <f ca="1">IF($C$4="Hombre",(+VLOOKUP(INT(D356)+1,Tablas!$G$9:$K$1240,5,0)*(D356-INT(D356))+VLOOKUP(INT(D356),Tablas!$G$9:$K$1240,5,0)*(INT(D356)+1-D356))/(VLOOKUP(INT($C$5)+1,Tablas!$G$9:$K$1240,5,0)*($C$5-INT($C$5))+VLOOKUP(INT($C$5),Tablas!$G$9:$K$124,5,0)*(INT($C$5)+1-$C$5)),(+VLOOKUP(INT(D356)+1,Tablas!$G$9:$O$1240,9,0)*(D356-INT(D356))+VLOOKUP(INT(D356),Tablas!$G$9:$O$1240,9,0)*(INT(D356)+1-D356))/(VLOOKUP(INT($C$5)+1,Tablas!$G$9:$O$1240,9,0)*($C$5-INT($C$5))+VLOOKUP(INT($C$5),Tablas!$G$9:$O$124,9,0)*(INT($C$5)+1-$C$5)))</f>
        <v>0.42371663530088938</v>
      </c>
      <c r="G356" s="97">
        <f ca="1">IF($C$4="Hombre",(+VLOOKUP(INT(D356)+1,Tablas!$G$9:$K$1240,5,0)*(D356-INT(D356))+VLOOKUP(INT(D356),Tablas!$G$9:$K$1240,5,0)*(INT(D356)+1-D356)),+VLOOKUP(INT(D356)+1,Tablas!$G$9:$O$1240,9,0)*(D356-INT(D356))+VLOOKUP(INT(D356),Tablas!$G$9:$O$1240,9,0)*(INT(D356)+1-D356))</f>
        <v>391225.13750735362</v>
      </c>
      <c r="H356" s="105">
        <f t="shared" ca="1" si="42"/>
        <v>1</v>
      </c>
      <c r="I356" s="106">
        <f t="shared" ca="1" si="43"/>
        <v>2.3156924887194001E-2</v>
      </c>
      <c r="J356" s="106">
        <f t="shared" ca="1" si="47"/>
        <v>1.9848792760452E-2</v>
      </c>
      <c r="K356" s="105">
        <f t="shared" ca="1" si="44"/>
        <v>0.42371663530088938</v>
      </c>
      <c r="L356" s="75"/>
    </row>
    <row r="357" spans="2:12">
      <c r="B357" s="101">
        <f t="shared" ca="1" si="45"/>
        <v>63131</v>
      </c>
      <c r="C357" s="101">
        <f t="shared" ca="1" si="46"/>
        <v>63160</v>
      </c>
      <c r="D357" s="102">
        <f t="shared" ca="1" si="40"/>
        <v>95.416837782340863</v>
      </c>
      <c r="E357" s="103">
        <f t="shared" ca="1" si="41"/>
        <v>0.65502145638806142</v>
      </c>
      <c r="F357" s="104">
        <f ca="1">IF($C$4="Hombre",(+VLOOKUP(INT(D357)+1,Tablas!$G$9:$K$1240,5,0)*(D357-INT(D357))+VLOOKUP(INT(D357),Tablas!$G$9:$K$1240,5,0)*(INT(D357)+1-D357))/(VLOOKUP(INT($C$5)+1,Tablas!$G$9:$K$1240,5,0)*($C$5-INT($C$5))+VLOOKUP(INT($C$5),Tablas!$G$9:$K$124,5,0)*(INT($C$5)+1-$C$5)),(+VLOOKUP(INT(D357)+1,Tablas!$G$9:$O$1240,9,0)*(D357-INT(D357))+VLOOKUP(INT(D357),Tablas!$G$9:$O$1240,9,0)*(INT(D357)+1-D357))/(VLOOKUP(INT($C$5)+1,Tablas!$G$9:$O$1240,9,0)*($C$5-INT($C$5))+VLOOKUP(INT($C$5),Tablas!$G$9:$O$124,9,0)*(INT($C$5)+1-$C$5)))</f>
        <v>0.41981419780662788</v>
      </c>
      <c r="G357" s="97">
        <f ca="1">IF($C$4="Hombre",(+VLOOKUP(INT(D357)+1,Tablas!$G$9:$K$1240,5,0)*(D357-INT(D357))+VLOOKUP(INT(D357),Tablas!$G$9:$K$1240,5,0)*(INT(D357)+1-D357)),+VLOOKUP(INT(D357)+1,Tablas!$G$9:$O$1240,9,0)*(D357-INT(D357))+VLOOKUP(INT(D357),Tablas!$G$9:$O$1240,9,0)*(INT(D357)+1-D357))</f>
        <v>387621.94726625737</v>
      </c>
      <c r="H357" s="105">
        <f t="shared" ca="1" si="42"/>
        <v>1</v>
      </c>
      <c r="I357" s="106">
        <f t="shared" ca="1" si="43"/>
        <v>2.2915608938306926E-2</v>
      </c>
      <c r="J357" s="106">
        <f t="shared" ca="1" si="47"/>
        <v>3.9283901037097592E-2</v>
      </c>
      <c r="K357" s="105">
        <f t="shared" ca="1" si="44"/>
        <v>0.41981419780662788</v>
      </c>
      <c r="L357" s="75"/>
    </row>
    <row r="358" spans="2:12">
      <c r="B358" s="101">
        <f t="shared" ca="1" si="45"/>
        <v>63161</v>
      </c>
      <c r="C358" s="101">
        <f t="shared" ca="1" si="46"/>
        <v>63191</v>
      </c>
      <c r="D358" s="102">
        <f t="shared" ca="1" si="40"/>
        <v>95.501711156741962</v>
      </c>
      <c r="E358" s="103">
        <f t="shared" ca="1" si="41"/>
        <v>0.65419426338219366</v>
      </c>
      <c r="F358" s="104">
        <f ca="1">IF($C$4="Hombre",(+VLOOKUP(INT(D358)+1,Tablas!$G$9:$K$1240,5,0)*(D358-INT(D358))+VLOOKUP(INT(D358),Tablas!$G$9:$K$1240,5,0)*(INT(D358)+1-D358))/(VLOOKUP(INT($C$5)+1,Tablas!$G$9:$K$1240,5,0)*($C$5-INT($C$5))+VLOOKUP(INT($C$5),Tablas!$G$9:$K$124,5,0)*(INT($C$5)+1-$C$5)),(+VLOOKUP(INT(D358)+1,Tablas!$G$9:$O$1240,9,0)*(D358-INT(D358))+VLOOKUP(INT(D358),Tablas!$G$9:$O$1240,9,0)*(INT(D358)+1-D358))/(VLOOKUP(INT($C$5)+1,Tablas!$G$9:$O$1240,9,0)*($C$5-INT($C$5))+VLOOKUP(INT($C$5),Tablas!$G$9:$O$124,9,0)*(INT($C$5)+1-$C$5)))</f>
        <v>0.41578167906255797</v>
      </c>
      <c r="G358" s="97">
        <f ca="1">IF($C$4="Hombre",(+VLOOKUP(INT(D358)+1,Tablas!$G$9:$K$1240,5,0)*(D358-INT(D358))+VLOOKUP(INT(D358),Tablas!$G$9:$K$1240,5,0)*(INT(D358)+1-D358)),+VLOOKUP(INT(D358)+1,Tablas!$G$9:$O$1240,9,0)*(D358-INT(D358))+VLOOKUP(INT(D358),Tablas!$G$9:$O$1240,9,0)*(INT(D358)+1-D358))</f>
        <v>383898.65068379149</v>
      </c>
      <c r="H358" s="105">
        <f t="shared" ca="1" si="42"/>
        <v>1</v>
      </c>
      <c r="I358" s="106">
        <f t="shared" ca="1" si="43"/>
        <v>2.2666832438511812E-2</v>
      </c>
      <c r="J358" s="106">
        <f t="shared" ca="1" si="47"/>
        <v>1.9428713518724411E-2</v>
      </c>
      <c r="K358" s="105">
        <f t="shared" ca="1" si="44"/>
        <v>0.41578167906255797</v>
      </c>
      <c r="L358" s="75"/>
    </row>
    <row r="359" spans="2:12">
      <c r="B359" s="101">
        <f t="shared" ca="1" si="45"/>
        <v>63192</v>
      </c>
      <c r="C359" s="101">
        <f t="shared" ca="1" si="46"/>
        <v>63222</v>
      </c>
      <c r="D359" s="102">
        <f t="shared" ca="1" si="40"/>
        <v>95.586584531143046</v>
      </c>
      <c r="E359" s="103">
        <f t="shared" ca="1" si="41"/>
        <v>0.65336811499595226</v>
      </c>
      <c r="F359" s="104">
        <f ca="1">IF($C$4="Hombre",(+VLOOKUP(INT(D359)+1,Tablas!$G$9:$K$1240,5,0)*(D359-INT(D359))+VLOOKUP(INT(D359),Tablas!$G$9:$K$1240,5,0)*(INT(D359)+1-D359))/(VLOOKUP(INT($C$5)+1,Tablas!$G$9:$K$1240,5,0)*($C$5-INT($C$5))+VLOOKUP(INT($C$5),Tablas!$G$9:$K$124,5,0)*(INT($C$5)+1-$C$5)),(+VLOOKUP(INT(D359)+1,Tablas!$G$9:$O$1240,9,0)*(D359-INT(D359))+VLOOKUP(INT(D359),Tablas!$G$9:$O$1240,9,0)*(INT(D359)+1-D359))/(VLOOKUP(INT($C$5)+1,Tablas!$G$9:$O$1240,9,0)*($C$5-INT($C$5))+VLOOKUP(INT($C$5),Tablas!$G$9:$O$124,9,0)*(INT($C$5)+1-$C$5)))</f>
        <v>0.41174916031848863</v>
      </c>
      <c r="G359" s="97">
        <f ca="1">IF($C$4="Hombre",(+VLOOKUP(INT(D359)+1,Tablas!$G$9:$K$1240,5,0)*(D359-INT(D359))+VLOOKUP(INT(D359),Tablas!$G$9:$K$1240,5,0)*(INT(D359)+1-D359)),+VLOOKUP(INT(D359)+1,Tablas!$G$9:$O$1240,9,0)*(D359-INT(D359))+VLOOKUP(INT(D359),Tablas!$G$9:$O$1240,9,0)*(INT(D359)+1-D359))</f>
        <v>380175.3541013262</v>
      </c>
      <c r="H359" s="105">
        <f t="shared" ca="1" si="42"/>
        <v>1</v>
      </c>
      <c r="I359" s="106">
        <f t="shared" ca="1" si="43"/>
        <v>2.2418647727371423E-2</v>
      </c>
      <c r="J359" s="106">
        <f t="shared" ca="1" si="47"/>
        <v>1.9215983766318362E-2</v>
      </c>
      <c r="K359" s="105">
        <f t="shared" ca="1" si="44"/>
        <v>0.41174916031848863</v>
      </c>
      <c r="L359" s="75"/>
    </row>
    <row r="360" spans="2:12">
      <c r="B360" s="101">
        <f t="shared" ca="1" si="45"/>
        <v>63223</v>
      </c>
      <c r="C360" s="101">
        <f t="shared" ca="1" si="46"/>
        <v>63250</v>
      </c>
      <c r="D360" s="102">
        <f t="shared" ca="1" si="40"/>
        <v>95.663244353182748</v>
      </c>
      <c r="E360" s="103">
        <f t="shared" ca="1" si="41"/>
        <v>0.6526228132290588</v>
      </c>
      <c r="F360" s="104">
        <f ca="1">IF($C$4="Hombre",(+VLOOKUP(INT(D360)+1,Tablas!$G$9:$K$1240,5,0)*(D360-INT(D360))+VLOOKUP(INT(D360),Tablas!$G$9:$K$1240,5,0)*(INT(D360)+1-D360))/(VLOOKUP(INT($C$5)+1,Tablas!$G$9:$K$1240,5,0)*($C$5-INT($C$5))+VLOOKUP(INT($C$5),Tablas!$G$9:$K$124,5,0)*(INT($C$5)+1-$C$5)),(+VLOOKUP(INT(D360)+1,Tablas!$G$9:$O$1240,9,0)*(D360-INT(D360))+VLOOKUP(INT(D360),Tablas!$G$9:$O$1240,9,0)*(INT(D360)+1-D360))/(VLOOKUP(INT($C$5)+1,Tablas!$G$9:$O$1240,9,0)*($C$5-INT($C$5))+VLOOKUP(INT($C$5),Tablas!$G$9:$O$124,9,0)*(INT($C$5)+1-$C$5)))</f>
        <v>0.40810688532384487</v>
      </c>
      <c r="G360" s="97">
        <f ca="1">IF($C$4="Hombre",(+VLOOKUP(INT(D360)+1,Tablas!$G$9:$K$1240,5,0)*(D360-INT(D360))+VLOOKUP(INT(D360),Tablas!$G$9:$K$1240,5,0)*(INT(D360)+1-D360)),+VLOOKUP(INT(D360)+1,Tablas!$G$9:$O$1240,9,0)*(D360-INT(D360))+VLOOKUP(INT(D360),Tablas!$G$9:$O$1240,9,0)*(INT(D360)+1-D360))</f>
        <v>376812.37654296996</v>
      </c>
      <c r="H360" s="105">
        <f t="shared" ca="1" si="42"/>
        <v>1</v>
      </c>
      <c r="I360" s="106">
        <f t="shared" ca="1" si="43"/>
        <v>2.2194988633183043E-2</v>
      </c>
      <c r="J360" s="106">
        <f t="shared" ca="1" si="47"/>
        <v>1.9024275971299749E-2</v>
      </c>
      <c r="K360" s="105">
        <f t="shared" ca="1" si="44"/>
        <v>0.40810688532384487</v>
      </c>
      <c r="L360" s="75"/>
    </row>
    <row r="361" spans="2:12">
      <c r="B361" s="101">
        <f t="shared" ca="1" si="45"/>
        <v>63251</v>
      </c>
      <c r="C361" s="101">
        <f t="shared" ca="1" si="46"/>
        <v>63281</v>
      </c>
      <c r="D361" s="102">
        <f t="shared" ca="1" si="40"/>
        <v>95.748117727583846</v>
      </c>
      <c r="E361" s="103">
        <f t="shared" ca="1" si="41"/>
        <v>0.65179864934662712</v>
      </c>
      <c r="F361" s="104">
        <f ca="1">IF($C$4="Hombre",(+VLOOKUP(INT(D361)+1,Tablas!$G$9:$K$1240,5,0)*(D361-INT(D361))+VLOOKUP(INT(D361),Tablas!$G$9:$K$1240,5,0)*(INT(D361)+1-D361))/(VLOOKUP(INT($C$5)+1,Tablas!$G$9:$K$1240,5,0)*($C$5-INT($C$5))+VLOOKUP(INT($C$5),Tablas!$G$9:$K$124,5,0)*(INT($C$5)+1-$C$5)),(+VLOOKUP(INT(D361)+1,Tablas!$G$9:$O$1240,9,0)*(D361-INT(D361))+VLOOKUP(INT(D361),Tablas!$G$9:$O$1240,9,0)*(INT(D361)+1-D361))/(VLOOKUP(INT($C$5)+1,Tablas!$G$9:$O$1240,9,0)*($C$5-INT($C$5))+VLOOKUP(INT($C$5),Tablas!$G$9:$O$124,9,0)*(INT($C$5)+1-$C$5)))</f>
        <v>0.40407436657977486</v>
      </c>
      <c r="G361" s="97">
        <f ca="1">IF($C$4="Hombre",(+VLOOKUP(INT(D361)+1,Tablas!$G$9:$K$1240,5,0)*(D361-INT(D361))+VLOOKUP(INT(D361),Tablas!$G$9:$K$1240,5,0)*(INT(D361)+1-D361)),+VLOOKUP(INT(D361)+1,Tablas!$G$9:$O$1240,9,0)*(D361-INT(D361))+VLOOKUP(INT(D361),Tablas!$G$9:$O$1240,9,0)*(INT(D361)+1-D361))</f>
        <v>373089.07996050402</v>
      </c>
      <c r="H361" s="105">
        <f t="shared" ca="1" si="42"/>
        <v>1</v>
      </c>
      <c r="I361" s="106">
        <f t="shared" ca="1" si="43"/>
        <v>2.1947927197690929E-2</v>
      </c>
      <c r="J361" s="106">
        <f t="shared" ca="1" si="47"/>
        <v>1.8812509026592227E-2</v>
      </c>
      <c r="K361" s="105">
        <f t="shared" ca="1" si="44"/>
        <v>0.40407436657977486</v>
      </c>
      <c r="L361" s="75"/>
    </row>
    <row r="362" spans="2:12">
      <c r="B362" s="101">
        <f t="shared" ca="1" si="45"/>
        <v>63282</v>
      </c>
      <c r="C362" s="101">
        <f t="shared" ca="1" si="46"/>
        <v>63311</v>
      </c>
      <c r="D362" s="102">
        <f t="shared" ca="1" si="40"/>
        <v>95.830253251197803</v>
      </c>
      <c r="E362" s="103">
        <f t="shared" ca="1" si="41"/>
        <v>0.65100206238415115</v>
      </c>
      <c r="F362" s="104">
        <f ca="1">IF($C$4="Hombre",(+VLOOKUP(INT(D362)+1,Tablas!$G$9:$K$1240,5,0)*(D362-INT(D362))+VLOOKUP(INT(D362),Tablas!$G$9:$K$1240,5,0)*(INT(D362)+1-D362))/(VLOOKUP(INT($C$5)+1,Tablas!$G$9:$K$1240,5,0)*($C$5-INT($C$5))+VLOOKUP(INT($C$5),Tablas!$G$9:$K$124,5,0)*(INT($C$5)+1-$C$5)),(+VLOOKUP(INT(D362)+1,Tablas!$G$9:$O$1240,9,0)*(D362-INT(D362))+VLOOKUP(INT(D362),Tablas!$G$9:$O$1240,9,0)*(INT(D362)+1-D362))/(VLOOKUP(INT($C$5)+1,Tablas!$G$9:$O$1240,9,0)*($C$5-INT($C$5))+VLOOKUP(INT($C$5),Tablas!$G$9:$O$124,9,0)*(INT($C$5)+1-$C$5)))</f>
        <v>0.40017192908551413</v>
      </c>
      <c r="G362" s="97">
        <f ca="1">IF($C$4="Hombre",(+VLOOKUP(INT(D362)+1,Tablas!$G$9:$K$1240,5,0)*(D362-INT(D362))+VLOOKUP(INT(D362),Tablas!$G$9:$K$1240,5,0)*(INT(D362)+1-D362)),+VLOOKUP(INT(D362)+1,Tablas!$G$9:$O$1240,9,0)*(D362-INT(D362))+VLOOKUP(INT(D362),Tablas!$G$9:$O$1240,9,0)*(INT(D362)+1-D362))</f>
        <v>369485.88971940847</v>
      </c>
      <c r="H362" s="105">
        <f t="shared" ca="1" si="42"/>
        <v>1</v>
      </c>
      <c r="I362" s="106">
        <f t="shared" ca="1" si="43"/>
        <v>2.1709395928576163E-2</v>
      </c>
      <c r="J362" s="106">
        <f t="shared" ca="1" si="47"/>
        <v>1.8608053653065282E-2</v>
      </c>
      <c r="K362" s="105">
        <f t="shared" ca="1" si="44"/>
        <v>0.40017192908551413</v>
      </c>
      <c r="L362" s="75"/>
    </row>
    <row r="363" spans="2:12">
      <c r="B363" s="101">
        <f t="shared" ca="1" si="45"/>
        <v>63312</v>
      </c>
      <c r="C363" s="101">
        <f t="shared" ca="1" si="46"/>
        <v>63342</v>
      </c>
      <c r="D363" s="102">
        <f t="shared" ca="1" si="40"/>
        <v>95.915126625598901</v>
      </c>
      <c r="E363" s="103">
        <f t="shared" ca="1" si="41"/>
        <v>0.65017994526484479</v>
      </c>
      <c r="F363" s="104">
        <f ca="1">IF($C$4="Hombre",(+VLOOKUP(INT(D363)+1,Tablas!$G$9:$K$1240,5,0)*(D363-INT(D363))+VLOOKUP(INT(D363),Tablas!$G$9:$K$1240,5,0)*(INT(D363)+1-D363))/(VLOOKUP(INT($C$5)+1,Tablas!$G$9:$K$1240,5,0)*($C$5-INT($C$5))+VLOOKUP(INT($C$5),Tablas!$G$9:$K$124,5,0)*(INT($C$5)+1-$C$5)),(+VLOOKUP(INT(D363)+1,Tablas!$G$9:$O$1240,9,0)*(D363-INT(D363))+VLOOKUP(INT(D363),Tablas!$G$9:$O$1240,9,0)*(INT(D363)+1-D363))/(VLOOKUP(INT($C$5)+1,Tablas!$G$9:$O$1240,9,0)*($C$5-INT($C$5))+VLOOKUP(INT($C$5),Tablas!$G$9:$O$124,9,0)*(INT($C$5)+1-$C$5)))</f>
        <v>0.39613941034144412</v>
      </c>
      <c r="G363" s="97">
        <f ca="1">IF($C$4="Hombre",(+VLOOKUP(INT(D363)+1,Tablas!$G$9:$K$1240,5,0)*(D363-INT(D363))+VLOOKUP(INT(D363),Tablas!$G$9:$K$1240,5,0)*(INT(D363)+1-D363)),+VLOOKUP(INT(D363)+1,Tablas!$G$9:$O$1240,9,0)*(D363-INT(D363))+VLOOKUP(INT(D363),Tablas!$G$9:$O$1240,9,0)*(INT(D363)+1-D363))</f>
        <v>365762.59313694254</v>
      </c>
      <c r="H363" s="105">
        <f t="shared" ca="1" si="42"/>
        <v>1</v>
      </c>
      <c r="I363" s="106">
        <f t="shared" ca="1" si="43"/>
        <v>2.1463491677754003E-2</v>
      </c>
      <c r="J363" s="106">
        <f t="shared" ca="1" si="47"/>
        <v>3.6794557161864007E-2</v>
      </c>
      <c r="K363" s="105">
        <f t="shared" ca="1" si="44"/>
        <v>0.39613941034144412</v>
      </c>
      <c r="L363" s="75"/>
    </row>
    <row r="364" spans="2:12">
      <c r="B364" s="101">
        <f t="shared" ca="1" si="45"/>
        <v>63343</v>
      </c>
      <c r="C364" s="101">
        <f t="shared" ca="1" si="46"/>
        <v>63372</v>
      </c>
      <c r="D364" s="102">
        <f t="shared" ca="1" si="40"/>
        <v>95.997262149212872</v>
      </c>
      <c r="E364" s="103">
        <f t="shared" ca="1" si="41"/>
        <v>0.64938533657981501</v>
      </c>
      <c r="F364" s="104">
        <f ca="1">IF($C$4="Hombre",(+VLOOKUP(INT(D364)+1,Tablas!$G$9:$K$1240,5,0)*(D364-INT(D364))+VLOOKUP(INT(D364),Tablas!$G$9:$K$1240,5,0)*(INT(D364)+1-D364))/(VLOOKUP(INT($C$5)+1,Tablas!$G$9:$K$1240,5,0)*($C$5-INT($C$5))+VLOOKUP(INT($C$5),Tablas!$G$9:$K$124,5,0)*(INT($C$5)+1-$C$5)),(+VLOOKUP(INT(D364)+1,Tablas!$G$9:$O$1240,9,0)*(D364-INT(D364))+VLOOKUP(INT(D364),Tablas!$G$9:$O$1240,9,0)*(INT(D364)+1-D364))/(VLOOKUP(INT($C$5)+1,Tablas!$G$9:$O$1240,9,0)*($C$5-INT($C$5))+VLOOKUP(INT($C$5),Tablas!$G$9:$O$124,9,0)*(INT($C$5)+1-$C$5)))</f>
        <v>0.39223697284718273</v>
      </c>
      <c r="G364" s="97">
        <f ca="1">IF($C$4="Hombre",(+VLOOKUP(INT(D364)+1,Tablas!$G$9:$K$1240,5,0)*(D364-INT(D364))+VLOOKUP(INT(D364),Tablas!$G$9:$K$1240,5,0)*(INT(D364)+1-D364)),+VLOOKUP(INT(D364)+1,Tablas!$G$9:$O$1240,9,0)*(D364-INT(D364))+VLOOKUP(INT(D364),Tablas!$G$9:$O$1240,9,0)*(INT(D364)+1-D364))</f>
        <v>362159.40289584635</v>
      </c>
      <c r="H364" s="105">
        <f t="shared" ca="1" si="42"/>
        <v>1</v>
      </c>
      <c r="I364" s="106">
        <f t="shared" ca="1" si="43"/>
        <v>2.1226078219284628E-2</v>
      </c>
      <c r="J364" s="106">
        <f t="shared" ca="1" si="47"/>
        <v>1.8193781330815395E-2</v>
      </c>
      <c r="K364" s="105">
        <f t="shared" ca="1" si="44"/>
        <v>0.39223697284718273</v>
      </c>
      <c r="L364" s="75"/>
    </row>
    <row r="365" spans="2:12">
      <c r="B365" s="101">
        <f t="shared" ca="1" si="45"/>
        <v>63373</v>
      </c>
      <c r="C365" s="101">
        <f t="shared" ca="1" si="46"/>
        <v>63403</v>
      </c>
      <c r="D365" s="102">
        <f t="shared" ca="1" si="40"/>
        <v>96.082135523613957</v>
      </c>
      <c r="E365" s="103">
        <f t="shared" ca="1" si="41"/>
        <v>0.64856526114061663</v>
      </c>
      <c r="F365" s="104">
        <f ca="1">IF($C$4="Hombre",(+VLOOKUP(INT(D365)+1,Tablas!$G$9:$K$1240,5,0)*(D365-INT(D365))+VLOOKUP(INT(D365),Tablas!$G$9:$K$1240,5,0)*(INT(D365)+1-D365))/(VLOOKUP(INT($C$5)+1,Tablas!$G$9:$K$1240,5,0)*($C$5-INT($C$5))+VLOOKUP(INT($C$5),Tablas!$G$9:$K$124,5,0)*(INT($C$5)+1-$C$5)),(+VLOOKUP(INT(D365)+1,Tablas!$G$9:$O$1240,9,0)*(D365-INT(D365))+VLOOKUP(INT(D365),Tablas!$G$9:$O$1240,9,0)*(INT(D365)+1-D365))/(VLOOKUP(INT($C$5)+1,Tablas!$G$9:$O$1240,9,0)*($C$5-INT($C$5))+VLOOKUP(INT($C$5),Tablas!$G$9:$O$124,9,0)*(INT($C$5)+1-$C$5)))</f>
        <v>0.38817617174922237</v>
      </c>
      <c r="G365" s="97">
        <f ca="1">IF($C$4="Hombre",(+VLOOKUP(INT(D365)+1,Tablas!$G$9:$K$1240,5,0)*(D365-INT(D365))+VLOOKUP(INT(D365),Tablas!$G$9:$K$1240,5,0)*(INT(D365)+1-D365)),+VLOOKUP(INT(D365)+1,Tablas!$G$9:$O$1240,9,0)*(D365-INT(D365))+VLOOKUP(INT(D365),Tablas!$G$9:$O$1240,9,0)*(INT(D365)+1-D365))</f>
        <v>358409.99271087354</v>
      </c>
      <c r="H365" s="105">
        <f t="shared" ca="1" si="42"/>
        <v>1</v>
      </c>
      <c r="I365" s="106">
        <f t="shared" ca="1" si="43"/>
        <v>2.0979798349924937E-2</v>
      </c>
      <c r="J365" s="106">
        <f t="shared" ca="1" si="47"/>
        <v>1.7982684299935658E-2</v>
      </c>
      <c r="K365" s="105">
        <f t="shared" ca="1" si="44"/>
        <v>0.38817617174922237</v>
      </c>
      <c r="L365" s="75"/>
    </row>
    <row r="366" spans="2:12">
      <c r="B366" s="101">
        <f t="shared" ca="1" si="45"/>
        <v>63404</v>
      </c>
      <c r="C366" s="101">
        <f t="shared" ca="1" si="46"/>
        <v>63434</v>
      </c>
      <c r="D366" s="102">
        <f t="shared" ca="1" si="40"/>
        <v>96.167008898015055</v>
      </c>
      <c r="E366" s="103">
        <f t="shared" ca="1" si="41"/>
        <v>0.64774622133263449</v>
      </c>
      <c r="F366" s="104">
        <f ca="1">IF($C$4="Hombre",(+VLOOKUP(INT(D366)+1,Tablas!$G$9:$K$1240,5,0)*(D366-INT(D366))+VLOOKUP(INT(D366),Tablas!$G$9:$K$1240,5,0)*(INT(D366)+1-D366))/(VLOOKUP(INT($C$5)+1,Tablas!$G$9:$K$1240,5,0)*($C$5-INT($C$5))+VLOOKUP(INT($C$5),Tablas!$G$9:$K$124,5,0)*(INT($C$5)+1-$C$5)),(+VLOOKUP(INT(D366)+1,Tablas!$G$9:$O$1240,9,0)*(D366-INT(D366))+VLOOKUP(INT(D366),Tablas!$G$9:$O$1240,9,0)*(INT(D366)+1-D366))/(VLOOKUP(INT($C$5)+1,Tablas!$G$9:$O$1240,9,0)*($C$5-INT($C$5))+VLOOKUP(INT($C$5),Tablas!$G$9:$O$124,9,0)*(INT($C$5)+1-$C$5)))</f>
        <v>0.38411442790613159</v>
      </c>
      <c r="G366" s="97">
        <f ca="1">IF($C$4="Hombre",(+VLOOKUP(INT(D366)+1,Tablas!$G$9:$K$1240,5,0)*(D366-INT(D366))+VLOOKUP(INT(D366),Tablas!$G$9:$K$1240,5,0)*(INT(D366)+1-D366)),+VLOOKUP(INT(D366)+1,Tablas!$G$9:$O$1240,9,0)*(D366-INT(D366))+VLOOKUP(INT(D366),Tablas!$G$9:$O$1240,9,0)*(INT(D366)+1-D366))</f>
        <v>354659.71207248321</v>
      </c>
      <c r="H366" s="105">
        <f t="shared" ca="1" si="42"/>
        <v>1</v>
      </c>
      <c r="I366" s="106">
        <f t="shared" ca="1" si="43"/>
        <v>2.0734055769628616E-2</v>
      </c>
      <c r="J366" s="106">
        <f t="shared" ca="1" si="47"/>
        <v>1.7772047802538816E-2</v>
      </c>
      <c r="K366" s="105">
        <f t="shared" ca="1" si="44"/>
        <v>0.38411442790613159</v>
      </c>
      <c r="L366" s="75"/>
    </row>
    <row r="367" spans="2:12">
      <c r="B367" s="101">
        <f t="shared" ca="1" si="45"/>
        <v>63435</v>
      </c>
      <c r="C367" s="101">
        <f t="shared" ca="1" si="46"/>
        <v>63464</v>
      </c>
      <c r="D367" s="102">
        <f t="shared" ca="1" si="40"/>
        <v>96.249144421629026</v>
      </c>
      <c r="E367" s="103">
        <f t="shared" ca="1" si="41"/>
        <v>0.64695458699061181</v>
      </c>
      <c r="F367" s="104">
        <f ca="1">IF($C$4="Hombre",(+VLOOKUP(INT(D367)+1,Tablas!$G$9:$K$1240,5,0)*(D367-INT(D367))+VLOOKUP(INT(D367),Tablas!$G$9:$K$1240,5,0)*(INT(D367)+1-D367))/(VLOOKUP(INT($C$5)+1,Tablas!$G$9:$K$1240,5,0)*($C$5-INT($C$5))+VLOOKUP(INT($C$5),Tablas!$G$9:$K$124,5,0)*(INT($C$5)+1-$C$5)),(+VLOOKUP(INT(D367)+1,Tablas!$G$9:$O$1240,9,0)*(D367-INT(D367))+VLOOKUP(INT(D367),Tablas!$G$9:$O$1240,9,0)*(INT(D367)+1-D367))/(VLOOKUP(INT($C$5)+1,Tablas!$G$9:$O$1240,9,0)*($C$5-INT($C$5))+VLOOKUP(INT($C$5),Tablas!$G$9:$O$124,9,0)*(INT($C$5)+1-$C$5)))</f>
        <v>0.38018370805797908</v>
      </c>
      <c r="G367" s="97">
        <f ca="1">IF($C$4="Hombre",(+VLOOKUP(INT(D367)+1,Tablas!$G$9:$K$1240,5,0)*(D367-INT(D367))+VLOOKUP(INT(D367),Tablas!$G$9:$K$1240,5,0)*(INT(D367)+1-D367)),+VLOOKUP(INT(D367)+1,Tablas!$G$9:$O$1240,9,0)*(D367-INT(D367))+VLOOKUP(INT(D367),Tablas!$G$9:$O$1240,9,0)*(INT(D367)+1-D367))</f>
        <v>351030.4082288795</v>
      </c>
      <c r="H367" s="105">
        <f t="shared" ca="1" si="42"/>
        <v>1</v>
      </c>
      <c r="I367" s="106">
        <f t="shared" ca="1" si="43"/>
        <v>2.0496799485600764E-2</v>
      </c>
      <c r="J367" s="106">
        <f t="shared" ca="1" si="47"/>
        <v>1.7568685273372082E-2</v>
      </c>
      <c r="K367" s="105">
        <f t="shared" ca="1" si="44"/>
        <v>0.38018370805797908</v>
      </c>
      <c r="L367" s="75"/>
    </row>
    <row r="368" spans="2:12">
      <c r="B368" s="101">
        <f t="shared" ca="1" si="45"/>
        <v>63465</v>
      </c>
      <c r="C368" s="101">
        <f t="shared" ca="1" si="46"/>
        <v>63495</v>
      </c>
      <c r="D368" s="102">
        <f t="shared" ca="1" si="40"/>
        <v>96.334017796030111</v>
      </c>
      <c r="E368" s="103">
        <f t="shared" ca="1" si="41"/>
        <v>0.64613758122041376</v>
      </c>
      <c r="F368" s="104">
        <f ca="1">IF($C$4="Hombre",(+VLOOKUP(INT(D368)+1,Tablas!$G$9:$K$1240,5,0)*(D368-INT(D368))+VLOOKUP(INT(D368),Tablas!$G$9:$K$1240,5,0)*(INT(D368)+1-D368))/(VLOOKUP(INT($C$5)+1,Tablas!$G$9:$K$1240,5,0)*($C$5-INT($C$5))+VLOOKUP(INT($C$5),Tablas!$G$9:$K$124,5,0)*(INT($C$5)+1-$C$5)),(+VLOOKUP(INT(D368)+1,Tablas!$G$9:$O$1240,9,0)*(D368-INT(D368))+VLOOKUP(INT(D368),Tablas!$G$9:$O$1240,9,0)*(INT(D368)+1-D368))/(VLOOKUP(INT($C$5)+1,Tablas!$G$9:$O$1240,9,0)*($C$5-INT($C$5))+VLOOKUP(INT($C$5),Tablas!$G$9:$O$124,9,0)*(INT($C$5)+1-$C$5)))</f>
        <v>0.37612196421488903</v>
      </c>
      <c r="G368" s="97">
        <f ca="1">IF($C$4="Hombre",(+VLOOKUP(INT(D368)+1,Tablas!$G$9:$K$1240,5,0)*(D368-INT(D368))+VLOOKUP(INT(D368),Tablas!$G$9:$K$1240,5,0)*(INT(D368)+1-D368)),+VLOOKUP(INT(D368)+1,Tablas!$G$9:$O$1240,9,0)*(D368-INT(D368))+VLOOKUP(INT(D368),Tablas!$G$9:$O$1240,9,0)*(INT(D368)+1-D368))</f>
        <v>347280.12759048981</v>
      </c>
      <c r="H368" s="105">
        <f t="shared" ca="1" si="42"/>
        <v>1</v>
      </c>
      <c r="I368" s="106">
        <f t="shared" ca="1" si="43"/>
        <v>2.0252211350139951E-2</v>
      </c>
      <c r="J368" s="106">
        <f t="shared" ca="1" si="47"/>
        <v>1.7359038300119957E-2</v>
      </c>
      <c r="K368" s="105">
        <f t="shared" ca="1" si="44"/>
        <v>0.37612196421488903</v>
      </c>
      <c r="L368" s="75"/>
    </row>
    <row r="369" spans="2:12">
      <c r="B369" s="101">
        <f t="shared" ca="1" si="45"/>
        <v>63496</v>
      </c>
      <c r="C369" s="101">
        <f t="shared" ca="1" si="46"/>
        <v>63525</v>
      </c>
      <c r="D369" s="102">
        <f t="shared" ca="1" si="40"/>
        <v>96.416153319644081</v>
      </c>
      <c r="E369" s="103">
        <f t="shared" ca="1" si="41"/>
        <v>0.64534791285629245</v>
      </c>
      <c r="F369" s="104">
        <f ca="1">IF($C$4="Hombre",(+VLOOKUP(INT(D369)+1,Tablas!$G$9:$K$1240,5,0)*(D369-INT(D369))+VLOOKUP(INT(D369),Tablas!$G$9:$K$1240,5,0)*(INT(D369)+1-D369))/(VLOOKUP(INT($C$5)+1,Tablas!$G$9:$K$1240,5,0)*($C$5-INT($C$5))+VLOOKUP(INT($C$5),Tablas!$G$9:$K$124,5,0)*(INT($C$5)+1-$C$5)),(+VLOOKUP(INT(D369)+1,Tablas!$G$9:$O$1240,9,0)*(D369-INT(D369))+VLOOKUP(INT(D369),Tablas!$G$9:$O$1240,9,0)*(INT(D369)+1-D369))/(VLOOKUP(INT($C$5)+1,Tablas!$G$9:$O$1240,9,0)*($C$5-INT($C$5))+VLOOKUP(INT($C$5),Tablas!$G$9:$O$124,9,0)*(INT($C$5)+1-$C$5)))</f>
        <v>0.37219124436673656</v>
      </c>
      <c r="G369" s="97">
        <f ca="1">IF($C$4="Hombre",(+VLOOKUP(INT(D369)+1,Tablas!$G$9:$K$1240,5,0)*(D369-INT(D369))+VLOOKUP(INT(D369),Tablas!$G$9:$K$1240,5,0)*(INT(D369)+1-D369)),+VLOOKUP(INT(D369)+1,Tablas!$G$9:$O$1240,9,0)*(D369-INT(D369))+VLOOKUP(INT(D369),Tablas!$G$9:$O$1240,9,0)*(INT(D369)+1-D369))</f>
        <v>343650.8237468861</v>
      </c>
      <c r="H369" s="105">
        <f t="shared" ca="1" si="42"/>
        <v>1</v>
      </c>
      <c r="I369" s="106">
        <f t="shared" ca="1" si="43"/>
        <v>2.0016070227954978E-2</v>
      </c>
      <c r="J369" s="106">
        <f t="shared" ca="1" si="47"/>
        <v>3.4313263247922818E-2</v>
      </c>
      <c r="K369" s="105">
        <f t="shared" ca="1" si="44"/>
        <v>0.37219124436673656</v>
      </c>
      <c r="L369" s="75"/>
    </row>
    <row r="370" spans="2:12">
      <c r="B370" s="101">
        <f t="shared" ca="1" si="45"/>
        <v>63526</v>
      </c>
      <c r="C370" s="101">
        <f t="shared" ca="1" si="46"/>
        <v>63556</v>
      </c>
      <c r="D370" s="102">
        <f t="shared" ca="1" si="40"/>
        <v>96.50102669404518</v>
      </c>
      <c r="E370" s="103">
        <f t="shared" ca="1" si="41"/>
        <v>0.64453293607246354</v>
      </c>
      <c r="F370" s="104">
        <f ca="1">IF($C$4="Hombre",(+VLOOKUP(INT(D370)+1,Tablas!$G$9:$K$1240,5,0)*(D370-INT(D370))+VLOOKUP(INT(D370),Tablas!$G$9:$K$1240,5,0)*(INT(D370)+1-D370))/(VLOOKUP(INT($C$5)+1,Tablas!$G$9:$K$1240,5,0)*($C$5-INT($C$5))+VLOOKUP(INT($C$5),Tablas!$G$9:$K$124,5,0)*(INT($C$5)+1-$C$5)),(+VLOOKUP(INT(D370)+1,Tablas!$G$9:$O$1240,9,0)*(D370-INT(D370))+VLOOKUP(INT(D370),Tablas!$G$9:$O$1240,9,0)*(INT(D370)+1-D370))/(VLOOKUP(INT($C$5)+1,Tablas!$G$9:$O$1240,9,0)*($C$5-INT($C$5))+VLOOKUP(INT($C$5),Tablas!$G$9:$O$124,9,0)*(INT($C$5)+1-$C$5)))</f>
        <v>0.36812950052364579</v>
      </c>
      <c r="G370" s="97">
        <f ca="1">IF($C$4="Hombre",(+VLOOKUP(INT(D370)+1,Tablas!$G$9:$K$1240,5,0)*(D370-INT(D370))+VLOOKUP(INT(D370),Tablas!$G$9:$K$1240,5,0)*(INT(D370)+1-D370)),+VLOOKUP(INT(D370)+1,Tablas!$G$9:$O$1240,9,0)*(D370-INT(D370))+VLOOKUP(INT(D370),Tablas!$G$9:$O$1240,9,0)*(INT(D370)+1-D370))</f>
        <v>339900.54310849577</v>
      </c>
      <c r="H370" s="105">
        <f t="shared" ca="1" si="42"/>
        <v>1</v>
      </c>
      <c r="I370" s="106">
        <f t="shared" ca="1" si="43"/>
        <v>1.9772632318949577E-2</v>
      </c>
      <c r="J370" s="106">
        <f t="shared" ca="1" si="47"/>
        <v>1.6947970559099638E-2</v>
      </c>
      <c r="K370" s="105">
        <f t="shared" ca="1" si="44"/>
        <v>0.36812950052364579</v>
      </c>
      <c r="L370" s="75"/>
    </row>
    <row r="371" spans="2:12">
      <c r="B371" s="101">
        <f t="shared" ca="1" si="45"/>
        <v>63557</v>
      </c>
      <c r="C371" s="101">
        <f t="shared" ca="1" si="46"/>
        <v>63587</v>
      </c>
      <c r="D371" s="102">
        <f t="shared" ca="1" si="40"/>
        <v>96.585900068446264</v>
      </c>
      <c r="E371" s="103">
        <f t="shared" ca="1" si="41"/>
        <v>0.6437189884810206</v>
      </c>
      <c r="F371" s="104">
        <f ca="1">IF($C$4="Hombre",(+VLOOKUP(INT(D371)+1,Tablas!$G$9:$K$1240,5,0)*(D371-INT(D371))+VLOOKUP(INT(D371),Tablas!$G$9:$K$1240,5,0)*(INT(D371)+1-D371))/(VLOOKUP(INT($C$5)+1,Tablas!$G$9:$K$1240,5,0)*($C$5-INT($C$5))+VLOOKUP(INT($C$5),Tablas!$G$9:$K$124,5,0)*(INT($C$5)+1-$C$5)),(+VLOOKUP(INT(D371)+1,Tablas!$G$9:$O$1240,9,0)*(D371-INT(D371))+VLOOKUP(INT(D371),Tablas!$G$9:$O$1240,9,0)*(INT(D371)+1-D371))/(VLOOKUP(INT($C$5)+1,Tablas!$G$9:$O$1240,9,0)*($C$5-INT($C$5))+VLOOKUP(INT($C$5),Tablas!$G$9:$O$124,9,0)*(INT($C$5)+1-$C$5)))</f>
        <v>0.3640677566805558</v>
      </c>
      <c r="G371" s="97">
        <f ca="1">IF($C$4="Hombre",(+VLOOKUP(INT(D371)+1,Tablas!$G$9:$K$1240,5,0)*(D371-INT(D371))+VLOOKUP(INT(D371),Tablas!$G$9:$K$1240,5,0)*(INT(D371)+1-D371)),+VLOOKUP(INT(D371)+1,Tablas!$G$9:$O$1240,9,0)*(D371-INT(D371))+VLOOKUP(INT(D371),Tablas!$G$9:$O$1240,9,0)*(INT(D371)+1-D371))</f>
        <v>336150.26247010613</v>
      </c>
      <c r="H371" s="105">
        <f t="shared" ca="1" si="42"/>
        <v>1</v>
      </c>
      <c r="I371" s="106">
        <f t="shared" ca="1" si="43"/>
        <v>1.9529777339080144E-2</v>
      </c>
      <c r="J371" s="106">
        <f t="shared" ca="1" si="47"/>
        <v>1.6739809147782982E-2</v>
      </c>
      <c r="K371" s="105">
        <f t="shared" ca="1" si="44"/>
        <v>0.3640677566805558</v>
      </c>
      <c r="L371" s="75"/>
    </row>
    <row r="372" spans="2:12">
      <c r="B372" s="101">
        <f t="shared" ca="1" si="45"/>
        <v>63588</v>
      </c>
      <c r="C372" s="101">
        <f t="shared" ca="1" si="46"/>
        <v>63615</v>
      </c>
      <c r="D372" s="102">
        <f t="shared" ca="1" si="40"/>
        <v>96.662559890485966</v>
      </c>
      <c r="E372" s="103">
        <f t="shared" ca="1" si="41"/>
        <v>0.64298469354301202</v>
      </c>
      <c r="F372" s="104">
        <f ca="1">IF($C$4="Hombre",(+VLOOKUP(INT(D372)+1,Tablas!$G$9:$K$1240,5,0)*(D372-INT(D372))+VLOOKUP(INT(D372),Tablas!$G$9:$K$1240,5,0)*(INT(D372)+1-D372))/(VLOOKUP(INT($C$5)+1,Tablas!$G$9:$K$1240,5,0)*($C$5-INT($C$5))+VLOOKUP(INT($C$5),Tablas!$G$9:$K$124,5,0)*(INT($C$5)+1-$C$5)),(+VLOOKUP(INT(D372)+1,Tablas!$G$9:$O$1240,9,0)*(D372-INT(D372))+VLOOKUP(INT(D372),Tablas!$G$9:$O$1240,9,0)*(INT(D372)+1-D372))/(VLOOKUP(INT($C$5)+1,Tablas!$G$9:$O$1240,9,0)*($C$5-INT($C$5))+VLOOKUP(INT($C$5),Tablas!$G$9:$O$124,9,0)*(INT($C$5)+1-$C$5)))</f>
        <v>0.36039908482228028</v>
      </c>
      <c r="G372" s="97">
        <f ca="1">IF($C$4="Hombre",(+VLOOKUP(INT(D372)+1,Tablas!$G$9:$K$1240,5,0)*(D372-INT(D372))+VLOOKUP(INT(D372),Tablas!$G$9:$K$1240,5,0)*(INT(D372)+1-D372)),+VLOOKUP(INT(D372)+1,Tablas!$G$9:$O$1240,9,0)*(D372-INT(D372))+VLOOKUP(INT(D372),Tablas!$G$9:$O$1240,9,0)*(INT(D372)+1-D372))</f>
        <v>332762.91221607616</v>
      </c>
      <c r="H372" s="105">
        <f t="shared" ca="1" si="42"/>
        <v>1</v>
      </c>
      <c r="I372" s="106">
        <f t="shared" ca="1" si="43"/>
        <v>1.9310924592302988E-2</v>
      </c>
      <c r="J372" s="106">
        <f t="shared" ca="1" si="47"/>
        <v>1.6552221079116847E-2</v>
      </c>
      <c r="K372" s="105">
        <f t="shared" ca="1" si="44"/>
        <v>0.36039908482228028</v>
      </c>
      <c r="L372" s="75"/>
    </row>
    <row r="373" spans="2:12">
      <c r="B373" s="101">
        <f t="shared" ca="1" si="45"/>
        <v>63616</v>
      </c>
      <c r="C373" s="101">
        <f t="shared" ca="1" si="46"/>
        <v>63646</v>
      </c>
      <c r="D373" s="102">
        <f t="shared" ca="1" si="40"/>
        <v>96.747433264887064</v>
      </c>
      <c r="E373" s="103">
        <f t="shared" ca="1" si="41"/>
        <v>0.64217270114766112</v>
      </c>
      <c r="F373" s="104">
        <f ca="1">IF($C$4="Hombre",(+VLOOKUP(INT(D373)+1,Tablas!$G$9:$K$1240,5,0)*(D373-INT(D373))+VLOOKUP(INT(D373),Tablas!$G$9:$K$1240,5,0)*(INT(D373)+1-D373))/(VLOOKUP(INT($C$5)+1,Tablas!$G$9:$K$1240,5,0)*($C$5-INT($C$5))+VLOOKUP(INT($C$5),Tablas!$G$9:$K$124,5,0)*(INT($C$5)+1-$C$5)),(+VLOOKUP(INT(D373)+1,Tablas!$G$9:$O$1240,9,0)*(D373-INT(D373))+VLOOKUP(INT(D373),Tablas!$G$9:$O$1240,9,0)*(INT(D373)+1-D373))/(VLOOKUP(INT($C$5)+1,Tablas!$G$9:$O$1240,9,0)*($C$5-INT($C$5))+VLOOKUP(INT($C$5),Tablas!$G$9:$O$124,9,0)*(INT($C$5)+1-$C$5)))</f>
        <v>0.35633734097918957</v>
      </c>
      <c r="G373" s="97">
        <f ca="1">IF($C$4="Hombre",(+VLOOKUP(INT(D373)+1,Tablas!$G$9:$K$1240,5,0)*(D373-INT(D373))+VLOOKUP(INT(D373),Tablas!$G$9:$K$1240,5,0)*(INT(D373)+1-D373)),+VLOOKUP(INT(D373)+1,Tablas!$G$9:$O$1240,9,0)*(D373-INT(D373))+VLOOKUP(INT(D373),Tablas!$G$9:$O$1240,9,0)*(INT(D373)+1-D373))</f>
        <v>329012.63157768582</v>
      </c>
      <c r="H373" s="105">
        <f t="shared" ca="1" si="42"/>
        <v>1</v>
      </c>
      <c r="I373" s="106">
        <f t="shared" ca="1" si="43"/>
        <v>1.9069176064698441E-2</v>
      </c>
      <c r="J373" s="106">
        <f t="shared" ca="1" si="47"/>
        <v>1.6345008055455808E-2</v>
      </c>
      <c r="K373" s="105">
        <f t="shared" ca="1" si="44"/>
        <v>0.35633734097918957</v>
      </c>
      <c r="L373" s="75"/>
    </row>
    <row r="374" spans="2:12">
      <c r="B374" s="101">
        <f t="shared" ca="1" si="45"/>
        <v>63647</v>
      </c>
      <c r="C374" s="101">
        <f t="shared" ca="1" si="46"/>
        <v>63676</v>
      </c>
      <c r="D374" s="102">
        <f t="shared" ca="1" si="40"/>
        <v>96.829568788501021</v>
      </c>
      <c r="E374" s="103">
        <f t="shared" ca="1" si="41"/>
        <v>0.64138787840845313</v>
      </c>
      <c r="F374" s="104">
        <f ca="1">IF($C$4="Hombre",(+VLOOKUP(INT(D374)+1,Tablas!$G$9:$K$1240,5,0)*(D374-INT(D374))+VLOOKUP(INT(D374),Tablas!$G$9:$K$1240,5,0)*(INT(D374)+1-D374))/(VLOOKUP(INT($C$5)+1,Tablas!$G$9:$K$1240,5,0)*($C$5-INT($C$5))+VLOOKUP(INT($C$5),Tablas!$G$9:$K$124,5,0)*(INT($C$5)+1-$C$5)),(+VLOOKUP(INT(D374)+1,Tablas!$G$9:$O$1240,9,0)*(D374-INT(D374))+VLOOKUP(INT(D374),Tablas!$G$9:$O$1240,9,0)*(INT(D374)+1-D374))/(VLOOKUP(INT($C$5)+1,Tablas!$G$9:$O$1240,9,0)*($C$5-INT($C$5))+VLOOKUP(INT($C$5),Tablas!$G$9:$O$124,9,0)*(INT($C$5)+1-$C$5)))</f>
        <v>0.35240662113103777</v>
      </c>
      <c r="G374" s="97">
        <f ca="1">IF($C$4="Hombre",(+VLOOKUP(INT(D374)+1,Tablas!$G$9:$K$1240,5,0)*(D374-INT(D374))+VLOOKUP(INT(D374),Tablas!$G$9:$K$1240,5,0)*(INT(D374)+1-D374)),+VLOOKUP(INT(D374)+1,Tablas!$G$9:$O$1240,9,0)*(D374-INT(D374))+VLOOKUP(INT(D374),Tablas!$G$9:$O$1240,9,0)*(INT(D374)+1-D374))</f>
        <v>325383.32773408276</v>
      </c>
      <c r="H374" s="105">
        <f t="shared" ca="1" si="42"/>
        <v>1</v>
      </c>
      <c r="I374" s="106">
        <f t="shared" ca="1" si="43"/>
        <v>1.8835777922027321E-2</v>
      </c>
      <c r="J374" s="106">
        <f t="shared" ca="1" si="47"/>
        <v>1.6144952504594846E-2</v>
      </c>
      <c r="K374" s="105">
        <f t="shared" ca="1" si="44"/>
        <v>0.35240662113103777</v>
      </c>
      <c r="L374" s="75"/>
    </row>
    <row r="375" spans="2:12">
      <c r="B375" s="101">
        <f t="shared" ca="1" si="45"/>
        <v>63677</v>
      </c>
      <c r="C375" s="101">
        <f t="shared" ca="1" si="46"/>
        <v>63707</v>
      </c>
      <c r="D375" s="102">
        <f t="shared" ca="1" si="40"/>
        <v>96.91444216290212</v>
      </c>
      <c r="E375" s="103">
        <f t="shared" ca="1" si="41"/>
        <v>0.64057790254904634</v>
      </c>
      <c r="F375" s="104">
        <f ca="1">IF($C$4="Hombre",(+VLOOKUP(INT(D375)+1,Tablas!$G$9:$K$1240,5,0)*(D375-INT(D375))+VLOOKUP(INT(D375),Tablas!$G$9:$K$1240,5,0)*(INT(D375)+1-D375))/(VLOOKUP(INT($C$5)+1,Tablas!$G$9:$K$1240,5,0)*($C$5-INT($C$5))+VLOOKUP(INT($C$5),Tablas!$G$9:$K$124,5,0)*(INT($C$5)+1-$C$5)),(+VLOOKUP(INT(D375)+1,Tablas!$G$9:$O$1240,9,0)*(D375-INT(D375))+VLOOKUP(INT(D375),Tablas!$G$9:$O$1240,9,0)*(INT(D375)+1-D375))/(VLOOKUP(INT($C$5)+1,Tablas!$G$9:$O$1240,9,0)*($C$5-INT($C$5))+VLOOKUP(INT($C$5),Tablas!$G$9:$O$124,9,0)*(INT($C$5)+1-$C$5)))</f>
        <v>0.348344877287947</v>
      </c>
      <c r="G375" s="97">
        <f ca="1">IF($C$4="Hombre",(+VLOOKUP(INT(D375)+1,Tablas!$G$9:$K$1240,5,0)*(D375-INT(D375))+VLOOKUP(INT(D375),Tablas!$G$9:$K$1240,5,0)*(INT(D375)+1-D375)),+VLOOKUP(INT(D375)+1,Tablas!$G$9:$O$1240,9,0)*(D375-INT(D375))+VLOOKUP(INT(D375),Tablas!$G$9:$O$1240,9,0)*(INT(D375)+1-D375))</f>
        <v>321633.04709569243</v>
      </c>
      <c r="H375" s="105">
        <f t="shared" ca="1" si="42"/>
        <v>1</v>
      </c>
      <c r="I375" s="106">
        <f t="shared" ca="1" si="43"/>
        <v>1.8595169238068168E-2</v>
      </c>
      <c r="J375" s="106">
        <f t="shared" ca="1" si="47"/>
        <v>3.1877432979545428E-2</v>
      </c>
      <c r="K375" s="105">
        <f t="shared" ca="1" si="44"/>
        <v>0.348344877287947</v>
      </c>
      <c r="L375" s="75"/>
    </row>
    <row r="376" spans="2:12">
      <c r="B376" s="101">
        <f t="shared" ca="1" si="45"/>
        <v>63708</v>
      </c>
      <c r="C376" s="101">
        <f t="shared" ca="1" si="46"/>
        <v>63737</v>
      </c>
      <c r="D376" s="102">
        <f t="shared" ca="1" si="40"/>
        <v>96.99657768651609</v>
      </c>
      <c r="E376" s="103">
        <f t="shared" ca="1" si="41"/>
        <v>0.63979502887151962</v>
      </c>
      <c r="F376" s="104">
        <f ca="1">IF($C$4="Hombre",(+VLOOKUP(INT(D376)+1,Tablas!$G$9:$K$1240,5,0)*(D376-INT(D376))+VLOOKUP(INT(D376),Tablas!$G$9:$K$1240,5,0)*(INT(D376)+1-D376))/(VLOOKUP(INT($C$5)+1,Tablas!$G$9:$K$1240,5,0)*($C$5-INT($C$5))+VLOOKUP(INT($C$5),Tablas!$G$9:$K$124,5,0)*(INT($C$5)+1-$C$5)),(+VLOOKUP(INT(D376)+1,Tablas!$G$9:$O$1240,9,0)*(D376-INT(D376))+VLOOKUP(INT(D376),Tablas!$G$9:$O$1240,9,0)*(INT(D376)+1-D376))/(VLOOKUP(INT($C$5)+1,Tablas!$G$9:$O$1240,9,0)*($C$5-INT($C$5))+VLOOKUP(INT($C$5),Tablas!$G$9:$O$124,9,0)*(INT($C$5)+1-$C$5)))</f>
        <v>0.34441415743979442</v>
      </c>
      <c r="G376" s="97">
        <f ca="1">IF($C$4="Hombre",(+VLOOKUP(INT(D376)+1,Tablas!$G$9:$K$1240,5,0)*(D376-INT(D376))+VLOOKUP(INT(D376),Tablas!$G$9:$K$1240,5,0)*(INT(D376)+1-D376)),+VLOOKUP(INT(D376)+1,Tablas!$G$9:$O$1240,9,0)*(D376-INT(D376))+VLOOKUP(INT(D376),Tablas!$G$9:$O$1240,9,0)*(INT(D376)+1-D376))</f>
        <v>318003.74325208867</v>
      </c>
      <c r="H376" s="105">
        <f t="shared" ca="1" si="42"/>
        <v>1</v>
      </c>
      <c r="I376" s="106">
        <f t="shared" ca="1" si="43"/>
        <v>1.8362872150246113E-2</v>
      </c>
      <c r="J376" s="106">
        <f t="shared" ca="1" si="47"/>
        <v>1.5739604700210956E-2</v>
      </c>
      <c r="K376" s="105">
        <f t="shared" ca="1" si="44"/>
        <v>0.34441415743979442</v>
      </c>
      <c r="L376" s="75"/>
    </row>
    <row r="377" spans="2:12">
      <c r="B377" s="101">
        <f t="shared" ca="1" si="45"/>
        <v>63738</v>
      </c>
      <c r="C377" s="101">
        <f t="shared" ca="1" si="46"/>
        <v>63768</v>
      </c>
      <c r="D377" s="102">
        <f t="shared" ca="1" si="40"/>
        <v>97.081451060917175</v>
      </c>
      <c r="E377" s="103">
        <f t="shared" ca="1" si="41"/>
        <v>0.63898706454010734</v>
      </c>
      <c r="F377" s="104">
        <f ca="1">IF($C$4="Hombre",(+VLOOKUP(INT(D377)+1,Tablas!$G$9:$K$1240,5,0)*(D377-INT(D377))+VLOOKUP(INT(D377),Tablas!$G$9:$K$1240,5,0)*(INT(D377)+1-D377))/(VLOOKUP(INT($C$5)+1,Tablas!$G$9:$K$1240,5,0)*($C$5-INT($C$5))+VLOOKUP(INT($C$5),Tablas!$G$9:$K$124,5,0)*(INT($C$5)+1-$C$5)),(+VLOOKUP(INT(D377)+1,Tablas!$G$9:$O$1240,9,0)*(D377-INT(D377))+VLOOKUP(INT(D377),Tablas!$G$9:$O$1240,9,0)*(INT(D377)+1-D377))/(VLOOKUP(INT($C$5)+1,Tablas!$G$9:$O$1240,9,0)*($C$5-INT($C$5))+VLOOKUP(INT($C$5),Tablas!$G$9:$O$124,9,0)*(INT($C$5)+1-$C$5)))</f>
        <v>0.34043313429322575</v>
      </c>
      <c r="G377" s="97">
        <f ca="1">IF($C$4="Hombre",(+VLOOKUP(INT(D377)+1,Tablas!$G$9:$K$1240,5,0)*(D377-INT(D377))+VLOOKUP(INT(D377),Tablas!$G$9:$K$1240,5,0)*(INT(D377)+1-D377)),+VLOOKUP(INT(D377)+1,Tablas!$G$9:$O$1240,9,0)*(D377-INT(D377))+VLOOKUP(INT(D377),Tablas!$G$9:$O$1240,9,0)*(INT(D377)+1-D377))</f>
        <v>314327.99347457453</v>
      </c>
      <c r="H377" s="105">
        <f t="shared" ca="1" si="42"/>
        <v>1</v>
      </c>
      <c r="I377" s="106">
        <f t="shared" ca="1" si="43"/>
        <v>1.8127697429518041E-2</v>
      </c>
      <c r="J377" s="106">
        <f t="shared" ca="1" si="47"/>
        <v>1.553802636815832E-2</v>
      </c>
      <c r="K377" s="105">
        <f t="shared" ca="1" si="44"/>
        <v>0.34043313429322575</v>
      </c>
      <c r="L377" s="75"/>
    </row>
    <row r="378" spans="2:12">
      <c r="B378" s="101">
        <f t="shared" ca="1" si="45"/>
        <v>63769</v>
      </c>
      <c r="C378" s="101">
        <f t="shared" ca="1" si="46"/>
        <v>63799</v>
      </c>
      <c r="D378" s="102">
        <f t="shared" ca="1" si="40"/>
        <v>97.166324435318273</v>
      </c>
      <c r="E378" s="103">
        <f t="shared" ca="1" si="41"/>
        <v>0.63818012054541418</v>
      </c>
      <c r="F378" s="104">
        <f ca="1">IF($C$4="Hombre",(+VLOOKUP(INT(D378)+1,Tablas!$G$9:$K$1240,5,0)*(D378-INT(D378))+VLOOKUP(INT(D378),Tablas!$G$9:$K$1240,5,0)*(INT(D378)+1-D378))/(VLOOKUP(INT($C$5)+1,Tablas!$G$9:$K$1240,5,0)*($C$5-INT($C$5))+VLOOKUP(INT($C$5),Tablas!$G$9:$K$124,5,0)*(INT($C$5)+1-$C$5)),(+VLOOKUP(INT(D378)+1,Tablas!$G$9:$O$1240,9,0)*(D378-INT(D378))+VLOOKUP(INT(D378),Tablas!$G$9:$O$1240,9,0)*(INT(D378)+1-D378))/(VLOOKUP(INT($C$5)+1,Tablas!$G$9:$O$1240,9,0)*($C$5-INT($C$5))+VLOOKUP(INT($C$5),Tablas!$G$9:$O$124,9,0)*(INT($C$5)+1-$C$5)))</f>
        <v>0.33645550277256053</v>
      </c>
      <c r="G378" s="97">
        <f ca="1">IF($C$4="Hombre",(+VLOOKUP(INT(D378)+1,Tablas!$G$9:$K$1240,5,0)*(D378-INT(D378))+VLOOKUP(INT(D378),Tablas!$G$9:$K$1240,5,0)*(INT(D378)+1-D378)),+VLOOKUP(INT(D378)+1,Tablas!$G$9:$O$1240,9,0)*(D378-INT(D378))+VLOOKUP(INT(D378),Tablas!$G$9:$O$1240,9,0)*(INT(D378)+1-D378))</f>
        <v>310655.37524583592</v>
      </c>
      <c r="H378" s="105">
        <f t="shared" ca="1" si="42"/>
        <v>1</v>
      </c>
      <c r="I378" s="106">
        <f t="shared" ca="1" si="43"/>
        <v>1.7893267776463384E-2</v>
      </c>
      <c r="J378" s="106">
        <f t="shared" ca="1" si="47"/>
        <v>1.5337086665540043E-2</v>
      </c>
      <c r="K378" s="105">
        <f t="shared" ca="1" si="44"/>
        <v>0.33645550277256053</v>
      </c>
      <c r="L378" s="75"/>
    </row>
    <row r="379" spans="2:12">
      <c r="B379" s="101">
        <f t="shared" ca="1" si="45"/>
        <v>63800</v>
      </c>
      <c r="C379" s="101">
        <f t="shared" ca="1" si="46"/>
        <v>63829</v>
      </c>
      <c r="D379" s="102">
        <f t="shared" ca="1" si="40"/>
        <v>97.248459958932244</v>
      </c>
      <c r="E379" s="103">
        <f t="shared" ca="1" si="41"/>
        <v>0.63740017728494924</v>
      </c>
      <c r="F379" s="104">
        <f ca="1">IF($C$4="Hombre",(+VLOOKUP(INT(D379)+1,Tablas!$G$9:$K$1240,5,0)*(D379-INT(D379))+VLOOKUP(INT(D379),Tablas!$G$9:$K$1240,5,0)*(INT(D379)+1-D379))/(VLOOKUP(INT($C$5)+1,Tablas!$G$9:$K$1240,5,0)*($C$5-INT($C$5))+VLOOKUP(INT($C$5),Tablas!$G$9:$K$124,5,0)*(INT($C$5)+1-$C$5)),(+VLOOKUP(INT(D379)+1,Tablas!$G$9:$O$1240,9,0)*(D379-INT(D379))+VLOOKUP(INT(D379),Tablas!$G$9:$O$1240,9,0)*(INT(D379)+1-D379))/(VLOOKUP(INT($C$5)+1,Tablas!$G$9:$O$1240,9,0)*($C$5-INT($C$5))+VLOOKUP(INT($C$5),Tablas!$G$9:$O$124,9,0)*(INT($C$5)+1-$C$5)))</f>
        <v>0.3326061819461103</v>
      </c>
      <c r="G379" s="97">
        <f ca="1">IF($C$4="Hombre",(+VLOOKUP(INT(D379)+1,Tablas!$G$9:$K$1240,5,0)*(D379-INT(D379))+VLOOKUP(INT(D379),Tablas!$G$9:$K$1240,5,0)*(INT(D379)+1-D379)),+VLOOKUP(INT(D379)+1,Tablas!$G$9:$O$1240,9,0)*(D379-INT(D379))+VLOOKUP(INT(D379),Tablas!$G$9:$O$1240,9,0)*(INT(D379)+1-D379))</f>
        <v>307101.22857286304</v>
      </c>
      <c r="H379" s="105">
        <f t="shared" ca="1" si="42"/>
        <v>1</v>
      </c>
      <c r="I379" s="106">
        <f t="shared" ca="1" si="43"/>
        <v>1.7666936611543397E-2</v>
      </c>
      <c r="J379" s="106">
        <f t="shared" ca="1" si="47"/>
        <v>1.5143088524180056E-2</v>
      </c>
      <c r="K379" s="105">
        <f t="shared" ca="1" si="44"/>
        <v>0.3326061819461103</v>
      </c>
      <c r="L379" s="75"/>
    </row>
    <row r="380" spans="2:12">
      <c r="B380" s="101">
        <f t="shared" ca="1" si="45"/>
        <v>63830</v>
      </c>
      <c r="C380" s="101">
        <f t="shared" ca="1" si="46"/>
        <v>63860</v>
      </c>
      <c r="D380" s="102">
        <f t="shared" ca="1" si="40"/>
        <v>97.333333333333329</v>
      </c>
      <c r="E380" s="103">
        <f t="shared" ca="1" si="41"/>
        <v>0.63659523728879064</v>
      </c>
      <c r="F380" s="104">
        <f ca="1">IF($C$4="Hombre",(+VLOOKUP(INT(D380)+1,Tablas!$G$9:$K$1240,5,0)*(D380-INT(D380))+VLOOKUP(INT(D380),Tablas!$G$9:$K$1240,5,0)*(INT(D380)+1-D380))/(VLOOKUP(INT($C$5)+1,Tablas!$G$9:$K$1240,5,0)*($C$5-INT($C$5))+VLOOKUP(INT($C$5),Tablas!$G$9:$K$124,5,0)*(INT($C$5)+1-$C$5)),(+VLOOKUP(INT(D380)+1,Tablas!$G$9:$O$1240,9,0)*(D380-INT(D380))+VLOOKUP(INT(D380),Tablas!$G$9:$O$1240,9,0)*(INT(D380)+1-D380))/(VLOOKUP(INT($C$5)+1,Tablas!$G$9:$O$1240,9,0)*($C$5-INT($C$5))+VLOOKUP(INT($C$5),Tablas!$G$9:$O$124,9,0)*(INT($C$5)+1-$C$5)))</f>
        <v>0.32862855042544575</v>
      </c>
      <c r="G380" s="97">
        <f ca="1">IF($C$4="Hombre",(+VLOOKUP(INT(D380)+1,Tablas!$G$9:$K$1240,5,0)*(D380-INT(D380))+VLOOKUP(INT(D380),Tablas!$G$9:$K$1240,5,0)*(INT(D380)+1-D380)),+VLOOKUP(INT(D380)+1,Tablas!$G$9:$O$1240,9,0)*(D380-INT(D380))+VLOOKUP(INT(D380),Tablas!$G$9:$O$1240,9,0)*(INT(D380)+1-D380))</f>
        <v>303428.61034412507</v>
      </c>
      <c r="H380" s="105">
        <f t="shared" ca="1" si="42"/>
        <v>1</v>
      </c>
      <c r="I380" s="106">
        <f t="shared" ca="1" si="43"/>
        <v>1.7433614169829827E-2</v>
      </c>
      <c r="J380" s="106">
        <f t="shared" ca="1" si="47"/>
        <v>1.4943097859854136E-2</v>
      </c>
      <c r="K380" s="105">
        <f t="shared" ca="1" si="44"/>
        <v>0.32862855042544575</v>
      </c>
      <c r="L380" s="75"/>
    </row>
    <row r="381" spans="2:12">
      <c r="B381" s="101">
        <f t="shared" ca="1" si="45"/>
        <v>63861</v>
      </c>
      <c r="C381" s="101">
        <f t="shared" ca="1" si="46"/>
        <v>63890</v>
      </c>
      <c r="D381" s="102">
        <f t="shared" ca="1" si="40"/>
        <v>97.4154688569473</v>
      </c>
      <c r="E381" s="103">
        <f t="shared" ca="1" si="41"/>
        <v>0.6358172309721053</v>
      </c>
      <c r="F381" s="104">
        <f ca="1">IF($C$4="Hombre",(+VLOOKUP(INT(D381)+1,Tablas!$G$9:$K$1240,5,0)*(D381-INT(D381))+VLOOKUP(INT(D381),Tablas!$G$9:$K$1240,5,0)*(INT(D381)+1-D381))/(VLOOKUP(INT($C$5)+1,Tablas!$G$9:$K$1240,5,0)*($C$5-INT($C$5))+VLOOKUP(INT($C$5),Tablas!$G$9:$K$124,5,0)*(INT($C$5)+1-$C$5)),(+VLOOKUP(INT(D381)+1,Tablas!$G$9:$O$1240,9,0)*(D381-INT(D381))+VLOOKUP(INT(D381),Tablas!$G$9:$O$1240,9,0)*(INT(D381)+1-D381))/(VLOOKUP(INT($C$5)+1,Tablas!$G$9:$O$1240,9,0)*($C$5-INT($C$5))+VLOOKUP(INT($C$5),Tablas!$G$9:$O$124,9,0)*(INT($C$5)+1-$C$5)))</f>
        <v>0.32477922959899547</v>
      </c>
      <c r="G381" s="97">
        <f ca="1">IF($C$4="Hombre",(+VLOOKUP(INT(D381)+1,Tablas!$G$9:$K$1240,5,0)*(D381-INT(D381))+VLOOKUP(INT(D381),Tablas!$G$9:$K$1240,5,0)*(INT(D381)+1-D381)),+VLOOKUP(INT(D381)+1,Tablas!$G$9:$O$1240,9,0)*(D381-INT(D381))+VLOOKUP(INT(D381),Tablas!$G$9:$O$1240,9,0)*(INT(D381)+1-D381))</f>
        <v>299874.46367115213</v>
      </c>
      <c r="H381" s="105">
        <f t="shared" ca="1" si="42"/>
        <v>1</v>
      </c>
      <c r="I381" s="106">
        <f t="shared" ca="1" si="43"/>
        <v>1.7208352536740575E-2</v>
      </c>
      <c r="J381" s="106">
        <f t="shared" ca="1" si="47"/>
        <v>2.9500032920126699E-2</v>
      </c>
      <c r="K381" s="105">
        <f t="shared" ca="1" si="44"/>
        <v>0.32477922959899547</v>
      </c>
      <c r="L381" s="75"/>
    </row>
    <row r="382" spans="2:12">
      <c r="B382" s="101">
        <f t="shared" ca="1" si="45"/>
        <v>63891</v>
      </c>
      <c r="C382" s="101">
        <f t="shared" ca="1" si="46"/>
        <v>63921</v>
      </c>
      <c r="D382" s="102">
        <f t="shared" ca="1" si="40"/>
        <v>97.500342231348398</v>
      </c>
      <c r="E382" s="103">
        <f t="shared" ca="1" si="41"/>
        <v>0.63501428999766685</v>
      </c>
      <c r="F382" s="104">
        <f ca="1">IF($C$4="Hombre",(+VLOOKUP(INT(D382)+1,Tablas!$G$9:$K$1240,5,0)*(D382-INT(D382))+VLOOKUP(INT(D382),Tablas!$G$9:$K$1240,5,0)*(INT(D382)+1-D382))/(VLOOKUP(INT($C$5)+1,Tablas!$G$9:$K$1240,5,0)*($C$5-INT($C$5))+VLOOKUP(INT($C$5),Tablas!$G$9:$K$124,5,0)*(INT($C$5)+1-$C$5)),(+VLOOKUP(INT(D382)+1,Tablas!$G$9:$O$1240,9,0)*(D382-INT(D382))+VLOOKUP(INT(D382),Tablas!$G$9:$O$1240,9,0)*(INT(D382)+1-D382))/(VLOOKUP(INT($C$5)+1,Tablas!$G$9:$O$1240,9,0)*($C$5-INT($C$5))+VLOOKUP(INT($C$5),Tablas!$G$9:$O$124,9,0)*(INT($C$5)+1-$C$5)))</f>
        <v>0.32080159807833031</v>
      </c>
      <c r="G382" s="97">
        <f ca="1">IF($C$4="Hombre",(+VLOOKUP(INT(D382)+1,Tablas!$G$9:$K$1240,5,0)*(D382-INT(D382))+VLOOKUP(INT(D382),Tablas!$G$9:$K$1240,5,0)*(INT(D382)+1-D382)),+VLOOKUP(INT(D382)+1,Tablas!$G$9:$O$1240,9,0)*(D382-INT(D382))+VLOOKUP(INT(D382),Tablas!$G$9:$O$1240,9,0)*(INT(D382)+1-D382))</f>
        <v>296201.84544241359</v>
      </c>
      <c r="H382" s="105">
        <f t="shared" ca="1" si="42"/>
        <v>1</v>
      </c>
      <c r="I382" s="106">
        <f t="shared" ca="1" si="43"/>
        <v>1.6976133252818985E-2</v>
      </c>
      <c r="J382" s="106">
        <f t="shared" ca="1" si="47"/>
        <v>1.455097135955913E-2</v>
      </c>
      <c r="K382" s="105">
        <f t="shared" ca="1" si="44"/>
        <v>0.32080159807833031</v>
      </c>
      <c r="L382" s="75"/>
    </row>
    <row r="383" spans="2:12">
      <c r="B383" s="101">
        <f t="shared" ca="1" si="45"/>
        <v>63922</v>
      </c>
      <c r="C383" s="101">
        <f t="shared" ca="1" si="46"/>
        <v>63952</v>
      </c>
      <c r="D383" s="102">
        <f t="shared" ca="1" si="40"/>
        <v>97.585215605749482</v>
      </c>
      <c r="E383" s="103">
        <f t="shared" ca="1" si="41"/>
        <v>0.63421236301620798</v>
      </c>
      <c r="F383" s="104">
        <f ca="1">IF($C$4="Hombre",(+VLOOKUP(INT(D383)+1,Tablas!$G$9:$K$1240,5,0)*(D383-INT(D383))+VLOOKUP(INT(D383),Tablas!$G$9:$K$1240,5,0)*(INT(D383)+1-D383))/(VLOOKUP(INT($C$5)+1,Tablas!$G$9:$K$1240,5,0)*($C$5-INT($C$5))+VLOOKUP(INT($C$5),Tablas!$G$9:$K$124,5,0)*(INT($C$5)+1-$C$5)),(+VLOOKUP(INT(D383)+1,Tablas!$G$9:$O$1240,9,0)*(D383-INT(D383))+VLOOKUP(INT(D383),Tablas!$G$9:$O$1240,9,0)*(INT(D383)+1-D383))/(VLOOKUP(INT($C$5)+1,Tablas!$G$9:$O$1240,9,0)*($C$5-INT($C$5))+VLOOKUP(INT($C$5),Tablas!$G$9:$O$124,9,0)*(INT($C$5)+1-$C$5)))</f>
        <v>0.31682396655766581</v>
      </c>
      <c r="G383" s="97">
        <f ca="1">IF($C$4="Hombre",(+VLOOKUP(INT(D383)+1,Tablas!$G$9:$K$1240,5,0)*(D383-INT(D383))+VLOOKUP(INT(D383),Tablas!$G$9:$K$1240,5,0)*(INT(D383)+1-D383)),+VLOOKUP(INT(D383)+1,Tablas!$G$9:$O$1240,9,0)*(D383-INT(D383))+VLOOKUP(INT(D383),Tablas!$G$9:$O$1240,9,0)*(INT(D383)+1-D383))</f>
        <v>292529.22721367568</v>
      </c>
      <c r="H383" s="105">
        <f t="shared" ca="1" si="42"/>
        <v>1</v>
      </c>
      <c r="I383" s="106">
        <f t="shared" ca="1" si="43"/>
        <v>1.6744473040892105E-2</v>
      </c>
      <c r="J383" s="106">
        <f t="shared" ca="1" si="47"/>
        <v>1.4352405463621805E-2</v>
      </c>
      <c r="K383" s="105">
        <f t="shared" ca="1" si="44"/>
        <v>0.31682396655766581</v>
      </c>
      <c r="L383" s="75"/>
    </row>
    <row r="384" spans="2:12">
      <c r="B384" s="101">
        <f t="shared" ca="1" si="45"/>
        <v>63953</v>
      </c>
      <c r="C384" s="101">
        <f t="shared" ca="1" si="46"/>
        <v>63980</v>
      </c>
      <c r="D384" s="102">
        <f t="shared" ca="1" si="40"/>
        <v>97.661875427789184</v>
      </c>
      <c r="E384" s="103">
        <f t="shared" ca="1" si="41"/>
        <v>0.63348891235509841</v>
      </c>
      <c r="F384" s="104">
        <f ca="1">IF($C$4="Hombre",(+VLOOKUP(INT(D384)+1,Tablas!$G$9:$K$1240,5,0)*(D384-INT(D384))+VLOOKUP(INT(D384),Tablas!$G$9:$K$1240,5,0)*(INT(D384)+1-D384))/(VLOOKUP(INT($C$5)+1,Tablas!$G$9:$K$1240,5,0)*($C$5-INT($C$5))+VLOOKUP(INT($C$5),Tablas!$G$9:$K$124,5,0)*(INT($C$5)+1-$C$5)),(+VLOOKUP(INT(D384)+1,Tablas!$G$9:$O$1240,9,0)*(D384-INT(D384))+VLOOKUP(INT(D384),Tablas!$G$9:$O$1240,9,0)*(INT(D384)+1-D384))/(VLOOKUP(INT($C$5)+1,Tablas!$G$9:$O$1240,9,0)*($C$5-INT($C$5))+VLOOKUP(INT($C$5),Tablas!$G$9:$O$124,9,0)*(INT($C$5)+1-$C$5)))</f>
        <v>0.31323126711964577</v>
      </c>
      <c r="G384" s="97">
        <f ca="1">IF($C$4="Hombre",(+VLOOKUP(INT(D384)+1,Tablas!$G$9:$K$1240,5,0)*(D384-INT(D384))+VLOOKUP(INT(D384),Tablas!$G$9:$K$1240,5,0)*(INT(D384)+1-D384)),+VLOOKUP(INT(D384)+1,Tablas!$G$9:$O$1240,9,0)*(D384-INT(D384))+VLOOKUP(INT(D384),Tablas!$G$9:$O$1240,9,0)*(INT(D384)+1-D384))</f>
        <v>289212.02365223446</v>
      </c>
      <c r="H384" s="105">
        <f t="shared" ca="1" si="42"/>
        <v>1</v>
      </c>
      <c r="I384" s="106">
        <f t="shared" ca="1" si="43"/>
        <v>1.6535711226936142E-2</v>
      </c>
      <c r="J384" s="106">
        <f t="shared" ca="1" si="47"/>
        <v>1.4173466765945263E-2</v>
      </c>
      <c r="K384" s="105">
        <f t="shared" ca="1" si="44"/>
        <v>0.31323126711964577</v>
      </c>
      <c r="L384" s="75"/>
    </row>
    <row r="385" spans="2:12">
      <c r="B385" s="101">
        <f t="shared" ca="1" si="45"/>
        <v>63981</v>
      </c>
      <c r="C385" s="101">
        <f t="shared" ca="1" si="46"/>
        <v>64011</v>
      </c>
      <c r="D385" s="102">
        <f t="shared" ca="1" si="40"/>
        <v>97.746748802190282</v>
      </c>
      <c r="E385" s="103">
        <f t="shared" ca="1" si="41"/>
        <v>0.63268891169483843</v>
      </c>
      <c r="F385" s="104">
        <f ca="1">IF($C$4="Hombre",(+VLOOKUP(INT(D385)+1,Tablas!$G$9:$K$1240,5,0)*(D385-INT(D385))+VLOOKUP(INT(D385),Tablas!$G$9:$K$1240,5,0)*(INT(D385)+1-D385))/(VLOOKUP(INT($C$5)+1,Tablas!$G$9:$K$1240,5,0)*($C$5-INT($C$5))+VLOOKUP(INT($C$5),Tablas!$G$9:$K$124,5,0)*(INT($C$5)+1-$C$5)),(+VLOOKUP(INT(D385)+1,Tablas!$G$9:$O$1240,9,0)*(D385-INT(D385))+VLOOKUP(INT(D385),Tablas!$G$9:$O$1240,9,0)*(INT(D385)+1-D385))/(VLOOKUP(INT($C$5)+1,Tablas!$G$9:$O$1240,9,0)*($C$5-INT($C$5))+VLOOKUP(INT($C$5),Tablas!$G$9:$O$124,9,0)*(INT($C$5)+1-$C$5)))</f>
        <v>0.30925363559898061</v>
      </c>
      <c r="G385" s="97">
        <f ca="1">IF($C$4="Hombre",(+VLOOKUP(INT(D385)+1,Tablas!$G$9:$K$1240,5,0)*(D385-INT(D385))+VLOOKUP(INT(D385),Tablas!$G$9:$K$1240,5,0)*(INT(D385)+1-D385)),+VLOOKUP(INT(D385)+1,Tablas!$G$9:$O$1240,9,0)*(D385-INT(D385))+VLOOKUP(INT(D385),Tablas!$G$9:$O$1240,9,0)*(INT(D385)+1-D385))</f>
        <v>285539.40542349592</v>
      </c>
      <c r="H385" s="105">
        <f t="shared" ca="1" si="42"/>
        <v>1</v>
      </c>
      <c r="I385" s="106">
        <f t="shared" ca="1" si="43"/>
        <v>1.6305112178732598E-2</v>
      </c>
      <c r="J385" s="106">
        <f t="shared" ca="1" si="47"/>
        <v>1.3975810438913657E-2</v>
      </c>
      <c r="K385" s="105">
        <f t="shared" ca="1" si="44"/>
        <v>0.30925363559898061</v>
      </c>
      <c r="L385" s="75"/>
    </row>
    <row r="386" spans="2:12">
      <c r="B386" s="101">
        <f t="shared" ca="1" si="45"/>
        <v>64012</v>
      </c>
      <c r="C386" s="101">
        <f t="shared" ca="1" si="46"/>
        <v>64041</v>
      </c>
      <c r="D386" s="102">
        <f t="shared" ca="1" si="40"/>
        <v>97.828884325804239</v>
      </c>
      <c r="E386" s="103">
        <f t="shared" ca="1" si="41"/>
        <v>0.63191567944149696</v>
      </c>
      <c r="F386" s="104">
        <f ca="1">IF($C$4="Hombre",(+VLOOKUP(INT(D386)+1,Tablas!$G$9:$K$1240,5,0)*(D386-INT(D386))+VLOOKUP(INT(D386),Tablas!$G$9:$K$1240,5,0)*(INT(D386)+1-D386))/(VLOOKUP(INT($C$5)+1,Tablas!$G$9:$K$1240,5,0)*($C$5-INT($C$5))+VLOOKUP(INT($C$5),Tablas!$G$9:$K$124,5,0)*(INT($C$5)+1-$C$5)),(+VLOOKUP(INT(D386)+1,Tablas!$G$9:$O$1240,9,0)*(D386-INT(D386))+VLOOKUP(INT(D386),Tablas!$G$9:$O$1240,9,0)*(INT(D386)+1-D386))/(VLOOKUP(INT($C$5)+1,Tablas!$G$9:$O$1240,9,0)*($C$5-INT($C$5))+VLOOKUP(INT($C$5),Tablas!$G$9:$O$124,9,0)*(INT($C$5)+1-$C$5)))</f>
        <v>0.30540431477253094</v>
      </c>
      <c r="G386" s="97">
        <f ca="1">IF($C$4="Hombre",(+VLOOKUP(INT(D386)+1,Tablas!$G$9:$K$1240,5,0)*(D386-INT(D386))+VLOOKUP(INT(D386),Tablas!$G$9:$K$1240,5,0)*(INT(D386)+1-D386)),+VLOOKUP(INT(D386)+1,Tablas!$G$9:$O$1240,9,0)*(D386-INT(D386))+VLOOKUP(INT(D386),Tablas!$G$9:$O$1240,9,0)*(INT(D386)+1-D386))</f>
        <v>281985.25875052356</v>
      </c>
      <c r="H386" s="105">
        <f t="shared" ca="1" si="42"/>
        <v>1</v>
      </c>
      <c r="I386" s="106">
        <f t="shared" ca="1" si="43"/>
        <v>1.6082481256154055E-2</v>
      </c>
      <c r="J386" s="106">
        <f t="shared" ca="1" si="47"/>
        <v>1.3784983933846334E-2</v>
      </c>
      <c r="K386" s="105">
        <f t="shared" ca="1" si="44"/>
        <v>0.30540431477253094</v>
      </c>
      <c r="L386" s="75"/>
    </row>
    <row r="387" spans="2:12">
      <c r="B387" s="101">
        <f t="shared" ca="1" si="45"/>
        <v>64042</v>
      </c>
      <c r="C387" s="101">
        <f t="shared" ca="1" si="46"/>
        <v>64072</v>
      </c>
      <c r="D387" s="102">
        <f t="shared" ca="1" si="40"/>
        <v>97.913757700205338</v>
      </c>
      <c r="E387" s="103">
        <f t="shared" ca="1" si="41"/>
        <v>0.63111766553640358</v>
      </c>
      <c r="F387" s="104">
        <f ca="1">IF($C$4="Hombre",(+VLOOKUP(INT(D387)+1,Tablas!$G$9:$K$1240,5,0)*(D387-INT(D387))+VLOOKUP(INT(D387),Tablas!$G$9:$K$1240,5,0)*(INT(D387)+1-D387))/(VLOOKUP(INT($C$5)+1,Tablas!$G$9:$K$1240,5,0)*($C$5-INT($C$5))+VLOOKUP(INT($C$5),Tablas!$G$9:$K$124,5,0)*(INT($C$5)+1-$C$5)),(+VLOOKUP(INT(D387)+1,Tablas!$G$9:$O$1240,9,0)*(D387-INT(D387))+VLOOKUP(INT(D387),Tablas!$G$9:$O$1240,9,0)*(INT(D387)+1-D387))/(VLOOKUP(INT($C$5)+1,Tablas!$G$9:$O$1240,9,0)*($C$5-INT($C$5))+VLOOKUP(INT($C$5),Tablas!$G$9:$O$124,9,0)*(INT($C$5)+1-$C$5)))</f>
        <v>0.30142668325186578</v>
      </c>
      <c r="G387" s="97">
        <f ca="1">IF($C$4="Hombre",(+VLOOKUP(INT(D387)+1,Tablas!$G$9:$K$1240,5,0)*(D387-INT(D387))+VLOOKUP(INT(D387),Tablas!$G$9:$K$1240,5,0)*(INT(D387)+1-D387)),+VLOOKUP(INT(D387)+1,Tablas!$G$9:$O$1240,9,0)*(D387-INT(D387))+VLOOKUP(INT(D387),Tablas!$G$9:$O$1240,9,0)*(INT(D387)+1-D387))</f>
        <v>278312.64052178501</v>
      </c>
      <c r="H387" s="105">
        <f t="shared" ca="1" si="42"/>
        <v>1</v>
      </c>
      <c r="I387" s="106">
        <f t="shared" ca="1" si="43"/>
        <v>1.5852975388691539E-2</v>
      </c>
      <c r="J387" s="106">
        <f t="shared" ca="1" si="47"/>
        <v>2.7176529237756923E-2</v>
      </c>
      <c r="K387" s="105">
        <f t="shared" ca="1" si="44"/>
        <v>0.30142668325186578</v>
      </c>
      <c r="L387" s="75"/>
    </row>
    <row r="388" spans="2:12">
      <c r="B388" s="101">
        <f t="shared" ca="1" si="45"/>
        <v>64073</v>
      </c>
      <c r="C388" s="101">
        <f t="shared" ca="1" si="46"/>
        <v>64102</v>
      </c>
      <c r="D388" s="102">
        <f t="shared" ca="1" si="40"/>
        <v>97.995893223819309</v>
      </c>
      <c r="E388" s="103">
        <f t="shared" ca="1" si="41"/>
        <v>0.63034635356044499</v>
      </c>
      <c r="F388" s="104">
        <f ca="1">IF($C$4="Hombre",(+VLOOKUP(INT(D388)+1,Tablas!$G$9:$K$1240,5,0)*(D388-INT(D388))+VLOOKUP(INT(D388),Tablas!$G$9:$K$1240,5,0)*(INT(D388)+1-D388))/(VLOOKUP(INT($C$5)+1,Tablas!$G$9:$K$1240,5,0)*($C$5-INT($C$5))+VLOOKUP(INT($C$5),Tablas!$G$9:$K$124,5,0)*(INT($C$5)+1-$C$5)),(+VLOOKUP(INT(D388)+1,Tablas!$G$9:$O$1240,9,0)*(D388-INT(D388))+VLOOKUP(INT(D388),Tablas!$G$9:$O$1240,9,0)*(INT(D388)+1-D388))/(VLOOKUP(INT($C$5)+1,Tablas!$G$9:$O$1240,9,0)*($C$5-INT($C$5))+VLOOKUP(INT($C$5),Tablas!$G$9:$O$124,9,0)*(INT($C$5)+1-$C$5)))</f>
        <v>0.29757736242541544</v>
      </c>
      <c r="G388" s="97">
        <f ca="1">IF($C$4="Hombre",(+VLOOKUP(INT(D388)+1,Tablas!$G$9:$K$1240,5,0)*(D388-INT(D388))+VLOOKUP(INT(D388),Tablas!$G$9:$K$1240,5,0)*(INT(D388)+1-D388)),+VLOOKUP(INT(D388)+1,Tablas!$G$9:$O$1240,9,0)*(D388-INT(D388))+VLOOKUP(INT(D388),Tablas!$G$9:$O$1240,9,0)*(INT(D388)+1-D388))</f>
        <v>274758.49384881207</v>
      </c>
      <c r="H388" s="105">
        <f t="shared" ca="1" si="42"/>
        <v>1</v>
      </c>
      <c r="I388" s="106">
        <f t="shared" ca="1" si="43"/>
        <v>1.5631400442249633E-2</v>
      </c>
      <c r="J388" s="106">
        <f t="shared" ca="1" si="47"/>
        <v>1.3398343236213972E-2</v>
      </c>
      <c r="K388" s="105">
        <f t="shared" ca="1" si="44"/>
        <v>0.29757736242541544</v>
      </c>
      <c r="L388" s="75"/>
    </row>
    <row r="389" spans="2:12">
      <c r="B389" s="101">
        <f t="shared" ca="1" si="45"/>
        <v>64103</v>
      </c>
      <c r="C389" s="101">
        <f t="shared" ca="1" si="46"/>
        <v>64133</v>
      </c>
      <c r="D389" s="102">
        <f t="shared" ca="1" si="40"/>
        <v>98.080766598220393</v>
      </c>
      <c r="E389" s="103">
        <f t="shared" ca="1" si="41"/>
        <v>0.62955032147652745</v>
      </c>
      <c r="F389" s="104">
        <f ca="1">IF($C$4="Hombre",(+VLOOKUP(INT(D389)+1,Tablas!$G$9:$K$1240,5,0)*(D389-INT(D389))+VLOOKUP(INT(D389),Tablas!$G$9:$K$1240,5,0)*(INT(D389)+1-D389))/(VLOOKUP(INT($C$5)+1,Tablas!$G$9:$K$1240,5,0)*($C$5-INT($C$5))+VLOOKUP(INT($C$5),Tablas!$G$9:$K$124,5,0)*(INT($C$5)+1-$C$5)),(+VLOOKUP(INT(D389)+1,Tablas!$G$9:$O$1240,9,0)*(D389-INT(D389))+VLOOKUP(INT(D389),Tablas!$G$9:$O$1240,9,0)*(INT(D389)+1-D389))/(VLOOKUP(INT($C$5)+1,Tablas!$G$9:$O$1240,9,0)*($C$5-INT($C$5))+VLOOKUP(INT($C$5),Tablas!$G$9:$O$124,9,0)*(INT($C$5)+1-$C$5)))</f>
        <v>0.29373030945533579</v>
      </c>
      <c r="G389" s="97">
        <f ca="1">IF($C$4="Hombre",(+VLOOKUP(INT(D389)+1,Tablas!$G$9:$K$1240,5,0)*(D389-INT(D389))+VLOOKUP(INT(D389),Tablas!$G$9:$K$1240,5,0)*(INT(D389)+1-D389)),+VLOOKUP(INT(D389)+1,Tablas!$G$9:$O$1240,9,0)*(D389-INT(D389))+VLOOKUP(INT(D389),Tablas!$G$9:$O$1240,9,0)*(INT(D389)+1-D389))</f>
        <v>271206.44112813304</v>
      </c>
      <c r="H389" s="105">
        <f t="shared" ca="1" si="42"/>
        <v>1</v>
      </c>
      <c r="I389" s="106">
        <f t="shared" ca="1" si="43"/>
        <v>1.5409834228750544E-2</v>
      </c>
      <c r="J389" s="106">
        <f t="shared" ca="1" si="47"/>
        <v>1.3208429338929037E-2</v>
      </c>
      <c r="K389" s="105">
        <f t="shared" ca="1" si="44"/>
        <v>0.29373030945533579</v>
      </c>
      <c r="L389" s="75"/>
    </row>
    <row r="390" spans="2:12">
      <c r="B390" s="101">
        <f t="shared" ca="1" si="45"/>
        <v>64134</v>
      </c>
      <c r="C390" s="101">
        <f t="shared" ca="1" si="46"/>
        <v>64164</v>
      </c>
      <c r="D390" s="102">
        <f t="shared" ca="1" si="40"/>
        <v>98.165639972621491</v>
      </c>
      <c r="E390" s="103">
        <f t="shared" ca="1" si="41"/>
        <v>0.62875529466070568</v>
      </c>
      <c r="F390" s="104">
        <f ca="1">IF($C$4="Hombre",(+VLOOKUP(INT(D390)+1,Tablas!$G$9:$K$1240,5,0)*(D390-INT(D390))+VLOOKUP(INT(D390),Tablas!$G$9:$K$1240,5,0)*(INT(D390)+1-D390))/(VLOOKUP(INT($C$5)+1,Tablas!$G$9:$K$1240,5,0)*($C$5-INT($C$5))+VLOOKUP(INT($C$5),Tablas!$G$9:$K$124,5,0)*(INT($C$5)+1-$C$5)),(+VLOOKUP(INT(D390)+1,Tablas!$G$9:$O$1240,9,0)*(D390-INT(D390))+VLOOKUP(INT(D390),Tablas!$G$9:$O$1240,9,0)*(INT(D390)+1-D390))/(VLOOKUP(INT($C$5)+1,Tablas!$G$9:$O$1240,9,0)*($C$5-INT($C$5))+VLOOKUP(INT($C$5),Tablas!$G$9:$O$124,9,0)*(INT($C$5)+1-$C$5)))</f>
        <v>0.28988989607257337</v>
      </c>
      <c r="G390" s="97">
        <f ca="1">IF($C$4="Hombre",(+VLOOKUP(INT(D390)+1,Tablas!$G$9:$K$1240,5,0)*(D390-INT(D390))+VLOOKUP(INT(D390),Tablas!$G$9:$K$1240,5,0)*(INT(D390)+1-D390)),+VLOOKUP(INT(D390)+1,Tablas!$G$9:$O$1240,9,0)*(D390-INT(D390))+VLOOKUP(INT(D390),Tablas!$G$9:$O$1240,9,0)*(INT(D390)+1-D390))</f>
        <v>267660.51885701576</v>
      </c>
      <c r="H390" s="105">
        <f t="shared" ca="1" si="42"/>
        <v>1</v>
      </c>
      <c r="I390" s="106">
        <f t="shared" ca="1" si="43"/>
        <v>1.5189150585356017E-2</v>
      </c>
      <c r="J390" s="106">
        <f t="shared" ca="1" si="47"/>
        <v>1.3019271930305156E-2</v>
      </c>
      <c r="K390" s="105">
        <f t="shared" ca="1" si="44"/>
        <v>0.28988989607257337</v>
      </c>
      <c r="L390" s="75"/>
    </row>
    <row r="391" spans="2:12">
      <c r="B391" s="101">
        <f t="shared" ca="1" si="45"/>
        <v>64165</v>
      </c>
      <c r="C391" s="101">
        <f t="shared" ca="1" si="46"/>
        <v>64194</v>
      </c>
      <c r="D391" s="102">
        <f t="shared" ca="1" si="40"/>
        <v>98.247775496235448</v>
      </c>
      <c r="E391" s="103">
        <f t="shared" ca="1" si="41"/>
        <v>0.62798686982457474</v>
      </c>
      <c r="F391" s="104">
        <f ca="1">IF($C$4="Hombre",(+VLOOKUP(INT(D391)+1,Tablas!$G$9:$K$1240,5,0)*(D391-INT(D391))+VLOOKUP(INT(D391),Tablas!$G$9:$K$1240,5,0)*(INT(D391)+1-D391))/(VLOOKUP(INT($C$5)+1,Tablas!$G$9:$K$1240,5,0)*($C$5-INT($C$5))+VLOOKUP(INT($C$5),Tablas!$G$9:$K$124,5,0)*(INT($C$5)+1-$C$5)),(+VLOOKUP(INT(D391)+1,Tablas!$G$9:$O$1240,9,0)*(D391-INT(D391))+VLOOKUP(INT(D391),Tablas!$G$9:$O$1240,9,0)*(INT(D391)+1-D391))/(VLOOKUP(INT($C$5)+1,Tablas!$G$9:$O$1240,9,0)*($C$5-INT($C$5))+VLOOKUP(INT($C$5),Tablas!$G$9:$O$124,9,0)*(INT($C$5)+1-$C$5)))</f>
        <v>0.28617336699248114</v>
      </c>
      <c r="G391" s="97">
        <f ca="1">IF($C$4="Hombre",(+VLOOKUP(INT(D391)+1,Tablas!$G$9:$K$1240,5,0)*(D391-INT(D391))+VLOOKUP(INT(D391),Tablas!$G$9:$K$1240,5,0)*(INT(D391)+1-D391)),+VLOOKUP(INT(D391)+1,Tablas!$G$9:$O$1240,9,0)*(D391-INT(D391))+VLOOKUP(INT(D391),Tablas!$G$9:$O$1240,9,0)*(INT(D391)+1-D391))</f>
        <v>264228.98117528972</v>
      </c>
      <c r="H391" s="105">
        <f t="shared" ca="1" si="42"/>
        <v>1</v>
      </c>
      <c r="I391" s="106">
        <f t="shared" ca="1" si="43"/>
        <v>1.4976093080397291E-2</v>
      </c>
      <c r="J391" s="106">
        <f t="shared" ca="1" si="47"/>
        <v>1.2836651211769107E-2</v>
      </c>
      <c r="K391" s="105">
        <f t="shared" ca="1" si="44"/>
        <v>0.28617336699248114</v>
      </c>
      <c r="L391" s="75"/>
    </row>
    <row r="392" spans="2:12">
      <c r="B392" s="101">
        <f t="shared" ca="1" si="45"/>
        <v>64195</v>
      </c>
      <c r="C392" s="101">
        <f t="shared" ca="1" si="46"/>
        <v>64225</v>
      </c>
      <c r="D392" s="102">
        <f t="shared" ca="1" si="40"/>
        <v>98.332648870636547</v>
      </c>
      <c r="E392" s="103">
        <f t="shared" ca="1" si="41"/>
        <v>0.62719381741166591</v>
      </c>
      <c r="F392" s="104">
        <f ca="1">IF($C$4="Hombre",(+VLOOKUP(INT(D392)+1,Tablas!$G$9:$K$1240,5,0)*(D392-INT(D392))+VLOOKUP(INT(D392),Tablas!$G$9:$K$1240,5,0)*(INT(D392)+1-D392))/(VLOOKUP(INT($C$5)+1,Tablas!$G$9:$K$1240,5,0)*($C$5-INT($C$5))+VLOOKUP(INT($C$5),Tablas!$G$9:$K$124,5,0)*(INT($C$5)+1-$C$5)),(+VLOOKUP(INT(D392)+1,Tablas!$G$9:$O$1240,9,0)*(D392-INT(D392))+VLOOKUP(INT(D392),Tablas!$G$9:$O$1240,9,0)*(INT(D392)+1-D392))/(VLOOKUP(INT($C$5)+1,Tablas!$G$9:$O$1240,9,0)*($C$5-INT($C$5))+VLOOKUP(INT($C$5),Tablas!$G$9:$O$124,9,0)*(INT($C$5)+1-$C$5)))</f>
        <v>0.28233295360971872</v>
      </c>
      <c r="G392" s="97">
        <f ca="1">IF($C$4="Hombre",(+VLOOKUP(INT(D392)+1,Tablas!$G$9:$K$1240,5,0)*(D392-INT(D392))+VLOOKUP(INT(D392),Tablas!$G$9:$K$1240,5,0)*(INT(D392)+1-D392)),+VLOOKUP(INT(D392)+1,Tablas!$G$9:$O$1240,9,0)*(D392-INT(D392))+VLOOKUP(INT(D392),Tablas!$G$9:$O$1240,9,0)*(INT(D392)+1-D392))</f>
        <v>260683.05890417242</v>
      </c>
      <c r="H392" s="105">
        <f t="shared" ca="1" si="42"/>
        <v>1</v>
      </c>
      <c r="I392" s="106">
        <f t="shared" ca="1" si="43"/>
        <v>1.4756456912965855E-2</v>
      </c>
      <c r="J392" s="106">
        <f t="shared" ca="1" si="47"/>
        <v>1.2648391639685019E-2</v>
      </c>
      <c r="K392" s="105">
        <f t="shared" ca="1" si="44"/>
        <v>0.28233295360971872</v>
      </c>
      <c r="L392" s="75"/>
    </row>
    <row r="393" spans="2:12">
      <c r="B393" s="101">
        <f t="shared" ca="1" si="45"/>
        <v>64226</v>
      </c>
      <c r="C393" s="101">
        <f t="shared" ca="1" si="46"/>
        <v>64255</v>
      </c>
      <c r="D393" s="102">
        <f t="shared" ca="1" si="40"/>
        <v>98.414784394250518</v>
      </c>
      <c r="E393" s="103">
        <f t="shared" ca="1" si="41"/>
        <v>0.62642730091397658</v>
      </c>
      <c r="F393" s="104">
        <f ca="1">IF($C$4="Hombre",(+VLOOKUP(INT(D393)+1,Tablas!$G$9:$K$1240,5,0)*(D393-INT(D393))+VLOOKUP(INT(D393),Tablas!$G$9:$K$1240,5,0)*(INT(D393)+1-D393))/(VLOOKUP(INT($C$5)+1,Tablas!$G$9:$K$1240,5,0)*($C$5-INT($C$5))+VLOOKUP(INT($C$5),Tablas!$G$9:$K$124,5,0)*(INT($C$5)+1-$C$5)),(+VLOOKUP(INT(D393)+1,Tablas!$G$9:$O$1240,9,0)*(D393-INT(D393))+VLOOKUP(INT(D393),Tablas!$G$9:$O$1240,9,0)*(INT(D393)+1-D393))/(VLOOKUP(INT($C$5)+1,Tablas!$G$9:$O$1240,9,0)*($C$5-INT($C$5))+VLOOKUP(INT($C$5),Tablas!$G$9:$O$124,9,0)*(INT($C$5)+1-$C$5)))</f>
        <v>0.27861642452962582</v>
      </c>
      <c r="G393" s="97">
        <f ca="1">IF($C$4="Hombre",(+VLOOKUP(INT(D393)+1,Tablas!$G$9:$K$1240,5,0)*(D393-INT(D393))+VLOOKUP(INT(D393),Tablas!$G$9:$K$1240,5,0)*(INT(D393)+1-D393)),+VLOOKUP(INT(D393)+1,Tablas!$G$9:$O$1240,9,0)*(D393-INT(D393))+VLOOKUP(INT(D393),Tablas!$G$9:$O$1240,9,0)*(INT(D393)+1-D393))</f>
        <v>257251.52122244582</v>
      </c>
      <c r="H393" s="105">
        <f t="shared" ca="1" si="42"/>
        <v>1</v>
      </c>
      <c r="I393" s="106">
        <f t="shared" ca="1" si="43"/>
        <v>1.4544411234033012E-2</v>
      </c>
      <c r="J393" s="106">
        <f t="shared" ca="1" si="47"/>
        <v>2.4933276401199449E-2</v>
      </c>
      <c r="K393" s="105">
        <f t="shared" ca="1" si="44"/>
        <v>0.27861642452962582</v>
      </c>
      <c r="L393" s="75"/>
    </row>
    <row r="394" spans="2:12">
      <c r="B394" s="101">
        <f t="shared" ca="1" si="45"/>
        <v>64256</v>
      </c>
      <c r="C394" s="101">
        <f t="shared" ca="1" si="46"/>
        <v>64286</v>
      </c>
      <c r="D394" s="102">
        <f t="shared" ca="1" si="40"/>
        <v>98.499657768651602</v>
      </c>
      <c r="E394" s="103">
        <f t="shared" ca="1" si="41"/>
        <v>0.62563621800066582</v>
      </c>
      <c r="F394" s="104">
        <f ca="1">IF($C$4="Hombre",(+VLOOKUP(INT(D394)+1,Tablas!$G$9:$K$1240,5,0)*(D394-INT(D394))+VLOOKUP(INT(D394),Tablas!$G$9:$K$1240,5,0)*(INT(D394)+1-D394))/(VLOOKUP(INT($C$5)+1,Tablas!$G$9:$K$1240,5,0)*($C$5-INT($C$5))+VLOOKUP(INT($C$5),Tablas!$G$9:$K$124,5,0)*(INT($C$5)+1-$C$5)),(+VLOOKUP(INT(D394)+1,Tablas!$G$9:$O$1240,9,0)*(D394-INT(D394))+VLOOKUP(INT(D394),Tablas!$G$9:$O$1240,9,0)*(INT(D394)+1-D394))/(VLOOKUP(INT($C$5)+1,Tablas!$G$9:$O$1240,9,0)*($C$5-INT($C$5))+VLOOKUP(INT($C$5),Tablas!$G$9:$O$124,9,0)*(INT($C$5)+1-$C$5)))</f>
        <v>0.27477601114686401</v>
      </c>
      <c r="G394" s="97">
        <f ca="1">IF($C$4="Hombre",(+VLOOKUP(INT(D394)+1,Tablas!$G$9:$K$1240,5,0)*(D394-INT(D394))+VLOOKUP(INT(D394),Tablas!$G$9:$K$1240,5,0)*(INT(D394)+1-D394)),+VLOOKUP(INT(D394)+1,Tablas!$G$9:$O$1240,9,0)*(D394-INT(D394))+VLOOKUP(INT(D394),Tablas!$G$9:$O$1240,9,0)*(INT(D394)+1-D394))</f>
        <v>253705.59895132907</v>
      </c>
      <c r="H394" s="105">
        <f t="shared" ca="1" si="42"/>
        <v>1</v>
      </c>
      <c r="I394" s="106">
        <f t="shared" ca="1" si="43"/>
        <v>1.4325818700936065E-2</v>
      </c>
      <c r="J394" s="106">
        <f t="shared" ca="1" si="47"/>
        <v>1.2279273172230914E-2</v>
      </c>
      <c r="K394" s="105">
        <f t="shared" ca="1" si="44"/>
        <v>0.27477601114686401</v>
      </c>
      <c r="L394" s="75"/>
    </row>
    <row r="395" spans="2:12">
      <c r="B395" s="101">
        <f t="shared" ca="1" si="45"/>
        <v>64287</v>
      </c>
      <c r="C395" s="101">
        <f t="shared" ca="1" si="46"/>
        <v>64317</v>
      </c>
      <c r="D395" s="102">
        <f t="shared" ca="1" si="40"/>
        <v>98.5845311430527</v>
      </c>
      <c r="E395" s="103">
        <f t="shared" ca="1" si="41"/>
        <v>0.62484613410539702</v>
      </c>
      <c r="F395" s="104">
        <f ca="1">IF($C$4="Hombre",(+VLOOKUP(INT(D395)+1,Tablas!$G$9:$K$1240,5,0)*(D395-INT(D395))+VLOOKUP(INT(D395),Tablas!$G$9:$K$1240,5,0)*(INT(D395)+1-D395))/(VLOOKUP(INT($C$5)+1,Tablas!$G$9:$K$1240,5,0)*($C$5-INT($C$5))+VLOOKUP(INT($C$5),Tablas!$G$9:$K$124,5,0)*(INT($C$5)+1-$C$5)),(+VLOOKUP(INT(D395)+1,Tablas!$G$9:$O$1240,9,0)*(D395-INT(D395))+VLOOKUP(INT(D395),Tablas!$G$9:$O$1240,9,0)*(INT(D395)+1-D395))/(VLOOKUP(INT($C$5)+1,Tablas!$G$9:$O$1240,9,0)*($C$5-INT($C$5))+VLOOKUP(INT($C$5),Tablas!$G$9:$O$124,9,0)*(INT($C$5)+1-$C$5)))</f>
        <v>0.27093559776410159</v>
      </c>
      <c r="G395" s="97">
        <f ca="1">IF($C$4="Hombre",(+VLOOKUP(INT(D395)+1,Tablas!$G$9:$K$1240,5,0)*(D395-INT(D395))+VLOOKUP(INT(D395),Tablas!$G$9:$K$1240,5,0)*(INT(D395)+1-D395)),+VLOOKUP(INT(D395)+1,Tablas!$G$9:$O$1240,9,0)*(D395-INT(D395))+VLOOKUP(INT(D395),Tablas!$G$9:$O$1240,9,0)*(INT(D395)+1-D395))</f>
        <v>250159.67668021176</v>
      </c>
      <c r="H395" s="105">
        <f t="shared" ca="1" si="42"/>
        <v>1</v>
      </c>
      <c r="I395" s="106">
        <f t="shared" ca="1" si="43"/>
        <v>1.4107755071202811E-2</v>
      </c>
      <c r="J395" s="106">
        <f t="shared" ca="1" si="47"/>
        <v>1.209236148960241E-2</v>
      </c>
      <c r="K395" s="105">
        <f t="shared" ca="1" si="44"/>
        <v>0.27093559776410159</v>
      </c>
      <c r="L395" s="75"/>
    </row>
    <row r="396" spans="2:12">
      <c r="B396" s="101">
        <f t="shared" ca="1" si="45"/>
        <v>64318</v>
      </c>
      <c r="C396" s="101">
        <f t="shared" ca="1" si="46"/>
        <v>64346</v>
      </c>
      <c r="D396" s="102">
        <f t="shared" ca="1" si="40"/>
        <v>98.66392881587953</v>
      </c>
      <c r="E396" s="103">
        <f t="shared" ca="1" si="41"/>
        <v>0.62410792666505677</v>
      </c>
      <c r="F396" s="104">
        <f ca="1">IF($C$4="Hombre",(+VLOOKUP(INT(D396)+1,Tablas!$G$9:$K$1240,5,0)*(D396-INT(D396))+VLOOKUP(INT(D396),Tablas!$G$9:$K$1240,5,0)*(INT(D396)+1-D396))/(VLOOKUP(INT($C$5)+1,Tablas!$G$9:$K$1240,5,0)*($C$5-INT($C$5))+VLOOKUP(INT($C$5),Tablas!$G$9:$K$124,5,0)*(INT($C$5)+1-$C$5)),(+VLOOKUP(INT(D396)+1,Tablas!$G$9:$O$1240,9,0)*(D396-INT(D396))+VLOOKUP(INT(D396),Tablas!$G$9:$O$1240,9,0)*(INT(D396)+1-D396))/(VLOOKUP(INT($C$5)+1,Tablas!$G$9:$O$1240,9,0)*($C$5-INT($C$5))+VLOOKUP(INT($C$5),Tablas!$G$9:$O$124,9,0)*(INT($C$5)+1-$C$5)))</f>
        <v>0.26734295298667887</v>
      </c>
      <c r="G396" s="97">
        <f ca="1">IF($C$4="Hombre",(+VLOOKUP(INT(D396)+1,Tablas!$G$9:$K$1240,5,0)*(D396-INT(D396))+VLOOKUP(INT(D396),Tablas!$G$9:$K$1240,5,0)*(INT(D396)+1-D396)),+VLOOKUP(INT(D396)+1,Tablas!$G$9:$O$1240,9,0)*(D396-INT(D396))+VLOOKUP(INT(D396),Tablas!$G$9:$O$1240,9,0)*(INT(D396)+1-D396))</f>
        <v>246842.52358787644</v>
      </c>
      <c r="H396" s="105">
        <f t="shared" ca="1" si="42"/>
        <v>1</v>
      </c>
      <c r="I396" s="106">
        <f t="shared" ca="1" si="43"/>
        <v>1.3904238008085823E-2</v>
      </c>
      <c r="J396" s="106">
        <f t="shared" ca="1" si="47"/>
        <v>1.1917918292644991E-2</v>
      </c>
      <c r="K396" s="105">
        <f t="shared" ca="1" si="44"/>
        <v>0.26734295298667887</v>
      </c>
      <c r="L396" s="75"/>
    </row>
    <row r="397" spans="2:12">
      <c r="B397" s="101">
        <f t="shared" ca="1" si="45"/>
        <v>64347</v>
      </c>
      <c r="C397" s="101">
        <f t="shared" ca="1" si="46"/>
        <v>64377</v>
      </c>
      <c r="D397" s="102">
        <f t="shared" ca="1" si="40"/>
        <v>98.748802190280628</v>
      </c>
      <c r="E397" s="103">
        <f t="shared" ca="1" si="41"/>
        <v>0.62331977277054063</v>
      </c>
      <c r="F397" s="104">
        <f ca="1">IF($C$4="Hombre",(+VLOOKUP(INT(D397)+1,Tablas!$G$9:$K$1240,5,0)*(D397-INT(D397))+VLOOKUP(INT(D397),Tablas!$G$9:$K$1240,5,0)*(INT(D397)+1-D397))/(VLOOKUP(INT($C$5)+1,Tablas!$G$9:$K$1240,5,0)*($C$5-INT($C$5))+VLOOKUP(INT($C$5),Tablas!$G$9:$K$124,5,0)*(INT($C$5)+1-$C$5)),(+VLOOKUP(INT(D397)+1,Tablas!$G$9:$O$1240,9,0)*(D397-INT(D397))+VLOOKUP(INT(D397),Tablas!$G$9:$O$1240,9,0)*(INT(D397)+1-D397))/(VLOOKUP(INT($C$5)+1,Tablas!$G$9:$O$1240,9,0)*($C$5-INT($C$5))+VLOOKUP(INT($C$5),Tablas!$G$9:$O$124,9,0)*(INT($C$5)+1-$C$5)))</f>
        <v>0.26350253960391651</v>
      </c>
      <c r="G397" s="97">
        <f ca="1">IF($C$4="Hombre",(+VLOOKUP(INT(D397)+1,Tablas!$G$9:$K$1240,5,0)*(D397-INT(D397))+VLOOKUP(INT(D397),Tablas!$G$9:$K$1240,5,0)*(INT(D397)+1-D397)),+VLOOKUP(INT(D397)+1,Tablas!$G$9:$O$1240,9,0)*(D397-INT(D397))+VLOOKUP(INT(D397),Tablas!$G$9:$O$1240,9,0)*(INT(D397)+1-D397))</f>
        <v>243296.60131675916</v>
      </c>
      <c r="H397" s="105">
        <f t="shared" ca="1" si="42"/>
        <v>1</v>
      </c>
      <c r="I397" s="106">
        <f t="shared" ca="1" si="43"/>
        <v>1.3687195259197801E-2</v>
      </c>
      <c r="J397" s="106">
        <f t="shared" ca="1" si="47"/>
        <v>1.1731881650740973E-2</v>
      </c>
      <c r="K397" s="105">
        <f t="shared" ca="1" si="44"/>
        <v>0.26350253960391651</v>
      </c>
      <c r="L397" s="75"/>
    </row>
    <row r="398" spans="2:12">
      <c r="B398" s="101">
        <f t="shared" ca="1" si="45"/>
        <v>64378</v>
      </c>
      <c r="C398" s="101">
        <f t="shared" ca="1" si="46"/>
        <v>64407</v>
      </c>
      <c r="D398" s="102">
        <f t="shared" ca="1" si="40"/>
        <v>98.830937713894599</v>
      </c>
      <c r="E398" s="103">
        <f t="shared" ca="1" si="41"/>
        <v>0.62255799088446218</v>
      </c>
      <c r="F398" s="104">
        <f ca="1">IF($C$4="Hombre",(+VLOOKUP(INT(D398)+1,Tablas!$G$9:$K$1240,5,0)*(D398-INT(D398))+VLOOKUP(INT(D398),Tablas!$G$9:$K$1240,5,0)*(INT(D398)+1-D398))/(VLOOKUP(INT($C$5)+1,Tablas!$G$9:$K$1240,5,0)*($C$5-INT($C$5))+VLOOKUP(INT($C$5),Tablas!$G$9:$K$124,5,0)*(INT($C$5)+1-$C$5)),(+VLOOKUP(INT(D398)+1,Tablas!$G$9:$O$1240,9,0)*(D398-INT(D398))+VLOOKUP(INT(D398),Tablas!$G$9:$O$1240,9,0)*(INT(D398)+1-D398))/(VLOOKUP(INT($C$5)+1,Tablas!$G$9:$O$1240,9,0)*($C$5-INT($C$5))+VLOOKUP(INT($C$5),Tablas!$G$9:$O$124,9,0)*(INT($C$5)+1-$C$5)))</f>
        <v>0.25978601052382361</v>
      </c>
      <c r="G398" s="97">
        <f ca="1">IF($C$4="Hombre",(+VLOOKUP(INT(D398)+1,Tablas!$G$9:$K$1240,5,0)*(D398-INT(D398))+VLOOKUP(INT(D398),Tablas!$G$9:$K$1240,5,0)*(INT(D398)+1-D398)),+VLOOKUP(INT(D398)+1,Tablas!$G$9:$O$1240,9,0)*(D398-INT(D398))+VLOOKUP(INT(D398),Tablas!$G$9:$O$1240,9,0)*(INT(D398)+1-D398))</f>
        <v>239865.06363503254</v>
      </c>
      <c r="H398" s="105">
        <f t="shared" ca="1" si="42"/>
        <v>1</v>
      </c>
      <c r="I398" s="106">
        <f t="shared" ca="1" si="43"/>
        <v>1.3477654730966781E-2</v>
      </c>
      <c r="J398" s="106">
        <f t="shared" ca="1" si="47"/>
        <v>1.1552275483685813E-2</v>
      </c>
      <c r="K398" s="105">
        <f t="shared" ca="1" si="44"/>
        <v>0.25978601052382361</v>
      </c>
      <c r="L398" s="75"/>
    </row>
    <row r="399" spans="2:12">
      <c r="B399" s="101">
        <f t="shared" ca="1" si="45"/>
        <v>64408</v>
      </c>
      <c r="C399" s="101">
        <f t="shared" ca="1" si="46"/>
        <v>64438</v>
      </c>
      <c r="D399" s="102">
        <f t="shared" ca="1" si="40"/>
        <v>98.915811088295683</v>
      </c>
      <c r="E399" s="103">
        <f t="shared" ca="1" si="41"/>
        <v>0.62177179432435814</v>
      </c>
      <c r="F399" s="104">
        <f ca="1">IF($C$4="Hombre",(+VLOOKUP(INT(D399)+1,Tablas!$G$9:$K$1240,5,0)*(D399-INT(D399))+VLOOKUP(INT(D399),Tablas!$G$9:$K$1240,5,0)*(INT(D399)+1-D399))/(VLOOKUP(INT($C$5)+1,Tablas!$G$9:$K$1240,5,0)*($C$5-INT($C$5))+VLOOKUP(INT($C$5),Tablas!$G$9:$K$124,5,0)*(INT($C$5)+1-$C$5)),(+VLOOKUP(INT(D399)+1,Tablas!$G$9:$O$1240,9,0)*(D399-INT(D399))+VLOOKUP(INT(D399),Tablas!$G$9:$O$1240,9,0)*(INT(D399)+1-D399))/(VLOOKUP(INT($C$5)+1,Tablas!$G$9:$O$1240,9,0)*($C$5-INT($C$5))+VLOOKUP(INT($C$5),Tablas!$G$9:$O$124,9,0)*(INT($C$5)+1-$C$5)))</f>
        <v>0.2559455971410618</v>
      </c>
      <c r="G399" s="97">
        <f ca="1">IF($C$4="Hombre",(+VLOOKUP(INT(D399)+1,Tablas!$G$9:$K$1240,5,0)*(D399-INT(D399))+VLOOKUP(INT(D399),Tablas!$G$9:$K$1240,5,0)*(INT(D399)+1-D399)),+VLOOKUP(INT(D399)+1,Tablas!$G$9:$O$1240,9,0)*(D399-INT(D399))+VLOOKUP(INT(D399),Tablas!$G$9:$O$1240,9,0)*(INT(D399)+1-D399))</f>
        <v>236319.14136391581</v>
      </c>
      <c r="H399" s="105">
        <f t="shared" ca="1" si="42"/>
        <v>1</v>
      </c>
      <c r="I399" s="106">
        <f t="shared" ca="1" si="43"/>
        <v>1.3261646098651441E-2</v>
      </c>
      <c r="J399" s="106">
        <f t="shared" ca="1" si="47"/>
        <v>2.2734250454831042E-2</v>
      </c>
      <c r="K399" s="105">
        <f t="shared" ca="1" si="44"/>
        <v>0.2559455971410618</v>
      </c>
      <c r="L399" s="75"/>
    </row>
    <row r="400" spans="2:12">
      <c r="B400" s="101">
        <f t="shared" ca="1" si="45"/>
        <v>64439</v>
      </c>
      <c r="C400" s="101">
        <f t="shared" ca="1" si="46"/>
        <v>64468</v>
      </c>
      <c r="D400" s="102">
        <f t="shared" ca="1" si="40"/>
        <v>98.997946611909654</v>
      </c>
      <c r="E400" s="103">
        <f t="shared" ca="1" si="41"/>
        <v>0.62101190427934094</v>
      </c>
      <c r="F400" s="104">
        <f ca="1">IF($C$4="Hombre",(+VLOOKUP(INT(D400)+1,Tablas!$G$9:$K$1240,5,0)*(D400-INT(D400))+VLOOKUP(INT(D400),Tablas!$G$9:$K$1240,5,0)*(INT(D400)+1-D400))/(VLOOKUP(INT($C$5)+1,Tablas!$G$9:$K$1240,5,0)*($C$5-INT($C$5))+VLOOKUP(INT($C$5),Tablas!$G$9:$K$124,5,0)*(INT($C$5)+1-$C$5)),(+VLOOKUP(INT(D400)+1,Tablas!$G$9:$O$1240,9,0)*(D400-INT(D400))+VLOOKUP(INT(D400),Tablas!$G$9:$O$1240,9,0)*(INT(D400)+1-D400))/(VLOOKUP(INT($C$5)+1,Tablas!$G$9:$O$1240,9,0)*($C$5-INT($C$5))+VLOOKUP(INT($C$5),Tablas!$G$9:$O$124,9,0)*(INT($C$5)+1-$C$5)))</f>
        <v>0.2522290680609689</v>
      </c>
      <c r="G400" s="97">
        <f ca="1">IF($C$4="Hombre",(+VLOOKUP(INT(D400)+1,Tablas!$G$9:$K$1240,5,0)*(D400-INT(D400))+VLOOKUP(INT(D400),Tablas!$G$9:$K$1240,5,0)*(INT(D400)+1-D400)),+VLOOKUP(INT(D400)+1,Tablas!$G$9:$O$1240,9,0)*(D400-INT(D400))+VLOOKUP(INT(D400),Tablas!$G$9:$O$1240,9,0)*(INT(D400)+1-D400))</f>
        <v>232887.60368218919</v>
      </c>
      <c r="H400" s="105">
        <f t="shared" ca="1" si="42"/>
        <v>1</v>
      </c>
      <c r="I400" s="106">
        <f t="shared" ca="1" si="43"/>
        <v>1.3053104489262149E-2</v>
      </c>
      <c r="J400" s="106">
        <f t="shared" ca="1" si="47"/>
        <v>1.1188375276510414E-2</v>
      </c>
      <c r="K400" s="105">
        <f t="shared" ca="1" si="44"/>
        <v>0.2522290680609689</v>
      </c>
      <c r="L400" s="75"/>
    </row>
    <row r="401" spans="2:12">
      <c r="B401" s="101">
        <f t="shared" ca="1" si="45"/>
        <v>64469</v>
      </c>
      <c r="C401" s="101">
        <f t="shared" ca="1" si="46"/>
        <v>64499</v>
      </c>
      <c r="D401" s="102">
        <f t="shared" ca="1" si="40"/>
        <v>99.082819986310753</v>
      </c>
      <c r="E401" s="103">
        <f t="shared" ca="1" si="41"/>
        <v>0.62022766019272269</v>
      </c>
      <c r="F401" s="104">
        <f ca="1">IF($C$4="Hombre",(+VLOOKUP(INT(D401)+1,Tablas!$G$9:$K$1240,5,0)*(D401-INT(D401))+VLOOKUP(INT(D401),Tablas!$G$9:$K$1240,5,0)*(INT(D401)+1-D401))/(VLOOKUP(INT($C$5)+1,Tablas!$G$9:$K$1240,5,0)*($C$5-INT($C$5))+VLOOKUP(INT($C$5),Tablas!$G$9:$K$124,5,0)*(INT($C$5)+1-$C$5)),(+VLOOKUP(INT(D401)+1,Tablas!$G$9:$O$1240,9,0)*(D401-INT(D401))+VLOOKUP(INT(D401),Tablas!$G$9:$O$1240,9,0)*(INT(D401)+1-D401))/(VLOOKUP(INT($C$5)+1,Tablas!$G$9:$O$1240,9,0)*($C$5-INT($C$5))+VLOOKUP(INT($C$5),Tablas!$G$9:$O$124,9,0)*(INT($C$5)+1-$C$5)))</f>
        <v>0.24857923570135629</v>
      </c>
      <c r="G401" s="97">
        <f ca="1">IF($C$4="Hombre",(+VLOOKUP(INT(D401)+1,Tablas!$G$9:$K$1240,5,0)*(D401-INT(D401))+VLOOKUP(INT(D401),Tablas!$G$9:$K$1240,5,0)*(INT(D401)+1-D401)),+VLOOKUP(INT(D401)+1,Tablas!$G$9:$O$1240,9,0)*(D401-INT(D401))+VLOOKUP(INT(D401),Tablas!$G$9:$O$1240,9,0)*(INT(D401)+1-D401))</f>
        <v>229517.64827377276</v>
      </c>
      <c r="H401" s="105">
        <f t="shared" ca="1" si="42"/>
        <v>1</v>
      </c>
      <c r="I401" s="106">
        <f t="shared" ca="1" si="43"/>
        <v>1.2847976477628959E-2</v>
      </c>
      <c r="J401" s="106">
        <f t="shared" ca="1" si="47"/>
        <v>1.1012551266539107E-2</v>
      </c>
      <c r="K401" s="105">
        <f t="shared" ca="1" si="44"/>
        <v>0.24857923570135629</v>
      </c>
      <c r="L401" s="75"/>
    </row>
    <row r="402" spans="2:12">
      <c r="B402" s="101">
        <f t="shared" ca="1" si="45"/>
        <v>64500</v>
      </c>
      <c r="C402" s="101">
        <f t="shared" ca="1" si="46"/>
        <v>64530</v>
      </c>
      <c r="D402" s="102">
        <f t="shared" ref="D402:D465" ca="1" si="48">-_xlfn.DAYS($C$3,C402)/365.25</f>
        <v>99.167693360711837</v>
      </c>
      <c r="E402" s="103">
        <f t="shared" ref="E402:E465" ca="1" si="49">IF($D$17+40&lt;=D402,(1+$D$7)^-(D402-$C$5),(1+$C$7)^-(D402-$C$5))</f>
        <v>0.61944440648774302</v>
      </c>
      <c r="F402" s="104">
        <f ca="1">IF($C$4="Hombre",(+VLOOKUP(INT(D402)+1,Tablas!$G$9:$K$1240,5,0)*(D402-INT(D402))+VLOOKUP(INT(D402),Tablas!$G$9:$K$1240,5,0)*(INT(D402)+1-D402))/(VLOOKUP(INT($C$5)+1,Tablas!$G$9:$K$1240,5,0)*($C$5-INT($C$5))+VLOOKUP(INT($C$5),Tablas!$G$9:$K$124,5,0)*(INT($C$5)+1-$C$5)),(+VLOOKUP(INT(D402)+1,Tablas!$G$9:$O$1240,9,0)*(D402-INT(D402))+VLOOKUP(INT(D402),Tablas!$G$9:$O$1240,9,0)*(INT(D402)+1-D402))/(VLOOKUP(INT($C$5)+1,Tablas!$G$9:$O$1240,9,0)*($C$5-INT($C$5))+VLOOKUP(INT($C$5),Tablas!$G$9:$O$124,9,0)*(INT($C$5)+1-$C$5)))</f>
        <v>0.24493412849107846</v>
      </c>
      <c r="G402" s="97">
        <f ca="1">IF($C$4="Hombre",(+VLOOKUP(INT(D402)+1,Tablas!$G$9:$K$1240,5,0)*(D402-INT(D402))+VLOOKUP(INT(D402),Tablas!$G$9:$K$1240,5,0)*(INT(D402)+1-D402)),+VLOOKUP(INT(D402)+1,Tablas!$G$9:$O$1240,9,0)*(D402-INT(D402))+VLOOKUP(INT(D402),Tablas!$G$9:$O$1240,9,0)*(INT(D402)+1-D402))</f>
        <v>226152.05568013454</v>
      </c>
      <c r="H402" s="105">
        <f t="shared" ref="H402:H465" ca="1" si="50">+IF(MONTH(B402)=1,H401*(1+$C$9),H401)</f>
        <v>1</v>
      </c>
      <c r="I402" s="106">
        <f t="shared" ref="I402:I465" ca="1" si="51">IF(B402&lt;$C$10,0,IF(B402&lt;$C$11,$C$8/12*E402*F402*H402,0))</f>
        <v>1.2643589654312391E-2</v>
      </c>
      <c r="J402" s="106">
        <f t="shared" ca="1" si="47"/>
        <v>1.0837362560839192E-2</v>
      </c>
      <c r="K402" s="105">
        <f t="shared" ref="K402:K465" ca="1" si="52">G402/$G$15</f>
        <v>0.24493412849107846</v>
      </c>
      <c r="L402" s="75"/>
    </row>
    <row r="403" spans="2:12">
      <c r="B403" s="101">
        <f t="shared" ref="B403:B466" ca="1" si="53">+DATE(YEAR(B402),MONTH(B402)+1,DAY(B402))</f>
        <v>64531</v>
      </c>
      <c r="C403" s="101">
        <f t="shared" ref="C403:C466" ca="1" si="54">+B404-1</f>
        <v>64560</v>
      </c>
      <c r="D403" s="102">
        <f t="shared" ca="1" si="48"/>
        <v>99.249828884325808</v>
      </c>
      <c r="E403" s="103">
        <f t="shared" ca="1" si="49"/>
        <v>0.61868736082850218</v>
      </c>
      <c r="F403" s="104">
        <f ca="1">IF($C$4="Hombre",(+VLOOKUP(INT(D403)+1,Tablas!$G$9:$K$1240,5,0)*(D403-INT(D403))+VLOOKUP(INT(D403),Tablas!$G$9:$K$1240,5,0)*(INT(D403)+1-D403))/(VLOOKUP(INT($C$5)+1,Tablas!$G$9:$K$1240,5,0)*($C$5-INT($C$5))+VLOOKUP(INT($C$5),Tablas!$G$9:$K$124,5,0)*(INT($C$5)+1-$C$5)),(+VLOOKUP(INT(D403)+1,Tablas!$G$9:$O$1240,9,0)*(D403-INT(D403))+VLOOKUP(INT(D403),Tablas!$G$9:$O$1240,9,0)*(INT(D403)+1-D403))/(VLOOKUP(INT($C$5)+1,Tablas!$G$9:$O$1240,9,0)*($C$5-INT($C$5))+VLOOKUP(INT($C$5),Tablas!$G$9:$O$124,9,0)*(INT($C$5)+1-$C$5)))</f>
        <v>0.24140660538435726</v>
      </c>
      <c r="G403" s="97">
        <f ca="1">IF($C$4="Hombre",(+VLOOKUP(INT(D403)+1,Tablas!$G$9:$K$1240,5,0)*(D403-INT(D403))+VLOOKUP(INT(D403),Tablas!$G$9:$K$1240,5,0)*(INT(D403)+1-D403)),+VLOOKUP(INT(D403)+1,Tablas!$G$9:$O$1240,9,0)*(D403-INT(D403))+VLOOKUP(INT(D403),Tablas!$G$9:$O$1240,9,0)*(INT(D403)+1-D403))</f>
        <v>222895.03058951622</v>
      </c>
      <c r="H403" s="105">
        <f t="shared" ca="1" si="50"/>
        <v>1</v>
      </c>
      <c r="I403" s="106">
        <f t="shared" ca="1" si="51"/>
        <v>1.2446267964317973E-2</v>
      </c>
      <c r="J403" s="106">
        <f t="shared" ref="J403:J466" ca="1" si="55">I403*12/14+IF(OR(MONTH(C403)=6,MONTH(C403)=12),I403*12/14,0)</f>
        <v>1.0668229683701121E-2</v>
      </c>
      <c r="K403" s="105">
        <f t="shared" ca="1" si="52"/>
        <v>0.24140660538435726</v>
      </c>
      <c r="L403" s="75"/>
    </row>
    <row r="404" spans="2:12">
      <c r="B404" s="101">
        <f t="shared" ca="1" si="53"/>
        <v>64561</v>
      </c>
      <c r="C404" s="101">
        <f t="shared" ca="1" si="54"/>
        <v>64591</v>
      </c>
      <c r="D404" s="102">
        <f t="shared" ca="1" si="48"/>
        <v>99.334702258726892</v>
      </c>
      <c r="E404" s="103">
        <f t="shared" ca="1" si="49"/>
        <v>0.61790605228859874</v>
      </c>
      <c r="F404" s="104">
        <f ca="1">IF($C$4="Hombre",(+VLOOKUP(INT(D404)+1,Tablas!$G$9:$K$1240,5,0)*(D404-INT(D404))+VLOOKUP(INT(D404),Tablas!$G$9:$K$1240,5,0)*(INT(D404)+1-D404))/(VLOOKUP(INT($C$5)+1,Tablas!$G$9:$K$1240,5,0)*($C$5-INT($C$5))+VLOOKUP(INT($C$5),Tablas!$G$9:$K$124,5,0)*(INT($C$5)+1-$C$5)),(+VLOOKUP(INT(D404)+1,Tablas!$G$9:$O$1240,9,0)*(D404-INT(D404))+VLOOKUP(INT(D404),Tablas!$G$9:$O$1240,9,0)*(INT(D404)+1-D404))/(VLOOKUP(INT($C$5)+1,Tablas!$G$9:$O$1240,9,0)*($C$5-INT($C$5))+VLOOKUP(INT($C$5),Tablas!$G$9:$O$124,9,0)*(INT($C$5)+1-$C$5)))</f>
        <v>0.23776149817407949</v>
      </c>
      <c r="G404" s="97">
        <f ca="1">IF($C$4="Hombre",(+VLOOKUP(INT(D404)+1,Tablas!$G$9:$K$1240,5,0)*(D404-INT(D404))+VLOOKUP(INT(D404),Tablas!$G$9:$K$1240,5,0)*(INT(D404)+1-D404)),+VLOOKUP(INT(D404)+1,Tablas!$G$9:$O$1240,9,0)*(D404-INT(D404))+VLOOKUP(INT(D404),Tablas!$G$9:$O$1240,9,0)*(INT(D404)+1-D404))</f>
        <v>219529.43799587802</v>
      </c>
      <c r="H404" s="105">
        <f t="shared" ca="1" si="50"/>
        <v>1</v>
      </c>
      <c r="I404" s="106">
        <f t="shared" ca="1" si="51"/>
        <v>1.2242855726914026E-2</v>
      </c>
      <c r="J404" s="106">
        <f t="shared" ca="1" si="55"/>
        <v>1.0493876337354879E-2</v>
      </c>
      <c r="K404" s="105">
        <f t="shared" ca="1" si="52"/>
        <v>0.23776149817407949</v>
      </c>
      <c r="L404" s="75"/>
    </row>
    <row r="405" spans="2:12">
      <c r="B405" s="101">
        <f t="shared" ca="1" si="53"/>
        <v>64592</v>
      </c>
      <c r="C405" s="101">
        <f t="shared" ca="1" si="54"/>
        <v>64621</v>
      </c>
      <c r="D405" s="102">
        <f t="shared" ca="1" si="48"/>
        <v>99.416837782340863</v>
      </c>
      <c r="E405" s="103">
        <f t="shared" ca="1" si="49"/>
        <v>0.61715088670827478</v>
      </c>
      <c r="F405" s="104">
        <f ca="1">IF($C$4="Hombre",(+VLOOKUP(INT(D405)+1,Tablas!$G$9:$K$1240,5,0)*(D405-INT(D405))+VLOOKUP(INT(D405),Tablas!$G$9:$K$1240,5,0)*(INT(D405)+1-D405))/(VLOOKUP(INT($C$5)+1,Tablas!$G$9:$K$1240,5,0)*($C$5-INT($C$5))+VLOOKUP(INT($C$5),Tablas!$G$9:$K$124,5,0)*(INT($C$5)+1-$C$5)),(+VLOOKUP(INT(D405)+1,Tablas!$G$9:$O$1240,9,0)*(D405-INT(D405))+VLOOKUP(INT(D405),Tablas!$G$9:$O$1240,9,0)*(INT(D405)+1-D405))/(VLOOKUP(INT($C$5)+1,Tablas!$G$9:$O$1240,9,0)*($C$5-INT($C$5))+VLOOKUP(INT($C$5),Tablas!$G$9:$O$124,9,0)*(INT($C$5)+1-$C$5)))</f>
        <v>0.2342339750673583</v>
      </c>
      <c r="G405" s="97">
        <f ca="1">IF($C$4="Hombre",(+VLOOKUP(INT(D405)+1,Tablas!$G$9:$K$1240,5,0)*(D405-INT(D405))+VLOOKUP(INT(D405),Tablas!$G$9:$K$1240,5,0)*(INT(D405)+1-D405)),+VLOOKUP(INT(D405)+1,Tablas!$G$9:$O$1240,9,0)*(D405-INT(D405))+VLOOKUP(INT(D405),Tablas!$G$9:$O$1240,9,0)*(INT(D405)+1-D405))</f>
        <v>216272.4129052597</v>
      </c>
      <c r="H405" s="105">
        <f t="shared" ca="1" si="50"/>
        <v>1</v>
      </c>
      <c r="I405" s="106">
        <f t="shared" ca="1" si="51"/>
        <v>1.2046475450835342E-2</v>
      </c>
      <c r="J405" s="106">
        <f t="shared" ca="1" si="55"/>
        <v>2.0651100772860587E-2</v>
      </c>
      <c r="K405" s="105">
        <f t="shared" ca="1" si="52"/>
        <v>0.2342339750673583</v>
      </c>
      <c r="L405" s="75"/>
    </row>
    <row r="406" spans="2:12">
      <c r="B406" s="101">
        <f t="shared" ca="1" si="53"/>
        <v>64622</v>
      </c>
      <c r="C406" s="101">
        <f t="shared" ca="1" si="54"/>
        <v>64652</v>
      </c>
      <c r="D406" s="102">
        <f t="shared" ca="1" si="48"/>
        <v>99.501711156741962</v>
      </c>
      <c r="E406" s="103">
        <f t="shared" ca="1" si="49"/>
        <v>0.61637151850274274</v>
      </c>
      <c r="F406" s="104">
        <f ca="1">IF($C$4="Hombre",(+VLOOKUP(INT(D406)+1,Tablas!$G$9:$K$1240,5,0)*(D406-INT(D406))+VLOOKUP(INT(D406),Tablas!$G$9:$K$1240,5,0)*(INT(D406)+1-D406))/(VLOOKUP(INT($C$5)+1,Tablas!$G$9:$K$1240,5,0)*($C$5-INT($C$5))+VLOOKUP(INT($C$5),Tablas!$G$9:$K$124,5,0)*(INT($C$5)+1-$C$5)),(+VLOOKUP(INT(D406)+1,Tablas!$G$9:$O$1240,9,0)*(D406-INT(D406))+VLOOKUP(INT(D406),Tablas!$G$9:$O$1240,9,0)*(INT(D406)+1-D406))/(VLOOKUP(INT($C$5)+1,Tablas!$G$9:$O$1240,9,0)*($C$5-INT($C$5))+VLOOKUP(INT($C$5),Tablas!$G$9:$O$124,9,0)*(INT($C$5)+1-$C$5)))</f>
        <v>0.23058886785707988</v>
      </c>
      <c r="G406" s="97">
        <f ca="1">IF($C$4="Hombre",(+VLOOKUP(INT(D406)+1,Tablas!$G$9:$K$1240,5,0)*(D406-INT(D406))+VLOOKUP(INT(D406),Tablas!$G$9:$K$1240,5,0)*(INT(D406)+1-D406)),+VLOOKUP(INT(D406)+1,Tablas!$G$9:$O$1240,9,0)*(D406-INT(D406))+VLOOKUP(INT(D406),Tablas!$G$9:$O$1240,9,0)*(INT(D406)+1-D406))</f>
        <v>212906.82031162092</v>
      </c>
      <c r="H406" s="105">
        <f t="shared" ca="1" si="50"/>
        <v>1</v>
      </c>
      <c r="I406" s="106">
        <f t="shared" ca="1" si="51"/>
        <v>1.1844034219241385E-2</v>
      </c>
      <c r="J406" s="106">
        <f t="shared" ca="1" si="55"/>
        <v>1.015202933077833E-2</v>
      </c>
      <c r="K406" s="105">
        <f t="shared" ca="1" si="52"/>
        <v>0.23058886785707988</v>
      </c>
      <c r="L406" s="75"/>
    </row>
    <row r="407" spans="2:12">
      <c r="B407" s="101">
        <f t="shared" ca="1" si="53"/>
        <v>64653</v>
      </c>
      <c r="C407" s="101">
        <f t="shared" ca="1" si="54"/>
        <v>64683</v>
      </c>
      <c r="D407" s="102">
        <f t="shared" ca="1" si="48"/>
        <v>99.586584531143046</v>
      </c>
      <c r="E407" s="103">
        <f t="shared" ca="1" si="49"/>
        <v>0.61559313452134934</v>
      </c>
      <c r="F407" s="104">
        <f ca="1">IF($C$4="Hombre",(+VLOOKUP(INT(D407)+1,Tablas!$G$9:$K$1240,5,0)*(D407-INT(D407))+VLOOKUP(INT(D407),Tablas!$G$9:$K$1240,5,0)*(INT(D407)+1-D407))/(VLOOKUP(INT($C$5)+1,Tablas!$G$9:$K$1240,5,0)*($C$5-INT($C$5))+VLOOKUP(INT($C$5),Tablas!$G$9:$K$124,5,0)*(INT($C$5)+1-$C$5)),(+VLOOKUP(INT(D407)+1,Tablas!$G$9:$O$1240,9,0)*(D407-INT(D407))+VLOOKUP(INT(D407),Tablas!$G$9:$O$1240,9,0)*(INT(D407)+1-D407))/(VLOOKUP(INT($C$5)+1,Tablas!$G$9:$O$1240,9,0)*($C$5-INT($C$5))+VLOOKUP(INT($C$5),Tablas!$G$9:$O$124,9,0)*(INT($C$5)+1-$C$5)))</f>
        <v>0.22694376064680211</v>
      </c>
      <c r="G407" s="97">
        <f ca="1">IF($C$4="Hombre",(+VLOOKUP(INT(D407)+1,Tablas!$G$9:$K$1240,5,0)*(D407-INT(D407))+VLOOKUP(INT(D407),Tablas!$G$9:$K$1240,5,0)*(INT(D407)+1-D407)),+VLOOKUP(INT(D407)+1,Tablas!$G$9:$O$1240,9,0)*(D407-INT(D407))+VLOOKUP(INT(D407),Tablas!$G$9:$O$1240,9,0)*(INT(D407)+1-D407))</f>
        <v>209541.22771798272</v>
      </c>
      <c r="H407" s="105">
        <f t="shared" ca="1" si="50"/>
        <v>1</v>
      </c>
      <c r="I407" s="106">
        <f t="shared" ca="1" si="51"/>
        <v>1.1642085081385646E-2</v>
      </c>
      <c r="J407" s="106">
        <f t="shared" ca="1" si="55"/>
        <v>9.978930069759126E-3</v>
      </c>
      <c r="K407" s="105">
        <f t="shared" ca="1" si="52"/>
        <v>0.22694376064680211</v>
      </c>
      <c r="L407" s="75"/>
    </row>
    <row r="408" spans="2:12">
      <c r="B408" s="101">
        <f t="shared" ca="1" si="53"/>
        <v>64684</v>
      </c>
      <c r="C408" s="101">
        <f t="shared" ca="1" si="54"/>
        <v>64711</v>
      </c>
      <c r="D408" s="102">
        <f t="shared" ca="1" si="48"/>
        <v>99.663244353182748</v>
      </c>
      <c r="E408" s="103">
        <f t="shared" ca="1" si="49"/>
        <v>0.61489092294977743</v>
      </c>
      <c r="F408" s="104">
        <f ca="1">IF($C$4="Hombre",(+VLOOKUP(INT(D408)+1,Tablas!$G$9:$K$1240,5,0)*(D408-INT(D408))+VLOOKUP(INT(D408),Tablas!$G$9:$K$1240,5,0)*(INT(D408)+1-D408))/(VLOOKUP(INT($C$5)+1,Tablas!$G$9:$K$1240,5,0)*($C$5-INT($C$5))+VLOOKUP(INT($C$5),Tablas!$G$9:$K$124,5,0)*(INT($C$5)+1-$C$5)),(+VLOOKUP(INT(D408)+1,Tablas!$G$9:$O$1240,9,0)*(D408-INT(D408))+VLOOKUP(INT(D408),Tablas!$G$9:$O$1240,9,0)*(INT(D408)+1-D408))/(VLOOKUP(INT($C$5)+1,Tablas!$G$9:$O$1240,9,0)*($C$5-INT($C$5))+VLOOKUP(INT($C$5),Tablas!$G$9:$O$124,9,0)*(INT($C$5)+1-$C$5)))</f>
        <v>0.22365140574719583</v>
      </c>
      <c r="G408" s="97">
        <f ca="1">IF($C$4="Hombre",(+VLOOKUP(INT(D408)+1,Tablas!$G$9:$K$1240,5,0)*(D408-INT(D408))+VLOOKUP(INT(D408),Tablas!$G$9:$K$1240,5,0)*(INT(D408)+1-D408)),+VLOOKUP(INT(D408)+1,Tablas!$G$9:$O$1240,9,0)*(D408-INT(D408))+VLOOKUP(INT(D408),Tablas!$G$9:$O$1240,9,0)*(INT(D408)+1-D408))</f>
        <v>206501.33763340578</v>
      </c>
      <c r="H408" s="105">
        <f t="shared" ca="1" si="50"/>
        <v>1</v>
      </c>
      <c r="I408" s="106">
        <f t="shared" ca="1" si="51"/>
        <v>1.1460101608242367E-2</v>
      </c>
      <c r="J408" s="106">
        <f t="shared" ca="1" si="55"/>
        <v>9.8229442356363144E-3</v>
      </c>
      <c r="K408" s="105">
        <f t="shared" ca="1" si="52"/>
        <v>0.22365140574719583</v>
      </c>
      <c r="L408" s="75"/>
    </row>
    <row r="409" spans="2:12">
      <c r="B409" s="101">
        <f t="shared" ca="1" si="53"/>
        <v>64712</v>
      </c>
      <c r="C409" s="101">
        <f t="shared" ca="1" si="54"/>
        <v>64742</v>
      </c>
      <c r="D409" s="102">
        <f t="shared" ca="1" si="48"/>
        <v>99.748117727583846</v>
      </c>
      <c r="E409" s="103">
        <f t="shared" ca="1" si="49"/>
        <v>0.61411440873657852</v>
      </c>
      <c r="F409" s="104">
        <f ca="1">IF($C$4="Hombre",(+VLOOKUP(INT(D409)+1,Tablas!$G$9:$K$1240,5,0)*(D409-INT(D409))+VLOOKUP(INT(D409),Tablas!$G$9:$K$1240,5,0)*(INT(D409)+1-D409))/(VLOOKUP(INT($C$5)+1,Tablas!$G$9:$K$1240,5,0)*($C$5-INT($C$5))+VLOOKUP(INT($C$5),Tablas!$G$9:$K$124,5,0)*(INT($C$5)+1-$C$5)),(+VLOOKUP(INT(D409)+1,Tablas!$G$9:$O$1240,9,0)*(D409-INT(D409))+VLOOKUP(INT(D409),Tablas!$G$9:$O$1240,9,0)*(INT(D409)+1-D409))/(VLOOKUP(INT($C$5)+1,Tablas!$G$9:$O$1240,9,0)*($C$5-INT($C$5))+VLOOKUP(INT($C$5),Tablas!$G$9:$O$124,9,0)*(INT($C$5)+1-$C$5)))</f>
        <v>0.22000629853691744</v>
      </c>
      <c r="G409" s="97">
        <f ca="1">IF($C$4="Hombre",(+VLOOKUP(INT(D409)+1,Tablas!$G$9:$K$1240,5,0)*(D409-INT(D409))+VLOOKUP(INT(D409),Tablas!$G$9:$K$1240,5,0)*(INT(D409)+1-D409)),+VLOOKUP(INT(D409)+1,Tablas!$G$9:$O$1240,9,0)*(D409-INT(D409))+VLOOKUP(INT(D409),Tablas!$G$9:$O$1240,9,0)*(INT(D409)+1-D409))</f>
        <v>203135.74503976703</v>
      </c>
      <c r="H409" s="105">
        <f t="shared" ca="1" si="50"/>
        <v>1</v>
      </c>
      <c r="I409" s="106">
        <f t="shared" ca="1" si="51"/>
        <v>1.1259086495360187E-2</v>
      </c>
      <c r="J409" s="106">
        <f t="shared" ca="1" si="55"/>
        <v>9.6506455674515886E-3</v>
      </c>
      <c r="K409" s="105">
        <f t="shared" ca="1" si="52"/>
        <v>0.22000629853691744</v>
      </c>
      <c r="L409" s="75"/>
    </row>
    <row r="410" spans="2:12">
      <c r="B410" s="101">
        <f t="shared" ca="1" si="53"/>
        <v>64743</v>
      </c>
      <c r="C410" s="101">
        <f t="shared" ca="1" si="54"/>
        <v>64772</v>
      </c>
      <c r="D410" s="102">
        <f t="shared" ca="1" si="48"/>
        <v>99.830253251197803</v>
      </c>
      <c r="E410" s="103">
        <f t="shared" ca="1" si="49"/>
        <v>0.61336387706248152</v>
      </c>
      <c r="F410" s="104">
        <f ca="1">IF($C$4="Hombre",(+VLOOKUP(INT(D410)+1,Tablas!$G$9:$K$1240,5,0)*(D410-INT(D410))+VLOOKUP(INT(D410),Tablas!$G$9:$K$1240,5,0)*(INT(D410)+1-D410))/(VLOOKUP(INT($C$5)+1,Tablas!$G$9:$K$1240,5,0)*($C$5-INT($C$5))+VLOOKUP(INT($C$5),Tablas!$G$9:$K$124,5,0)*(INT($C$5)+1-$C$5)),(+VLOOKUP(INT(D410)+1,Tablas!$G$9:$O$1240,9,0)*(D410-INT(D410))+VLOOKUP(INT(D410),Tablas!$G$9:$O$1240,9,0)*(INT(D410)+1-D410))/(VLOOKUP(INT($C$5)+1,Tablas!$G$9:$O$1240,9,0)*($C$5-INT($C$5))+VLOOKUP(INT($C$5),Tablas!$G$9:$O$124,9,0)*(INT($C$5)+1-$C$5)))</f>
        <v>0.21647877543019681</v>
      </c>
      <c r="G410" s="97">
        <f ca="1">IF($C$4="Hombre",(+VLOOKUP(INT(D410)+1,Tablas!$G$9:$K$1240,5,0)*(D410-INT(D410))+VLOOKUP(INT(D410),Tablas!$G$9:$K$1240,5,0)*(INT(D410)+1-D410)),+VLOOKUP(INT(D410)+1,Tablas!$G$9:$O$1240,9,0)*(D410-INT(D410))+VLOOKUP(INT(D410),Tablas!$G$9:$O$1240,9,0)*(INT(D410)+1-D410))</f>
        <v>199878.71994914924</v>
      </c>
      <c r="H410" s="105">
        <f t="shared" ca="1" si="50"/>
        <v>1</v>
      </c>
      <c r="I410" s="106">
        <f t="shared" ca="1" si="51"/>
        <v>1.1065021749966982E-2</v>
      </c>
      <c r="J410" s="106">
        <f t="shared" ca="1" si="55"/>
        <v>9.4843043571145556E-3</v>
      </c>
      <c r="K410" s="105">
        <f t="shared" ca="1" si="52"/>
        <v>0.21647877543019681</v>
      </c>
      <c r="L410" s="75"/>
    </row>
    <row r="411" spans="2:12">
      <c r="B411" s="101">
        <f t="shared" ca="1" si="53"/>
        <v>64773</v>
      </c>
      <c r="C411" s="101">
        <f t="shared" ca="1" si="54"/>
        <v>64803</v>
      </c>
      <c r="D411" s="102">
        <f t="shared" ca="1" si="48"/>
        <v>99.915126625598901</v>
      </c>
      <c r="E411" s="103">
        <f t="shared" ca="1" si="49"/>
        <v>0.61258929127722228</v>
      </c>
      <c r="F411" s="104">
        <f ca="1">IF($C$4="Hombre",(+VLOOKUP(INT(D411)+1,Tablas!$G$9:$K$1240,5,0)*(D411-INT(D411))+VLOOKUP(INT(D411),Tablas!$G$9:$K$1240,5,0)*(INT(D411)+1-D411))/(VLOOKUP(INT($C$5)+1,Tablas!$G$9:$K$1240,5,0)*($C$5-INT($C$5))+VLOOKUP(INT($C$5),Tablas!$G$9:$K$124,5,0)*(INT($C$5)+1-$C$5)),(+VLOOKUP(INT(D411)+1,Tablas!$G$9:$O$1240,9,0)*(D411-INT(D411))+VLOOKUP(INT(D411),Tablas!$G$9:$O$1240,9,0)*(INT(D411)+1-D411))/(VLOOKUP(INT($C$5)+1,Tablas!$G$9:$O$1240,9,0)*($C$5-INT($C$5))+VLOOKUP(INT($C$5),Tablas!$G$9:$O$124,9,0)*(INT($C$5)+1-$C$5)))</f>
        <v>0.21283366821991842</v>
      </c>
      <c r="G411" s="97">
        <f ca="1">IF($C$4="Hombre",(+VLOOKUP(INT(D411)+1,Tablas!$G$9:$K$1240,5,0)*(D411-INT(D411))+VLOOKUP(INT(D411),Tablas!$G$9:$K$1240,5,0)*(INT(D411)+1-D411)),+VLOOKUP(INT(D411)+1,Tablas!$G$9:$O$1240,9,0)*(D411-INT(D411))+VLOOKUP(INT(D411),Tablas!$G$9:$O$1240,9,0)*(INT(D411)+1-D411))</f>
        <v>196513.12735551049</v>
      </c>
      <c r="H411" s="105">
        <f t="shared" ca="1" si="50"/>
        <v>1</v>
      </c>
      <c r="I411" s="106">
        <f t="shared" ca="1" si="51"/>
        <v>1.0864968831230941E-2</v>
      </c>
      <c r="J411" s="106">
        <f t="shared" ca="1" si="55"/>
        <v>1.8625660853538756E-2</v>
      </c>
      <c r="K411" s="105">
        <f t="shared" ca="1" si="52"/>
        <v>0.21283366821991842</v>
      </c>
      <c r="L411" s="75"/>
    </row>
    <row r="412" spans="2:12">
      <c r="B412" s="101">
        <f t="shared" ca="1" si="53"/>
        <v>64804</v>
      </c>
      <c r="C412" s="101">
        <f t="shared" ca="1" si="54"/>
        <v>64833</v>
      </c>
      <c r="D412" s="102">
        <f t="shared" ca="1" si="48"/>
        <v>99.997262149212872</v>
      </c>
      <c r="E412" s="103">
        <f t="shared" ca="1" si="49"/>
        <v>0.6118406235049384</v>
      </c>
      <c r="F412" s="104">
        <f ca="1">IF($C$4="Hombre",(+VLOOKUP(INT(D412)+1,Tablas!$G$9:$K$1240,5,0)*(D412-INT(D412))+VLOOKUP(INT(D412),Tablas!$G$9:$K$1240,5,0)*(INT(D412)+1-D412))/(VLOOKUP(INT($C$5)+1,Tablas!$G$9:$K$1240,5,0)*($C$5-INT($C$5))+VLOOKUP(INT($C$5),Tablas!$G$9:$K$124,5,0)*(INT($C$5)+1-$C$5)),(+VLOOKUP(INT(D412)+1,Tablas!$G$9:$O$1240,9,0)*(D412-INT(D412))+VLOOKUP(INT(D412),Tablas!$G$9:$O$1240,9,0)*(INT(D412)+1-D412))/(VLOOKUP(INT($C$5)+1,Tablas!$G$9:$O$1240,9,0)*($C$5-INT($C$5))+VLOOKUP(INT($C$5),Tablas!$G$9:$O$124,9,0)*(INT($C$5)+1-$C$5)))</f>
        <v>0.20930614511319723</v>
      </c>
      <c r="G412" s="97">
        <f ca="1">IF($C$4="Hombre",(+VLOOKUP(INT(D412)+1,Tablas!$G$9:$K$1240,5,0)*(D412-INT(D412))+VLOOKUP(INT(D412),Tablas!$G$9:$K$1240,5,0)*(INT(D412)+1-D412)),+VLOOKUP(INT(D412)+1,Tablas!$G$9:$O$1240,9,0)*(D412-INT(D412))+VLOOKUP(INT(D412),Tablas!$G$9:$O$1240,9,0)*(INT(D412)+1-D412))</f>
        <v>193256.10226489216</v>
      </c>
      <c r="H412" s="105">
        <f t="shared" ca="1" si="50"/>
        <v>1</v>
      </c>
      <c r="I412" s="106">
        <f t="shared" ca="1" si="51"/>
        <v>1.0671833527456142E-2</v>
      </c>
      <c r="J412" s="106">
        <f t="shared" ca="1" si="55"/>
        <v>9.1472858806766928E-3</v>
      </c>
      <c r="K412" s="105">
        <f t="shared" ca="1" si="52"/>
        <v>0.20930614511319723</v>
      </c>
      <c r="L412" s="75"/>
    </row>
    <row r="413" spans="2:12">
      <c r="B413" s="101">
        <f t="shared" ca="1" si="53"/>
        <v>64834</v>
      </c>
      <c r="C413" s="101">
        <f t="shared" ca="1" si="54"/>
        <v>64864</v>
      </c>
      <c r="D413" s="102">
        <f t="shared" ca="1" si="48"/>
        <v>100.08213552361396</v>
      </c>
      <c r="E413" s="103">
        <f t="shared" ca="1" si="49"/>
        <v>0.61106796135848029</v>
      </c>
      <c r="F413" s="104">
        <f ca="1">IF($C$4="Hombre",(+VLOOKUP(INT(D413)+1,Tablas!$G$9:$K$1240,5,0)*(D413-INT(D413))+VLOOKUP(INT(D413),Tablas!$G$9:$K$1240,5,0)*(INT(D413)+1-D413))/(VLOOKUP(INT($C$5)+1,Tablas!$G$9:$K$1240,5,0)*($C$5-INT($C$5))+VLOOKUP(INT($C$5),Tablas!$G$9:$K$124,5,0)*(INT($C$5)+1-$C$5)),(+VLOOKUP(INT(D413)+1,Tablas!$G$9:$O$1240,9,0)*(D413-INT(D413))+VLOOKUP(INT(D413),Tablas!$G$9:$O$1240,9,0)*(INT(D413)+1-D413))/(VLOOKUP(INT($C$5)+1,Tablas!$G$9:$O$1240,9,0)*($C$5-INT($C$5))+VLOOKUP(INT($C$5),Tablas!$G$9:$O$124,9,0)*(INT($C$5)+1-$C$5)))</f>
        <v>0.20590632514998491</v>
      </c>
      <c r="G413" s="97">
        <f ca="1">IF($C$4="Hombre",(+VLOOKUP(INT(D413)+1,Tablas!$G$9:$K$1240,5,0)*(D413-INT(D413))+VLOOKUP(INT(D413),Tablas!$G$9:$K$1240,5,0)*(INT(D413)+1-D413)),+VLOOKUP(INT(D413)+1,Tablas!$G$9:$O$1240,9,0)*(D413-INT(D413))+VLOOKUP(INT(D413),Tablas!$G$9:$O$1240,9,0)*(INT(D413)+1-D413))</f>
        <v>190116.987767621</v>
      </c>
      <c r="H413" s="105">
        <f t="shared" ca="1" si="50"/>
        <v>1</v>
      </c>
      <c r="I413" s="106">
        <f t="shared" ca="1" si="51"/>
        <v>1.0485229861684804E-2</v>
      </c>
      <c r="J413" s="106">
        <f t="shared" ca="1" si="55"/>
        <v>8.9873398814441178E-3</v>
      </c>
      <c r="K413" s="105">
        <f t="shared" ca="1" si="52"/>
        <v>0.20590632514998491</v>
      </c>
      <c r="L413" s="75"/>
    </row>
    <row r="414" spans="2:12">
      <c r="B414" s="101">
        <f t="shared" ca="1" si="53"/>
        <v>64865</v>
      </c>
      <c r="C414" s="101">
        <f t="shared" ca="1" si="54"/>
        <v>64895</v>
      </c>
      <c r="D414" s="102">
        <f t="shared" ca="1" si="48"/>
        <v>100.16700889801506</v>
      </c>
      <c r="E414" s="103">
        <f t="shared" ca="1" si="49"/>
        <v>0.61029627496742245</v>
      </c>
      <c r="F414" s="104">
        <f ca="1">IF($C$4="Hombre",(+VLOOKUP(INT(D414)+1,Tablas!$G$9:$K$1240,5,0)*(D414-INT(D414))+VLOOKUP(INT(D414),Tablas!$G$9:$K$1240,5,0)*(INT(D414)+1-D414))/(VLOOKUP(INT($C$5)+1,Tablas!$G$9:$K$1240,5,0)*($C$5-INT($C$5))+VLOOKUP(INT($C$5),Tablas!$G$9:$K$124,5,0)*(INT($C$5)+1-$C$5)),(+VLOOKUP(INT(D414)+1,Tablas!$G$9:$O$1240,9,0)*(D414-INT(D414))+VLOOKUP(INT(D414),Tablas!$G$9:$O$1240,9,0)*(INT(D414)+1-D414))/(VLOOKUP(INT($C$5)+1,Tablas!$G$9:$O$1240,9,0)*($C$5-INT($C$5))+VLOOKUP(INT($C$5),Tablas!$G$9:$O$124,9,0)*(INT($C$5)+1-$C$5)))</f>
        <v>0.20251468142834095</v>
      </c>
      <c r="G414" s="97">
        <f ca="1">IF($C$4="Hombre",(+VLOOKUP(INT(D414)+1,Tablas!$G$9:$K$1240,5,0)*(D414-INT(D414))+VLOOKUP(INT(D414),Tablas!$G$9:$K$1240,5,0)*(INT(D414)+1-D414)),+VLOOKUP(INT(D414)+1,Tablas!$G$9:$O$1240,9,0)*(D414-INT(D414))+VLOOKUP(INT(D414),Tablas!$G$9:$O$1240,9,0)*(INT(D414)+1-D414))</f>
        <v>186985.42254022826</v>
      </c>
      <c r="H414" s="105">
        <f t="shared" ca="1" si="50"/>
        <v>1</v>
      </c>
      <c r="I414" s="106">
        <f t="shared" ca="1" si="51"/>
        <v>1.0299496308494227E-2</v>
      </c>
      <c r="J414" s="106">
        <f t="shared" ca="1" si="55"/>
        <v>8.8281396929950507E-3</v>
      </c>
      <c r="K414" s="105">
        <f t="shared" ca="1" si="52"/>
        <v>0.20251468142834095</v>
      </c>
      <c r="L414" s="75"/>
    </row>
    <row r="415" spans="2:12">
      <c r="B415" s="101">
        <f t="shared" ca="1" si="53"/>
        <v>64896</v>
      </c>
      <c r="C415" s="101">
        <f t="shared" ca="1" si="54"/>
        <v>64925</v>
      </c>
      <c r="D415" s="102">
        <f t="shared" ca="1" si="48"/>
        <v>100.24914442162903</v>
      </c>
      <c r="E415" s="103">
        <f t="shared" ca="1" si="49"/>
        <v>0.60955040957421525</v>
      </c>
      <c r="F415" s="104">
        <f ca="1">IF($C$4="Hombre",(+VLOOKUP(INT(D415)+1,Tablas!$G$9:$K$1240,5,0)*(D415-INT(D415))+VLOOKUP(INT(D415),Tablas!$G$9:$K$1240,5,0)*(INT(D415)+1-D415))/(VLOOKUP(INT($C$5)+1,Tablas!$G$9:$K$1240,5,0)*($C$5-INT($C$5))+VLOOKUP(INT($C$5),Tablas!$G$9:$K$124,5,0)*(INT($C$5)+1-$C$5)),(+VLOOKUP(INT(D415)+1,Tablas!$G$9:$O$1240,9,0)*(D415-INT(D415))+VLOOKUP(INT(D415),Tablas!$G$9:$O$1240,9,0)*(INT(D415)+1-D415))/(VLOOKUP(INT($C$5)+1,Tablas!$G$9:$O$1240,9,0)*($C$5-INT($C$5))+VLOOKUP(INT($C$5),Tablas!$G$9:$O$124,9,0)*(INT($C$5)+1-$C$5)))</f>
        <v>0.19923244556868527</v>
      </c>
      <c r="G415" s="97">
        <f ca="1">IF($C$4="Hombre",(+VLOOKUP(INT(D415)+1,Tablas!$G$9:$K$1240,5,0)*(D415-INT(D415))+VLOOKUP(INT(D415),Tablas!$G$9:$K$1240,5,0)*(INT(D415)+1-D415)),+VLOOKUP(INT(D415)+1,Tablas!$G$9:$O$1240,9,0)*(D415-INT(D415))+VLOOKUP(INT(D415),Tablas!$G$9:$O$1240,9,0)*(INT(D415)+1-D415))</f>
        <v>183954.87554597703</v>
      </c>
      <c r="H415" s="105">
        <f t="shared" ca="1" si="50"/>
        <v>1</v>
      </c>
      <c r="I415" s="106">
        <f t="shared" ca="1" si="51"/>
        <v>1.012018489973872E-2</v>
      </c>
      <c r="J415" s="106">
        <f t="shared" ca="1" si="55"/>
        <v>8.6744441997760463E-3</v>
      </c>
      <c r="K415" s="105">
        <f t="shared" ca="1" si="52"/>
        <v>0.19923244556868527</v>
      </c>
      <c r="L415" s="75"/>
    </row>
    <row r="416" spans="2:12">
      <c r="B416" s="101">
        <f t="shared" ca="1" si="53"/>
        <v>64926</v>
      </c>
      <c r="C416" s="101">
        <f t="shared" ca="1" si="54"/>
        <v>64956</v>
      </c>
      <c r="D416" s="102">
        <f t="shared" ca="1" si="48"/>
        <v>100.33401779603011</v>
      </c>
      <c r="E416" s="103">
        <f t="shared" ca="1" si="49"/>
        <v>0.60878063962148132</v>
      </c>
      <c r="F416" s="104">
        <f ca="1">IF($C$4="Hombre",(+VLOOKUP(INT(D416)+1,Tablas!$G$9:$K$1240,5,0)*(D416-INT(D416))+VLOOKUP(INT(D416),Tablas!$G$9:$K$1240,5,0)*(INT(D416)+1-D416))/(VLOOKUP(INT($C$5)+1,Tablas!$G$9:$K$1240,5,0)*($C$5-INT($C$5))+VLOOKUP(INT($C$5),Tablas!$G$9:$K$124,5,0)*(INT($C$5)+1-$C$5)),(+VLOOKUP(INT(D416)+1,Tablas!$G$9:$O$1240,9,0)*(D416-INT(D416))+VLOOKUP(INT(D416),Tablas!$G$9:$O$1240,9,0)*(INT(D416)+1-D416))/(VLOOKUP(INT($C$5)+1,Tablas!$G$9:$O$1240,9,0)*($C$5-INT($C$5))+VLOOKUP(INT($C$5),Tablas!$G$9:$O$124,9,0)*(INT($C$5)+1-$C$5)))</f>
        <v>0.19584080184704183</v>
      </c>
      <c r="G416" s="97">
        <f ca="1">IF($C$4="Hombre",(+VLOOKUP(INT(D416)+1,Tablas!$G$9:$K$1240,5,0)*(D416-INT(D416))+VLOOKUP(INT(D416),Tablas!$G$9:$K$1240,5,0)*(INT(D416)+1-D416)),+VLOOKUP(INT(D416)+1,Tablas!$G$9:$O$1240,9,0)*(D416-INT(D416))+VLOOKUP(INT(D416),Tablas!$G$9:$O$1240,9,0)*(INT(D416)+1-D416))</f>
        <v>180823.31031858479</v>
      </c>
      <c r="H416" s="105">
        <f t="shared" ca="1" si="50"/>
        <v>1</v>
      </c>
      <c r="I416" s="106">
        <f t="shared" ca="1" si="51"/>
        <v>9.935340717702159E-3</v>
      </c>
      <c r="J416" s="106">
        <f t="shared" ca="1" si="55"/>
        <v>8.5160063294589926E-3</v>
      </c>
      <c r="K416" s="105">
        <f t="shared" ca="1" si="52"/>
        <v>0.19584080184704183</v>
      </c>
      <c r="L416" s="75"/>
    </row>
    <row r="417" spans="2:12">
      <c r="B417" s="101">
        <f t="shared" ca="1" si="53"/>
        <v>64957</v>
      </c>
      <c r="C417" s="101">
        <f t="shared" ca="1" si="54"/>
        <v>64986</v>
      </c>
      <c r="D417" s="102">
        <f t="shared" ca="1" si="48"/>
        <v>100.41615331964408</v>
      </c>
      <c r="E417" s="103">
        <f t="shared" ca="1" si="49"/>
        <v>0.60803662654164992</v>
      </c>
      <c r="F417" s="104">
        <f ca="1">IF($C$4="Hombre",(+VLOOKUP(INT(D417)+1,Tablas!$G$9:$K$1240,5,0)*(D417-INT(D417))+VLOOKUP(INT(D417),Tablas!$G$9:$K$1240,5,0)*(INT(D417)+1-D417))/(VLOOKUP(INT($C$5)+1,Tablas!$G$9:$K$1240,5,0)*($C$5-INT($C$5))+VLOOKUP(INT($C$5),Tablas!$G$9:$K$124,5,0)*(INT($C$5)+1-$C$5)),(+VLOOKUP(INT(D417)+1,Tablas!$G$9:$O$1240,9,0)*(D417-INT(D417))+VLOOKUP(INT(D417),Tablas!$G$9:$O$1240,9,0)*(INT(D417)+1-D417))/(VLOOKUP(INT($C$5)+1,Tablas!$G$9:$O$1240,9,0)*($C$5-INT($C$5))+VLOOKUP(INT($C$5),Tablas!$G$9:$O$124,9,0)*(INT($C$5)+1-$C$5)))</f>
        <v>0.19255856598738616</v>
      </c>
      <c r="G417" s="97">
        <f ca="1">IF($C$4="Hombre",(+VLOOKUP(INT(D417)+1,Tablas!$G$9:$K$1240,5,0)*(D417-INT(D417))+VLOOKUP(INT(D417),Tablas!$G$9:$K$1240,5,0)*(INT(D417)+1-D417)),+VLOOKUP(INT(D417)+1,Tablas!$G$9:$O$1240,9,0)*(D417-INT(D417))+VLOOKUP(INT(D417),Tablas!$G$9:$O$1240,9,0)*(INT(D417)+1-D417))</f>
        <v>177792.76332433353</v>
      </c>
      <c r="H417" s="105">
        <f t="shared" ca="1" si="50"/>
        <v>1</v>
      </c>
      <c r="I417" s="106">
        <f t="shared" ca="1" si="51"/>
        <v>9.7568884062223301E-3</v>
      </c>
      <c r="J417" s="106">
        <f t="shared" ca="1" si="55"/>
        <v>1.6726094410666852E-2</v>
      </c>
      <c r="K417" s="105">
        <f t="shared" ca="1" si="52"/>
        <v>0.19255856598738616</v>
      </c>
      <c r="L417" s="75"/>
    </row>
    <row r="418" spans="2:12">
      <c r="B418" s="101">
        <f t="shared" ca="1" si="53"/>
        <v>64987</v>
      </c>
      <c r="C418" s="101">
        <f t="shared" ca="1" si="54"/>
        <v>65017</v>
      </c>
      <c r="D418" s="102">
        <f t="shared" ca="1" si="48"/>
        <v>100.50102669404518</v>
      </c>
      <c r="E418" s="103">
        <f t="shared" ca="1" si="49"/>
        <v>0.60726876826787646</v>
      </c>
      <c r="F418" s="104">
        <f ca="1">IF($C$4="Hombre",(+VLOOKUP(INT(D418)+1,Tablas!$G$9:$K$1240,5,0)*(D418-INT(D418))+VLOOKUP(INT(D418),Tablas!$G$9:$K$1240,5,0)*(INT(D418)+1-D418))/(VLOOKUP(INT($C$5)+1,Tablas!$G$9:$K$1240,5,0)*($C$5-INT($C$5))+VLOOKUP(INT($C$5),Tablas!$G$9:$K$124,5,0)*(INT($C$5)+1-$C$5)),(+VLOOKUP(INT(D418)+1,Tablas!$G$9:$O$1240,9,0)*(D418-INT(D418))+VLOOKUP(INT(D418),Tablas!$G$9:$O$1240,9,0)*(INT(D418)+1-D418))/(VLOOKUP(INT($C$5)+1,Tablas!$G$9:$O$1240,9,0)*($C$5-INT($C$5))+VLOOKUP(INT($C$5),Tablas!$G$9:$O$124,9,0)*(INT($C$5)+1-$C$5)))</f>
        <v>0.18916692226574214</v>
      </c>
      <c r="G418" s="97">
        <f ca="1">IF($C$4="Hombre",(+VLOOKUP(INT(D418)+1,Tablas!$G$9:$K$1240,5,0)*(D418-INT(D418))+VLOOKUP(INT(D418),Tablas!$G$9:$K$1240,5,0)*(INT(D418)+1-D418)),+VLOOKUP(INT(D418)+1,Tablas!$G$9:$O$1240,9,0)*(D418-INT(D418))+VLOOKUP(INT(D418),Tablas!$G$9:$O$1240,9,0)*(INT(D418)+1-D418))</f>
        <v>174661.19809694076</v>
      </c>
      <c r="H418" s="105">
        <f t="shared" ca="1" si="50"/>
        <v>1</v>
      </c>
      <c r="I418" s="106">
        <f t="shared" ca="1" si="51"/>
        <v>9.5729303234451963E-3</v>
      </c>
      <c r="J418" s="106">
        <f t="shared" ca="1" si="55"/>
        <v>8.2053688486673111E-3</v>
      </c>
      <c r="K418" s="105">
        <f t="shared" ca="1" si="52"/>
        <v>0.18916692226574214</v>
      </c>
      <c r="L418" s="75"/>
    </row>
    <row r="419" spans="2:12">
      <c r="B419" s="101">
        <f t="shared" ca="1" si="53"/>
        <v>65018</v>
      </c>
      <c r="C419" s="101">
        <f t="shared" ca="1" si="54"/>
        <v>65048</v>
      </c>
      <c r="D419" s="102">
        <f t="shared" ca="1" si="48"/>
        <v>100.58590006844626</v>
      </c>
      <c r="E419" s="103">
        <f t="shared" ca="1" si="49"/>
        <v>0.60650187968293923</v>
      </c>
      <c r="F419" s="104">
        <f ca="1">IF($C$4="Hombre",(+VLOOKUP(INT(D419)+1,Tablas!$G$9:$K$1240,5,0)*(D419-INT(D419))+VLOOKUP(INT(D419),Tablas!$G$9:$K$1240,5,0)*(INT(D419)+1-D419))/(VLOOKUP(INT($C$5)+1,Tablas!$G$9:$K$1240,5,0)*($C$5-INT($C$5))+VLOOKUP(INT($C$5),Tablas!$G$9:$K$124,5,0)*(INT($C$5)+1-$C$5)),(+VLOOKUP(INT(D419)+1,Tablas!$G$9:$O$1240,9,0)*(D419-INT(D419))+VLOOKUP(INT(D419),Tablas!$G$9:$O$1240,9,0)*(INT(D419)+1-D419))/(VLOOKUP(INT($C$5)+1,Tablas!$G$9:$O$1240,9,0)*($C$5-INT($C$5))+VLOOKUP(INT($C$5),Tablas!$G$9:$O$124,9,0)*(INT($C$5)+1-$C$5)))</f>
        <v>0.1857752785440987</v>
      </c>
      <c r="G419" s="97">
        <f ca="1">IF($C$4="Hombre",(+VLOOKUP(INT(D419)+1,Tablas!$G$9:$K$1240,5,0)*(D419-INT(D419))+VLOOKUP(INT(D419),Tablas!$G$9:$K$1240,5,0)*(INT(D419)+1-D419)),+VLOOKUP(INT(D419)+1,Tablas!$G$9:$O$1240,9,0)*(D419-INT(D419))+VLOOKUP(INT(D419),Tablas!$G$9:$O$1240,9,0)*(INT(D419)+1-D419))</f>
        <v>171529.63286954851</v>
      </c>
      <c r="H419" s="105">
        <f t="shared" ca="1" si="50"/>
        <v>1</v>
      </c>
      <c r="I419" s="106">
        <f t="shared" ca="1" si="51"/>
        <v>9.3894213029681213E-3</v>
      </c>
      <c r="J419" s="106">
        <f t="shared" ca="1" si="55"/>
        <v>8.048075402544104E-3</v>
      </c>
      <c r="K419" s="105">
        <f t="shared" ca="1" si="52"/>
        <v>0.1857752785440987</v>
      </c>
      <c r="L419" s="75"/>
    </row>
    <row r="420" spans="2:12">
      <c r="B420" s="101">
        <f t="shared" ca="1" si="53"/>
        <v>65049</v>
      </c>
      <c r="C420" s="101">
        <f t="shared" ca="1" si="54"/>
        <v>65076</v>
      </c>
      <c r="D420" s="102">
        <f t="shared" ca="1" si="48"/>
        <v>100.66255989048597</v>
      </c>
      <c r="E420" s="103">
        <f t="shared" ca="1" si="49"/>
        <v>0.60581003857196802</v>
      </c>
      <c r="F420" s="104">
        <f ca="1">IF($C$4="Hombre",(+VLOOKUP(INT(D420)+1,Tablas!$G$9:$K$1240,5,0)*(D420-INT(D420))+VLOOKUP(INT(D420),Tablas!$G$9:$K$1240,5,0)*(INT(D420)+1-D420))/(VLOOKUP(INT($C$5)+1,Tablas!$G$9:$K$1240,5,0)*($C$5-INT($C$5))+VLOOKUP(INT($C$5),Tablas!$G$9:$K$124,5,0)*(INT($C$5)+1-$C$5)),(+VLOOKUP(INT(D420)+1,Tablas!$G$9:$O$1240,9,0)*(D420-INT(D420))+VLOOKUP(INT(D420),Tablas!$G$9:$O$1240,9,0)*(INT(D420)+1-D420))/(VLOOKUP(INT($C$5)+1,Tablas!$G$9:$O$1240,9,0)*($C$5-INT($C$5))+VLOOKUP(INT($C$5),Tablas!$G$9:$O$124,9,0)*(INT($C$5)+1-$C$5)))</f>
        <v>0.1827118584084203</v>
      </c>
      <c r="G420" s="97">
        <f ca="1">IF($C$4="Hombre",(+VLOOKUP(INT(D420)+1,Tablas!$G$9:$K$1240,5,0)*(D420-INT(D420))+VLOOKUP(INT(D420),Tablas!$G$9:$K$1240,5,0)*(INT(D420)+1-D420)),+VLOOKUP(INT(D420)+1,Tablas!$G$9:$O$1240,9,0)*(D420-INT(D420))+VLOOKUP(INT(D420),Tablas!$G$9:$O$1240,9,0)*(INT(D420)+1-D420))</f>
        <v>168701.12234158089</v>
      </c>
      <c r="H420" s="105">
        <f t="shared" ca="1" si="50"/>
        <v>1</v>
      </c>
      <c r="I420" s="106">
        <f t="shared" ca="1" si="51"/>
        <v>9.224056499163422E-3</v>
      </c>
      <c r="J420" s="106">
        <f t="shared" ca="1" si="55"/>
        <v>7.9063341421400767E-3</v>
      </c>
      <c r="K420" s="105">
        <f t="shared" ca="1" si="52"/>
        <v>0.1827118584084203</v>
      </c>
      <c r="L420" s="75"/>
    </row>
    <row r="421" spans="2:12">
      <c r="B421" s="101">
        <f t="shared" ca="1" si="53"/>
        <v>65077</v>
      </c>
      <c r="C421" s="101">
        <f t="shared" ca="1" si="54"/>
        <v>65107</v>
      </c>
      <c r="D421" s="102">
        <f t="shared" ca="1" si="48"/>
        <v>100.74743326488706</v>
      </c>
      <c r="E421" s="103">
        <f t="shared" ca="1" si="49"/>
        <v>0.60504499214195573</v>
      </c>
      <c r="F421" s="104">
        <f ca="1">IF($C$4="Hombre",(+VLOOKUP(INT(D421)+1,Tablas!$G$9:$K$1240,5,0)*(D421-INT(D421))+VLOOKUP(INT(D421),Tablas!$G$9:$K$1240,5,0)*(INT(D421)+1-D421))/(VLOOKUP(INT($C$5)+1,Tablas!$G$9:$K$1240,5,0)*($C$5-INT($C$5))+VLOOKUP(INT($C$5),Tablas!$G$9:$K$124,5,0)*(INT($C$5)+1-$C$5)),(+VLOOKUP(INT(D421)+1,Tablas!$G$9:$O$1240,9,0)*(D421-INT(D421))+VLOOKUP(INT(D421),Tablas!$G$9:$O$1240,9,0)*(INT(D421)+1-D421))/(VLOOKUP(INT($C$5)+1,Tablas!$G$9:$O$1240,9,0)*($C$5-INT($C$5))+VLOOKUP(INT($C$5),Tablas!$G$9:$O$124,9,0)*(INT($C$5)+1-$C$5)))</f>
        <v>0.17932021468677625</v>
      </c>
      <c r="G421" s="97">
        <f ca="1">IF($C$4="Hombre",(+VLOOKUP(INT(D421)+1,Tablas!$G$9:$K$1240,5,0)*(D421-INT(D421))+VLOOKUP(INT(D421),Tablas!$G$9:$K$1240,5,0)*(INT(D421)+1-D421)),+VLOOKUP(INT(D421)+1,Tablas!$G$9:$O$1240,9,0)*(D421-INT(D421))+VLOOKUP(INT(D421),Tablas!$G$9:$O$1240,9,0)*(INT(D421)+1-D421))</f>
        <v>165569.55711418809</v>
      </c>
      <c r="H421" s="105">
        <f t="shared" ca="1" si="50"/>
        <v>1</v>
      </c>
      <c r="I421" s="106">
        <f t="shared" ca="1" si="51"/>
        <v>9.0413998238378628E-3</v>
      </c>
      <c r="J421" s="106">
        <f t="shared" ca="1" si="55"/>
        <v>7.7497712775753107E-3</v>
      </c>
      <c r="K421" s="105">
        <f t="shared" ca="1" si="52"/>
        <v>0.17932021468677625</v>
      </c>
      <c r="L421" s="75"/>
    </row>
    <row r="422" spans="2:12">
      <c r="B422" s="101">
        <f t="shared" ca="1" si="53"/>
        <v>65108</v>
      </c>
      <c r="C422" s="101">
        <f t="shared" ca="1" si="54"/>
        <v>65137</v>
      </c>
      <c r="D422" s="102">
        <f t="shared" ca="1" si="48"/>
        <v>100.82956878850102</v>
      </c>
      <c r="E422" s="103">
        <f t="shared" ca="1" si="49"/>
        <v>0.60430554453350349</v>
      </c>
      <c r="F422" s="104">
        <f ca="1">IF($C$4="Hombre",(+VLOOKUP(INT(D422)+1,Tablas!$G$9:$K$1240,5,0)*(D422-INT(D422))+VLOOKUP(INT(D422),Tablas!$G$9:$K$1240,5,0)*(INT(D422)+1-D422))/(VLOOKUP(INT($C$5)+1,Tablas!$G$9:$K$1240,5,0)*($C$5-INT($C$5))+VLOOKUP(INT($C$5),Tablas!$G$9:$K$124,5,0)*(INT($C$5)+1-$C$5)),(+VLOOKUP(INT(D422)+1,Tablas!$G$9:$O$1240,9,0)*(D422-INT(D422))+VLOOKUP(INT(D422),Tablas!$G$9:$O$1240,9,0)*(INT(D422)+1-D422))/(VLOOKUP(INT($C$5)+1,Tablas!$G$9:$O$1240,9,0)*($C$5-INT($C$5))+VLOOKUP(INT($C$5),Tablas!$G$9:$O$124,9,0)*(INT($C$5)+1-$C$5)))</f>
        <v>0.17603797882712116</v>
      </c>
      <c r="G422" s="97">
        <f ca="1">IF($C$4="Hombre",(+VLOOKUP(INT(D422)+1,Tablas!$G$9:$K$1240,5,0)*(D422-INT(D422))+VLOOKUP(INT(D422),Tablas!$G$9:$K$1240,5,0)*(INT(D422)+1-D422)),+VLOOKUP(INT(D422)+1,Tablas!$G$9:$O$1240,9,0)*(D422-INT(D422))+VLOOKUP(INT(D422),Tablas!$G$9:$O$1240,9,0)*(INT(D422)+1-D422))</f>
        <v>162539.01011993739</v>
      </c>
      <c r="H422" s="105">
        <f t="shared" ca="1" si="50"/>
        <v>1</v>
      </c>
      <c r="I422" s="106">
        <f t="shared" ca="1" si="51"/>
        <v>8.8650605544750676E-3</v>
      </c>
      <c r="J422" s="106">
        <f t="shared" ca="1" si="55"/>
        <v>7.5986233324072004E-3</v>
      </c>
      <c r="K422" s="105">
        <f t="shared" ca="1" si="52"/>
        <v>0.17603797882712116</v>
      </c>
      <c r="L422" s="75"/>
    </row>
    <row r="423" spans="2:12">
      <c r="B423" s="101">
        <f t="shared" ca="1" si="53"/>
        <v>65138</v>
      </c>
      <c r="C423" s="101">
        <f t="shared" ca="1" si="54"/>
        <v>65168</v>
      </c>
      <c r="D423" s="102">
        <f t="shared" ca="1" si="48"/>
        <v>100.91444216290212</v>
      </c>
      <c r="E423" s="103">
        <f t="shared" ca="1" si="49"/>
        <v>0.6035423980518575</v>
      </c>
      <c r="F423" s="104">
        <f ca="1">IF($C$4="Hombre",(+VLOOKUP(INT(D423)+1,Tablas!$G$9:$K$1240,5,0)*(D423-INT(D423))+VLOOKUP(INT(D423),Tablas!$G$9:$K$1240,5,0)*(INT(D423)+1-D423))/(VLOOKUP(INT($C$5)+1,Tablas!$G$9:$K$1240,5,0)*($C$5-INT($C$5))+VLOOKUP(INT($C$5),Tablas!$G$9:$K$124,5,0)*(INT($C$5)+1-$C$5)),(+VLOOKUP(INT(D423)+1,Tablas!$G$9:$O$1240,9,0)*(D423-INT(D423))+VLOOKUP(INT(D423),Tablas!$G$9:$O$1240,9,0)*(INT(D423)+1-D423))/(VLOOKUP(INT($C$5)+1,Tablas!$G$9:$O$1240,9,0)*($C$5-INT($C$5))+VLOOKUP(INT($C$5),Tablas!$G$9:$O$124,9,0)*(INT($C$5)+1-$C$5)))</f>
        <v>0.17264633510547714</v>
      </c>
      <c r="G423" s="97">
        <f ca="1">IF($C$4="Hombre",(+VLOOKUP(INT(D423)+1,Tablas!$G$9:$K$1240,5,0)*(D423-INT(D423))+VLOOKUP(INT(D423),Tablas!$G$9:$K$1240,5,0)*(INT(D423)+1-D423)),+VLOOKUP(INT(D423)+1,Tablas!$G$9:$O$1240,9,0)*(D423-INT(D423))+VLOOKUP(INT(D423),Tablas!$G$9:$O$1240,9,0)*(INT(D423)+1-D423))</f>
        <v>159407.44489254462</v>
      </c>
      <c r="H423" s="105">
        <f t="shared" ca="1" si="50"/>
        <v>1</v>
      </c>
      <c r="I423" s="106">
        <f t="shared" ca="1" si="51"/>
        <v>8.683281925368689E-3</v>
      </c>
      <c r="J423" s="106">
        <f t="shared" ca="1" si="55"/>
        <v>1.4885626157774895E-2</v>
      </c>
      <c r="K423" s="105">
        <f t="shared" ca="1" si="52"/>
        <v>0.17264633510547714</v>
      </c>
      <c r="L423" s="75"/>
    </row>
    <row r="424" spans="2:12">
      <c r="B424" s="101">
        <f t="shared" ca="1" si="53"/>
        <v>65169</v>
      </c>
      <c r="C424" s="101">
        <f t="shared" ca="1" si="54"/>
        <v>65198</v>
      </c>
      <c r="D424" s="102">
        <f t="shared" ca="1" si="48"/>
        <v>100.99657768651609</v>
      </c>
      <c r="E424" s="103">
        <f t="shared" ca="1" si="49"/>
        <v>0.60280478681858529</v>
      </c>
      <c r="F424" s="104">
        <f ca="1">IF($C$4="Hombre",(+VLOOKUP(INT(D424)+1,Tablas!$G$9:$K$1240,5,0)*(D424-INT(D424))+VLOOKUP(INT(D424),Tablas!$G$9:$K$1240,5,0)*(INT(D424)+1-D424))/(VLOOKUP(INT($C$5)+1,Tablas!$G$9:$K$1240,5,0)*($C$5-INT($C$5))+VLOOKUP(INT($C$5),Tablas!$G$9:$K$124,5,0)*(INT($C$5)+1-$C$5)),(+VLOOKUP(INT(D424)+1,Tablas!$G$9:$O$1240,9,0)*(D424-INT(D424))+VLOOKUP(INT(D424),Tablas!$G$9:$O$1240,9,0)*(INT(D424)+1-D424))/(VLOOKUP(INT($C$5)+1,Tablas!$G$9:$O$1240,9,0)*($C$5-INT($C$5))+VLOOKUP(INT($C$5),Tablas!$G$9:$O$124,9,0)*(INT($C$5)+1-$C$5)))</f>
        <v>0.16936409924582149</v>
      </c>
      <c r="G424" s="97">
        <f ca="1">IF($C$4="Hombre",(+VLOOKUP(INT(D424)+1,Tablas!$G$9:$K$1240,5,0)*(D424-INT(D424))+VLOOKUP(INT(D424),Tablas!$G$9:$K$1240,5,0)*(INT(D424)+1-D424)),+VLOOKUP(INT(D424)+1,Tablas!$G$9:$O$1240,9,0)*(D424-INT(D424))+VLOOKUP(INT(D424),Tablas!$G$9:$O$1240,9,0)*(INT(D424)+1-D424))</f>
        <v>156376.89789829339</v>
      </c>
      <c r="H424" s="105">
        <f t="shared" ca="1" si="50"/>
        <v>1</v>
      </c>
      <c r="I424" s="106">
        <f t="shared" ca="1" si="51"/>
        <v>8.5077908117165944E-3</v>
      </c>
      <c r="J424" s="106">
        <f t="shared" ca="1" si="55"/>
        <v>7.2923921243285093E-3</v>
      </c>
      <c r="K424" s="105">
        <f t="shared" ca="1" si="52"/>
        <v>0.16936409924582149</v>
      </c>
      <c r="L424" s="75"/>
    </row>
    <row r="425" spans="2:12">
      <c r="B425" s="101">
        <f t="shared" ca="1" si="53"/>
        <v>65199</v>
      </c>
      <c r="C425" s="101">
        <f t="shared" ca="1" si="54"/>
        <v>65229</v>
      </c>
      <c r="D425" s="102">
        <f t="shared" ca="1" si="48"/>
        <v>101.08145106091717</v>
      </c>
      <c r="E425" s="103">
        <f t="shared" ca="1" si="49"/>
        <v>0.60204353556689438</v>
      </c>
      <c r="F425" s="104">
        <f ca="1">IF($C$4="Hombre",(+VLOOKUP(INT(D425)+1,Tablas!$G$9:$K$1240,5,0)*(D425-INT(D425))+VLOOKUP(INT(D425),Tablas!$G$9:$K$1240,5,0)*(INT(D425)+1-D425))/(VLOOKUP(INT($C$5)+1,Tablas!$G$9:$K$1240,5,0)*($C$5-INT($C$5))+VLOOKUP(INT($C$5),Tablas!$G$9:$K$124,5,0)*(INT($C$5)+1-$C$5)),(+VLOOKUP(INT(D425)+1,Tablas!$G$9:$O$1240,9,0)*(D425-INT(D425))+VLOOKUP(INT(D425),Tablas!$G$9:$O$1240,9,0)*(INT(D425)+1-D425))/(VLOOKUP(INT($C$5)+1,Tablas!$G$9:$O$1240,9,0)*($C$5-INT($C$5))+VLOOKUP(INT($C$5),Tablas!$G$9:$O$124,9,0)*(INT($C$5)+1-$C$5)))</f>
        <v>0.16630730386307582</v>
      </c>
      <c r="G425" s="97">
        <f ca="1">IF($C$4="Hombre",(+VLOOKUP(INT(D425)+1,Tablas!$G$9:$K$1240,5,0)*(D425-INT(D425))+VLOOKUP(INT(D425),Tablas!$G$9:$K$1240,5,0)*(INT(D425)+1-D425)),+VLOOKUP(INT(D425)+1,Tablas!$G$9:$O$1240,9,0)*(D425-INT(D425))+VLOOKUP(INT(D425),Tablas!$G$9:$O$1240,9,0)*(INT(D425)+1-D425))</f>
        <v>153554.50412303535</v>
      </c>
      <c r="H425" s="105">
        <f t="shared" ca="1" si="50"/>
        <v>1</v>
      </c>
      <c r="I425" s="106">
        <f t="shared" ca="1" si="51"/>
        <v>8.3436864340269996E-3</v>
      </c>
      <c r="J425" s="106">
        <f t="shared" ca="1" si="55"/>
        <v>7.1517312291660001E-3</v>
      </c>
      <c r="K425" s="105">
        <f t="shared" ca="1" si="52"/>
        <v>0.16630730386307582</v>
      </c>
      <c r="L425" s="75"/>
    </row>
    <row r="426" spans="2:12">
      <c r="B426" s="101">
        <f t="shared" ca="1" si="53"/>
        <v>65230</v>
      </c>
      <c r="C426" s="101">
        <f t="shared" ca="1" si="54"/>
        <v>65260</v>
      </c>
      <c r="D426" s="102">
        <f t="shared" ca="1" si="48"/>
        <v>101.16632443531827</v>
      </c>
      <c r="E426" s="103">
        <f t="shared" ca="1" si="49"/>
        <v>0.60128324566036984</v>
      </c>
      <c r="F426" s="104">
        <f ca="1">IF($C$4="Hombre",(+VLOOKUP(INT(D426)+1,Tablas!$G$9:$K$1240,5,0)*(D426-INT(D426))+VLOOKUP(INT(D426),Tablas!$G$9:$K$1240,5,0)*(INT(D426)+1-D426))/(VLOOKUP(INT($C$5)+1,Tablas!$G$9:$K$1240,5,0)*($C$5-INT($C$5))+VLOOKUP(INT($C$5),Tablas!$G$9:$K$124,5,0)*(INT($C$5)+1-$C$5)),(+VLOOKUP(INT(D426)+1,Tablas!$G$9:$O$1240,9,0)*(D426-INT(D426))+VLOOKUP(INT(D426),Tablas!$G$9:$O$1240,9,0)*(INT(D426)+1-D426))/(VLOOKUP(INT($C$5)+1,Tablas!$G$9:$O$1240,9,0)*($C$5-INT($C$5))+VLOOKUP(INT($C$5),Tablas!$G$9:$O$124,9,0)*(INT($C$5)+1-$C$5)))</f>
        <v>0.16326457773826658</v>
      </c>
      <c r="G426" s="97">
        <f ca="1">IF($C$4="Hombre",(+VLOOKUP(INT(D426)+1,Tablas!$G$9:$K$1240,5,0)*(D426-INT(D426))+VLOOKUP(INT(D426),Tablas!$G$9:$K$1240,5,0)*(INT(D426)+1-D426)),+VLOOKUP(INT(D426)+1,Tablas!$G$9:$O$1240,9,0)*(D426-INT(D426))+VLOOKUP(INT(D426),Tablas!$G$9:$O$1240,9,0)*(INT(D426)+1-D426))</f>
        <v>150745.10074492535</v>
      </c>
      <c r="H426" s="105">
        <f t="shared" ca="1" si="50"/>
        <v>1</v>
      </c>
      <c r="I426" s="106">
        <f t="shared" ca="1" si="51"/>
        <v>8.1806879336528901E-3</v>
      </c>
      <c r="J426" s="106">
        <f t="shared" ca="1" si="55"/>
        <v>7.0120182288453342E-3</v>
      </c>
      <c r="K426" s="105">
        <f t="shared" ca="1" si="52"/>
        <v>0.16326457773826658</v>
      </c>
      <c r="L426" s="75"/>
    </row>
    <row r="427" spans="2:12">
      <c r="B427" s="101">
        <f t="shared" ca="1" si="53"/>
        <v>65261</v>
      </c>
      <c r="C427" s="101">
        <f t="shared" ca="1" si="54"/>
        <v>65290</v>
      </c>
      <c r="D427" s="102">
        <f t="shared" ca="1" si="48"/>
        <v>101.24845995893224</v>
      </c>
      <c r="E427" s="103">
        <f t="shared" ca="1" si="49"/>
        <v>0.60054839541984151</v>
      </c>
      <c r="F427" s="104">
        <f ca="1">IF($C$4="Hombre",(+VLOOKUP(INT(D427)+1,Tablas!$G$9:$K$1240,5,0)*(D427-INT(D427))+VLOOKUP(INT(D427),Tablas!$G$9:$K$1240,5,0)*(INT(D427)+1-D427))/(VLOOKUP(INT($C$5)+1,Tablas!$G$9:$K$1240,5,0)*($C$5-INT($C$5))+VLOOKUP(INT($C$5),Tablas!$G$9:$K$124,5,0)*(INT($C$5)+1-$C$5)),(+VLOOKUP(INT(D427)+1,Tablas!$G$9:$O$1240,9,0)*(D427-INT(D427))+VLOOKUP(INT(D427),Tablas!$G$9:$O$1240,9,0)*(INT(D427)+1-D427))/(VLOOKUP(INT($C$5)+1,Tablas!$G$9:$O$1240,9,0)*($C$5-INT($C$5))+VLOOKUP(INT($C$5),Tablas!$G$9:$O$124,9,0)*(INT($C$5)+1-$C$5)))</f>
        <v>0.16032000406909611</v>
      </c>
      <c r="G427" s="97">
        <f ca="1">IF($C$4="Hombre",(+VLOOKUP(INT(D427)+1,Tablas!$G$9:$K$1240,5,0)*(D427-INT(D427))+VLOOKUP(INT(D427),Tablas!$G$9:$K$1240,5,0)*(INT(D427)+1-D427)),+VLOOKUP(INT(D427)+1,Tablas!$G$9:$O$1240,9,0)*(D427-INT(D427))+VLOOKUP(INT(D427),Tablas!$G$9:$O$1240,9,0)*(INT(D427)+1-D427))</f>
        <v>148026.32328223807</v>
      </c>
      <c r="H427" s="105">
        <f t="shared" ca="1" si="50"/>
        <v>1</v>
      </c>
      <c r="I427" s="106">
        <f t="shared" ca="1" si="51"/>
        <v>8.0233267664498436E-3</v>
      </c>
      <c r="J427" s="106">
        <f t="shared" ca="1" si="55"/>
        <v>6.8771372283855797E-3</v>
      </c>
      <c r="K427" s="105">
        <f t="shared" ca="1" si="52"/>
        <v>0.16032000406909611</v>
      </c>
      <c r="L427" s="75"/>
    </row>
    <row r="428" spans="2:12">
      <c r="B428" s="101">
        <f t="shared" ca="1" si="53"/>
        <v>65291</v>
      </c>
      <c r="C428" s="101">
        <f t="shared" ca="1" si="54"/>
        <v>65321</v>
      </c>
      <c r="D428" s="102">
        <f t="shared" ca="1" si="48"/>
        <v>101.33333333333333</v>
      </c>
      <c r="E428" s="103">
        <f t="shared" ca="1" si="49"/>
        <v>0.59978999364913377</v>
      </c>
      <c r="F428" s="104">
        <f ca="1">IF($C$4="Hombre",(+VLOOKUP(INT(D428)+1,Tablas!$G$9:$K$1240,5,0)*(D428-INT(D428))+VLOOKUP(INT(D428),Tablas!$G$9:$K$1240,5,0)*(INT(D428)+1-D428))/(VLOOKUP(INT($C$5)+1,Tablas!$G$9:$K$1240,5,0)*($C$5-INT($C$5))+VLOOKUP(INT($C$5),Tablas!$G$9:$K$124,5,0)*(INT($C$5)+1-$C$5)),(+VLOOKUP(INT(D428)+1,Tablas!$G$9:$O$1240,9,0)*(D428-INT(D428))+VLOOKUP(INT(D428),Tablas!$G$9:$O$1240,9,0)*(INT(D428)+1-D428))/(VLOOKUP(INT($C$5)+1,Tablas!$G$9:$O$1240,9,0)*($C$5-INT($C$5))+VLOOKUP(INT($C$5),Tablas!$G$9:$O$124,9,0)*(INT($C$5)+1-$C$5)))</f>
        <v>0.15727727794428731</v>
      </c>
      <c r="G428" s="97">
        <f ca="1">IF($C$4="Hombre",(+VLOOKUP(INT(D428)+1,Tablas!$G$9:$K$1240,5,0)*(D428-INT(D428))+VLOOKUP(INT(D428),Tablas!$G$9:$K$1240,5,0)*(INT(D428)+1-D428)),+VLOOKUP(INT(D428)+1,Tablas!$G$9:$O$1240,9,0)*(D428-INT(D428))+VLOOKUP(INT(D428),Tablas!$G$9:$O$1240,9,0)*(INT(D428)+1-D428))</f>
        <v>145216.9199041285</v>
      </c>
      <c r="H428" s="105">
        <f t="shared" ca="1" si="50"/>
        <v>1</v>
      </c>
      <c r="I428" s="106">
        <f t="shared" ca="1" si="51"/>
        <v>7.8611114616130937E-3</v>
      </c>
      <c r="J428" s="106">
        <f t="shared" ca="1" si="55"/>
        <v>6.7380955385255093E-3</v>
      </c>
      <c r="K428" s="105">
        <f t="shared" ca="1" si="52"/>
        <v>0.15727727794428731</v>
      </c>
      <c r="L428" s="75"/>
    </row>
    <row r="429" spans="2:12">
      <c r="B429" s="101">
        <f t="shared" ca="1" si="53"/>
        <v>65322</v>
      </c>
      <c r="C429" s="101">
        <f t="shared" ca="1" si="54"/>
        <v>65351</v>
      </c>
      <c r="D429" s="102">
        <f t="shared" ca="1" si="48"/>
        <v>101.4154688569473</v>
      </c>
      <c r="E429" s="103">
        <f t="shared" ca="1" si="49"/>
        <v>0.59905696836648947</v>
      </c>
      <c r="F429" s="104">
        <f ca="1">IF($C$4="Hombre",(+VLOOKUP(INT(D429)+1,Tablas!$G$9:$K$1240,5,0)*(D429-INT(D429))+VLOOKUP(INT(D429),Tablas!$G$9:$K$1240,5,0)*(INT(D429)+1-D429))/(VLOOKUP(INT($C$5)+1,Tablas!$G$9:$K$1240,5,0)*($C$5-INT($C$5))+VLOOKUP(INT($C$5),Tablas!$G$9:$K$124,5,0)*(INT($C$5)+1-$C$5)),(+VLOOKUP(INT(D429)+1,Tablas!$G$9:$O$1240,9,0)*(D429-INT(D429))+VLOOKUP(INT(D429),Tablas!$G$9:$O$1240,9,0)*(INT(D429)+1-D429))/(VLOOKUP(INT($C$5)+1,Tablas!$G$9:$O$1240,9,0)*($C$5-INT($C$5))+VLOOKUP(INT($C$5),Tablas!$G$9:$O$124,9,0)*(INT($C$5)+1-$C$5)))</f>
        <v>0.15433270427511689</v>
      </c>
      <c r="G429" s="97">
        <f ca="1">IF($C$4="Hombre",(+VLOOKUP(INT(D429)+1,Tablas!$G$9:$K$1240,5,0)*(D429-INT(D429))+VLOOKUP(INT(D429),Tablas!$G$9:$K$1240,5,0)*(INT(D429)+1-D429)),+VLOOKUP(INT(D429)+1,Tablas!$G$9:$O$1240,9,0)*(D429-INT(D429))+VLOOKUP(INT(D429),Tablas!$G$9:$O$1240,9,0)*(INT(D429)+1-D429))</f>
        <v>142498.14244144125</v>
      </c>
      <c r="H429" s="105">
        <f t="shared" ca="1" si="50"/>
        <v>1</v>
      </c>
      <c r="I429" s="106">
        <f t="shared" ca="1" si="51"/>
        <v>7.704506828571123E-3</v>
      </c>
      <c r="J429" s="106">
        <f t="shared" ca="1" si="55"/>
        <v>1.3207725991836212E-2</v>
      </c>
      <c r="K429" s="105">
        <f t="shared" ca="1" si="52"/>
        <v>0.15433270427511689</v>
      </c>
      <c r="L429" s="75"/>
    </row>
    <row r="430" spans="2:12">
      <c r="B430" s="101">
        <f t="shared" ca="1" si="53"/>
        <v>65352</v>
      </c>
      <c r="C430" s="101">
        <f t="shared" ca="1" si="54"/>
        <v>65382</v>
      </c>
      <c r="D430" s="102">
        <f t="shared" ca="1" si="48"/>
        <v>101.5003422313484</v>
      </c>
      <c r="E430" s="103">
        <f t="shared" ca="1" si="49"/>
        <v>0.59830045004252241</v>
      </c>
      <c r="F430" s="104">
        <f ca="1">IF($C$4="Hombre",(+VLOOKUP(INT(D430)+1,Tablas!$G$9:$K$1240,5,0)*(D430-INT(D430))+VLOOKUP(INT(D430),Tablas!$G$9:$K$1240,5,0)*(INT(D430)+1-D430))/(VLOOKUP(INT($C$5)+1,Tablas!$G$9:$K$1240,5,0)*($C$5-INT($C$5))+VLOOKUP(INT($C$5),Tablas!$G$9:$K$124,5,0)*(INT($C$5)+1-$C$5)),(+VLOOKUP(INT(D430)+1,Tablas!$G$9:$O$1240,9,0)*(D430-INT(D430))+VLOOKUP(INT(D430),Tablas!$G$9:$O$1240,9,0)*(INT(D430)+1-D430))/(VLOOKUP(INT($C$5)+1,Tablas!$G$9:$O$1240,9,0)*($C$5-INT($C$5))+VLOOKUP(INT($C$5),Tablas!$G$9:$O$124,9,0)*(INT($C$5)+1-$C$5)))</f>
        <v>0.15128997815030759</v>
      </c>
      <c r="G430" s="97">
        <f ca="1">IF($C$4="Hombre",(+VLOOKUP(INT(D430)+1,Tablas!$G$9:$K$1240,5,0)*(D430-INT(D430))+VLOOKUP(INT(D430),Tablas!$G$9:$K$1240,5,0)*(INT(D430)+1-D430)),+VLOOKUP(INT(D430)+1,Tablas!$G$9:$O$1240,9,0)*(D430-INT(D430))+VLOOKUP(INT(D430),Tablas!$G$9:$O$1240,9,0)*(INT(D430)+1-D430))</f>
        <v>139688.73906333122</v>
      </c>
      <c r="H430" s="105">
        <f t="shared" ca="1" si="50"/>
        <v>1</v>
      </c>
      <c r="I430" s="106">
        <f t="shared" ca="1" si="51"/>
        <v>7.543071834521034E-3</v>
      </c>
      <c r="J430" s="106">
        <f t="shared" ca="1" si="55"/>
        <v>6.4654901438751721E-3</v>
      </c>
      <c r="K430" s="105">
        <f t="shared" ca="1" si="52"/>
        <v>0.15128997815030759</v>
      </c>
      <c r="L430" s="75"/>
    </row>
    <row r="431" spans="2:12">
      <c r="B431" s="101">
        <f t="shared" ca="1" si="53"/>
        <v>65383</v>
      </c>
      <c r="C431" s="101">
        <f t="shared" ca="1" si="54"/>
        <v>65413</v>
      </c>
      <c r="D431" s="102">
        <f t="shared" ca="1" si="48"/>
        <v>101.58521560574948</v>
      </c>
      <c r="E431" s="103">
        <f t="shared" ca="1" si="49"/>
        <v>0.59754488708675058</v>
      </c>
      <c r="F431" s="104">
        <f ca="1">IF($C$4="Hombre",(+VLOOKUP(INT(D431)+1,Tablas!$G$9:$K$1240,5,0)*(D431-INT(D431))+VLOOKUP(INT(D431),Tablas!$G$9:$K$1240,5,0)*(INT(D431)+1-D431))/(VLOOKUP(INT($C$5)+1,Tablas!$G$9:$K$1240,5,0)*($C$5-INT($C$5))+VLOOKUP(INT($C$5),Tablas!$G$9:$K$124,5,0)*(INT($C$5)+1-$C$5)),(+VLOOKUP(INT(D431)+1,Tablas!$G$9:$O$1240,9,0)*(D431-INT(D431))+VLOOKUP(INT(D431),Tablas!$G$9:$O$1240,9,0)*(INT(D431)+1-D431))/(VLOOKUP(INT($C$5)+1,Tablas!$G$9:$O$1240,9,0)*($C$5-INT($C$5))+VLOOKUP(INT($C$5),Tablas!$G$9:$O$124,9,0)*(INT($C$5)+1-$C$5)))</f>
        <v>0.14824725202549879</v>
      </c>
      <c r="G431" s="97">
        <f ca="1">IF($C$4="Hombre",(+VLOOKUP(INT(D431)+1,Tablas!$G$9:$K$1240,5,0)*(D431-INT(D431))+VLOOKUP(INT(D431),Tablas!$G$9:$K$1240,5,0)*(INT(D431)+1-D431)),+VLOOKUP(INT(D431)+1,Tablas!$G$9:$O$1240,9,0)*(D431-INT(D431))+VLOOKUP(INT(D431),Tablas!$G$9:$O$1240,9,0)*(INT(D431)+1-D431))</f>
        <v>136879.33568522165</v>
      </c>
      <c r="H431" s="105">
        <f t="shared" ca="1" si="50"/>
        <v>1</v>
      </c>
      <c r="I431" s="106">
        <f t="shared" ca="1" si="51"/>
        <v>7.3820322893748107E-3</v>
      </c>
      <c r="J431" s="106">
        <f t="shared" ca="1" si="55"/>
        <v>6.3274562480355517E-3</v>
      </c>
      <c r="K431" s="105">
        <f t="shared" ca="1" si="52"/>
        <v>0.14824725202549879</v>
      </c>
      <c r="L431" s="75"/>
    </row>
    <row r="432" spans="2:12">
      <c r="B432" s="101">
        <f t="shared" ca="1" si="53"/>
        <v>65414</v>
      </c>
      <c r="C432" s="101">
        <f t="shared" ca="1" si="54"/>
        <v>65441</v>
      </c>
      <c r="D432" s="102">
        <f t="shared" ca="1" si="48"/>
        <v>101.66187542778918</v>
      </c>
      <c r="E432" s="103">
        <f t="shared" ca="1" si="49"/>
        <v>0.59686326328246264</v>
      </c>
      <c r="F432" s="104">
        <f ca="1">IF($C$4="Hombre",(+VLOOKUP(INT(D432)+1,Tablas!$G$9:$K$1240,5,0)*(D432-INT(D432))+VLOOKUP(INT(D432),Tablas!$G$9:$K$1240,5,0)*(INT(D432)+1-D432))/(VLOOKUP(INT($C$5)+1,Tablas!$G$9:$K$1240,5,0)*($C$5-INT($C$5))+VLOOKUP(INT($C$5),Tablas!$G$9:$K$124,5,0)*(INT($C$5)+1-$C$5)),(+VLOOKUP(INT(D432)+1,Tablas!$G$9:$O$1240,9,0)*(D432-INT(D432))+VLOOKUP(INT(D432),Tablas!$G$9:$O$1240,9,0)*(INT(D432)+1-D432))/(VLOOKUP(INT($C$5)+1,Tablas!$G$9:$O$1240,9,0)*($C$5-INT($C$5))+VLOOKUP(INT($C$5),Tablas!$G$9:$O$124,9,0)*(INT($C$5)+1-$C$5)))</f>
        <v>0.14549898326760657</v>
      </c>
      <c r="G432" s="97">
        <f ca="1">IF($C$4="Hombre",(+VLOOKUP(INT(D432)+1,Tablas!$G$9:$K$1240,5,0)*(D432-INT(D432))+VLOOKUP(INT(D432),Tablas!$G$9:$K$1240,5,0)*(INT(D432)+1-D432)),+VLOOKUP(INT(D432)+1,Tablas!$G$9:$O$1240,9,0)*(D432-INT(D432))+VLOOKUP(INT(D432),Tablas!$G$9:$O$1240,9,0)*(INT(D432)+1-D432))</f>
        <v>134341.81005338038</v>
      </c>
      <c r="H432" s="105">
        <f t="shared" ca="1" si="50"/>
        <v>1</v>
      </c>
      <c r="I432" s="106">
        <f t="shared" ca="1" si="51"/>
        <v>7.2369164964486742E-3</v>
      </c>
      <c r="J432" s="106">
        <f t="shared" ca="1" si="55"/>
        <v>6.2030712826702927E-3</v>
      </c>
      <c r="K432" s="105">
        <f t="shared" ca="1" si="52"/>
        <v>0.14549898326760657</v>
      </c>
      <c r="L432" s="75"/>
    </row>
    <row r="433" spans="2:12">
      <c r="B433" s="101">
        <f t="shared" ca="1" si="53"/>
        <v>65442</v>
      </c>
      <c r="C433" s="101">
        <f t="shared" ca="1" si="54"/>
        <v>65472</v>
      </c>
      <c r="D433" s="102">
        <f t="shared" ca="1" si="48"/>
        <v>101.74674880219028</v>
      </c>
      <c r="E433" s="103">
        <f t="shared" ca="1" si="49"/>
        <v>0.59610951527614675</v>
      </c>
      <c r="F433" s="104">
        <f ca="1">IF($C$4="Hombre",(+VLOOKUP(INT(D433)+1,Tablas!$G$9:$K$1240,5,0)*(D433-INT(D433))+VLOOKUP(INT(D433),Tablas!$G$9:$K$1240,5,0)*(INT(D433)+1-D433))/(VLOOKUP(INT($C$5)+1,Tablas!$G$9:$K$1240,5,0)*($C$5-INT($C$5))+VLOOKUP(INT($C$5),Tablas!$G$9:$K$124,5,0)*(INT($C$5)+1-$C$5)),(+VLOOKUP(INT(D433)+1,Tablas!$G$9:$O$1240,9,0)*(D433-INT(D433))+VLOOKUP(INT(D433),Tablas!$G$9:$O$1240,9,0)*(INT(D433)+1-D433))/(VLOOKUP(INT($C$5)+1,Tablas!$G$9:$O$1240,9,0)*($C$5-INT($C$5))+VLOOKUP(INT($C$5),Tablas!$G$9:$O$124,9,0)*(INT($C$5)+1-$C$5)))</f>
        <v>0.14245625714279728</v>
      </c>
      <c r="G433" s="97">
        <f ca="1">IF($C$4="Hombre",(+VLOOKUP(INT(D433)+1,Tablas!$G$9:$K$1240,5,0)*(D433-INT(D433))+VLOOKUP(INT(D433),Tablas!$G$9:$K$1240,5,0)*(INT(D433)+1-D433)),+VLOOKUP(INT(D433)+1,Tablas!$G$9:$O$1240,9,0)*(D433-INT(D433))+VLOOKUP(INT(D433),Tablas!$G$9:$O$1240,9,0)*(INT(D433)+1-D433))</f>
        <v>131532.40667527035</v>
      </c>
      <c r="H433" s="105">
        <f t="shared" ca="1" si="50"/>
        <v>1</v>
      </c>
      <c r="I433" s="106">
        <f t="shared" ca="1" si="51"/>
        <v>7.0766275327872503E-3</v>
      </c>
      <c r="J433" s="106">
        <f t="shared" ca="1" si="55"/>
        <v>6.0656807423890716E-3</v>
      </c>
      <c r="K433" s="105">
        <f t="shared" ca="1" si="52"/>
        <v>0.14245625714279728</v>
      </c>
      <c r="L433" s="75"/>
    </row>
    <row r="434" spans="2:12">
      <c r="B434" s="101">
        <f t="shared" ca="1" si="53"/>
        <v>65473</v>
      </c>
      <c r="C434" s="101">
        <f t="shared" ca="1" si="54"/>
        <v>65502</v>
      </c>
      <c r="D434" s="102">
        <f t="shared" ca="1" si="48"/>
        <v>101.82888432580424</v>
      </c>
      <c r="E434" s="103">
        <f t="shared" ca="1" si="49"/>
        <v>0.59538098804069928</v>
      </c>
      <c r="F434" s="104">
        <f ca="1">IF($C$4="Hombre",(+VLOOKUP(INT(D434)+1,Tablas!$G$9:$K$1240,5,0)*(D434-INT(D434))+VLOOKUP(INT(D434),Tablas!$G$9:$K$1240,5,0)*(INT(D434)+1-D434))/(VLOOKUP(INT($C$5)+1,Tablas!$G$9:$K$1240,5,0)*($C$5-INT($C$5))+VLOOKUP(INT($C$5),Tablas!$G$9:$K$124,5,0)*(INT($C$5)+1-$C$5)),(+VLOOKUP(INT(D434)+1,Tablas!$G$9:$O$1240,9,0)*(D434-INT(D434))+VLOOKUP(INT(D434),Tablas!$G$9:$O$1240,9,0)*(INT(D434)+1-D434))/(VLOOKUP(INT($C$5)+1,Tablas!$G$9:$O$1240,9,0)*($C$5-INT($C$5))+VLOOKUP(INT($C$5),Tablas!$G$9:$O$124,9,0)*(INT($C$5)+1-$C$5)))</f>
        <v>0.13951168347362736</v>
      </c>
      <c r="G434" s="97">
        <f ca="1">IF($C$4="Hombre",(+VLOOKUP(INT(D434)+1,Tablas!$G$9:$K$1240,5,0)*(D434-INT(D434))+VLOOKUP(INT(D434),Tablas!$G$9:$K$1240,5,0)*(INT(D434)+1-D434)),+VLOOKUP(INT(D434)+1,Tablas!$G$9:$O$1240,9,0)*(D434-INT(D434))+VLOOKUP(INT(D434),Tablas!$G$9:$O$1240,9,0)*(INT(D434)+1-D434))</f>
        <v>128813.62921258355</v>
      </c>
      <c r="H434" s="105">
        <f t="shared" ca="1" si="50"/>
        <v>1</v>
      </c>
      <c r="I434" s="106">
        <f t="shared" ca="1" si="51"/>
        <v>6.921883662479129E-3</v>
      </c>
      <c r="J434" s="106">
        <f t="shared" ca="1" si="55"/>
        <v>5.9330431392678245E-3</v>
      </c>
      <c r="K434" s="105">
        <f t="shared" ca="1" si="52"/>
        <v>0.13951168347362736</v>
      </c>
      <c r="L434" s="75"/>
    </row>
    <row r="435" spans="2:12">
      <c r="B435" s="101">
        <f t="shared" ca="1" si="53"/>
        <v>65503</v>
      </c>
      <c r="C435" s="101">
        <f t="shared" ca="1" si="54"/>
        <v>65533</v>
      </c>
      <c r="D435" s="102">
        <f t="shared" ca="1" si="48"/>
        <v>101.91375770020534</v>
      </c>
      <c r="E435" s="103">
        <f t="shared" ca="1" si="49"/>
        <v>0.59462911192377088</v>
      </c>
      <c r="F435" s="104">
        <f ca="1">IF($C$4="Hombre",(+VLOOKUP(INT(D435)+1,Tablas!$G$9:$K$1240,5,0)*(D435-INT(D435))+VLOOKUP(INT(D435),Tablas!$G$9:$K$1240,5,0)*(INT(D435)+1-D435))/(VLOOKUP(INT($C$5)+1,Tablas!$G$9:$K$1240,5,0)*($C$5-INT($C$5))+VLOOKUP(INT($C$5),Tablas!$G$9:$K$124,5,0)*(INT($C$5)+1-$C$5)),(+VLOOKUP(INT(D435)+1,Tablas!$G$9:$O$1240,9,0)*(D435-INT(D435))+VLOOKUP(INT(D435),Tablas!$G$9:$O$1240,9,0)*(INT(D435)+1-D435))/(VLOOKUP(INT($C$5)+1,Tablas!$G$9:$O$1240,9,0)*($C$5-INT($C$5))+VLOOKUP(INT($C$5),Tablas!$G$9:$O$124,9,0)*(INT($C$5)+1-$C$5)))</f>
        <v>0.13646895734881806</v>
      </c>
      <c r="G435" s="97">
        <f ca="1">IF($C$4="Hombre",(+VLOOKUP(INT(D435)+1,Tablas!$G$9:$K$1240,5,0)*(D435-INT(D435))+VLOOKUP(INT(D435),Tablas!$G$9:$K$1240,5,0)*(INT(D435)+1-D435)),+VLOOKUP(INT(D435)+1,Tablas!$G$9:$O$1240,9,0)*(D435-INT(D435))+VLOOKUP(INT(D435),Tablas!$G$9:$O$1240,9,0)*(INT(D435)+1-D435))</f>
        <v>126004.22583447353</v>
      </c>
      <c r="H435" s="105">
        <f t="shared" ca="1" si="50"/>
        <v>1</v>
      </c>
      <c r="I435" s="106">
        <f t="shared" ca="1" si="51"/>
        <v>6.7623679094575536E-3</v>
      </c>
      <c r="J435" s="106">
        <f t="shared" ca="1" si="55"/>
        <v>1.1592630701927235E-2</v>
      </c>
      <c r="K435" s="105">
        <f t="shared" ca="1" si="52"/>
        <v>0.13646895734881806</v>
      </c>
      <c r="L435" s="75"/>
    </row>
    <row r="436" spans="2:12">
      <c r="B436" s="101">
        <f t="shared" ca="1" si="53"/>
        <v>65534</v>
      </c>
      <c r="C436" s="101">
        <f t="shared" ca="1" si="54"/>
        <v>65563</v>
      </c>
      <c r="D436" s="102">
        <f t="shared" ca="1" si="48"/>
        <v>101.99589322381931</v>
      </c>
      <c r="E436" s="103">
        <f t="shared" ca="1" si="49"/>
        <v>0.59390239394339128</v>
      </c>
      <c r="F436" s="104">
        <f ca="1">IF($C$4="Hombre",(+VLOOKUP(INT(D436)+1,Tablas!$G$9:$K$1240,5,0)*(D436-INT(D436))+VLOOKUP(INT(D436),Tablas!$G$9:$K$1240,5,0)*(INT(D436)+1-D436))/(VLOOKUP(INT($C$5)+1,Tablas!$G$9:$K$1240,5,0)*($C$5-INT($C$5))+VLOOKUP(INT($C$5),Tablas!$G$9:$K$124,5,0)*(INT($C$5)+1-$C$5)),(+VLOOKUP(INT(D436)+1,Tablas!$G$9:$O$1240,9,0)*(D436-INT(D436))+VLOOKUP(INT(D436),Tablas!$G$9:$O$1240,9,0)*(INT(D436)+1-D436))/(VLOOKUP(INT($C$5)+1,Tablas!$G$9:$O$1240,9,0)*($C$5-INT($C$5))+VLOOKUP(INT($C$5),Tablas!$G$9:$O$124,9,0)*(INT($C$5)+1-$C$5)))</f>
        <v>0.13352438367964761</v>
      </c>
      <c r="G436" s="97">
        <f ca="1">IF($C$4="Hombre",(+VLOOKUP(INT(D436)+1,Tablas!$G$9:$K$1240,5,0)*(D436-INT(D436))+VLOOKUP(INT(D436),Tablas!$G$9:$K$1240,5,0)*(INT(D436)+1-D436)),+VLOOKUP(INT(D436)+1,Tablas!$G$9:$O$1240,9,0)*(D436-INT(D436))+VLOOKUP(INT(D436),Tablas!$G$9:$O$1240,9,0)*(INT(D436)+1-D436))</f>
        <v>123285.44837178626</v>
      </c>
      <c r="H436" s="105">
        <f t="shared" ca="1" si="50"/>
        <v>1</v>
      </c>
      <c r="I436" s="106">
        <f t="shared" ca="1" si="51"/>
        <v>6.608370926429883E-3</v>
      </c>
      <c r="J436" s="106">
        <f t="shared" ca="1" si="55"/>
        <v>5.6643179369399001E-3</v>
      </c>
      <c r="K436" s="105">
        <f t="shared" ca="1" si="52"/>
        <v>0.13352438367964761</v>
      </c>
      <c r="L436" s="75"/>
    </row>
    <row r="437" spans="2:12">
      <c r="B437" s="101">
        <f t="shared" ca="1" si="53"/>
        <v>65564</v>
      </c>
      <c r="C437" s="101">
        <f t="shared" ca="1" si="54"/>
        <v>65594</v>
      </c>
      <c r="D437" s="102">
        <f t="shared" ca="1" si="48"/>
        <v>102.08076659822039</v>
      </c>
      <c r="E437" s="103">
        <f t="shared" ca="1" si="49"/>
        <v>0.59315238506712187</v>
      </c>
      <c r="F437" s="104">
        <f ca="1">IF($C$4="Hombre",(+VLOOKUP(INT(D437)+1,Tablas!$G$9:$K$1240,5,0)*(D437-INT(D437))+VLOOKUP(INT(D437),Tablas!$G$9:$K$1240,5,0)*(INT(D437)+1-D437))/(VLOOKUP(INT($C$5)+1,Tablas!$G$9:$K$1240,5,0)*($C$5-INT($C$5))+VLOOKUP(INT($C$5),Tablas!$G$9:$K$124,5,0)*(INT($C$5)+1-$C$5)),(+VLOOKUP(INT(D437)+1,Tablas!$G$9:$O$1240,9,0)*(D437-INT(D437))+VLOOKUP(INT(D437),Tablas!$G$9:$O$1240,9,0)*(INT(D437)+1-D437))/(VLOOKUP(INT($C$5)+1,Tablas!$G$9:$O$1240,9,0)*($C$5-INT($C$5))+VLOOKUP(INT($C$5),Tablas!$G$9:$O$124,9,0)*(INT($C$5)+1-$C$5)))</f>
        <v>0.13084195604609483</v>
      </c>
      <c r="G437" s="97">
        <f ca="1">IF($C$4="Hombre",(+VLOOKUP(INT(D437)+1,Tablas!$G$9:$K$1240,5,0)*(D437-INT(D437))+VLOOKUP(INT(D437),Tablas!$G$9:$K$1240,5,0)*(INT(D437)+1-D437)),+VLOOKUP(INT(D437)+1,Tablas!$G$9:$O$1240,9,0)*(D437-INT(D437))+VLOOKUP(INT(D437),Tablas!$G$9:$O$1240,9,0)*(INT(D437)+1-D437))</f>
        <v>120808.71502605629</v>
      </c>
      <c r="H437" s="105">
        <f t="shared" ca="1" si="50"/>
        <v>1</v>
      </c>
      <c r="I437" s="106">
        <f t="shared" ca="1" si="51"/>
        <v>6.467434857965723E-3</v>
      </c>
      <c r="J437" s="106">
        <f t="shared" ca="1" si="55"/>
        <v>5.5435155925420481E-3</v>
      </c>
      <c r="K437" s="105">
        <f t="shared" ca="1" si="52"/>
        <v>0.13084195604609483</v>
      </c>
      <c r="L437" s="75"/>
    </row>
    <row r="438" spans="2:12">
      <c r="B438" s="101">
        <f t="shared" ca="1" si="53"/>
        <v>65595</v>
      </c>
      <c r="C438" s="101">
        <f t="shared" ca="1" si="54"/>
        <v>65625</v>
      </c>
      <c r="D438" s="102">
        <f t="shared" ca="1" si="48"/>
        <v>102.16563997262149</v>
      </c>
      <c r="E438" s="103">
        <f t="shared" ca="1" si="49"/>
        <v>0.59240332333859946</v>
      </c>
      <c r="F438" s="104">
        <f ca="1">IF($C$4="Hombre",(+VLOOKUP(INT(D438)+1,Tablas!$G$9:$K$1240,5,0)*(D438-INT(D438))+VLOOKUP(INT(D438),Tablas!$G$9:$K$1240,5,0)*(INT(D438)+1-D438))/(VLOOKUP(INT($C$5)+1,Tablas!$G$9:$K$1240,5,0)*($C$5-INT($C$5))+VLOOKUP(INT($C$5),Tablas!$G$9:$K$124,5,0)*(INT($C$5)+1-$C$5)),(+VLOOKUP(INT(D438)+1,Tablas!$G$9:$O$1240,9,0)*(D438-INT(D438))+VLOOKUP(INT(D438),Tablas!$G$9:$O$1240,9,0)*(INT(D438)+1-D438))/(VLOOKUP(INT($C$5)+1,Tablas!$G$9:$O$1240,9,0)*($C$5-INT($C$5))+VLOOKUP(INT($C$5),Tablas!$G$9:$O$124,9,0)*(INT($C$5)+1-$C$5)))</f>
        <v>0.12817784867480883</v>
      </c>
      <c r="G438" s="97">
        <f ca="1">IF($C$4="Hombre",(+VLOOKUP(INT(D438)+1,Tablas!$G$9:$K$1240,5,0)*(D438-INT(D438))+VLOOKUP(INT(D438),Tablas!$G$9:$K$1240,5,0)*(INT(D438)+1-D438)),+VLOOKUP(INT(D438)+1,Tablas!$G$9:$O$1240,9,0)*(D438-INT(D438))+VLOOKUP(INT(D438),Tablas!$G$9:$O$1240,9,0)*(INT(D438)+1-D438))</f>
        <v>118348.89710570114</v>
      </c>
      <c r="H438" s="105">
        <f t="shared" ca="1" si="50"/>
        <v>1</v>
      </c>
      <c r="I438" s="106">
        <f t="shared" ca="1" si="51"/>
        <v>6.3277486277790703E-3</v>
      </c>
      <c r="J438" s="106">
        <f t="shared" ca="1" si="55"/>
        <v>5.4237845380963462E-3</v>
      </c>
      <c r="K438" s="105">
        <f t="shared" ca="1" si="52"/>
        <v>0.12817784867480883</v>
      </c>
      <c r="L438" s="75"/>
    </row>
    <row r="439" spans="2:12">
      <c r="B439" s="101">
        <f t="shared" ca="1" si="53"/>
        <v>65626</v>
      </c>
      <c r="C439" s="101">
        <f t="shared" ca="1" si="54"/>
        <v>65655</v>
      </c>
      <c r="D439" s="102">
        <f t="shared" ca="1" si="48"/>
        <v>102.24777549623545</v>
      </c>
      <c r="E439" s="103">
        <f t="shared" ca="1" si="49"/>
        <v>0.59167932557583625</v>
      </c>
      <c r="F439" s="104">
        <f ca="1">IF($C$4="Hombre",(+VLOOKUP(INT(D439)+1,Tablas!$G$9:$K$1240,5,0)*(D439-INT(D439))+VLOOKUP(INT(D439),Tablas!$G$9:$K$1240,5,0)*(INT(D439)+1-D439))/(VLOOKUP(INT($C$5)+1,Tablas!$G$9:$K$1240,5,0)*($C$5-INT($C$5))+VLOOKUP(INT($C$5),Tablas!$G$9:$K$124,5,0)*(INT($C$5)+1-$C$5)),(+VLOOKUP(INT(D439)+1,Tablas!$G$9:$O$1240,9,0)*(D439-INT(D439))+VLOOKUP(INT(D439),Tablas!$G$9:$O$1240,9,0)*(INT(D439)+1-D439))/(VLOOKUP(INT($C$5)+1,Tablas!$G$9:$O$1240,9,0)*($C$5-INT($C$5))+VLOOKUP(INT($C$5),Tablas!$G$9:$O$124,9,0)*(INT($C$5)+1-$C$5)))</f>
        <v>0.12559968025098397</v>
      </c>
      <c r="G439" s="97">
        <f ca="1">IF($C$4="Hombre",(+VLOOKUP(INT(D439)+1,Tablas!$G$9:$K$1240,5,0)*(D439-INT(D439))+VLOOKUP(INT(D439),Tablas!$G$9:$K$1240,5,0)*(INT(D439)+1-D439)),+VLOOKUP(INT(D439)+1,Tablas!$G$9:$O$1240,9,0)*(D439-INT(D439))+VLOOKUP(INT(D439),Tablas!$G$9:$O$1240,9,0)*(INT(D439)+1-D439))</f>
        <v>115968.428150519</v>
      </c>
      <c r="H439" s="105">
        <f t="shared" ca="1" si="50"/>
        <v>1</v>
      </c>
      <c r="I439" s="106">
        <f t="shared" ca="1" si="51"/>
        <v>6.1928945086202397E-3</v>
      </c>
      <c r="J439" s="106">
        <f t="shared" ca="1" si="55"/>
        <v>5.3081952931030626E-3</v>
      </c>
      <c r="K439" s="105">
        <f t="shared" ca="1" si="52"/>
        <v>0.12559968025098397</v>
      </c>
      <c r="L439" s="75"/>
    </row>
    <row r="440" spans="2:12">
      <c r="B440" s="101">
        <f t="shared" ca="1" si="53"/>
        <v>65656</v>
      </c>
      <c r="C440" s="101">
        <f t="shared" ca="1" si="54"/>
        <v>65686</v>
      </c>
      <c r="D440" s="102">
        <f t="shared" ca="1" si="48"/>
        <v>102.33264887063655</v>
      </c>
      <c r="E440" s="103">
        <f t="shared" ca="1" si="49"/>
        <v>0.59093212409860274</v>
      </c>
      <c r="F440" s="104">
        <f ca="1">IF($C$4="Hombre",(+VLOOKUP(INT(D440)+1,Tablas!$G$9:$K$1240,5,0)*(D440-INT(D440))+VLOOKUP(INT(D440),Tablas!$G$9:$K$1240,5,0)*(INT(D440)+1-D440))/(VLOOKUP(INT($C$5)+1,Tablas!$G$9:$K$1240,5,0)*($C$5-INT($C$5))+VLOOKUP(INT($C$5),Tablas!$G$9:$K$124,5,0)*(INT($C$5)+1-$C$5)),(+VLOOKUP(INT(D440)+1,Tablas!$G$9:$O$1240,9,0)*(D440-INT(D440))+VLOOKUP(INT(D440),Tablas!$G$9:$O$1240,9,0)*(INT(D440)+1-D440))/(VLOOKUP(INT($C$5)+1,Tablas!$G$9:$O$1240,9,0)*($C$5-INT($C$5))+VLOOKUP(INT($C$5),Tablas!$G$9:$O$124,9,0)*(INT($C$5)+1-$C$5)))</f>
        <v>0.12293557287969796</v>
      </c>
      <c r="G440" s="97">
        <f ca="1">IF($C$4="Hombre",(+VLOOKUP(INT(D440)+1,Tablas!$G$9:$K$1240,5,0)*(D440-INT(D440))+VLOOKUP(INT(D440),Tablas!$G$9:$K$1240,5,0)*(INT(D440)+1-D440)),+VLOOKUP(INT(D440)+1,Tablas!$G$9:$O$1240,9,0)*(D440-INT(D440))+VLOOKUP(INT(D440),Tablas!$G$9:$O$1240,9,0)*(INT(D440)+1-D440))</f>
        <v>113508.61023016383</v>
      </c>
      <c r="H440" s="105">
        <f t="shared" ca="1" si="50"/>
        <v>1</v>
      </c>
      <c r="I440" s="106">
        <f t="shared" ca="1" si="51"/>
        <v>6.0538816007565414E-3</v>
      </c>
      <c r="J440" s="106">
        <f t="shared" ca="1" si="55"/>
        <v>5.1890413720770351E-3</v>
      </c>
      <c r="K440" s="105">
        <f t="shared" ca="1" si="52"/>
        <v>0.12293557287969796</v>
      </c>
      <c r="L440" s="75"/>
    </row>
    <row r="441" spans="2:12">
      <c r="B441" s="101">
        <f t="shared" ca="1" si="53"/>
        <v>65687</v>
      </c>
      <c r="C441" s="101">
        <f t="shared" ca="1" si="54"/>
        <v>65716</v>
      </c>
      <c r="D441" s="102">
        <f t="shared" ca="1" si="48"/>
        <v>102.41478439425052</v>
      </c>
      <c r="E441" s="103">
        <f t="shared" ca="1" si="49"/>
        <v>0.5902099243422253</v>
      </c>
      <c r="F441" s="104">
        <f ca="1">IF($C$4="Hombre",(+VLOOKUP(INT(D441)+1,Tablas!$G$9:$K$1240,5,0)*(D441-INT(D441))+VLOOKUP(INT(D441),Tablas!$G$9:$K$1240,5,0)*(INT(D441)+1-D441))/(VLOOKUP(INT($C$5)+1,Tablas!$G$9:$K$1240,5,0)*($C$5-INT($C$5))+VLOOKUP(INT($C$5),Tablas!$G$9:$K$124,5,0)*(INT($C$5)+1-$C$5)),(+VLOOKUP(INT(D441)+1,Tablas!$G$9:$O$1240,9,0)*(D441-INT(D441))+VLOOKUP(INT(D441),Tablas!$G$9:$O$1240,9,0)*(INT(D441)+1-D441))/(VLOOKUP(INT($C$5)+1,Tablas!$G$9:$O$1240,9,0)*($C$5-INT($C$5))+VLOOKUP(INT($C$5),Tablas!$G$9:$O$124,9,0)*(INT($C$5)+1-$C$5)))</f>
        <v>0.12035740445587266</v>
      </c>
      <c r="G441" s="97">
        <f ca="1">IF($C$4="Hombre",(+VLOOKUP(INT(D441)+1,Tablas!$G$9:$K$1240,5,0)*(D441-INT(D441))+VLOOKUP(INT(D441),Tablas!$G$9:$K$1240,5,0)*(INT(D441)+1-D441)),+VLOOKUP(INT(D441)+1,Tablas!$G$9:$O$1240,9,0)*(D441-INT(D441))+VLOOKUP(INT(D441),Tablas!$G$9:$O$1240,9,0)*(INT(D441)+1-D441))</f>
        <v>111128.14127498129</v>
      </c>
      <c r="H441" s="105">
        <f t="shared" ca="1" si="50"/>
        <v>1</v>
      </c>
      <c r="I441" s="106">
        <f t="shared" ca="1" si="51"/>
        <v>5.9196778814939342E-3</v>
      </c>
      <c r="J441" s="106">
        <f t="shared" ca="1" si="55"/>
        <v>1.0148019225418173E-2</v>
      </c>
      <c r="K441" s="105">
        <f t="shared" ca="1" si="52"/>
        <v>0.12035740445587266</v>
      </c>
      <c r="L441" s="75"/>
    </row>
    <row r="442" spans="2:12">
      <c r="B442" s="101">
        <f t="shared" ca="1" si="53"/>
        <v>65717</v>
      </c>
      <c r="C442" s="101">
        <f t="shared" ca="1" si="54"/>
        <v>65747</v>
      </c>
      <c r="D442" s="102">
        <f t="shared" ca="1" si="48"/>
        <v>102.4996577686516</v>
      </c>
      <c r="E442" s="103">
        <f t="shared" ca="1" si="49"/>
        <v>0.58946457849645451</v>
      </c>
      <c r="F442" s="104">
        <f ca="1">IF($C$4="Hombre",(+VLOOKUP(INT(D442)+1,Tablas!$G$9:$K$1240,5,0)*(D442-INT(D442))+VLOOKUP(INT(D442),Tablas!$G$9:$K$1240,5,0)*(INT(D442)+1-D442))/(VLOOKUP(INT($C$5)+1,Tablas!$G$9:$K$1240,5,0)*($C$5-INT($C$5))+VLOOKUP(INT($C$5),Tablas!$G$9:$K$124,5,0)*(INT($C$5)+1-$C$5)),(+VLOOKUP(INT(D442)+1,Tablas!$G$9:$O$1240,9,0)*(D442-INT(D442))+VLOOKUP(INT(D442),Tablas!$G$9:$O$1240,9,0)*(INT(D442)+1-D442))/(VLOOKUP(INT($C$5)+1,Tablas!$G$9:$O$1240,9,0)*($C$5-INT($C$5))+VLOOKUP(INT($C$5),Tablas!$G$9:$O$124,9,0)*(INT($C$5)+1-$C$5)))</f>
        <v>0.11769329708458712</v>
      </c>
      <c r="G442" s="97">
        <f ca="1">IF($C$4="Hombre",(+VLOOKUP(INT(D442)+1,Tablas!$G$9:$K$1240,5,0)*(D442-INT(D442))+VLOOKUP(INT(D442),Tablas!$G$9:$K$1240,5,0)*(INT(D442)+1-D442)),+VLOOKUP(INT(D442)+1,Tablas!$G$9:$O$1240,9,0)*(D442-INT(D442))+VLOOKUP(INT(D442),Tablas!$G$9:$O$1240,9,0)*(INT(D442)+1-D442))</f>
        <v>108668.32335462654</v>
      </c>
      <c r="H442" s="105">
        <f t="shared" ca="1" si="50"/>
        <v>1</v>
      </c>
      <c r="I442" s="106">
        <f t="shared" ca="1" si="51"/>
        <v>5.7813358131520113E-3</v>
      </c>
      <c r="J442" s="106">
        <f t="shared" ca="1" si="55"/>
        <v>4.9554306969874385E-3</v>
      </c>
      <c r="K442" s="105">
        <f t="shared" ca="1" si="52"/>
        <v>0.11769329708458712</v>
      </c>
      <c r="L442" s="75"/>
    </row>
    <row r="443" spans="2:12">
      <c r="B443" s="101">
        <f t="shared" ca="1" si="53"/>
        <v>65748</v>
      </c>
      <c r="C443" s="101">
        <f t="shared" ca="1" si="54"/>
        <v>65778</v>
      </c>
      <c r="D443" s="102">
        <f t="shared" ca="1" si="48"/>
        <v>102.5845311430527</v>
      </c>
      <c r="E443" s="103">
        <f t="shared" ca="1" si="49"/>
        <v>0.58872017390972886</v>
      </c>
      <c r="F443" s="104">
        <f ca="1">IF($C$4="Hombre",(+VLOOKUP(INT(D443)+1,Tablas!$G$9:$K$1240,5,0)*(D443-INT(D443))+VLOOKUP(INT(D443),Tablas!$G$9:$K$1240,5,0)*(INT(D443)+1-D443))/(VLOOKUP(INT($C$5)+1,Tablas!$G$9:$K$1240,5,0)*($C$5-INT($C$5))+VLOOKUP(INT($C$5),Tablas!$G$9:$K$124,5,0)*(INT($C$5)+1-$C$5)),(+VLOOKUP(INT(D443)+1,Tablas!$G$9:$O$1240,9,0)*(D443-INT(D443))+VLOOKUP(INT(D443),Tablas!$G$9:$O$1240,9,0)*(INT(D443)+1-D443))/(VLOOKUP(INT($C$5)+1,Tablas!$G$9:$O$1240,9,0)*($C$5-INT($C$5))+VLOOKUP(INT($C$5),Tablas!$G$9:$O$124,9,0)*(INT($C$5)+1-$C$5)))</f>
        <v>0.11502918971330112</v>
      </c>
      <c r="G443" s="97">
        <f ca="1">IF($C$4="Hombre",(+VLOOKUP(INT(D443)+1,Tablas!$G$9:$K$1240,5,0)*(D443-INT(D443))+VLOOKUP(INT(D443),Tablas!$G$9:$K$1240,5,0)*(INT(D443)+1-D443)),+VLOOKUP(INT(D443)+1,Tablas!$G$9:$O$1240,9,0)*(D443-INT(D443))+VLOOKUP(INT(D443),Tablas!$G$9:$O$1240,9,0)*(INT(D443)+1-D443))</f>
        <v>106208.50543427138</v>
      </c>
      <c r="H443" s="105">
        <f t="shared" ca="1" si="50"/>
        <v>1</v>
      </c>
      <c r="I443" s="106">
        <f t="shared" ca="1" si="51"/>
        <v>5.6433337143924856E-3</v>
      </c>
      <c r="J443" s="106">
        <f t="shared" ca="1" si="55"/>
        <v>4.8371431837649871E-3</v>
      </c>
      <c r="K443" s="105">
        <f t="shared" ca="1" si="52"/>
        <v>0.11502918971330112</v>
      </c>
      <c r="L443" s="75"/>
    </row>
    <row r="444" spans="2:12">
      <c r="B444" s="101">
        <f t="shared" ca="1" si="53"/>
        <v>65779</v>
      </c>
      <c r="C444" s="101">
        <f t="shared" ca="1" si="54"/>
        <v>65807</v>
      </c>
      <c r="D444" s="102">
        <f t="shared" ca="1" si="48"/>
        <v>102.66392881587953</v>
      </c>
      <c r="E444" s="103">
        <f t="shared" ca="1" si="49"/>
        <v>0.58802464650075992</v>
      </c>
      <c r="F444" s="104">
        <f ca="1">IF($C$4="Hombre",(+VLOOKUP(INT(D444)+1,Tablas!$G$9:$K$1240,5,0)*(D444-INT(D444))+VLOOKUP(INT(D444),Tablas!$G$9:$K$1240,5,0)*(INT(D444)+1-D444))/(VLOOKUP(INT($C$5)+1,Tablas!$G$9:$K$1240,5,0)*($C$5-INT($C$5))+VLOOKUP(INT($C$5),Tablas!$G$9:$K$124,5,0)*(INT($C$5)+1-$C$5)),(+VLOOKUP(INT(D444)+1,Tablas!$G$9:$O$1240,9,0)*(D444-INT(D444))+VLOOKUP(INT(D444),Tablas!$G$9:$O$1240,9,0)*(INT(D444)+1-D444))/(VLOOKUP(INT($C$5)+1,Tablas!$G$9:$O$1240,9,0)*($C$5-INT($C$5))+VLOOKUP(INT($C$5),Tablas!$G$9:$O$124,9,0)*(INT($C$5)+1-$C$5)))</f>
        <v>0.11253696023693695</v>
      </c>
      <c r="G444" s="97">
        <f ca="1">IF($C$4="Hombre",(+VLOOKUP(INT(D444)+1,Tablas!$G$9:$K$1240,5,0)*(D444-INT(D444))+VLOOKUP(INT(D444),Tablas!$G$9:$K$1240,5,0)*(INT(D444)+1-D444)),+VLOOKUP(INT(D444)+1,Tablas!$G$9:$O$1240,9,0)*(D444-INT(D444))+VLOOKUP(INT(D444),Tablas!$G$9:$O$1240,9,0)*(INT(D444)+1-D444))</f>
        <v>103907.38544426186</v>
      </c>
      <c r="H444" s="105">
        <f t="shared" ca="1" si="50"/>
        <v>1</v>
      </c>
      <c r="I444" s="106">
        <f t="shared" ca="1" si="51"/>
        <v>5.5145421884662434E-3</v>
      </c>
      <c r="J444" s="106">
        <f t="shared" ca="1" si="55"/>
        <v>4.7267504472567803E-3</v>
      </c>
      <c r="K444" s="105">
        <f t="shared" ca="1" si="52"/>
        <v>0.11253696023693695</v>
      </c>
      <c r="L444" s="75"/>
    </row>
    <row r="445" spans="2:12">
      <c r="B445" s="101">
        <f t="shared" ca="1" si="53"/>
        <v>65808</v>
      </c>
      <c r="C445" s="101">
        <f t="shared" ca="1" si="54"/>
        <v>65838</v>
      </c>
      <c r="D445" s="102">
        <f t="shared" ca="1" si="48"/>
        <v>102.74880219028063</v>
      </c>
      <c r="E445" s="103">
        <f t="shared" ca="1" si="49"/>
        <v>0.58728206033030761</v>
      </c>
      <c r="F445" s="104">
        <f ca="1">IF($C$4="Hombre",(+VLOOKUP(INT(D445)+1,Tablas!$G$9:$K$1240,5,0)*(D445-INT(D445))+VLOOKUP(INT(D445),Tablas!$G$9:$K$1240,5,0)*(INT(D445)+1-D445))/(VLOOKUP(INT($C$5)+1,Tablas!$G$9:$K$1240,5,0)*($C$5-INT($C$5))+VLOOKUP(INT($C$5),Tablas!$G$9:$K$124,5,0)*(INT($C$5)+1-$C$5)),(+VLOOKUP(INT(D445)+1,Tablas!$G$9:$O$1240,9,0)*(D445-INT(D445))+VLOOKUP(INT(D445),Tablas!$G$9:$O$1240,9,0)*(INT(D445)+1-D445))/(VLOOKUP(INT($C$5)+1,Tablas!$G$9:$O$1240,9,0)*($C$5-INT($C$5))+VLOOKUP(INT($C$5),Tablas!$G$9:$O$124,9,0)*(INT($C$5)+1-$C$5)))</f>
        <v>0.10987285286565096</v>
      </c>
      <c r="G445" s="97">
        <f ca="1">IF($C$4="Hombre",(+VLOOKUP(INT(D445)+1,Tablas!$G$9:$K$1240,5,0)*(D445-INT(D445))+VLOOKUP(INT(D445),Tablas!$G$9:$K$1240,5,0)*(INT(D445)+1-D445)),+VLOOKUP(INT(D445)+1,Tablas!$G$9:$O$1240,9,0)*(D445-INT(D445))+VLOOKUP(INT(D445),Tablas!$G$9:$O$1240,9,0)*(INT(D445)+1-D445))</f>
        <v>101447.56752390671</v>
      </c>
      <c r="H445" s="105">
        <f t="shared" ca="1" si="50"/>
        <v>1</v>
      </c>
      <c r="I445" s="106">
        <f t="shared" ca="1" si="51"/>
        <v>5.377196283775686E-3</v>
      </c>
      <c r="J445" s="106">
        <f t="shared" ca="1" si="55"/>
        <v>4.6090253860934455E-3</v>
      </c>
      <c r="K445" s="105">
        <f t="shared" ca="1" si="52"/>
        <v>0.10987285286565096</v>
      </c>
      <c r="L445" s="75"/>
    </row>
    <row r="446" spans="2:12">
      <c r="B446" s="101">
        <f t="shared" ca="1" si="53"/>
        <v>65839</v>
      </c>
      <c r="C446" s="101">
        <f t="shared" ca="1" si="54"/>
        <v>65868</v>
      </c>
      <c r="D446" s="102">
        <f t="shared" ca="1" si="48"/>
        <v>102.8309377138946</v>
      </c>
      <c r="E446" s="103">
        <f t="shared" ca="1" si="49"/>
        <v>0.58656432145032655</v>
      </c>
      <c r="F446" s="104">
        <f ca="1">IF($C$4="Hombre",(+VLOOKUP(INT(D446)+1,Tablas!$G$9:$K$1240,5,0)*(D446-INT(D446))+VLOOKUP(INT(D446),Tablas!$G$9:$K$1240,5,0)*(INT(D446)+1-D446))/(VLOOKUP(INT($C$5)+1,Tablas!$G$9:$K$1240,5,0)*($C$5-INT($C$5))+VLOOKUP(INT($C$5),Tablas!$G$9:$K$124,5,0)*(INT($C$5)+1-$C$5)),(+VLOOKUP(INT(D446)+1,Tablas!$G$9:$O$1240,9,0)*(D446-INT(D446))+VLOOKUP(INT(D446),Tablas!$G$9:$O$1240,9,0)*(INT(D446)+1-D446))/(VLOOKUP(INT($C$5)+1,Tablas!$G$9:$O$1240,9,0)*($C$5-INT($C$5))+VLOOKUP(INT($C$5),Tablas!$G$9:$O$124,9,0)*(INT($C$5)+1-$C$5)))</f>
        <v>0.10729468444182563</v>
      </c>
      <c r="G446" s="97">
        <f ca="1">IF($C$4="Hombre",(+VLOOKUP(INT(D446)+1,Tablas!$G$9:$K$1240,5,0)*(D446-INT(D446))+VLOOKUP(INT(D446),Tablas!$G$9:$K$1240,5,0)*(INT(D446)+1-D446)),+VLOOKUP(INT(D446)+1,Tablas!$G$9:$O$1240,9,0)*(D446-INT(D446))+VLOOKUP(INT(D446),Tablas!$G$9:$O$1240,9,0)*(INT(D446)+1-D446))</f>
        <v>99067.098568724148</v>
      </c>
      <c r="H446" s="105">
        <f t="shared" ca="1" si="50"/>
        <v>1</v>
      </c>
      <c r="I446" s="106">
        <f t="shared" ca="1" si="51"/>
        <v>5.2446028145705301E-3</v>
      </c>
      <c r="J446" s="106">
        <f t="shared" ca="1" si="55"/>
        <v>4.4953738410604543E-3</v>
      </c>
      <c r="K446" s="105">
        <f t="shared" ca="1" si="52"/>
        <v>0.10729468444182563</v>
      </c>
      <c r="L446" s="75"/>
    </row>
    <row r="447" spans="2:12">
      <c r="B447" s="101">
        <f t="shared" ca="1" si="53"/>
        <v>65869</v>
      </c>
      <c r="C447" s="101">
        <f t="shared" ca="1" si="54"/>
        <v>65899</v>
      </c>
      <c r="D447" s="102">
        <f t="shared" ca="1" si="48"/>
        <v>102.91581108829568</v>
      </c>
      <c r="E447" s="103">
        <f t="shared" ca="1" si="49"/>
        <v>0.58582357944949093</v>
      </c>
      <c r="F447" s="104">
        <f ca="1">IF($C$4="Hombre",(+VLOOKUP(INT(D447)+1,Tablas!$G$9:$K$1240,5,0)*(D447-INT(D447))+VLOOKUP(INT(D447),Tablas!$G$9:$K$1240,5,0)*(INT(D447)+1-D447))/(VLOOKUP(INT($C$5)+1,Tablas!$G$9:$K$1240,5,0)*($C$5-INT($C$5))+VLOOKUP(INT($C$5),Tablas!$G$9:$K$124,5,0)*(INT($C$5)+1-$C$5)),(+VLOOKUP(INT(D447)+1,Tablas!$G$9:$O$1240,9,0)*(D447-INT(D447))+VLOOKUP(INT(D447),Tablas!$G$9:$O$1240,9,0)*(INT(D447)+1-D447))/(VLOOKUP(INT($C$5)+1,Tablas!$G$9:$O$1240,9,0)*($C$5-INT($C$5))+VLOOKUP(INT($C$5),Tablas!$G$9:$O$124,9,0)*(INT($C$5)+1-$C$5)))</f>
        <v>0.10463057707054009</v>
      </c>
      <c r="G447" s="97">
        <f ca="1">IF($C$4="Hombre",(+VLOOKUP(INT(D447)+1,Tablas!$G$9:$K$1240,5,0)*(D447-INT(D447))+VLOOKUP(INT(D447),Tablas!$G$9:$K$1240,5,0)*(INT(D447)+1-D447)),+VLOOKUP(INT(D447)+1,Tablas!$G$9:$O$1240,9,0)*(D447-INT(D447))+VLOOKUP(INT(D447),Tablas!$G$9:$O$1240,9,0)*(INT(D447)+1-D447))</f>
        <v>96607.2806483694</v>
      </c>
      <c r="H447" s="105">
        <f t="shared" ca="1" si="50"/>
        <v>1</v>
      </c>
      <c r="I447" s="106">
        <f t="shared" ca="1" si="51"/>
        <v>5.107921598277468E-3</v>
      </c>
      <c r="J447" s="106">
        <f t="shared" ca="1" si="55"/>
        <v>8.7564370256185166E-3</v>
      </c>
      <c r="K447" s="105">
        <f t="shared" ca="1" si="52"/>
        <v>0.10463057707054009</v>
      </c>
      <c r="L447" s="75"/>
    </row>
    <row r="448" spans="2:12">
      <c r="B448" s="101">
        <f t="shared" ca="1" si="53"/>
        <v>65900</v>
      </c>
      <c r="C448" s="101">
        <f t="shared" ca="1" si="54"/>
        <v>65929</v>
      </c>
      <c r="D448" s="102">
        <f t="shared" ca="1" si="48"/>
        <v>102.99794661190965</v>
      </c>
      <c r="E448" s="103">
        <f t="shared" ca="1" si="49"/>
        <v>0.58510762303232378</v>
      </c>
      <c r="F448" s="104">
        <f ca="1">IF($C$4="Hombre",(+VLOOKUP(INT(D448)+1,Tablas!$G$9:$K$1240,5,0)*(D448-INT(D448))+VLOOKUP(INT(D448),Tablas!$G$9:$K$1240,5,0)*(INT(D448)+1-D448))/(VLOOKUP(INT($C$5)+1,Tablas!$G$9:$K$1240,5,0)*($C$5-INT($C$5))+VLOOKUP(INT($C$5),Tablas!$G$9:$K$124,5,0)*(INT($C$5)+1-$C$5)),(+VLOOKUP(INT(D448)+1,Tablas!$G$9:$O$1240,9,0)*(D448-INT(D448))+VLOOKUP(INT(D448),Tablas!$G$9:$O$1240,9,0)*(INT(D448)+1-D448))/(VLOOKUP(INT($C$5)+1,Tablas!$G$9:$O$1240,9,0)*($C$5-INT($C$5))+VLOOKUP(INT($C$5),Tablas!$G$9:$O$124,9,0)*(INT($C$5)+1-$C$5)))</f>
        <v>0.10205240864671478</v>
      </c>
      <c r="G448" s="97">
        <f ca="1">IF($C$4="Hombre",(+VLOOKUP(INT(D448)+1,Tablas!$G$9:$K$1240,5,0)*(D448-INT(D448))+VLOOKUP(INT(D448),Tablas!$G$9:$K$1240,5,0)*(INT(D448)+1-D448)),+VLOOKUP(INT(D448)+1,Tablas!$G$9:$O$1240,9,0)*(D448-INT(D448))+VLOOKUP(INT(D448),Tablas!$G$9:$O$1240,9,0)*(INT(D448)+1-D448))</f>
        <v>94226.811693186857</v>
      </c>
      <c r="H448" s="105">
        <f t="shared" ca="1" si="50"/>
        <v>1</v>
      </c>
      <c r="I448" s="106">
        <f t="shared" ca="1" si="51"/>
        <v>4.9759701873335538E-3</v>
      </c>
      <c r="J448" s="106">
        <f t="shared" ca="1" si="55"/>
        <v>4.2651173034287601E-3</v>
      </c>
      <c r="K448" s="105">
        <f t="shared" ca="1" si="52"/>
        <v>0.10205240864671478</v>
      </c>
      <c r="L448" s="75"/>
    </row>
    <row r="449" spans="2:12">
      <c r="B449" s="101">
        <f t="shared" ca="1" si="53"/>
        <v>65930</v>
      </c>
      <c r="C449" s="101">
        <f t="shared" ca="1" si="54"/>
        <v>65960</v>
      </c>
      <c r="D449" s="102">
        <f t="shared" ca="1" si="48"/>
        <v>103.08281998631075</v>
      </c>
      <c r="E449" s="103">
        <f t="shared" ca="1" si="49"/>
        <v>0.58436872062121636</v>
      </c>
      <c r="F449" s="104">
        <f ca="1">IF($C$4="Hombre",(+VLOOKUP(INT(D449)+1,Tablas!$G$9:$K$1240,5,0)*(D449-INT(D449))+VLOOKUP(INT(D449),Tablas!$G$9:$K$1240,5,0)*(INT(D449)+1-D449))/(VLOOKUP(INT($C$5)+1,Tablas!$G$9:$K$1240,5,0)*($C$5-INT($C$5))+VLOOKUP(INT($C$5),Tablas!$G$9:$K$124,5,0)*(INT($C$5)+1-$C$5)),(+VLOOKUP(INT(D449)+1,Tablas!$G$9:$O$1240,9,0)*(D449-INT(D449))+VLOOKUP(INT(D449),Tablas!$G$9:$O$1240,9,0)*(INT(D449)+1-D449))/(VLOOKUP(INT($C$5)+1,Tablas!$G$9:$O$1240,9,0)*($C$5-INT($C$5))+VLOOKUP(INT($C$5),Tablas!$G$9:$O$124,9,0)*(INT($C$5)+1-$C$5)))</f>
        <v>9.9775387416156866E-2</v>
      </c>
      <c r="G449" s="97">
        <f ca="1">IF($C$4="Hombre",(+VLOOKUP(INT(D449)+1,Tablas!$G$9:$K$1240,5,0)*(D449-INT(D449))+VLOOKUP(INT(D449),Tablas!$G$9:$K$1240,5,0)*(INT(D449)+1-D449)),+VLOOKUP(INT(D449)+1,Tablas!$G$9:$O$1240,9,0)*(D449-INT(D449))+VLOOKUP(INT(D449),Tablas!$G$9:$O$1240,9,0)*(INT(D449)+1-D449))</f>
        <v>92124.397320431366</v>
      </c>
      <c r="H449" s="105">
        <f t="shared" ca="1" si="50"/>
        <v>1</v>
      </c>
      <c r="I449" s="106">
        <f t="shared" ca="1" si="51"/>
        <v>4.8588012911554828E-3</v>
      </c>
      <c r="J449" s="106">
        <f t="shared" ca="1" si="55"/>
        <v>4.1646868209904136E-3</v>
      </c>
      <c r="K449" s="105">
        <f t="shared" ca="1" si="52"/>
        <v>9.9775387416156866E-2</v>
      </c>
      <c r="L449" s="75"/>
    </row>
    <row r="450" spans="2:12">
      <c r="B450" s="101">
        <f t="shared" ca="1" si="53"/>
        <v>65961</v>
      </c>
      <c r="C450" s="101">
        <f t="shared" ca="1" si="54"/>
        <v>65991</v>
      </c>
      <c r="D450" s="102">
        <f t="shared" ca="1" si="48"/>
        <v>103.16769336071184</v>
      </c>
      <c r="E450" s="103">
        <f t="shared" ca="1" si="49"/>
        <v>0.58363075133207098</v>
      </c>
      <c r="F450" s="104">
        <f ca="1">IF($C$4="Hombre",(+VLOOKUP(INT(D450)+1,Tablas!$G$9:$K$1240,5,0)*(D450-INT(D450))+VLOOKUP(INT(D450),Tablas!$G$9:$K$1240,5,0)*(INT(D450)+1-D450))/(VLOOKUP(INT($C$5)+1,Tablas!$G$9:$K$1240,5,0)*($C$5-INT($C$5))+VLOOKUP(INT($C$5),Tablas!$G$9:$K$124,5,0)*(INT($C$5)+1-$C$5)),(+VLOOKUP(INT(D450)+1,Tablas!$G$9:$O$1240,9,0)*(D450-INT(D450))+VLOOKUP(INT(D450),Tablas!$G$9:$O$1240,9,0)*(INT(D450)+1-D450))/(VLOOKUP(INT($C$5)+1,Tablas!$G$9:$O$1240,9,0)*($C$5-INT($C$5))+VLOOKUP(INT($C$5),Tablas!$G$9:$O$124,9,0)*(INT($C$5)+1-$C$5)))</f>
        <v>9.7507963362642142E-2</v>
      </c>
      <c r="G450" s="97">
        <f ca="1">IF($C$4="Hombre",(+VLOOKUP(INT(D450)+1,Tablas!$G$9:$K$1240,5,0)*(D450-INT(D450))+VLOOKUP(INT(D450),Tablas!$G$9:$K$1240,5,0)*(INT(D450)+1-D450)),+VLOOKUP(INT(D450)+1,Tablas!$G$9:$O$1240,9,0)*(D450-INT(D450))+VLOOKUP(INT(D450),Tablas!$G$9:$O$1240,9,0)*(INT(D450)+1-D450))</f>
        <v>90030.844192658013</v>
      </c>
      <c r="H450" s="105">
        <f t="shared" ca="1" si="50"/>
        <v>1</v>
      </c>
      <c r="I450" s="106">
        <f t="shared" ca="1" si="51"/>
        <v>4.7423871598499066E-3</v>
      </c>
      <c r="J450" s="106">
        <f t="shared" ca="1" si="55"/>
        <v>4.0649032798713482E-3</v>
      </c>
      <c r="K450" s="105">
        <f t="shared" ca="1" si="52"/>
        <v>9.7507963362642142E-2</v>
      </c>
      <c r="L450" s="75"/>
    </row>
    <row r="451" spans="2:12">
      <c r="B451" s="101">
        <f t="shared" ca="1" si="53"/>
        <v>65992</v>
      </c>
      <c r="C451" s="101">
        <f t="shared" ca="1" si="54"/>
        <v>66021</v>
      </c>
      <c r="D451" s="102">
        <f t="shared" ca="1" si="48"/>
        <v>103.24982888432581</v>
      </c>
      <c r="E451" s="103">
        <f t="shared" ca="1" si="49"/>
        <v>0.58291747485032719</v>
      </c>
      <c r="F451" s="104">
        <f ca="1">IF($C$4="Hombre",(+VLOOKUP(INT(D451)+1,Tablas!$G$9:$K$1240,5,0)*(D451-INT(D451))+VLOOKUP(INT(D451),Tablas!$G$9:$K$1240,5,0)*(INT(D451)+1-D451))/(VLOOKUP(INT($C$5)+1,Tablas!$G$9:$K$1240,5,0)*($C$5-INT($C$5))+VLOOKUP(INT($C$5),Tablas!$G$9:$K$124,5,0)*(INT($C$5)+1-$C$5)),(+VLOOKUP(INT(D451)+1,Tablas!$G$9:$O$1240,9,0)*(D451-INT(D451))+VLOOKUP(INT(D451),Tablas!$G$9:$O$1240,9,0)*(INT(D451)+1-D451))/(VLOOKUP(INT($C$5)+1,Tablas!$G$9:$O$1240,9,0)*($C$5-INT($C$5))+VLOOKUP(INT($C$5),Tablas!$G$9:$O$124,9,0)*(INT($C$5)+1-$C$5)))</f>
        <v>9.5313682020530643E-2</v>
      </c>
      <c r="G451" s="97">
        <f ca="1">IF($C$4="Hombre",(+VLOOKUP(INT(D451)+1,Tablas!$G$9:$K$1240,5,0)*(D451-INT(D451))+VLOOKUP(INT(D451),Tablas!$G$9:$K$1240,5,0)*(INT(D451)+1-D451)),+VLOOKUP(INT(D451)+1,Tablas!$G$9:$O$1240,9,0)*(D451-INT(D451))+VLOOKUP(INT(D451),Tablas!$G$9:$O$1240,9,0)*(INT(D451)+1-D451))</f>
        <v>88004.825036747876</v>
      </c>
      <c r="H451" s="105">
        <f t="shared" ca="1" si="50"/>
        <v>1</v>
      </c>
      <c r="I451" s="106">
        <f t="shared" ca="1" si="51"/>
        <v>4.6300009035078965E-3</v>
      </c>
      <c r="J451" s="106">
        <f t="shared" ca="1" si="55"/>
        <v>3.9685722030067686E-3</v>
      </c>
      <c r="K451" s="105">
        <f t="shared" ca="1" si="52"/>
        <v>9.5313682020530643E-2</v>
      </c>
      <c r="L451" s="75"/>
    </row>
    <row r="452" spans="2:12">
      <c r="B452" s="101">
        <f t="shared" ca="1" si="53"/>
        <v>66022</v>
      </c>
      <c r="C452" s="101">
        <f t="shared" ca="1" si="54"/>
        <v>66052</v>
      </c>
      <c r="D452" s="102">
        <f t="shared" ca="1" si="48"/>
        <v>103.33470225872689</v>
      </c>
      <c r="E452" s="103">
        <f t="shared" ca="1" si="49"/>
        <v>0.58218133826504181</v>
      </c>
      <c r="F452" s="104">
        <f ca="1">IF($C$4="Hombre",(+VLOOKUP(INT(D452)+1,Tablas!$G$9:$K$1240,5,0)*(D452-INT(D452))+VLOOKUP(INT(D452),Tablas!$G$9:$K$1240,5,0)*(INT(D452)+1-D452))/(VLOOKUP(INT($C$5)+1,Tablas!$G$9:$K$1240,5,0)*($C$5-INT($C$5))+VLOOKUP(INT($C$5),Tablas!$G$9:$K$124,5,0)*(INT($C$5)+1-$C$5)),(+VLOOKUP(INT(D452)+1,Tablas!$G$9:$O$1240,9,0)*(D452-INT(D452))+VLOOKUP(INT(D452),Tablas!$G$9:$O$1240,9,0)*(INT(D452)+1-D452))/(VLOOKUP(INT($C$5)+1,Tablas!$G$9:$O$1240,9,0)*($C$5-INT($C$5))+VLOOKUP(INT($C$5),Tablas!$G$9:$O$124,9,0)*(INT($C$5)+1-$C$5)))</f>
        <v>9.3046257967015933E-2</v>
      </c>
      <c r="G452" s="97">
        <f ca="1">IF($C$4="Hombre",(+VLOOKUP(INT(D452)+1,Tablas!$G$9:$K$1240,5,0)*(D452-INT(D452))+VLOOKUP(INT(D452),Tablas!$G$9:$K$1240,5,0)*(INT(D452)+1-D452)),+VLOOKUP(INT(D452)+1,Tablas!$G$9:$O$1240,9,0)*(D452-INT(D452))+VLOOKUP(INT(D452),Tablas!$G$9:$O$1240,9,0)*(INT(D452)+1-D452))</f>
        <v>85911.271908974537</v>
      </c>
      <c r="H452" s="105">
        <f t="shared" ca="1" si="50"/>
        <v>1</v>
      </c>
      <c r="I452" s="106">
        <f t="shared" ca="1" si="51"/>
        <v>4.5141495819826368E-3</v>
      </c>
      <c r="J452" s="106">
        <f t="shared" ca="1" si="55"/>
        <v>3.8692710702708313E-3</v>
      </c>
      <c r="K452" s="105">
        <f t="shared" ca="1" si="52"/>
        <v>9.3046257967015933E-2</v>
      </c>
      <c r="L452" s="75"/>
    </row>
    <row r="453" spans="2:12">
      <c r="B453" s="101">
        <f t="shared" ca="1" si="53"/>
        <v>66053</v>
      </c>
      <c r="C453" s="101">
        <f t="shared" ca="1" si="54"/>
        <v>66082</v>
      </c>
      <c r="D453" s="102">
        <f t="shared" ca="1" si="48"/>
        <v>103.41683778234086</v>
      </c>
      <c r="E453" s="103">
        <f t="shared" ca="1" si="49"/>
        <v>0.58146983316400525</v>
      </c>
      <c r="F453" s="104">
        <f ca="1">IF($C$4="Hombre",(+VLOOKUP(INT(D453)+1,Tablas!$G$9:$K$1240,5,0)*(D453-INT(D453))+VLOOKUP(INT(D453),Tablas!$G$9:$K$1240,5,0)*(INT(D453)+1-D453))/(VLOOKUP(INT($C$5)+1,Tablas!$G$9:$K$1240,5,0)*($C$5-INT($C$5))+VLOOKUP(INT($C$5),Tablas!$G$9:$K$124,5,0)*(INT($C$5)+1-$C$5)),(+VLOOKUP(INT(D453)+1,Tablas!$G$9:$O$1240,9,0)*(D453-INT(D453))+VLOOKUP(INT(D453),Tablas!$G$9:$O$1240,9,0)*(INT(D453)+1-D453))/(VLOOKUP(INT($C$5)+1,Tablas!$G$9:$O$1240,9,0)*($C$5-INT($C$5))+VLOOKUP(INT($C$5),Tablas!$G$9:$O$124,9,0)*(INT($C$5)+1-$C$5)))</f>
        <v>9.0851976624904435E-2</v>
      </c>
      <c r="G453" s="97">
        <f ca="1">IF($C$4="Hombre",(+VLOOKUP(INT(D453)+1,Tablas!$G$9:$K$1240,5,0)*(D453-INT(D453))+VLOOKUP(INT(D453),Tablas!$G$9:$K$1240,5,0)*(INT(D453)+1-D453)),+VLOOKUP(INT(D453)+1,Tablas!$G$9:$O$1240,9,0)*(D453-INT(D453))+VLOOKUP(INT(D453),Tablas!$G$9:$O$1240,9,0)*(INT(D453)+1-D453))</f>
        <v>83885.2527530644</v>
      </c>
      <c r="H453" s="105">
        <f t="shared" ca="1" si="50"/>
        <v>1</v>
      </c>
      <c r="I453" s="106">
        <f t="shared" ca="1" si="51"/>
        <v>4.4023069742252733E-3</v>
      </c>
      <c r="J453" s="106">
        <f t="shared" ca="1" si="55"/>
        <v>7.5468119558147542E-3</v>
      </c>
      <c r="K453" s="105">
        <f t="shared" ca="1" si="52"/>
        <v>9.0851976624904435E-2</v>
      </c>
      <c r="L453" s="75"/>
    </row>
    <row r="454" spans="2:12">
      <c r="B454" s="101">
        <f t="shared" ca="1" si="53"/>
        <v>66083</v>
      </c>
      <c r="C454" s="101">
        <f t="shared" ca="1" si="54"/>
        <v>66113</v>
      </c>
      <c r="D454" s="102">
        <f t="shared" ca="1" si="48"/>
        <v>103.50171115674196</v>
      </c>
      <c r="E454" s="103">
        <f t="shared" ca="1" si="49"/>
        <v>0.58073552473116608</v>
      </c>
      <c r="F454" s="104">
        <f ca="1">IF($C$4="Hombre",(+VLOOKUP(INT(D454)+1,Tablas!$G$9:$K$1240,5,0)*(D454-INT(D454))+VLOOKUP(INT(D454),Tablas!$G$9:$K$1240,5,0)*(INT(D454)+1-D454))/(VLOOKUP(INT($C$5)+1,Tablas!$G$9:$K$1240,5,0)*($C$5-INT($C$5))+VLOOKUP(INT($C$5),Tablas!$G$9:$K$124,5,0)*(INT($C$5)+1-$C$5)),(+VLOOKUP(INT(D454)+1,Tablas!$G$9:$O$1240,9,0)*(D454-INT(D454))+VLOOKUP(INT(D454),Tablas!$G$9:$O$1240,9,0)*(INT(D454)+1-D454))/(VLOOKUP(INT($C$5)+1,Tablas!$G$9:$O$1240,9,0)*($C$5-INT($C$5))+VLOOKUP(INT($C$5),Tablas!$G$9:$O$124,9,0)*(INT($C$5)+1-$C$5)))</f>
        <v>8.8584552571389336E-2</v>
      </c>
      <c r="G454" s="97">
        <f ca="1">IF($C$4="Hombre",(+VLOOKUP(INT(D454)+1,Tablas!$G$9:$K$1240,5,0)*(D454-INT(D454))+VLOOKUP(INT(D454),Tablas!$G$9:$K$1240,5,0)*(INT(D454)+1-D454)),+VLOOKUP(INT(D454)+1,Tablas!$G$9:$O$1240,9,0)*(D454-INT(D454))+VLOOKUP(INT(D454),Tablas!$G$9:$O$1240,9,0)*(INT(D454)+1-D454))</f>
        <v>81791.699625290697</v>
      </c>
      <c r="H454" s="105">
        <f t="shared" ca="1" si="50"/>
        <v>1</v>
      </c>
      <c r="I454" s="106">
        <f t="shared" ca="1" si="51"/>
        <v>4.2870163850517798E-3</v>
      </c>
      <c r="J454" s="106">
        <f t="shared" ca="1" si="55"/>
        <v>3.6745854729015254E-3</v>
      </c>
      <c r="K454" s="105">
        <f t="shared" ca="1" si="52"/>
        <v>8.8584552571389336E-2</v>
      </c>
      <c r="L454" s="75"/>
    </row>
    <row r="455" spans="2:12">
      <c r="B455" s="101">
        <f t="shared" ca="1" si="53"/>
        <v>66114</v>
      </c>
      <c r="C455" s="101">
        <f t="shared" ca="1" si="54"/>
        <v>66144</v>
      </c>
      <c r="D455" s="102">
        <f t="shared" ca="1" si="48"/>
        <v>103.58658453114305</v>
      </c>
      <c r="E455" s="103">
        <f t="shared" ca="1" si="49"/>
        <v>0.58000214361878943</v>
      </c>
      <c r="F455" s="104">
        <f ca="1">IF($C$4="Hombre",(+VLOOKUP(INT(D455)+1,Tablas!$G$9:$K$1240,5,0)*(D455-INT(D455))+VLOOKUP(INT(D455),Tablas!$G$9:$K$1240,5,0)*(INT(D455)+1-D455))/(VLOOKUP(INT($C$5)+1,Tablas!$G$9:$K$1240,5,0)*($C$5-INT($C$5))+VLOOKUP(INT($C$5),Tablas!$G$9:$K$124,5,0)*(INT($C$5)+1-$C$5)),(+VLOOKUP(INT(D455)+1,Tablas!$G$9:$O$1240,9,0)*(D455-INT(D455))+VLOOKUP(INT(D455),Tablas!$G$9:$O$1240,9,0)*(INT(D455)+1-D455))/(VLOOKUP(INT($C$5)+1,Tablas!$G$9:$O$1240,9,0)*($C$5-INT($C$5))+VLOOKUP(INT($C$5),Tablas!$G$9:$O$124,9,0)*(INT($C$5)+1-$C$5)))</f>
        <v>8.6317128517874625E-2</v>
      </c>
      <c r="G455" s="97">
        <f ca="1">IF($C$4="Hombre",(+VLOOKUP(INT(D455)+1,Tablas!$G$9:$K$1240,5,0)*(D455-INT(D455))+VLOOKUP(INT(D455),Tablas!$G$9:$K$1240,5,0)*(INT(D455)+1-D455)),+VLOOKUP(INT(D455)+1,Tablas!$G$9:$O$1240,9,0)*(D455-INT(D455))+VLOOKUP(INT(D455),Tablas!$G$9:$O$1240,9,0)*(INT(D455)+1-D455))</f>
        <v>79698.146497517359</v>
      </c>
      <c r="H455" s="105">
        <f t="shared" ca="1" si="50"/>
        <v>1</v>
      </c>
      <c r="I455" s="106">
        <f t="shared" ca="1" si="51"/>
        <v>4.1720099642821515E-3</v>
      </c>
      <c r="J455" s="106">
        <f t="shared" ca="1" si="55"/>
        <v>3.5760085408132725E-3</v>
      </c>
      <c r="K455" s="105">
        <f t="shared" ca="1" si="52"/>
        <v>8.6317128517874625E-2</v>
      </c>
      <c r="L455" s="75"/>
    </row>
    <row r="456" spans="2:12">
      <c r="B456" s="101">
        <f t="shared" ca="1" si="53"/>
        <v>66145</v>
      </c>
      <c r="C456" s="101">
        <f t="shared" ca="1" si="54"/>
        <v>66172</v>
      </c>
      <c r="D456" s="102">
        <f t="shared" ca="1" si="48"/>
        <v>103.66324435318275</v>
      </c>
      <c r="E456" s="103">
        <f t="shared" ca="1" si="49"/>
        <v>0.57934053094972959</v>
      </c>
      <c r="F456" s="104">
        <f ca="1">IF($C$4="Hombre",(+VLOOKUP(INT(D456)+1,Tablas!$G$9:$K$1240,5,0)*(D456-INT(D456))+VLOOKUP(INT(D456),Tablas!$G$9:$K$1240,5,0)*(INT(D456)+1-D456))/(VLOOKUP(INT($C$5)+1,Tablas!$G$9:$K$1240,5,0)*($C$5-INT($C$5))+VLOOKUP(INT($C$5),Tablas!$G$9:$K$124,5,0)*(INT($C$5)+1-$C$5)),(+VLOOKUP(INT(D456)+1,Tablas!$G$9:$O$1240,9,0)*(D456-INT(D456))+VLOOKUP(INT(D456),Tablas!$G$9:$O$1240,9,0)*(INT(D456)+1-D456))/(VLOOKUP(INT($C$5)+1,Tablas!$G$9:$O$1240,9,0)*($C$5-INT($C$5))+VLOOKUP(INT($C$5),Tablas!$G$9:$O$124,9,0)*(INT($C$5)+1-$C$5)))</f>
        <v>8.426913259857069E-2</v>
      </c>
      <c r="G456" s="97">
        <f ca="1">IF($C$4="Hombre",(+VLOOKUP(INT(D456)+1,Tablas!$G$9:$K$1240,5,0)*(D456-INT(D456))+VLOOKUP(INT(D456),Tablas!$G$9:$K$1240,5,0)*(INT(D456)+1-D456)),+VLOOKUP(INT(D456)+1,Tablas!$G$9:$O$1240,9,0)*(D456-INT(D456))+VLOOKUP(INT(D456),Tablas!$G$9:$O$1240,9,0)*(INT(D456)+1-D456))</f>
        <v>77807.195285334674</v>
      </c>
      <c r="H456" s="105">
        <f t="shared" ca="1" si="50"/>
        <v>1</v>
      </c>
      <c r="I456" s="106">
        <f t="shared" ca="1" si="51"/>
        <v>4.0683770018607587E-3</v>
      </c>
      <c r="J456" s="106">
        <f t="shared" ca="1" si="55"/>
        <v>3.4871802873092214E-3</v>
      </c>
      <c r="K456" s="105">
        <f t="shared" ca="1" si="52"/>
        <v>8.426913259857069E-2</v>
      </c>
      <c r="L456" s="75"/>
    </row>
    <row r="457" spans="2:12">
      <c r="B457" s="101">
        <f t="shared" ca="1" si="53"/>
        <v>66173</v>
      </c>
      <c r="C457" s="101">
        <f t="shared" ca="1" si="54"/>
        <v>66203</v>
      </c>
      <c r="D457" s="102">
        <f t="shared" ca="1" si="48"/>
        <v>103.74811772758385</v>
      </c>
      <c r="E457" s="103">
        <f t="shared" ca="1" si="49"/>
        <v>0.57860891150345994</v>
      </c>
      <c r="F457" s="104">
        <f ca="1">IF($C$4="Hombre",(+VLOOKUP(INT(D457)+1,Tablas!$G$9:$K$1240,5,0)*(D457-INT(D457))+VLOOKUP(INT(D457),Tablas!$G$9:$K$1240,5,0)*(INT(D457)+1-D457))/(VLOOKUP(INT($C$5)+1,Tablas!$G$9:$K$1240,5,0)*($C$5-INT($C$5))+VLOOKUP(INT($C$5),Tablas!$G$9:$K$124,5,0)*(INT($C$5)+1-$C$5)),(+VLOOKUP(INT(D457)+1,Tablas!$G$9:$O$1240,9,0)*(D457-INT(D457))+VLOOKUP(INT(D457),Tablas!$G$9:$O$1240,9,0)*(INT(D457)+1-D457))/(VLOOKUP(INT($C$5)+1,Tablas!$G$9:$O$1240,9,0)*($C$5-INT($C$5))+VLOOKUP(INT($C$5),Tablas!$G$9:$O$124,9,0)*(INT($C$5)+1-$C$5)))</f>
        <v>8.2001708545055604E-2</v>
      </c>
      <c r="G457" s="97">
        <f ca="1">IF($C$4="Hombre",(+VLOOKUP(INT(D457)+1,Tablas!$G$9:$K$1240,5,0)*(D457-INT(D457))+VLOOKUP(INT(D457),Tablas!$G$9:$K$1240,5,0)*(INT(D457)+1-D457)),+VLOOKUP(INT(D457)+1,Tablas!$G$9:$O$1240,9,0)*(D457-INT(D457))+VLOOKUP(INT(D457),Tablas!$G$9:$O$1240,9,0)*(INT(D457)+1-D457))</f>
        <v>75713.642157560986</v>
      </c>
      <c r="H457" s="105">
        <f t="shared" ca="1" si="50"/>
        <v>1</v>
      </c>
      <c r="I457" s="106">
        <f t="shared" ca="1" si="51"/>
        <v>3.9539099435565491E-3</v>
      </c>
      <c r="J457" s="106">
        <f t="shared" ca="1" si="55"/>
        <v>3.3890656659056133E-3</v>
      </c>
      <c r="K457" s="105">
        <f t="shared" ca="1" si="52"/>
        <v>8.2001708545055604E-2</v>
      </c>
      <c r="L457" s="75"/>
    </row>
    <row r="458" spans="2:12">
      <c r="B458" s="101">
        <f t="shared" ca="1" si="53"/>
        <v>66204</v>
      </c>
      <c r="C458" s="101">
        <f t="shared" ca="1" si="54"/>
        <v>66233</v>
      </c>
      <c r="D458" s="102">
        <f t="shared" ca="1" si="48"/>
        <v>103.8302532511978</v>
      </c>
      <c r="E458" s="103">
        <f t="shared" ca="1" si="49"/>
        <v>0.5779017723957951</v>
      </c>
      <c r="F458" s="104">
        <f ca="1">IF($C$4="Hombre",(+VLOOKUP(INT(D458)+1,Tablas!$G$9:$K$1240,5,0)*(D458-INT(D458))+VLOOKUP(INT(D458),Tablas!$G$9:$K$1240,5,0)*(INT(D458)+1-D458))/(VLOOKUP(INT($C$5)+1,Tablas!$G$9:$K$1240,5,0)*($C$5-INT($C$5))+VLOOKUP(INT($C$5),Tablas!$G$9:$K$124,5,0)*(INT($C$5)+1-$C$5)),(+VLOOKUP(INT(D458)+1,Tablas!$G$9:$O$1240,9,0)*(D458-INT(D458))+VLOOKUP(INT(D458),Tablas!$G$9:$O$1240,9,0)*(INT(D458)+1-D458))/(VLOOKUP(INT($C$5)+1,Tablas!$G$9:$O$1240,9,0)*($C$5-INT($C$5))+VLOOKUP(INT($C$5),Tablas!$G$9:$O$124,9,0)*(INT($C$5)+1-$C$5)))</f>
        <v>7.9807427202944481E-2</v>
      </c>
      <c r="G458" s="97">
        <f ca="1">IF($C$4="Hombre",(+VLOOKUP(INT(D458)+1,Tablas!$G$9:$K$1240,5,0)*(D458-INT(D458))+VLOOKUP(INT(D458),Tablas!$G$9:$K$1240,5,0)*(INT(D458)+1-D458)),+VLOOKUP(INT(D458)+1,Tablas!$G$9:$O$1240,9,0)*(D458-INT(D458))+VLOOKUP(INT(D458),Tablas!$G$9:$O$1240,9,0)*(INT(D458)+1-D458))</f>
        <v>73687.623001651198</v>
      </c>
      <c r="H458" s="105">
        <f t="shared" ca="1" si="50"/>
        <v>1</v>
      </c>
      <c r="I458" s="106">
        <f t="shared" ca="1" si="51"/>
        <v>3.8434044692441673E-3</v>
      </c>
      <c r="J458" s="106">
        <f t="shared" ca="1" si="55"/>
        <v>3.2943466879235719E-3</v>
      </c>
      <c r="K458" s="105">
        <f t="shared" ca="1" si="52"/>
        <v>7.9807427202944481E-2</v>
      </c>
      <c r="L458" s="75"/>
    </row>
    <row r="459" spans="2:12">
      <c r="B459" s="101">
        <f t="shared" ca="1" si="53"/>
        <v>66234</v>
      </c>
      <c r="C459" s="101">
        <f t="shared" ca="1" si="54"/>
        <v>66264</v>
      </c>
      <c r="D459" s="102">
        <f t="shared" ca="1" si="48"/>
        <v>103.9151266255989</v>
      </c>
      <c r="E459" s="103">
        <f t="shared" ca="1" si="49"/>
        <v>0.57717196988391961</v>
      </c>
      <c r="F459" s="104">
        <f ca="1">IF($C$4="Hombre",(+VLOOKUP(INT(D459)+1,Tablas!$G$9:$K$1240,5,0)*(D459-INT(D459))+VLOOKUP(INT(D459),Tablas!$G$9:$K$1240,5,0)*(INT(D459)+1-D459))/(VLOOKUP(INT($C$5)+1,Tablas!$G$9:$K$1240,5,0)*($C$5-INT($C$5))+VLOOKUP(INT($C$5),Tablas!$G$9:$K$124,5,0)*(INT($C$5)+1-$C$5)),(+VLOOKUP(INT(D459)+1,Tablas!$G$9:$O$1240,9,0)*(D459-INT(D459))+VLOOKUP(INT(D459),Tablas!$G$9:$O$1240,9,0)*(INT(D459)+1-D459))/(VLOOKUP(INT($C$5)+1,Tablas!$G$9:$O$1240,9,0)*($C$5-INT($C$5))+VLOOKUP(INT($C$5),Tablas!$G$9:$O$124,9,0)*(INT($C$5)+1-$C$5)))</f>
        <v>7.7540003149429382E-2</v>
      </c>
      <c r="G459" s="97">
        <f ca="1">IF($C$4="Hombre",(+VLOOKUP(INT(D459)+1,Tablas!$G$9:$K$1240,5,0)*(D459-INT(D459))+VLOOKUP(INT(D459),Tablas!$G$9:$K$1240,5,0)*(INT(D459)+1-D459)),+VLOOKUP(INT(D459)+1,Tablas!$G$9:$O$1240,9,0)*(D459-INT(D459))+VLOOKUP(INT(D459),Tablas!$G$9:$O$1240,9,0)*(INT(D459)+1-D459))</f>
        <v>71594.069873877495</v>
      </c>
      <c r="H459" s="105">
        <f t="shared" ca="1" si="50"/>
        <v>1</v>
      </c>
      <c r="I459" s="106">
        <f t="shared" ca="1" si="51"/>
        <v>3.7294930302134571E-3</v>
      </c>
      <c r="J459" s="106">
        <f t="shared" ca="1" si="55"/>
        <v>6.3934166232230694E-3</v>
      </c>
      <c r="K459" s="105">
        <f t="shared" ca="1" si="52"/>
        <v>7.7540003149429382E-2</v>
      </c>
      <c r="L459" s="75"/>
    </row>
    <row r="460" spans="2:12">
      <c r="B460" s="101">
        <f t="shared" ca="1" si="53"/>
        <v>66265</v>
      </c>
      <c r="C460" s="101">
        <f t="shared" ca="1" si="54"/>
        <v>66294</v>
      </c>
      <c r="D460" s="102">
        <f t="shared" ca="1" si="48"/>
        <v>103.99726214921287</v>
      </c>
      <c r="E460" s="103">
        <f t="shared" ca="1" si="49"/>
        <v>0.57646658691514996</v>
      </c>
      <c r="F460" s="104">
        <f ca="1">IF($C$4="Hombre",(+VLOOKUP(INT(D460)+1,Tablas!$G$9:$K$1240,5,0)*(D460-INT(D460))+VLOOKUP(INT(D460),Tablas!$G$9:$K$1240,5,0)*(INT(D460)+1-D460))/(VLOOKUP(INT($C$5)+1,Tablas!$G$9:$K$1240,5,0)*($C$5-INT($C$5))+VLOOKUP(INT($C$5),Tablas!$G$9:$K$124,5,0)*(INT($C$5)+1-$C$5)),(+VLOOKUP(INT(D460)+1,Tablas!$G$9:$O$1240,9,0)*(D460-INT(D460))+VLOOKUP(INT(D460),Tablas!$G$9:$O$1240,9,0)*(INT(D460)+1-D460))/(VLOOKUP(INT($C$5)+1,Tablas!$G$9:$O$1240,9,0)*($C$5-INT($C$5))+VLOOKUP(INT($C$5),Tablas!$G$9:$O$124,9,0)*(INT($C$5)+1-$C$5)))</f>
        <v>7.5345721807317884E-2</v>
      </c>
      <c r="G460" s="97">
        <f ca="1">IF($C$4="Hombre",(+VLOOKUP(INT(D460)+1,Tablas!$G$9:$K$1240,5,0)*(D460-INT(D460))+VLOOKUP(INT(D460),Tablas!$G$9:$K$1240,5,0)*(INT(D460)+1-D460)),+VLOOKUP(INT(D460)+1,Tablas!$G$9:$O$1240,9,0)*(D460-INT(D460))+VLOOKUP(INT(D460),Tablas!$G$9:$O$1240,9,0)*(INT(D460)+1-D460))</f>
        <v>69568.050717967359</v>
      </c>
      <c r="H460" s="105">
        <f t="shared" ca="1" si="50"/>
        <v>1</v>
      </c>
      <c r="I460" s="106">
        <f t="shared" ca="1" si="51"/>
        <v>3.6195242574102436E-3</v>
      </c>
      <c r="J460" s="106">
        <f t="shared" ca="1" si="55"/>
        <v>3.1024493634944947E-3</v>
      </c>
      <c r="K460" s="105">
        <f t="shared" ca="1" si="52"/>
        <v>7.5345721807317884E-2</v>
      </c>
      <c r="L460" s="75"/>
    </row>
    <row r="461" spans="2:12">
      <c r="B461" s="101">
        <f t="shared" ca="1" si="53"/>
        <v>66295</v>
      </c>
      <c r="C461" s="101">
        <f t="shared" ca="1" si="54"/>
        <v>66325</v>
      </c>
      <c r="D461" s="102">
        <f t="shared" ca="1" si="48"/>
        <v>104.08213552361396</v>
      </c>
      <c r="E461" s="103">
        <f t="shared" ca="1" si="49"/>
        <v>0.57573859682541761</v>
      </c>
      <c r="F461" s="104">
        <f ca="1">IF($C$4="Hombre",(+VLOOKUP(INT(D461)+1,Tablas!$G$9:$K$1240,5,0)*(D461-INT(D461))+VLOOKUP(INT(D461),Tablas!$G$9:$K$1240,5,0)*(INT(D461)+1-D461))/(VLOOKUP(INT($C$5)+1,Tablas!$G$9:$K$1240,5,0)*($C$5-INT($C$5))+VLOOKUP(INT($C$5),Tablas!$G$9:$K$124,5,0)*(INT($C$5)+1-$C$5)),(+VLOOKUP(INT(D461)+1,Tablas!$G$9:$O$1240,9,0)*(D461-INT(D461))+VLOOKUP(INT(D461),Tablas!$G$9:$O$1240,9,0)*(INT(D461)+1-D461))/(VLOOKUP(INT($C$5)+1,Tablas!$G$9:$O$1240,9,0)*($C$5-INT($C$5))+VLOOKUP(INT($C$5),Tablas!$G$9:$O$124,9,0)*(INT($C$5)+1-$C$5)))</f>
        <v>7.3466199040088512E-2</v>
      </c>
      <c r="G461" s="97">
        <f ca="1">IF($C$4="Hombre",(+VLOOKUP(INT(D461)+1,Tablas!$G$9:$K$1240,5,0)*(D461-INT(D461))+VLOOKUP(INT(D461),Tablas!$G$9:$K$1240,5,0)*(INT(D461)+1-D461)),+VLOOKUP(INT(D461)+1,Tablas!$G$9:$O$1240,9,0)*(D461-INT(D461))+VLOOKUP(INT(D461),Tablas!$G$9:$O$1240,9,0)*(INT(D461)+1-D461))</f>
        <v>67832.653776246269</v>
      </c>
      <c r="H461" s="105">
        <f t="shared" ca="1" si="50"/>
        <v>1</v>
      </c>
      <c r="I461" s="106">
        <f t="shared" ca="1" si="51"/>
        <v>3.5247771957864502E-3</v>
      </c>
      <c r="J461" s="106">
        <f t="shared" ca="1" si="55"/>
        <v>3.0212375963883861E-3</v>
      </c>
      <c r="K461" s="105">
        <f t="shared" ca="1" si="52"/>
        <v>7.3466199040088512E-2</v>
      </c>
      <c r="L461" s="75"/>
    </row>
    <row r="462" spans="2:12">
      <c r="B462" s="101">
        <f t="shared" ca="1" si="53"/>
        <v>66326</v>
      </c>
      <c r="C462" s="101">
        <f t="shared" ca="1" si="54"/>
        <v>66356</v>
      </c>
      <c r="D462" s="102">
        <f t="shared" ca="1" si="48"/>
        <v>104.16700889801506</v>
      </c>
      <c r="E462" s="103">
        <f t="shared" ca="1" si="49"/>
        <v>0.57501152607703598</v>
      </c>
      <c r="F462" s="104">
        <f ca="1">IF($C$4="Hombre",(+VLOOKUP(INT(D462)+1,Tablas!$G$9:$K$1240,5,0)*(D462-INT(D462))+VLOOKUP(INT(D462),Tablas!$G$9:$K$1240,5,0)*(INT(D462)+1-D462))/(VLOOKUP(INT($C$5)+1,Tablas!$G$9:$K$1240,5,0)*($C$5-INT($C$5))+VLOOKUP(INT($C$5),Tablas!$G$9:$K$124,5,0)*(INT($C$5)+1-$C$5)),(+VLOOKUP(INT(D462)+1,Tablas!$G$9:$O$1240,9,0)*(D462-INT(D462))+VLOOKUP(INT(D462),Tablas!$G$9:$O$1240,9,0)*(INT(D462)+1-D462))/(VLOOKUP(INT($C$5)+1,Tablas!$G$9:$O$1240,9,0)*($C$5-INT($C$5))+VLOOKUP(INT($C$5),Tablas!$G$9:$O$124,9,0)*(INT($C$5)+1-$C$5)))</f>
        <v>7.1599606315734976E-2</v>
      </c>
      <c r="G462" s="97">
        <f ca="1">IF($C$4="Hombre",(+VLOOKUP(INT(D462)+1,Tablas!$G$9:$K$1240,5,0)*(D462-INT(D462))+VLOOKUP(INT(D462),Tablas!$G$9:$K$1240,5,0)*(INT(D462)+1-D462)),+VLOOKUP(INT(D462)+1,Tablas!$G$9:$O$1240,9,0)*(D462-INT(D462))+VLOOKUP(INT(D462),Tablas!$G$9:$O$1240,9,0)*(INT(D462)+1-D462))</f>
        <v>66109.195374059942</v>
      </c>
      <c r="H462" s="105">
        <f t="shared" ca="1" si="50"/>
        <v>1</v>
      </c>
      <c r="I462" s="106">
        <f t="shared" ca="1" si="51"/>
        <v>3.4308832411771456E-3</v>
      </c>
      <c r="J462" s="106">
        <f t="shared" ca="1" si="55"/>
        <v>2.9407570638661251E-3</v>
      </c>
      <c r="K462" s="105">
        <f t="shared" ca="1" si="52"/>
        <v>7.1599606315734976E-2</v>
      </c>
      <c r="L462" s="75"/>
    </row>
    <row r="463" spans="2:12">
      <c r="B463" s="101">
        <f t="shared" ca="1" si="53"/>
        <v>66357</v>
      </c>
      <c r="C463" s="101">
        <f t="shared" ca="1" si="54"/>
        <v>66386</v>
      </c>
      <c r="D463" s="102">
        <f t="shared" ca="1" si="48"/>
        <v>104.24914442162903</v>
      </c>
      <c r="E463" s="103">
        <f t="shared" ca="1" si="49"/>
        <v>0.57430878346563952</v>
      </c>
      <c r="F463" s="104">
        <f ca="1">IF($C$4="Hombre",(+VLOOKUP(INT(D463)+1,Tablas!$G$9:$K$1240,5,0)*(D463-INT(D463))+VLOOKUP(INT(D463),Tablas!$G$9:$K$1240,5,0)*(INT(D463)+1-D463))/(VLOOKUP(INT($C$5)+1,Tablas!$G$9:$K$1240,5,0)*($C$5-INT($C$5))+VLOOKUP(INT($C$5),Tablas!$G$9:$K$124,5,0)*(INT($C$5)+1-$C$5)),(+VLOOKUP(INT(D463)+1,Tablas!$G$9:$O$1240,9,0)*(D463-INT(D463))+VLOOKUP(INT(D463),Tablas!$G$9:$O$1240,9,0)*(INT(D463)+1-D463))/(VLOOKUP(INT($C$5)+1,Tablas!$G$9:$O$1240,9,0)*($C$5-INT($C$5))+VLOOKUP(INT($C$5),Tablas!$G$9:$O$124,9,0)*(INT($C$5)+1-$C$5)))</f>
        <v>6.9793226259908886E-2</v>
      </c>
      <c r="G463" s="97">
        <f ca="1">IF($C$4="Hombre",(+VLOOKUP(INT(D463)+1,Tablas!$G$9:$K$1240,5,0)*(D463-INT(D463))+VLOOKUP(INT(D463),Tablas!$G$9:$K$1240,5,0)*(INT(D463)+1-D463)),+VLOOKUP(INT(D463)+1,Tablas!$G$9:$O$1240,9,0)*(D463-INT(D463))+VLOOKUP(INT(D463),Tablas!$G$9:$O$1240,9,0)*(INT(D463)+1-D463))</f>
        <v>64441.332404202127</v>
      </c>
      <c r="H463" s="105">
        <f t="shared" ca="1" si="50"/>
        <v>1</v>
      </c>
      <c r="I463" s="106">
        <f t="shared" ca="1" si="51"/>
        <v>3.3402385722891997E-3</v>
      </c>
      <c r="J463" s="106">
        <f t="shared" ca="1" si="55"/>
        <v>2.8630616333907427E-3</v>
      </c>
      <c r="K463" s="105">
        <f t="shared" ca="1" si="52"/>
        <v>6.9793226259908886E-2</v>
      </c>
      <c r="L463" s="75"/>
    </row>
    <row r="464" spans="2:12">
      <c r="B464" s="101">
        <f t="shared" ca="1" si="53"/>
        <v>66387</v>
      </c>
      <c r="C464" s="101">
        <f t="shared" ca="1" si="54"/>
        <v>66417</v>
      </c>
      <c r="D464" s="102">
        <f t="shared" ca="1" si="48"/>
        <v>104.33401779603011</v>
      </c>
      <c r="E464" s="103">
        <f t="shared" ca="1" si="49"/>
        <v>0.57358351835522514</v>
      </c>
      <c r="F464" s="104">
        <f ca="1">IF($C$4="Hombre",(+VLOOKUP(INT(D464)+1,Tablas!$G$9:$K$1240,5,0)*(D464-INT(D464))+VLOOKUP(INT(D464),Tablas!$G$9:$K$1240,5,0)*(INT(D464)+1-D464))/(VLOOKUP(INT($C$5)+1,Tablas!$G$9:$K$1240,5,0)*($C$5-INT($C$5))+VLOOKUP(INT($C$5),Tablas!$G$9:$K$124,5,0)*(INT($C$5)+1-$C$5)),(+VLOOKUP(INT(D464)+1,Tablas!$G$9:$O$1240,9,0)*(D464-INT(D464))+VLOOKUP(INT(D464),Tablas!$G$9:$O$1240,9,0)*(INT(D464)+1-D464))/(VLOOKUP(INT($C$5)+1,Tablas!$G$9:$O$1240,9,0)*($C$5-INT($C$5))+VLOOKUP(INT($C$5),Tablas!$G$9:$O$124,9,0)*(INT($C$5)+1-$C$5)))</f>
        <v>6.7926633535555669E-2</v>
      </c>
      <c r="G464" s="97">
        <f ca="1">IF($C$4="Hombre",(+VLOOKUP(INT(D464)+1,Tablas!$G$9:$K$1240,5,0)*(D464-INT(D464))+VLOOKUP(INT(D464),Tablas!$G$9:$K$1240,5,0)*(INT(D464)+1-D464)),+VLOOKUP(INT(D464)+1,Tablas!$G$9:$O$1240,9,0)*(D464-INT(D464))+VLOOKUP(INT(D464),Tablas!$G$9:$O$1240,9,0)*(INT(D464)+1-D464))</f>
        <v>62717.874002016091</v>
      </c>
      <c r="H464" s="105">
        <f t="shared" ca="1" si="50"/>
        <v>1</v>
      </c>
      <c r="I464" s="106">
        <f t="shared" ca="1" si="51"/>
        <v>3.2467997877791708E-3</v>
      </c>
      <c r="J464" s="106">
        <f t="shared" ca="1" si="55"/>
        <v>2.782971246667861E-3</v>
      </c>
      <c r="K464" s="105">
        <f t="shared" ca="1" si="52"/>
        <v>6.7926633535555669E-2</v>
      </c>
      <c r="L464" s="75"/>
    </row>
    <row r="465" spans="2:12">
      <c r="B465" s="101">
        <f t="shared" ca="1" si="53"/>
        <v>66418</v>
      </c>
      <c r="C465" s="101">
        <f t="shared" ca="1" si="54"/>
        <v>66447</v>
      </c>
      <c r="D465" s="102">
        <f t="shared" ca="1" si="48"/>
        <v>104.41615331964408</v>
      </c>
      <c r="E465" s="103">
        <f t="shared" ca="1" si="49"/>
        <v>0.57288252096428094</v>
      </c>
      <c r="F465" s="104">
        <f ca="1">IF($C$4="Hombre",(+VLOOKUP(INT(D465)+1,Tablas!$G$9:$K$1240,5,0)*(D465-INT(D465))+VLOOKUP(INT(D465),Tablas!$G$9:$K$1240,5,0)*(INT(D465)+1-D465))/(VLOOKUP(INT($C$5)+1,Tablas!$G$9:$K$1240,5,0)*($C$5-INT($C$5))+VLOOKUP(INT($C$5),Tablas!$G$9:$K$124,5,0)*(INT($C$5)+1-$C$5)),(+VLOOKUP(INT(D465)+1,Tablas!$G$9:$O$1240,9,0)*(D465-INT(D465))+VLOOKUP(INT(D465),Tablas!$G$9:$O$1240,9,0)*(INT(D465)+1-D465))/(VLOOKUP(INT($C$5)+1,Tablas!$G$9:$O$1240,9,0)*($C$5-INT($C$5))+VLOOKUP(INT($C$5),Tablas!$G$9:$O$124,9,0)*(INT($C$5)+1-$C$5)))</f>
        <v>6.6120253479729565E-2</v>
      </c>
      <c r="G465" s="97">
        <f ca="1">IF($C$4="Hombre",(+VLOOKUP(INT(D465)+1,Tablas!$G$9:$K$1240,5,0)*(D465-INT(D465))+VLOOKUP(INT(D465),Tablas!$G$9:$K$1240,5,0)*(INT(D465)+1-D465)),+VLOOKUP(INT(D465)+1,Tablas!$G$9:$O$1240,9,0)*(D465-INT(D465))+VLOOKUP(INT(D465),Tablas!$G$9:$O$1240,9,0)*(INT(D465)+1-D465))</f>
        <v>61050.011032158262</v>
      </c>
      <c r="H465" s="105">
        <f t="shared" ca="1" si="50"/>
        <v>1</v>
      </c>
      <c r="I465" s="106">
        <f t="shared" ca="1" si="51"/>
        <v>3.1565947916887284E-3</v>
      </c>
      <c r="J465" s="106">
        <f t="shared" ca="1" si="55"/>
        <v>5.4113053571806773E-3</v>
      </c>
      <c r="K465" s="105">
        <f t="shared" ca="1" si="52"/>
        <v>6.6120253479729565E-2</v>
      </c>
      <c r="L465" s="75"/>
    </row>
    <row r="466" spans="2:12">
      <c r="B466" s="101">
        <f t="shared" ca="1" si="53"/>
        <v>66448</v>
      </c>
      <c r="C466" s="101">
        <f t="shared" ca="1" si="54"/>
        <v>66478</v>
      </c>
      <c r="D466" s="102">
        <f t="shared" ref="D466:D529" ca="1" si="56">-_xlfn.DAYS($C$3,C466)/365.25</f>
        <v>104.50102669404518</v>
      </c>
      <c r="E466" s="103">
        <f t="shared" ref="E466:E485" ca="1" si="57">IF($D$17+40&lt;=D466,(1+$D$7)^-(D466-$C$5),(1+$C$7)^-(D466-$C$5))</f>
        <v>0.57215905700763636</v>
      </c>
      <c r="F466" s="104">
        <f ca="1">IF($C$4="Hombre",(+VLOOKUP(INT(D466)+1,Tablas!$G$9:$K$1240,5,0)*(D466-INT(D466))+VLOOKUP(INT(D466),Tablas!$G$9:$K$1240,5,0)*(INT(D466)+1-D466))/(VLOOKUP(INT($C$5)+1,Tablas!$G$9:$K$1240,5,0)*($C$5-INT($C$5))+VLOOKUP(INT($C$5),Tablas!$G$9:$K$124,5,0)*(INT($C$5)+1-$C$5)),(+VLOOKUP(INT(D466)+1,Tablas!$G$9:$O$1240,9,0)*(D466-INT(D466))+VLOOKUP(INT(D466),Tablas!$G$9:$O$1240,9,0)*(INT(D466)+1-D466))/(VLOOKUP(INT($C$5)+1,Tablas!$G$9:$O$1240,9,0)*($C$5-INT($C$5))+VLOOKUP(INT($C$5),Tablas!$G$9:$O$124,9,0)*(INT($C$5)+1-$C$5)))</f>
        <v>6.425366075537603E-2</v>
      </c>
      <c r="G466" s="97">
        <f ca="1">IF($C$4="Hombre",(+VLOOKUP(INT(D466)+1,Tablas!$G$9:$K$1240,5,0)*(D466-INT(D466))+VLOOKUP(INT(D466),Tablas!$G$9:$K$1240,5,0)*(INT(D466)+1-D466)),+VLOOKUP(INT(D466)+1,Tablas!$G$9:$O$1240,9,0)*(D466-INT(D466))+VLOOKUP(INT(D466),Tablas!$G$9:$O$1240,9,0)*(INT(D466)+1-D466))</f>
        <v>59326.552629971935</v>
      </c>
      <c r="H466" s="105">
        <f t="shared" ref="H466:H529" ca="1" si="58">+IF(MONTH(B466)=1,H465*(1+$C$9),H465)</f>
        <v>1</v>
      </c>
      <c r="I466" s="106">
        <f t="shared" ref="I466:I529" ca="1" si="59">IF(B466&lt;$C$10,0,IF(B466&lt;$C$11,$C$8/12*E466*F466*H466,0))</f>
        <v>3.0636094955903766E-3</v>
      </c>
      <c r="J466" s="106">
        <f t="shared" ca="1" si="55"/>
        <v>2.625950996220323E-3</v>
      </c>
      <c r="K466" s="105">
        <f t="shared" ref="K466:K529" ca="1" si="60">G466/$G$15</f>
        <v>6.425366075537603E-2</v>
      </c>
      <c r="L466" s="75"/>
    </row>
    <row r="467" spans="2:12">
      <c r="B467" s="101">
        <f t="shared" ref="B467:B530" ca="1" si="61">+DATE(YEAR(B466),MONTH(B466)+1,DAY(B466))</f>
        <v>66479</v>
      </c>
      <c r="C467" s="101">
        <f t="shared" ref="C467:C530" ca="1" si="62">+B468-1</f>
        <v>66509</v>
      </c>
      <c r="D467" s="102">
        <f t="shared" ca="1" si="56"/>
        <v>104.58590006844626</v>
      </c>
      <c r="E467" s="103">
        <f t="shared" ca="1" si="57"/>
        <v>0.57143650667652157</v>
      </c>
      <c r="F467" s="104">
        <f ca="1">IF($C$4="Hombre",(+VLOOKUP(INT(D467)+1,Tablas!$G$9:$K$1240,5,0)*(D467-INT(D467))+VLOOKUP(INT(D467),Tablas!$G$9:$K$1240,5,0)*(INT(D467)+1-D467))/(VLOOKUP(INT($C$5)+1,Tablas!$G$9:$K$1240,5,0)*($C$5-INT($C$5))+VLOOKUP(INT($C$5),Tablas!$G$9:$K$124,5,0)*(INT($C$5)+1-$C$5)),(+VLOOKUP(INT(D467)+1,Tablas!$G$9:$O$1240,9,0)*(D467-INT(D467))+VLOOKUP(INT(D467),Tablas!$G$9:$O$1240,9,0)*(INT(D467)+1-D467))/(VLOOKUP(INT($C$5)+1,Tablas!$G$9:$O$1240,9,0)*($C$5-INT($C$5))+VLOOKUP(INT($C$5),Tablas!$G$9:$O$124,9,0)*(INT($C$5)+1-$C$5)))</f>
        <v>6.238706803102282E-2</v>
      </c>
      <c r="G467" s="97">
        <f ca="1">IF($C$4="Hombre",(+VLOOKUP(INT(D467)+1,Tablas!$G$9:$K$1240,5,0)*(D467-INT(D467))+VLOOKUP(INT(D467),Tablas!$G$9:$K$1240,5,0)*(INT(D467)+1-D467)),+VLOOKUP(INT(D467)+1,Tablas!$G$9:$O$1240,9,0)*(D467-INT(D467))+VLOOKUP(INT(D467),Tablas!$G$9:$O$1240,9,0)*(INT(D467)+1-D467))</f>
        <v>57603.094227785907</v>
      </c>
      <c r="H467" s="105">
        <f t="shared" ca="1" si="58"/>
        <v>1</v>
      </c>
      <c r="I467" s="106">
        <f t="shared" ca="1" si="59"/>
        <v>2.9708540181198478E-3</v>
      </c>
      <c r="J467" s="106">
        <f t="shared" ref="J467:J530" ca="1" si="63">I467*12/14+IF(OR(MONTH(C467)=6,MONTH(C467)=12),I467*12/14,0)</f>
        <v>2.546446301245584E-3</v>
      </c>
      <c r="K467" s="105">
        <f t="shared" ca="1" si="60"/>
        <v>6.238706803102282E-2</v>
      </c>
      <c r="L467" s="75"/>
    </row>
    <row r="468" spans="2:12">
      <c r="B468" s="101">
        <f t="shared" ca="1" si="61"/>
        <v>66510</v>
      </c>
      <c r="C468" s="101">
        <f t="shared" ca="1" si="62"/>
        <v>66537</v>
      </c>
      <c r="D468" s="102">
        <f t="shared" ca="1" si="56"/>
        <v>104.66255989048597</v>
      </c>
      <c r="E468" s="103">
        <f t="shared" ca="1" si="57"/>
        <v>0.5707846648919005</v>
      </c>
      <c r="F468" s="104">
        <f ca="1">IF($C$4="Hombre",(+VLOOKUP(INT(D468)+1,Tablas!$G$9:$K$1240,5,0)*(D468-INT(D468))+VLOOKUP(INT(D468),Tablas!$G$9:$K$1240,5,0)*(INT(D468)+1-D468))/(VLOOKUP(INT($C$5)+1,Tablas!$G$9:$K$1240,5,0)*($C$5-INT($C$5))+VLOOKUP(INT($C$5),Tablas!$G$9:$K$124,5,0)*(INT($C$5)+1-$C$5)),(+VLOOKUP(INT(D468)+1,Tablas!$G$9:$O$1240,9,0)*(D468-INT(D468))+VLOOKUP(INT(D468),Tablas!$G$9:$O$1240,9,0)*(INT(D468)+1-D468))/(VLOOKUP(INT($C$5)+1,Tablas!$G$9:$O$1240,9,0)*($C$5-INT($C$5))+VLOOKUP(INT($C$5),Tablas!$G$9:$O$124,9,0)*(INT($C$5)+1-$C$5)))</f>
        <v>6.0701113312251892E-2</v>
      </c>
      <c r="G468" s="97">
        <f ca="1">IF($C$4="Hombre",(+VLOOKUP(INT(D468)+1,Tablas!$G$9:$K$1240,5,0)*(D468-INT(D468))+VLOOKUP(INT(D468),Tablas!$G$9:$K$1240,5,0)*(INT(D468)+1-D468)),+VLOOKUP(INT(D468)+1,Tablas!$G$9:$O$1240,9,0)*(D468-INT(D468))+VLOOKUP(INT(D468),Tablas!$G$9:$O$1240,9,0)*(INT(D468)+1-D468))</f>
        <v>56046.422122585362</v>
      </c>
      <c r="H468" s="105">
        <f t="shared" ca="1" si="58"/>
        <v>1</v>
      </c>
      <c r="I468" s="106">
        <f t="shared" ca="1" si="59"/>
        <v>2.8872720517082477E-3</v>
      </c>
      <c r="J468" s="106">
        <f t="shared" ca="1" si="63"/>
        <v>2.4748046157499265E-3</v>
      </c>
      <c r="K468" s="105">
        <f t="shared" ca="1" si="60"/>
        <v>6.0701113312251892E-2</v>
      </c>
      <c r="L468" s="75"/>
    </row>
    <row r="469" spans="2:12">
      <c r="B469" s="101">
        <f t="shared" ca="1" si="61"/>
        <v>66538</v>
      </c>
      <c r="C469" s="101">
        <f t="shared" ca="1" si="62"/>
        <v>66568</v>
      </c>
      <c r="D469" s="102">
        <f t="shared" ca="1" si="56"/>
        <v>104.74743326488706</v>
      </c>
      <c r="E469" s="103">
        <f t="shared" ca="1" si="57"/>
        <v>0.57006385021010575</v>
      </c>
      <c r="F469" s="104">
        <f ca="1">IF($C$4="Hombre",(+VLOOKUP(INT(D469)+1,Tablas!$G$9:$K$1240,5,0)*(D469-INT(D469))+VLOOKUP(INT(D469),Tablas!$G$9:$K$1240,5,0)*(INT(D469)+1-D469))/(VLOOKUP(INT($C$5)+1,Tablas!$G$9:$K$1240,5,0)*($C$5-INT($C$5))+VLOOKUP(INT($C$5),Tablas!$G$9:$K$124,5,0)*(INT($C$5)+1-$C$5)),(+VLOOKUP(INT(D469)+1,Tablas!$G$9:$O$1240,9,0)*(D469-INT(D469))+VLOOKUP(INT(D469),Tablas!$G$9:$O$1240,9,0)*(INT(D469)+1-D469))/(VLOOKUP(INT($C$5)+1,Tablas!$G$9:$O$1240,9,0)*($C$5-INT($C$5))+VLOOKUP(INT($C$5),Tablas!$G$9:$O$124,9,0)*(INT($C$5)+1-$C$5)))</f>
        <v>5.8834520587898363E-2</v>
      </c>
      <c r="G469" s="97">
        <f ca="1">IF($C$4="Hombre",(+VLOOKUP(INT(D469)+1,Tablas!$G$9:$K$1240,5,0)*(D469-INT(D469))+VLOOKUP(INT(D469),Tablas!$G$9:$K$1240,5,0)*(INT(D469)+1-D469)),+VLOOKUP(INT(D469)+1,Tablas!$G$9:$O$1240,9,0)*(D469-INT(D469))+VLOOKUP(INT(D469),Tablas!$G$9:$O$1240,9,0)*(INT(D469)+1-D469))</f>
        <v>54322.963720399042</v>
      </c>
      <c r="H469" s="105">
        <f t="shared" ca="1" si="58"/>
        <v>1</v>
      </c>
      <c r="I469" s="106">
        <f t="shared" ca="1" si="59"/>
        <v>2.7949527776335893E-3</v>
      </c>
      <c r="J469" s="106">
        <f t="shared" ca="1" si="63"/>
        <v>2.3956738094002192E-3</v>
      </c>
      <c r="K469" s="105">
        <f t="shared" ca="1" si="60"/>
        <v>5.8834520587898363E-2</v>
      </c>
      <c r="L469" s="75"/>
    </row>
    <row r="470" spans="2:12">
      <c r="B470" s="101">
        <f t="shared" ca="1" si="61"/>
        <v>66569</v>
      </c>
      <c r="C470" s="101">
        <f t="shared" ca="1" si="62"/>
        <v>66598</v>
      </c>
      <c r="D470" s="102">
        <f t="shared" ca="1" si="56"/>
        <v>104.82956878850102</v>
      </c>
      <c r="E470" s="103">
        <f t="shared" ca="1" si="57"/>
        <v>0.56936715433429874</v>
      </c>
      <c r="F470" s="104">
        <f ca="1">IF($C$4="Hombre",(+VLOOKUP(INT(D470)+1,Tablas!$G$9:$K$1240,5,0)*(D470-INT(D470))+VLOOKUP(INT(D470),Tablas!$G$9:$K$1240,5,0)*(INT(D470)+1-D470))/(VLOOKUP(INT($C$5)+1,Tablas!$G$9:$K$1240,5,0)*($C$5-INT($C$5))+VLOOKUP(INT($C$5),Tablas!$G$9:$K$124,5,0)*(INT($C$5)+1-$C$5)),(+VLOOKUP(INT(D470)+1,Tablas!$G$9:$O$1240,9,0)*(D470-INT(D470))+VLOOKUP(INT(D470),Tablas!$G$9:$O$1240,9,0)*(INT(D470)+1-D470))/(VLOOKUP(INT($C$5)+1,Tablas!$G$9:$O$1240,9,0)*($C$5-INT($C$5))+VLOOKUP(INT($C$5),Tablas!$G$9:$O$124,9,0)*(INT($C$5)+1-$C$5)))</f>
        <v>5.7028140532072578E-2</v>
      </c>
      <c r="G470" s="97">
        <f ca="1">IF($C$4="Hombre",(+VLOOKUP(INT(D470)+1,Tablas!$G$9:$K$1240,5,0)*(D470-INT(D470))+VLOOKUP(INT(D470),Tablas!$G$9:$K$1240,5,0)*(INT(D470)+1-D470)),+VLOOKUP(INT(D470)+1,Tablas!$G$9:$O$1240,9,0)*(D470-INT(D470))+VLOOKUP(INT(D470),Tablas!$G$9:$O$1240,9,0)*(INT(D470)+1-D470))</f>
        <v>52655.100750541504</v>
      </c>
      <c r="H470" s="105">
        <f t="shared" ca="1" si="58"/>
        <v>1</v>
      </c>
      <c r="I470" s="106">
        <f t="shared" ca="1" si="59"/>
        <v>2.7058291743102202E-3</v>
      </c>
      <c r="J470" s="106">
        <f t="shared" ca="1" si="63"/>
        <v>2.3192821494087599E-3</v>
      </c>
      <c r="K470" s="105">
        <f t="shared" ca="1" si="60"/>
        <v>5.7028140532072578E-2</v>
      </c>
      <c r="L470" s="75"/>
    </row>
    <row r="471" spans="2:12">
      <c r="B471" s="101">
        <f t="shared" ca="1" si="61"/>
        <v>66599</v>
      </c>
      <c r="C471" s="101">
        <f t="shared" ca="1" si="62"/>
        <v>66629</v>
      </c>
      <c r="D471" s="102">
        <f t="shared" ca="1" si="56"/>
        <v>104.91444216290212</v>
      </c>
      <c r="E471" s="103">
        <f t="shared" ca="1" si="57"/>
        <v>0.56864812975389312</v>
      </c>
      <c r="F471" s="104">
        <f ca="1">IF($C$4="Hombre",(+VLOOKUP(INT(D471)+1,Tablas!$G$9:$K$1240,5,0)*(D471-INT(D471))+VLOOKUP(INT(D471),Tablas!$G$9:$K$1240,5,0)*(INT(D471)+1-D471))/(VLOOKUP(INT($C$5)+1,Tablas!$G$9:$K$1240,5,0)*($C$5-INT($C$5))+VLOOKUP(INT($C$5),Tablas!$G$9:$K$124,5,0)*(INT($C$5)+1-$C$5)),(+VLOOKUP(INT(D471)+1,Tablas!$G$9:$O$1240,9,0)*(D471-INT(D471))+VLOOKUP(INT(D471),Tablas!$G$9:$O$1240,9,0)*(INT(D471)+1-D471))/(VLOOKUP(INT($C$5)+1,Tablas!$G$9:$O$1240,9,0)*($C$5-INT($C$5))+VLOOKUP(INT($C$5),Tablas!$G$9:$O$124,9,0)*(INT($C$5)+1-$C$5)))</f>
        <v>5.516154780771905E-2</v>
      </c>
      <c r="G471" s="97">
        <f ca="1">IF($C$4="Hombre",(+VLOOKUP(INT(D471)+1,Tablas!$G$9:$K$1240,5,0)*(D471-INT(D471))+VLOOKUP(INT(D471),Tablas!$G$9:$K$1240,5,0)*(INT(D471)+1-D471)),+VLOOKUP(INT(D471)+1,Tablas!$G$9:$O$1240,9,0)*(D471-INT(D471))+VLOOKUP(INT(D471),Tablas!$G$9:$O$1240,9,0)*(INT(D471)+1-D471))</f>
        <v>50931.642348355184</v>
      </c>
      <c r="H471" s="105">
        <f t="shared" ca="1" si="58"/>
        <v>1</v>
      </c>
      <c r="I471" s="106">
        <f t="shared" ca="1" si="59"/>
        <v>2.6139592495991164E-3</v>
      </c>
      <c r="J471" s="106">
        <f t="shared" ca="1" si="63"/>
        <v>4.4810729993127714E-3</v>
      </c>
      <c r="K471" s="105">
        <f t="shared" ca="1" si="60"/>
        <v>5.516154780771905E-2</v>
      </c>
      <c r="L471" s="75"/>
    </row>
    <row r="472" spans="2:12">
      <c r="B472" s="101">
        <f t="shared" ca="1" si="61"/>
        <v>66630</v>
      </c>
      <c r="C472" s="101">
        <f t="shared" ca="1" si="62"/>
        <v>66659</v>
      </c>
      <c r="D472" s="102">
        <f t="shared" ca="1" si="56"/>
        <v>104.99657768651609</v>
      </c>
      <c r="E472" s="103">
        <f t="shared" ca="1" si="57"/>
        <v>0.56795316408182184</v>
      </c>
      <c r="F472" s="104">
        <f ca="1">IF($C$4="Hombre",(+VLOOKUP(INT(D472)+1,Tablas!$G$9:$K$1240,5,0)*(D472-INT(D472))+VLOOKUP(INT(D472),Tablas!$G$9:$K$1240,5,0)*(INT(D472)+1-D472))/(VLOOKUP(INT($C$5)+1,Tablas!$G$9:$K$1240,5,0)*($C$5-INT($C$5))+VLOOKUP(INT($C$5),Tablas!$G$9:$K$124,5,0)*(INT($C$5)+1-$C$5)),(+VLOOKUP(INT(D472)+1,Tablas!$G$9:$O$1240,9,0)*(D472-INT(D472))+VLOOKUP(INT(D472),Tablas!$G$9:$O$1240,9,0)*(INT(D472)+1-D472))/(VLOOKUP(INT($C$5)+1,Tablas!$G$9:$O$1240,9,0)*($C$5-INT($C$5))+VLOOKUP(INT($C$5),Tablas!$G$9:$O$124,9,0)*(INT($C$5)+1-$C$5)))</f>
        <v>5.335516775189296E-2</v>
      </c>
      <c r="G472" s="97">
        <f ca="1">IF($C$4="Hombre",(+VLOOKUP(INT(D472)+1,Tablas!$G$9:$K$1240,5,0)*(D472-INT(D472))+VLOOKUP(INT(D472),Tablas!$G$9:$K$1240,5,0)*(INT(D472)+1-D472)),+VLOOKUP(INT(D472)+1,Tablas!$G$9:$O$1240,9,0)*(D472-INT(D472))+VLOOKUP(INT(D472),Tablas!$G$9:$O$1240,9,0)*(INT(D472)+1-D472))</f>
        <v>49263.779378497362</v>
      </c>
      <c r="H472" s="105">
        <f t="shared" ca="1" si="58"/>
        <v>1</v>
      </c>
      <c r="I472" s="106">
        <f t="shared" ca="1" si="59"/>
        <v>2.5252696954003325E-3</v>
      </c>
      <c r="J472" s="106">
        <f t="shared" ca="1" si="63"/>
        <v>2.1645168817717134E-3</v>
      </c>
      <c r="K472" s="105">
        <f t="shared" ca="1" si="60"/>
        <v>5.335516775189296E-2</v>
      </c>
      <c r="L472" s="75"/>
    </row>
    <row r="473" spans="2:12">
      <c r="B473" s="101">
        <f t="shared" ca="1" si="61"/>
        <v>66660</v>
      </c>
      <c r="C473" s="101">
        <f t="shared" ca="1" si="62"/>
        <v>66690</v>
      </c>
      <c r="D473" s="102">
        <f t="shared" ca="1" si="56"/>
        <v>105.08145106091717</v>
      </c>
      <c r="E473" s="103">
        <f t="shared" ca="1" si="57"/>
        <v>0.56723592515719257</v>
      </c>
      <c r="F473" s="104">
        <f ca="1">IF($C$4="Hombre",(+VLOOKUP(INT(D473)+1,Tablas!$G$9:$K$1240,5,0)*(D473-INT(D473))+VLOOKUP(INT(D473),Tablas!$G$9:$K$1240,5,0)*(INT(D473)+1-D473))/(VLOOKUP(INT($C$5)+1,Tablas!$G$9:$K$1240,5,0)*($C$5-INT($C$5))+VLOOKUP(INT($C$5),Tablas!$G$9:$K$124,5,0)*(INT($C$5)+1-$C$5)),(+VLOOKUP(INT(D473)+1,Tablas!$G$9:$O$1240,9,0)*(D473-INT(D473))+VLOOKUP(INT(D473),Tablas!$G$9:$O$1240,9,0)*(INT(D473)+1-D473))/(VLOOKUP(INT($C$5)+1,Tablas!$G$9:$O$1240,9,0)*($C$5-INT($C$5))+VLOOKUP(INT($C$5),Tablas!$G$9:$O$124,9,0)*(INT($C$5)+1-$C$5)))</f>
        <v>5.1862389451397019E-2</v>
      </c>
      <c r="G473" s="97">
        <f ca="1">IF($C$4="Hombre",(+VLOOKUP(INT(D473)+1,Tablas!$G$9:$K$1240,5,0)*(D473-INT(D473))+VLOOKUP(INT(D473),Tablas!$G$9:$K$1240,5,0)*(INT(D473)+1-D473)),+VLOOKUP(INT(D473)+1,Tablas!$G$9:$O$1240,9,0)*(D473-INT(D473))+VLOOKUP(INT(D473),Tablas!$G$9:$O$1240,9,0)*(INT(D473)+1-D473))</f>
        <v>47885.470510673942</v>
      </c>
      <c r="H473" s="105">
        <f t="shared" ca="1" si="58"/>
        <v>1</v>
      </c>
      <c r="I473" s="106">
        <f t="shared" ca="1" si="59"/>
        <v>2.4515175384438176E-3</v>
      </c>
      <c r="J473" s="106">
        <f t="shared" ca="1" si="63"/>
        <v>2.1013007472375578E-3</v>
      </c>
      <c r="K473" s="105">
        <f t="shared" ca="1" si="60"/>
        <v>5.1862389451397019E-2</v>
      </c>
      <c r="L473" s="75"/>
    </row>
    <row r="474" spans="2:12">
      <c r="B474" s="101">
        <f t="shared" ca="1" si="61"/>
        <v>66691</v>
      </c>
      <c r="C474" s="101">
        <f t="shared" ca="1" si="62"/>
        <v>66721</v>
      </c>
      <c r="D474" s="102">
        <f t="shared" ca="1" si="56"/>
        <v>105.16632443531827</v>
      </c>
      <c r="E474" s="103">
        <f t="shared" ca="1" si="57"/>
        <v>0.56651959199681901</v>
      </c>
      <c r="F474" s="104">
        <f ca="1">IF($C$4="Hombre",(+VLOOKUP(INT(D474)+1,Tablas!$G$9:$K$1240,5,0)*(D474-INT(D474))+VLOOKUP(INT(D474),Tablas!$G$9:$K$1240,5,0)*(INT(D474)+1-D474))/(VLOOKUP(INT($C$5)+1,Tablas!$G$9:$K$1240,5,0)*($C$5-INT($C$5))+VLOOKUP(INT($C$5),Tablas!$G$9:$K$124,5,0)*(INT($C$5)+1-$C$5)),(+VLOOKUP(INT(D474)+1,Tablas!$G$9:$O$1240,9,0)*(D474-INT(D474))+VLOOKUP(INT(D474),Tablas!$G$9:$O$1240,9,0)*(INT(D474)+1-D474))/(VLOOKUP(INT($C$5)+1,Tablas!$G$9:$O$1240,9,0)*($C$5-INT($C$5))+VLOOKUP(INT($C$5),Tablas!$G$9:$O$124,9,0)*(INT($C$5)+1-$C$5)))</f>
        <v>5.0385317639298169E-2</v>
      </c>
      <c r="G474" s="97">
        <f ca="1">IF($C$4="Hombre",(+VLOOKUP(INT(D474)+1,Tablas!$G$9:$K$1240,5,0)*(D474-INT(D474))+VLOOKUP(INT(D474),Tablas!$G$9:$K$1240,5,0)*(INT(D474)+1-D474)),+VLOOKUP(INT(D474)+1,Tablas!$G$9:$O$1240,9,0)*(D474-INT(D474))+VLOOKUP(INT(D474),Tablas!$G$9:$O$1240,9,0)*(INT(D474)+1-D474))</f>
        <v>46521.66372412601</v>
      </c>
      <c r="H474" s="105">
        <f t="shared" ca="1" si="58"/>
        <v>1</v>
      </c>
      <c r="I474" s="106">
        <f t="shared" ca="1" si="59"/>
        <v>2.3786891326371103E-3</v>
      </c>
      <c r="J474" s="106">
        <f t="shared" ca="1" si="63"/>
        <v>2.0388763994032373E-3</v>
      </c>
      <c r="K474" s="105">
        <f t="shared" ca="1" si="60"/>
        <v>5.0385317639298169E-2</v>
      </c>
      <c r="L474" s="75"/>
    </row>
    <row r="475" spans="2:12">
      <c r="B475" s="101">
        <f t="shared" ca="1" si="61"/>
        <v>66722</v>
      </c>
      <c r="C475" s="101">
        <f t="shared" ca="1" si="62"/>
        <v>66751</v>
      </c>
      <c r="D475" s="102">
        <f t="shared" ca="1" si="56"/>
        <v>105.24845995893224</v>
      </c>
      <c r="E475" s="103">
        <f t="shared" ca="1" si="57"/>
        <v>0.56582722768857086</v>
      </c>
      <c r="F475" s="104">
        <f ca="1">IF($C$4="Hombre",(+VLOOKUP(INT(D475)+1,Tablas!$G$9:$K$1240,5,0)*(D475-INT(D475))+VLOOKUP(INT(D475),Tablas!$G$9:$K$1240,5,0)*(INT(D475)+1-D475))/(VLOOKUP(INT($C$5)+1,Tablas!$G$9:$K$1240,5,0)*($C$5-INT($C$5))+VLOOKUP(INT($C$5),Tablas!$G$9:$K$124,5,0)*(INT($C$5)+1-$C$5)),(+VLOOKUP(INT(D475)+1,Tablas!$G$9:$O$1240,9,0)*(D475-INT(D475))+VLOOKUP(INT(D475),Tablas!$G$9:$O$1240,9,0)*(INT(D475)+1-D475))/(VLOOKUP(INT($C$5)+1,Tablas!$G$9:$O$1240,9,0)*($C$5-INT($C$5))+VLOOKUP(INT($C$5),Tablas!$G$9:$O$124,9,0)*(INT($C$5)+1-$C$5)))</f>
        <v>4.8955893305008887E-2</v>
      </c>
      <c r="G475" s="97">
        <f ca="1">IF($C$4="Hombre",(+VLOOKUP(INT(D475)+1,Tablas!$G$9:$K$1240,5,0)*(D475-INT(D475))+VLOOKUP(INT(D475),Tablas!$G$9:$K$1240,5,0)*(INT(D475)+1-D475)),+VLOOKUP(INT(D475)+1,Tablas!$G$9:$O$1240,9,0)*(D475-INT(D475))+VLOOKUP(INT(D475),Tablas!$G$9:$O$1240,9,0)*(INT(D475)+1-D475))</f>
        <v>45201.850704886005</v>
      </c>
      <c r="H475" s="105">
        <f t="shared" ca="1" si="58"/>
        <v>1</v>
      </c>
      <c r="I475" s="106">
        <f t="shared" ca="1" si="59"/>
        <v>2.3083814489825538E-3</v>
      </c>
      <c r="J475" s="106">
        <f t="shared" ca="1" si="63"/>
        <v>1.9786126705564747E-3</v>
      </c>
      <c r="K475" s="105">
        <f t="shared" ca="1" si="60"/>
        <v>4.8955893305008887E-2</v>
      </c>
      <c r="L475" s="75"/>
    </row>
    <row r="476" spans="2:12">
      <c r="B476" s="101">
        <f t="shared" ca="1" si="61"/>
        <v>66752</v>
      </c>
      <c r="C476" s="101">
        <f t="shared" ca="1" si="62"/>
        <v>66782</v>
      </c>
      <c r="D476" s="102">
        <f t="shared" ca="1" si="56"/>
        <v>105.33333333333333</v>
      </c>
      <c r="E476" s="103">
        <f t="shared" ca="1" si="57"/>
        <v>0.56511267349998839</v>
      </c>
      <c r="F476" s="104">
        <f ca="1">IF($C$4="Hombre",(+VLOOKUP(INT(D476)+1,Tablas!$G$9:$K$1240,5,0)*(D476-INT(D476))+VLOOKUP(INT(D476),Tablas!$G$9:$K$1240,5,0)*(INT(D476)+1-D476))/(VLOOKUP(INT($C$5)+1,Tablas!$G$9:$K$1240,5,0)*($C$5-INT($C$5))+VLOOKUP(INT($C$5),Tablas!$G$9:$K$124,5,0)*(INT($C$5)+1-$C$5)),(+VLOOKUP(INT(D476)+1,Tablas!$G$9:$O$1240,9,0)*(D476-INT(D476))+VLOOKUP(INT(D476),Tablas!$G$9:$O$1240,9,0)*(INT(D476)+1-D476))/(VLOOKUP(INT($C$5)+1,Tablas!$G$9:$O$1240,9,0)*($C$5-INT($C$5))+VLOOKUP(INT($C$5),Tablas!$G$9:$O$124,9,0)*(INT($C$5)+1-$C$5)))</f>
        <v>4.7478821492910293E-2</v>
      </c>
      <c r="G476" s="97">
        <f ca="1">IF($C$4="Hombre",(+VLOOKUP(INT(D476)+1,Tablas!$G$9:$K$1240,5,0)*(D476-INT(D476))+VLOOKUP(INT(D476),Tablas!$G$9:$K$1240,5,0)*(INT(D476)+1-D476)),+VLOOKUP(INT(D476)+1,Tablas!$G$9:$O$1240,9,0)*(D476-INT(D476))+VLOOKUP(INT(D476),Tablas!$G$9:$O$1240,9,0)*(INT(D476)+1-D476))</f>
        <v>43838.043918338313</v>
      </c>
      <c r="H476" s="105">
        <f t="shared" ca="1" si="58"/>
        <v>1</v>
      </c>
      <c r="I476" s="106">
        <f t="shared" ca="1" si="59"/>
        <v>2.2359069790406035E-3</v>
      </c>
      <c r="J476" s="106">
        <f t="shared" ca="1" si="63"/>
        <v>1.9164916963205175E-3</v>
      </c>
      <c r="K476" s="105">
        <f t="shared" ca="1" si="60"/>
        <v>4.7478821492910293E-2</v>
      </c>
      <c r="L476" s="75"/>
    </row>
    <row r="477" spans="2:12">
      <c r="B477" s="101">
        <f t="shared" ca="1" si="61"/>
        <v>66783</v>
      </c>
      <c r="C477" s="101">
        <f t="shared" ca="1" si="62"/>
        <v>66812</v>
      </c>
      <c r="D477" s="102">
        <f t="shared" ca="1" si="56"/>
        <v>105.4154688569473</v>
      </c>
      <c r="E477" s="103">
        <f t="shared" ca="1" si="57"/>
        <v>0.56442202863827939</v>
      </c>
      <c r="F477" s="104">
        <f ca="1">IF($C$4="Hombre",(+VLOOKUP(INT(D477)+1,Tablas!$G$9:$K$1240,5,0)*(D477-INT(D477))+VLOOKUP(INT(D477),Tablas!$G$9:$K$1240,5,0)*(INT(D477)+1-D477))/(VLOOKUP(INT($C$5)+1,Tablas!$G$9:$K$1240,5,0)*($C$5-INT($C$5))+VLOOKUP(INT($C$5),Tablas!$G$9:$K$124,5,0)*(INT($C$5)+1-$C$5)),(+VLOOKUP(INT(D477)+1,Tablas!$G$9:$O$1240,9,0)*(D477-INT(D477))+VLOOKUP(INT(D477),Tablas!$G$9:$O$1240,9,0)*(INT(D477)+1-D477))/(VLOOKUP(INT($C$5)+1,Tablas!$G$9:$O$1240,9,0)*($C$5-INT($C$5))+VLOOKUP(INT($C$5),Tablas!$G$9:$O$124,9,0)*(INT($C$5)+1-$C$5)))</f>
        <v>4.6049397158621011E-2</v>
      </c>
      <c r="G477" s="97">
        <f ca="1">IF($C$4="Hombre",(+VLOOKUP(INT(D477)+1,Tablas!$G$9:$K$1240,5,0)*(D477-INT(D477))+VLOOKUP(INT(D477),Tablas!$G$9:$K$1240,5,0)*(INT(D477)+1-D477)),+VLOOKUP(INT(D477)+1,Tablas!$G$9:$O$1240,9,0)*(D477-INT(D477))+VLOOKUP(INT(D477),Tablas!$G$9:$O$1240,9,0)*(INT(D477)+1-D477))</f>
        <v>42518.230899098307</v>
      </c>
      <c r="H477" s="105">
        <f t="shared" ca="1" si="58"/>
        <v>1</v>
      </c>
      <c r="I477" s="106">
        <f t="shared" ca="1" si="59"/>
        <v>2.1659411801532242E-3</v>
      </c>
      <c r="J477" s="106">
        <f t="shared" ca="1" si="63"/>
        <v>3.7130420231198127E-3</v>
      </c>
      <c r="K477" s="105">
        <f t="shared" ca="1" si="60"/>
        <v>4.6049397158621011E-2</v>
      </c>
      <c r="L477" s="75"/>
    </row>
    <row r="478" spans="2:12">
      <c r="B478" s="101">
        <f t="shared" ca="1" si="61"/>
        <v>66813</v>
      </c>
      <c r="C478" s="101">
        <f t="shared" ca="1" si="62"/>
        <v>66843</v>
      </c>
      <c r="D478" s="102">
        <f t="shared" ca="1" si="56"/>
        <v>105.5003422313484</v>
      </c>
      <c r="E478" s="103">
        <f t="shared" ca="1" si="57"/>
        <v>0.56370924900351471</v>
      </c>
      <c r="F478" s="104">
        <f ca="1">IF($C$4="Hombre",(+VLOOKUP(INT(D478)+1,Tablas!$G$9:$K$1240,5,0)*(D478-INT(D478))+VLOOKUP(INT(D478),Tablas!$G$9:$K$1240,5,0)*(INT(D478)+1-D478))/(VLOOKUP(INT($C$5)+1,Tablas!$G$9:$K$1240,5,0)*($C$5-INT($C$5))+VLOOKUP(INT($C$5),Tablas!$G$9:$K$124,5,0)*(INT($C$5)+1-$C$5)),(+VLOOKUP(INT(D478)+1,Tablas!$G$9:$O$1240,9,0)*(D478-INT(D478))+VLOOKUP(INT(D478),Tablas!$G$9:$O$1240,9,0)*(INT(D478)+1-D478))/(VLOOKUP(INT($C$5)+1,Tablas!$G$9:$O$1240,9,0)*($C$5-INT($C$5))+VLOOKUP(INT($C$5),Tablas!$G$9:$O$124,9,0)*(INT($C$5)+1-$C$5)))</f>
        <v>4.4572325346522168E-2</v>
      </c>
      <c r="G478" s="97">
        <f ca="1">IF($C$4="Hombre",(+VLOOKUP(INT(D478)+1,Tablas!$G$9:$K$1240,5,0)*(D478-INT(D478))+VLOOKUP(INT(D478),Tablas!$G$9:$K$1240,5,0)*(INT(D478)+1-D478)),+VLOOKUP(INT(D478)+1,Tablas!$G$9:$O$1240,9,0)*(D478-INT(D478))+VLOOKUP(INT(D478),Tablas!$G$9:$O$1240,9,0)*(INT(D478)+1-D478))</f>
        <v>41154.424112550383</v>
      </c>
      <c r="H478" s="105">
        <f t="shared" ca="1" si="58"/>
        <v>1</v>
      </c>
      <c r="I478" s="106">
        <f t="shared" ca="1" si="59"/>
        <v>2.0938193372856944E-3</v>
      </c>
      <c r="J478" s="106">
        <f t="shared" ca="1" si="63"/>
        <v>1.7947022891020238E-3</v>
      </c>
      <c r="K478" s="105">
        <f t="shared" ca="1" si="60"/>
        <v>4.4572325346522168E-2</v>
      </c>
      <c r="L478" s="75"/>
    </row>
    <row r="479" spans="2:12">
      <c r="B479" s="101">
        <f t="shared" ca="1" si="61"/>
        <v>66844</v>
      </c>
      <c r="C479" s="101">
        <f t="shared" ca="1" si="62"/>
        <v>66874</v>
      </c>
      <c r="D479" s="102">
        <f t="shared" ca="1" si="56"/>
        <v>105.58521560574948</v>
      </c>
      <c r="E479" s="103">
        <f t="shared" ca="1" si="57"/>
        <v>0.56299736950159762</v>
      </c>
      <c r="F479" s="104">
        <f ca="1">IF($C$4="Hombre",(+VLOOKUP(INT(D479)+1,Tablas!$G$9:$K$1240,5,0)*(D479-INT(D479))+VLOOKUP(INT(D479),Tablas!$G$9:$K$1240,5,0)*(INT(D479)+1-D479))/(VLOOKUP(INT($C$5)+1,Tablas!$G$9:$K$1240,5,0)*($C$5-INT($C$5))+VLOOKUP(INT($C$5),Tablas!$G$9:$K$124,5,0)*(INT($C$5)+1-$C$5)),(+VLOOKUP(INT(D479)+1,Tablas!$G$9:$O$1240,9,0)*(D479-INT(D479))+VLOOKUP(INT(D479),Tablas!$G$9:$O$1240,9,0)*(INT(D479)+1-D479))/(VLOOKUP(INT($C$5)+1,Tablas!$G$9:$O$1240,9,0)*($C$5-INT($C$5))+VLOOKUP(INT($C$5),Tablas!$G$9:$O$124,9,0)*(INT($C$5)+1-$C$5)))</f>
        <v>4.3095253534423575E-2</v>
      </c>
      <c r="G479" s="97">
        <f ca="1">IF($C$4="Hombre",(+VLOOKUP(INT(D479)+1,Tablas!$G$9:$K$1240,5,0)*(D479-INT(D479))+VLOOKUP(INT(D479),Tablas!$G$9:$K$1240,5,0)*(INT(D479)+1-D479)),+VLOOKUP(INT(D479)+1,Tablas!$G$9:$O$1240,9,0)*(D479-INT(D479))+VLOOKUP(INT(D479),Tablas!$G$9:$O$1240,9,0)*(INT(D479)+1-D479))</f>
        <v>39790.617326002684</v>
      </c>
      <c r="H479" s="105">
        <f t="shared" ca="1" si="58"/>
        <v>1</v>
      </c>
      <c r="I479" s="106">
        <f t="shared" ca="1" si="59"/>
        <v>2.0218761981570751E-3</v>
      </c>
      <c r="J479" s="106">
        <f t="shared" ca="1" si="63"/>
        <v>1.733036741277493E-3</v>
      </c>
      <c r="K479" s="105">
        <f t="shared" ca="1" si="60"/>
        <v>4.3095253534423575E-2</v>
      </c>
      <c r="L479" s="75"/>
    </row>
    <row r="480" spans="2:12">
      <c r="B480" s="101">
        <f t="shared" ca="1" si="61"/>
        <v>66875</v>
      </c>
      <c r="C480" s="101">
        <f t="shared" ca="1" si="62"/>
        <v>66902</v>
      </c>
      <c r="D480" s="102">
        <f t="shared" ca="1" si="56"/>
        <v>105.66187542778918</v>
      </c>
      <c r="E480" s="103">
        <f t="shared" ca="1" si="57"/>
        <v>0.5623551543022095</v>
      </c>
      <c r="F480" s="104">
        <f ca="1">IF($C$4="Hombre",(+VLOOKUP(INT(D480)+1,Tablas!$G$9:$K$1240,5,0)*(D480-INT(D480))+VLOOKUP(INT(D480),Tablas!$G$9:$K$1240,5,0)*(INT(D480)+1-D480))/(VLOOKUP(INT($C$5)+1,Tablas!$G$9:$K$1240,5,0)*($C$5-INT($C$5))+VLOOKUP(INT($C$5),Tablas!$G$9:$K$124,5,0)*(INT($C$5)+1-$C$5)),(+VLOOKUP(INT(D480)+1,Tablas!$G$9:$O$1240,9,0)*(D480-INT(D480))+VLOOKUP(INT(D480),Tablas!$G$9:$O$1240,9,0)*(INT(D480)+1-D480))/(VLOOKUP(INT($C$5)+1,Tablas!$G$9:$O$1240,9,0)*($C$5-INT($C$5))+VLOOKUP(INT($C$5),Tablas!$G$9:$O$124,9,0)*(INT($C$5)+1-$C$5)))</f>
        <v>4.1761124155753657E-2</v>
      </c>
      <c r="G480" s="97">
        <f ca="1">IF($C$4="Hombre",(+VLOOKUP(INT(D480)+1,Tablas!$G$9:$K$1240,5,0)*(D480-INT(D480))+VLOOKUP(INT(D480),Tablas!$G$9:$K$1240,5,0)*(INT(D480)+1-D480)),+VLOOKUP(INT(D480)+1,Tablas!$G$9:$O$1240,9,0)*(D480-INT(D480))+VLOOKUP(INT(D480),Tablas!$G$9:$O$1240,9,0)*(INT(D480)+1-D480))</f>
        <v>38558.791841378756</v>
      </c>
      <c r="H480" s="105">
        <f t="shared" ca="1" si="58"/>
        <v>1</v>
      </c>
      <c r="I480" s="106">
        <f t="shared" ca="1" si="59"/>
        <v>1.9570486182035481E-3</v>
      </c>
      <c r="J480" s="106">
        <f t="shared" ca="1" si="63"/>
        <v>1.6774702441744696E-3</v>
      </c>
      <c r="K480" s="105">
        <f t="shared" ca="1" si="60"/>
        <v>4.1761124155753657E-2</v>
      </c>
      <c r="L480" s="75"/>
    </row>
    <row r="481" spans="2:12">
      <c r="B481" s="101">
        <f t="shared" ca="1" si="61"/>
        <v>66903</v>
      </c>
      <c r="C481" s="101">
        <f t="shared" ca="1" si="62"/>
        <v>66933</v>
      </c>
      <c r="D481" s="102">
        <f t="shared" ca="1" si="56"/>
        <v>105.74674880219028</v>
      </c>
      <c r="E481" s="103">
        <f t="shared" ca="1" si="57"/>
        <v>0.56164498481704861</v>
      </c>
      <c r="F481" s="104">
        <f ca="1">IF($C$4="Hombre",(+VLOOKUP(INT(D481)+1,Tablas!$G$9:$K$1240,5,0)*(D481-INT(D481))+VLOOKUP(INT(D481),Tablas!$G$9:$K$1240,5,0)*(INT(D481)+1-D481))/(VLOOKUP(INT($C$5)+1,Tablas!$G$9:$K$1240,5,0)*($C$5-INT($C$5))+VLOOKUP(INT($C$5),Tablas!$G$9:$K$124,5,0)*(INT($C$5)+1-$C$5)),(+VLOOKUP(INT(D481)+1,Tablas!$G$9:$O$1240,9,0)*(D481-INT(D481))+VLOOKUP(INT(D481),Tablas!$G$9:$O$1240,9,0)*(INT(D481)+1-D481))/(VLOOKUP(INT($C$5)+1,Tablas!$G$9:$O$1240,9,0)*($C$5-INT($C$5))+VLOOKUP(INT($C$5),Tablas!$G$9:$O$124,9,0)*(INT($C$5)+1-$C$5)))</f>
        <v>4.0284052343654814E-2</v>
      </c>
      <c r="G481" s="97">
        <f ca="1">IF($C$4="Hombre",(+VLOOKUP(INT(D481)+1,Tablas!$G$9:$K$1240,5,0)*(D481-INT(D481))+VLOOKUP(INT(D481),Tablas!$G$9:$K$1240,5,0)*(INT(D481)+1-D481)),+VLOOKUP(INT(D481)+1,Tablas!$G$9:$O$1240,9,0)*(D481-INT(D481))+VLOOKUP(INT(D481),Tablas!$G$9:$O$1240,9,0)*(INT(D481)+1-D481))</f>
        <v>37194.985054830831</v>
      </c>
      <c r="H481" s="105">
        <f t="shared" ca="1" si="58"/>
        <v>1</v>
      </c>
      <c r="I481" s="106">
        <f t="shared" ca="1" si="59"/>
        <v>1.8854446639100999E-3</v>
      </c>
      <c r="J481" s="106">
        <f t="shared" ca="1" si="63"/>
        <v>1.616095426208657E-3</v>
      </c>
      <c r="K481" s="105">
        <f t="shared" ca="1" si="60"/>
        <v>4.0284052343654814E-2</v>
      </c>
      <c r="L481" s="75"/>
    </row>
    <row r="482" spans="2:12">
      <c r="B482" s="101">
        <f t="shared" ca="1" si="61"/>
        <v>66934</v>
      </c>
      <c r="C482" s="101">
        <f t="shared" ca="1" si="62"/>
        <v>66963</v>
      </c>
      <c r="D482" s="102">
        <f t="shared" ca="1" si="56"/>
        <v>105.82888432580424</v>
      </c>
      <c r="E482" s="103">
        <f t="shared" ca="1" si="57"/>
        <v>0.56095857794447568</v>
      </c>
      <c r="F482" s="104">
        <f ca="1">IF($C$4="Hombre",(+VLOOKUP(INT(D482)+1,Tablas!$G$9:$K$1240,5,0)*(D482-INT(D482))+VLOOKUP(INT(D482),Tablas!$G$9:$K$1240,5,0)*(INT(D482)+1-D482))/(VLOOKUP(INT($C$5)+1,Tablas!$G$9:$K$1240,5,0)*($C$5-INT($C$5))+VLOOKUP(INT($C$5),Tablas!$G$9:$K$124,5,0)*(INT($C$5)+1-$C$5)),(+VLOOKUP(INT(D482)+1,Tablas!$G$9:$O$1240,9,0)*(D482-INT(D482))+VLOOKUP(INT(D482),Tablas!$G$9:$O$1240,9,0)*(INT(D482)+1-D482))/(VLOOKUP(INT($C$5)+1,Tablas!$G$9:$O$1240,9,0)*($C$5-INT($C$5))+VLOOKUP(INT($C$5),Tablas!$G$9:$O$124,9,0)*(INT($C$5)+1-$C$5)))</f>
        <v>3.8854628009365781E-2</v>
      </c>
      <c r="G482" s="97">
        <f ca="1">IF($C$4="Hombre",(+VLOOKUP(INT(D482)+1,Tablas!$G$9:$K$1240,5,0)*(D482-INT(D482))+VLOOKUP(INT(D482),Tablas!$G$9:$K$1240,5,0)*(INT(D482)+1-D482)),+VLOOKUP(INT(D482)+1,Tablas!$G$9:$O$1240,9,0)*(D482-INT(D482))+VLOOKUP(INT(D482),Tablas!$G$9:$O$1240,9,0)*(INT(D482)+1-D482))</f>
        <v>35875.172035591058</v>
      </c>
      <c r="H482" s="105">
        <f t="shared" ca="1" si="58"/>
        <v>1</v>
      </c>
      <c r="I482" s="106">
        <f t="shared" ca="1" si="59"/>
        <v>1.8163197395579518E-3</v>
      </c>
      <c r="J482" s="106">
        <f t="shared" ca="1" si="63"/>
        <v>1.556845491049673E-3</v>
      </c>
      <c r="K482" s="105">
        <f t="shared" ca="1" si="60"/>
        <v>3.8854628009365781E-2</v>
      </c>
      <c r="L482" s="75"/>
    </row>
    <row r="483" spans="2:12">
      <c r="B483" s="101">
        <f t="shared" ca="1" si="61"/>
        <v>66964</v>
      </c>
      <c r="C483" s="101">
        <f t="shared" ca="1" si="62"/>
        <v>66994</v>
      </c>
      <c r="D483" s="102">
        <f t="shared" ca="1" si="56"/>
        <v>105.91375770020534</v>
      </c>
      <c r="E483" s="103">
        <f t="shared" ca="1" si="57"/>
        <v>0.56025017212397643</v>
      </c>
      <c r="F483" s="104">
        <f ca="1">IF($C$4="Hombre",(+VLOOKUP(INT(D483)+1,Tablas!$G$9:$K$1240,5,0)*(D483-INT(D483))+VLOOKUP(INT(D483),Tablas!$G$9:$K$1240,5,0)*(INT(D483)+1-D483))/(VLOOKUP(INT($C$5)+1,Tablas!$G$9:$K$1240,5,0)*($C$5-INT($C$5))+VLOOKUP(INT($C$5),Tablas!$G$9:$K$124,5,0)*(INT($C$5)+1-$C$5)),(+VLOOKUP(INT(D483)+1,Tablas!$G$9:$O$1240,9,0)*(D483-INT(D483))+VLOOKUP(INT(D483),Tablas!$G$9:$O$1240,9,0)*(INT(D483)+1-D483))/(VLOOKUP(INT($C$5)+1,Tablas!$G$9:$O$1240,9,0)*($C$5-INT($C$5))+VLOOKUP(INT($C$5),Tablas!$G$9:$O$124,9,0)*(INT($C$5)+1-$C$5)))</f>
        <v>3.7377556197266931E-2</v>
      </c>
      <c r="G483" s="97">
        <f ca="1">IF($C$4="Hombre",(+VLOOKUP(INT(D483)+1,Tablas!$G$9:$K$1240,5,0)*(D483-INT(D483))+VLOOKUP(INT(D483),Tablas!$G$9:$K$1240,5,0)*(INT(D483)+1-D483)),+VLOOKUP(INT(D483)+1,Tablas!$G$9:$O$1240,9,0)*(D483-INT(D483))+VLOOKUP(INT(D483),Tablas!$G$9:$O$1240,9,0)*(INT(D483)+1-D483))</f>
        <v>34511.365249043127</v>
      </c>
      <c r="H483" s="105">
        <f t="shared" ca="1" si="58"/>
        <v>1</v>
      </c>
      <c r="I483" s="106">
        <f t="shared" ca="1" si="59"/>
        <v>1.7450651910910333E-3</v>
      </c>
      <c r="J483" s="106">
        <f t="shared" ca="1" si="63"/>
        <v>2.9915403275846283E-3</v>
      </c>
      <c r="K483" s="105">
        <f t="shared" ca="1" si="60"/>
        <v>3.7377556197266931E-2</v>
      </c>
      <c r="L483" s="75"/>
    </row>
    <row r="484" spans="2:12">
      <c r="B484" s="101">
        <f t="shared" ca="1" si="61"/>
        <v>66995</v>
      </c>
      <c r="C484" s="101">
        <f t="shared" ca="1" si="62"/>
        <v>67024</v>
      </c>
      <c r="D484" s="102">
        <f t="shared" ca="1" si="56"/>
        <v>105.99589322381931</v>
      </c>
      <c r="E484" s="103">
        <f t="shared" ca="1" si="57"/>
        <v>0.55956546990299705</v>
      </c>
      <c r="F484" s="104">
        <f ca="1">IF($C$4="Hombre",(+VLOOKUP(INT(D484)+1,Tablas!$G$9:$K$1240,5,0)*(D484-INT(D484))+VLOOKUP(INT(D484),Tablas!$G$9:$K$1240,5,0)*(INT(D484)+1-D484))/(VLOOKUP(INT($C$5)+1,Tablas!$G$9:$K$1240,5,0)*($C$5-INT($C$5))+VLOOKUP(INT($C$5),Tablas!$G$9:$K$124,5,0)*(INT($C$5)+1-$C$5)),(+VLOOKUP(INT(D484)+1,Tablas!$G$9:$O$1240,9,0)*(D484-INT(D484))+VLOOKUP(INT(D484),Tablas!$G$9:$O$1240,9,0)*(INT(D484)+1-D484))/(VLOOKUP(INT($C$5)+1,Tablas!$G$9:$O$1240,9,0)*($C$5-INT($C$5))+VLOOKUP(INT($C$5),Tablas!$G$9:$O$124,9,0)*(INT($C$5)+1-$C$5)))</f>
        <v>3.5948131862977649E-2</v>
      </c>
      <c r="G484" s="97">
        <f ca="1">IF($C$4="Hombre",(+VLOOKUP(INT(D484)+1,Tablas!$G$9:$K$1240,5,0)*(D484-INT(D484))+VLOOKUP(INT(D484),Tablas!$G$9:$K$1240,5,0)*(INT(D484)+1-D484)),+VLOOKUP(INT(D484)+1,Tablas!$G$9:$O$1240,9,0)*(D484-INT(D484))+VLOOKUP(INT(D484),Tablas!$G$9:$O$1240,9,0)*(INT(D484)+1-D484))</f>
        <v>33191.552229803121</v>
      </c>
      <c r="H484" s="105">
        <f t="shared" ca="1" si="58"/>
        <v>1</v>
      </c>
      <c r="I484" s="106">
        <f t="shared" ca="1" si="59"/>
        <v>1.6762777748368324E-3</v>
      </c>
      <c r="J484" s="106">
        <f t="shared" ca="1" si="63"/>
        <v>1.4368095212887136E-3</v>
      </c>
      <c r="K484" s="105">
        <f t="shared" ca="1" si="60"/>
        <v>3.5948131862977649E-2</v>
      </c>
      <c r="L484" s="75"/>
    </row>
    <row r="485" spans="2:12">
      <c r="B485" s="101">
        <f t="shared" ca="1" si="61"/>
        <v>67025</v>
      </c>
      <c r="C485" s="101">
        <f t="shared" ca="1" si="62"/>
        <v>67055</v>
      </c>
      <c r="D485" s="102">
        <f t="shared" ca="1" si="56"/>
        <v>106.08076659822039</v>
      </c>
      <c r="E485" s="103">
        <f t="shared" ca="1" si="57"/>
        <v>0.55885882336720094</v>
      </c>
      <c r="F485" s="104">
        <f ca="1">IF($C$4="Hombre",(+VLOOKUP(INT(D485)+1,Tablas!$G$9:$K$1240,5,0)*(D485-INT(D485))+VLOOKUP(INT(D485),Tablas!$G$9:$K$1240,5,0)*(INT(D485)+1-D485))/(VLOOKUP(INT($C$5)+1,Tablas!$G$9:$K$1240,5,0)*($C$5-INT($C$5))+VLOOKUP(INT($C$5),Tablas!$G$9:$K$124,5,0)*(INT($C$5)+1-$C$5)),(+VLOOKUP(INT(D485)+1,Tablas!$G$9:$O$1240,9,0)*(D485-INT(D485))+VLOOKUP(INT(D485),Tablas!$G$9:$O$1240,9,0)*(INT(D485)+1-D485))/(VLOOKUP(INT($C$5)+1,Tablas!$G$9:$O$1240,9,0)*($C$5-INT($C$5))+VLOOKUP(INT($C$5),Tablas!$G$9:$O$124,9,0)*(INT($C$5)+1-$C$5)))</f>
        <v>3.481590807770063E-2</v>
      </c>
      <c r="G485" s="97">
        <f ca="1">IF($C$4="Hombre",(+VLOOKUP(INT(D485)+1,Tablas!$G$9:$K$1240,5,0)*(D485-INT(D485))+VLOOKUP(INT(D485),Tablas!$G$9:$K$1240,5,0)*(INT(D485)+1-D485)),+VLOOKUP(INT(D485)+1,Tablas!$G$9:$O$1240,9,0)*(D485-INT(D485))+VLOOKUP(INT(D485),Tablas!$G$9:$O$1240,9,0)*(INT(D485)+1-D485))</f>
        <v>32146.149785857189</v>
      </c>
      <c r="H485" s="105">
        <f t="shared" ca="1" si="58"/>
        <v>1</v>
      </c>
      <c r="I485" s="106">
        <f t="shared" ca="1" si="59"/>
        <v>1.6214314518970335E-3</v>
      </c>
      <c r="J485" s="106">
        <f t="shared" ca="1" si="63"/>
        <v>1.3897983873403144E-3</v>
      </c>
      <c r="K485" s="105">
        <f t="shared" ca="1" si="60"/>
        <v>3.481590807770063E-2</v>
      </c>
      <c r="L485" s="75"/>
    </row>
    <row r="486" spans="2:12">
      <c r="B486" s="101">
        <f t="shared" ca="1" si="61"/>
        <v>67056</v>
      </c>
      <c r="C486" s="101">
        <f t="shared" ca="1" si="62"/>
        <v>67086</v>
      </c>
      <c r="D486" s="102">
        <f t="shared" ca="1" si="56"/>
        <v>106.16563997262149</v>
      </c>
      <c r="E486" s="103">
        <f ca="1">IF($D$17+40&lt;=D486,(1+$D$7)^-(D486-$C$5),(1+$C$7)^-(D486-$C$5))</f>
        <v>0.55815306921907581</v>
      </c>
      <c r="F486" s="104">
        <f ca="1">IF($C$4="Hombre",(+VLOOKUP(INT(D486)+1,Tablas!$G$9:$K$1240,5,0)*(D486-INT(D486))+VLOOKUP(INT(D486),Tablas!$G$9:$K$1240,5,0)*(INT(D486)+1-D486))/(VLOOKUP(INT($C$5)+1,Tablas!$G$9:$K$1240,5,0)*($C$5-INT($C$5))+VLOOKUP(INT($C$5),Tablas!$G$9:$K$124,5,0)*(INT($C$5)+1-$C$5)),(+VLOOKUP(INT(D486)+1,Tablas!$G$9:$O$1240,9,0)*(D486-INT(D486))+VLOOKUP(INT(D486),Tablas!$G$9:$O$1240,9,0)*(INT(D486)+1-D486))/(VLOOKUP(INT($C$5)+1,Tablas!$G$9:$O$1240,9,0)*($C$5-INT($C$5))+VLOOKUP(INT($C$5),Tablas!$G$9:$O$124,9,0)*(INT($C$5)+1-$C$5)))</f>
        <v>3.3701218937855007E-2</v>
      </c>
      <c r="G486" s="97">
        <f ca="1">IF($C$4="Hombre",(+VLOOKUP(INT(D486)+1,Tablas!$G$9:$K$1240,5,0)*(D486-INT(D486))+VLOOKUP(INT(D486),Tablas!$G$9:$K$1240,5,0)*(INT(D486)+1-D486)),+VLOOKUP(INT(D486)+1,Tablas!$G$9:$O$1240,9,0)*(D486-INT(D486))+VLOOKUP(INT(D486),Tablas!$G$9:$O$1240,9,0)*(INT(D486)+1-D486))</f>
        <v>31116.937393229793</v>
      </c>
      <c r="H486" s="105">
        <f t="shared" ca="1" si="58"/>
        <v>1</v>
      </c>
      <c r="I486" s="106">
        <f ca="1">IF(B486&lt;$C$10,0,IF(B486&lt;$C$11,$C$8/12*E486*F486*H486,0))</f>
        <v>1.5675365655489844E-3</v>
      </c>
      <c r="J486" s="106">
        <f t="shared" ca="1" si="63"/>
        <v>1.3436027704705582E-3</v>
      </c>
      <c r="K486" s="105">
        <f t="shared" ca="1" si="60"/>
        <v>3.3701218937855007E-2</v>
      </c>
      <c r="L486" s="75"/>
    </row>
    <row r="487" spans="2:12">
      <c r="B487" s="101">
        <f t="shared" ca="1" si="61"/>
        <v>67087</v>
      </c>
      <c r="C487" s="101">
        <f t="shared" ca="1" si="62"/>
        <v>67116</v>
      </c>
      <c r="D487" s="102">
        <f t="shared" ca="1" si="56"/>
        <v>106.24777549623545</v>
      </c>
      <c r="E487" s="103">
        <f t="shared" ref="E487:E496" ca="1" si="64">IF($D$17+40&lt;=D487,(1+$D$7)^-(D487-$C$5),(1+$C$7)^-(D487-$C$5))</f>
        <v>0.55747092994423753</v>
      </c>
      <c r="F487" s="104">
        <f ca="1">IF($C$4="Hombre",(+VLOOKUP(INT(D487)+1,Tablas!$G$9:$K$1240,5,0)*(D487-INT(D487))+VLOOKUP(INT(D487),Tablas!$G$9:$K$1240,5,0)*(INT(D487)+1-D487))/(VLOOKUP(INT($C$5)+1,Tablas!$G$9:$K$1240,5,0)*($C$5-INT($C$5))+VLOOKUP(INT($C$5),Tablas!$G$9:$K$124,5,0)*(INT($C$5)+1-$C$5)),(+VLOOKUP(INT(D487)+1,Tablas!$G$9:$O$1240,9,0)*(D487-INT(D487))+VLOOKUP(INT(D487),Tablas!$G$9:$O$1240,9,0)*(INT(D487)+1-D487))/(VLOOKUP(INT($C$5)+1,Tablas!$G$9:$O$1240,9,0)*($C$5-INT($C$5))+VLOOKUP(INT($C$5),Tablas!$G$9:$O$124,9,0)*(INT($C$5)+1-$C$5)))</f>
        <v>3.2622487512198074E-2</v>
      </c>
      <c r="G487" s="97">
        <f ca="1">IF($C$4="Hombre",(+VLOOKUP(INT(D487)+1,Tablas!$G$9:$K$1240,5,0)*(D487-INT(D487))+VLOOKUP(INT(D487),Tablas!$G$9:$K$1240,5,0)*(INT(D487)+1-D487)),+VLOOKUP(INT(D487)+1,Tablas!$G$9:$O$1240,9,0)*(D487-INT(D487))+VLOOKUP(INT(D487),Tablas!$G$9:$O$1240,9,0)*(INT(D487)+1-D487))</f>
        <v>30120.925400364686</v>
      </c>
      <c r="H487" s="105">
        <f t="shared" ca="1" si="58"/>
        <v>1</v>
      </c>
      <c r="I487" s="106">
        <f t="shared" ca="1" si="59"/>
        <v>1.5155073708766112E-3</v>
      </c>
      <c r="J487" s="106">
        <f t="shared" ca="1" si="63"/>
        <v>1.2990063178942382E-3</v>
      </c>
      <c r="K487" s="105">
        <f t="shared" ca="1" si="60"/>
        <v>3.2622487512198074E-2</v>
      </c>
      <c r="L487" s="75"/>
    </row>
    <row r="488" spans="2:12">
      <c r="B488" s="101">
        <f t="shared" ca="1" si="61"/>
        <v>67117</v>
      </c>
      <c r="C488" s="101">
        <f t="shared" ca="1" si="62"/>
        <v>67147</v>
      </c>
      <c r="D488" s="102">
        <f t="shared" ca="1" si="56"/>
        <v>106.33264887063655</v>
      </c>
      <c r="E488" s="103">
        <f t="shared" ca="1" si="64"/>
        <v>0.5567669284955411</v>
      </c>
      <c r="F488" s="104">
        <f ca="1">IF($C$4="Hombre",(+VLOOKUP(INT(D488)+1,Tablas!$G$9:$K$1240,5,0)*(D488-INT(D488))+VLOOKUP(INT(D488),Tablas!$G$9:$K$1240,5,0)*(INT(D488)+1-D488))/(VLOOKUP(INT($C$5)+1,Tablas!$G$9:$K$1240,5,0)*($C$5-INT($C$5))+VLOOKUP(INT($C$5),Tablas!$G$9:$K$124,5,0)*(INT($C$5)+1-$C$5)),(+VLOOKUP(INT(D488)+1,Tablas!$G$9:$O$1240,9,0)*(D488-INT(D488))+VLOOKUP(INT(D488),Tablas!$G$9:$O$1240,9,0)*(INT(D488)+1-D488))/(VLOOKUP(INT($C$5)+1,Tablas!$G$9:$O$1240,9,0)*($C$5-INT($C$5))+VLOOKUP(INT($C$5),Tablas!$G$9:$O$124,9,0)*(INT($C$5)+1-$C$5)))</f>
        <v>3.1507798372352451E-2</v>
      </c>
      <c r="G488" s="97">
        <f ca="1">IF($C$4="Hombre",(+VLOOKUP(INT(D488)+1,Tablas!$G$9:$K$1240,5,0)*(D488-INT(D488))+VLOOKUP(INT(D488),Tablas!$G$9:$K$1240,5,0)*(INT(D488)+1-D488)),+VLOOKUP(INT(D488)+1,Tablas!$G$9:$O$1240,9,0)*(D488-INT(D488))+VLOOKUP(INT(D488),Tablas!$G$9:$O$1240,9,0)*(INT(D488)+1-D488))</f>
        <v>29091.713007737286</v>
      </c>
      <c r="H488" s="105">
        <f t="shared" ca="1" si="58"/>
        <v>1</v>
      </c>
      <c r="I488" s="106">
        <f t="shared" ca="1" si="59"/>
        <v>1.4618750102859568E-3</v>
      </c>
      <c r="J488" s="106">
        <f t="shared" ca="1" si="63"/>
        <v>1.2530357231022489E-3</v>
      </c>
      <c r="K488" s="105">
        <f t="shared" ca="1" si="60"/>
        <v>3.1507798372352451E-2</v>
      </c>
      <c r="L488" s="75"/>
    </row>
    <row r="489" spans="2:12">
      <c r="B489" s="101">
        <f t="shared" ca="1" si="61"/>
        <v>67148</v>
      </c>
      <c r="C489" s="101">
        <f t="shared" ca="1" si="62"/>
        <v>67177</v>
      </c>
      <c r="D489" s="102">
        <f t="shared" ca="1" si="56"/>
        <v>106.41478439425052</v>
      </c>
      <c r="E489" s="103">
        <f t="shared" ca="1" si="64"/>
        <v>0.55608648327396537</v>
      </c>
      <c r="F489" s="104">
        <f ca="1">IF($C$4="Hombre",(+VLOOKUP(INT(D489)+1,Tablas!$G$9:$K$1240,5,0)*(D489-INT(D489))+VLOOKUP(INT(D489),Tablas!$G$9:$K$1240,5,0)*(INT(D489)+1-D489))/(VLOOKUP(INT($C$5)+1,Tablas!$G$9:$K$1240,5,0)*($C$5-INT($C$5))+VLOOKUP(INT($C$5),Tablas!$G$9:$K$124,5,0)*(INT($C$5)+1-$C$5)),(+VLOOKUP(INT(D489)+1,Tablas!$G$9:$O$1240,9,0)*(D489-INT(D489))+VLOOKUP(INT(D489),Tablas!$G$9:$O$1240,9,0)*(INT(D489)+1-D489))/(VLOOKUP(INT($C$5)+1,Tablas!$G$9:$O$1240,9,0)*($C$5-INT($C$5))+VLOOKUP(INT($C$5),Tablas!$G$9:$O$124,9,0)*(INT($C$5)+1-$C$5)))</f>
        <v>3.0429066946695331E-2</v>
      </c>
      <c r="G489" s="97">
        <f ca="1">IF($C$4="Hombre",(+VLOOKUP(INT(D489)+1,Tablas!$G$9:$K$1240,5,0)*(D489-INT(D489))+VLOOKUP(INT(D489),Tablas!$G$9:$K$1240,5,0)*(INT(D489)+1-D489)),+VLOOKUP(INT(D489)+1,Tablas!$G$9:$O$1240,9,0)*(D489-INT(D489))+VLOOKUP(INT(D489),Tablas!$G$9:$O$1240,9,0)*(INT(D489)+1-D489))</f>
        <v>28095.701014872007</v>
      </c>
      <c r="H489" s="105">
        <f t="shared" ca="1" si="58"/>
        <v>1</v>
      </c>
      <c r="I489" s="106">
        <f t="shared" ca="1" si="59"/>
        <v>1.4100994023079887E-3</v>
      </c>
      <c r="J489" s="106">
        <f t="shared" ca="1" si="63"/>
        <v>2.4173132610994094E-3</v>
      </c>
      <c r="K489" s="105">
        <f t="shared" ca="1" si="60"/>
        <v>3.0429066946695331E-2</v>
      </c>
      <c r="L489" s="75"/>
    </row>
    <row r="490" spans="2:12">
      <c r="B490" s="101">
        <f t="shared" ca="1" si="61"/>
        <v>67178</v>
      </c>
      <c r="C490" s="101">
        <f t="shared" ca="1" si="62"/>
        <v>67208</v>
      </c>
      <c r="D490" s="102">
        <f t="shared" ca="1" si="56"/>
        <v>106.4996577686516</v>
      </c>
      <c r="E490" s="103">
        <f t="shared" ca="1" si="64"/>
        <v>0.55538423017197036</v>
      </c>
      <c r="F490" s="104">
        <f ca="1">IF($C$4="Hombre",(+VLOOKUP(INT(D490)+1,Tablas!$G$9:$K$1240,5,0)*(D490-INT(D490))+VLOOKUP(INT(D490),Tablas!$G$9:$K$1240,5,0)*(INT(D490)+1-D490))/(VLOOKUP(INT($C$5)+1,Tablas!$G$9:$K$1240,5,0)*($C$5-INT($C$5))+VLOOKUP(INT($C$5),Tablas!$G$9:$K$124,5,0)*(INT($C$5)+1-$C$5)),(+VLOOKUP(INT(D490)+1,Tablas!$G$9:$O$1240,9,0)*(D490-INT(D490))+VLOOKUP(INT(D490),Tablas!$G$9:$O$1240,9,0)*(INT(D490)+1-D490))/(VLOOKUP(INT($C$5)+1,Tablas!$G$9:$O$1240,9,0)*($C$5-INT($C$5))+VLOOKUP(INT($C$5),Tablas!$G$9:$O$124,9,0)*(INT($C$5)+1-$C$5)))</f>
        <v>2.9314377806849892E-2</v>
      </c>
      <c r="G490" s="97">
        <f ca="1">IF($C$4="Hombre",(+VLOOKUP(INT(D490)+1,Tablas!$G$9:$K$1240,5,0)*(D490-INT(D490))+VLOOKUP(INT(D490),Tablas!$G$9:$K$1240,5,0)*(INT(D490)+1-D490)),+VLOOKUP(INT(D490)+1,Tablas!$G$9:$O$1240,9,0)*(D490-INT(D490))+VLOOKUP(INT(D490),Tablas!$G$9:$O$1240,9,0)*(INT(D490)+1-D490))</f>
        <v>27066.488622244782</v>
      </c>
      <c r="H490" s="105">
        <f t="shared" ca="1" si="58"/>
        <v>1</v>
      </c>
      <c r="I490" s="106">
        <f t="shared" ca="1" si="59"/>
        <v>1.356728595935635E-3</v>
      </c>
      <c r="J490" s="106">
        <f t="shared" ca="1" si="63"/>
        <v>1.1629102250876873E-3</v>
      </c>
      <c r="K490" s="105">
        <f t="shared" ca="1" si="60"/>
        <v>2.9314377806849892E-2</v>
      </c>
      <c r="L490" s="75"/>
    </row>
    <row r="491" spans="2:12">
      <c r="B491" s="101">
        <f t="shared" ca="1" si="61"/>
        <v>67209</v>
      </c>
      <c r="C491" s="101">
        <f t="shared" ca="1" si="62"/>
        <v>67239</v>
      </c>
      <c r="D491" s="102">
        <f t="shared" ca="1" si="56"/>
        <v>106.5845311430527</v>
      </c>
      <c r="E491" s="103">
        <f t="shared" ca="1" si="64"/>
        <v>0.55468286390940436</v>
      </c>
      <c r="F491" s="104">
        <f ca="1">IF($C$4="Hombre",(+VLOOKUP(INT(D491)+1,Tablas!$G$9:$K$1240,5,0)*(D491-INT(D491))+VLOOKUP(INT(D491),Tablas!$G$9:$K$1240,5,0)*(INT(D491)+1-D491))/(VLOOKUP(INT($C$5)+1,Tablas!$G$9:$K$1240,5,0)*($C$5-INT($C$5))+VLOOKUP(INT($C$5),Tablas!$G$9:$K$124,5,0)*(INT($C$5)+1-$C$5)),(+VLOOKUP(INT(D491)+1,Tablas!$G$9:$O$1240,9,0)*(D491-INT(D491))+VLOOKUP(INT(D491),Tablas!$G$9:$O$1240,9,0)*(INT(D491)+1-D491))/(VLOOKUP(INT($C$5)+1,Tablas!$G$9:$O$1240,9,0)*($C$5-INT($C$5))+VLOOKUP(INT($C$5),Tablas!$G$9:$O$124,9,0)*(INT($C$5)+1-$C$5)))</f>
        <v>2.8199688667004265E-2</v>
      </c>
      <c r="G491" s="97">
        <f ca="1">IF($C$4="Hombre",(+VLOOKUP(INT(D491)+1,Tablas!$G$9:$K$1240,5,0)*(D491-INT(D491))+VLOOKUP(INT(D491),Tablas!$G$9:$K$1240,5,0)*(INT(D491)+1-D491)),+VLOOKUP(INT(D491)+1,Tablas!$G$9:$O$1240,9,0)*(D491-INT(D491))+VLOOKUP(INT(D491),Tablas!$G$9:$O$1240,9,0)*(INT(D491)+1-D491))</f>
        <v>26037.276229617382</v>
      </c>
      <c r="H491" s="105">
        <f t="shared" ca="1" si="58"/>
        <v>1</v>
      </c>
      <c r="I491" s="106">
        <f t="shared" ca="1" si="59"/>
        <v>1.3034903392639583E-3</v>
      </c>
      <c r="J491" s="106">
        <f t="shared" ca="1" si="63"/>
        <v>1.1172774336548215E-3</v>
      </c>
      <c r="K491" s="105">
        <f t="shared" ca="1" si="60"/>
        <v>2.8199688667004265E-2</v>
      </c>
      <c r="L491" s="75"/>
    </row>
    <row r="492" spans="2:12">
      <c r="B492" s="101">
        <f t="shared" ca="1" si="61"/>
        <v>67240</v>
      </c>
      <c r="C492" s="101">
        <f t="shared" ca="1" si="62"/>
        <v>67268</v>
      </c>
      <c r="D492" s="102">
        <f t="shared" ca="1" si="56"/>
        <v>106.66392881587953</v>
      </c>
      <c r="E492" s="103">
        <f t="shared" ca="1" si="64"/>
        <v>0.55402754895294171</v>
      </c>
      <c r="F492" s="104">
        <f ca="1">IF($C$4="Hombre",(+VLOOKUP(INT(D492)+1,Tablas!$G$9:$K$1240,5,0)*(D492-INT(D492))+VLOOKUP(INT(D492),Tablas!$G$9:$K$1240,5,0)*(INT(D492)+1-D492))/(VLOOKUP(INT($C$5)+1,Tablas!$G$9:$K$1240,5,0)*($C$5-INT($C$5))+VLOOKUP(INT($C$5),Tablas!$G$9:$K$124,5,0)*(INT($C$5)+1-$C$5)),(+VLOOKUP(INT(D492)+1,Tablas!$G$9:$O$1240,9,0)*(D492-INT(D492))+VLOOKUP(INT(D492),Tablas!$G$9:$O$1240,9,0)*(INT(D492)+1-D492))/(VLOOKUP(INT($C$5)+1,Tablas!$G$9:$O$1240,9,0)*($C$5-INT($C$5))+VLOOKUP(INT($C$5),Tablas!$G$9:$O$124,9,0)*(INT($C$5)+1-$C$5)))</f>
        <v>2.7156914955535839E-2</v>
      </c>
      <c r="G492" s="97">
        <f ca="1">IF($C$4="Hombre",(+VLOOKUP(INT(D492)+1,Tablas!$G$9:$K$1240,5,0)*(D492-INT(D492))+VLOOKUP(INT(D492),Tablas!$G$9:$K$1240,5,0)*(INT(D492)+1-D492)),+VLOOKUP(INT(D492)+1,Tablas!$G$9:$O$1240,9,0)*(D492-INT(D492))+VLOOKUP(INT(D492),Tablas!$G$9:$O$1240,9,0)*(INT(D492)+1-D492))</f>
        <v>25074.464636514393</v>
      </c>
      <c r="H492" s="105">
        <f t="shared" ca="1" si="58"/>
        <v>1</v>
      </c>
      <c r="I492" s="106">
        <f t="shared" ca="1" si="59"/>
        <v>1.2538065858282504E-3</v>
      </c>
      <c r="J492" s="106">
        <f t="shared" ca="1" si="63"/>
        <v>1.0746913592813575E-3</v>
      </c>
      <c r="K492" s="105">
        <f t="shared" ca="1" si="60"/>
        <v>2.7156914955535839E-2</v>
      </c>
      <c r="L492" s="75"/>
    </row>
    <row r="493" spans="2:12">
      <c r="B493" s="101">
        <f t="shared" ca="1" si="61"/>
        <v>67269</v>
      </c>
      <c r="C493" s="101">
        <f t="shared" ca="1" si="62"/>
        <v>67299</v>
      </c>
      <c r="D493" s="102">
        <f t="shared" ca="1" si="56"/>
        <v>106.74880219028063</v>
      </c>
      <c r="E493" s="103">
        <f t="shared" ca="1" si="64"/>
        <v>0.55332789597351262</v>
      </c>
      <c r="F493" s="104">
        <f ca="1">IF($C$4="Hombre",(+VLOOKUP(INT(D493)+1,Tablas!$G$9:$K$1240,5,0)*(D493-INT(D493))+VLOOKUP(INT(D493),Tablas!$G$9:$K$1240,5,0)*(INT(D493)+1-D493))/(VLOOKUP(INT($C$5)+1,Tablas!$G$9:$K$1240,5,0)*($C$5-INT($C$5))+VLOOKUP(INT($C$5),Tablas!$G$9:$K$124,5,0)*(INT($C$5)+1-$C$5)),(+VLOOKUP(INT(D493)+1,Tablas!$G$9:$O$1240,9,0)*(D493-INT(D493))+VLOOKUP(INT(D493),Tablas!$G$9:$O$1240,9,0)*(INT(D493)+1-D493))/(VLOOKUP(INT($C$5)+1,Tablas!$G$9:$O$1240,9,0)*($C$5-INT($C$5))+VLOOKUP(INT($C$5),Tablas!$G$9:$O$124,9,0)*(INT($C$5)+1-$C$5)))</f>
        <v>2.6042225815690212E-2</v>
      </c>
      <c r="G493" s="97">
        <f ca="1">IF($C$4="Hombre",(+VLOOKUP(INT(D493)+1,Tablas!$G$9:$K$1240,5,0)*(D493-INT(D493))+VLOOKUP(INT(D493),Tablas!$G$9:$K$1240,5,0)*(INT(D493)+1-D493)),+VLOOKUP(INT(D493)+1,Tablas!$G$9:$O$1240,9,0)*(D493-INT(D493))+VLOOKUP(INT(D493),Tablas!$G$9:$O$1240,9,0)*(INT(D493)+1-D493))</f>
        <v>24045.252243886993</v>
      </c>
      <c r="H493" s="105">
        <f t="shared" ca="1" si="58"/>
        <v>1</v>
      </c>
      <c r="I493" s="106">
        <f t="shared" ca="1" si="59"/>
        <v>1.2008241680885798E-3</v>
      </c>
      <c r="J493" s="106">
        <f t="shared" ca="1" si="63"/>
        <v>1.0292778583616397E-3</v>
      </c>
      <c r="K493" s="105">
        <f t="shared" ca="1" si="60"/>
        <v>2.6042225815690212E-2</v>
      </c>
      <c r="L493" s="75"/>
    </row>
    <row r="494" spans="2:12">
      <c r="B494" s="101">
        <f t="shared" ca="1" si="61"/>
        <v>67300</v>
      </c>
      <c r="C494" s="101">
        <f t="shared" ca="1" si="62"/>
        <v>67329</v>
      </c>
      <c r="D494" s="102">
        <f t="shared" ca="1" si="56"/>
        <v>106.8309377138946</v>
      </c>
      <c r="E494" s="103">
        <f t="shared" ca="1" si="64"/>
        <v>0.55265165371933067</v>
      </c>
      <c r="F494" s="104">
        <f ca="1">IF($C$4="Hombre",(+VLOOKUP(INT(D494)+1,Tablas!$G$9:$K$1240,5,0)*(D494-INT(D494))+VLOOKUP(INT(D494),Tablas!$G$9:$K$1240,5,0)*(INT(D494)+1-D494))/(VLOOKUP(INT($C$5)+1,Tablas!$G$9:$K$1240,5,0)*($C$5-INT($C$5))+VLOOKUP(INT($C$5),Tablas!$G$9:$K$124,5,0)*(INT($C$5)+1-$C$5)),(+VLOOKUP(INT(D494)+1,Tablas!$G$9:$O$1240,9,0)*(D494-INT(D494))+VLOOKUP(INT(D494),Tablas!$G$9:$O$1240,9,0)*(INT(D494)+1-D494))/(VLOOKUP(INT($C$5)+1,Tablas!$G$9:$O$1240,9,0)*($C$5-INT($C$5))+VLOOKUP(INT($C$5),Tablas!$G$9:$O$124,9,0)*(INT($C$5)+1-$C$5)))</f>
        <v>2.4963494390033088E-2</v>
      </c>
      <c r="G494" s="97">
        <f ca="1">IF($C$4="Hombre",(+VLOOKUP(INT(D494)+1,Tablas!$G$9:$K$1240,5,0)*(D494-INT(D494))+VLOOKUP(INT(D494),Tablas!$G$9:$K$1240,5,0)*(INT(D494)+1-D494)),+VLOOKUP(INT(D494)+1,Tablas!$G$9:$O$1240,9,0)*(D494-INT(D494))+VLOOKUP(INT(D494),Tablas!$G$9:$O$1240,9,0)*(INT(D494)+1-D494))</f>
        <v>23049.240251021711</v>
      </c>
      <c r="H494" s="105">
        <f t="shared" ca="1" si="58"/>
        <v>1</v>
      </c>
      <c r="I494" s="106">
        <f t="shared" ca="1" si="59"/>
        <v>1.1496763714387516E-3</v>
      </c>
      <c r="J494" s="106">
        <f t="shared" ca="1" si="63"/>
        <v>9.8543688980464415E-4</v>
      </c>
      <c r="K494" s="105">
        <f t="shared" ca="1" si="60"/>
        <v>2.4963494390033088E-2</v>
      </c>
      <c r="L494" s="75"/>
    </row>
    <row r="495" spans="2:12">
      <c r="B495" s="101">
        <f t="shared" ca="1" si="61"/>
        <v>67330</v>
      </c>
      <c r="C495" s="101">
        <f t="shared" ca="1" si="62"/>
        <v>67360</v>
      </c>
      <c r="D495" s="102">
        <f t="shared" ca="1" si="56"/>
        <v>106.91581108829568</v>
      </c>
      <c r="E495" s="103">
        <f t="shared" ca="1" si="64"/>
        <v>0.55195373828743222</v>
      </c>
      <c r="F495" s="104">
        <f ca="1">IF($C$4="Hombre",(+VLOOKUP(INT(D495)+1,Tablas!$G$9:$K$1240,5,0)*(D495-INT(D495))+VLOOKUP(INT(D495),Tablas!$G$9:$K$1240,5,0)*(INT(D495)+1-D495))/(VLOOKUP(INT($C$5)+1,Tablas!$G$9:$K$1240,5,0)*($C$5-INT($C$5))+VLOOKUP(INT($C$5),Tablas!$G$9:$K$124,5,0)*(INT($C$5)+1-$C$5)),(+VLOOKUP(INT(D495)+1,Tablas!$G$9:$O$1240,9,0)*(D495-INT(D495))+VLOOKUP(INT(D495),Tablas!$G$9:$O$1240,9,0)*(INT(D495)+1-D495))/(VLOOKUP(INT($C$5)+1,Tablas!$G$9:$O$1240,9,0)*($C$5-INT($C$5))+VLOOKUP(INT($C$5),Tablas!$G$9:$O$124,9,0)*(INT($C$5)+1-$C$5)))</f>
        <v>2.3848805250187646E-2</v>
      </c>
      <c r="G495" s="97">
        <f ca="1">IF($C$4="Hombre",(+VLOOKUP(INT(D495)+1,Tablas!$G$9:$K$1240,5,0)*(D495-INT(D495))+VLOOKUP(INT(D495),Tablas!$G$9:$K$1240,5,0)*(INT(D495)+1-D495)),+VLOOKUP(INT(D495)+1,Tablas!$G$9:$O$1240,9,0)*(D495-INT(D495))+VLOOKUP(INT(D495),Tablas!$G$9:$O$1240,9,0)*(INT(D495)+1-D495))</f>
        <v>22020.027858394482</v>
      </c>
      <c r="H495" s="105">
        <f t="shared" ca="1" si="58"/>
        <v>1</v>
      </c>
      <c r="I495" s="106">
        <f t="shared" ca="1" si="59"/>
        <v>1.0969531009608342E-3</v>
      </c>
      <c r="J495" s="106">
        <f t="shared" ca="1" si="63"/>
        <v>1.8804910302185728E-3</v>
      </c>
      <c r="K495" s="105">
        <f t="shared" ca="1" si="60"/>
        <v>2.3848805250187646E-2</v>
      </c>
      <c r="L495" s="75"/>
    </row>
    <row r="496" spans="2:12">
      <c r="B496" s="101">
        <f t="shared" ca="1" si="61"/>
        <v>67361</v>
      </c>
      <c r="C496" s="101">
        <f t="shared" ca="1" si="62"/>
        <v>67390</v>
      </c>
      <c r="D496" s="102">
        <f t="shared" ca="1" si="56"/>
        <v>106.99794661190965</v>
      </c>
      <c r="E496" s="103">
        <f t="shared" ca="1" si="64"/>
        <v>0.55127917544160487</v>
      </c>
      <c r="F496" s="104">
        <f ca="1">IF($C$4="Hombre",(+VLOOKUP(INT(D496)+1,Tablas!$G$9:$K$1240,5,0)*(D496-INT(D496))+VLOOKUP(INT(D496),Tablas!$G$9:$K$1240,5,0)*(INT(D496)+1-D496))/(VLOOKUP(INT($C$5)+1,Tablas!$G$9:$K$1240,5,0)*($C$5-INT($C$5))+VLOOKUP(INT($C$5),Tablas!$G$9:$K$124,5,0)*(INT($C$5)+1-$C$5)),(+VLOOKUP(INT(D496)+1,Tablas!$G$9:$O$1240,9,0)*(D496-INT(D496))+VLOOKUP(INT(D496),Tablas!$G$9:$O$1240,9,0)*(INT(D496)+1-D496))/(VLOOKUP(INT($C$5)+1,Tablas!$G$9:$O$1240,9,0)*($C$5-INT($C$5))+VLOOKUP(INT($C$5),Tablas!$G$9:$O$124,9,0)*(INT($C$5)+1-$C$5)))</f>
        <v>2.2770073824530532E-2</v>
      </c>
      <c r="G496" s="97">
        <f ca="1">IF($C$4="Hombre",(+VLOOKUP(INT(D496)+1,Tablas!$G$9:$K$1240,5,0)*(D496-INT(D496))+VLOOKUP(INT(D496),Tablas!$G$9:$K$1240,5,0)*(INT(D496)+1-D496)),+VLOOKUP(INT(D496)+1,Tablas!$G$9:$O$1240,9,0)*(D496-INT(D496))+VLOOKUP(INT(D496),Tablas!$G$9:$O$1240,9,0)*(INT(D496)+1-D496))</f>
        <v>21024.015865529207</v>
      </c>
      <c r="H496" s="105">
        <f t="shared" ca="1" si="58"/>
        <v>1</v>
      </c>
      <c r="I496" s="106">
        <f t="shared" ca="1" si="59"/>
        <v>1.0460556268943053E-3</v>
      </c>
      <c r="J496" s="106">
        <f t="shared" ca="1" si="63"/>
        <v>8.9661910876654739E-4</v>
      </c>
      <c r="K496" s="105">
        <f t="shared" ca="1" si="60"/>
        <v>2.2770073824530532E-2</v>
      </c>
      <c r="L496" s="75"/>
    </row>
    <row r="497" spans="2:12">
      <c r="B497" s="101">
        <f t="shared" ca="1" si="61"/>
        <v>67391</v>
      </c>
      <c r="C497" s="101">
        <f t="shared" ca="1" si="62"/>
        <v>67421</v>
      </c>
      <c r="D497" s="102">
        <f t="shared" ca="1" si="56"/>
        <v>107.08281998631075</v>
      </c>
      <c r="E497" s="103">
        <f ca="1">IF($D$17+40&lt;=D497,(1+$D$7)^-(D497-$C$5),(1+$C$7)^-(D497-$C$5))</f>
        <v>0.55058299324213855</v>
      </c>
      <c r="F497" s="104">
        <f ca="1">IF($C$4="Hombre",(+VLOOKUP(INT(D497)+1,Tablas!$G$9:$K$1240,5,0)*(D497-INT(D497))+VLOOKUP(INT(D497),Tablas!$G$9:$K$1240,5,0)*(INT(D497)+1-D497))/(VLOOKUP(INT($C$5)+1,Tablas!$G$9:$K$1240,5,0)*($C$5-INT($C$5))+VLOOKUP(INT($C$5),Tablas!$G$9:$K$124,5,0)*(INT($C$5)+1-$C$5)),(+VLOOKUP(INT(D497)+1,Tablas!$G$9:$O$1240,9,0)*(D497-INT(D497))+VLOOKUP(INT(D497),Tablas!$G$9:$O$1240,9,0)*(INT(D497)+1-D497))/(VLOOKUP(INT($C$5)+1,Tablas!$G$9:$O$1240,9,0)*($C$5-INT($C$5))+VLOOKUP(INT($C$5),Tablas!$G$9:$O$124,9,0)*(INT($C$5)+1-$C$5)))</f>
        <v>2.1969297935000735E-2</v>
      </c>
      <c r="G497" s="97">
        <f ca="1">IF($C$4="Hombre",(+VLOOKUP(INT(D497)+1,Tablas!$G$9:$K$1240,5,0)*(D497-INT(D497))+VLOOKUP(INT(D497),Tablas!$G$9:$K$1240,5,0)*(INT(D497)+1-D497)),+VLOOKUP(INT(D497)+1,Tablas!$G$9:$O$1240,9,0)*(D497-INT(D497))+VLOOKUP(INT(D497),Tablas!$G$9:$O$1240,9,0)*(INT(D497)+1-D497))</f>
        <v>20284.645183820194</v>
      </c>
      <c r="H497" s="105">
        <f t="shared" ca="1" si="58"/>
        <v>1</v>
      </c>
      <c r="I497" s="106">
        <f t="shared" ca="1" si="59"/>
        <v>1.007993484706753E-3</v>
      </c>
      <c r="J497" s="106">
        <f t="shared" ca="1" si="63"/>
        <v>8.6399441546293118E-4</v>
      </c>
      <c r="K497" s="105">
        <f t="shared" ca="1" si="60"/>
        <v>2.1969297935000735E-2</v>
      </c>
      <c r="L497" s="75"/>
    </row>
    <row r="498" spans="2:12">
      <c r="B498" s="101">
        <f t="shared" ca="1" si="61"/>
        <v>67422</v>
      </c>
      <c r="C498" s="101">
        <f t="shared" ca="1" si="62"/>
        <v>67452</v>
      </c>
      <c r="D498" s="102">
        <f t="shared" ca="1" si="56"/>
        <v>107.16769336071184</v>
      </c>
      <c r="E498" s="103">
        <f t="shared" ref="E498:E500" ca="1" si="65">IF($D$17+40&lt;=D498,(1+$D$7)^-(D498-$C$5),(1+$C$7)^-(D498-$C$5))</f>
        <v>0.5498876902154699</v>
      </c>
      <c r="F498" s="104">
        <f ca="1">IF($C$4="Hombre",(+VLOOKUP(INT(D498)+1,Tablas!$G$9:$K$1240,5,0)*(D498-INT(D498))+VLOOKUP(INT(D498),Tablas!$G$9:$K$1240,5,0)*(INT(D498)+1-D498))/(VLOOKUP(INT($C$5)+1,Tablas!$G$9:$K$1240,5,0)*($C$5-INT($C$5))+VLOOKUP(INT($C$5),Tablas!$G$9:$K$124,5,0)*(INT($C$5)+1-$C$5)),(+VLOOKUP(INT(D498)+1,Tablas!$G$9:$O$1240,9,0)*(D498-INT(D498))+VLOOKUP(INT(D498),Tablas!$G$9:$O$1240,9,0)*(INT(D498)+1-D498))/(VLOOKUP(INT($C$5)+1,Tablas!$G$9:$O$1240,9,0)*($C$5-INT($C$5))+VLOOKUP(INT($C$5),Tablas!$G$9:$O$124,9,0)*(INT($C$5)+1-$C$5)))</f>
        <v>2.1176305018619387E-2</v>
      </c>
      <c r="G498" s="97">
        <f ca="1">IF($C$4="Hombre",(+VLOOKUP(INT(D498)+1,Tablas!$G$9:$K$1240,5,0)*(D498-INT(D498))+VLOOKUP(INT(D498),Tablas!$G$9:$K$1240,5,0)*(INT(D498)+1-D498)),+VLOOKUP(INT(D498)+1,Tablas!$G$9:$O$1240,9,0)*(D498-INT(D498))+VLOOKUP(INT(D498),Tablas!$G$9:$O$1240,9,0)*(INT(D498)+1-D498))</f>
        <v>19552.460660233235</v>
      </c>
      <c r="H498" s="105">
        <f t="shared" ca="1" si="58"/>
        <v>1</v>
      </c>
      <c r="I498" s="106">
        <f ca="1">IF(B498&lt;$C$10,0,IF(B498&lt;$C$11,$C$8/12*E498*F498*H498,0))</f>
        <v>9.7038245449890639E-4</v>
      </c>
      <c r="J498" s="106">
        <f t="shared" ca="1" si="63"/>
        <v>8.3175638957049111E-4</v>
      </c>
      <c r="K498" s="105">
        <f t="shared" ca="1" si="60"/>
        <v>2.1176305018619387E-2</v>
      </c>
      <c r="L498" s="75"/>
    </row>
    <row r="499" spans="2:12">
      <c r="B499" s="101">
        <f t="shared" ca="1" si="61"/>
        <v>67453</v>
      </c>
      <c r="C499" s="101">
        <f t="shared" ca="1" si="62"/>
        <v>67482</v>
      </c>
      <c r="D499" s="102">
        <f t="shared" ca="1" si="56"/>
        <v>107.24982888432581</v>
      </c>
      <c r="E499" s="103">
        <f t="shared" ca="1" si="65"/>
        <v>0.54921565236253644</v>
      </c>
      <c r="F499" s="104">
        <f ca="1">IF($C$4="Hombre",(+VLOOKUP(INT(D499)+1,Tablas!$G$9:$K$1240,5,0)*(D499-INT(D499))+VLOOKUP(INT(D499),Tablas!$G$9:$K$1240,5,0)*(INT(D499)+1-D499))/(VLOOKUP(INT($C$5)+1,Tablas!$G$9:$K$1240,5,0)*($C$5-INT($C$5))+VLOOKUP(INT($C$5),Tablas!$G$9:$K$124,5,0)*(INT($C$5)+1-$C$5)),(+VLOOKUP(INT(D499)+1,Tablas!$G$9:$O$1240,9,0)*(D499-INT(D499))+VLOOKUP(INT(D499),Tablas!$G$9:$O$1240,9,0)*(INT(D499)+1-D499))/(VLOOKUP(INT($C$5)+1,Tablas!$G$9:$O$1240,9,0)*($C$5-INT($C$5))+VLOOKUP(INT($C$5),Tablas!$G$9:$O$124,9,0)*(INT($C$5)+1-$C$5)))</f>
        <v>2.0408892518895331E-2</v>
      </c>
      <c r="G499" s="97">
        <f ca="1">IF($C$4="Hombre",(+VLOOKUP(INT(D499)+1,Tablas!$G$9:$K$1240,5,0)*(D499-INT(D499))+VLOOKUP(INT(D499),Tablas!$G$9:$K$1240,5,0)*(INT(D499)+1-D499)),+VLOOKUP(INT(D499)+1,Tablas!$G$9:$O$1240,9,0)*(D499-INT(D499))+VLOOKUP(INT(D499),Tablas!$G$9:$O$1240,9,0)*(INT(D499)+1-D499))</f>
        <v>18843.8949922457</v>
      </c>
      <c r="H499" s="105">
        <f t="shared" ca="1" si="58"/>
        <v>1</v>
      </c>
      <c r="I499" s="106">
        <f t="shared" ca="1" si="59"/>
        <v>9.3407360156349899E-4</v>
      </c>
      <c r="J499" s="106">
        <f t="shared" ca="1" si="63"/>
        <v>8.0063451562585619E-4</v>
      </c>
      <c r="K499" s="105">
        <f t="shared" ca="1" si="60"/>
        <v>2.0408892518895331E-2</v>
      </c>
      <c r="L499" s="75"/>
    </row>
    <row r="500" spans="2:12">
      <c r="B500" s="101">
        <f t="shared" ca="1" si="61"/>
        <v>67483</v>
      </c>
      <c r="C500" s="101">
        <f t="shared" ca="1" si="62"/>
        <v>67513</v>
      </c>
      <c r="D500" s="102">
        <f t="shared" ca="1" si="56"/>
        <v>107.33470225872689</v>
      </c>
      <c r="E500" s="103">
        <f t="shared" ca="1" si="65"/>
        <v>0.54852207608054349</v>
      </c>
      <c r="F500" s="104">
        <f ca="1">IF($C$4="Hombre",(+VLOOKUP(INT(D500)+1,Tablas!$G$9:$K$1240,5,0)*(D500-INT(D500))+VLOOKUP(INT(D500),Tablas!$G$9:$K$1240,5,0)*(INT(D500)+1-D500))/(VLOOKUP(INT($C$5)+1,Tablas!$G$9:$K$1240,5,0)*($C$5-INT($C$5))+VLOOKUP(INT($C$5),Tablas!$G$9:$K$124,5,0)*(INT($C$5)+1-$C$5)),(+VLOOKUP(INT(D500)+1,Tablas!$G$9:$O$1240,9,0)*(D500-INT(D500))+VLOOKUP(INT(D500),Tablas!$G$9:$O$1240,9,0)*(INT(D500)+1-D500))/(VLOOKUP(INT($C$5)+1,Tablas!$G$9:$O$1240,9,0)*($C$5-INT($C$5))+VLOOKUP(INT($C$5),Tablas!$G$9:$O$124,9,0)*(INT($C$5)+1-$C$5)))</f>
        <v>1.9615899602513982E-2</v>
      </c>
      <c r="G500" s="97">
        <f ca="1">IF($C$4="Hombre",(+VLOOKUP(INT(D500)+1,Tablas!$G$9:$K$1240,5,0)*(D500-INT(D500))+VLOOKUP(INT(D500),Tablas!$G$9:$K$1240,5,0)*(INT(D500)+1-D500)),+VLOOKUP(INT(D500)+1,Tablas!$G$9:$O$1240,9,0)*(D500-INT(D500))+VLOOKUP(INT(D500),Tablas!$G$9:$O$1240,9,0)*(INT(D500)+1-D500))</f>
        <v>18111.710468658741</v>
      </c>
      <c r="H500" s="105">
        <f t="shared" ca="1" si="58"/>
        <v>1</v>
      </c>
      <c r="I500" s="106">
        <f t="shared" ca="1" si="59"/>
        <v>8.9664616451320641E-4</v>
      </c>
      <c r="J500" s="106">
        <f t="shared" ca="1" si="63"/>
        <v>7.6855385529703399E-4</v>
      </c>
      <c r="K500" s="105">
        <f t="shared" ca="1" si="60"/>
        <v>1.9615899602513982E-2</v>
      </c>
      <c r="L500" s="75"/>
    </row>
    <row r="501" spans="2:12">
      <c r="B501" s="101">
        <f t="shared" ca="1" si="61"/>
        <v>67514</v>
      </c>
      <c r="C501" s="101">
        <f t="shared" ca="1" si="62"/>
        <v>67543</v>
      </c>
      <c r="D501" s="102">
        <f t="shared" ca="1" si="56"/>
        <v>107.41683778234086</v>
      </c>
      <c r="E501" s="103">
        <f ca="1">IF($D$17+40&lt;=D501,(1+$D$7)^-(D501-$C$5),(1+$C$7)^-(D501-$C$5))</f>
        <v>0.54785170719457832</v>
      </c>
      <c r="F501" s="104">
        <f ca="1">IF($C$4="Hombre",(+VLOOKUP(INT(D501)+1,Tablas!$G$9:$K$1240,5,0)*(D501-INT(D501))+VLOOKUP(INT(D501),Tablas!$G$9:$K$1240,5,0)*(INT(D501)+1-D501))/(VLOOKUP(INT($C$5)+1,Tablas!$G$9:$K$1240,5,0)*($C$5-INT($C$5))+VLOOKUP(INT($C$5),Tablas!$G$9:$K$124,5,0)*(INT($C$5)+1-$C$5)),(+VLOOKUP(INT(D501)+1,Tablas!$G$9:$O$1240,9,0)*(D501-INT(D501))+VLOOKUP(INT(D501),Tablas!$G$9:$O$1240,9,0)*(INT(D501)+1-D501))/(VLOOKUP(INT($C$5)+1,Tablas!$G$9:$O$1240,9,0)*($C$5-INT($C$5))+VLOOKUP(INT($C$5),Tablas!$G$9:$O$124,9,0)*(INT($C$5)+1-$C$5)))</f>
        <v>1.8848487102789923E-2</v>
      </c>
      <c r="G501" s="97">
        <f ca="1">IF($C$4="Hombre",(+VLOOKUP(INT(D501)+1,Tablas!$G$9:$K$1240,5,0)*(D501-INT(D501))+VLOOKUP(INT(D501),Tablas!$G$9:$K$1240,5,0)*(INT(D501)+1-D501)),+VLOOKUP(INT(D501)+1,Tablas!$G$9:$O$1240,9,0)*(D501-INT(D501))+VLOOKUP(INT(D501),Tablas!$G$9:$O$1240,9,0)*(INT(D501)+1-D501))</f>
        <v>17403.144800671202</v>
      </c>
      <c r="H501" s="105">
        <f t="shared" ca="1" si="58"/>
        <v>1</v>
      </c>
      <c r="I501" s="106">
        <f t="shared" ca="1" si="59"/>
        <v>8.6051465310820418E-4</v>
      </c>
      <c r="J501" s="106">
        <f t="shared" ca="1" si="63"/>
        <v>1.4751679767569213E-3</v>
      </c>
      <c r="K501" s="105">
        <f t="shared" ca="1" si="60"/>
        <v>1.8848487102789923E-2</v>
      </c>
      <c r="L501" s="75"/>
    </row>
    <row r="502" spans="2:12">
      <c r="B502" s="101">
        <f t="shared" ca="1" si="61"/>
        <v>67544</v>
      </c>
      <c r="C502" s="101">
        <f t="shared" ca="1" si="62"/>
        <v>67574</v>
      </c>
      <c r="D502" s="102">
        <f t="shared" ca="1" si="56"/>
        <v>107.50171115674196</v>
      </c>
      <c r="E502" s="103">
        <f t="shared" ref="E502:E565" ca="1" si="66">IF($D$17+40&lt;=D502,(1+$D$7)^-(D502-$C$5),(1+$C$7)^-(D502-$C$5))</f>
        <v>0.54715985336899065</v>
      </c>
      <c r="F502" s="104">
        <f ca="1">IF($C$4="Hombre",(+VLOOKUP(INT(D502)+1,Tablas!$G$9:$K$1240,5,0)*(D502-INT(D502))+VLOOKUP(INT(D502),Tablas!$G$9:$K$1240,5,0)*(INT(D502)+1-D502))/(VLOOKUP(INT($C$5)+1,Tablas!$G$9:$K$1240,5,0)*($C$5-INT($C$5))+VLOOKUP(INT($C$5),Tablas!$G$9:$K$124,5,0)*(INT($C$5)+1-$C$5)),(+VLOOKUP(INT(D502)+1,Tablas!$G$9:$O$1240,9,0)*(D502-INT(D502))+VLOOKUP(INT(D502),Tablas!$G$9:$O$1240,9,0)*(INT(D502)+1-D502))/(VLOOKUP(INT($C$5)+1,Tablas!$G$9:$O$1240,9,0)*($C$5-INT($C$5))+VLOOKUP(INT($C$5),Tablas!$G$9:$O$124,9,0)*(INT($C$5)+1-$C$5)))</f>
        <v>1.8055494186408443E-2</v>
      </c>
      <c r="G502" s="97">
        <f ca="1">IF($C$4="Hombre",(+VLOOKUP(INT(D502)+1,Tablas!$G$9:$K$1240,5,0)*(D502-INT(D502))+VLOOKUP(INT(D502),Tablas!$G$9:$K$1240,5,0)*(INT(D502)+1-D502)),+VLOOKUP(INT(D502)+1,Tablas!$G$9:$O$1240,9,0)*(D502-INT(D502))+VLOOKUP(INT(D502),Tablas!$G$9:$O$1240,9,0)*(INT(D502)+1-D502))</f>
        <v>16670.960277084123</v>
      </c>
      <c r="H502" s="105">
        <f t="shared" ca="1" si="58"/>
        <v>1</v>
      </c>
      <c r="I502" s="106">
        <f t="shared" ca="1" si="59"/>
        <v>8.2327012929499211E-4</v>
      </c>
      <c r="J502" s="106">
        <f t="shared" ca="1" si="63"/>
        <v>7.0566011082427889E-4</v>
      </c>
      <c r="K502" s="105">
        <f t="shared" ca="1" si="60"/>
        <v>1.8055494186408443E-2</v>
      </c>
      <c r="L502" s="75"/>
    </row>
    <row r="503" spans="2:12">
      <c r="B503" s="101">
        <f t="shared" ca="1" si="61"/>
        <v>67575</v>
      </c>
      <c r="C503" s="101">
        <f t="shared" ca="1" si="62"/>
        <v>67605</v>
      </c>
      <c r="D503" s="102">
        <f t="shared" ca="1" si="56"/>
        <v>107.58658453114305</v>
      </c>
      <c r="E503" s="103">
        <f t="shared" ca="1" si="66"/>
        <v>0.54646887325011928</v>
      </c>
      <c r="F503" s="104">
        <f ca="1">IF($C$4="Hombre",(+VLOOKUP(INT(D503)+1,Tablas!$G$9:$K$1240,5,0)*(D503-INT(D503))+VLOOKUP(INT(D503),Tablas!$G$9:$K$1240,5,0)*(INT(D503)+1-D503))/(VLOOKUP(INT($C$5)+1,Tablas!$G$9:$K$1240,5,0)*($C$5-INT($C$5))+VLOOKUP(INT($C$5),Tablas!$G$9:$K$124,5,0)*(INT($C$5)+1-$C$5)),(+VLOOKUP(INT(D503)+1,Tablas!$G$9:$O$1240,9,0)*(D503-INT(D503))+VLOOKUP(INT(D503),Tablas!$G$9:$O$1240,9,0)*(INT(D503)+1-D503))/(VLOOKUP(INT($C$5)+1,Tablas!$G$9:$O$1240,9,0)*($C$5-INT($C$5))+VLOOKUP(INT($C$5),Tablas!$G$9:$O$124,9,0)*(INT($C$5)+1-$C$5)))</f>
        <v>1.7262501270027094E-2</v>
      </c>
      <c r="G503" s="97">
        <f ca="1">IF($C$4="Hombre",(+VLOOKUP(INT(D503)+1,Tablas!$G$9:$K$1240,5,0)*(D503-INT(D503))+VLOOKUP(INT(D503),Tablas!$G$9:$K$1240,5,0)*(INT(D503)+1-D503)),+VLOOKUP(INT(D503)+1,Tablas!$G$9:$O$1240,9,0)*(D503-INT(D503))+VLOOKUP(INT(D503),Tablas!$G$9:$O$1240,9,0)*(INT(D503)+1-D503))</f>
        <v>15938.775753497164</v>
      </c>
      <c r="H503" s="105">
        <f t="shared" ca="1" si="58"/>
        <v>1</v>
      </c>
      <c r="I503" s="106">
        <f t="shared" ca="1" si="59"/>
        <v>7.8611830154253826E-4</v>
      </c>
      <c r="J503" s="106">
        <f t="shared" ca="1" si="63"/>
        <v>6.7381568703646139E-4</v>
      </c>
      <c r="K503" s="105">
        <f t="shared" ca="1" si="60"/>
        <v>1.7262501270027094E-2</v>
      </c>
      <c r="L503" s="75"/>
    </row>
    <row r="504" spans="2:12">
      <c r="B504" s="101">
        <f t="shared" ca="1" si="61"/>
        <v>67606</v>
      </c>
      <c r="C504" s="101">
        <f t="shared" ca="1" si="62"/>
        <v>67633</v>
      </c>
      <c r="D504" s="102">
        <f t="shared" ca="1" si="56"/>
        <v>107.66324435318275</v>
      </c>
      <c r="E504" s="103">
        <f t="shared" ca="1" si="66"/>
        <v>0.54584551222677302</v>
      </c>
      <c r="F504" s="104">
        <f ca="1">IF($C$4="Hombre",(+VLOOKUP(INT(D504)+1,Tablas!$G$9:$K$1240,5,0)*(D504-INT(D504))+VLOOKUP(INT(D504),Tablas!$G$9:$K$1240,5,0)*(INT(D504)+1-D504))/(VLOOKUP(INT($C$5)+1,Tablas!$G$9:$K$1240,5,0)*($C$5-INT($C$5))+VLOOKUP(INT($C$5),Tablas!$G$9:$K$124,5,0)*(INT($C$5)+1-$C$5)),(+VLOOKUP(INT(D504)+1,Tablas!$G$9:$O$1240,9,0)*(D504-INT(D504))+VLOOKUP(INT(D504),Tablas!$G$9:$O$1240,9,0)*(INT(D504)+1-D504))/(VLOOKUP(INT($C$5)+1,Tablas!$G$9:$O$1240,9,0)*($C$5-INT($C$5))+VLOOKUP(INT($C$5),Tablas!$G$9:$O$124,9,0)*(INT($C$5)+1-$C$5)))</f>
        <v>1.6546249603618019E-2</v>
      </c>
      <c r="G504" s="97">
        <f ca="1">IF($C$4="Hombre",(+VLOOKUP(INT(D504)+1,Tablas!$G$9:$K$1240,5,0)*(D504-INT(D504))+VLOOKUP(INT(D504),Tablas!$G$9:$K$1240,5,0)*(INT(D504)+1-D504)),+VLOOKUP(INT(D504)+1,Tablas!$G$9:$O$1240,9,0)*(D504-INT(D504))+VLOOKUP(INT(D504),Tablas!$G$9:$O$1240,9,0)*(INT(D504)+1-D504))</f>
        <v>15277.447796708837</v>
      </c>
      <c r="H504" s="105">
        <f t="shared" ca="1" si="58"/>
        <v>1</v>
      </c>
      <c r="I504" s="106">
        <f t="shared" ca="1" si="59"/>
        <v>7.5264134085990971E-4</v>
      </c>
      <c r="J504" s="106">
        <f t="shared" ca="1" si="63"/>
        <v>6.4512114930849397E-4</v>
      </c>
      <c r="K504" s="105">
        <f t="shared" ca="1" si="60"/>
        <v>1.6546249603618019E-2</v>
      </c>
      <c r="L504" s="75"/>
    </row>
    <row r="505" spans="2:12">
      <c r="B505" s="101">
        <f t="shared" ca="1" si="61"/>
        <v>67634</v>
      </c>
      <c r="C505" s="101">
        <f t="shared" ca="1" si="62"/>
        <v>67664</v>
      </c>
      <c r="D505" s="102">
        <f t="shared" ca="1" si="56"/>
        <v>107.74811772758385</v>
      </c>
      <c r="E505" s="103">
        <f t="shared" ca="1" si="66"/>
        <v>0.54515619192192677</v>
      </c>
      <c r="F505" s="104">
        <f ca="1">IF($C$4="Hombre",(+VLOOKUP(INT(D505)+1,Tablas!$G$9:$K$1240,5,0)*(D505-INT(D505))+VLOOKUP(INT(D505),Tablas!$G$9:$K$1240,5,0)*(INT(D505)+1-D505))/(VLOOKUP(INT($C$5)+1,Tablas!$G$9:$K$1240,5,0)*($C$5-INT($C$5))+VLOOKUP(INT($C$5),Tablas!$G$9:$K$124,5,0)*(INT($C$5)+1-$C$5)),(+VLOOKUP(INT(D505)+1,Tablas!$G$9:$O$1240,9,0)*(D505-INT(D505))+VLOOKUP(INT(D505),Tablas!$G$9:$O$1240,9,0)*(INT(D505)+1-D505))/(VLOOKUP(INT($C$5)+1,Tablas!$G$9:$O$1240,9,0)*($C$5-INT($C$5))+VLOOKUP(INT($C$5),Tablas!$G$9:$O$124,9,0)*(INT($C$5)+1-$C$5)))</f>
        <v>1.5753256687236535E-2</v>
      </c>
      <c r="G505" s="97">
        <f ca="1">IF($C$4="Hombre",(+VLOOKUP(INT(D505)+1,Tablas!$G$9:$K$1240,5,0)*(D505-INT(D505))+VLOOKUP(INT(D505),Tablas!$G$9:$K$1240,5,0)*(INT(D505)+1-D505)),+VLOOKUP(INT(D505)+1,Tablas!$G$9:$O$1240,9,0)*(D505-INT(D505))+VLOOKUP(INT(D505),Tablas!$G$9:$O$1240,9,0)*(INT(D505)+1-D505))</f>
        <v>14545.263273121756</v>
      </c>
      <c r="H505" s="105">
        <f t="shared" ca="1" si="58"/>
        <v>1</v>
      </c>
      <c r="I505" s="106">
        <f t="shared" ca="1" si="59"/>
        <v>7.1566545216520804E-4</v>
      </c>
      <c r="J505" s="106">
        <f t="shared" ca="1" si="63"/>
        <v>6.1342753042732125E-4</v>
      </c>
      <c r="K505" s="105">
        <f t="shared" ca="1" si="60"/>
        <v>1.5753256687236535E-2</v>
      </c>
      <c r="L505" s="75"/>
    </row>
    <row r="506" spans="2:12">
      <c r="B506" s="101">
        <f t="shared" ca="1" si="61"/>
        <v>67665</v>
      </c>
      <c r="C506" s="101">
        <f t="shared" ca="1" si="62"/>
        <v>67694</v>
      </c>
      <c r="D506" s="102">
        <f t="shared" ca="1" si="56"/>
        <v>107.8302532511978</v>
      </c>
      <c r="E506" s="103">
        <f t="shared" ca="1" si="66"/>
        <v>0.54448993660606604</v>
      </c>
      <c r="F506" s="104">
        <f ca="1">IF($C$4="Hombre",(+VLOOKUP(INT(D506)+1,Tablas!$G$9:$K$1240,5,0)*(D506-INT(D506))+VLOOKUP(INT(D506),Tablas!$G$9:$K$1240,5,0)*(INT(D506)+1-D506))/(VLOOKUP(INT($C$5)+1,Tablas!$G$9:$K$1240,5,0)*($C$5-INT($C$5))+VLOOKUP(INT($C$5),Tablas!$G$9:$K$124,5,0)*(INT($C$5)+1-$C$5)),(+VLOOKUP(INT(D506)+1,Tablas!$G$9:$O$1240,9,0)*(D506-INT(D506))+VLOOKUP(INT(D506),Tablas!$G$9:$O$1240,9,0)*(INT(D506)+1-D506))/(VLOOKUP(INT($C$5)+1,Tablas!$G$9:$O$1240,9,0)*($C$5-INT($C$5))+VLOOKUP(INT($C$5),Tablas!$G$9:$O$124,9,0)*(INT($C$5)+1-$C$5)))</f>
        <v>1.4985844187512611E-2</v>
      </c>
      <c r="G506" s="97">
        <f ca="1">IF($C$4="Hombre",(+VLOOKUP(INT(D506)+1,Tablas!$G$9:$K$1240,5,0)*(D506-INT(D506))+VLOOKUP(INT(D506),Tablas!$G$9:$K$1240,5,0)*(INT(D506)+1-D506)),+VLOOKUP(INT(D506)+1,Tablas!$G$9:$O$1240,9,0)*(D506-INT(D506))+VLOOKUP(INT(D506),Tablas!$G$9:$O$1240,9,0)*(INT(D506)+1-D506))</f>
        <v>13836.697605134341</v>
      </c>
      <c r="H506" s="105">
        <f t="shared" ca="1" si="58"/>
        <v>1</v>
      </c>
      <c r="I506" s="106">
        <f t="shared" ca="1" si="59"/>
        <v>6.7997011263726031E-4</v>
      </c>
      <c r="J506" s="106">
        <f t="shared" ca="1" si="63"/>
        <v>5.8283152511765164E-4</v>
      </c>
      <c r="K506" s="105">
        <f t="shared" ca="1" si="60"/>
        <v>1.4985844187512611E-2</v>
      </c>
      <c r="L506" s="75"/>
    </row>
    <row r="507" spans="2:12">
      <c r="B507" s="101">
        <f t="shared" ca="1" si="61"/>
        <v>67695</v>
      </c>
      <c r="C507" s="101">
        <f t="shared" ca="1" si="62"/>
        <v>67725</v>
      </c>
      <c r="D507" s="102">
        <f t="shared" ca="1" si="56"/>
        <v>107.9151266255989</v>
      </c>
      <c r="E507" s="103">
        <f t="shared" ca="1" si="66"/>
        <v>0.54380232818815333</v>
      </c>
      <c r="F507" s="104">
        <f ca="1">IF($C$4="Hombre",(+VLOOKUP(INT(D507)+1,Tablas!$G$9:$K$1240,5,0)*(D507-INT(D507))+VLOOKUP(INT(D507),Tablas!$G$9:$K$1240,5,0)*(INT(D507)+1-D507))/(VLOOKUP(INT($C$5)+1,Tablas!$G$9:$K$1240,5,0)*($C$5-INT($C$5))+VLOOKUP(INT($C$5),Tablas!$G$9:$K$124,5,0)*(INT($C$5)+1-$C$5)),(+VLOOKUP(INT(D507)+1,Tablas!$G$9:$O$1240,9,0)*(D507-INT(D507))+VLOOKUP(INT(D507),Tablas!$G$9:$O$1240,9,0)*(INT(D507)+1-D507))/(VLOOKUP(INT($C$5)+1,Tablas!$G$9:$O$1240,9,0)*($C$5-INT($C$5))+VLOOKUP(INT($C$5),Tablas!$G$9:$O$124,9,0)*(INT($C$5)+1-$C$5)))</f>
        <v>1.4192851271131129E-2</v>
      </c>
      <c r="G507" s="97">
        <f ca="1">IF($C$4="Hombre",(+VLOOKUP(INT(D507)+1,Tablas!$G$9:$K$1240,5,0)*(D507-INT(D507))+VLOOKUP(INT(D507),Tablas!$G$9:$K$1240,5,0)*(INT(D507)+1-D507)),+VLOOKUP(INT(D507)+1,Tablas!$G$9:$O$1240,9,0)*(D507-INT(D507))+VLOOKUP(INT(D507),Tablas!$G$9:$O$1240,9,0)*(INT(D507)+1-D507))</f>
        <v>13104.51308154726</v>
      </c>
      <c r="H507" s="105">
        <f t="shared" ca="1" si="58"/>
        <v>1</v>
      </c>
      <c r="I507" s="106">
        <f t="shared" ca="1" si="59"/>
        <v>6.4317546373910827E-4</v>
      </c>
      <c r="J507" s="106">
        <f t="shared" ca="1" si="63"/>
        <v>1.1025865092670428E-3</v>
      </c>
      <c r="K507" s="105">
        <f t="shared" ca="1" si="60"/>
        <v>1.4192851271131129E-2</v>
      </c>
      <c r="L507" s="75"/>
    </row>
    <row r="508" spans="2:12">
      <c r="B508" s="101">
        <f t="shared" ca="1" si="61"/>
        <v>67726</v>
      </c>
      <c r="C508" s="101">
        <f t="shared" ca="1" si="62"/>
        <v>67755</v>
      </c>
      <c r="D508" s="102">
        <f t="shared" ca="1" si="56"/>
        <v>107.99726214921287</v>
      </c>
      <c r="E508" s="103">
        <f t="shared" ca="1" si="66"/>
        <v>0.54313772747866562</v>
      </c>
      <c r="F508" s="104">
        <f ca="1">IF($C$4="Hombre",(+VLOOKUP(INT(D508)+1,Tablas!$G$9:$K$1240,5,0)*(D508-INT(D508))+VLOOKUP(INT(D508),Tablas!$G$9:$K$1240,5,0)*(INT(D508)+1-D508))/(VLOOKUP(INT($C$5)+1,Tablas!$G$9:$K$1240,5,0)*($C$5-INT($C$5))+VLOOKUP(INT($C$5),Tablas!$G$9:$K$124,5,0)*(INT($C$5)+1-$C$5)),(+VLOOKUP(INT(D508)+1,Tablas!$G$9:$O$1240,9,0)*(D508-INT(D508))+VLOOKUP(INT(D508),Tablas!$G$9:$O$1240,9,0)*(INT(D508)+1-D508))/(VLOOKUP(INT($C$5)+1,Tablas!$G$9:$O$1240,9,0)*($C$5-INT($C$5))+VLOOKUP(INT($C$5),Tablas!$G$9:$O$124,9,0)*(INT($C$5)+1-$C$5)))</f>
        <v>1.3425438771407073E-2</v>
      </c>
      <c r="G508" s="97">
        <f ca="1">IF($C$4="Hombre",(+VLOOKUP(INT(D508)+1,Tablas!$G$9:$K$1240,5,0)*(D508-INT(D508))+VLOOKUP(INT(D508),Tablas!$G$9:$K$1240,5,0)*(INT(D508)+1-D508)),+VLOOKUP(INT(D508)+1,Tablas!$G$9:$O$1240,9,0)*(D508-INT(D508))+VLOOKUP(INT(D508),Tablas!$G$9:$O$1240,9,0)*(INT(D508)+1-D508))</f>
        <v>12395.947413559725</v>
      </c>
      <c r="H508" s="105">
        <f t="shared" ca="1" si="58"/>
        <v>1</v>
      </c>
      <c r="I508" s="106">
        <f t="shared" ca="1" si="59"/>
        <v>6.0765519205883381E-4</v>
      </c>
      <c r="J508" s="106">
        <f t="shared" ca="1" si="63"/>
        <v>5.2084730747900044E-4</v>
      </c>
      <c r="K508" s="105">
        <f t="shared" ca="1" si="60"/>
        <v>1.3425438771407073E-2</v>
      </c>
      <c r="L508" s="75"/>
    </row>
    <row r="509" spans="2:12">
      <c r="B509" s="101">
        <f t="shared" ca="1" si="61"/>
        <v>67756</v>
      </c>
      <c r="C509" s="101">
        <f t="shared" ca="1" si="62"/>
        <v>67786</v>
      </c>
      <c r="D509" s="102">
        <f t="shared" ca="1" si="56"/>
        <v>108.08213552361396</v>
      </c>
      <c r="E509" s="103">
        <f t="shared" ca="1" si="66"/>
        <v>0.54245182669631475</v>
      </c>
      <c r="F509" s="104">
        <f ca="1">IF($C$4="Hombre",(+VLOOKUP(INT(D509)+1,Tablas!$G$9:$K$1240,5,0)*(D509-INT(D509))+VLOOKUP(INT(D509),Tablas!$G$9:$K$1240,5,0)*(INT(D509)+1-D509))/(VLOOKUP(INT($C$5)+1,Tablas!$G$9:$K$1240,5,0)*($C$5-INT($C$5))+VLOOKUP(INT($C$5),Tablas!$G$9:$K$124,5,0)*(INT($C$5)+1-$C$5)),(+VLOOKUP(INT(D509)+1,Tablas!$G$9:$O$1240,9,0)*(D509-INT(D509))+VLOOKUP(INT(D509),Tablas!$G$9:$O$1240,9,0)*(INT(D509)+1-D509))/(VLOOKUP(INT($C$5)+1,Tablas!$G$9:$O$1240,9,0)*($C$5-INT($C$5))+VLOOKUP(INT($C$5),Tablas!$G$9:$O$124,9,0)*(INT($C$5)+1-$C$5)))</f>
        <v>1.2908599070457022E-2</v>
      </c>
      <c r="G509" s="97">
        <f ca="1">IF($C$4="Hombre",(+VLOOKUP(INT(D509)+1,Tablas!$G$9:$K$1240,5,0)*(D509-INT(D509))+VLOOKUP(INT(D509),Tablas!$G$9:$K$1240,5,0)*(INT(D509)+1-D509)),+VLOOKUP(INT(D509)+1,Tablas!$G$9:$O$1240,9,0)*(D509-INT(D509))+VLOOKUP(INT(D509),Tablas!$G$9:$O$1240,9,0)*(INT(D509)+1-D509))</f>
        <v>11918.740086238586</v>
      </c>
      <c r="H509" s="105">
        <f t="shared" ca="1" si="58"/>
        <v>1</v>
      </c>
      <c r="I509" s="106">
        <f t="shared" ca="1" si="59"/>
        <v>5.835244288216469E-4</v>
      </c>
      <c r="J509" s="106">
        <f t="shared" ca="1" si="63"/>
        <v>5.0016379613284018E-4</v>
      </c>
      <c r="K509" s="105">
        <f t="shared" ca="1" si="60"/>
        <v>1.2908599070457022E-2</v>
      </c>
      <c r="L509" s="75"/>
    </row>
    <row r="510" spans="2:12">
      <c r="B510" s="101">
        <f t="shared" ca="1" si="61"/>
        <v>67787</v>
      </c>
      <c r="C510" s="101">
        <f t="shared" ca="1" si="62"/>
        <v>67817</v>
      </c>
      <c r="D510" s="102">
        <f t="shared" ca="1" si="56"/>
        <v>108.16700889801506</v>
      </c>
      <c r="E510" s="103">
        <f t="shared" ca="1" si="66"/>
        <v>0.54176679210288681</v>
      </c>
      <c r="F510" s="104">
        <f ca="1">IF($C$4="Hombre",(+VLOOKUP(INT(D510)+1,Tablas!$G$9:$K$1240,5,0)*(D510-INT(D510))+VLOOKUP(INT(D510),Tablas!$G$9:$K$1240,5,0)*(INT(D510)+1-D510))/(VLOOKUP(INT($C$5)+1,Tablas!$G$9:$K$1240,5,0)*($C$5-INT($C$5))+VLOOKUP(INT($C$5),Tablas!$G$9:$K$124,5,0)*(INT($C$5)+1-$C$5)),(+VLOOKUP(INT(D510)+1,Tablas!$G$9:$O$1240,9,0)*(D510-INT(D510))+VLOOKUP(INT(D510),Tablas!$G$9:$O$1240,9,0)*(INT(D510)+1-D510))/(VLOOKUP(INT($C$5)+1,Tablas!$G$9:$O$1240,9,0)*($C$5-INT($C$5))+VLOOKUP(INT($C$5),Tablas!$G$9:$O$124,9,0)*(INT($C$5)+1-$C$5)))</f>
        <v>1.2400964476687914E-2</v>
      </c>
      <c r="G510" s="97">
        <f ca="1">IF($C$4="Hombre",(+VLOOKUP(INT(D510)+1,Tablas!$G$9:$K$1240,5,0)*(D510-INT(D510))+VLOOKUP(INT(D510),Tablas!$G$9:$K$1240,5,0)*(INT(D510)+1-D510)),+VLOOKUP(INT(D510)+1,Tablas!$G$9:$O$1240,9,0)*(D510-INT(D510))+VLOOKUP(INT(D510),Tablas!$G$9:$O$1240,9,0)*(INT(D510)+1-D510))</f>
        <v>11450.031998792881</v>
      </c>
      <c r="H510" s="105">
        <f t="shared" ca="1" si="58"/>
        <v>1</v>
      </c>
      <c r="I510" s="106">
        <f t="shared" ca="1" si="59"/>
        <v>5.598692286264221E-4</v>
      </c>
      <c r="J510" s="106">
        <f t="shared" ca="1" si="63"/>
        <v>4.7988791025121893E-4</v>
      </c>
      <c r="K510" s="105">
        <f t="shared" ca="1" si="60"/>
        <v>1.2400964476687914E-2</v>
      </c>
      <c r="L510" s="75"/>
    </row>
    <row r="511" spans="2:12">
      <c r="B511" s="101">
        <f t="shared" ca="1" si="61"/>
        <v>67818</v>
      </c>
      <c r="C511" s="101">
        <f t="shared" ca="1" si="62"/>
        <v>67847</v>
      </c>
      <c r="D511" s="102">
        <f t="shared" ca="1" si="56"/>
        <v>108.24914442162903</v>
      </c>
      <c r="E511" s="103">
        <f t="shared" ca="1" si="66"/>
        <v>0.54110467909647864</v>
      </c>
      <c r="F511" s="104">
        <f ca="1">IF($C$4="Hombre",(+VLOOKUP(INT(D511)+1,Tablas!$G$9:$K$1240,5,0)*(D511-INT(D511))+VLOOKUP(INT(D511),Tablas!$G$9:$K$1240,5,0)*(INT(D511)+1-D511))/(VLOOKUP(INT($C$5)+1,Tablas!$G$9:$K$1240,5,0)*($C$5-INT($C$5))+VLOOKUP(INT($C$5),Tablas!$G$9:$K$124,5,0)*(INT($C$5)+1-$C$5)),(+VLOOKUP(INT(D511)+1,Tablas!$G$9:$O$1240,9,0)*(D511-INT(D511))+VLOOKUP(INT(D511),Tablas!$G$9:$O$1240,9,0)*(INT(D511)+1-D511))/(VLOOKUP(INT($C$5)+1,Tablas!$G$9:$O$1240,9,0)*($C$5-INT($C$5))+VLOOKUP(INT($C$5),Tablas!$G$9:$O$124,9,0)*(INT($C$5)+1-$C$5)))</f>
        <v>1.1909705192395205E-2</v>
      </c>
      <c r="G511" s="97">
        <f ca="1">IF($C$4="Hombre",(+VLOOKUP(INT(D511)+1,Tablas!$G$9:$K$1240,5,0)*(D511-INT(D511))+VLOOKUP(INT(D511),Tablas!$G$9:$K$1240,5,0)*(INT(D511)+1-D511)),+VLOOKUP(INT(D511)+1,Tablas!$G$9:$O$1240,9,0)*(D511-INT(D511))+VLOOKUP(INT(D511),Tablas!$G$9:$O$1240,9,0)*(INT(D511)+1-D511))</f>
        <v>10996.443527071209</v>
      </c>
      <c r="H511" s="105">
        <f t="shared" ca="1" si="58"/>
        <v>1</v>
      </c>
      <c r="I511" s="106">
        <f t="shared" ca="1" si="59"/>
        <v>5.3703310052205609E-4</v>
      </c>
      <c r="J511" s="106">
        <f t="shared" ca="1" si="63"/>
        <v>4.6031408616176237E-4</v>
      </c>
      <c r="K511" s="105">
        <f t="shared" ca="1" si="60"/>
        <v>1.1909705192395205E-2</v>
      </c>
      <c r="L511" s="75"/>
    </row>
    <row r="512" spans="2:12">
      <c r="B512" s="101">
        <f t="shared" ca="1" si="61"/>
        <v>67848</v>
      </c>
      <c r="C512" s="101">
        <f t="shared" ca="1" si="62"/>
        <v>67878</v>
      </c>
      <c r="D512" s="102">
        <f t="shared" ca="1" si="56"/>
        <v>108.33401779603011</v>
      </c>
      <c r="E512" s="103">
        <f t="shared" ca="1" si="66"/>
        <v>0.540421345746669</v>
      </c>
      <c r="F512" s="104">
        <f ca="1">IF($C$4="Hombre",(+VLOOKUP(INT(D512)+1,Tablas!$G$9:$K$1240,5,0)*(D512-INT(D512))+VLOOKUP(INT(D512),Tablas!$G$9:$K$1240,5,0)*(INT(D512)+1-D512))/(VLOOKUP(INT($C$5)+1,Tablas!$G$9:$K$1240,5,0)*($C$5-INT($C$5))+VLOOKUP(INT($C$5),Tablas!$G$9:$K$124,5,0)*(INT($C$5)+1-$C$5)),(+VLOOKUP(INT(D512)+1,Tablas!$G$9:$O$1240,9,0)*(D512-INT(D512))+VLOOKUP(INT(D512),Tablas!$G$9:$O$1240,9,0)*(INT(D512)+1-D512))/(VLOOKUP(INT($C$5)+1,Tablas!$G$9:$O$1240,9,0)*($C$5-INT($C$5))+VLOOKUP(INT($C$5),Tablas!$G$9:$O$124,9,0)*(INT($C$5)+1-$C$5)))</f>
        <v>1.1402070598626184E-2</v>
      </c>
      <c r="G512" s="97">
        <f ca="1">IF($C$4="Hombre",(+VLOOKUP(INT(D512)+1,Tablas!$G$9:$K$1240,5,0)*(D512-INT(D512))+VLOOKUP(INT(D512),Tablas!$G$9:$K$1240,5,0)*(INT(D512)+1-D512)),+VLOOKUP(INT(D512)+1,Tablas!$G$9:$O$1240,9,0)*(D512-INT(D512))+VLOOKUP(INT(D512),Tablas!$G$9:$O$1240,9,0)*(INT(D512)+1-D512))</f>
        <v>10527.735439625585</v>
      </c>
      <c r="H512" s="105">
        <f t="shared" ca="1" si="58"/>
        <v>1</v>
      </c>
      <c r="I512" s="106">
        <f t="shared" ca="1" si="59"/>
        <v>5.1349352810067415E-4</v>
      </c>
      <c r="J512" s="106">
        <f t="shared" ca="1" si="63"/>
        <v>4.4013730980057783E-4</v>
      </c>
      <c r="K512" s="105">
        <f t="shared" ca="1" si="60"/>
        <v>1.1402070598626184E-2</v>
      </c>
      <c r="L512" s="75"/>
    </row>
    <row r="513" spans="2:12">
      <c r="B513" s="101">
        <f t="shared" ca="1" si="61"/>
        <v>67879</v>
      </c>
      <c r="C513" s="101">
        <f t="shared" ca="1" si="62"/>
        <v>67908</v>
      </c>
      <c r="D513" s="102">
        <f t="shared" ca="1" si="56"/>
        <v>108.41615331964408</v>
      </c>
      <c r="E513" s="103">
        <f t="shared" ca="1" si="66"/>
        <v>0.5397608770594492</v>
      </c>
      <c r="F513" s="104">
        <f ca="1">IF($C$4="Hombre",(+VLOOKUP(INT(D513)+1,Tablas!$G$9:$K$1240,5,0)*(D513-INT(D513))+VLOOKUP(INT(D513),Tablas!$G$9:$K$1240,5,0)*(INT(D513)+1-D513))/(VLOOKUP(INT($C$5)+1,Tablas!$G$9:$K$1240,5,0)*($C$5-INT($C$5))+VLOOKUP(INT($C$5),Tablas!$G$9:$K$124,5,0)*(INT($C$5)+1-$C$5)),(+VLOOKUP(INT(D513)+1,Tablas!$G$9:$O$1240,9,0)*(D513-INT(D513))+VLOOKUP(INT(D513),Tablas!$G$9:$O$1240,9,0)*(INT(D513)+1-D513))/(VLOOKUP(INT($C$5)+1,Tablas!$G$9:$O$1240,9,0)*($C$5-INT($C$5))+VLOOKUP(INT($C$5),Tablas!$G$9:$O$124,9,0)*(INT($C$5)+1-$C$5)))</f>
        <v>1.0910811314333472E-2</v>
      </c>
      <c r="G513" s="97">
        <f ca="1">IF($C$4="Hombre",(+VLOOKUP(INT(D513)+1,Tablas!$G$9:$K$1240,5,0)*(D513-INT(D513))+VLOOKUP(INT(D513),Tablas!$G$9:$K$1240,5,0)*(INT(D513)+1-D513)),+VLOOKUP(INT(D513)+1,Tablas!$G$9:$O$1240,9,0)*(D513-INT(D513))+VLOOKUP(INT(D513),Tablas!$G$9:$O$1240,9,0)*(INT(D513)+1-D513))</f>
        <v>10074.146967903911</v>
      </c>
      <c r="H513" s="105">
        <f t="shared" ca="1" si="58"/>
        <v>1</v>
      </c>
      <c r="I513" s="106">
        <f t="shared" ca="1" si="59"/>
        <v>4.9076909037123302E-4</v>
      </c>
      <c r="J513" s="106">
        <f t="shared" ca="1" si="63"/>
        <v>8.4131844063639952E-4</v>
      </c>
      <c r="K513" s="105">
        <f t="shared" ca="1" si="60"/>
        <v>1.0910811314333472E-2</v>
      </c>
      <c r="L513" s="75"/>
    </row>
    <row r="514" spans="2:12">
      <c r="B514" s="101">
        <f t="shared" ca="1" si="61"/>
        <v>67909</v>
      </c>
      <c r="C514" s="101">
        <f t="shared" ca="1" si="62"/>
        <v>67939</v>
      </c>
      <c r="D514" s="102">
        <f t="shared" ca="1" si="56"/>
        <v>108.50102669404518</v>
      </c>
      <c r="E514" s="103">
        <f t="shared" ca="1" si="66"/>
        <v>0.53907924072831792</v>
      </c>
      <c r="F514" s="104">
        <f ca="1">IF($C$4="Hombre",(+VLOOKUP(INT(D514)+1,Tablas!$G$9:$K$1240,5,0)*(D514-INT(D514))+VLOOKUP(INT(D514),Tablas!$G$9:$K$1240,5,0)*(INT(D514)+1-D514))/(VLOOKUP(INT($C$5)+1,Tablas!$G$9:$K$1240,5,0)*($C$5-INT($C$5))+VLOOKUP(INT($C$5),Tablas!$G$9:$K$124,5,0)*(INT($C$5)+1-$C$5)),(+VLOOKUP(INT(D514)+1,Tablas!$G$9:$O$1240,9,0)*(D514-INT(D514))+VLOOKUP(INT(D514),Tablas!$G$9:$O$1240,9,0)*(INT(D514)+1-D514))/(VLOOKUP(INT($C$5)+1,Tablas!$G$9:$O$1240,9,0)*($C$5-INT($C$5))+VLOOKUP(INT($C$5),Tablas!$G$9:$O$124,9,0)*(INT($C$5)+1-$C$5)))</f>
        <v>1.0403176720564365E-2</v>
      </c>
      <c r="G514" s="97">
        <f ca="1">IF($C$4="Hombre",(+VLOOKUP(INT(D514)+1,Tablas!$G$9:$K$1240,5,0)*(D514-INT(D514))+VLOOKUP(INT(D514),Tablas!$G$9:$K$1240,5,0)*(INT(D514)+1-D514)),+VLOOKUP(INT(D514)+1,Tablas!$G$9:$O$1240,9,0)*(D514-INT(D514))+VLOOKUP(INT(D514),Tablas!$G$9:$O$1240,9,0)*(INT(D514)+1-D514))</f>
        <v>9605.4388804582086</v>
      </c>
      <c r="H514" s="105">
        <f t="shared" ca="1" si="58"/>
        <v>1</v>
      </c>
      <c r="I514" s="106">
        <f t="shared" ca="1" si="59"/>
        <v>4.6734471730702922E-4</v>
      </c>
      <c r="J514" s="106">
        <f t="shared" ca="1" si="63"/>
        <v>4.0058118626316787E-4</v>
      </c>
      <c r="K514" s="105">
        <f t="shared" ca="1" si="60"/>
        <v>1.0403176720564365E-2</v>
      </c>
      <c r="L514" s="75"/>
    </row>
    <row r="515" spans="2:12">
      <c r="B515" s="101">
        <f t="shared" ca="1" si="61"/>
        <v>67940</v>
      </c>
      <c r="C515" s="101">
        <f t="shared" ca="1" si="62"/>
        <v>67970</v>
      </c>
      <c r="D515" s="102">
        <f t="shared" ca="1" si="56"/>
        <v>108.58590006844626</v>
      </c>
      <c r="E515" s="103">
        <f t="shared" ca="1" si="66"/>
        <v>0.53839846520075307</v>
      </c>
      <c r="F515" s="104">
        <f ca="1">IF($C$4="Hombre",(+VLOOKUP(INT(D515)+1,Tablas!$G$9:$K$1240,5,0)*(D515-INT(D515))+VLOOKUP(INT(D515),Tablas!$G$9:$K$1240,5,0)*(INT(D515)+1-D515))/(VLOOKUP(INT($C$5)+1,Tablas!$G$9:$K$1240,5,0)*($C$5-INT($C$5))+VLOOKUP(INT($C$5),Tablas!$G$9:$K$124,5,0)*(INT($C$5)+1-$C$5)),(+VLOOKUP(INT(D515)+1,Tablas!$G$9:$O$1240,9,0)*(D515-INT(D515))+VLOOKUP(INT(D515),Tablas!$G$9:$O$1240,9,0)*(INT(D515)+1-D515))/(VLOOKUP(INT($C$5)+1,Tablas!$G$9:$O$1240,9,0)*($C$5-INT($C$5))+VLOOKUP(INT($C$5),Tablas!$G$9:$O$124,9,0)*(INT($C$5)+1-$C$5)))</f>
        <v>9.8955421267953418E-3</v>
      </c>
      <c r="G515" s="97">
        <f ca="1">IF($C$4="Hombre",(+VLOOKUP(INT(D515)+1,Tablas!$G$9:$K$1240,5,0)*(D515-INT(D515))+VLOOKUP(INT(D515),Tablas!$G$9:$K$1240,5,0)*(INT(D515)+1-D515)),+VLOOKUP(INT(D515)+1,Tablas!$G$9:$O$1240,9,0)*(D515-INT(D515))+VLOOKUP(INT(D515),Tablas!$G$9:$O$1240,9,0)*(INT(D515)+1-D515))</f>
        <v>9136.7307930125826</v>
      </c>
      <c r="H515" s="105">
        <f t="shared" ca="1" si="58"/>
        <v>1</v>
      </c>
      <c r="I515" s="106">
        <f t="shared" ca="1" si="59"/>
        <v>4.4397872444966729E-4</v>
      </c>
      <c r="J515" s="106">
        <f t="shared" ca="1" si="63"/>
        <v>3.8055319238542915E-4</v>
      </c>
      <c r="K515" s="105">
        <f t="shared" ca="1" si="60"/>
        <v>9.8955421267953418E-3</v>
      </c>
      <c r="L515" s="75"/>
    </row>
    <row r="516" spans="2:12">
      <c r="B516" s="101">
        <f t="shared" ca="1" si="61"/>
        <v>67971</v>
      </c>
      <c r="C516" s="101">
        <f t="shared" ca="1" si="62"/>
        <v>67998</v>
      </c>
      <c r="D516" s="102">
        <f t="shared" ca="1" si="56"/>
        <v>108.66255989048597</v>
      </c>
      <c r="E516" s="103">
        <f t="shared" ca="1" si="66"/>
        <v>0.5377843101506411</v>
      </c>
      <c r="F516" s="104">
        <f ca="1">IF($C$4="Hombre",(+VLOOKUP(INT(D516)+1,Tablas!$G$9:$K$1240,5,0)*(D516-INT(D516))+VLOOKUP(INT(D516),Tablas!$G$9:$K$1240,5,0)*(INT(D516)+1-D516))/(VLOOKUP(INT($C$5)+1,Tablas!$G$9:$K$1240,5,0)*($C$5-INT($C$5))+VLOOKUP(INT($C$5),Tablas!$G$9:$K$124,5,0)*(INT($C$5)+1-$C$5)),(+VLOOKUP(INT(D516)+1,Tablas!$G$9:$O$1240,9,0)*(D516-INT(D516))+VLOOKUP(INT(D516),Tablas!$G$9:$O$1240,9,0)*(INT(D516)+1-D516))/(VLOOKUP(INT($C$5)+1,Tablas!$G$9:$O$1240,9,0)*($C$5-INT($C$5))+VLOOKUP(INT($C$5),Tablas!$G$9:$O$124,9,0)*(INT($C$5)+1-$C$5)))</f>
        <v>9.4370334614555067E-3</v>
      </c>
      <c r="G516" s="97">
        <f ca="1">IF($C$4="Hombre",(+VLOOKUP(INT(D516)+1,Tablas!$G$9:$K$1240,5,0)*(D516-INT(D516))+VLOOKUP(INT(D516),Tablas!$G$9:$K$1240,5,0)*(INT(D516)+1-D516)),+VLOOKUP(INT(D516)+1,Tablas!$G$9:$O$1240,9,0)*(D516-INT(D516))+VLOOKUP(INT(D516),Tablas!$G$9:$O$1240,9,0)*(INT(D516)+1-D516))</f>
        <v>8713.381552739047</v>
      </c>
      <c r="H516" s="105">
        <f t="shared" ca="1" si="58"/>
        <v>1</v>
      </c>
      <c r="I516" s="106">
        <f t="shared" ca="1" si="59"/>
        <v>4.2292404416144715E-4</v>
      </c>
      <c r="J516" s="106">
        <f t="shared" ca="1" si="63"/>
        <v>3.6250632356695471E-4</v>
      </c>
      <c r="K516" s="105">
        <f t="shared" ca="1" si="60"/>
        <v>9.4370334614555067E-3</v>
      </c>
      <c r="L516" s="75"/>
    </row>
    <row r="517" spans="2:12">
      <c r="B517" s="101">
        <f t="shared" ca="1" si="61"/>
        <v>67999</v>
      </c>
      <c r="C517" s="101">
        <f t="shared" ca="1" si="62"/>
        <v>68029</v>
      </c>
      <c r="D517" s="102">
        <f t="shared" ca="1" si="56"/>
        <v>108.74743326488706</v>
      </c>
      <c r="E517" s="103">
        <f t="shared" ca="1" si="66"/>
        <v>0.53710516992449497</v>
      </c>
      <c r="F517" s="104">
        <f ca="1">IF($C$4="Hombre",(+VLOOKUP(INT(D517)+1,Tablas!$G$9:$K$1240,5,0)*(D517-INT(D517))+VLOOKUP(INT(D517),Tablas!$G$9:$K$1240,5,0)*(INT(D517)+1-D517))/(VLOOKUP(INT($C$5)+1,Tablas!$G$9:$K$1240,5,0)*($C$5-INT($C$5))+VLOOKUP(INT($C$5),Tablas!$G$9:$K$124,5,0)*(INT($C$5)+1-$C$5)),(+VLOOKUP(INT(D517)+1,Tablas!$G$9:$O$1240,9,0)*(D517-INT(D517))+VLOOKUP(INT(D517),Tablas!$G$9:$O$1240,9,0)*(INT(D517)+1-D517))/(VLOOKUP(INT($C$5)+1,Tablas!$G$9:$O$1240,9,0)*($C$5-INT($C$5))+VLOOKUP(INT($C$5),Tablas!$G$9:$O$124,9,0)*(INT($C$5)+1-$C$5)))</f>
        <v>8.9293988676864017E-3</v>
      </c>
      <c r="G517" s="97">
        <f ca="1">IF($C$4="Hombre",(+VLOOKUP(INT(D517)+1,Tablas!$G$9:$K$1240,5,0)*(D517-INT(D517))+VLOOKUP(INT(D517),Tablas!$G$9:$K$1240,5,0)*(INT(D517)+1-D517)),+VLOOKUP(INT(D517)+1,Tablas!$G$9:$O$1240,9,0)*(D517-INT(D517))+VLOOKUP(INT(D517),Tablas!$G$9:$O$1240,9,0)*(INT(D517)+1-D517))</f>
        <v>8244.6734652933446</v>
      </c>
      <c r="H517" s="105">
        <f t="shared" ca="1" si="58"/>
        <v>1</v>
      </c>
      <c r="I517" s="106">
        <f t="shared" ca="1" si="59"/>
        <v>3.9966885801269149E-4</v>
      </c>
      <c r="J517" s="106">
        <f t="shared" ca="1" si="63"/>
        <v>3.4257330686802127E-4</v>
      </c>
      <c r="K517" s="105">
        <f t="shared" ca="1" si="60"/>
        <v>8.9293988676864017E-3</v>
      </c>
      <c r="L517" s="75"/>
    </row>
    <row r="518" spans="2:12">
      <c r="B518" s="101">
        <f t="shared" ca="1" si="61"/>
        <v>68030</v>
      </c>
      <c r="C518" s="101">
        <f t="shared" ca="1" si="62"/>
        <v>68059</v>
      </c>
      <c r="D518" s="102">
        <f t="shared" ca="1" si="56"/>
        <v>108.82956878850102</v>
      </c>
      <c r="E518" s="103">
        <f t="shared" ca="1" si="66"/>
        <v>0.53644875405700398</v>
      </c>
      <c r="F518" s="104">
        <f ca="1">IF($C$4="Hombre",(+VLOOKUP(INT(D518)+1,Tablas!$G$9:$K$1240,5,0)*(D518-INT(D518))+VLOOKUP(INT(D518),Tablas!$G$9:$K$1240,5,0)*(INT(D518)+1-D518))/(VLOOKUP(INT($C$5)+1,Tablas!$G$9:$K$1240,5,0)*($C$5-INT($C$5))+VLOOKUP(INT($C$5),Tablas!$G$9:$K$124,5,0)*(INT($C$5)+1-$C$5)),(+VLOOKUP(INT(D518)+1,Tablas!$G$9:$O$1240,9,0)*(D518-INT(D518))+VLOOKUP(INT(D518),Tablas!$G$9:$O$1240,9,0)*(INT(D518)+1-D518))/(VLOOKUP(INT($C$5)+1,Tablas!$G$9:$O$1240,9,0)*($C$5-INT($C$5))+VLOOKUP(INT($C$5),Tablas!$G$9:$O$124,9,0)*(INT($C$5)+1-$C$5)))</f>
        <v>8.438139583393775E-3</v>
      </c>
      <c r="G518" s="97">
        <f ca="1">IF($C$4="Hombre",(+VLOOKUP(INT(D518)+1,Tablas!$G$9:$K$1240,5,0)*(D518-INT(D518))+VLOOKUP(INT(D518),Tablas!$G$9:$K$1240,5,0)*(INT(D518)+1-D518)),+VLOOKUP(INT(D518)+1,Tablas!$G$9:$O$1240,9,0)*(D518-INT(D518))+VLOOKUP(INT(D518),Tablas!$G$9:$O$1240,9,0)*(INT(D518)+1-D518))</f>
        <v>7791.0849935717506</v>
      </c>
      <c r="H518" s="105">
        <f t="shared" ca="1" si="58"/>
        <v>1</v>
      </c>
      <c r="I518" s="106">
        <f t="shared" ca="1" si="59"/>
        <v>3.7721912217255639E-4</v>
      </c>
      <c r="J518" s="106">
        <f t="shared" ca="1" si="63"/>
        <v>3.233306761479055E-4</v>
      </c>
      <c r="K518" s="105">
        <f t="shared" ca="1" si="60"/>
        <v>8.438139583393775E-3</v>
      </c>
      <c r="L518" s="75"/>
    </row>
    <row r="519" spans="2:12">
      <c r="B519" s="101">
        <f t="shared" ca="1" si="61"/>
        <v>68060</v>
      </c>
      <c r="C519" s="101">
        <f t="shared" ca="1" si="62"/>
        <v>68090</v>
      </c>
      <c r="D519" s="102">
        <f t="shared" ca="1" si="56"/>
        <v>108.91444216290212</v>
      </c>
      <c r="E519" s="103">
        <f t="shared" ca="1" si="66"/>
        <v>0.53577130043615717</v>
      </c>
      <c r="F519" s="104">
        <f ca="1">IF($C$4="Hombre",(+VLOOKUP(INT(D519)+1,Tablas!$G$9:$K$1240,5,0)*(D519-INT(D519))+VLOOKUP(INT(D519),Tablas!$G$9:$K$1240,5,0)*(INT(D519)+1-D519))/(VLOOKUP(INT($C$5)+1,Tablas!$G$9:$K$1240,5,0)*($C$5-INT($C$5))+VLOOKUP(INT($C$5),Tablas!$G$9:$K$124,5,0)*(INT($C$5)+1-$C$5)),(+VLOOKUP(INT(D519)+1,Tablas!$G$9:$O$1240,9,0)*(D519-INT(D519))+VLOOKUP(INT(D519),Tablas!$G$9:$O$1240,9,0)*(INT(D519)+1-D519))/(VLOOKUP(INT($C$5)+1,Tablas!$G$9:$O$1240,9,0)*($C$5-INT($C$5))+VLOOKUP(INT($C$5),Tablas!$G$9:$O$124,9,0)*(INT($C$5)+1-$C$5)))</f>
        <v>7.9305049896246683E-3</v>
      </c>
      <c r="G519" s="97">
        <f ca="1">IF($C$4="Hombre",(+VLOOKUP(INT(D519)+1,Tablas!$G$9:$K$1240,5,0)*(D519-INT(D519))+VLOOKUP(INT(D519),Tablas!$G$9:$K$1240,5,0)*(INT(D519)+1-D519)),+VLOOKUP(INT(D519)+1,Tablas!$G$9:$O$1240,9,0)*(D519-INT(D519))+VLOOKUP(INT(D519),Tablas!$G$9:$O$1240,9,0)*(INT(D519)+1-D519))</f>
        <v>7322.3769061260464</v>
      </c>
      <c r="H519" s="105">
        <f t="shared" ca="1" si="58"/>
        <v>1</v>
      </c>
      <c r="I519" s="106">
        <f t="shared" ca="1" si="59"/>
        <v>3.5407808095055346E-4</v>
      </c>
      <c r="J519" s="106">
        <f t="shared" ca="1" si="63"/>
        <v>6.0699099591523457E-4</v>
      </c>
      <c r="K519" s="105">
        <f t="shared" ca="1" si="60"/>
        <v>7.9305049896246683E-3</v>
      </c>
      <c r="L519" s="75"/>
    </row>
    <row r="520" spans="2:12">
      <c r="B520" s="101">
        <f t="shared" ca="1" si="61"/>
        <v>68091</v>
      </c>
      <c r="C520" s="101">
        <f t="shared" ca="1" si="62"/>
        <v>68120</v>
      </c>
      <c r="D520" s="102">
        <f t="shared" ca="1" si="56"/>
        <v>108.99657768651609</v>
      </c>
      <c r="E520" s="103">
        <f t="shared" ca="1" si="66"/>
        <v>0.53511651473934085</v>
      </c>
      <c r="F520" s="104">
        <f ca="1">IF($C$4="Hombre",(+VLOOKUP(INT(D520)+1,Tablas!$G$9:$K$1240,5,0)*(D520-INT(D520))+VLOOKUP(INT(D520),Tablas!$G$9:$K$1240,5,0)*(INT(D520)+1-D520))/(VLOOKUP(INT($C$5)+1,Tablas!$G$9:$K$1240,5,0)*($C$5-INT($C$5))+VLOOKUP(INT($C$5),Tablas!$G$9:$K$124,5,0)*(INT($C$5)+1-$C$5)),(+VLOOKUP(INT(D520)+1,Tablas!$G$9:$O$1240,9,0)*(D520-INT(D520))+VLOOKUP(INT(D520),Tablas!$G$9:$O$1240,9,0)*(INT(D520)+1-D520))/(VLOOKUP(INT($C$5)+1,Tablas!$G$9:$O$1240,9,0)*($C$5-INT($C$5))+VLOOKUP(INT($C$5),Tablas!$G$9:$O$124,9,0)*(INT($C$5)+1-$C$5)))</f>
        <v>7.4392457053319583E-3</v>
      </c>
      <c r="G520" s="97">
        <f ca="1">IF($C$4="Hombre",(+VLOOKUP(INT(D520)+1,Tablas!$G$9:$K$1240,5,0)*(D520-INT(D520))+VLOOKUP(INT(D520),Tablas!$G$9:$K$1240,5,0)*(INT(D520)+1-D520)),+VLOOKUP(INT(D520)+1,Tablas!$G$9:$O$1240,9,0)*(D520-INT(D520))+VLOOKUP(INT(D520),Tablas!$G$9:$O$1240,9,0)*(INT(D520)+1-D520))</f>
        <v>6868.7884344043741</v>
      </c>
      <c r="H520" s="105">
        <f t="shared" ca="1" si="58"/>
        <v>1</v>
      </c>
      <c r="I520" s="106">
        <f t="shared" ca="1" si="59"/>
        <v>3.3173860284390391E-4</v>
      </c>
      <c r="J520" s="106">
        <f t="shared" ca="1" si="63"/>
        <v>2.8434737386620336E-4</v>
      </c>
      <c r="K520" s="105">
        <f t="shared" ca="1" si="60"/>
        <v>7.4392457053319583E-3</v>
      </c>
      <c r="L520" s="75"/>
    </row>
    <row r="521" spans="2:12">
      <c r="B521" s="101">
        <f t="shared" ca="1" si="61"/>
        <v>68121</v>
      </c>
      <c r="C521" s="101">
        <f t="shared" ca="1" si="62"/>
        <v>68151</v>
      </c>
      <c r="D521" s="102">
        <f t="shared" ca="1" si="56"/>
        <v>109.08145106091717</v>
      </c>
      <c r="E521" s="103">
        <f t="shared" ca="1" si="66"/>
        <v>0.53444074353520743</v>
      </c>
      <c r="F521" s="104">
        <f ca="1">IF($C$4="Hombre",(+VLOOKUP(INT(D521)+1,Tablas!$G$9:$K$1240,5,0)*(D521-INT(D521))+VLOOKUP(INT(D521),Tablas!$G$9:$K$1240,5,0)*(INT(D521)+1-D521))/(VLOOKUP(INT($C$5)+1,Tablas!$G$9:$K$1240,5,0)*($C$5-INT($C$5))+VLOOKUP(INT($C$5),Tablas!$G$9:$K$124,5,0)*(INT($C$5)+1-$C$5)),(+VLOOKUP(INT(D521)+1,Tablas!$G$9:$O$1240,9,0)*(D521-INT(D521))+VLOOKUP(INT(D521),Tablas!$G$9:$O$1240,9,0)*(INT(D521)+1-D521))/(VLOOKUP(INT($C$5)+1,Tablas!$G$9:$O$1240,9,0)*($C$5-INT($C$5))+VLOOKUP(INT($C$5),Tablas!$G$9:$O$124,9,0)*(INT($C$5)+1-$C$5)))</f>
        <v>7.1251524119440631E-3</v>
      </c>
      <c r="G521" s="97">
        <f ca="1">IF($C$4="Hombre",(+VLOOKUP(INT(D521)+1,Tablas!$G$9:$K$1240,5,0)*(D521-INT(D521))+VLOOKUP(INT(D521),Tablas!$G$9:$K$1240,5,0)*(INT(D521)+1-D521)),+VLOOKUP(INT(D521)+1,Tablas!$G$9:$O$1240,9,0)*(D521-INT(D521))+VLOOKUP(INT(D521),Tablas!$G$9:$O$1240,9,0)*(INT(D521)+1-D521))</f>
        <v>6578.780486501747</v>
      </c>
      <c r="H521" s="105">
        <f t="shared" ca="1" si="58"/>
        <v>1</v>
      </c>
      <c r="I521" s="106">
        <f ca="1">IF(B521&lt;$C$10,0,IF(B521&lt;$C$11,$C$8/12*E521*F521*H521,0))</f>
        <v>3.1733097940342181E-4</v>
      </c>
      <c r="J521" s="106">
        <f t="shared" ca="1" si="63"/>
        <v>2.7199798234579011E-4</v>
      </c>
      <c r="K521" s="105">
        <f t="shared" ca="1" si="60"/>
        <v>7.1251524119440631E-3</v>
      </c>
      <c r="L521" s="75"/>
    </row>
    <row r="522" spans="2:12">
      <c r="B522" s="101">
        <f t="shared" ca="1" si="61"/>
        <v>68152</v>
      </c>
      <c r="C522" s="101">
        <f t="shared" ca="1" si="62"/>
        <v>68182</v>
      </c>
      <c r="D522" s="102">
        <f t="shared" ca="1" si="56"/>
        <v>109.16632443531827</v>
      </c>
      <c r="E522" s="103">
        <f t="shared" ca="1" si="66"/>
        <v>0.53376582572787201</v>
      </c>
      <c r="F522" s="104">
        <f ca="1">IF($C$4="Hombre",(+VLOOKUP(INT(D522)+1,Tablas!$G$9:$K$1240,5,0)*(D522-INT(D522))+VLOOKUP(INT(D522),Tablas!$G$9:$K$1240,5,0)*(INT(D522)+1-D522))/(VLOOKUP(INT($C$5)+1,Tablas!$G$9:$K$1240,5,0)*($C$5-INT($C$5))+VLOOKUP(INT($C$5),Tablas!$G$9:$K$124,5,0)*(INT($C$5)+1-$C$5)),(+VLOOKUP(INT(D522)+1,Tablas!$G$9:$O$1240,9,0)*(D522-INT(D522))+VLOOKUP(INT(D522),Tablas!$G$9:$O$1240,9,0)*(INT(D522)+1-D522))/(VLOOKUP(INT($C$5)+1,Tablas!$G$9:$O$1240,9,0)*($C$5-INT($C$5))+VLOOKUP(INT($C$5),Tablas!$G$9:$O$124,9,0)*(INT($C$5)+1-$C$5)))</f>
        <v>6.819191105967075E-3</v>
      </c>
      <c r="G522" s="97">
        <f ca="1">IF($C$4="Hombre",(+VLOOKUP(INT(D522)+1,Tablas!$G$9:$K$1240,5,0)*(D522-INT(D522))+VLOOKUP(INT(D522),Tablas!$G$9:$K$1240,5,0)*(INT(D522)+1-D522)),+VLOOKUP(INT(D522)+1,Tablas!$G$9:$O$1240,9,0)*(D522-INT(D522))+VLOOKUP(INT(D522),Tablas!$G$9:$O$1240,9,0)*(INT(D522)+1-D522))</f>
        <v>6296.2809478235558</v>
      </c>
      <c r="H522" s="105">
        <f t="shared" ca="1" si="58"/>
        <v>1</v>
      </c>
      <c r="I522" s="106">
        <f t="shared" ca="1" si="59"/>
        <v>3.0332093095605637E-4</v>
      </c>
      <c r="J522" s="106">
        <f t="shared" ca="1" si="63"/>
        <v>2.5998936939090547E-4</v>
      </c>
      <c r="K522" s="105">
        <f t="shared" ca="1" si="60"/>
        <v>6.819191105967075E-3</v>
      </c>
      <c r="L522" s="75"/>
    </row>
    <row r="523" spans="2:12">
      <c r="B523" s="101">
        <f t="shared" ca="1" si="61"/>
        <v>68183</v>
      </c>
      <c r="C523" s="101">
        <f t="shared" ca="1" si="62"/>
        <v>68212</v>
      </c>
      <c r="D523" s="102">
        <f t="shared" ca="1" si="56"/>
        <v>109.24845995893224</v>
      </c>
      <c r="E523" s="103">
        <f t="shared" ca="1" si="66"/>
        <v>0.53311349099502725</v>
      </c>
      <c r="F523" s="104">
        <f ca="1">IF($C$4="Hombre",(+VLOOKUP(INT(D523)+1,Tablas!$G$9:$K$1240,5,0)*(D523-INT(D523))+VLOOKUP(INT(D523),Tablas!$G$9:$K$1240,5,0)*(INT(D523)+1-D523))/(VLOOKUP(INT($C$5)+1,Tablas!$G$9:$K$1240,5,0)*($C$5-INT($C$5))+VLOOKUP(INT($C$5),Tablas!$G$9:$K$124,5,0)*(INT($C$5)+1-$C$5)),(+VLOOKUP(INT(D523)+1,Tablas!$G$9:$O$1240,9,0)*(D523-INT(D523))+VLOOKUP(INT(D523),Tablas!$G$9:$O$1240,9,0)*(INT(D523)+1-D523))/(VLOOKUP(INT($C$5)+1,Tablas!$G$9:$O$1240,9,0)*($C$5-INT($C$5))+VLOOKUP(INT($C$5),Tablas!$G$9:$O$124,9,0)*(INT($C$5)+1-$C$5)))</f>
        <v>6.5230995195377168E-3</v>
      </c>
      <c r="G523" s="97">
        <f ca="1">IF($C$4="Hombre",(+VLOOKUP(INT(D523)+1,Tablas!$G$9:$K$1240,5,0)*(D523-INT(D523))+VLOOKUP(INT(D523),Tablas!$G$9:$K$1240,5,0)*(INT(D523)+1-D523)),+VLOOKUP(INT(D523)+1,Tablas!$G$9:$O$1240,9,0)*(D523-INT(D523))+VLOOKUP(INT(D523),Tablas!$G$9:$O$1240,9,0)*(INT(D523)+1-D523))</f>
        <v>6022.8942974898082</v>
      </c>
      <c r="H523" s="105">
        <f t="shared" ca="1" si="58"/>
        <v>1</v>
      </c>
      <c r="I523" s="106">
        <f t="shared" ca="1" si="59"/>
        <v>2.8979602974739475E-4</v>
      </c>
      <c r="J523" s="106">
        <f t="shared" ca="1" si="63"/>
        <v>2.4839659692633834E-4</v>
      </c>
      <c r="K523" s="105">
        <f t="shared" ca="1" si="60"/>
        <v>6.5230995195377168E-3</v>
      </c>
      <c r="L523" s="75"/>
    </row>
    <row r="524" spans="2:12">
      <c r="B524" s="101">
        <f t="shared" ca="1" si="61"/>
        <v>68213</v>
      </c>
      <c r="C524" s="101">
        <f t="shared" ca="1" si="62"/>
        <v>68243</v>
      </c>
      <c r="D524" s="102">
        <f t="shared" ca="1" si="56"/>
        <v>109.33333333333333</v>
      </c>
      <c r="E524" s="103">
        <f t="shared" ca="1" si="66"/>
        <v>0.53244024930685951</v>
      </c>
      <c r="F524" s="104">
        <f ca="1">IF($C$4="Hombre",(+VLOOKUP(INT(D524)+1,Tablas!$G$9:$K$1240,5,0)*(D524-INT(D524))+VLOOKUP(INT(D524),Tablas!$G$9:$K$1240,5,0)*(INT(D524)+1-D524))/(VLOOKUP(INT($C$5)+1,Tablas!$G$9:$K$1240,5,0)*($C$5-INT($C$5))+VLOOKUP(INT($C$5),Tablas!$G$9:$K$124,5,0)*(INT($C$5)+1-$C$5)),(+VLOOKUP(INT(D524)+1,Tablas!$G$9:$O$1240,9,0)*(D524-INT(D524))+VLOOKUP(INT(D524),Tablas!$G$9:$O$1240,9,0)*(INT(D524)+1-D524))/(VLOOKUP(INT($C$5)+1,Tablas!$G$9:$O$1240,9,0)*($C$5-INT($C$5))+VLOOKUP(INT($C$5),Tablas!$G$9:$O$124,9,0)*(INT($C$5)+1-$C$5)))</f>
        <v>6.2171382135607816E-3</v>
      </c>
      <c r="G524" s="97">
        <f ca="1">IF($C$4="Hombre",(+VLOOKUP(INT(D524)+1,Tablas!$G$9:$K$1240,5,0)*(D524-INT(D524))+VLOOKUP(INT(D524),Tablas!$G$9:$K$1240,5,0)*(INT(D524)+1-D524)),+VLOOKUP(INT(D524)+1,Tablas!$G$9:$O$1240,9,0)*(D524-INT(D524))+VLOOKUP(INT(D524),Tablas!$G$9:$O$1240,9,0)*(INT(D524)+1-D524))</f>
        <v>5740.3947588116662</v>
      </c>
      <c r="H524" s="105">
        <f t="shared" ca="1" si="58"/>
        <v>1</v>
      </c>
      <c r="I524" s="106">
        <f t="shared" ca="1" si="59"/>
        <v>2.7585455170029213E-4</v>
      </c>
      <c r="J524" s="106">
        <f t="shared" ca="1" si="63"/>
        <v>2.3644675860025043E-4</v>
      </c>
      <c r="K524" s="105">
        <f t="shared" ca="1" si="60"/>
        <v>6.2171382135607816E-3</v>
      </c>
      <c r="L524" s="75"/>
    </row>
    <row r="525" spans="2:12">
      <c r="B525" s="101">
        <f t="shared" ca="1" si="61"/>
        <v>68244</v>
      </c>
      <c r="C525" s="101">
        <f t="shared" ca="1" si="62"/>
        <v>68273</v>
      </c>
      <c r="D525" s="102">
        <f t="shared" ca="1" si="56"/>
        <v>109.4154688569473</v>
      </c>
      <c r="E525" s="103">
        <f t="shared" ca="1" si="66"/>
        <v>0.53178953460942868</v>
      </c>
      <c r="F525" s="104">
        <f ca="1">IF($C$4="Hombre",(+VLOOKUP(INT(D525)+1,Tablas!$G$9:$K$1240,5,0)*(D525-INT(D525))+VLOOKUP(INT(D525),Tablas!$G$9:$K$1240,5,0)*(INT(D525)+1-D525))/(VLOOKUP(INT($C$5)+1,Tablas!$G$9:$K$1240,5,0)*($C$5-INT($C$5))+VLOOKUP(INT($C$5),Tablas!$G$9:$K$124,5,0)*(INT($C$5)+1-$C$5)),(+VLOOKUP(INT(D525)+1,Tablas!$G$9:$O$1240,9,0)*(D525-INT(D525))+VLOOKUP(INT(D525),Tablas!$G$9:$O$1240,9,0)*(INT(D525)+1-D525))/(VLOOKUP(INT($C$5)+1,Tablas!$G$9:$O$1240,9,0)*($C$5-INT($C$5))+VLOOKUP(INT($C$5),Tablas!$G$9:$O$124,9,0)*(INT($C$5)+1-$C$5)))</f>
        <v>5.9210466271314216E-3</v>
      </c>
      <c r="G525" s="97">
        <f ca="1">IF($C$4="Hombre",(+VLOOKUP(INT(D525)+1,Tablas!$G$9:$K$1240,5,0)*(D525-INT(D525))+VLOOKUP(INT(D525),Tablas!$G$9:$K$1240,5,0)*(INT(D525)+1-D525)),+VLOOKUP(INT(D525)+1,Tablas!$G$9:$O$1240,9,0)*(D525-INT(D525))+VLOOKUP(INT(D525),Tablas!$G$9:$O$1240,9,0)*(INT(D525)+1-D525))</f>
        <v>5467.0081084779176</v>
      </c>
      <c r="H525" s="105">
        <f t="shared" ca="1" si="58"/>
        <v>1</v>
      </c>
      <c r="I525" s="106">
        <f t="shared" ca="1" si="59"/>
        <v>2.6239588585357882E-4</v>
      </c>
      <c r="J525" s="106">
        <f t="shared" ca="1" si="63"/>
        <v>4.4982151860613513E-4</v>
      </c>
      <c r="K525" s="105">
        <f t="shared" ca="1" si="60"/>
        <v>5.9210466271314216E-3</v>
      </c>
      <c r="L525" s="75"/>
    </row>
    <row r="526" spans="2:12">
      <c r="B526" s="101">
        <f t="shared" ca="1" si="61"/>
        <v>68274</v>
      </c>
      <c r="C526" s="101">
        <f t="shared" ca="1" si="62"/>
        <v>68304</v>
      </c>
      <c r="D526" s="102">
        <f t="shared" ca="1" si="56"/>
        <v>109.5003422313484</v>
      </c>
      <c r="E526" s="103">
        <f t="shared" ca="1" si="66"/>
        <v>0.53111796487788399</v>
      </c>
      <c r="F526" s="104">
        <f ca="1">IF($C$4="Hombre",(+VLOOKUP(INT(D526)+1,Tablas!$G$9:$K$1240,5,0)*(D526-INT(D526))+VLOOKUP(INT(D526),Tablas!$G$9:$K$1240,5,0)*(INT(D526)+1-D526))/(VLOOKUP(INT($C$5)+1,Tablas!$G$9:$K$1240,5,0)*($C$5-INT($C$5))+VLOOKUP(INT($C$5),Tablas!$G$9:$K$124,5,0)*(INT($C$5)+1-$C$5)),(+VLOOKUP(INT(D526)+1,Tablas!$G$9:$O$1240,9,0)*(D526-INT(D526))+VLOOKUP(INT(D526),Tablas!$G$9:$O$1240,9,0)*(INT(D526)+1-D526))/(VLOOKUP(INT($C$5)+1,Tablas!$G$9:$O$1240,9,0)*($C$5-INT($C$5))+VLOOKUP(INT($C$5),Tablas!$G$9:$O$124,9,0)*(INT($C$5)+1-$C$5)))</f>
        <v>5.6150853211544352E-3</v>
      </c>
      <c r="G526" s="97">
        <f ca="1">IF($C$4="Hombre",(+VLOOKUP(INT(D526)+1,Tablas!$G$9:$K$1240,5,0)*(D526-INT(D526))+VLOOKUP(INT(D526),Tablas!$G$9:$K$1240,5,0)*(INT(D526)+1-D526)),+VLOOKUP(INT(D526)+1,Tablas!$G$9:$O$1240,9,0)*(D526-INT(D526))+VLOOKUP(INT(D526),Tablas!$G$9:$O$1240,9,0)*(INT(D526)+1-D526))</f>
        <v>5184.5085697997274</v>
      </c>
      <c r="H526" s="105">
        <f t="shared" ca="1" si="58"/>
        <v>1</v>
      </c>
      <c r="I526" s="106">
        <f t="shared" ca="1" si="59"/>
        <v>2.4852272403226859E-4</v>
      </c>
      <c r="J526" s="106">
        <f t="shared" ca="1" si="63"/>
        <v>2.1301947774194453E-4</v>
      </c>
      <c r="K526" s="105">
        <f t="shared" ca="1" si="60"/>
        <v>5.6150853211544352E-3</v>
      </c>
      <c r="L526" s="75"/>
    </row>
    <row r="527" spans="2:12">
      <c r="B527" s="101">
        <f t="shared" ca="1" si="61"/>
        <v>68305</v>
      </c>
      <c r="C527" s="101">
        <f t="shared" ca="1" si="62"/>
        <v>68335</v>
      </c>
      <c r="D527" s="102">
        <f t="shared" ca="1" si="56"/>
        <v>109.58521560574948</v>
      </c>
      <c r="E527" s="103">
        <f t="shared" ca="1" si="66"/>
        <v>0.53044724323731329</v>
      </c>
      <c r="F527" s="104">
        <f ca="1">IF($C$4="Hombre",(+VLOOKUP(INT(D527)+1,Tablas!$G$9:$K$1240,5,0)*(D527-INT(D527))+VLOOKUP(INT(D527),Tablas!$G$9:$K$1240,5,0)*(INT(D527)+1-D527))/(VLOOKUP(INT($C$5)+1,Tablas!$G$9:$K$1240,5,0)*($C$5-INT($C$5))+VLOOKUP(INT($C$5),Tablas!$G$9:$K$124,5,0)*(INT($C$5)+1-$C$5)),(+VLOOKUP(INT(D527)+1,Tablas!$G$9:$O$1240,9,0)*(D527-INT(D527))+VLOOKUP(INT(D527),Tablas!$G$9:$O$1240,9,0)*(INT(D527)+1-D527))/(VLOOKUP(INT($C$5)+1,Tablas!$G$9:$O$1240,9,0)*($C$5-INT($C$5))+VLOOKUP(INT($C$5),Tablas!$G$9:$O$124,9,0)*(INT($C$5)+1-$C$5)))</f>
        <v>5.3091240151774991E-3</v>
      </c>
      <c r="G527" s="97">
        <f ca="1">IF($C$4="Hombre",(+VLOOKUP(INT(D527)+1,Tablas!$G$9:$K$1240,5,0)*(D527-INT(D527))+VLOOKUP(INT(D527),Tablas!$G$9:$K$1240,5,0)*(INT(D527)+1-D527)),+VLOOKUP(INT(D527)+1,Tablas!$G$9:$O$1240,9,0)*(D527-INT(D527))+VLOOKUP(INT(D527),Tablas!$G$9:$O$1240,9,0)*(INT(D527)+1-D527))</f>
        <v>4902.0090311215845</v>
      </c>
      <c r="H527" s="105">
        <f t="shared" ca="1" si="58"/>
        <v>1</v>
      </c>
      <c r="I527" s="106">
        <f t="shared" ca="1" si="59"/>
        <v>2.3468418315466001E-4</v>
      </c>
      <c r="J527" s="106">
        <f t="shared" ca="1" si="63"/>
        <v>2.0115787127542286E-4</v>
      </c>
      <c r="K527" s="105">
        <f t="shared" ca="1" si="60"/>
        <v>5.3091240151774991E-3</v>
      </c>
      <c r="L527" s="75"/>
    </row>
    <row r="528" spans="2:12">
      <c r="B528" s="101">
        <f t="shared" ca="1" si="61"/>
        <v>68336</v>
      </c>
      <c r="C528" s="101">
        <f t="shared" ca="1" si="62"/>
        <v>68363</v>
      </c>
      <c r="D528" s="102">
        <f t="shared" ca="1" si="56"/>
        <v>109.66187542778918</v>
      </c>
      <c r="E528" s="103">
        <f t="shared" ca="1" si="66"/>
        <v>0.52984215820399938</v>
      </c>
      <c r="F528" s="104">
        <f ca="1">IF($C$4="Hombre",(+VLOOKUP(INT(D528)+1,Tablas!$G$9:$K$1240,5,0)*(D528-INT(D528))+VLOOKUP(INT(D528),Tablas!$G$9:$K$1240,5,0)*(INT(D528)+1-D528))/(VLOOKUP(INT($C$5)+1,Tablas!$G$9:$K$1240,5,0)*($C$5-INT($C$5))+VLOOKUP(INT($C$5),Tablas!$G$9:$K$124,5,0)*(INT($C$5)+1-$C$5)),(+VLOOKUP(INT(D528)+1,Tablas!$G$9:$O$1240,9,0)*(D528-INT(D528))+VLOOKUP(INT(D528),Tablas!$G$9:$O$1240,9,0)*(INT(D528)+1-D528))/(VLOOKUP(INT($C$5)+1,Tablas!$G$9:$O$1240,9,0)*($C$5-INT($C$5))+VLOOKUP(INT($C$5),Tablas!$G$9:$O$124,9,0)*(INT($C$5)+1-$C$5)))</f>
        <v>5.0327718678434483E-3</v>
      </c>
      <c r="G528" s="97">
        <f ca="1">IF($C$4="Hombre",(+VLOOKUP(INT(D528)+1,Tablas!$G$9:$K$1240,5,0)*(D528-INT(D528))+VLOOKUP(INT(D528),Tablas!$G$9:$K$1240,5,0)*(INT(D528)+1-D528)),+VLOOKUP(INT(D528)+1,Tablas!$G$9:$O$1240,9,0)*(D528-INT(D528))+VLOOKUP(INT(D528),Tablas!$G$9:$O$1240,9,0)*(INT(D528)+1-D528))</f>
        <v>4646.8481574767693</v>
      </c>
      <c r="H528" s="105">
        <f t="shared" ca="1" si="58"/>
        <v>1</v>
      </c>
      <c r="I528" s="106">
        <f t="shared" ca="1" si="59"/>
        <v>2.2221455901721214E-4</v>
      </c>
      <c r="J528" s="106">
        <f t="shared" ca="1" si="63"/>
        <v>1.9046962201475326E-4</v>
      </c>
      <c r="K528" s="105">
        <f t="shared" ca="1" si="60"/>
        <v>5.0327718678434483E-3</v>
      </c>
      <c r="L528" s="75"/>
    </row>
    <row r="529" spans="2:12">
      <c r="B529" s="101">
        <f t="shared" ca="1" si="61"/>
        <v>68364</v>
      </c>
      <c r="C529" s="101">
        <f t="shared" ca="1" si="62"/>
        <v>68394</v>
      </c>
      <c r="D529" s="102">
        <f t="shared" ca="1" si="56"/>
        <v>109.74674880219028</v>
      </c>
      <c r="E529" s="103">
        <f t="shared" ca="1" si="66"/>
        <v>0.52917304771424989</v>
      </c>
      <c r="F529" s="104">
        <f ca="1">IF($C$4="Hombre",(+VLOOKUP(INT(D529)+1,Tablas!$G$9:$K$1240,5,0)*(D529-INT(D529))+VLOOKUP(INT(D529),Tablas!$G$9:$K$1240,5,0)*(INT(D529)+1-D529))/(VLOOKUP(INT($C$5)+1,Tablas!$G$9:$K$1240,5,0)*($C$5-INT($C$5))+VLOOKUP(INT($C$5),Tablas!$G$9:$K$124,5,0)*(INT($C$5)+1-$C$5)),(+VLOOKUP(INT(D529)+1,Tablas!$G$9:$O$1240,9,0)*(D529-INT(D529))+VLOOKUP(INT(D529),Tablas!$G$9:$O$1240,9,0)*(INT(D529)+1-D529))/(VLOOKUP(INT($C$5)+1,Tablas!$G$9:$O$1240,9,0)*($C$5-INT($C$5))+VLOOKUP(INT($C$5),Tablas!$G$9:$O$124,9,0)*(INT($C$5)+1-$C$5)))</f>
        <v>4.7268105618664619E-3</v>
      </c>
      <c r="G529" s="97">
        <f ca="1">IF($C$4="Hombre",(+VLOOKUP(INT(D529)+1,Tablas!$G$9:$K$1240,5,0)*(D529-INT(D529))+VLOOKUP(INT(D529),Tablas!$G$9:$K$1240,5,0)*(INT(D529)+1-D529)),+VLOOKUP(INT(D529)+1,Tablas!$G$9:$O$1240,9,0)*(D529-INT(D529))+VLOOKUP(INT(D529),Tablas!$G$9:$O$1240,9,0)*(INT(D529)+1-D529))</f>
        <v>4364.3486187985791</v>
      </c>
      <c r="H529" s="105">
        <f t="shared" ca="1" si="58"/>
        <v>1</v>
      </c>
      <c r="I529" s="106">
        <f t="shared" ca="1" si="59"/>
        <v>2.0844172924923179E-4</v>
      </c>
      <c r="J529" s="106">
        <f t="shared" ca="1" si="63"/>
        <v>1.7866433935648438E-4</v>
      </c>
      <c r="K529" s="105">
        <f t="shared" ca="1" si="60"/>
        <v>4.7268105618664619E-3</v>
      </c>
      <c r="L529" s="75"/>
    </row>
    <row r="530" spans="2:12">
      <c r="B530" s="101">
        <f t="shared" ca="1" si="61"/>
        <v>68395</v>
      </c>
      <c r="C530" s="101">
        <f t="shared" ca="1" si="62"/>
        <v>68424</v>
      </c>
      <c r="D530" s="102">
        <f t="shared" ref="D530:D593" ca="1" si="67">-_xlfn.DAYS($C$3,C530)/365.25</f>
        <v>109.82888432580424</v>
      </c>
      <c r="E530" s="103">
        <f t="shared" ca="1" si="66"/>
        <v>0.52852632598335125</v>
      </c>
      <c r="F530" s="104">
        <f ca="1">IF($C$4="Hombre",(+VLOOKUP(INT(D530)+1,Tablas!$G$9:$K$1240,5,0)*(D530-INT(D530))+VLOOKUP(INT(D530),Tablas!$G$9:$K$1240,5,0)*(INT(D530)+1-D530))/(VLOOKUP(INT($C$5)+1,Tablas!$G$9:$K$1240,5,0)*($C$5-INT($C$5))+VLOOKUP(INT($C$5),Tablas!$G$9:$K$124,5,0)*(INT($C$5)+1-$C$5)),(+VLOOKUP(INT(D530)+1,Tablas!$G$9:$O$1240,9,0)*(D530-INT(D530))+VLOOKUP(INT(D530),Tablas!$G$9:$O$1240,9,0)*(INT(D530)+1-D530))/(VLOOKUP(INT($C$5)+1,Tablas!$G$9:$O$1240,9,0)*($C$5-INT($C$5))+VLOOKUP(INT($C$5),Tablas!$G$9:$O$124,9,0)*(INT($C$5)+1-$C$5)))</f>
        <v>4.4307189754371539E-3</v>
      </c>
      <c r="G530" s="97">
        <f ca="1">IF($C$4="Hombre",(+VLOOKUP(INT(D530)+1,Tablas!$G$9:$K$1240,5,0)*(D530-INT(D530))+VLOOKUP(INT(D530),Tablas!$G$9:$K$1240,5,0)*(INT(D530)+1-D530)),+VLOOKUP(INT(D530)+1,Tablas!$G$9:$O$1240,9,0)*(D530-INT(D530))+VLOOKUP(INT(D530),Tablas!$G$9:$O$1240,9,0)*(INT(D530)+1-D530))</f>
        <v>4090.9619684648787</v>
      </c>
      <c r="H530" s="105">
        <f t="shared" ref="H530:H593" ca="1" si="68">+IF(MONTH(B530)=1,H529*(1+$C$9),H529)</f>
        <v>1</v>
      </c>
      <c r="I530" s="106">
        <f t="shared" ref="I530:I593" ca="1" si="69">IF(B530&lt;$C$10,0,IF(B530&lt;$C$11,$C$8/12*E530*F530*H530,0))</f>
        <v>1.9514596846270974E-4</v>
      </c>
      <c r="J530" s="106">
        <f t="shared" ca="1" si="63"/>
        <v>1.6726797296803692E-4</v>
      </c>
      <c r="K530" s="105">
        <f t="shared" ref="K530:K593" ca="1" si="70">G530/$G$15</f>
        <v>4.4307189754371539E-3</v>
      </c>
      <c r="L530" s="75"/>
    </row>
    <row r="531" spans="2:12">
      <c r="B531" s="101">
        <f t="shared" ref="B531:B594" ca="1" si="71">+DATE(YEAR(B530),MONTH(B530)+1,DAY(B530))</f>
        <v>68425</v>
      </c>
      <c r="C531" s="101">
        <f t="shared" ref="C531:C594" ca="1" si="72">+B532-1</f>
        <v>68455</v>
      </c>
      <c r="D531" s="102">
        <f t="shared" ca="1" si="67"/>
        <v>109.91375770020534</v>
      </c>
      <c r="E531" s="103">
        <f t="shared" ca="1" si="66"/>
        <v>0.52785887719063351</v>
      </c>
      <c r="F531" s="104">
        <f ca="1">IF($C$4="Hombre",(+VLOOKUP(INT(D531)+1,Tablas!$G$9:$K$1240,5,0)*(D531-INT(D531))+VLOOKUP(INT(D531),Tablas!$G$9:$K$1240,5,0)*(INT(D531)+1-D531))/(VLOOKUP(INT($C$5)+1,Tablas!$G$9:$K$1240,5,0)*($C$5-INT($C$5))+VLOOKUP(INT($C$5),Tablas!$G$9:$K$124,5,0)*(INT($C$5)+1-$C$5)),(+VLOOKUP(INT(D531)+1,Tablas!$G$9:$O$1240,9,0)*(D531-INT(D531))+VLOOKUP(INT(D531),Tablas!$G$9:$O$1240,9,0)*(INT(D531)+1-D531))/(VLOOKUP(INT($C$5)+1,Tablas!$G$9:$O$1240,9,0)*($C$5-INT($C$5))+VLOOKUP(INT($C$5),Tablas!$G$9:$O$124,9,0)*(INT($C$5)+1-$C$5)))</f>
        <v>4.1247576694601667E-3</v>
      </c>
      <c r="G531" s="97">
        <f ca="1">IF($C$4="Hombre",(+VLOOKUP(INT(D531)+1,Tablas!$G$9:$K$1240,5,0)*(D531-INT(D531))+VLOOKUP(INT(D531),Tablas!$G$9:$K$1240,5,0)*(INT(D531)+1-D531)),+VLOOKUP(INT(D531)+1,Tablas!$G$9:$O$1240,9,0)*(D531-INT(D531))+VLOOKUP(INT(D531),Tablas!$G$9:$O$1240,9,0)*(INT(D531)+1-D531))</f>
        <v>3808.4624297866885</v>
      </c>
      <c r="H531" s="105">
        <f t="shared" ca="1" si="68"/>
        <v>1</v>
      </c>
      <c r="I531" s="106">
        <f t="shared" ca="1" si="69"/>
        <v>1.8144082934039147E-4</v>
      </c>
      <c r="J531" s="106">
        <f t="shared" ref="J531:J594" ca="1" si="73">I531*12/14+IF(OR(MONTH(C531)=6,MONTH(C531)=12),I531*12/14,0)</f>
        <v>3.1104142172638539E-4</v>
      </c>
      <c r="K531" s="105">
        <f t="shared" ca="1" si="70"/>
        <v>4.1247576694601667E-3</v>
      </c>
      <c r="L531" s="75"/>
    </row>
    <row r="532" spans="2:12">
      <c r="B532" s="101">
        <f t="shared" ca="1" si="71"/>
        <v>68456</v>
      </c>
      <c r="C532" s="101">
        <f t="shared" ca="1" si="72"/>
        <v>68485</v>
      </c>
      <c r="D532" s="102">
        <f t="shared" ca="1" si="67"/>
        <v>109.99589322381931</v>
      </c>
      <c r="E532" s="103">
        <f t="shared" ca="1" si="66"/>
        <v>0.52721376155558453</v>
      </c>
      <c r="F532" s="104">
        <f ca="1">IF($C$4="Hombre",(+VLOOKUP(INT(D532)+1,Tablas!$G$9:$K$1240,5,0)*(D532-INT(D532))+VLOOKUP(INT(D532),Tablas!$G$9:$K$1240,5,0)*(INT(D532)+1-D532))/(VLOOKUP(INT($C$5)+1,Tablas!$G$9:$K$1240,5,0)*($C$5-INT($C$5))+VLOOKUP(INT($C$5),Tablas!$G$9:$K$124,5,0)*(INT($C$5)+1-$C$5)),(+VLOOKUP(INT(D532)+1,Tablas!$G$9:$O$1240,9,0)*(D532-INT(D532))+VLOOKUP(INT(D532),Tablas!$G$9:$O$1240,9,0)*(INT(D532)+1-D532))/(VLOOKUP(INT($C$5)+1,Tablas!$G$9:$O$1240,9,0)*($C$5-INT($C$5))+VLOOKUP(INT($C$5),Tablas!$G$9:$O$124,9,0)*(INT($C$5)+1-$C$5)))</f>
        <v>3.828666083030808E-3</v>
      </c>
      <c r="G532" s="97">
        <f ca="1">IF($C$4="Hombre",(+VLOOKUP(INT(D532)+1,Tablas!$G$9:$K$1240,5,0)*(D532-INT(D532))+VLOOKUP(INT(D532),Tablas!$G$9:$K$1240,5,0)*(INT(D532)+1-D532)),+VLOOKUP(INT(D532)+1,Tablas!$G$9:$O$1240,9,0)*(D532-INT(D532))+VLOOKUP(INT(D532),Tablas!$G$9:$O$1240,9,0)*(INT(D532)+1-D532))</f>
        <v>3535.0757794529404</v>
      </c>
      <c r="H532" s="105">
        <f t="shared" ca="1" si="68"/>
        <v>1</v>
      </c>
      <c r="I532" s="106">
        <f t="shared" ca="1" si="69"/>
        <v>1.6821045394791316E-4</v>
      </c>
      <c r="J532" s="106">
        <f t="shared" ca="1" si="73"/>
        <v>1.441803890982113E-4</v>
      </c>
      <c r="K532" s="105">
        <f t="shared" ca="1" si="70"/>
        <v>3.828666083030808E-3</v>
      </c>
      <c r="L532" s="75"/>
    </row>
    <row r="533" spans="2:12">
      <c r="B533" s="101">
        <f t="shared" ca="1" si="71"/>
        <v>68486</v>
      </c>
      <c r="C533" s="101">
        <f t="shared" ca="1" si="72"/>
        <v>68516</v>
      </c>
      <c r="D533" s="102">
        <f t="shared" ca="1" si="67"/>
        <v>110.08076659822039</v>
      </c>
      <c r="E533" s="103">
        <f t="shared" ca="1" si="66"/>
        <v>0.52654797033317058</v>
      </c>
      <c r="F533" s="104">
        <f ca="1">IF($C$4="Hombre",(+VLOOKUP(INT(D533)+1,Tablas!$G$9:$K$1240,5,0)*(D533-INT(D533))+VLOOKUP(INT(D533),Tablas!$G$9:$K$1240,5,0)*(INT(D533)+1-D533))/(VLOOKUP(INT($C$5)+1,Tablas!$G$9:$K$1240,5,0)*($C$5-INT($C$5))+VLOOKUP(INT($C$5),Tablas!$G$9:$K$124,5,0)*(INT($C$5)+1-$C$5)),(+VLOOKUP(INT(D533)+1,Tablas!$G$9:$O$1240,9,0)*(D533-INT(D533))+VLOOKUP(INT(D533),Tablas!$G$9:$O$1240,9,0)*(INT(D533)+1-D533))/(VLOOKUP(INT($C$5)+1,Tablas!$G$9:$O$1240,9,0)*($C$5-INT($C$5))+VLOOKUP(INT($C$5),Tablas!$G$9:$O$124,9,0)*(INT($C$5)+1-$C$5)))</f>
        <v>3.6505877422702243E-3</v>
      </c>
      <c r="G533" s="97">
        <f ca="1">IF($C$4="Hombre",(+VLOOKUP(INT(D533)+1,Tablas!$G$9:$K$1240,5,0)*(D533-INT(D533))+VLOOKUP(INT(D533),Tablas!$G$9:$K$1240,5,0)*(INT(D533)+1-D533)),+VLOOKUP(INT(D533)+1,Tablas!$G$9:$O$1240,9,0)*(D533-INT(D533))+VLOOKUP(INT(D533),Tablas!$G$9:$O$1240,9,0)*(INT(D533)+1-D533))</f>
        <v>3370.6528667163007</v>
      </c>
      <c r="H533" s="105">
        <f t="shared" ca="1" si="68"/>
        <v>1</v>
      </c>
      <c r="I533" s="106">
        <f t="shared" ca="1" si="69"/>
        <v>1.6018413051796149E-4</v>
      </c>
      <c r="J533" s="106">
        <f t="shared" ca="1" si="73"/>
        <v>1.3730068330110984E-4</v>
      </c>
      <c r="K533" s="105">
        <f t="shared" ca="1" si="70"/>
        <v>3.6505877422702243E-3</v>
      </c>
      <c r="L533" s="75"/>
    </row>
    <row r="534" spans="2:12">
      <c r="B534" s="101">
        <f t="shared" ca="1" si="71"/>
        <v>68517</v>
      </c>
      <c r="C534" s="101">
        <f t="shared" ca="1" si="72"/>
        <v>68547</v>
      </c>
      <c r="D534" s="102">
        <f t="shared" ca="1" si="67"/>
        <v>110.16563997262149</v>
      </c>
      <c r="E534" s="103">
        <f t="shared" ca="1" si="66"/>
        <v>0.52588301990434771</v>
      </c>
      <c r="F534" s="104">
        <f ca="1">IF($C$4="Hombre",(+VLOOKUP(INT(D534)+1,Tablas!$G$9:$K$1240,5,0)*(D534-INT(D534))+VLOOKUP(INT(D534),Tablas!$G$9:$K$1240,5,0)*(INT(D534)+1-D534))/(VLOOKUP(INT($C$5)+1,Tablas!$G$9:$K$1240,5,0)*($C$5-INT($C$5))+VLOOKUP(INT($C$5),Tablas!$G$9:$K$124,5,0)*(INT($C$5)+1-$C$5)),(+VLOOKUP(INT(D534)+1,Tablas!$G$9:$O$1240,9,0)*(D534-INT(D534))+VLOOKUP(INT(D534),Tablas!$G$9:$O$1240,9,0)*(INT(D534)+1-D534))/(VLOOKUP(INT($C$5)+1,Tablas!$G$9:$O$1240,9,0)*($C$5-INT($C$5))+VLOOKUP(INT($C$5),Tablas!$G$9:$O$124,9,0)*(INT($C$5)+1-$C$5)))</f>
        <v>3.4790119251646699E-3</v>
      </c>
      <c r="G534" s="97">
        <f ca="1">IF($C$4="Hombre",(+VLOOKUP(INT(D534)+1,Tablas!$G$9:$K$1240,5,0)*(D534-INT(D534))+VLOOKUP(INT(D534),Tablas!$G$9:$K$1240,5,0)*(INT(D534)+1-D534)),+VLOOKUP(INT(D534)+1,Tablas!$G$9:$O$1240,9,0)*(D534-INT(D534))+VLOOKUP(INT(D534),Tablas!$G$9:$O$1240,9,0)*(INT(D534)+1-D534))</f>
        <v>3212.2338502139382</v>
      </c>
      <c r="H534" s="105">
        <f t="shared" ca="1" si="68"/>
        <v>1</v>
      </c>
      <c r="I534" s="106">
        <f t="shared" ca="1" si="69"/>
        <v>1.5246277479073625E-4</v>
      </c>
      <c r="J534" s="106">
        <f t="shared" ca="1" si="73"/>
        <v>1.3068237839205965E-4</v>
      </c>
      <c r="K534" s="105">
        <f t="shared" ca="1" si="70"/>
        <v>3.4790119251646699E-3</v>
      </c>
      <c r="L534" s="75"/>
    </row>
    <row r="535" spans="2:12">
      <c r="B535" s="101">
        <f t="shared" ca="1" si="71"/>
        <v>68548</v>
      </c>
      <c r="C535" s="101">
        <f t="shared" ca="1" si="72"/>
        <v>68577</v>
      </c>
      <c r="D535" s="102">
        <f t="shared" ca="1" si="67"/>
        <v>110.24777549623545</v>
      </c>
      <c r="E535" s="103">
        <f t="shared" ca="1" si="66"/>
        <v>0.52524031903673585</v>
      </c>
      <c r="F535" s="104">
        <f ca="1">IF($C$4="Hombre",(+VLOOKUP(INT(D535)+1,Tablas!$G$9:$K$1240,5,0)*(D535-INT(D535))+VLOOKUP(INT(D535),Tablas!$G$9:$K$1240,5,0)*(INT(D535)+1-D535))/(VLOOKUP(INT($C$5)+1,Tablas!$G$9:$K$1240,5,0)*($C$5-INT($C$5))+VLOOKUP(INT($C$5),Tablas!$G$9:$K$124,5,0)*(INT($C$5)+1-$C$5)),(+VLOOKUP(INT(D535)+1,Tablas!$G$9:$O$1240,9,0)*(D535-INT(D535))+VLOOKUP(INT(D535),Tablas!$G$9:$O$1240,9,0)*(INT(D535)+1-D535))/(VLOOKUP(INT($C$5)+1,Tablas!$G$9:$O$1240,9,0)*($C$5-INT($C$5))+VLOOKUP(INT($C$5),Tablas!$G$9:$O$124,9,0)*(INT($C$5)+1-$C$5)))</f>
        <v>3.312970811836733E-3</v>
      </c>
      <c r="G535" s="97">
        <f ca="1">IF($C$4="Hombre",(+VLOOKUP(INT(D535)+1,Tablas!$G$9:$K$1240,5,0)*(D535-INT(D535))+VLOOKUP(INT(D535),Tablas!$G$9:$K$1240,5,0)*(INT(D535)+1-D535)),+VLOOKUP(INT(D535)+1,Tablas!$G$9:$O$1240,9,0)*(D535-INT(D535))+VLOOKUP(INT(D535),Tablas!$G$9:$O$1240,9,0)*(INT(D535)+1-D535))</f>
        <v>3058.9251245665082</v>
      </c>
      <c r="H535" s="105">
        <f t="shared" ca="1" si="68"/>
        <v>1</v>
      </c>
      <c r="I535" s="106">
        <f t="shared" ca="1" si="69"/>
        <v>1.4500882051404328E-4</v>
      </c>
      <c r="J535" s="106">
        <f t="shared" ca="1" si="73"/>
        <v>1.2429327472632281E-4</v>
      </c>
      <c r="K535" s="105">
        <f t="shared" ca="1" si="70"/>
        <v>3.312970811836733E-3</v>
      </c>
      <c r="L535" s="75"/>
    </row>
    <row r="536" spans="2:12">
      <c r="B536" s="101">
        <f t="shared" ca="1" si="71"/>
        <v>68578</v>
      </c>
      <c r="C536" s="101">
        <f t="shared" ca="1" si="72"/>
        <v>68608</v>
      </c>
      <c r="D536" s="102">
        <f t="shared" ca="1" si="67"/>
        <v>110.33264887063655</v>
      </c>
      <c r="E536" s="103">
        <f t="shared" ca="1" si="66"/>
        <v>0.52457701997367501</v>
      </c>
      <c r="F536" s="104">
        <f ca="1">IF($C$4="Hombre",(+VLOOKUP(INT(D536)+1,Tablas!$G$9:$K$1240,5,0)*(D536-INT(D536))+VLOOKUP(INT(D536),Tablas!$G$9:$K$1240,5,0)*(INT(D536)+1-D536))/(VLOOKUP(INT($C$5)+1,Tablas!$G$9:$K$1240,5,0)*($C$5-INT($C$5))+VLOOKUP(INT($C$5),Tablas!$G$9:$K$124,5,0)*(INT($C$5)+1-$C$5)),(+VLOOKUP(INT(D536)+1,Tablas!$G$9:$O$1240,9,0)*(D536-INT(D536))+VLOOKUP(INT(D536),Tablas!$G$9:$O$1240,9,0)*(INT(D536)+1-D536))/(VLOOKUP(INT($C$5)+1,Tablas!$G$9:$O$1240,9,0)*($C$5-INT($C$5))+VLOOKUP(INT($C$5),Tablas!$G$9:$O$124,9,0)*(INT($C$5)+1-$C$5)))</f>
        <v>3.1413949947311785E-3</v>
      </c>
      <c r="G536" s="97">
        <f ca="1">IF($C$4="Hombre",(+VLOOKUP(INT(D536)+1,Tablas!$G$9:$K$1240,5,0)*(D536-INT(D536))+VLOOKUP(INT(D536),Tablas!$G$9:$K$1240,5,0)*(INT(D536)+1-D536)),+VLOOKUP(INT(D536)+1,Tablas!$G$9:$O$1240,9,0)*(D536-INT(D536))+VLOOKUP(INT(D536),Tablas!$G$9:$O$1240,9,0)*(INT(D536)+1-D536))</f>
        <v>2900.5061080641458</v>
      </c>
      <c r="H536" s="105">
        <f t="shared" ca="1" si="68"/>
        <v>1</v>
      </c>
      <c r="I536" s="106">
        <f t="shared" ca="1" si="69"/>
        <v>1.3732530207469167E-4</v>
      </c>
      <c r="J536" s="106">
        <f t="shared" ca="1" si="73"/>
        <v>1.1770740177830715E-4</v>
      </c>
      <c r="K536" s="105">
        <f t="shared" ca="1" si="70"/>
        <v>3.1413949947311785E-3</v>
      </c>
      <c r="L536" s="75"/>
    </row>
    <row r="537" spans="2:12">
      <c r="B537" s="101">
        <f t="shared" ca="1" si="71"/>
        <v>68609</v>
      </c>
      <c r="C537" s="101">
        <f t="shared" ca="1" si="72"/>
        <v>68638</v>
      </c>
      <c r="D537" s="102">
        <f t="shared" ca="1" si="67"/>
        <v>110.41478439425052</v>
      </c>
      <c r="E537" s="103">
        <f t="shared" ca="1" si="66"/>
        <v>0.52393591521633243</v>
      </c>
      <c r="F537" s="104">
        <f ca="1">IF($C$4="Hombre",(+VLOOKUP(INT(D537)+1,Tablas!$G$9:$K$1240,5,0)*(D537-INT(D537))+VLOOKUP(INT(D537),Tablas!$G$9:$K$1240,5,0)*(INT(D537)+1-D537))/(VLOOKUP(INT($C$5)+1,Tablas!$G$9:$K$1240,5,0)*($C$5-INT($C$5))+VLOOKUP(INT($C$5),Tablas!$G$9:$K$124,5,0)*(INT($C$5)+1-$C$5)),(+VLOOKUP(INT(D537)+1,Tablas!$G$9:$O$1240,9,0)*(D537-INT(D537))+VLOOKUP(INT(D537),Tablas!$G$9:$O$1240,9,0)*(INT(D537)+1-D537))/(VLOOKUP(INT($C$5)+1,Tablas!$G$9:$O$1240,9,0)*($C$5-INT($C$5))+VLOOKUP(INT($C$5),Tablas!$G$9:$O$124,9,0)*(INT($C$5)+1-$C$5)))</f>
        <v>2.9753538814032135E-3</v>
      </c>
      <c r="G537" s="97">
        <f ca="1">IF($C$4="Hombre",(+VLOOKUP(INT(D537)+1,Tablas!$G$9:$K$1240,5,0)*(D537-INT(D537))+VLOOKUP(INT(D537),Tablas!$G$9:$K$1240,5,0)*(INT(D537)+1-D537)),+VLOOKUP(INT(D537)+1,Tablas!$G$9:$O$1240,9,0)*(D537-INT(D537))+VLOOKUP(INT(D537),Tablas!$G$9:$O$1240,9,0)*(INT(D537)+1-D537))</f>
        <v>2747.1973824166898</v>
      </c>
      <c r="H537" s="105">
        <f t="shared" ca="1" si="68"/>
        <v>1</v>
      </c>
      <c r="I537" s="106">
        <f t="shared" ca="1" si="69"/>
        <v>1.2990789657878828E-4</v>
      </c>
      <c r="J537" s="106">
        <f t="shared" ca="1" si="73"/>
        <v>2.2269925127792276E-4</v>
      </c>
      <c r="K537" s="105">
        <f t="shared" ca="1" si="70"/>
        <v>2.9753538814032135E-3</v>
      </c>
      <c r="L537" s="75"/>
    </row>
    <row r="538" spans="2:12">
      <c r="B538" s="101">
        <f t="shared" ca="1" si="71"/>
        <v>68639</v>
      </c>
      <c r="C538" s="101">
        <f t="shared" ca="1" si="72"/>
        <v>68669</v>
      </c>
      <c r="D538" s="102">
        <f t="shared" ca="1" si="67"/>
        <v>110.4996577686516</v>
      </c>
      <c r="E538" s="103">
        <f t="shared" ca="1" si="66"/>
        <v>0.5232742634179629</v>
      </c>
      <c r="F538" s="104">
        <f ca="1">IF($C$4="Hombre",(+VLOOKUP(INT(D538)+1,Tablas!$G$9:$K$1240,5,0)*(D538-INT(D538))+VLOOKUP(INT(D538),Tablas!$G$9:$K$1240,5,0)*(INT(D538)+1-D538))/(VLOOKUP(INT($C$5)+1,Tablas!$G$9:$K$1240,5,0)*($C$5-INT($C$5))+VLOOKUP(INT($C$5),Tablas!$G$9:$K$124,5,0)*(INT($C$5)+1-$C$5)),(+VLOOKUP(INT(D538)+1,Tablas!$G$9:$O$1240,9,0)*(D538-INT(D538))+VLOOKUP(INT(D538),Tablas!$G$9:$O$1240,9,0)*(INT(D538)+1-D538))/(VLOOKUP(INT($C$5)+1,Tablas!$G$9:$O$1240,9,0)*($C$5-INT($C$5))+VLOOKUP(INT($C$5),Tablas!$G$9:$O$124,9,0)*(INT($C$5)+1-$C$5)))</f>
        <v>2.8037780642976877E-3</v>
      </c>
      <c r="G538" s="97">
        <f ca="1">IF($C$4="Hombre",(+VLOOKUP(INT(D538)+1,Tablas!$G$9:$K$1240,5,0)*(D538-INT(D538))+VLOOKUP(INT(D538),Tablas!$G$9:$K$1240,5,0)*(INT(D538)+1-D538)),+VLOOKUP(INT(D538)+1,Tablas!$G$9:$O$1240,9,0)*(D538-INT(D538))+VLOOKUP(INT(D538),Tablas!$G$9:$O$1240,9,0)*(INT(D538)+1-D538))</f>
        <v>2588.7783659143538</v>
      </c>
      <c r="H538" s="105">
        <f t="shared" ca="1" si="68"/>
        <v>1</v>
      </c>
      <c r="I538" s="106">
        <f t="shared" ca="1" si="69"/>
        <v>1.2226207511523452E-4</v>
      </c>
      <c r="J538" s="106">
        <f t="shared" ca="1" si="73"/>
        <v>1.0479606438448675E-4</v>
      </c>
      <c r="K538" s="105">
        <f t="shared" ca="1" si="70"/>
        <v>2.8037780642976877E-3</v>
      </c>
      <c r="L538" s="75"/>
    </row>
    <row r="539" spans="2:12">
      <c r="B539" s="101">
        <f t="shared" ca="1" si="71"/>
        <v>68670</v>
      </c>
      <c r="C539" s="101">
        <f t="shared" ca="1" si="72"/>
        <v>68700</v>
      </c>
      <c r="D539" s="102">
        <f t="shared" ca="1" si="67"/>
        <v>110.5845311430527</v>
      </c>
      <c r="E539" s="103">
        <f t="shared" ca="1" si="66"/>
        <v>0.52261344718571801</v>
      </c>
      <c r="F539" s="104">
        <f ca="1">IF($C$4="Hombre",(+VLOOKUP(INT(D539)+1,Tablas!$G$9:$K$1240,5,0)*(D539-INT(D539))+VLOOKUP(INT(D539),Tablas!$G$9:$K$1240,5,0)*(INT(D539)+1-D539))/(VLOOKUP(INT($C$5)+1,Tablas!$G$9:$K$1240,5,0)*($C$5-INT($C$5))+VLOOKUP(INT($C$5),Tablas!$G$9:$K$124,5,0)*(INT($C$5)+1-$C$5)),(+VLOOKUP(INT(D539)+1,Tablas!$G$9:$O$1240,9,0)*(D539-INT(D539))+VLOOKUP(INT(D539),Tablas!$G$9:$O$1240,9,0)*(INT(D539)+1-D539))/(VLOOKUP(INT($C$5)+1,Tablas!$G$9:$O$1240,9,0)*($C$5-INT($C$5))+VLOOKUP(INT($C$5),Tablas!$G$9:$O$124,9,0)*(INT($C$5)+1-$C$5)))</f>
        <v>2.6322022471921332E-3</v>
      </c>
      <c r="G539" s="97">
        <f ca="1">IF($C$4="Hombre",(+VLOOKUP(INT(D539)+1,Tablas!$G$9:$K$1240,5,0)*(D539-INT(D539))+VLOOKUP(INT(D539),Tablas!$G$9:$K$1240,5,0)*(INT(D539)+1-D539)),+VLOOKUP(INT(D539)+1,Tablas!$G$9:$O$1240,9,0)*(D539-INT(D539))+VLOOKUP(INT(D539),Tablas!$G$9:$O$1240,9,0)*(INT(D539)+1-D539))</f>
        <v>2430.3593494119914</v>
      </c>
      <c r="H539" s="105">
        <f t="shared" ca="1" si="68"/>
        <v>1</v>
      </c>
      <c r="I539" s="106">
        <f t="shared" ca="1" si="69"/>
        <v>1.1463535750792285E-4</v>
      </c>
      <c r="J539" s="106">
        <f t="shared" ca="1" si="73"/>
        <v>9.8258877863933856E-5</v>
      </c>
      <c r="K539" s="105">
        <f t="shared" ca="1" si="70"/>
        <v>2.6322022471921332E-3</v>
      </c>
      <c r="L539" s="75"/>
    </row>
    <row r="540" spans="2:12">
      <c r="B540" s="101">
        <f t="shared" ca="1" si="71"/>
        <v>68701</v>
      </c>
      <c r="C540" s="101">
        <f t="shared" ca="1" si="72"/>
        <v>68729</v>
      </c>
      <c r="D540" s="102">
        <f t="shared" ca="1" si="67"/>
        <v>110.66392881587953</v>
      </c>
      <c r="E540" s="103">
        <f t="shared" ca="1" si="66"/>
        <v>0.5219960197678678</v>
      </c>
      <c r="F540" s="104">
        <f ca="1">IF($C$4="Hombre",(+VLOOKUP(INT(D540)+1,Tablas!$G$9:$K$1240,5,0)*(D540-INT(D540))+VLOOKUP(INT(D540),Tablas!$G$9:$K$1240,5,0)*(INT(D540)+1-D540))/(VLOOKUP(INT($C$5)+1,Tablas!$G$9:$K$1240,5,0)*($C$5-INT($C$5))+VLOOKUP(INT($C$5),Tablas!$G$9:$K$124,5,0)*(INT($C$5)+1-$C$5)),(+VLOOKUP(INT(D540)+1,Tablas!$G$9:$O$1240,9,0)*(D540-INT(D540))+VLOOKUP(INT(D540),Tablas!$G$9:$O$1240,9,0)*(INT(D540)+1-D540))/(VLOOKUP(INT($C$5)+1,Tablas!$G$9:$O$1240,9,0)*($C$5-INT($C$5))+VLOOKUP(INT($C$5),Tablas!$G$9:$O$124,9,0)*(INT($C$5)+1-$C$5)))</f>
        <v>2.4716958376417857E-3</v>
      </c>
      <c r="G540" s="97">
        <f ca="1">IF($C$4="Hombre",(+VLOOKUP(INT(D540)+1,Tablas!$G$9:$K$1240,5,0)*(D540-INT(D540))+VLOOKUP(INT(D540),Tablas!$G$9:$K$1240,5,0)*(INT(D540)+1-D540)),+VLOOKUP(INT(D540)+1,Tablas!$G$9:$O$1240,9,0)*(D540-INT(D540))+VLOOKUP(INT(D540),Tablas!$G$9:$O$1240,9,0)*(INT(D540)+1-D540))</f>
        <v>2282.1609146194678</v>
      </c>
      <c r="H540" s="105">
        <f t="shared" ca="1" si="68"/>
        <v>1</v>
      </c>
      <c r="I540" s="106">
        <f t="shared" ca="1" si="69"/>
        <v>1.0751794911048483E-4</v>
      </c>
      <c r="J540" s="106">
        <f t="shared" ca="1" si="73"/>
        <v>9.2158242094701295E-5</v>
      </c>
      <c r="K540" s="105">
        <f t="shared" ca="1" si="70"/>
        <v>2.4716958376417857E-3</v>
      </c>
      <c r="L540" s="75"/>
    </row>
    <row r="541" spans="2:12">
      <c r="B541" s="101">
        <f t="shared" ca="1" si="71"/>
        <v>68730</v>
      </c>
      <c r="C541" s="101">
        <f t="shared" ca="1" si="72"/>
        <v>68760</v>
      </c>
      <c r="D541" s="102">
        <f t="shared" ca="1" si="67"/>
        <v>110.74880219028063</v>
      </c>
      <c r="E541" s="103">
        <f t="shared" ca="1" si="66"/>
        <v>0.52133681776397656</v>
      </c>
      <c r="F541" s="104">
        <f ca="1">IF($C$4="Hombre",(+VLOOKUP(INT(D541)+1,Tablas!$G$9:$K$1240,5,0)*(D541-INT(D541))+VLOOKUP(INT(D541),Tablas!$G$9:$K$1240,5,0)*(INT(D541)+1-D541))/(VLOOKUP(INT($C$5)+1,Tablas!$G$9:$K$1240,5,0)*($C$5-INT($C$5))+VLOOKUP(INT($C$5),Tablas!$G$9:$K$124,5,0)*(INT($C$5)+1-$C$5)),(+VLOOKUP(INT(D541)+1,Tablas!$G$9:$O$1240,9,0)*(D541-INT(D541))+VLOOKUP(INT(D541),Tablas!$G$9:$O$1240,9,0)*(INT(D541)+1-D541))/(VLOOKUP(INT($C$5)+1,Tablas!$G$9:$O$1240,9,0)*($C$5-INT($C$5))+VLOOKUP(INT($C$5),Tablas!$G$9:$O$124,9,0)*(INT($C$5)+1-$C$5)))</f>
        <v>2.3001200205362313E-3</v>
      </c>
      <c r="G541" s="97">
        <f ca="1">IF($C$4="Hombre",(+VLOOKUP(INT(D541)+1,Tablas!$G$9:$K$1240,5,0)*(D541-INT(D541))+VLOOKUP(INT(D541),Tablas!$G$9:$K$1240,5,0)*(INT(D541)+1-D541)),+VLOOKUP(INT(D541)+1,Tablas!$G$9:$O$1240,9,0)*(D541-INT(D541))+VLOOKUP(INT(D541),Tablas!$G$9:$O$1240,9,0)*(INT(D541)+1-D541))</f>
        <v>2123.7418981171054</v>
      </c>
      <c r="H541" s="105">
        <f t="shared" ca="1" si="68"/>
        <v>1</v>
      </c>
      <c r="I541" s="106">
        <f t="shared" ca="1" si="69"/>
        <v>9.9928104331797592E-5</v>
      </c>
      <c r="J541" s="106">
        <f t="shared" ca="1" si="73"/>
        <v>8.5652660855826509E-5</v>
      </c>
      <c r="K541" s="105">
        <f t="shared" ca="1" si="70"/>
        <v>2.3001200205362313E-3</v>
      </c>
      <c r="L541" s="75"/>
    </row>
    <row r="542" spans="2:12">
      <c r="B542" s="101">
        <f t="shared" ca="1" si="71"/>
        <v>68761</v>
      </c>
      <c r="C542" s="101">
        <f t="shared" ca="1" si="72"/>
        <v>68790</v>
      </c>
      <c r="D542" s="102">
        <f t="shared" ca="1" si="67"/>
        <v>110.8309377138946</v>
      </c>
      <c r="E542" s="103">
        <f t="shared" ca="1" si="66"/>
        <v>0.52069967297623287</v>
      </c>
      <c r="F542" s="104">
        <f ca="1">IF($C$4="Hombre",(+VLOOKUP(INT(D542)+1,Tablas!$G$9:$K$1240,5,0)*(D542-INT(D542))+VLOOKUP(INT(D542),Tablas!$G$9:$K$1240,5,0)*(INT(D542)+1-D542))/(VLOOKUP(INT($C$5)+1,Tablas!$G$9:$K$1240,5,0)*($C$5-INT($C$5))+VLOOKUP(INT($C$5),Tablas!$G$9:$K$124,5,0)*(INT($C$5)+1-$C$5)),(+VLOOKUP(INT(D542)+1,Tablas!$G$9:$O$1240,9,0)*(D542-INT(D542))+VLOOKUP(INT(D542),Tablas!$G$9:$O$1240,9,0)*(INT(D542)+1-D542))/(VLOOKUP(INT($C$5)+1,Tablas!$G$9:$O$1240,9,0)*($C$5-INT($C$5))+VLOOKUP(INT($C$5),Tablas!$G$9:$O$124,9,0)*(INT($C$5)+1-$C$5)))</f>
        <v>2.1340789072082662E-3</v>
      </c>
      <c r="G542" s="97">
        <f ca="1">IF($C$4="Hombre",(+VLOOKUP(INT(D542)+1,Tablas!$G$9:$K$1240,5,0)*(D542-INT(D542))+VLOOKUP(INT(D542),Tablas!$G$9:$K$1240,5,0)*(INT(D542)+1-D542)),+VLOOKUP(INT(D542)+1,Tablas!$G$9:$O$1240,9,0)*(D542-INT(D542))+VLOOKUP(INT(D542),Tablas!$G$9:$O$1240,9,0)*(INT(D542)+1-D542))</f>
        <v>1970.4331724696492</v>
      </c>
      <c r="H542" s="105">
        <f t="shared" ca="1" si="68"/>
        <v>1</v>
      </c>
      <c r="I542" s="106">
        <f t="shared" ca="1" si="69"/>
        <v>9.2601182424068381E-5</v>
      </c>
      <c r="J542" s="106">
        <f t="shared" ca="1" si="73"/>
        <v>7.9372442077772906E-5</v>
      </c>
      <c r="K542" s="105">
        <f t="shared" ca="1" si="70"/>
        <v>2.1340789072082662E-3</v>
      </c>
      <c r="L542" s="75"/>
    </row>
    <row r="543" spans="2:12">
      <c r="B543" s="101">
        <f t="shared" ca="1" si="71"/>
        <v>68791</v>
      </c>
      <c r="C543" s="101">
        <f t="shared" ca="1" si="72"/>
        <v>68821</v>
      </c>
      <c r="D543" s="102">
        <f t="shared" ca="1" si="67"/>
        <v>110.91581108829568</v>
      </c>
      <c r="E543" s="103">
        <f t="shared" ca="1" si="66"/>
        <v>0.52004210806222451</v>
      </c>
      <c r="F543" s="104">
        <f ca="1">IF($C$4="Hombre",(+VLOOKUP(INT(D543)+1,Tablas!$G$9:$K$1240,5,0)*(D543-INT(D543))+VLOOKUP(INT(D543),Tablas!$G$9:$K$1240,5,0)*(INT(D543)+1-D543))/(VLOOKUP(INT($C$5)+1,Tablas!$G$9:$K$1240,5,0)*($C$5-INT($C$5))+VLOOKUP(INT($C$5),Tablas!$G$9:$K$124,5,0)*(INT($C$5)+1-$C$5)),(+VLOOKUP(INT(D543)+1,Tablas!$G$9:$O$1240,9,0)*(D543-INT(D543))+VLOOKUP(INT(D543),Tablas!$G$9:$O$1240,9,0)*(INT(D543)+1-D543))/(VLOOKUP(INT($C$5)+1,Tablas!$G$9:$O$1240,9,0)*($C$5-INT($C$5))+VLOOKUP(INT($C$5),Tablas!$G$9:$O$124,9,0)*(INT($C$5)+1-$C$5)))</f>
        <v>1.9625030901027404E-3</v>
      </c>
      <c r="G543" s="97">
        <f ca="1">IF($C$4="Hombre",(+VLOOKUP(INT(D543)+1,Tablas!$G$9:$K$1240,5,0)*(D543-INT(D543))+VLOOKUP(INT(D543),Tablas!$G$9:$K$1240,5,0)*(INT(D543)+1-D543)),+VLOOKUP(INT(D543)+1,Tablas!$G$9:$O$1240,9,0)*(D543-INT(D543))+VLOOKUP(INT(D543),Tablas!$G$9:$O$1240,9,0)*(INT(D543)+1-D543))</f>
        <v>1812.0141559673134</v>
      </c>
      <c r="H543" s="105">
        <f t="shared" ca="1" si="68"/>
        <v>1</v>
      </c>
      <c r="I543" s="106">
        <f t="shared" ca="1" si="69"/>
        <v>8.5048687004638226E-5</v>
      </c>
      <c r="J543" s="106">
        <f t="shared" ca="1" si="73"/>
        <v>1.4579774915080839E-4</v>
      </c>
      <c r="K543" s="105">
        <f t="shared" ca="1" si="70"/>
        <v>1.9625030901027404E-3</v>
      </c>
      <c r="L543" s="75"/>
    </row>
    <row r="544" spans="2:12">
      <c r="B544" s="101">
        <f t="shared" ca="1" si="71"/>
        <v>68822</v>
      </c>
      <c r="C544" s="101">
        <f t="shared" ca="1" si="72"/>
        <v>68851</v>
      </c>
      <c r="D544" s="102">
        <f t="shared" ca="1" si="67"/>
        <v>110.99794661190965</v>
      </c>
      <c r="E544" s="103">
        <f t="shared" ca="1" si="66"/>
        <v>0.51940654558654853</v>
      </c>
      <c r="F544" s="104">
        <f ca="1">IF($C$4="Hombre",(+VLOOKUP(INT(D544)+1,Tablas!$G$9:$K$1240,5,0)*(D544-INT(D544))+VLOOKUP(INT(D544),Tablas!$G$9:$K$1240,5,0)*(INT(D544)+1-D544))/(VLOOKUP(INT($C$5)+1,Tablas!$G$9:$K$1240,5,0)*($C$5-INT($C$5))+VLOOKUP(INT($C$5),Tablas!$G$9:$K$124,5,0)*(INT($C$5)+1-$C$5)),(+VLOOKUP(INT(D544)+1,Tablas!$G$9:$O$1240,9,0)*(D544-INT(D544))+VLOOKUP(INT(D544),Tablas!$G$9:$O$1240,9,0)*(INT(D544)+1-D544))/(VLOOKUP(INT($C$5)+1,Tablas!$G$9:$O$1240,9,0)*($C$5-INT($C$5))+VLOOKUP(INT($C$5),Tablas!$G$9:$O$124,9,0)*(INT($C$5)+1-$C$5)))</f>
        <v>1.7964619767747751E-3</v>
      </c>
      <c r="G544" s="97">
        <f ca="1">IF($C$4="Hombre",(+VLOOKUP(INT(D544)+1,Tablas!$G$9:$K$1240,5,0)*(D544-INT(D544))+VLOOKUP(INT(D544),Tablas!$G$9:$K$1240,5,0)*(INT(D544)+1-D544)),+VLOOKUP(INT(D544)+1,Tablas!$G$9:$O$1240,9,0)*(D544-INT(D544))+VLOOKUP(INT(D544),Tablas!$G$9:$O$1240,9,0)*(INT(D544)+1-D544))</f>
        <v>1658.7054303198572</v>
      </c>
      <c r="H544" s="105">
        <f t="shared" ca="1" si="68"/>
        <v>1</v>
      </c>
      <c r="I544" s="106">
        <f t="shared" ca="1" si="69"/>
        <v>7.7757842469514026E-5</v>
      </c>
      <c r="J544" s="106">
        <f t="shared" ca="1" si="73"/>
        <v>6.6649579259583447E-5</v>
      </c>
      <c r="K544" s="105">
        <f t="shared" ca="1" si="70"/>
        <v>1.7964619767747751E-3</v>
      </c>
      <c r="L544" s="75"/>
    </row>
    <row r="545" spans="2:12">
      <c r="B545" s="101">
        <f t="shared" ca="1" si="71"/>
        <v>68852</v>
      </c>
      <c r="C545" s="101">
        <f t="shared" ca="1" si="72"/>
        <v>68882</v>
      </c>
      <c r="D545" s="102">
        <f t="shared" ca="1" si="67"/>
        <v>111.08281998631075</v>
      </c>
      <c r="E545" s="103">
        <f t="shared" ca="1" si="66"/>
        <v>0.51875061369680509</v>
      </c>
      <c r="F545" s="104">
        <f ca="1">IF($C$4="Hombre",(+VLOOKUP(INT(D545)+1,Tablas!$G$9:$K$1240,5,0)*(D545-INT(D545))+VLOOKUP(INT(D545),Tablas!$G$9:$K$1240,5,0)*(INT(D545)+1-D545))/(VLOOKUP(INT($C$5)+1,Tablas!$G$9:$K$1240,5,0)*($C$5-INT($C$5))+VLOOKUP(INT($C$5),Tablas!$G$9:$K$124,5,0)*(INT($C$5)+1-$C$5)),(+VLOOKUP(INT(D545)+1,Tablas!$G$9:$O$1240,9,0)*(D545-INT(D545))+VLOOKUP(INT(D545),Tablas!$G$9:$O$1240,9,0)*(INT(D545)+1-D545))/(VLOOKUP(INT($C$5)+1,Tablas!$G$9:$O$1240,9,0)*($C$5-INT($C$5))+VLOOKUP(INT($C$5),Tablas!$G$9:$O$124,9,0)*(INT($C$5)+1-$C$5)))</f>
        <v>1.7063197196458093E-3</v>
      </c>
      <c r="G545" s="97">
        <f ca="1">IF($C$4="Hombre",(+VLOOKUP(INT(D545)+1,Tablas!$G$9:$K$1240,5,0)*(D545-INT(D545))+VLOOKUP(INT(D545),Tablas!$G$9:$K$1240,5,0)*(INT(D545)+1-D545)),+VLOOKUP(INT(D545)+1,Tablas!$G$9:$O$1240,9,0)*(D545-INT(D545))+VLOOKUP(INT(D545),Tablas!$G$9:$O$1240,9,0)*(INT(D545)+1-D545))</f>
        <v>1575.4754742539126</v>
      </c>
      <c r="H545" s="105">
        <f t="shared" ca="1" si="68"/>
        <v>1</v>
      </c>
      <c r="I545" s="106">
        <f t="shared" ca="1" si="69"/>
        <v>7.376286681076866E-5</v>
      </c>
      <c r="J545" s="106">
        <f t="shared" ca="1" si="73"/>
        <v>6.3225314409230278E-5</v>
      </c>
      <c r="K545" s="105">
        <f t="shared" ca="1" si="70"/>
        <v>1.7063197196458093E-3</v>
      </c>
      <c r="L545" s="75"/>
    </row>
    <row r="546" spans="2:12">
      <c r="B546" s="101">
        <f t="shared" ca="1" si="71"/>
        <v>68883</v>
      </c>
      <c r="C546" s="101">
        <f t="shared" ca="1" si="72"/>
        <v>68913</v>
      </c>
      <c r="D546" s="102">
        <f t="shared" ca="1" si="67"/>
        <v>111.16769336071184</v>
      </c>
      <c r="E546" s="103">
        <f t="shared" ca="1" si="66"/>
        <v>0.51809551014980726</v>
      </c>
      <c r="F546" s="104">
        <f ca="1">IF($C$4="Hombre",(+VLOOKUP(INT(D546)+1,Tablas!$G$9:$K$1240,5,0)*(D546-INT(D546))+VLOOKUP(INT(D546),Tablas!$G$9:$K$1240,5,0)*(INT(D546)+1-D546))/(VLOOKUP(INT($C$5)+1,Tablas!$G$9:$K$1240,5,0)*($C$5-INT($C$5))+VLOOKUP(INT($C$5),Tablas!$G$9:$K$124,5,0)*(INT($C$5)+1-$C$5)),(+VLOOKUP(INT(D546)+1,Tablas!$G$9:$O$1240,9,0)*(D546-INT(D546))+VLOOKUP(INT(D546),Tablas!$G$9:$O$1240,9,0)*(INT(D546)+1-D546))/(VLOOKUP(INT($C$5)+1,Tablas!$G$9:$O$1240,9,0)*($C$5-INT($C$5))+VLOOKUP(INT($C$5),Tablas!$G$9:$O$124,9,0)*(INT($C$5)+1-$C$5)))</f>
        <v>1.6181964764005717E-3</v>
      </c>
      <c r="G546" s="97">
        <f ca="1">IF($C$4="Hombre",(+VLOOKUP(INT(D546)+1,Tablas!$G$9:$K$1240,5,0)*(D546-INT(D546))+VLOOKUP(INT(D546),Tablas!$G$9:$K$1240,5,0)*(INT(D546)+1-D546)),+VLOOKUP(INT(D546)+1,Tablas!$G$9:$O$1240,9,0)*(D546-INT(D546))+VLOOKUP(INT(D546),Tablas!$G$9:$O$1240,9,0)*(INT(D546)+1-D546))</f>
        <v>1494.1097097690465</v>
      </c>
      <c r="H546" s="105">
        <f t="shared" ca="1" si="68"/>
        <v>1</v>
      </c>
      <c r="I546" s="106">
        <f t="shared" ca="1" si="69"/>
        <v>6.986502741361456E-5</v>
      </c>
      <c r="J546" s="106">
        <f t="shared" ca="1" si="73"/>
        <v>5.988430921166962E-5</v>
      </c>
      <c r="K546" s="105">
        <f t="shared" ca="1" si="70"/>
        <v>1.6181964764005717E-3</v>
      </c>
      <c r="L546" s="75"/>
    </row>
    <row r="547" spans="2:12">
      <c r="B547" s="101">
        <f t="shared" ca="1" si="71"/>
        <v>68914</v>
      </c>
      <c r="C547" s="101">
        <f t="shared" ca="1" si="72"/>
        <v>68943</v>
      </c>
      <c r="D547" s="102">
        <f t="shared" ca="1" si="67"/>
        <v>111.24982888432581</v>
      </c>
      <c r="E547" s="103">
        <f t="shared" ca="1" si="66"/>
        <v>0.51746232668261771</v>
      </c>
      <c r="F547" s="104">
        <f ca="1">IF($C$4="Hombre",(+VLOOKUP(INT(D547)+1,Tablas!$G$9:$K$1240,5,0)*(D547-INT(D547))+VLOOKUP(INT(D547),Tablas!$G$9:$K$1240,5,0)*(INT(D547)+1-D547))/(VLOOKUP(INT($C$5)+1,Tablas!$G$9:$K$1240,5,0)*($C$5-INT($C$5))+VLOOKUP(INT($C$5),Tablas!$G$9:$K$124,5,0)*(INT($C$5)+1-$C$5)),(+VLOOKUP(INT(D547)+1,Tablas!$G$9:$O$1240,9,0)*(D547-INT(D547))+VLOOKUP(INT(D547),Tablas!$G$9:$O$1240,9,0)*(INT(D547)+1-D547))/(VLOOKUP(INT($C$5)+1,Tablas!$G$9:$O$1240,9,0)*($C$5-INT($C$5))+VLOOKUP(INT($C$5),Tablas!$G$9:$O$124,9,0)*(INT($C$5)+1-$C$5)))</f>
        <v>1.5329159184212901E-3</v>
      </c>
      <c r="G547" s="97">
        <f ca="1">IF($C$4="Hombre",(+VLOOKUP(INT(D547)+1,Tablas!$G$9:$K$1240,5,0)*(D547-INT(D547))+VLOOKUP(INT(D547),Tablas!$G$9:$K$1240,5,0)*(INT(D547)+1-D547)),+VLOOKUP(INT(D547)+1,Tablas!$G$9:$O$1240,9,0)*(D547-INT(D547))+VLOOKUP(INT(D547),Tablas!$G$9:$O$1240,9,0)*(INT(D547)+1-D547))</f>
        <v>1415.3686473643195</v>
      </c>
      <c r="H547" s="105">
        <f t="shared" ca="1" si="68"/>
        <v>1</v>
      </c>
      <c r="I547" s="106">
        <f t="shared" ca="1" si="69"/>
        <v>6.6102186479591885E-5</v>
      </c>
      <c r="J547" s="106">
        <f t="shared" ca="1" si="73"/>
        <v>5.6659016982507334E-5</v>
      </c>
      <c r="K547" s="105">
        <f t="shared" ca="1" si="70"/>
        <v>1.5329159184212901E-3</v>
      </c>
      <c r="L547" s="75"/>
    </row>
    <row r="548" spans="2:12">
      <c r="B548" s="101">
        <f t="shared" ca="1" si="71"/>
        <v>68944</v>
      </c>
      <c r="C548" s="101">
        <f t="shared" ca="1" si="72"/>
        <v>68974</v>
      </c>
      <c r="D548" s="102">
        <f t="shared" ca="1" si="67"/>
        <v>111.33470225872689</v>
      </c>
      <c r="E548" s="103">
        <f t="shared" ca="1" si="66"/>
        <v>0.51680885004722288</v>
      </c>
      <c r="F548" s="104">
        <f ca="1">IF($C$4="Hombre",(+VLOOKUP(INT(D548)+1,Tablas!$G$9:$K$1240,5,0)*(D548-INT(D548))+VLOOKUP(INT(D548),Tablas!$G$9:$K$1240,5,0)*(INT(D548)+1-D548))/(VLOOKUP(INT($C$5)+1,Tablas!$G$9:$K$1240,5,0)*($C$5-INT($C$5))+VLOOKUP(INT($C$5),Tablas!$G$9:$K$124,5,0)*(INT($C$5)+1-$C$5)),(+VLOOKUP(INT(D548)+1,Tablas!$G$9:$O$1240,9,0)*(D548-INT(D548))+VLOOKUP(INT(D548),Tablas!$G$9:$O$1240,9,0)*(INT(D548)+1-D548))/(VLOOKUP(INT($C$5)+1,Tablas!$G$9:$O$1240,9,0)*($C$5-INT($C$5))+VLOOKUP(INT($C$5),Tablas!$G$9:$O$124,9,0)*(INT($C$5)+1-$C$5)))</f>
        <v>1.4447926751760527E-3</v>
      </c>
      <c r="G548" s="97">
        <f ca="1">IF($C$4="Hombre",(+VLOOKUP(INT(D548)+1,Tablas!$G$9:$K$1240,5,0)*(D548-INT(D548))+VLOOKUP(INT(D548),Tablas!$G$9:$K$1240,5,0)*(INT(D548)+1-D548)),+VLOOKUP(INT(D548)+1,Tablas!$G$9:$O$1240,9,0)*(D548-INT(D548))+VLOOKUP(INT(D548),Tablas!$G$9:$O$1240,9,0)*(INT(D548)+1-D548))</f>
        <v>1334.0028828794536</v>
      </c>
      <c r="H548" s="105">
        <f t="shared" ca="1" si="68"/>
        <v>1</v>
      </c>
      <c r="I548" s="106">
        <f t="shared" ca="1" si="69"/>
        <v>6.2223470084532217E-5</v>
      </c>
      <c r="J548" s="106">
        <f t="shared" ca="1" si="73"/>
        <v>5.333440292959905E-5</v>
      </c>
      <c r="K548" s="105">
        <f t="shared" ca="1" si="70"/>
        <v>1.4447926751760527E-3</v>
      </c>
      <c r="L548" s="75"/>
    </row>
    <row r="549" spans="2:12">
      <c r="B549" s="101">
        <f t="shared" ca="1" si="71"/>
        <v>68975</v>
      </c>
      <c r="C549" s="101">
        <f t="shared" ca="1" si="72"/>
        <v>69004</v>
      </c>
      <c r="D549" s="102">
        <f t="shared" ca="1" si="67"/>
        <v>111.41683778234086</v>
      </c>
      <c r="E549" s="103">
        <f t="shared" ca="1" si="66"/>
        <v>0.51617723905439161</v>
      </c>
      <c r="F549" s="104">
        <f ca="1">IF($C$4="Hombre",(+VLOOKUP(INT(D549)+1,Tablas!$G$9:$K$1240,5,0)*(D549-INT(D549))+VLOOKUP(INT(D549),Tablas!$G$9:$K$1240,5,0)*(INT(D549)+1-D549))/(VLOOKUP(INT($C$5)+1,Tablas!$G$9:$K$1240,5,0)*($C$5-INT($C$5))+VLOOKUP(INT($C$5),Tablas!$G$9:$K$124,5,0)*(INT($C$5)+1-$C$5)),(+VLOOKUP(INT(D549)+1,Tablas!$G$9:$O$1240,9,0)*(D549-INT(D549))+VLOOKUP(INT(D549),Tablas!$G$9:$O$1240,9,0)*(INT(D549)+1-D549))/(VLOOKUP(INT($C$5)+1,Tablas!$G$9:$O$1240,9,0)*($C$5-INT($C$5))+VLOOKUP(INT($C$5),Tablas!$G$9:$O$124,9,0)*(INT($C$5)+1-$C$5)))</f>
        <v>1.3595121171967714E-3</v>
      </c>
      <c r="G549" s="97">
        <f ca="1">IF($C$4="Hombre",(+VLOOKUP(INT(D549)+1,Tablas!$G$9:$K$1240,5,0)*(D549-INT(D549))+VLOOKUP(INT(D549),Tablas!$G$9:$K$1240,5,0)*(INT(D549)+1-D549)),+VLOOKUP(INT(D549)+1,Tablas!$G$9:$O$1240,9,0)*(D549-INT(D549))+VLOOKUP(INT(D549),Tablas!$G$9:$O$1240,9,0)*(INT(D549)+1-D549))</f>
        <v>1255.2618204747268</v>
      </c>
      <c r="H549" s="105">
        <f t="shared" ca="1" si="68"/>
        <v>1</v>
      </c>
      <c r="I549" s="106">
        <f t="shared" ca="1" si="69"/>
        <v>5.8479100926301659E-5</v>
      </c>
      <c r="J549" s="106">
        <f t="shared" ca="1" si="73"/>
        <v>1.0024988730223141E-4</v>
      </c>
      <c r="K549" s="105">
        <f t="shared" ca="1" si="70"/>
        <v>1.3595121171967714E-3</v>
      </c>
      <c r="L549" s="75"/>
    </row>
    <row r="550" spans="2:12">
      <c r="B550" s="101">
        <f t="shared" ca="1" si="71"/>
        <v>69005</v>
      </c>
      <c r="C550" s="101">
        <f t="shared" ca="1" si="72"/>
        <v>69035</v>
      </c>
      <c r="D550" s="102">
        <f t="shared" ca="1" si="67"/>
        <v>111.50171115674196</v>
      </c>
      <c r="E550" s="103">
        <f t="shared" ca="1" si="66"/>
        <v>0.51552538529025937</v>
      </c>
      <c r="F550" s="104">
        <f ca="1">IF($C$4="Hombre",(+VLOOKUP(INT(D550)+1,Tablas!$G$9:$K$1240,5,0)*(D550-INT(D550))+VLOOKUP(INT(D550),Tablas!$G$9:$K$1240,5,0)*(INT(D550)+1-D550))/(VLOOKUP(INT($C$5)+1,Tablas!$G$9:$K$1240,5,0)*($C$5-INT($C$5))+VLOOKUP(INT($C$5),Tablas!$G$9:$K$124,5,0)*(INT($C$5)+1-$C$5)),(+VLOOKUP(INT(D550)+1,Tablas!$G$9:$O$1240,9,0)*(D550-INT(D550))+VLOOKUP(INT(D550),Tablas!$G$9:$O$1240,9,0)*(INT(D550)+1-D550))/(VLOOKUP(INT($C$5)+1,Tablas!$G$9:$O$1240,9,0)*($C$5-INT($C$5))+VLOOKUP(INT($C$5),Tablas!$G$9:$O$124,9,0)*(INT($C$5)+1-$C$5)))</f>
        <v>1.271388873951519E-3</v>
      </c>
      <c r="G550" s="97">
        <f ca="1">IF($C$4="Hombre",(+VLOOKUP(INT(D550)+1,Tablas!$G$9:$K$1240,5,0)*(D550-INT(D550))+VLOOKUP(INT(D550),Tablas!$G$9:$K$1240,5,0)*(INT(D550)+1-D550)),+VLOOKUP(INT(D550)+1,Tablas!$G$9:$O$1240,9,0)*(D550-INT(D550))+VLOOKUP(INT(D550),Tablas!$G$9:$O$1240,9,0)*(INT(D550)+1-D550))</f>
        <v>1173.8960559898471</v>
      </c>
      <c r="H550" s="105">
        <f t="shared" ca="1" si="68"/>
        <v>1</v>
      </c>
      <c r="I550" s="106">
        <f t="shared" ca="1" si="69"/>
        <v>5.4619436591467155E-5</v>
      </c>
      <c r="J550" s="106">
        <f t="shared" ca="1" si="73"/>
        <v>4.6816659935543272E-5</v>
      </c>
      <c r="K550" s="105">
        <f t="shared" ca="1" si="70"/>
        <v>1.271388873951519E-3</v>
      </c>
      <c r="L550" s="75"/>
    </row>
    <row r="551" spans="2:12">
      <c r="B551" s="101">
        <f t="shared" ca="1" si="71"/>
        <v>69036</v>
      </c>
      <c r="C551" s="101">
        <f t="shared" ca="1" si="72"/>
        <v>69066</v>
      </c>
      <c r="D551" s="102">
        <f t="shared" ca="1" si="67"/>
        <v>111.58658453114305</v>
      </c>
      <c r="E551" s="103">
        <f t="shared" ca="1" si="66"/>
        <v>0.51487435471881715</v>
      </c>
      <c r="F551" s="104">
        <f ca="1">IF($C$4="Hombre",(+VLOOKUP(INT(D551)+1,Tablas!$G$9:$K$1240,5,0)*(D551-INT(D551))+VLOOKUP(INT(D551),Tablas!$G$9:$K$1240,5,0)*(INT(D551)+1-D551))/(VLOOKUP(INT($C$5)+1,Tablas!$G$9:$K$1240,5,0)*($C$5-INT($C$5))+VLOOKUP(INT($C$5),Tablas!$G$9:$K$124,5,0)*(INT($C$5)+1-$C$5)),(+VLOOKUP(INT(D551)+1,Tablas!$G$9:$O$1240,9,0)*(D551-INT(D551))+VLOOKUP(INT(D551),Tablas!$G$9:$O$1240,9,0)*(INT(D551)+1-D551))/(VLOOKUP(INT($C$5)+1,Tablas!$G$9:$O$1240,9,0)*($C$5-INT($C$5))+VLOOKUP(INT($C$5),Tablas!$G$9:$O$124,9,0)*(INT($C$5)+1-$C$5)))</f>
        <v>1.1832656307062812E-3</v>
      </c>
      <c r="G551" s="97">
        <f ca="1">IF($C$4="Hombre",(+VLOOKUP(INT(D551)+1,Tablas!$G$9:$K$1240,5,0)*(D551-INT(D551))+VLOOKUP(INT(D551),Tablas!$G$9:$K$1240,5,0)*(INT(D551)+1-D551)),+VLOOKUP(INT(D551)+1,Tablas!$G$9:$O$1240,9,0)*(D551-INT(D551))+VLOOKUP(INT(D551),Tablas!$G$9:$O$1240,9,0)*(INT(D551)+1-D551))</f>
        <v>1092.5302915049811</v>
      </c>
      <c r="H551" s="105">
        <f t="shared" ca="1" si="68"/>
        <v>1</v>
      </c>
      <c r="I551" s="106">
        <f t="shared" ca="1" si="69"/>
        <v>5.0769427339237559E-5</v>
      </c>
      <c r="J551" s="106">
        <f t="shared" ca="1" si="73"/>
        <v>4.3516652005060769E-5</v>
      </c>
      <c r="K551" s="105">
        <f t="shared" ca="1" si="70"/>
        <v>1.1832656307062812E-3</v>
      </c>
      <c r="L551" s="75"/>
    </row>
    <row r="552" spans="2:12">
      <c r="B552" s="101">
        <f t="shared" ca="1" si="71"/>
        <v>69067</v>
      </c>
      <c r="C552" s="101">
        <f t="shared" ca="1" si="72"/>
        <v>69094</v>
      </c>
      <c r="D552" s="102">
        <f t="shared" ca="1" si="67"/>
        <v>111.66324435318275</v>
      </c>
      <c r="E552" s="103">
        <f t="shared" ca="1" si="66"/>
        <v>0.51428703379284491</v>
      </c>
      <c r="F552" s="104">
        <f ca="1">IF($C$4="Hombre",(+VLOOKUP(INT(D552)+1,Tablas!$G$9:$K$1240,5,0)*(D552-INT(D552))+VLOOKUP(INT(D552),Tablas!$G$9:$K$1240,5,0)*(INT(D552)+1-D552))/(VLOOKUP(INT($C$5)+1,Tablas!$G$9:$K$1240,5,0)*($C$5-INT($C$5))+VLOOKUP(INT($C$5),Tablas!$G$9:$K$124,5,0)*(INT($C$5)+1-$C$5)),(+VLOOKUP(INT(D552)+1,Tablas!$G$9:$O$1240,9,0)*(D552-INT(D552))+VLOOKUP(INT(D552),Tablas!$G$9:$O$1240,9,0)*(INT(D552)+1-D552))/(VLOOKUP(INT($C$5)+1,Tablas!$G$9:$O$1240,9,0)*($C$5-INT($C$5))+VLOOKUP(INT($C$5),Tablas!$G$9:$O$124,9,0)*(INT($C$5)+1-$C$5)))</f>
        <v>1.1036704432589571E-3</v>
      </c>
      <c r="G552" s="97">
        <f ca="1">IF($C$4="Hombre",(+VLOOKUP(INT(D552)+1,Tablas!$G$9:$K$1240,5,0)*(D552-INT(D552))+VLOOKUP(INT(D552),Tablas!$G$9:$K$1240,5,0)*(INT(D552)+1-D552)),+VLOOKUP(INT(D552)+1,Tablas!$G$9:$O$1240,9,0)*(D552-INT(D552))+VLOOKUP(INT(D552),Tablas!$G$9:$O$1240,9,0)*(INT(D552)+1-D552))</f>
        <v>1019.038633260574</v>
      </c>
      <c r="H552" s="105">
        <f t="shared" ca="1" si="68"/>
        <v>1</v>
      </c>
      <c r="I552" s="106">
        <f t="shared" ca="1" si="69"/>
        <v>4.7300283212373608E-5</v>
      </c>
      <c r="J552" s="106">
        <f t="shared" ca="1" si="73"/>
        <v>4.0543099896320241E-5</v>
      </c>
      <c r="K552" s="105">
        <f t="shared" ca="1" si="70"/>
        <v>1.1036704432589571E-3</v>
      </c>
      <c r="L552" s="75"/>
    </row>
    <row r="553" spans="2:12">
      <c r="B553" s="101">
        <f t="shared" ca="1" si="71"/>
        <v>69095</v>
      </c>
      <c r="C553" s="101">
        <f t="shared" ca="1" si="72"/>
        <v>69125</v>
      </c>
      <c r="D553" s="102">
        <f t="shared" ca="1" si="67"/>
        <v>111.74811772758385</v>
      </c>
      <c r="E553" s="103">
        <f t="shared" ca="1" si="66"/>
        <v>0.51363756707200237</v>
      </c>
      <c r="F553" s="104">
        <f ca="1">IF($C$4="Hombre",(+VLOOKUP(INT(D553)+1,Tablas!$G$9:$K$1240,5,0)*(D553-INT(D553))+VLOOKUP(INT(D553),Tablas!$G$9:$K$1240,5,0)*(INT(D553)+1-D553))/(VLOOKUP(INT($C$5)+1,Tablas!$G$9:$K$1240,5,0)*($C$5-INT($C$5))+VLOOKUP(INT($C$5),Tablas!$G$9:$K$124,5,0)*(INT($C$5)+1-$C$5)),(+VLOOKUP(INT(D553)+1,Tablas!$G$9:$O$1240,9,0)*(D553-INT(D553))+VLOOKUP(INT(D553),Tablas!$G$9:$O$1240,9,0)*(INT(D553)+1-D553))/(VLOOKUP(INT($C$5)+1,Tablas!$G$9:$O$1240,9,0)*($C$5-INT($C$5))+VLOOKUP(INT($C$5),Tablas!$G$9:$O$124,9,0)*(INT($C$5)+1-$C$5)))</f>
        <v>1.0155472000137047E-3</v>
      </c>
      <c r="G553" s="97">
        <f ca="1">IF($C$4="Hombre",(+VLOOKUP(INT(D553)+1,Tablas!$G$9:$K$1240,5,0)*(D553-INT(D553))+VLOOKUP(INT(D553),Tablas!$G$9:$K$1240,5,0)*(INT(D553)+1-D553)),+VLOOKUP(INT(D553)+1,Tablas!$G$9:$O$1240,9,0)*(D553-INT(D553))+VLOOKUP(INT(D553),Tablas!$G$9:$O$1240,9,0)*(INT(D553)+1-D553))</f>
        <v>937.67286877569427</v>
      </c>
      <c r="H553" s="105">
        <f t="shared" ca="1" si="68"/>
        <v>1</v>
      </c>
      <c r="I553" s="106">
        <f t="shared" ca="1" si="69"/>
        <v>4.3468599421818616E-5</v>
      </c>
      <c r="J553" s="106">
        <f t="shared" ca="1" si="73"/>
        <v>3.7258799504415954E-5</v>
      </c>
      <c r="K553" s="105">
        <f t="shared" ca="1" si="70"/>
        <v>1.0155472000137047E-3</v>
      </c>
      <c r="L553" s="75"/>
    </row>
    <row r="554" spans="2:12">
      <c r="B554" s="101">
        <f t="shared" ca="1" si="71"/>
        <v>69126</v>
      </c>
      <c r="C554" s="101">
        <f t="shared" ca="1" si="72"/>
        <v>69155</v>
      </c>
      <c r="D554" s="102">
        <f t="shared" ca="1" si="67"/>
        <v>111.8302532511978</v>
      </c>
      <c r="E554" s="103">
        <f t="shared" ca="1" si="66"/>
        <v>0.51300983182005366</v>
      </c>
      <c r="F554" s="104">
        <f ca="1">IF($C$4="Hombre",(+VLOOKUP(INT(D554)+1,Tablas!$G$9:$K$1240,5,0)*(D554-INT(D554))+VLOOKUP(INT(D554),Tablas!$G$9:$K$1240,5,0)*(INT(D554)+1-D554))/(VLOOKUP(INT($C$5)+1,Tablas!$G$9:$K$1240,5,0)*($C$5-INT($C$5))+VLOOKUP(INT($C$5),Tablas!$G$9:$K$124,5,0)*(INT($C$5)+1-$C$5)),(+VLOOKUP(INT(D554)+1,Tablas!$G$9:$O$1240,9,0)*(D554-INT(D554))+VLOOKUP(INT(D554),Tablas!$G$9:$O$1240,9,0)*(INT(D554)+1-D554))/(VLOOKUP(INT($C$5)+1,Tablas!$G$9:$O$1240,9,0)*($C$5-INT($C$5))+VLOOKUP(INT($C$5),Tablas!$G$9:$O$124,9,0)*(INT($C$5)+1-$C$5)))</f>
        <v>9.3026664203443832E-4</v>
      </c>
      <c r="G554" s="97">
        <f ca="1">IF($C$4="Hombre",(+VLOOKUP(INT(D554)+1,Tablas!$G$9:$K$1240,5,0)*(D554-INT(D554))+VLOOKUP(INT(D554),Tablas!$G$9:$K$1240,5,0)*(INT(D554)+1-D554)),+VLOOKUP(INT(D554)+1,Tablas!$G$9:$O$1240,9,0)*(D554-INT(D554))+VLOOKUP(INT(D554),Tablas!$G$9:$O$1240,9,0)*(INT(D554)+1-D554))</f>
        <v>858.93180637098135</v>
      </c>
      <c r="H554" s="105">
        <f t="shared" ca="1" si="68"/>
        <v>1</v>
      </c>
      <c r="I554" s="106">
        <f t="shared" ca="1" si="69"/>
        <v>3.9769661131491104E-5</v>
      </c>
      <c r="J554" s="106">
        <f t="shared" ca="1" si="73"/>
        <v>3.4088280969849522E-5</v>
      </c>
      <c r="K554" s="105">
        <f t="shared" ca="1" si="70"/>
        <v>9.3026664203443832E-4</v>
      </c>
      <c r="L554" s="75"/>
    </row>
    <row r="555" spans="2:12">
      <c r="B555" s="101">
        <f t="shared" ca="1" si="71"/>
        <v>69156</v>
      </c>
      <c r="C555" s="101">
        <f t="shared" ca="1" si="72"/>
        <v>69186</v>
      </c>
      <c r="D555" s="102">
        <f t="shared" ca="1" si="67"/>
        <v>111.9151266255989</v>
      </c>
      <c r="E555" s="103">
        <f t="shared" ca="1" si="66"/>
        <v>0.51236197801208383</v>
      </c>
      <c r="F555" s="104">
        <f ca="1">IF($C$4="Hombre",(+VLOOKUP(INT(D555)+1,Tablas!$G$9:$K$1240,5,0)*(D555-INT(D555))+VLOOKUP(INT(D555),Tablas!$G$9:$K$1240,5,0)*(INT(D555)+1-D555))/(VLOOKUP(INT($C$5)+1,Tablas!$G$9:$K$1240,5,0)*($C$5-INT($C$5))+VLOOKUP(INT($C$5),Tablas!$G$9:$K$124,5,0)*(INT($C$5)+1-$C$5)),(+VLOOKUP(INT(D555)+1,Tablas!$G$9:$O$1240,9,0)*(D555-INT(D555))+VLOOKUP(INT(D555),Tablas!$G$9:$O$1240,9,0)*(INT(D555)+1-D555))/(VLOOKUP(INT($C$5)+1,Tablas!$G$9:$O$1240,9,0)*($C$5-INT($C$5))+VLOOKUP(INT($C$5),Tablas!$G$9:$O$124,9,0)*(INT($C$5)+1-$C$5)))</f>
        <v>8.4214339878918598E-4</v>
      </c>
      <c r="G555" s="97">
        <f ca="1">IF($C$4="Hombre",(+VLOOKUP(INT(D555)+1,Tablas!$G$9:$K$1240,5,0)*(D555-INT(D555))+VLOOKUP(INT(D555),Tablas!$G$9:$K$1240,5,0)*(INT(D555)+1-D555)),+VLOOKUP(INT(D555)+1,Tablas!$G$9:$O$1240,9,0)*(D555-INT(D555))+VLOOKUP(INT(D555),Tablas!$G$9:$O$1240,9,0)*(INT(D555)+1-D555))</f>
        <v>777.56604188610163</v>
      </c>
      <c r="H555" s="105">
        <f t="shared" ca="1" si="68"/>
        <v>1</v>
      </c>
      <c r="I555" s="106">
        <f t="shared" ca="1" si="69"/>
        <v>3.5956854797787199E-5</v>
      </c>
      <c r="J555" s="106">
        <f t="shared" ca="1" si="73"/>
        <v>6.1640322510492338E-5</v>
      </c>
      <c r="K555" s="105">
        <f t="shared" ca="1" si="70"/>
        <v>8.4214339878918598E-4</v>
      </c>
      <c r="L555" s="75"/>
    </row>
    <row r="556" spans="2:12">
      <c r="B556" s="101">
        <f t="shared" ca="1" si="71"/>
        <v>69187</v>
      </c>
      <c r="C556" s="101">
        <f t="shared" ca="1" si="72"/>
        <v>69216</v>
      </c>
      <c r="D556" s="102">
        <f t="shared" ca="1" si="67"/>
        <v>111.99726214921287</v>
      </c>
      <c r="E556" s="103">
        <f t="shared" ca="1" si="66"/>
        <v>0.51173580170416721</v>
      </c>
      <c r="F556" s="104">
        <f ca="1">IF($C$4="Hombre",(+VLOOKUP(INT(D556)+1,Tablas!$G$9:$K$1240,5,0)*(D556-INT(D556))+VLOOKUP(INT(D556),Tablas!$G$9:$K$1240,5,0)*(INT(D556)+1-D556))/(VLOOKUP(INT($C$5)+1,Tablas!$G$9:$K$1240,5,0)*($C$5-INT($C$5))+VLOOKUP(INT($C$5),Tablas!$G$9:$K$124,5,0)*(INT($C$5)+1-$C$5)),(+VLOOKUP(INT(D556)+1,Tablas!$G$9:$O$1240,9,0)*(D556-INT(D556))+VLOOKUP(INT(D556),Tablas!$G$9:$O$1240,9,0)*(INT(D556)+1-D556))/(VLOOKUP(INT($C$5)+1,Tablas!$G$9:$O$1240,9,0)*($C$5-INT($C$5))+VLOOKUP(INT($C$5),Tablas!$G$9:$O$124,9,0)*(INT($C$5)+1-$C$5)))</f>
        <v>7.5686284080990474E-4</v>
      </c>
      <c r="G556" s="97">
        <f ca="1">IF($C$4="Hombre",(+VLOOKUP(INT(D556)+1,Tablas!$G$9:$K$1240,5,0)*(D556-INT(D556))+VLOOKUP(INT(D556),Tablas!$G$9:$K$1240,5,0)*(INT(D556)+1-D556)),+VLOOKUP(INT(D556)+1,Tablas!$G$9:$O$1240,9,0)*(D556-INT(D556))+VLOOKUP(INT(D556),Tablas!$G$9:$O$1240,9,0)*(INT(D556)+1-D556))</f>
        <v>698.82497948137495</v>
      </c>
      <c r="H556" s="105">
        <f t="shared" ca="1" si="68"/>
        <v>1</v>
      </c>
      <c r="I556" s="106">
        <f t="shared" ca="1" si="69"/>
        <v>3.2276151051829174E-5</v>
      </c>
      <c r="J556" s="106">
        <f t="shared" ca="1" si="73"/>
        <v>2.7665272330139295E-5</v>
      </c>
      <c r="K556" s="105">
        <f t="shared" ca="1" si="70"/>
        <v>7.5686284080990474E-4</v>
      </c>
      <c r="L556" s="75"/>
    </row>
    <row r="557" spans="2:12">
      <c r="B557" s="101">
        <f t="shared" ca="1" si="71"/>
        <v>69217</v>
      </c>
      <c r="C557" s="101">
        <f t="shared" ca="1" si="72"/>
        <v>69247</v>
      </c>
      <c r="D557" s="102">
        <f t="shared" ca="1" si="67"/>
        <v>112.08213552361396</v>
      </c>
      <c r="E557" s="103">
        <f t="shared" ca="1" si="66"/>
        <v>0.51108955680349488</v>
      </c>
      <c r="F557" s="104">
        <f ca="1">IF($C$4="Hombre",(+VLOOKUP(INT(D557)+1,Tablas!$G$9:$K$1240,5,0)*(D557-INT(D557))+VLOOKUP(INT(D557),Tablas!$G$9:$K$1240,5,0)*(INT(D557)+1-D557))/(VLOOKUP(INT($C$5)+1,Tablas!$G$9:$K$1240,5,0)*($C$5-INT($C$5))+VLOOKUP(INT($C$5),Tablas!$G$9:$K$124,5,0)*(INT($C$5)+1-$C$5)),(+VLOOKUP(INT(D557)+1,Tablas!$G$9:$O$1240,9,0)*(D557-INT(D557))+VLOOKUP(INT(D557),Tablas!$G$9:$O$1240,9,0)*(INT(D557)+1-D557))/(VLOOKUP(INT($C$5)+1,Tablas!$G$9:$O$1240,9,0)*($C$5-INT($C$5))+VLOOKUP(INT($C$5),Tablas!$G$9:$O$124,9,0)*(INT($C$5)+1-$C$5)))</f>
        <v>7.1475014376021521E-4</v>
      </c>
      <c r="G557" s="97">
        <f ca="1">IF($C$4="Hombre",(+VLOOKUP(INT(D557)+1,Tablas!$G$9:$K$1240,5,0)*(D557-INT(D557))+VLOOKUP(INT(D557),Tablas!$G$9:$K$1240,5,0)*(INT(D557)+1-D557)),+VLOOKUP(INT(D557)+1,Tablas!$G$9:$O$1240,9,0)*(D557-INT(D557))+VLOOKUP(INT(D557),Tablas!$G$9:$O$1240,9,0)*(INT(D557)+1-D557))</f>
        <v>659.94157410747289</v>
      </c>
      <c r="H557" s="105">
        <f t="shared" ca="1" si="68"/>
        <v>1</v>
      </c>
      <c r="I557" s="106">
        <f t="shared" ca="1" si="69"/>
        <v>3.0441777849970218E-5</v>
      </c>
      <c r="J557" s="106">
        <f t="shared" ca="1" si="73"/>
        <v>2.6092952442831618E-5</v>
      </c>
      <c r="K557" s="105">
        <f t="shared" ca="1" si="70"/>
        <v>7.1475014376021521E-4</v>
      </c>
      <c r="L557" s="75"/>
    </row>
    <row r="558" spans="2:12">
      <c r="B558" s="101">
        <f t="shared" ca="1" si="71"/>
        <v>69248</v>
      </c>
      <c r="C558" s="101">
        <f t="shared" ca="1" si="72"/>
        <v>69278</v>
      </c>
      <c r="D558" s="102">
        <f t="shared" ca="1" si="67"/>
        <v>112.16700889801506</v>
      </c>
      <c r="E558" s="103">
        <f t="shared" ca="1" si="66"/>
        <v>0.51044412801236616</v>
      </c>
      <c r="F558" s="104">
        <f ca="1">IF($C$4="Hombre",(+VLOOKUP(INT(D558)+1,Tablas!$G$9:$K$1240,5,0)*(D558-INT(D558))+VLOOKUP(INT(D558),Tablas!$G$9:$K$1240,5,0)*(INT(D558)+1-D558))/(VLOOKUP(INT($C$5)+1,Tablas!$G$9:$K$1240,5,0)*($C$5-INT($C$5))+VLOOKUP(INT($C$5),Tablas!$G$9:$K$124,5,0)*(INT($C$5)+1-$C$5)),(+VLOOKUP(INT(D558)+1,Tablas!$G$9:$O$1240,9,0)*(D558-INT(D558))+VLOOKUP(INT(D558),Tablas!$G$9:$O$1240,9,0)*(INT(D558)+1-D558))/(VLOOKUP(INT($C$5)+1,Tablas!$G$9:$O$1240,9,0)*($C$5-INT($C$5))+VLOOKUP(INT($C$5),Tablas!$G$9:$O$124,9,0)*(INT($C$5)+1-$C$5)))</f>
        <v>6.7417113158370139E-4</v>
      </c>
      <c r="G558" s="97">
        <f ca="1">IF($C$4="Hombre",(+VLOOKUP(INT(D558)+1,Tablas!$G$9:$K$1240,5,0)*(D558-INT(D558))+VLOOKUP(INT(D558),Tablas!$G$9:$K$1240,5,0)*(INT(D558)+1-D558)),+VLOOKUP(INT(D558)+1,Tablas!$G$9:$O$1240,9,0)*(D558-INT(D558))+VLOOKUP(INT(D558),Tablas!$G$9:$O$1240,9,0)*(INT(D558)+1-D558))</f>
        <v>622.47424737059441</v>
      </c>
      <c r="H558" s="105">
        <f t="shared" ca="1" si="68"/>
        <v>1</v>
      </c>
      <c r="I558" s="106">
        <f t="shared" ca="1" si="69"/>
        <v>2.8677224616029383E-5</v>
      </c>
      <c r="J558" s="106">
        <f t="shared" ca="1" si="73"/>
        <v>2.4580478242310898E-5</v>
      </c>
      <c r="K558" s="105">
        <f t="shared" ca="1" si="70"/>
        <v>6.7417113158370139E-4</v>
      </c>
      <c r="L558" s="75"/>
    </row>
    <row r="559" spans="2:12">
      <c r="B559" s="101">
        <f t="shared" ca="1" si="71"/>
        <v>69279</v>
      </c>
      <c r="C559" s="101">
        <f t="shared" ca="1" si="72"/>
        <v>69308</v>
      </c>
      <c r="D559" s="102">
        <f t="shared" ca="1" si="67"/>
        <v>112.24914442162903</v>
      </c>
      <c r="E559" s="103">
        <f t="shared" ca="1" si="66"/>
        <v>0.50982029557906072</v>
      </c>
      <c r="F559" s="104">
        <f ca="1">IF($C$4="Hombre",(+VLOOKUP(INT(D559)+1,Tablas!$G$9:$K$1240,5,0)*(D559-INT(D559))+VLOOKUP(INT(D559),Tablas!$G$9:$K$1240,5,0)*(INT(D559)+1-D559))/(VLOOKUP(INT($C$5)+1,Tablas!$G$9:$K$1240,5,0)*($C$5-INT($C$5))+VLOOKUP(INT($C$5),Tablas!$G$9:$K$124,5,0)*(INT($C$5)+1-$C$5)),(+VLOOKUP(INT(D559)+1,Tablas!$G$9:$O$1240,9,0)*(D559-INT(D559))+VLOOKUP(INT(D559),Tablas!$G$9:$O$1240,9,0)*(INT(D559)+1-D559))/(VLOOKUP(INT($C$5)+1,Tablas!$G$9:$O$1240,9,0)*($C$5-INT($C$5))+VLOOKUP(INT($C$5),Tablas!$G$9:$O$124,9,0)*(INT($C$5)+1-$C$5)))</f>
        <v>6.3490111979997625E-4</v>
      </c>
      <c r="G559" s="97">
        <f ca="1">IF($C$4="Hombre",(+VLOOKUP(INT(D559)+1,Tablas!$G$9:$K$1240,5,0)*(D559-INT(D559))+VLOOKUP(INT(D559),Tablas!$G$9:$K$1240,5,0)*(INT(D559)+1-D559)),+VLOOKUP(INT(D559)+1,Tablas!$G$9:$O$1240,9,0)*(D559-INT(D559))+VLOOKUP(INT(D559),Tablas!$G$9:$O$1240,9,0)*(INT(D559)+1-D559))</f>
        <v>586.21554407683914</v>
      </c>
      <c r="H559" s="105">
        <f t="shared" ca="1" si="68"/>
        <v>1</v>
      </c>
      <c r="I559" s="106">
        <f t="shared" ca="1" si="69"/>
        <v>2.6973789713325042E-5</v>
      </c>
      <c r="J559" s="106">
        <f t="shared" ca="1" si="73"/>
        <v>2.3120391182850034E-5</v>
      </c>
      <c r="K559" s="105">
        <f t="shared" ca="1" si="70"/>
        <v>6.3490111979997625E-4</v>
      </c>
      <c r="L559" s="75"/>
    </row>
    <row r="560" spans="2:12">
      <c r="B560" s="101">
        <f t="shared" ca="1" si="71"/>
        <v>69309</v>
      </c>
      <c r="C560" s="101">
        <f t="shared" ca="1" si="72"/>
        <v>69339</v>
      </c>
      <c r="D560" s="102">
        <f t="shared" ca="1" si="67"/>
        <v>112.33401779603011</v>
      </c>
      <c r="E560" s="103">
        <f t="shared" ca="1" si="66"/>
        <v>0.50917646967284103</v>
      </c>
      <c r="F560" s="104">
        <f ca="1">IF($C$4="Hombre",(+VLOOKUP(INT(D560)+1,Tablas!$G$9:$K$1240,5,0)*(D560-INT(D560))+VLOOKUP(INT(D560),Tablas!$G$9:$K$1240,5,0)*(INT(D560)+1-D560))/(VLOOKUP(INT($C$5)+1,Tablas!$G$9:$K$1240,5,0)*($C$5-INT($C$5))+VLOOKUP(INT($C$5),Tablas!$G$9:$K$124,5,0)*(INT($C$5)+1-$C$5)),(+VLOOKUP(INT(D560)+1,Tablas!$G$9:$O$1240,9,0)*(D560-INT(D560))+VLOOKUP(INT(D560),Tablas!$G$9:$O$1240,9,0)*(INT(D560)+1-D560))/(VLOOKUP(INT($C$5)+1,Tablas!$G$9:$O$1240,9,0)*($C$5-INT($C$5))+VLOOKUP(INT($C$5),Tablas!$G$9:$O$124,9,0)*(INT($C$5)+1-$C$5)))</f>
        <v>5.9432210762346916E-4</v>
      </c>
      <c r="G560" s="97">
        <f ca="1">IF($C$4="Hombre",(+VLOOKUP(INT(D560)+1,Tablas!$G$9:$K$1240,5,0)*(D560-INT(D560))+VLOOKUP(INT(D560),Tablas!$G$9:$K$1240,5,0)*(INT(D560)+1-D560)),+VLOOKUP(INT(D560)+1,Tablas!$G$9:$O$1240,9,0)*(D560-INT(D560))+VLOOKUP(INT(D560),Tablas!$G$9:$O$1240,9,0)*(INT(D560)+1-D560))</f>
        <v>548.74821733996691</v>
      </c>
      <c r="H560" s="105">
        <f t="shared" ca="1" si="68"/>
        <v>1</v>
      </c>
      <c r="I560" s="106">
        <f t="shared" ca="1" si="69"/>
        <v>2.5217902717353355E-5</v>
      </c>
      <c r="J560" s="106">
        <f t="shared" ca="1" si="73"/>
        <v>2.1615345186302877E-5</v>
      </c>
      <c r="K560" s="105">
        <f t="shared" ca="1" si="70"/>
        <v>5.9432210762346916E-4</v>
      </c>
      <c r="L560" s="75"/>
    </row>
    <row r="561" spans="2:12">
      <c r="B561" s="101">
        <f t="shared" ca="1" si="71"/>
        <v>69340</v>
      </c>
      <c r="C561" s="101">
        <f t="shared" ca="1" si="72"/>
        <v>69369</v>
      </c>
      <c r="D561" s="102">
        <f t="shared" ca="1" si="67"/>
        <v>112.41615331964408</v>
      </c>
      <c r="E561" s="103">
        <f t="shared" ca="1" si="66"/>
        <v>0.50855418649114437</v>
      </c>
      <c r="F561" s="104">
        <f ca="1">IF($C$4="Hombre",(+VLOOKUP(INT(D561)+1,Tablas!$G$9:$K$1240,5,0)*(D561-INT(D561))+VLOOKUP(INT(D561),Tablas!$G$9:$K$1240,5,0)*(INT(D561)+1-D561))/(VLOOKUP(INT($C$5)+1,Tablas!$G$9:$K$1240,5,0)*($C$5-INT($C$5))+VLOOKUP(INT($C$5),Tablas!$G$9:$K$124,5,0)*(INT($C$5)+1-$C$5)),(+VLOOKUP(INT(D561)+1,Tablas!$G$9:$O$1240,9,0)*(D561-INT(D561))+VLOOKUP(INT(D561),Tablas!$G$9:$O$1240,9,0)*(INT(D561)+1-D561))/(VLOOKUP(INT($C$5)+1,Tablas!$G$9:$O$1240,9,0)*($C$5-INT($C$5))+VLOOKUP(INT($C$5),Tablas!$G$9:$O$124,9,0)*(INT($C$5)+1-$C$5)))</f>
        <v>5.5505209583974402E-4</v>
      </c>
      <c r="G561" s="97">
        <f ca="1">IF($C$4="Hombre",(+VLOOKUP(INT(D561)+1,Tablas!$G$9:$K$1240,5,0)*(D561-INT(D561))+VLOOKUP(INT(D561),Tablas!$G$9:$K$1240,5,0)*(INT(D561)+1-D561)),+VLOOKUP(INT(D561)+1,Tablas!$G$9:$O$1240,9,0)*(D561-INT(D561))+VLOOKUP(INT(D561),Tablas!$G$9:$O$1240,9,0)*(INT(D561)+1-D561))</f>
        <v>512.48951404621164</v>
      </c>
      <c r="H561" s="105">
        <f t="shared" ca="1" si="68"/>
        <v>1</v>
      </c>
      <c r="I561" s="106">
        <f t="shared" ca="1" si="69"/>
        <v>2.3522838921665476E-5</v>
      </c>
      <c r="J561" s="106">
        <f t="shared" ca="1" si="73"/>
        <v>4.0324866722855103E-5</v>
      </c>
      <c r="K561" s="105">
        <f t="shared" ca="1" si="70"/>
        <v>5.5505209583974402E-4</v>
      </c>
      <c r="L561" s="75"/>
    </row>
    <row r="562" spans="2:12">
      <c r="B562" s="101">
        <f t="shared" ca="1" si="71"/>
        <v>69370</v>
      </c>
      <c r="C562" s="101">
        <f t="shared" ca="1" si="72"/>
        <v>69400</v>
      </c>
      <c r="D562" s="102">
        <f t="shared" ca="1" si="67"/>
        <v>112.50102669404518</v>
      </c>
      <c r="E562" s="103">
        <f t="shared" ca="1" si="66"/>
        <v>0.50791195948916201</v>
      </c>
      <c r="F562" s="104">
        <f ca="1">IF($C$4="Hombre",(+VLOOKUP(INT(D562)+1,Tablas!$G$9:$K$1240,5,0)*(D562-INT(D562))+VLOOKUP(INT(D562),Tablas!$G$9:$K$1240,5,0)*(INT(D562)+1-D562))/(VLOOKUP(INT($C$5)+1,Tablas!$G$9:$K$1240,5,0)*($C$5-INT($C$5))+VLOOKUP(INT($C$5),Tablas!$G$9:$K$124,5,0)*(INT($C$5)+1-$C$5)),(+VLOOKUP(INT(D562)+1,Tablas!$G$9:$O$1240,9,0)*(D562-INT(D562))+VLOOKUP(INT(D562),Tablas!$G$9:$O$1240,9,0)*(INT(D562)+1-D562))/(VLOOKUP(INT($C$5)+1,Tablas!$G$9:$O$1240,9,0)*($C$5-INT($C$5))+VLOOKUP(INT($C$5),Tablas!$G$9:$O$124,9,0)*(INT($C$5)+1-$C$5)))</f>
        <v>5.1447308366323031E-4</v>
      </c>
      <c r="G562" s="97">
        <f ca="1">IF($C$4="Hombre",(+VLOOKUP(INT(D562)+1,Tablas!$G$9:$K$1240,5,0)*(D562-INT(D562))+VLOOKUP(INT(D562),Tablas!$G$9:$K$1240,5,0)*(INT(D562)+1-D562)),+VLOOKUP(INT(D562)+1,Tablas!$G$9:$O$1240,9,0)*(D562-INT(D562))+VLOOKUP(INT(D562),Tablas!$G$9:$O$1240,9,0)*(INT(D562)+1-D562))</f>
        <v>475.02218730933322</v>
      </c>
      <c r="H562" s="105">
        <f t="shared" ca="1" si="68"/>
        <v>1</v>
      </c>
      <c r="I562" s="106">
        <f t="shared" ca="1" si="69"/>
        <v>2.1775586002318574E-5</v>
      </c>
      <c r="J562" s="106">
        <f t="shared" ca="1" si="73"/>
        <v>1.8664788001987351E-5</v>
      </c>
      <c r="K562" s="105">
        <f t="shared" ca="1" si="70"/>
        <v>5.1447308366323031E-4</v>
      </c>
      <c r="L562" s="75"/>
    </row>
    <row r="563" spans="2:12">
      <c r="B563" s="101">
        <f t="shared" ca="1" si="71"/>
        <v>69401</v>
      </c>
      <c r="C563" s="101">
        <f t="shared" ca="1" si="72"/>
        <v>69431</v>
      </c>
      <c r="D563" s="102">
        <f t="shared" ca="1" si="67"/>
        <v>112.58590006844626</v>
      </c>
      <c r="E563" s="103">
        <f t="shared" ca="1" si="66"/>
        <v>0.50727054352272527</v>
      </c>
      <c r="F563" s="104">
        <f ca="1">IF($C$4="Hombre",(+VLOOKUP(INT(D563)+1,Tablas!$G$9:$K$1240,5,0)*(D563-INT(D563))+VLOOKUP(INT(D563),Tablas!$G$9:$K$1240,5,0)*(INT(D563)+1-D563))/(VLOOKUP(INT($C$5)+1,Tablas!$G$9:$K$1240,5,0)*($C$5-INT($C$5))+VLOOKUP(INT($C$5),Tablas!$G$9:$K$124,5,0)*(INT($C$5)+1-$C$5)),(+VLOOKUP(INT(D563)+1,Tablas!$G$9:$O$1240,9,0)*(D563-INT(D563))+VLOOKUP(INT(D563),Tablas!$G$9:$O$1240,9,0)*(INT(D563)+1-D563))/(VLOOKUP(INT($C$5)+1,Tablas!$G$9:$O$1240,9,0)*($C$5-INT($C$5))+VLOOKUP(INT($C$5),Tablas!$G$9:$O$124,9,0)*(INT($C$5)+1-$C$5)))</f>
        <v>4.7389407148672327E-4</v>
      </c>
      <c r="G563" s="97">
        <f ca="1">IF($C$4="Hombre",(+VLOOKUP(INT(D563)+1,Tablas!$G$9:$K$1240,5,0)*(D563-INT(D563))+VLOOKUP(INT(D563),Tablas!$G$9:$K$1240,5,0)*(INT(D563)+1-D563)),+VLOOKUP(INT(D563)+1,Tablas!$G$9:$O$1240,9,0)*(D563-INT(D563))+VLOOKUP(INT(D563),Tablas!$G$9:$O$1240,9,0)*(INT(D563)+1-D563))</f>
        <v>437.55486057246105</v>
      </c>
      <c r="H563" s="105">
        <f t="shared" ca="1" si="68"/>
        <v>1</v>
      </c>
      <c r="I563" s="106">
        <f t="shared" ca="1" si="69"/>
        <v>2.0032708601272274E-5</v>
      </c>
      <c r="J563" s="106">
        <f t="shared" ca="1" si="73"/>
        <v>1.7170893086804807E-5</v>
      </c>
      <c r="K563" s="105">
        <f t="shared" ca="1" si="70"/>
        <v>4.7389407148672327E-4</v>
      </c>
      <c r="L563" s="75"/>
    </row>
    <row r="564" spans="2:12">
      <c r="B564" s="101">
        <f t="shared" ca="1" si="71"/>
        <v>69432</v>
      </c>
      <c r="C564" s="101">
        <f t="shared" ca="1" si="72"/>
        <v>69459</v>
      </c>
      <c r="D564" s="102">
        <f t="shared" ca="1" si="67"/>
        <v>112.66255989048597</v>
      </c>
      <c r="E564" s="103">
        <f t="shared" ca="1" si="66"/>
        <v>0.5066918963195588</v>
      </c>
      <c r="F564" s="104">
        <f ca="1">IF($C$4="Hombre",(+VLOOKUP(INT(D564)+1,Tablas!$G$9:$K$1240,5,0)*(D564-INT(D564))+VLOOKUP(INT(D564),Tablas!$G$9:$K$1240,5,0)*(INT(D564)+1-D564))/(VLOOKUP(INT($C$5)+1,Tablas!$G$9:$K$1240,5,0)*($C$5-INT($C$5))+VLOOKUP(INT($C$5),Tablas!$G$9:$K$124,5,0)*(INT($C$5)+1-$C$5)),(+VLOOKUP(INT(D564)+1,Tablas!$G$9:$O$1240,9,0)*(D564-INT(D564))+VLOOKUP(INT(D564),Tablas!$G$9:$O$1240,9,0)*(INT(D564)+1-D564))/(VLOOKUP(INT($C$5)+1,Tablas!$G$9:$O$1240,9,0)*($C$5-INT($C$5))+VLOOKUP(INT($C$5),Tablas!$G$9:$O$124,9,0)*(INT($C$5)+1-$C$5)))</f>
        <v>4.3724206048858209E-4</v>
      </c>
      <c r="G564" s="97">
        <f ca="1">IF($C$4="Hombre",(+VLOOKUP(INT(D564)+1,Tablas!$G$9:$K$1240,5,0)*(D564-INT(D564))+VLOOKUP(INT(D564),Tablas!$G$9:$K$1240,5,0)*(INT(D564)+1-D564)),+VLOOKUP(INT(D564)+1,Tablas!$G$9:$O$1240,9,0)*(D564-INT(D564))+VLOOKUP(INT(D564),Tablas!$G$9:$O$1240,9,0)*(INT(D564)+1-D564))</f>
        <v>403.71340416495821</v>
      </c>
      <c r="H564" s="105">
        <f t="shared" ca="1" si="68"/>
        <v>1</v>
      </c>
      <c r="I564" s="106">
        <f t="shared" ca="1" si="69"/>
        <v>1.8462250731635907E-5</v>
      </c>
      <c r="J564" s="106">
        <f t="shared" ca="1" si="73"/>
        <v>1.5824786341402206E-5</v>
      </c>
      <c r="K564" s="105">
        <f t="shared" ca="1" si="70"/>
        <v>4.3724206048858209E-4</v>
      </c>
      <c r="L564" s="75"/>
    </row>
    <row r="565" spans="2:12">
      <c r="B565" s="101">
        <f t="shared" ca="1" si="71"/>
        <v>69460</v>
      </c>
      <c r="C565" s="101">
        <f t="shared" ca="1" si="72"/>
        <v>69490</v>
      </c>
      <c r="D565" s="102">
        <f t="shared" ca="1" si="67"/>
        <v>112.74743326488706</v>
      </c>
      <c r="E565" s="103">
        <f t="shared" ca="1" si="66"/>
        <v>0.50605202110833059</v>
      </c>
      <c r="F565" s="104">
        <f ca="1">IF($C$4="Hombre",(+VLOOKUP(INT(D565)+1,Tablas!$G$9:$K$1240,5,0)*(D565-INT(D565))+VLOOKUP(INT(D565),Tablas!$G$9:$K$1240,5,0)*(INT(D565)+1-D565))/(VLOOKUP(INT($C$5)+1,Tablas!$G$9:$K$1240,5,0)*($C$5-INT($C$5))+VLOOKUP(INT($C$5),Tablas!$G$9:$K$124,5,0)*(INT($C$5)+1-$C$5)),(+VLOOKUP(INT(D565)+1,Tablas!$G$9:$O$1240,9,0)*(D565-INT(D565))+VLOOKUP(INT(D565),Tablas!$G$9:$O$1240,9,0)*(INT(D565)+1-D565))/(VLOOKUP(INT($C$5)+1,Tablas!$G$9:$O$1240,9,0)*($C$5-INT($C$5))+VLOOKUP(INT($C$5),Tablas!$G$9:$O$124,9,0)*(INT($C$5)+1-$C$5)))</f>
        <v>3.9666304831206827E-4</v>
      </c>
      <c r="G565" s="97">
        <f ca="1">IF($C$4="Hombre",(+VLOOKUP(INT(D565)+1,Tablas!$G$9:$K$1240,5,0)*(D565-INT(D565))+VLOOKUP(INT(D565),Tablas!$G$9:$K$1240,5,0)*(INT(D565)+1-D565)),+VLOOKUP(INT(D565)+1,Tablas!$G$9:$O$1240,9,0)*(D565-INT(D565))+VLOOKUP(INT(D565),Tablas!$G$9:$O$1240,9,0)*(INT(D565)+1-D565))</f>
        <v>366.24607742807973</v>
      </c>
      <c r="H565" s="105">
        <f t="shared" ca="1" si="68"/>
        <v>1</v>
      </c>
      <c r="I565" s="106">
        <f t="shared" ca="1" si="69"/>
        <v>1.672767810810946E-5</v>
      </c>
      <c r="J565" s="106">
        <f t="shared" ca="1" si="73"/>
        <v>1.4338009806950966E-5</v>
      </c>
      <c r="K565" s="105">
        <f t="shared" ca="1" si="70"/>
        <v>3.9666304831206827E-4</v>
      </c>
      <c r="L565" s="75"/>
    </row>
    <row r="566" spans="2:12">
      <c r="B566" s="101">
        <f t="shared" ca="1" si="71"/>
        <v>69491</v>
      </c>
      <c r="C566" s="101">
        <f t="shared" ca="1" si="72"/>
        <v>69520</v>
      </c>
      <c r="D566" s="102">
        <f t="shared" ca="1" si="67"/>
        <v>112.82956878850102</v>
      </c>
      <c r="E566" s="103">
        <f t="shared" ref="E566:E629" ca="1" si="74">IF($D$17+40&lt;=D566,(1+$D$7)^-(D566-$C$5),(1+$C$7)^-(D566-$C$5))</f>
        <v>0.50543355642947052</v>
      </c>
      <c r="F566" s="104">
        <f ca="1">IF($C$4="Hombre",(+VLOOKUP(INT(D566)+1,Tablas!$G$9:$K$1240,5,0)*(D566-INT(D566))+VLOOKUP(INT(D566),Tablas!$G$9:$K$1240,5,0)*(INT(D566)+1-D566))/(VLOOKUP(INT($C$5)+1,Tablas!$G$9:$K$1240,5,0)*($C$5-INT($C$5))+VLOOKUP(INT($C$5),Tablas!$G$9:$K$124,5,0)*(INT($C$5)+1-$C$5)),(+VLOOKUP(INT(D566)+1,Tablas!$G$9:$O$1240,9,0)*(D566-INT(D566))+VLOOKUP(INT(D566),Tablas!$G$9:$O$1240,9,0)*(INT(D566)+1-D566))/(VLOOKUP(INT($C$5)+1,Tablas!$G$9:$O$1240,9,0)*($C$5-INT($C$5))+VLOOKUP(INT($C$5),Tablas!$G$9:$O$124,9,0)*(INT($C$5)+1-$C$5)))</f>
        <v>3.5739303652834991E-4</v>
      </c>
      <c r="G566" s="97">
        <f ca="1">IF($C$4="Hombre",(+VLOOKUP(INT(D566)+1,Tablas!$G$9:$K$1240,5,0)*(D566-INT(D566))+VLOOKUP(INT(D566),Tablas!$G$9:$K$1240,5,0)*(INT(D566)+1-D566)),+VLOOKUP(INT(D566)+1,Tablas!$G$9:$O$1240,9,0)*(D566-INT(D566))+VLOOKUP(INT(D566),Tablas!$G$9:$O$1240,9,0)*(INT(D566)+1-D566))</f>
        <v>329.98737413433071</v>
      </c>
      <c r="H566" s="105">
        <f t="shared" ca="1" si="68"/>
        <v>1</v>
      </c>
      <c r="I566" s="106">
        <f t="shared" ca="1" si="69"/>
        <v>1.5053202791304296E-5</v>
      </c>
      <c r="J566" s="106">
        <f t="shared" ca="1" si="73"/>
        <v>1.2902745249689396E-5</v>
      </c>
      <c r="K566" s="105">
        <f t="shared" ca="1" si="70"/>
        <v>3.5739303652834991E-4</v>
      </c>
      <c r="L566" s="75"/>
    </row>
    <row r="567" spans="2:12">
      <c r="B567" s="101">
        <f t="shared" ca="1" si="71"/>
        <v>69521</v>
      </c>
      <c r="C567" s="101">
        <f t="shared" ca="1" si="72"/>
        <v>69551</v>
      </c>
      <c r="D567" s="102">
        <f t="shared" ca="1" si="67"/>
        <v>112.91444216290212</v>
      </c>
      <c r="E567" s="103">
        <f t="shared" ca="1" si="74"/>
        <v>0.50479527031115801</v>
      </c>
      <c r="F567" s="104">
        <f ca="1">IF($C$4="Hombre",(+VLOOKUP(INT(D567)+1,Tablas!$G$9:$K$1240,5,0)*(D567-INT(D567))+VLOOKUP(INT(D567),Tablas!$G$9:$K$1240,5,0)*(INT(D567)+1-D567))/(VLOOKUP(INT($C$5)+1,Tablas!$G$9:$K$1240,5,0)*($C$5-INT($C$5))+VLOOKUP(INT($C$5),Tablas!$G$9:$K$124,5,0)*(INT($C$5)+1-$C$5)),(+VLOOKUP(INT(D567)+1,Tablas!$G$9:$O$1240,9,0)*(D567-INT(D567))+VLOOKUP(INT(D567),Tablas!$G$9:$O$1240,9,0)*(INT(D567)+1-D567))/(VLOOKUP(INT($C$5)+1,Tablas!$G$9:$O$1240,9,0)*($C$5-INT($C$5))+VLOOKUP(INT($C$5),Tablas!$G$9:$O$124,9,0)*(INT($C$5)+1-$C$5)))</f>
        <v>3.1681402435183615E-4</v>
      </c>
      <c r="G567" s="97">
        <f ca="1">IF($C$4="Hombre",(+VLOOKUP(INT(D567)+1,Tablas!$G$9:$K$1240,5,0)*(D567-INT(D567))+VLOOKUP(INT(D567),Tablas!$G$9:$K$1240,5,0)*(INT(D567)+1-D567)),+VLOOKUP(INT(D567)+1,Tablas!$G$9:$O$1240,9,0)*(D567-INT(D567))+VLOOKUP(INT(D567),Tablas!$G$9:$O$1240,9,0)*(INT(D567)+1-D567))</f>
        <v>292.52004739745229</v>
      </c>
      <c r="H567" s="105">
        <f t="shared" ca="1" si="68"/>
        <v>1</v>
      </c>
      <c r="I567" s="106">
        <f t="shared" ca="1" si="69"/>
        <v>1.3327185088420909E-5</v>
      </c>
      <c r="J567" s="106">
        <f t="shared" ca="1" si="73"/>
        <v>2.2846603008721557E-5</v>
      </c>
      <c r="K567" s="105">
        <f t="shared" ca="1" si="70"/>
        <v>3.1681402435183615E-4</v>
      </c>
      <c r="L567" s="75"/>
    </row>
    <row r="568" spans="2:12">
      <c r="B568" s="101">
        <f t="shared" ca="1" si="71"/>
        <v>69552</v>
      </c>
      <c r="C568" s="101">
        <f t="shared" ca="1" si="72"/>
        <v>69581</v>
      </c>
      <c r="D568" s="102">
        <f t="shared" ca="1" si="67"/>
        <v>112.99657768651609</v>
      </c>
      <c r="E568" s="103">
        <f t="shared" ca="1" si="74"/>
        <v>0.50417834155340047</v>
      </c>
      <c r="F568" s="104">
        <f ca="1">IF($C$4="Hombre",(+VLOOKUP(INT(D568)+1,Tablas!$G$9:$K$1240,5,0)*(D568-INT(D568))+VLOOKUP(INT(D568),Tablas!$G$9:$K$1240,5,0)*(INT(D568)+1-D568))/(VLOOKUP(INT($C$5)+1,Tablas!$G$9:$K$1240,5,0)*($C$5-INT($C$5))+VLOOKUP(INT($C$5),Tablas!$G$9:$K$124,5,0)*(INT($C$5)+1-$C$5)),(+VLOOKUP(INT(D568)+1,Tablas!$G$9:$O$1240,9,0)*(D568-INT(D568))+VLOOKUP(INT(D568),Tablas!$G$9:$O$1240,9,0)*(INT(D568)+1-D568))/(VLOOKUP(INT($C$5)+1,Tablas!$G$9:$O$1240,9,0)*($C$5-INT($C$5))+VLOOKUP(INT($C$5),Tablas!$G$9:$O$124,9,0)*(INT($C$5)+1-$C$5)))</f>
        <v>2.7754401256811095E-4</v>
      </c>
      <c r="G568" s="97">
        <f ca="1">IF($C$4="Hombre",(+VLOOKUP(INT(D568)+1,Tablas!$G$9:$K$1240,5,0)*(D568-INT(D568))+VLOOKUP(INT(D568),Tablas!$G$9:$K$1240,5,0)*(INT(D568)+1-D568)),+VLOOKUP(INT(D568)+1,Tablas!$G$9:$O$1240,9,0)*(D568-INT(D568))+VLOOKUP(INT(D568),Tablas!$G$9:$O$1240,9,0)*(INT(D568)+1-D568))</f>
        <v>256.26134410369696</v>
      </c>
      <c r="H568" s="105">
        <f t="shared" ca="1" si="68"/>
        <v>1</v>
      </c>
      <c r="I568" s="106">
        <f t="shared" ca="1" si="69"/>
        <v>1.1660973330388859E-5</v>
      </c>
      <c r="J568" s="106">
        <f t="shared" ca="1" si="73"/>
        <v>9.9951199974761653E-6</v>
      </c>
      <c r="K568" s="105">
        <f t="shared" ca="1" si="70"/>
        <v>2.7754401256811095E-4</v>
      </c>
      <c r="L568" s="75"/>
    </row>
    <row r="569" spans="2:12">
      <c r="B569" s="101">
        <f t="shared" ca="1" si="71"/>
        <v>69582</v>
      </c>
      <c r="C569" s="101">
        <f t="shared" ca="1" si="72"/>
        <v>69612</v>
      </c>
      <c r="D569" s="102">
        <f t="shared" ca="1" si="67"/>
        <v>113.08145106091717</v>
      </c>
      <c r="E569" s="103">
        <f t="shared" ca="1" si="74"/>
        <v>0.50354164058158413</v>
      </c>
      <c r="F569" s="104">
        <f ca="1">IF($C$4="Hombre",(+VLOOKUP(INT(D569)+1,Tablas!$G$9:$K$1240,5,0)*(D569-INT(D569))+VLOOKUP(INT(D569),Tablas!$G$9:$K$1240,5,0)*(INT(D569)+1-D569))/(VLOOKUP(INT($C$5)+1,Tablas!$G$9:$K$1240,5,0)*($C$5-INT($C$5))+VLOOKUP(INT($C$5),Tablas!$G$9:$K$124,5,0)*(INT($C$5)+1-$C$5)),(+VLOOKUP(INT(D569)+1,Tablas!$G$9:$O$1240,9,0)*(D569-INT(D569))+VLOOKUP(INT(D569),Tablas!$G$9:$O$1240,9,0)*(INT(D569)+1-D569))/(VLOOKUP(INT($C$5)+1,Tablas!$G$9:$O$1240,9,0)*($C$5-INT($C$5))+VLOOKUP(INT($C$5),Tablas!$G$9:$O$124,9,0)*(INT($C$5)+1-$C$5)))</f>
        <v>2.6030212065422724E-4</v>
      </c>
      <c r="G569" s="97">
        <f ca="1">IF($C$4="Hombre",(+VLOOKUP(INT(D569)+1,Tablas!$G$9:$K$1240,5,0)*(D569-INT(D569))+VLOOKUP(INT(D569),Tablas!$G$9:$K$1240,5,0)*(INT(D569)+1-D569)),+VLOOKUP(INT(D569)+1,Tablas!$G$9:$O$1240,9,0)*(D569-INT(D569))+VLOOKUP(INT(D569),Tablas!$G$9:$O$1240,9,0)*(INT(D569)+1-D569))</f>
        <v>240.34159733683708</v>
      </c>
      <c r="H569" s="105">
        <f t="shared" ca="1" si="68"/>
        <v>1</v>
      </c>
      <c r="I569" s="106">
        <f t="shared" ca="1" si="69"/>
        <v>1.0922746406757919E-5</v>
      </c>
      <c r="J569" s="106">
        <f t="shared" ca="1" si="73"/>
        <v>9.3623540629353572E-6</v>
      </c>
      <c r="K569" s="105">
        <f t="shared" ca="1" si="70"/>
        <v>2.6030212065422724E-4</v>
      </c>
      <c r="L569" s="75"/>
    </row>
    <row r="570" spans="2:12">
      <c r="B570" s="101">
        <f t="shared" ca="1" si="71"/>
        <v>69613</v>
      </c>
      <c r="C570" s="101">
        <f t="shared" ca="1" si="72"/>
        <v>69643</v>
      </c>
      <c r="D570" s="102">
        <f t="shared" ca="1" si="67"/>
        <v>113.16632443531827</v>
      </c>
      <c r="E570" s="103">
        <f t="shared" ca="1" si="74"/>
        <v>0.50290574366677299</v>
      </c>
      <c r="F570" s="104">
        <f ca="1">IF($C$4="Hombre",(+VLOOKUP(INT(D570)+1,Tablas!$G$9:$K$1240,5,0)*(D570-INT(D570))+VLOOKUP(INT(D570),Tablas!$G$9:$K$1240,5,0)*(INT(D570)+1-D570))/(VLOOKUP(INT($C$5)+1,Tablas!$G$9:$K$1240,5,0)*($C$5-INT($C$5))+VLOOKUP(INT($C$5),Tablas!$G$9:$K$124,5,0)*(INT($C$5)+1-$C$5)),(+VLOOKUP(INT(D570)+1,Tablas!$G$9:$O$1240,9,0)*(D570-INT(D570))+VLOOKUP(INT(D570),Tablas!$G$9:$O$1240,9,0)*(INT(D570)+1-D570))/(VLOOKUP(INT($C$5)+1,Tablas!$G$9:$O$1240,9,0)*($C$5-INT($C$5))+VLOOKUP(INT($C$5),Tablas!$G$9:$O$124,9,0)*(INT($C$5)+1-$C$5)))</f>
        <v>2.4404078001187806E-4</v>
      </c>
      <c r="G570" s="97">
        <f ca="1">IF($C$4="Hombre",(+VLOOKUP(INT(D570)+1,Tablas!$G$9:$K$1240,5,0)*(D570-INT(D570))+VLOOKUP(INT(D570),Tablas!$G$9:$K$1240,5,0)*(INT(D570)+1-D570)),+VLOOKUP(INT(D570)+1,Tablas!$G$9:$O$1240,9,0)*(D570-INT(D570))+VLOOKUP(INT(D570),Tablas!$G$9:$O$1240,9,0)*(INT(D570)+1-D570))</f>
        <v>225.32721107291496</v>
      </c>
      <c r="H570" s="105">
        <f t="shared" ca="1" si="68"/>
        <v>1</v>
      </c>
      <c r="I570" s="106">
        <f t="shared" ca="1" si="69"/>
        <v>1.0227459163074406E-5</v>
      </c>
      <c r="J570" s="106">
        <f t="shared" ca="1" si="73"/>
        <v>8.7663935683494909E-6</v>
      </c>
      <c r="K570" s="105">
        <f t="shared" ca="1" si="70"/>
        <v>2.4404078001187806E-4</v>
      </c>
      <c r="L570" s="75"/>
    </row>
    <row r="571" spans="2:12">
      <c r="B571" s="101">
        <f t="shared" ca="1" si="71"/>
        <v>69644</v>
      </c>
      <c r="C571" s="101">
        <f t="shared" ca="1" si="72"/>
        <v>69673</v>
      </c>
      <c r="D571" s="102">
        <f t="shared" ca="1" si="67"/>
        <v>113.24845995893224</v>
      </c>
      <c r="E571" s="103">
        <f t="shared" ca="1" si="74"/>
        <v>0.50229112416861821</v>
      </c>
      <c r="F571" s="104">
        <f ca="1">IF($C$4="Hombre",(+VLOOKUP(INT(D571)+1,Tablas!$G$9:$K$1240,5,0)*(D571-INT(D571))+VLOOKUP(INT(D571),Tablas!$G$9:$K$1240,5,0)*(INT(D571)+1-D571))/(VLOOKUP(INT($C$5)+1,Tablas!$G$9:$K$1240,5,0)*($C$5-INT($C$5))+VLOOKUP(INT($C$5),Tablas!$G$9:$K$124,5,0)*(INT($C$5)+1-$C$5)),(+VLOOKUP(INT(D571)+1,Tablas!$G$9:$O$1240,9,0)*(D571-INT(D571))+VLOOKUP(INT(D571),Tablas!$G$9:$O$1240,9,0)*(INT(D571)+1-D571))/(VLOOKUP(INT($C$5)+1,Tablas!$G$9:$O$1240,9,0)*($C$5-INT($C$5))+VLOOKUP(INT($C$5),Tablas!$G$9:$O$124,9,0)*(INT($C$5)+1-$C$5)))</f>
        <v>2.2830399874508768E-4</v>
      </c>
      <c r="G571" s="97">
        <f ca="1">IF($C$4="Hombre",(+VLOOKUP(INT(D571)+1,Tablas!$G$9:$K$1240,5,0)*(D571-INT(D571))+VLOOKUP(INT(D571),Tablas!$G$9:$K$1240,5,0)*(INT(D571)+1-D571)),+VLOOKUP(INT(D571)+1,Tablas!$G$9:$O$1240,9,0)*(D571-INT(D571))+VLOOKUP(INT(D571),Tablas!$G$9:$O$1240,9,0)*(INT(D571)+1-D571))</f>
        <v>210.79715984976372</v>
      </c>
      <c r="H571" s="105">
        <f t="shared" ca="1" si="68"/>
        <v>1</v>
      </c>
      <c r="I571" s="106">
        <f t="shared" ca="1" si="69"/>
        <v>9.5562560151550728E-6</v>
      </c>
      <c r="J571" s="106">
        <f t="shared" ca="1" si="73"/>
        <v>8.1910765844186333E-6</v>
      </c>
      <c r="K571" s="105">
        <f t="shared" ca="1" si="70"/>
        <v>2.2830399874508768E-4</v>
      </c>
      <c r="L571" s="75"/>
    </row>
    <row r="572" spans="2:12">
      <c r="B572" s="101">
        <f t="shared" ca="1" si="71"/>
        <v>69674</v>
      </c>
      <c r="C572" s="101">
        <f t="shared" ca="1" si="72"/>
        <v>69704</v>
      </c>
      <c r="D572" s="102">
        <f t="shared" ca="1" si="67"/>
        <v>113.33333333333333</v>
      </c>
      <c r="E572" s="103">
        <f t="shared" ca="1" si="74"/>
        <v>0.50165680646685507</v>
      </c>
      <c r="F572" s="104">
        <f ca="1">IF($C$4="Hombre",(+VLOOKUP(INT(D572)+1,Tablas!$G$9:$K$1240,5,0)*(D572-INT(D572))+VLOOKUP(INT(D572),Tablas!$G$9:$K$1240,5,0)*(INT(D572)+1-D572))/(VLOOKUP(INT($C$5)+1,Tablas!$G$9:$K$1240,5,0)*($C$5-INT($C$5))+VLOOKUP(INT($C$5),Tablas!$G$9:$K$124,5,0)*(INT($C$5)+1-$C$5)),(+VLOOKUP(INT(D572)+1,Tablas!$G$9:$O$1240,9,0)*(D572-INT(D572))+VLOOKUP(INT(D572),Tablas!$G$9:$O$1240,9,0)*(INT(D572)+1-D572))/(VLOOKUP(INT($C$5)+1,Tablas!$G$9:$O$1240,9,0)*($C$5-INT($C$5))+VLOOKUP(INT($C$5),Tablas!$G$9:$O$124,9,0)*(INT($C$5)+1-$C$5)))</f>
        <v>2.1204265810274123E-4</v>
      </c>
      <c r="G572" s="97">
        <f ca="1">IF($C$4="Hombre",(+VLOOKUP(INT(D572)+1,Tablas!$G$9:$K$1240,5,0)*(D572-INT(D572))+VLOOKUP(INT(D572),Tablas!$G$9:$K$1240,5,0)*(INT(D572)+1-D572)),+VLOOKUP(INT(D572)+1,Tablas!$G$9:$O$1240,9,0)*(D572-INT(D572))+VLOOKUP(INT(D572),Tablas!$G$9:$O$1240,9,0)*(INT(D572)+1-D572))</f>
        <v>195.78277358584413</v>
      </c>
      <c r="H572" s="105">
        <f t="shared" ca="1" si="68"/>
        <v>1</v>
      </c>
      <c r="I572" s="106">
        <f t="shared" ca="1" si="69"/>
        <v>8.8643868915470302E-6</v>
      </c>
      <c r="J572" s="106">
        <f t="shared" ca="1" si="73"/>
        <v>7.5980459070403117E-6</v>
      </c>
      <c r="K572" s="105">
        <f t="shared" ca="1" si="70"/>
        <v>2.1204265810274123E-4</v>
      </c>
      <c r="L572" s="75"/>
    </row>
    <row r="573" spans="2:12">
      <c r="B573" s="101">
        <f t="shared" ca="1" si="71"/>
        <v>69705</v>
      </c>
      <c r="C573" s="101">
        <f t="shared" ca="1" si="72"/>
        <v>69734</v>
      </c>
      <c r="D573" s="102">
        <f t="shared" ca="1" si="67"/>
        <v>113.4154688569473</v>
      </c>
      <c r="E573" s="103">
        <f t="shared" ca="1" si="74"/>
        <v>0.50104371334051989</v>
      </c>
      <c r="F573" s="104">
        <f ca="1">IF($C$4="Hombre",(+VLOOKUP(INT(D573)+1,Tablas!$G$9:$K$1240,5,0)*(D573-INT(D573))+VLOOKUP(INT(D573),Tablas!$G$9:$K$1240,5,0)*(INT(D573)+1-D573))/(VLOOKUP(INT($C$5)+1,Tablas!$G$9:$K$1240,5,0)*($C$5-INT($C$5))+VLOOKUP(INT($C$5),Tablas!$G$9:$K$124,5,0)*(INT($C$5)+1-$C$5)),(+VLOOKUP(INT(D573)+1,Tablas!$G$9:$O$1240,9,0)*(D573-INT(D573))+VLOOKUP(INT(D573),Tablas!$G$9:$O$1240,9,0)*(INT(D573)+1-D573))/(VLOOKUP(INT($C$5)+1,Tablas!$G$9:$O$1240,9,0)*($C$5-INT($C$5))+VLOOKUP(INT($C$5),Tablas!$G$9:$O$124,9,0)*(INT($C$5)+1-$C$5)))</f>
        <v>1.9630587683595082E-4</v>
      </c>
      <c r="G573" s="97">
        <f ca="1">IF($C$4="Hombre",(+VLOOKUP(INT(D573)+1,Tablas!$G$9:$K$1240,5,0)*(D573-INT(D573))+VLOOKUP(INT(D573),Tablas!$G$9:$K$1240,5,0)*(INT(D573)+1-D573)),+VLOOKUP(INT(D573)+1,Tablas!$G$9:$O$1240,9,0)*(D573-INT(D573))+VLOOKUP(INT(D573),Tablas!$G$9:$O$1240,9,0)*(INT(D573)+1-D573))</f>
        <v>181.25272236269285</v>
      </c>
      <c r="H573" s="105">
        <f t="shared" ca="1" si="68"/>
        <v>1</v>
      </c>
      <c r="I573" s="106">
        <f t="shared" ca="1" si="69"/>
        <v>8.196485456704296E-6</v>
      </c>
      <c r="J573" s="106">
        <f t="shared" ca="1" si="73"/>
        <v>1.4051117925778793E-5</v>
      </c>
      <c r="K573" s="105">
        <f t="shared" ca="1" si="70"/>
        <v>1.9630587683595082E-4</v>
      </c>
      <c r="L573" s="75"/>
    </row>
    <row r="574" spans="2:12">
      <c r="B574" s="101">
        <f t="shared" ca="1" si="71"/>
        <v>69735</v>
      </c>
      <c r="C574" s="101">
        <f t="shared" ca="1" si="72"/>
        <v>69765</v>
      </c>
      <c r="D574" s="102">
        <f t="shared" ca="1" si="67"/>
        <v>113.5003422313484</v>
      </c>
      <c r="E574" s="103">
        <f t="shared" ca="1" si="74"/>
        <v>0.5004109709299206</v>
      </c>
      <c r="F574" s="104">
        <f ca="1">IF($C$4="Hombre",(+VLOOKUP(INT(D574)+1,Tablas!$G$9:$K$1240,5,0)*(D574-INT(D574))+VLOOKUP(INT(D574),Tablas!$G$9:$K$1240,5,0)*(INT(D574)+1-D574))/(VLOOKUP(INT($C$5)+1,Tablas!$G$9:$K$1240,5,0)*($C$5-INT($C$5))+VLOOKUP(INT($C$5),Tablas!$G$9:$K$124,5,0)*(INT($C$5)+1-$C$5)),(+VLOOKUP(INT(D574)+1,Tablas!$G$9:$O$1240,9,0)*(D574-INT(D574))+VLOOKUP(INT(D574),Tablas!$G$9:$O$1240,9,0)*(INT(D574)+1-D574))/(VLOOKUP(INT($C$5)+1,Tablas!$G$9:$O$1240,9,0)*($C$5-INT($C$5))+VLOOKUP(INT($C$5),Tablas!$G$9:$O$124,9,0)*(INT($C$5)+1-$C$5)))</f>
        <v>1.8004453619360164E-4</v>
      </c>
      <c r="G574" s="97">
        <f ca="1">IF($C$4="Hombre",(+VLOOKUP(INT(D574)+1,Tablas!$G$9:$K$1240,5,0)*(D574-INT(D574))+VLOOKUP(INT(D574),Tablas!$G$9:$K$1240,5,0)*(INT(D574)+1-D574)),+VLOOKUP(INT(D574)+1,Tablas!$G$9:$O$1240,9,0)*(D574-INT(D574))+VLOOKUP(INT(D574),Tablas!$G$9:$O$1240,9,0)*(INT(D574)+1-D574))</f>
        <v>166.23833609877073</v>
      </c>
      <c r="H574" s="105">
        <f t="shared" ca="1" si="68"/>
        <v>1</v>
      </c>
      <c r="I574" s="106">
        <f t="shared" ca="1" si="69"/>
        <v>7.5080217639389515E-6</v>
      </c>
      <c r="J574" s="106">
        <f t="shared" ca="1" si="73"/>
        <v>6.4354472262333866E-6</v>
      </c>
      <c r="K574" s="105">
        <f t="shared" ca="1" si="70"/>
        <v>1.8004453619360164E-4</v>
      </c>
      <c r="L574" s="75"/>
    </row>
    <row r="575" spans="2:12">
      <c r="B575" s="101">
        <f t="shared" ca="1" si="71"/>
        <v>69766</v>
      </c>
      <c r="C575" s="101">
        <f t="shared" ca="1" si="72"/>
        <v>69796</v>
      </c>
      <c r="D575" s="102">
        <f t="shared" ca="1" si="67"/>
        <v>113.58521560574948</v>
      </c>
      <c r="E575" s="103">
        <f t="shared" ca="1" si="74"/>
        <v>0.49977902757726278</v>
      </c>
      <c r="F575" s="104">
        <f ca="1">IF($C$4="Hombre",(+VLOOKUP(INT(D575)+1,Tablas!$G$9:$K$1240,5,0)*(D575-INT(D575))+VLOOKUP(INT(D575),Tablas!$G$9:$K$1240,5,0)*(INT(D575)+1-D575))/(VLOOKUP(INT($C$5)+1,Tablas!$G$9:$K$1240,5,0)*($C$5-INT($C$5))+VLOOKUP(INT($C$5),Tablas!$G$9:$K$124,5,0)*(INT($C$5)+1-$C$5)),(+VLOOKUP(INT(D575)+1,Tablas!$G$9:$O$1240,9,0)*(D575-INT(D575))+VLOOKUP(INT(D575),Tablas!$G$9:$O$1240,9,0)*(INT(D575)+1-D575))/(VLOOKUP(INT($C$5)+1,Tablas!$G$9:$O$1240,9,0)*($C$5-INT($C$5))+VLOOKUP(INT($C$5),Tablas!$G$9:$O$124,9,0)*(INT($C$5)+1-$C$5)))</f>
        <v>1.6378319555125523E-4</v>
      </c>
      <c r="G575" s="97">
        <f ca="1">IF($C$4="Hombre",(+VLOOKUP(INT(D575)+1,Tablas!$G$9:$K$1240,5,0)*(D575-INT(D575))+VLOOKUP(INT(D575),Tablas!$G$9:$K$1240,5,0)*(INT(D575)+1-D575)),+VLOOKUP(INT(D575)+1,Tablas!$G$9:$O$1240,9,0)*(D575-INT(D575))+VLOOKUP(INT(D575),Tablas!$G$9:$O$1240,9,0)*(INT(D575)+1-D575))</f>
        <v>151.22394983485114</v>
      </c>
      <c r="H575" s="105">
        <f t="shared" ca="1" si="68"/>
        <v>1</v>
      </c>
      <c r="I575" s="106">
        <f t="shared" ca="1" si="69"/>
        <v>6.8212838505085839E-6</v>
      </c>
      <c r="J575" s="106">
        <f t="shared" ca="1" si="73"/>
        <v>5.8468147290073582E-6</v>
      </c>
      <c r="K575" s="105">
        <f t="shared" ca="1" si="70"/>
        <v>1.6378319555125523E-4</v>
      </c>
      <c r="L575" s="75"/>
    </row>
    <row r="576" spans="2:12">
      <c r="B576" s="101">
        <f t="shared" ca="1" si="71"/>
        <v>69797</v>
      </c>
      <c r="C576" s="101">
        <f t="shared" ca="1" si="72"/>
        <v>69824</v>
      </c>
      <c r="D576" s="102">
        <f t="shared" ca="1" si="67"/>
        <v>113.66187542778918</v>
      </c>
      <c r="E576" s="103">
        <f t="shared" ca="1" si="74"/>
        <v>0.49920892600089195</v>
      </c>
      <c r="F576" s="104">
        <f ca="1">IF($C$4="Hombre",(+VLOOKUP(INT(D576)+1,Tablas!$G$9:$K$1240,5,0)*(D576-INT(D576))+VLOOKUP(INT(D576),Tablas!$G$9:$K$1240,5,0)*(INT(D576)+1-D576))/(VLOOKUP(INT($C$5)+1,Tablas!$G$9:$K$1240,5,0)*($C$5-INT($C$5))+VLOOKUP(INT($C$5),Tablas!$G$9:$K$124,5,0)*(INT($C$5)+1-$C$5)),(+VLOOKUP(INT(D576)+1,Tablas!$G$9:$O$1240,9,0)*(D576-INT(D576))+VLOOKUP(INT(D576),Tablas!$G$9:$O$1240,9,0)*(INT(D576)+1-D576))/(VLOOKUP(INT($C$5)+1,Tablas!$G$9:$O$1240,9,0)*($C$5-INT($C$5))+VLOOKUP(INT($C$5),Tablas!$G$9:$O$124,9,0)*(INT($C$5)+1-$C$5)))</f>
        <v>1.4909553303558509E-4</v>
      </c>
      <c r="G576" s="97">
        <f ca="1">IF($C$4="Hombre",(+VLOOKUP(INT(D576)+1,Tablas!$G$9:$K$1240,5,0)*(D576-INT(D576))+VLOOKUP(INT(D576),Tablas!$G$9:$K$1240,5,0)*(INT(D576)+1-D576)),+VLOOKUP(INT(D576)+1,Tablas!$G$9:$O$1240,9,0)*(D576-INT(D576))+VLOOKUP(INT(D576),Tablas!$G$9:$O$1240,9,0)*(INT(D576)+1-D576))</f>
        <v>137.66256869324414</v>
      </c>
      <c r="H576" s="105">
        <f t="shared" ca="1" si="68"/>
        <v>1</v>
      </c>
      <c r="I576" s="106">
        <f t="shared" ca="1" si="69"/>
        <v>6.2024850765187441E-6</v>
      </c>
      <c r="J576" s="106">
        <f t="shared" ca="1" si="73"/>
        <v>5.3164157798732099E-6</v>
      </c>
      <c r="K576" s="105">
        <f t="shared" ca="1" si="70"/>
        <v>1.4909553303558509E-4</v>
      </c>
      <c r="L576" s="75"/>
    </row>
    <row r="577" spans="2:12">
      <c r="B577" s="101">
        <f t="shared" ca="1" si="71"/>
        <v>69825</v>
      </c>
      <c r="C577" s="101">
        <f t="shared" ca="1" si="72"/>
        <v>69855</v>
      </c>
      <c r="D577" s="102">
        <f t="shared" ca="1" si="67"/>
        <v>113.74674880219028</v>
      </c>
      <c r="E577" s="103">
        <f t="shared" ca="1" si="74"/>
        <v>0.49857850064913062</v>
      </c>
      <c r="F577" s="104">
        <f ca="1">IF($C$4="Hombre",(+VLOOKUP(INT(D577)+1,Tablas!$G$9:$K$1240,5,0)*(D577-INT(D577))+VLOOKUP(INT(D577),Tablas!$G$9:$K$1240,5,0)*(INT(D577)+1-D577))/(VLOOKUP(INT($C$5)+1,Tablas!$G$9:$K$1240,5,0)*($C$5-INT($C$5))+VLOOKUP(INT($C$5),Tablas!$G$9:$K$124,5,0)*(INT($C$5)+1-$C$5)),(+VLOOKUP(INT(D577)+1,Tablas!$G$9:$O$1240,9,0)*(D577-INT(D577))+VLOOKUP(INT(D577),Tablas!$G$9:$O$1240,9,0)*(INT(D577)+1-D577))/(VLOOKUP(INT($C$5)+1,Tablas!$G$9:$O$1240,9,0)*($C$5-INT($C$5))+VLOOKUP(INT($C$5),Tablas!$G$9:$O$124,9,0)*(INT($C$5)+1-$C$5)))</f>
        <v>1.3283419239323594E-4</v>
      </c>
      <c r="G577" s="97">
        <f ca="1">IF($C$4="Hombre",(+VLOOKUP(INT(D577)+1,Tablas!$G$9:$K$1240,5,0)*(D577-INT(D577))+VLOOKUP(INT(D577),Tablas!$G$9:$K$1240,5,0)*(INT(D577)+1-D577)),+VLOOKUP(INT(D577)+1,Tablas!$G$9:$O$1240,9,0)*(D577-INT(D577))+VLOOKUP(INT(D577),Tablas!$G$9:$O$1240,9,0)*(INT(D577)+1-D577))</f>
        <v>122.64818242932203</v>
      </c>
      <c r="H577" s="105">
        <f t="shared" ca="1" si="68"/>
        <v>1</v>
      </c>
      <c r="I577" s="106">
        <f t="shared" ca="1" si="69"/>
        <v>5.5190227065298106E-6</v>
      </c>
      <c r="J577" s="106">
        <f t="shared" ca="1" si="73"/>
        <v>4.7305908913112661E-6</v>
      </c>
      <c r="K577" s="105">
        <f t="shared" ca="1" si="70"/>
        <v>1.3283419239323594E-4</v>
      </c>
      <c r="L577" s="75"/>
    </row>
    <row r="578" spans="2:12">
      <c r="B578" s="101">
        <f t="shared" ca="1" si="71"/>
        <v>69856</v>
      </c>
      <c r="C578" s="101">
        <f t="shared" ca="1" si="72"/>
        <v>69885</v>
      </c>
      <c r="D578" s="102">
        <f t="shared" ca="1" si="67"/>
        <v>113.82888432580424</v>
      </c>
      <c r="E578" s="103">
        <f t="shared" ca="1" si="74"/>
        <v>0.49796916963289412</v>
      </c>
      <c r="F578" s="104">
        <f ca="1">IF($C$4="Hombre",(+VLOOKUP(INT(D578)+1,Tablas!$G$9:$K$1240,5,0)*(D578-INT(D578))+VLOOKUP(INT(D578),Tablas!$G$9:$K$1240,5,0)*(INT(D578)+1-D578))/(VLOOKUP(INT($C$5)+1,Tablas!$G$9:$K$1240,5,0)*($C$5-INT($C$5))+VLOOKUP(INT($C$5),Tablas!$G$9:$K$124,5,0)*(INT($C$5)+1-$C$5)),(+VLOOKUP(INT(D578)+1,Tablas!$G$9:$O$1240,9,0)*(D578-INT(D578))+VLOOKUP(INT(D578),Tablas!$G$9:$O$1240,9,0)*(INT(D578)+1-D578))/(VLOOKUP(INT($C$5)+1,Tablas!$G$9:$O$1240,9,0)*($C$5-INT($C$5))+VLOOKUP(INT($C$5),Tablas!$G$9:$O$124,9,0)*(INT($C$5)+1-$C$5)))</f>
        <v>1.1709741112644825E-4</v>
      </c>
      <c r="G578" s="97">
        <f ca="1">IF($C$4="Hombre",(+VLOOKUP(INT(D578)+1,Tablas!$G$9:$K$1240,5,0)*(D578-INT(D578))+VLOOKUP(INT(D578),Tablas!$G$9:$K$1240,5,0)*(INT(D578)+1-D578)),+VLOOKUP(INT(D578)+1,Tablas!$G$9:$O$1240,9,0)*(D578-INT(D578))+VLOOKUP(INT(D578),Tablas!$G$9:$O$1240,9,0)*(INT(D578)+1-D578))</f>
        <v>108.1181312061733</v>
      </c>
      <c r="H578" s="105">
        <f t="shared" ca="1" si="68"/>
        <v>1</v>
      </c>
      <c r="I578" s="106">
        <f t="shared" ca="1" si="69"/>
        <v>4.8592417153999205E-6</v>
      </c>
      <c r="J578" s="106">
        <f t="shared" ca="1" si="73"/>
        <v>4.1650643274856464E-6</v>
      </c>
      <c r="K578" s="105">
        <f t="shared" ca="1" si="70"/>
        <v>1.1709741112644825E-4</v>
      </c>
      <c r="L578" s="75"/>
    </row>
    <row r="579" spans="2:12">
      <c r="B579" s="101">
        <f t="shared" ca="1" si="71"/>
        <v>69886</v>
      </c>
      <c r="C579" s="101">
        <f t="shared" ca="1" si="72"/>
        <v>69916</v>
      </c>
      <c r="D579" s="102">
        <f t="shared" ca="1" si="67"/>
        <v>113.91375770020534</v>
      </c>
      <c r="E579" s="103">
        <f t="shared" ca="1" si="74"/>
        <v>0.49734030990587158</v>
      </c>
      <c r="F579" s="104">
        <f ca="1">IF($C$4="Hombre",(+VLOOKUP(INT(D579)+1,Tablas!$G$9:$K$1240,5,0)*(D579-INT(D579))+VLOOKUP(INT(D579),Tablas!$G$9:$K$1240,5,0)*(INT(D579)+1-D579))/(VLOOKUP(INT($C$5)+1,Tablas!$G$9:$K$1240,5,0)*($C$5-INT($C$5))+VLOOKUP(INT($C$5),Tablas!$G$9:$K$124,5,0)*(INT($C$5)+1-$C$5)),(+VLOOKUP(INT(D579)+1,Tablas!$G$9:$O$1240,9,0)*(D579-INT(D579))+VLOOKUP(INT(D579),Tablas!$G$9:$O$1240,9,0)*(INT(D579)+1-D579))/(VLOOKUP(INT($C$5)+1,Tablas!$G$9:$O$1240,9,0)*($C$5-INT($C$5))+VLOOKUP(INT($C$5),Tablas!$G$9:$O$124,9,0)*(INT($C$5)+1-$C$5)))</f>
        <v>1.0083607048409909E-4</v>
      </c>
      <c r="G579" s="97">
        <f ca="1">IF($C$4="Hombre",(+VLOOKUP(INT(D579)+1,Tablas!$G$9:$K$1240,5,0)*(D579-INT(D579))+VLOOKUP(INT(D579),Tablas!$G$9:$K$1240,5,0)*(INT(D579)+1-D579)),+VLOOKUP(INT(D579)+1,Tablas!$G$9:$O$1240,9,0)*(D579-INT(D579))+VLOOKUP(INT(D579),Tablas!$G$9:$O$1240,9,0)*(INT(D579)+1-D579))</f>
        <v>93.103744942251183</v>
      </c>
      <c r="H579" s="105">
        <f t="shared" ca="1" si="68"/>
        <v>1</v>
      </c>
      <c r="I579" s="106">
        <f t="shared" ca="1" si="69"/>
        <v>4.1791535453543462E-6</v>
      </c>
      <c r="J579" s="106">
        <f t="shared" ca="1" si="73"/>
        <v>7.1642632206074498E-6</v>
      </c>
      <c r="K579" s="105">
        <f t="shared" ca="1" si="70"/>
        <v>1.0083607048409909E-4</v>
      </c>
      <c r="L579" s="75"/>
    </row>
    <row r="580" spans="2:12">
      <c r="B580" s="101">
        <f t="shared" ca="1" si="71"/>
        <v>69917</v>
      </c>
      <c r="C580" s="101">
        <f t="shared" ca="1" si="72"/>
        <v>69946</v>
      </c>
      <c r="D580" s="102">
        <f t="shared" ca="1" si="67"/>
        <v>113.99589322381931</v>
      </c>
      <c r="E580" s="103">
        <f t="shared" ca="1" si="74"/>
        <v>0.49673249212781695</v>
      </c>
      <c r="F580" s="104">
        <f ca="1">IF($C$4="Hombre",(+VLOOKUP(INT(D580)+1,Tablas!$G$9:$K$1240,5,0)*(D580-INT(D580))+VLOOKUP(INT(D580),Tablas!$G$9:$K$1240,5,0)*(INT(D580)+1-D580))/(VLOOKUP(INT($C$5)+1,Tablas!$G$9:$K$1240,5,0)*($C$5-INT($C$5))+VLOOKUP(INT($C$5),Tablas!$G$9:$K$124,5,0)*(INT($C$5)+1-$C$5)),(+VLOOKUP(INT(D580)+1,Tablas!$G$9:$O$1240,9,0)*(D580-INT(D580))+VLOOKUP(INT(D580),Tablas!$G$9:$O$1240,9,0)*(INT(D580)+1-D580))/(VLOOKUP(INT($C$5)+1,Tablas!$G$9:$O$1240,9,0)*($C$5-INT($C$5))+VLOOKUP(INT($C$5),Tablas!$G$9:$O$124,9,0)*(INT($C$5)+1-$C$5)))</f>
        <v>8.5099289217308691E-5</v>
      </c>
      <c r="G580" s="97">
        <f ca="1">IF($C$4="Hombre",(+VLOOKUP(INT(D580)+1,Tablas!$G$9:$K$1240,5,0)*(D580-INT(D580))+VLOOKUP(INT(D580),Tablas!$G$9:$K$1240,5,0)*(INT(D580)+1-D580)),+VLOOKUP(INT(D580)+1,Tablas!$G$9:$O$1240,9,0)*(D580-INT(D580))+VLOOKUP(INT(D580),Tablas!$G$9:$O$1240,9,0)*(INT(D580)+1-D580))</f>
        <v>78.573693719099936</v>
      </c>
      <c r="H580" s="105">
        <f t="shared" ca="1" si="68"/>
        <v>1</v>
      </c>
      <c r="I580" s="106">
        <f t="shared" ca="1" si="69"/>
        <v>3.5226318342683002E-6</v>
      </c>
      <c r="J580" s="106">
        <f t="shared" ca="1" si="73"/>
        <v>3.0193987150871143E-6</v>
      </c>
      <c r="K580" s="105">
        <f t="shared" ca="1" si="70"/>
        <v>8.5099289217308691E-5</v>
      </c>
      <c r="L580" s="75"/>
    </row>
    <row r="581" spans="2:12">
      <c r="B581" s="101">
        <f t="shared" ca="1" si="71"/>
        <v>69947</v>
      </c>
      <c r="C581" s="101">
        <f t="shared" ca="1" si="72"/>
        <v>69977</v>
      </c>
      <c r="D581" s="102">
        <f t="shared" ca="1" si="67"/>
        <v>114.08076659822039</v>
      </c>
      <c r="E581" s="103">
        <f t="shared" ca="1" si="74"/>
        <v>0.49610519413739534</v>
      </c>
      <c r="F581" s="104">
        <f ca="1">IF($C$4="Hombre",(+VLOOKUP(INT(D581)+1,Tablas!$G$9:$K$1240,5,0)*(D581-INT(D581))+VLOOKUP(INT(D581),Tablas!$G$9:$K$1240,5,0)*(INT(D581)+1-D581))/(VLOOKUP(INT($C$5)+1,Tablas!$G$9:$K$1240,5,0)*($C$5-INT($C$5))+VLOOKUP(INT($C$5),Tablas!$G$9:$K$124,5,0)*(INT($C$5)+1-$C$5)),(+VLOOKUP(INT(D581)+1,Tablas!$G$9:$O$1240,9,0)*(D581-INT(D581))+VLOOKUP(INT(D581),Tablas!$G$9:$O$1240,9,0)*(INT(D581)+1-D581))/(VLOOKUP(INT($C$5)+1,Tablas!$G$9:$O$1240,9,0)*($C$5-INT($C$5))+VLOOKUP(INT($C$5),Tablas!$G$9:$O$124,9,0)*(INT($C$5)+1-$C$5)))</f>
        <v>7.9141855715652058E-5</v>
      </c>
      <c r="G581" s="97">
        <f ca="1">IF($C$4="Hombre",(+VLOOKUP(INT(D581)+1,Tablas!$G$9:$K$1240,5,0)*(D581-INT(D581))+VLOOKUP(INT(D581),Tablas!$G$9:$K$1240,5,0)*(INT(D581)+1-D581)),+VLOOKUP(INT(D581)+1,Tablas!$G$9:$O$1240,9,0)*(D581-INT(D581))+VLOOKUP(INT(D581),Tablas!$G$9:$O$1240,9,0)*(INT(D581)+1-D581))</f>
        <v>73.073088959455646</v>
      </c>
      <c r="H581" s="105">
        <f t="shared" ca="1" si="68"/>
        <v>1</v>
      </c>
      <c r="I581" s="106">
        <f t="shared" ca="1" si="69"/>
        <v>3.2718904745172745E-6</v>
      </c>
      <c r="J581" s="106">
        <f t="shared" ca="1" si="73"/>
        <v>2.8044775495862355E-6</v>
      </c>
      <c r="K581" s="105">
        <f t="shared" ca="1" si="70"/>
        <v>7.9141855715652058E-5</v>
      </c>
      <c r="L581" s="75"/>
    </row>
    <row r="582" spans="2:12">
      <c r="B582" s="101">
        <f t="shared" ca="1" si="71"/>
        <v>69978</v>
      </c>
      <c r="C582" s="101">
        <f t="shared" ca="1" si="72"/>
        <v>70008</v>
      </c>
      <c r="D582" s="102">
        <f t="shared" ca="1" si="67"/>
        <v>114.16563997262149</v>
      </c>
      <c r="E582" s="103">
        <f t="shared" ca="1" si="74"/>
        <v>0.49547868832943598</v>
      </c>
      <c r="F582" s="104">
        <f ca="1">IF($C$4="Hombre",(+VLOOKUP(INT(D582)+1,Tablas!$G$9:$K$1240,5,0)*(D582-INT(D582))+VLOOKUP(INT(D582),Tablas!$G$9:$K$1240,5,0)*(INT(D582)+1-D582))/(VLOOKUP(INT($C$5)+1,Tablas!$G$9:$K$1240,5,0)*($C$5-INT($C$5))+VLOOKUP(INT($C$5),Tablas!$G$9:$K$124,5,0)*(INT($C$5)+1-$C$5)),(+VLOOKUP(INT(D582)+1,Tablas!$G$9:$O$1240,9,0)*(D582-INT(D582))+VLOOKUP(INT(D582),Tablas!$G$9:$O$1240,9,0)*(INT(D582)+1-D582))/(VLOOKUP(INT($C$5)+1,Tablas!$G$9:$O$1240,9,0)*($C$5-INT($C$5))+VLOOKUP(INT($C$5),Tablas!$G$9:$O$124,9,0)*(INT($C$5)+1-$C$5)))</f>
        <v>7.3708349695723638E-5</v>
      </c>
      <c r="G582" s="97">
        <f ca="1">IF($C$4="Hombre",(+VLOOKUP(INT(D582)+1,Tablas!$G$9:$K$1240,5,0)*(D582-INT(D582))+VLOOKUP(INT(D582),Tablas!$G$9:$K$1240,5,0)*(INT(D582)+1-D582)),+VLOOKUP(INT(D582)+1,Tablas!$G$9:$O$1240,9,0)*(D582-INT(D582))+VLOOKUP(INT(D582),Tablas!$G$9:$O$1240,9,0)*(INT(D582)+1-D582))</f>
        <v>68.056235801722039</v>
      </c>
      <c r="H582" s="105">
        <f t="shared" ca="1" si="68"/>
        <v>1</v>
      </c>
      <c r="I582" s="106">
        <f t="shared" ca="1" si="69"/>
        <v>3.0434097021803771E-6</v>
      </c>
      <c r="J582" s="106">
        <f t="shared" ca="1" si="73"/>
        <v>2.6086368875831805E-6</v>
      </c>
      <c r="K582" s="105">
        <f t="shared" ca="1" si="70"/>
        <v>7.3708349695723638E-5</v>
      </c>
      <c r="L582" s="75"/>
    </row>
    <row r="583" spans="2:12">
      <c r="B583" s="101">
        <f t="shared" ca="1" si="71"/>
        <v>70009</v>
      </c>
      <c r="C583" s="101">
        <f t="shared" ca="1" si="72"/>
        <v>70038</v>
      </c>
      <c r="D583" s="102">
        <f t="shared" ca="1" si="67"/>
        <v>114.24777549623545</v>
      </c>
      <c r="E583" s="103">
        <f t="shared" ca="1" si="74"/>
        <v>0.49487314570718044</v>
      </c>
      <c r="F583" s="104">
        <f ca="1">IF($C$4="Hombre",(+VLOOKUP(INT(D583)+1,Tablas!$G$9:$K$1240,5,0)*(D583-INT(D583))+VLOOKUP(INT(D583),Tablas!$G$9:$K$1240,5,0)*(INT(D583)+1-D583))/(VLOOKUP(INT($C$5)+1,Tablas!$G$9:$K$1240,5,0)*($C$5-INT($C$5))+VLOOKUP(INT($C$5),Tablas!$G$9:$K$124,5,0)*(INT($C$5)+1-$C$5)),(+VLOOKUP(INT(D583)+1,Tablas!$G$9:$O$1240,9,0)*(D583-INT(D583))+VLOOKUP(INT(D583),Tablas!$G$9:$O$1240,9,0)*(INT(D583)+1-D583))/(VLOOKUP(INT($C$5)+1,Tablas!$G$9:$O$1240,9,0)*($C$5-INT($C$5))+VLOOKUP(INT($C$5),Tablas!$G$9:$O$124,9,0)*(INT($C$5)+1-$C$5)))</f>
        <v>6.845011806353548E-5</v>
      </c>
      <c r="G583" s="97">
        <f ca="1">IF($C$4="Hombre",(+VLOOKUP(INT(D583)+1,Tablas!$G$9:$K$1240,5,0)*(D583-INT(D583))+VLOOKUP(INT(D583),Tablas!$G$9:$K$1240,5,0)*(INT(D583)+1-D583)),+VLOOKUP(INT(D583)+1,Tablas!$G$9:$O$1240,9,0)*(D583-INT(D583))+VLOOKUP(INT(D583),Tablas!$G$9:$O$1240,9,0)*(INT(D583)+1-D583))</f>
        <v>63.201216616819124</v>
      </c>
      <c r="H583" s="105">
        <f t="shared" ca="1" si="68"/>
        <v>1</v>
      </c>
      <c r="I583" s="106">
        <f t="shared" ca="1" si="69"/>
        <v>2.8228437708441412E-6</v>
      </c>
      <c r="J583" s="106">
        <f t="shared" ca="1" si="73"/>
        <v>2.4195803750092637E-6</v>
      </c>
      <c r="K583" s="105">
        <f t="shared" ca="1" si="70"/>
        <v>6.845011806353548E-5</v>
      </c>
      <c r="L583" s="75"/>
    </row>
    <row r="584" spans="2:12">
      <c r="B584" s="101">
        <f t="shared" ca="1" si="71"/>
        <v>70039</v>
      </c>
      <c r="C584" s="101">
        <f t="shared" ca="1" si="72"/>
        <v>70069</v>
      </c>
      <c r="D584" s="102">
        <f t="shared" ca="1" si="67"/>
        <v>114.33264887063655</v>
      </c>
      <c r="E584" s="103">
        <f t="shared" ca="1" si="74"/>
        <v>0.49424819579000062</v>
      </c>
      <c r="F584" s="104">
        <f ca="1">IF($C$4="Hombre",(+VLOOKUP(INT(D584)+1,Tablas!$G$9:$K$1240,5,0)*(D584-INT(D584))+VLOOKUP(INT(D584),Tablas!$G$9:$K$1240,5,0)*(INT(D584)+1-D584))/(VLOOKUP(INT($C$5)+1,Tablas!$G$9:$K$1240,5,0)*($C$5-INT($C$5))+VLOOKUP(INT($C$5),Tablas!$G$9:$K$124,5,0)*(INT($C$5)+1-$C$5)),(+VLOOKUP(INT(D584)+1,Tablas!$G$9:$O$1240,9,0)*(D584-INT(D584))+VLOOKUP(INT(D584),Tablas!$G$9:$O$1240,9,0)*(INT(D584)+1-D584))/(VLOOKUP(INT($C$5)+1,Tablas!$G$9:$O$1240,9,0)*($C$5-INT($C$5))+VLOOKUP(INT($C$5),Tablas!$G$9:$O$124,9,0)*(INT($C$5)+1-$C$5)))</f>
        <v>6.3016612043607088E-5</v>
      </c>
      <c r="G584" s="97">
        <f ca="1">IF($C$4="Hombre",(+VLOOKUP(INT(D584)+1,Tablas!$G$9:$K$1240,5,0)*(D584-INT(D584))+VLOOKUP(INT(D584),Tablas!$G$9:$K$1240,5,0)*(INT(D584)+1-D584)),+VLOOKUP(INT(D584)+1,Tablas!$G$9:$O$1240,9,0)*(D584-INT(D584))+VLOOKUP(INT(D584),Tablas!$G$9:$O$1240,9,0)*(INT(D584)+1-D584))</f>
        <v>58.184363459085532</v>
      </c>
      <c r="H584" s="105">
        <f t="shared" ca="1" si="68"/>
        <v>1</v>
      </c>
      <c r="I584" s="106">
        <f t="shared" ca="1" si="69"/>
        <v>2.5954872339459356E-6</v>
      </c>
      <c r="J584" s="106">
        <f t="shared" ca="1" si="73"/>
        <v>2.2247033433822304E-6</v>
      </c>
      <c r="K584" s="105">
        <f t="shared" ca="1" si="70"/>
        <v>6.3016612043607088E-5</v>
      </c>
      <c r="L584" s="75"/>
    </row>
    <row r="585" spans="2:12">
      <c r="B585" s="101">
        <f t="shared" ca="1" si="71"/>
        <v>70070</v>
      </c>
      <c r="C585" s="101">
        <f t="shared" ca="1" si="72"/>
        <v>70099</v>
      </c>
      <c r="D585" s="102">
        <f t="shared" ca="1" si="67"/>
        <v>114.41478439425052</v>
      </c>
      <c r="E585" s="103">
        <f t="shared" ca="1" si="74"/>
        <v>0.49364415699767061</v>
      </c>
      <c r="F585" s="104">
        <f ca="1">IF($C$4="Hombre",(+VLOOKUP(INT(D585)+1,Tablas!$G$9:$K$1240,5,0)*(D585-INT(D585))+VLOOKUP(INT(D585),Tablas!$G$9:$K$1240,5,0)*(INT(D585)+1-D585))/(VLOOKUP(INT($C$5)+1,Tablas!$G$9:$K$1240,5,0)*($C$5-INT($C$5))+VLOOKUP(INT($C$5),Tablas!$G$9:$K$124,5,0)*(INT($C$5)+1-$C$5)),(+VLOOKUP(INT(D585)+1,Tablas!$G$9:$O$1240,9,0)*(D585-INT(D585))+VLOOKUP(INT(D585),Tablas!$G$9:$O$1240,9,0)*(INT(D585)+1-D585))/(VLOOKUP(INT($C$5)+1,Tablas!$G$9:$O$1240,9,0)*($C$5-INT($C$5))+VLOOKUP(INT($C$5),Tablas!$G$9:$O$124,9,0)*(INT($C$5)+1-$C$5)))</f>
        <v>5.7758380411418029E-5</v>
      </c>
      <c r="G585" s="97">
        <f ca="1">IF($C$4="Hombre",(+VLOOKUP(INT(D585)+1,Tablas!$G$9:$K$1240,5,0)*(D585-INT(D585))+VLOOKUP(INT(D585),Tablas!$G$9:$K$1240,5,0)*(INT(D585)+1-D585)),+VLOOKUP(INT(D585)+1,Tablas!$G$9:$O$1240,9,0)*(D585-INT(D585))+VLOOKUP(INT(D585),Tablas!$G$9:$O$1240,9,0)*(INT(D585)+1-D585))</f>
        <v>53.329344274181786</v>
      </c>
      <c r="H585" s="105">
        <f t="shared" ca="1" si="68"/>
        <v>1</v>
      </c>
      <c r="I585" s="106">
        <f t="shared" ca="1" si="69"/>
        <v>2.3760072506454353E-6</v>
      </c>
      <c r="J585" s="106">
        <f t="shared" ca="1" si="73"/>
        <v>4.0731552868207462E-6</v>
      </c>
      <c r="K585" s="105">
        <f t="shared" ca="1" si="70"/>
        <v>5.7758380411418029E-5</v>
      </c>
      <c r="L585" s="75"/>
    </row>
    <row r="586" spans="2:12">
      <c r="B586" s="101">
        <f t="shared" ca="1" si="71"/>
        <v>70100</v>
      </c>
      <c r="C586" s="101">
        <f t="shared" ca="1" si="72"/>
        <v>70130</v>
      </c>
      <c r="D586" s="102">
        <f t="shared" ca="1" si="67"/>
        <v>114.4996577686516</v>
      </c>
      <c r="E586" s="103">
        <f t="shared" ca="1" si="74"/>
        <v>0.49302075910730603</v>
      </c>
      <c r="F586" s="104">
        <f ca="1">IF($C$4="Hombre",(+VLOOKUP(INT(D586)+1,Tablas!$G$9:$K$1240,5,0)*(D586-INT(D586))+VLOOKUP(INT(D586),Tablas!$G$9:$K$1240,5,0)*(INT(D586)+1-D586))/(VLOOKUP(INT($C$5)+1,Tablas!$G$9:$K$1240,5,0)*($C$5-INT($C$5))+VLOOKUP(INT($C$5),Tablas!$G$9:$K$124,5,0)*(INT($C$5)+1-$C$5)),(+VLOOKUP(INT(D586)+1,Tablas!$G$9:$O$1240,9,0)*(D586-INT(D586))+VLOOKUP(INT(D586),Tablas!$G$9:$O$1240,9,0)*(INT(D586)+1-D586))/(VLOOKUP(INT($C$5)+1,Tablas!$G$9:$O$1240,9,0)*($C$5-INT($C$5))+VLOOKUP(INT($C$5),Tablas!$G$9:$O$124,9,0)*(INT($C$5)+1-$C$5)))</f>
        <v>5.2324874391490531E-5</v>
      </c>
      <c r="G586" s="97">
        <f ca="1">IF($C$4="Hombre",(+VLOOKUP(INT(D586)+1,Tablas!$G$9:$K$1240,5,0)*(D586-INT(D586))+VLOOKUP(INT(D586),Tablas!$G$9:$K$1240,5,0)*(INT(D586)+1-D586)),+VLOOKUP(INT(D586)+1,Tablas!$G$9:$O$1240,9,0)*(D586-INT(D586))+VLOOKUP(INT(D586),Tablas!$G$9:$O$1240,9,0)*(INT(D586)+1-D586))</f>
        <v>48.312491116449024</v>
      </c>
      <c r="H586" s="105">
        <f t="shared" ca="1" si="68"/>
        <v>1</v>
      </c>
      <c r="I586" s="106">
        <f t="shared" ca="1" si="69"/>
        <v>2.1497707743905913E-6</v>
      </c>
      <c r="J586" s="106">
        <f t="shared" ca="1" si="73"/>
        <v>1.842660663763364E-6</v>
      </c>
      <c r="K586" s="105">
        <f t="shared" ca="1" si="70"/>
        <v>5.2324874391490531E-5</v>
      </c>
      <c r="L586" s="75"/>
    </row>
    <row r="587" spans="2:12">
      <c r="B587" s="101">
        <f t="shared" ca="1" si="71"/>
        <v>70131</v>
      </c>
      <c r="C587" s="101">
        <f t="shared" ca="1" si="72"/>
        <v>70161</v>
      </c>
      <c r="D587" s="102">
        <f t="shared" ca="1" si="67"/>
        <v>114.5845311430527</v>
      </c>
      <c r="E587" s="103">
        <f t="shared" ca="1" si="74"/>
        <v>0.49239814847416735</v>
      </c>
      <c r="F587" s="104">
        <f ca="1">IF($C$4="Hombre",(+VLOOKUP(INT(D587)+1,Tablas!$G$9:$K$1240,5,0)*(D587-INT(D587))+VLOOKUP(INT(D587),Tablas!$G$9:$K$1240,5,0)*(INT(D587)+1-D587))/(VLOOKUP(INT($C$5)+1,Tablas!$G$9:$K$1240,5,0)*($C$5-INT($C$5))+VLOOKUP(INT($C$5),Tablas!$G$9:$K$124,5,0)*(INT($C$5)+1-$C$5)),(+VLOOKUP(INT(D587)+1,Tablas!$G$9:$O$1240,9,0)*(D587-INT(D587))+VLOOKUP(INT(D587),Tablas!$G$9:$O$1240,9,0)*(INT(D587)+1-D587))/(VLOOKUP(INT($C$5)+1,Tablas!$G$9:$O$1240,9,0)*($C$5-INT($C$5))+VLOOKUP(INT($C$5),Tablas!$G$9:$O$124,9,0)*(INT($C$5)+1-$C$5)))</f>
        <v>4.6891368371562138E-5</v>
      </c>
      <c r="G587" s="97">
        <f ca="1">IF($C$4="Hombre",(+VLOOKUP(INT(D587)+1,Tablas!$G$9:$K$1240,5,0)*(D587-INT(D587))+VLOOKUP(INT(D587),Tablas!$G$9:$K$1240,5,0)*(INT(D587)+1-D587)),+VLOOKUP(INT(D587)+1,Tablas!$G$9:$O$1240,9,0)*(D587-INT(D587))+VLOOKUP(INT(D587),Tablas!$G$9:$O$1240,9,0)*(INT(D587)+1-D587))</f>
        <v>43.295637958715432</v>
      </c>
      <c r="H587" s="105">
        <f t="shared" ca="1" si="68"/>
        <v>1</v>
      </c>
      <c r="I587" s="106">
        <f t="shared" ca="1" si="69"/>
        <v>1.9241019137981104E-6</v>
      </c>
      <c r="J587" s="106">
        <f t="shared" ca="1" si="73"/>
        <v>1.6492302118269517E-6</v>
      </c>
      <c r="K587" s="105">
        <f t="shared" ca="1" si="70"/>
        <v>4.6891368371562138E-5</v>
      </c>
      <c r="L587" s="75"/>
    </row>
    <row r="588" spans="2:12">
      <c r="B588" s="101">
        <f t="shared" ca="1" si="71"/>
        <v>70162</v>
      </c>
      <c r="C588" s="101">
        <f t="shared" ca="1" si="72"/>
        <v>70190</v>
      </c>
      <c r="D588" s="102">
        <f t="shared" ca="1" si="67"/>
        <v>114.66392881587953</v>
      </c>
      <c r="E588" s="103">
        <f t="shared" ca="1" si="74"/>
        <v>0.49181641809772225</v>
      </c>
      <c r="F588" s="104">
        <f ca="1">IF($C$4="Hombre",(+VLOOKUP(INT(D588)+1,Tablas!$G$9:$K$1240,5,0)*(D588-INT(D588))+VLOOKUP(INT(D588),Tablas!$G$9:$K$1240,5,0)*(INT(D588)+1-D588))/(VLOOKUP(INT($C$5)+1,Tablas!$G$9:$K$1240,5,0)*($C$5-INT($C$5))+VLOOKUP(INT($C$5),Tablas!$G$9:$K$124,5,0)*(INT($C$5)+1-$C$5)),(+VLOOKUP(INT(D588)+1,Tablas!$G$9:$O$1240,9,0)*(D588-INT(D588))+VLOOKUP(INT(D588),Tablas!$G$9:$O$1240,9,0)*(INT(D588)+1-D588))/(VLOOKUP(INT($C$5)+1,Tablas!$G$9:$O$1240,9,0)*($C$5-INT($C$5))+VLOOKUP(INT($C$5),Tablas!$G$9:$O$124,9,0)*(INT($C$5)+1-$C$5)))</f>
        <v>4.1808411127113307E-5</v>
      </c>
      <c r="G588" s="97">
        <f ca="1">IF($C$4="Hombre",(+VLOOKUP(INT(D588)+1,Tablas!$G$9:$K$1240,5,0)*(D588-INT(D588))+VLOOKUP(INT(D588),Tablas!$G$9:$K$1240,5,0)*(INT(D588)+1-D588)),+VLOOKUP(INT(D588)+1,Tablas!$G$9:$O$1240,9,0)*(D588-INT(D588))+VLOOKUP(INT(D588),Tablas!$G$9:$O$1240,9,0)*(INT(D588)+1-D588))</f>
        <v>38.602452746642363</v>
      </c>
      <c r="H588" s="105">
        <f t="shared" ca="1" si="68"/>
        <v>1</v>
      </c>
      <c r="I588" s="106">
        <f t="shared" ca="1" si="69"/>
        <v>1.713505250574485E-6</v>
      </c>
      <c r="J588" s="106">
        <f t="shared" ca="1" si="73"/>
        <v>1.4687187862067014E-6</v>
      </c>
      <c r="K588" s="105">
        <f t="shared" ca="1" si="70"/>
        <v>4.1808411127113307E-5</v>
      </c>
      <c r="L588" s="75"/>
    </row>
    <row r="589" spans="2:12">
      <c r="B589" s="101">
        <f t="shared" ca="1" si="71"/>
        <v>70191</v>
      </c>
      <c r="C589" s="101">
        <f t="shared" ca="1" si="72"/>
        <v>70221</v>
      </c>
      <c r="D589" s="102">
        <f t="shared" ca="1" si="67"/>
        <v>114.74880219028063</v>
      </c>
      <c r="E589" s="103">
        <f t="shared" ca="1" si="74"/>
        <v>0.49119532836508256</v>
      </c>
      <c r="F589" s="104">
        <f ca="1">IF($C$4="Hombre",(+VLOOKUP(INT(D589)+1,Tablas!$G$9:$K$1240,5,0)*(D589-INT(D589))+VLOOKUP(INT(D589),Tablas!$G$9:$K$1240,5,0)*(INT(D589)+1-D589))/(VLOOKUP(INT($C$5)+1,Tablas!$G$9:$K$1240,5,0)*($C$5-INT($C$5))+VLOOKUP(INT($C$5),Tablas!$G$9:$K$124,5,0)*(INT($C$5)+1-$C$5)),(+VLOOKUP(INT(D589)+1,Tablas!$G$9:$O$1240,9,0)*(D589-INT(D589))+VLOOKUP(INT(D589),Tablas!$G$9:$O$1240,9,0)*(INT(D589)+1-D589))/(VLOOKUP(INT($C$5)+1,Tablas!$G$9:$O$1240,9,0)*($C$5-INT($C$5))+VLOOKUP(INT($C$5),Tablas!$G$9:$O$124,9,0)*(INT($C$5)+1-$C$5)))</f>
        <v>3.6374905107184908E-5</v>
      </c>
      <c r="G589" s="97">
        <f ca="1">IF($C$4="Hombre",(+VLOOKUP(INT(D589)+1,Tablas!$G$9:$K$1240,5,0)*(D589-INT(D589))+VLOOKUP(INT(D589),Tablas!$G$9:$K$1240,5,0)*(INT(D589)+1-D589)),+VLOOKUP(INT(D589)+1,Tablas!$G$9:$O$1240,9,0)*(D589-INT(D589))+VLOOKUP(INT(D589),Tablas!$G$9:$O$1240,9,0)*(INT(D589)+1-D589))</f>
        <v>33.585599588908764</v>
      </c>
      <c r="H589" s="105">
        <f t="shared" ca="1" si="68"/>
        <v>1</v>
      </c>
      <c r="I589" s="106">
        <f t="shared" ca="1" si="69"/>
        <v>1.4889319548643674E-6</v>
      </c>
      <c r="J589" s="106">
        <f t="shared" ca="1" si="73"/>
        <v>1.2762273898837435E-6</v>
      </c>
      <c r="K589" s="105">
        <f t="shared" ca="1" si="70"/>
        <v>3.6374905107184908E-5</v>
      </c>
      <c r="L589" s="75"/>
    </row>
    <row r="590" spans="2:12">
      <c r="B590" s="101">
        <f t="shared" ca="1" si="71"/>
        <v>70222</v>
      </c>
      <c r="C590" s="101">
        <f t="shared" ca="1" si="72"/>
        <v>70251</v>
      </c>
      <c r="D590" s="102">
        <f t="shared" ca="1" si="67"/>
        <v>114.8309377138946</v>
      </c>
      <c r="E590" s="103">
        <f t="shared" ca="1" si="74"/>
        <v>0.490595020593661</v>
      </c>
      <c r="F590" s="104">
        <f ca="1">IF($C$4="Hombre",(+VLOOKUP(INT(D590)+1,Tablas!$G$9:$K$1240,5,0)*(D590-INT(D590))+VLOOKUP(INT(D590),Tablas!$G$9:$K$1240,5,0)*(INT(D590)+1-D590))/(VLOOKUP(INT($C$5)+1,Tablas!$G$9:$K$1240,5,0)*($C$5-INT($C$5))+VLOOKUP(INT($C$5),Tablas!$G$9:$K$124,5,0)*(INT($C$5)+1-$C$5)),(+VLOOKUP(INT(D590)+1,Tablas!$G$9:$O$1240,9,0)*(D590-INT(D590))+VLOOKUP(INT(D590),Tablas!$G$9:$O$1240,9,0)*(INT(D590)+1-D590))/(VLOOKUP(INT($C$5)+1,Tablas!$G$9:$O$1240,9,0)*($C$5-INT($C$5))+VLOOKUP(INT($C$5),Tablas!$G$9:$O$124,9,0)*(INT($C$5)+1-$C$5)))</f>
        <v>3.1116673474995849E-5</v>
      </c>
      <c r="G590" s="97">
        <f ca="1">IF($C$4="Hombre",(+VLOOKUP(INT(D590)+1,Tablas!$G$9:$K$1240,5,0)*(D590-INT(D590))+VLOOKUP(INT(D590),Tablas!$G$9:$K$1240,5,0)*(INT(D590)+1-D590)),+VLOOKUP(INT(D590)+1,Tablas!$G$9:$O$1240,9,0)*(D590-INT(D590))+VLOOKUP(INT(D590),Tablas!$G$9:$O$1240,9,0)*(INT(D590)+1-D590))</f>
        <v>28.730580404005018</v>
      </c>
      <c r="H590" s="105">
        <f t="shared" ca="1" si="68"/>
        <v>1</v>
      </c>
      <c r="I590" s="106">
        <f t="shared" ca="1" si="69"/>
        <v>1.2721404220226511E-6</v>
      </c>
      <c r="J590" s="106">
        <f t="shared" ca="1" si="73"/>
        <v>1.0904060760194153E-6</v>
      </c>
      <c r="K590" s="105">
        <f t="shared" ca="1" si="70"/>
        <v>3.1116673474995849E-5</v>
      </c>
      <c r="L590" s="75"/>
    </row>
    <row r="591" spans="2:12">
      <c r="B591" s="101">
        <f t="shared" ca="1" si="71"/>
        <v>70252</v>
      </c>
      <c r="C591" s="101">
        <f t="shared" ca="1" si="72"/>
        <v>70282</v>
      </c>
      <c r="D591" s="102">
        <f t="shared" ca="1" si="67"/>
        <v>114.91581108829568</v>
      </c>
      <c r="E591" s="103">
        <f t="shared" ca="1" si="74"/>
        <v>0.48997547330129237</v>
      </c>
      <c r="F591" s="104">
        <f ca="1">IF($C$4="Hombre",(+VLOOKUP(INT(D591)+1,Tablas!$G$9:$K$1240,5,0)*(D591-INT(D591))+VLOOKUP(INT(D591),Tablas!$G$9:$K$1240,5,0)*(INT(D591)+1-D591))/(VLOOKUP(INT($C$5)+1,Tablas!$G$9:$K$1240,5,0)*($C$5-INT($C$5))+VLOOKUP(INT($C$5),Tablas!$G$9:$K$124,5,0)*(INT($C$5)+1-$C$5)),(+VLOOKUP(INT(D591)+1,Tablas!$G$9:$O$1240,9,0)*(D591-INT(D591))+VLOOKUP(INT(D591),Tablas!$G$9:$O$1240,9,0)*(INT(D591)+1-D591))/(VLOOKUP(INT($C$5)+1,Tablas!$G$9:$O$1240,9,0)*($C$5-INT($C$5))+VLOOKUP(INT($C$5),Tablas!$G$9:$O$124,9,0)*(INT($C$5)+1-$C$5)))</f>
        <v>2.5683167455068357E-5</v>
      </c>
      <c r="G591" s="97">
        <f ca="1">IF($C$4="Hombre",(+VLOOKUP(INT(D591)+1,Tablas!$G$9:$K$1240,5,0)*(D591-INT(D591))+VLOOKUP(INT(D591),Tablas!$G$9:$K$1240,5,0)*(INT(D591)+1-D591)),+VLOOKUP(INT(D591)+1,Tablas!$G$9:$O$1240,9,0)*(D591-INT(D591))+VLOOKUP(INT(D591),Tablas!$G$9:$O$1240,9,0)*(INT(D591)+1-D591))</f>
        <v>23.71372724627226</v>
      </c>
      <c r="H591" s="105">
        <f t="shared" ca="1" si="68"/>
        <v>1</v>
      </c>
      <c r="I591" s="106">
        <f t="shared" ca="1" si="69"/>
        <v>1.0486768441394556E-6</v>
      </c>
      <c r="J591" s="106">
        <f t="shared" ca="1" si="73"/>
        <v>1.7977317328104952E-6</v>
      </c>
      <c r="K591" s="105">
        <f t="shared" ca="1" si="70"/>
        <v>2.5683167455068357E-5</v>
      </c>
      <c r="L591" s="75"/>
    </row>
    <row r="592" spans="2:12">
      <c r="B592" s="101">
        <f t="shared" ca="1" si="71"/>
        <v>70283</v>
      </c>
      <c r="C592" s="101">
        <f t="shared" ca="1" si="72"/>
        <v>70312</v>
      </c>
      <c r="D592" s="102">
        <f t="shared" ca="1" si="67"/>
        <v>114.99794661190965</v>
      </c>
      <c r="E592" s="103">
        <f t="shared" ca="1" si="74"/>
        <v>0.48937665635934863</v>
      </c>
      <c r="F592" s="104">
        <f ca="1">IF($C$4="Hombre",(+VLOOKUP(INT(D592)+1,Tablas!$G$9:$K$1240,5,0)*(D592-INT(D592))+VLOOKUP(INT(D592),Tablas!$G$9:$K$1240,5,0)*(INT(D592)+1-D592))/(VLOOKUP(INT($C$5)+1,Tablas!$G$9:$K$1240,5,0)*($C$5-INT($C$5))+VLOOKUP(INT($C$5),Tablas!$G$9:$K$124,5,0)*(INT($C$5)+1-$C$5)),(+VLOOKUP(INT(D592)+1,Tablas!$G$9:$O$1240,9,0)*(D592-INT(D592))+VLOOKUP(INT(D592),Tablas!$G$9:$O$1240,9,0)*(INT(D592)+1-D592))/(VLOOKUP(INT($C$5)+1,Tablas!$G$9:$O$1240,9,0)*($C$5-INT($C$5))+VLOOKUP(INT($C$5),Tablas!$G$9:$O$124,9,0)*(INT($C$5)+1-$C$5)))</f>
        <v>2.0424935822879292E-5</v>
      </c>
      <c r="G592" s="97">
        <f ca="1">IF($C$4="Hombre",(+VLOOKUP(INT(D592)+1,Tablas!$G$9:$K$1240,5,0)*(D592-INT(D592))+VLOOKUP(INT(D592),Tablas!$G$9:$K$1240,5,0)*(INT(D592)+1-D592)),+VLOOKUP(INT(D592)+1,Tablas!$G$9:$O$1240,9,0)*(D592-INT(D592))+VLOOKUP(INT(D592),Tablas!$G$9:$O$1240,9,0)*(INT(D592)+1-D592))</f>
        <v>18.85870806136851</v>
      </c>
      <c r="H592" s="105">
        <f t="shared" ca="1" si="68"/>
        <v>1</v>
      </c>
      <c r="I592" s="106">
        <f t="shared" ca="1" si="69"/>
        <v>8.3295723327957898E-7</v>
      </c>
      <c r="J592" s="106">
        <f t="shared" ca="1" si="73"/>
        <v>7.1396334281106769E-7</v>
      </c>
      <c r="K592" s="105">
        <f t="shared" ca="1" si="70"/>
        <v>2.0424935822879292E-5</v>
      </c>
      <c r="L592" s="75"/>
    </row>
    <row r="593" spans="2:12">
      <c r="B593" s="101">
        <f t="shared" ca="1" si="71"/>
        <v>70313</v>
      </c>
      <c r="C593" s="101">
        <f t="shared" ca="1" si="72"/>
        <v>70343</v>
      </c>
      <c r="D593" s="102">
        <f t="shared" ca="1" si="67"/>
        <v>115.08281998631075</v>
      </c>
      <c r="E593" s="103">
        <f t="shared" ca="1" si="74"/>
        <v>0.48875864767669014</v>
      </c>
      <c r="F593" s="104">
        <f ca="1">IF($C$4="Hombre",(+VLOOKUP(INT(D593)+1,Tablas!$G$9:$K$1240,5,0)*(D593-INT(D593))+VLOOKUP(INT(D593),Tablas!$G$9:$K$1240,5,0)*(INT(D593)+1-D593))/(VLOOKUP(INT($C$5)+1,Tablas!$G$9:$K$1240,5,0)*($C$5-INT($C$5))+VLOOKUP(INT($C$5),Tablas!$G$9:$K$124,5,0)*(INT($C$5)+1-$C$5)),(+VLOOKUP(INT(D593)+1,Tablas!$G$9:$O$1240,9,0)*(D593-INT(D593))+VLOOKUP(INT(D593),Tablas!$G$9:$O$1240,9,0)*(INT(D593)+1-D593))/(VLOOKUP(INT($C$5)+1,Tablas!$G$9:$O$1240,9,0)*($C$5-INT($C$5))+VLOOKUP(INT($C$5),Tablas!$G$9:$O$124,9,0)*(INT($C$5)+1-$C$5)))</f>
        <v>1.8906210741713236E-5</v>
      </c>
      <c r="G593" s="97">
        <f ca="1">IF($C$4="Hombre",(+VLOOKUP(INT(D593)+1,Tablas!$G$9:$K$1240,5,0)*(D593-INT(D593))+VLOOKUP(INT(D593),Tablas!$G$9:$K$1240,5,0)*(INT(D593)+1-D593)),+VLOOKUP(INT(D593)+1,Tablas!$G$9:$O$1240,9,0)*(D593-INT(D593))+VLOOKUP(INT(D593),Tablas!$G$9:$O$1240,9,0)*(INT(D593)+1-D593))</f>
        <v>17.456442067508888</v>
      </c>
      <c r="H593" s="105">
        <f t="shared" ca="1" si="68"/>
        <v>1</v>
      </c>
      <c r="I593" s="106">
        <f t="shared" ca="1" si="69"/>
        <v>7.7004783290085608E-7</v>
      </c>
      <c r="J593" s="106">
        <f t="shared" ca="1" si="73"/>
        <v>6.6004099962930524E-7</v>
      </c>
      <c r="K593" s="105">
        <f t="shared" ca="1" si="70"/>
        <v>1.8906210741713236E-5</v>
      </c>
      <c r="L593" s="75"/>
    </row>
    <row r="594" spans="2:12">
      <c r="B594" s="101">
        <f t="shared" ca="1" si="71"/>
        <v>70344</v>
      </c>
      <c r="C594" s="101">
        <f t="shared" ca="1" si="72"/>
        <v>70374</v>
      </c>
      <c r="D594" s="102">
        <f t="shared" ref="D594:D657" ca="1" si="75">-_xlfn.DAYS($C$3,C594)/365.25</f>
        <v>115.16769336071184</v>
      </c>
      <c r="E594" s="103">
        <f t="shared" ca="1" si="74"/>
        <v>0.48814141944550393</v>
      </c>
      <c r="F594" s="104">
        <f ca="1">IF($C$4="Hombre",(+VLOOKUP(INT(D594)+1,Tablas!$G$9:$K$1240,5,0)*(D594-INT(D594))+VLOOKUP(INT(D594),Tablas!$G$9:$K$1240,5,0)*(INT(D594)+1-D594))/(VLOOKUP(INT($C$5)+1,Tablas!$G$9:$K$1240,5,0)*($C$5-INT($C$5))+VLOOKUP(INT($C$5),Tablas!$G$9:$K$124,5,0)*(INT($C$5)+1-$C$5)),(+VLOOKUP(INT(D594)+1,Tablas!$G$9:$O$1240,9,0)*(D594-INT(D594))+VLOOKUP(INT(D594),Tablas!$G$9:$O$1240,9,0)*(INT(D594)+1-D594))/(VLOOKUP(INT($C$5)+1,Tablas!$G$9:$O$1240,9,0)*($C$5-INT($C$5))+VLOOKUP(INT($C$5),Tablas!$G$9:$O$124,9,0)*(INT($C$5)+1-$C$5)))</f>
        <v>1.7484546344979383E-5</v>
      </c>
      <c r="G594" s="97">
        <f ca="1">IF($C$4="Hombre",(+VLOOKUP(INT(D594)+1,Tablas!$G$9:$K$1240,5,0)*(D594-INT(D594))+VLOOKUP(INT(D594),Tablas!$G$9:$K$1240,5,0)*(INT(D594)+1-D594)),+VLOOKUP(INT(D594)+1,Tablas!$G$9:$O$1240,9,0)*(D594-INT(D594))+VLOOKUP(INT(D594),Tablas!$G$9:$O$1240,9,0)*(INT(D594)+1-D594))</f>
        <v>16.143793937216461</v>
      </c>
      <c r="H594" s="105">
        <f t="shared" ref="H594:H657" ca="1" si="76">+IF(MONTH(B594)=1,H593*(1+$C$9),H593)</f>
        <v>1</v>
      </c>
      <c r="I594" s="106">
        <f t="shared" ref="I594:I657" ca="1" si="77">IF(B594&lt;$C$10,0,IF(B594&lt;$C$11,$C$8/12*E594*F594*H594,0))</f>
        <v>7.1124427259991113E-7</v>
      </c>
      <c r="J594" s="106">
        <f t="shared" ca="1" si="73"/>
        <v>6.0963794794278098E-7</v>
      </c>
      <c r="K594" s="105">
        <f t="shared" ref="K594:K657" ca="1" si="78">G594/$G$15</f>
        <v>1.7484546344979383E-5</v>
      </c>
      <c r="L594" s="75"/>
    </row>
    <row r="595" spans="2:12">
      <c r="B595" s="101">
        <f t="shared" ref="B595:B658" ca="1" si="79">+DATE(YEAR(B594),MONTH(B594)+1,DAY(B594))</f>
        <v>70375</v>
      </c>
      <c r="C595" s="101">
        <f t="shared" ref="C595:C658" ca="1" si="80">+B596-1</f>
        <v>70404</v>
      </c>
      <c r="D595" s="102">
        <f t="shared" ca="1" si="75"/>
        <v>115.24982888432581</v>
      </c>
      <c r="E595" s="103">
        <f t="shared" ca="1" si="74"/>
        <v>0.48754484396783959</v>
      </c>
      <c r="F595" s="104">
        <f ca="1">IF($C$4="Hombre",(+VLOOKUP(INT(D595)+1,Tablas!$G$9:$K$1240,5,0)*(D595-INT(D595))+VLOOKUP(INT(D595),Tablas!$G$9:$K$1240,5,0)*(INT(D595)+1-D595))/(VLOOKUP(INT($C$5)+1,Tablas!$G$9:$K$1240,5,0)*($C$5-INT($C$5))+VLOOKUP(INT($C$5),Tablas!$G$9:$K$124,5,0)*(INT($C$5)+1-$C$5)),(+VLOOKUP(INT(D595)+1,Tablas!$G$9:$O$1240,9,0)*(D595-INT(D595))+VLOOKUP(INT(D595),Tablas!$G$9:$O$1240,9,0)*(INT(D595)+1-D595))/(VLOOKUP(INT($C$5)+1,Tablas!$G$9:$O$1240,9,0)*($C$5-INT($C$5))+VLOOKUP(INT($C$5),Tablas!$G$9:$O$124,9,0)*(INT($C$5)+1-$C$5)))</f>
        <v>1.6108742090075342E-5</v>
      </c>
      <c r="G595" s="97">
        <f ca="1">IF($C$4="Hombre",(+VLOOKUP(INT(D595)+1,Tablas!$G$9:$K$1240,5,0)*(D595-INT(D595))+VLOOKUP(INT(D595),Tablas!$G$9:$K$1240,5,0)*(INT(D595)+1-D595)),+VLOOKUP(INT(D595)+1,Tablas!$G$9:$O$1240,9,0)*(D595-INT(D595))+VLOOKUP(INT(D595),Tablas!$G$9:$O$1240,9,0)*(INT(D595)+1-D595))</f>
        <v>14.873489294997697</v>
      </c>
      <c r="H595" s="105">
        <f t="shared" ca="1" si="76"/>
        <v>1</v>
      </c>
      <c r="I595" s="106">
        <f t="shared" ca="1" si="77"/>
        <v>6.5447784573532935E-7</v>
      </c>
      <c r="J595" s="106">
        <f t="shared" ref="J595:J658" ca="1" si="81">I595*12/14+IF(OR(MONTH(C595)=6,MONTH(C595)=12),I595*12/14,0)</f>
        <v>5.6098101063028224E-7</v>
      </c>
      <c r="K595" s="105">
        <f t="shared" ca="1" si="78"/>
        <v>1.6108742090075342E-5</v>
      </c>
      <c r="L595" s="75"/>
    </row>
    <row r="596" spans="2:12">
      <c r="B596" s="101">
        <f t="shared" ca="1" si="79"/>
        <v>70405</v>
      </c>
      <c r="C596" s="101">
        <f t="shared" ca="1" si="80"/>
        <v>70435</v>
      </c>
      <c r="D596" s="102">
        <f t="shared" ca="1" si="75"/>
        <v>115.33470225872689</v>
      </c>
      <c r="E596" s="103">
        <f t="shared" ca="1" si="74"/>
        <v>0.48692914858710978</v>
      </c>
      <c r="F596" s="104">
        <f ca="1">IF($C$4="Hombre",(+VLOOKUP(INT(D596)+1,Tablas!$G$9:$K$1240,5,0)*(D596-INT(D596))+VLOOKUP(INT(D596),Tablas!$G$9:$K$1240,5,0)*(INT(D596)+1-D596))/(VLOOKUP(INT($C$5)+1,Tablas!$G$9:$K$1240,5,0)*($C$5-INT($C$5))+VLOOKUP(INT($C$5),Tablas!$G$9:$K$124,5,0)*(INT($C$5)+1-$C$5)),(+VLOOKUP(INT(D596)+1,Tablas!$G$9:$O$1240,9,0)*(D596-INT(D596))+VLOOKUP(INT(D596),Tablas!$G$9:$O$1240,9,0)*(INT(D596)+1-D596))/(VLOOKUP(INT($C$5)+1,Tablas!$G$9:$O$1240,9,0)*($C$5-INT($C$5))+VLOOKUP(INT($C$5),Tablas!$G$9:$O$124,9,0)*(INT($C$5)+1-$C$5)))</f>
        <v>1.4687077693341486E-5</v>
      </c>
      <c r="G596" s="97">
        <f ca="1">IF($C$4="Hombre",(+VLOOKUP(INT(D596)+1,Tablas!$G$9:$K$1240,5,0)*(D596-INT(D596))+VLOOKUP(INT(D596),Tablas!$G$9:$K$1240,5,0)*(INT(D596)+1-D596)),+VLOOKUP(INT(D596)+1,Tablas!$G$9:$O$1240,9,0)*(D596-INT(D596))+VLOOKUP(INT(D596),Tablas!$G$9:$O$1240,9,0)*(INT(D596)+1-D596))</f>
        <v>13.560841164705266</v>
      </c>
      <c r="H596" s="105">
        <f t="shared" ca="1" si="76"/>
        <v>1</v>
      </c>
      <c r="I596" s="106">
        <f t="shared" ca="1" si="77"/>
        <v>5.9596385303762515E-7</v>
      </c>
      <c r="J596" s="106">
        <f t="shared" ca="1" si="81"/>
        <v>5.1082615974653584E-7</v>
      </c>
      <c r="K596" s="105">
        <f t="shared" ca="1" si="78"/>
        <v>1.4687077693341486E-5</v>
      </c>
      <c r="L596" s="75"/>
    </row>
    <row r="597" spans="2:12">
      <c r="B597" s="101">
        <f t="shared" ca="1" si="79"/>
        <v>70436</v>
      </c>
      <c r="C597" s="101">
        <f t="shared" ca="1" si="80"/>
        <v>70465</v>
      </c>
      <c r="D597" s="102">
        <f t="shared" ca="1" si="75"/>
        <v>115.41683778234086</v>
      </c>
      <c r="E597" s="103">
        <f t="shared" ca="1" si="74"/>
        <v>0.48633405466998847</v>
      </c>
      <c r="F597" s="104">
        <f ca="1">IF($C$4="Hombre",(+VLOOKUP(INT(D597)+1,Tablas!$G$9:$K$1240,5,0)*(D597-INT(D597))+VLOOKUP(INT(D597),Tablas!$G$9:$K$1240,5,0)*(INT(D597)+1-D597))/(VLOOKUP(INT($C$5)+1,Tablas!$G$9:$K$1240,5,0)*($C$5-INT($C$5))+VLOOKUP(INT($C$5),Tablas!$G$9:$K$124,5,0)*(INT($C$5)+1-$C$5)),(+VLOOKUP(INT(D597)+1,Tablas!$G$9:$O$1240,9,0)*(D597-INT(D597))+VLOOKUP(INT(D597),Tablas!$G$9:$O$1240,9,0)*(INT(D597)+1-D597))/(VLOOKUP(INT($C$5)+1,Tablas!$G$9:$O$1240,9,0)*($C$5-INT($C$5))+VLOOKUP(INT($C$5),Tablas!$G$9:$O$124,9,0)*(INT($C$5)+1-$C$5)))</f>
        <v>1.3311273438437449E-5</v>
      </c>
      <c r="G597" s="97">
        <f ca="1">IF($C$4="Hombre",(+VLOOKUP(INT(D597)+1,Tablas!$G$9:$K$1240,5,0)*(D597-INT(D597))+VLOOKUP(INT(D597),Tablas!$G$9:$K$1240,5,0)*(INT(D597)+1-D597)),+VLOOKUP(INT(D597)+1,Tablas!$G$9:$O$1240,9,0)*(D597-INT(D597))+VLOOKUP(INT(D597),Tablas!$G$9:$O$1240,9,0)*(INT(D597)+1-D597))</f>
        <v>12.290536522486503</v>
      </c>
      <c r="H597" s="105">
        <f t="shared" ca="1" si="76"/>
        <v>1</v>
      </c>
      <c r="I597" s="106">
        <f t="shared" ca="1" si="77"/>
        <v>5.3947713201135028E-7</v>
      </c>
      <c r="J597" s="106">
        <f t="shared" ca="1" si="81"/>
        <v>9.2481794059088614E-7</v>
      </c>
      <c r="K597" s="105">
        <f t="shared" ca="1" si="78"/>
        <v>1.3311273438437449E-5</v>
      </c>
      <c r="L597" s="75"/>
    </row>
    <row r="598" spans="2:12">
      <c r="B598" s="101">
        <f t="shared" ca="1" si="79"/>
        <v>70466</v>
      </c>
      <c r="C598" s="101">
        <f t="shared" ca="1" si="80"/>
        <v>70496</v>
      </c>
      <c r="D598" s="102">
        <f t="shared" ca="1" si="75"/>
        <v>115.50171115674196</v>
      </c>
      <c r="E598" s="103">
        <f t="shared" ca="1" si="74"/>
        <v>0.48571988833297008</v>
      </c>
      <c r="F598" s="104">
        <f ca="1">IF($C$4="Hombre",(+VLOOKUP(INT(D598)+1,Tablas!$G$9:$K$1240,5,0)*(D598-INT(D598))+VLOOKUP(INT(D598),Tablas!$G$9:$K$1240,5,0)*(INT(D598)+1-D598))/(VLOOKUP(INT($C$5)+1,Tablas!$G$9:$K$1240,5,0)*($C$5-INT($C$5))+VLOOKUP(INT($C$5),Tablas!$G$9:$K$124,5,0)*(INT($C$5)+1-$C$5)),(+VLOOKUP(INT(D598)+1,Tablas!$G$9:$O$1240,9,0)*(D598-INT(D598))+VLOOKUP(INT(D598),Tablas!$G$9:$O$1240,9,0)*(INT(D598)+1-D598))/(VLOOKUP(INT($C$5)+1,Tablas!$G$9:$O$1240,9,0)*($C$5-INT($C$5))+VLOOKUP(INT($C$5),Tablas!$G$9:$O$124,9,0)*(INT($C$5)+1-$C$5)))</f>
        <v>1.1889609041703356E-5</v>
      </c>
      <c r="G598" s="97">
        <f ca="1">IF($C$4="Hombre",(+VLOOKUP(INT(D598)+1,Tablas!$G$9:$K$1240,5,0)*(D598-INT(D598))+VLOOKUP(INT(D598),Tablas!$G$9:$K$1240,5,0)*(INT(D598)+1-D598)),+VLOOKUP(INT(D598)+1,Tablas!$G$9:$O$1240,9,0)*(D598-INT(D598))+VLOOKUP(INT(D598),Tablas!$G$9:$O$1240,9,0)*(INT(D598)+1-D598))</f>
        <v>10.977888392193854</v>
      </c>
      <c r="H598" s="105">
        <f t="shared" ca="1" si="76"/>
        <v>1</v>
      </c>
      <c r="I598" s="106">
        <f t="shared" ca="1" si="77"/>
        <v>4.8125163133823543E-7</v>
      </c>
      <c r="J598" s="106">
        <f t="shared" ca="1" si="81"/>
        <v>4.1250139828991609E-7</v>
      </c>
      <c r="K598" s="105">
        <f t="shared" ca="1" si="78"/>
        <v>1.1889609041703356E-5</v>
      </c>
      <c r="L598" s="75"/>
    </row>
    <row r="599" spans="2:12">
      <c r="B599" s="101">
        <f t="shared" ca="1" si="79"/>
        <v>70497</v>
      </c>
      <c r="C599" s="101">
        <f t="shared" ca="1" si="80"/>
        <v>70527</v>
      </c>
      <c r="D599" s="102">
        <f t="shared" ca="1" si="75"/>
        <v>115.58658453114305</v>
      </c>
      <c r="E599" s="103">
        <f t="shared" ca="1" si="74"/>
        <v>0.48510649759512259</v>
      </c>
      <c r="F599" s="104">
        <f ca="1">IF($C$4="Hombre",(+VLOOKUP(INT(D599)+1,Tablas!$G$9:$K$1240,5,0)*(D599-INT(D599))+VLOOKUP(INT(D599),Tablas!$G$9:$K$1240,5,0)*(INT(D599)+1-D599))/(VLOOKUP(INT($C$5)+1,Tablas!$G$9:$K$1240,5,0)*($C$5-INT($C$5))+VLOOKUP(INT($C$5),Tablas!$G$9:$K$124,5,0)*(INT($C$5)+1-$C$5)),(+VLOOKUP(INT(D599)+1,Tablas!$G$9:$O$1240,9,0)*(D599-INT(D599))+VLOOKUP(INT(D599),Tablas!$G$9:$O$1240,9,0)*(INT(D599)+1-D599))/(VLOOKUP(INT($C$5)+1,Tablas!$G$9:$O$1240,9,0)*($C$5-INT($C$5))+VLOOKUP(INT($C$5),Tablas!$G$9:$O$124,9,0)*(INT($C$5)+1-$C$5)))</f>
        <v>1.0467944644969501E-5</v>
      </c>
      <c r="G599" s="97">
        <f ca="1">IF($C$4="Hombre",(+VLOOKUP(INT(D599)+1,Tablas!$G$9:$K$1240,5,0)*(D599-INT(D599))+VLOOKUP(INT(D599),Tablas!$G$9:$K$1240,5,0)*(INT(D599)+1-D599)),+VLOOKUP(INT(D599)+1,Tablas!$G$9:$O$1240,9,0)*(D599-INT(D599))+VLOOKUP(INT(D599),Tablas!$G$9:$O$1240,9,0)*(INT(D599)+1-D599))</f>
        <v>9.6652402619014257</v>
      </c>
      <c r="H599" s="105">
        <f t="shared" ca="1" si="76"/>
        <v>1</v>
      </c>
      <c r="I599" s="106">
        <f t="shared" ca="1" si="77"/>
        <v>4.2317233031173113E-7</v>
      </c>
      <c r="J599" s="106">
        <f t="shared" ca="1" si="81"/>
        <v>3.6271914026719809E-7</v>
      </c>
      <c r="K599" s="105">
        <f t="shared" ca="1" si="78"/>
        <v>1.0467944644969501E-5</v>
      </c>
      <c r="L599" s="75"/>
    </row>
    <row r="600" spans="2:12">
      <c r="B600" s="101">
        <f t="shared" ca="1" si="79"/>
        <v>70528</v>
      </c>
      <c r="C600" s="101">
        <f t="shared" ca="1" si="80"/>
        <v>70555</v>
      </c>
      <c r="D600" s="102">
        <f t="shared" ca="1" si="75"/>
        <v>115.66324435318275</v>
      </c>
      <c r="E600" s="103">
        <f t="shared" ca="1" si="74"/>
        <v>0.48455313308055425</v>
      </c>
      <c r="F600" s="104">
        <f ca="1">IF($C$4="Hombre",(+VLOOKUP(INT(D600)+1,Tablas!$G$9:$K$1240,5,0)*(D600-INT(D600))+VLOOKUP(INT(D600),Tablas!$G$9:$K$1240,5,0)*(INT(D600)+1-D600))/(VLOOKUP(INT($C$5)+1,Tablas!$G$9:$K$1240,5,0)*($C$5-INT($C$5))+VLOOKUP(INT($C$5),Tablas!$G$9:$K$124,5,0)*(INT($C$5)+1-$C$5)),(+VLOOKUP(INT(D600)+1,Tablas!$G$9:$O$1240,9,0)*(D600-INT(D600))+VLOOKUP(INT(D600),Tablas!$G$9:$O$1240,9,0)*(INT(D600)+1-D600))/(VLOOKUP(INT($C$5)+1,Tablas!$G$9:$O$1240,9,0)*($C$5-INT($C$5))+VLOOKUP(INT($C$5),Tablas!$G$9:$O$124,9,0)*(INT($C$5)+1-$C$5)))</f>
        <v>9.1838606737258109E-6</v>
      </c>
      <c r="G600" s="97">
        <f ca="1">IF($C$4="Hombre",(+VLOOKUP(INT(D600)+1,Tablas!$G$9:$K$1240,5,0)*(D600-INT(D600))+VLOOKUP(INT(D600),Tablas!$G$9:$K$1240,5,0)*(INT(D600)+1-D600)),+VLOOKUP(INT(D600)+1,Tablas!$G$9:$O$1240,9,0)*(D600-INT(D600))+VLOOKUP(INT(D600),Tablas!$G$9:$O$1240,9,0)*(INT(D600)+1-D600))</f>
        <v>8.4796225958306533</v>
      </c>
      <c r="H600" s="105">
        <f t="shared" ca="1" si="76"/>
        <v>1</v>
      </c>
      <c r="I600" s="106">
        <f t="shared" ca="1" si="77"/>
        <v>3.7083903860242763E-7</v>
      </c>
      <c r="J600" s="106">
        <f t="shared" ca="1" si="81"/>
        <v>3.178620330877951E-7</v>
      </c>
      <c r="K600" s="105">
        <f t="shared" ca="1" si="78"/>
        <v>9.1838606737258109E-6</v>
      </c>
      <c r="L600" s="75"/>
    </row>
    <row r="601" spans="2:12">
      <c r="B601" s="101">
        <f t="shared" ca="1" si="79"/>
        <v>70556</v>
      </c>
      <c r="C601" s="101">
        <f t="shared" ca="1" si="80"/>
        <v>70586</v>
      </c>
      <c r="D601" s="102">
        <f t="shared" ca="1" si="75"/>
        <v>115.74811772758385</v>
      </c>
      <c r="E601" s="103">
        <f t="shared" ca="1" si="74"/>
        <v>0.4839412157780803</v>
      </c>
      <c r="F601" s="104">
        <f ca="1">IF($C$4="Hombre",(+VLOOKUP(INT(D601)+1,Tablas!$G$9:$K$1240,5,0)*(D601-INT(D601))+VLOOKUP(INT(D601),Tablas!$G$9:$K$1240,5,0)*(INT(D601)+1-D601))/(VLOOKUP(INT($C$5)+1,Tablas!$G$9:$K$1240,5,0)*($C$5-INT($C$5))+VLOOKUP(INT($C$5),Tablas!$G$9:$K$124,5,0)*(INT($C$5)+1-$C$5)),(+VLOOKUP(INT(D601)+1,Tablas!$G$9:$O$1240,9,0)*(D601-INT(D601))+VLOOKUP(INT(D601),Tablas!$G$9:$O$1240,9,0)*(INT(D601)+1-D601))/(VLOOKUP(INT($C$5)+1,Tablas!$G$9:$O$1240,9,0)*($C$5-INT($C$5))+VLOOKUP(INT($C$5),Tablas!$G$9:$O$124,9,0)*(INT($C$5)+1-$C$5)))</f>
        <v>7.7621962769917176E-6</v>
      </c>
      <c r="G601" s="97">
        <f ca="1">IF($C$4="Hombre",(+VLOOKUP(INT(D601)+1,Tablas!$G$9:$K$1240,5,0)*(D601-INT(D601))+VLOOKUP(INT(D601),Tablas!$G$9:$K$1240,5,0)*(INT(D601)+1-D601)),+VLOOKUP(INT(D601)+1,Tablas!$G$9:$O$1240,9,0)*(D601-INT(D601))+VLOOKUP(INT(D601),Tablas!$G$9:$O$1240,9,0)*(INT(D601)+1-D601))</f>
        <v>7.1669744655380043</v>
      </c>
      <c r="H601" s="105">
        <f t="shared" ca="1" si="76"/>
        <v>1</v>
      </c>
      <c r="I601" s="106">
        <f t="shared" ca="1" si="77"/>
        <v>3.1303722528295506E-7</v>
      </c>
      <c r="J601" s="106">
        <f t="shared" ca="1" si="81"/>
        <v>2.6831762167110437E-7</v>
      </c>
      <c r="K601" s="105">
        <f t="shared" ca="1" si="78"/>
        <v>7.7621962769917176E-6</v>
      </c>
      <c r="L601" s="75"/>
    </row>
    <row r="602" spans="2:12">
      <c r="B602" s="101">
        <f t="shared" ca="1" si="79"/>
        <v>70587</v>
      </c>
      <c r="C602" s="101">
        <f t="shared" ca="1" si="80"/>
        <v>70616</v>
      </c>
      <c r="D602" s="102">
        <f t="shared" ca="1" si="75"/>
        <v>115.8302532511978</v>
      </c>
      <c r="E602" s="103">
        <f t="shared" ca="1" si="74"/>
        <v>0.48334977352289915</v>
      </c>
      <c r="F602" s="104">
        <f ca="1">IF($C$4="Hombre",(+VLOOKUP(INT(D602)+1,Tablas!$G$9:$K$1240,5,0)*(D602-INT(D602))+VLOOKUP(INT(D602),Tablas!$G$9:$K$1240,5,0)*(INT(D602)+1-D602))/(VLOOKUP(INT($C$5)+1,Tablas!$G$9:$K$1240,5,0)*($C$5-INT($C$5))+VLOOKUP(INT($C$5),Tablas!$G$9:$K$124,5,0)*(INT($C$5)+1-$C$5)),(+VLOOKUP(INT(D602)+1,Tablas!$G$9:$O$1240,9,0)*(D602-INT(D602))+VLOOKUP(INT(D602),Tablas!$G$9:$O$1240,9,0)*(INT(D602)+1-D602))/(VLOOKUP(INT($C$5)+1,Tablas!$G$9:$O$1240,9,0)*($C$5-INT($C$5))+VLOOKUP(INT($C$5),Tablas!$G$9:$O$124,9,0)*(INT($C$5)+1-$C$5)))</f>
        <v>6.3863920220879165E-6</v>
      </c>
      <c r="G602" s="97">
        <f ca="1">IF($C$4="Hombre",(+VLOOKUP(INT(D602)+1,Tablas!$G$9:$K$1240,5,0)*(D602-INT(D602))+VLOOKUP(INT(D602),Tablas!$G$9:$K$1240,5,0)*(INT(D602)+1-D602)),+VLOOKUP(INT(D602)+1,Tablas!$G$9:$O$1240,9,0)*(D602-INT(D602))+VLOOKUP(INT(D602),Tablas!$G$9:$O$1240,9,0)*(INT(D602)+1-D602))</f>
        <v>5.8966698233194599</v>
      </c>
      <c r="H602" s="105">
        <f t="shared" ca="1" si="76"/>
        <v>1</v>
      </c>
      <c r="I602" s="106">
        <f t="shared" ca="1" si="77"/>
        <v>2.5723842812538704E-7</v>
      </c>
      <c r="J602" s="106">
        <f t="shared" ca="1" si="81"/>
        <v>2.2049008125033173E-7</v>
      </c>
      <c r="K602" s="105">
        <f t="shared" ca="1" si="78"/>
        <v>6.3863920220879165E-6</v>
      </c>
      <c r="L602" s="75"/>
    </row>
    <row r="603" spans="2:12">
      <c r="B603" s="101">
        <f t="shared" ca="1" si="79"/>
        <v>70617</v>
      </c>
      <c r="C603" s="101">
        <f t="shared" ca="1" si="80"/>
        <v>70647</v>
      </c>
      <c r="D603" s="102">
        <f t="shared" ca="1" si="75"/>
        <v>115.9151266255989</v>
      </c>
      <c r="E603" s="103">
        <f t="shared" ca="1" si="74"/>
        <v>0.48273937588149873</v>
      </c>
      <c r="F603" s="104">
        <f ca="1">IF($C$4="Hombre",(+VLOOKUP(INT(D603)+1,Tablas!$G$9:$K$1240,5,0)*(D603-INT(D603))+VLOOKUP(INT(D603),Tablas!$G$9:$K$1240,5,0)*(INT(D603)+1-D603))/(VLOOKUP(INT($C$5)+1,Tablas!$G$9:$K$1240,5,0)*($C$5-INT($C$5))+VLOOKUP(INT($C$5),Tablas!$G$9:$K$124,5,0)*(INT($C$5)+1-$C$5)),(+VLOOKUP(INT(D603)+1,Tablas!$G$9:$O$1240,9,0)*(D603-INT(D603))+VLOOKUP(INT(D603),Tablas!$G$9:$O$1240,9,0)*(INT(D603)+1-D603))/(VLOOKUP(INT($C$5)+1,Tablas!$G$9:$O$1240,9,0)*($C$5-INT($C$5))+VLOOKUP(INT($C$5),Tablas!$G$9:$O$124,9,0)*(INT($C$5)+1-$C$5)))</f>
        <v>4.9647276253538233E-6</v>
      </c>
      <c r="G603" s="97">
        <f ca="1">IF($C$4="Hombre",(+VLOOKUP(INT(D603)+1,Tablas!$G$9:$K$1240,5,0)*(D603-INT(D603))+VLOOKUP(INT(D603),Tablas!$G$9:$K$1240,5,0)*(INT(D603)+1-D603)),+VLOOKUP(INT(D603)+1,Tablas!$G$9:$O$1240,9,0)*(D603-INT(D603))+VLOOKUP(INT(D603),Tablas!$G$9:$O$1240,9,0)*(INT(D603)+1-D603))</f>
        <v>4.584021693026811</v>
      </c>
      <c r="H603" s="105">
        <f t="shared" ca="1" si="76"/>
        <v>1</v>
      </c>
      <c r="I603" s="106">
        <f t="shared" ca="1" si="77"/>
        <v>1.997224596070783E-7</v>
      </c>
      <c r="J603" s="106">
        <f t="shared" ca="1" si="81"/>
        <v>3.4238135932641995E-7</v>
      </c>
      <c r="K603" s="105">
        <f t="shared" ca="1" si="78"/>
        <v>4.9647276253538233E-6</v>
      </c>
      <c r="L603" s="75"/>
    </row>
    <row r="604" spans="2:12">
      <c r="B604" s="101">
        <f t="shared" ca="1" si="79"/>
        <v>70648</v>
      </c>
      <c r="C604" s="101">
        <f t="shared" ca="1" si="80"/>
        <v>70677</v>
      </c>
      <c r="D604" s="102">
        <f t="shared" ca="1" si="75"/>
        <v>115.99726214921287</v>
      </c>
      <c r="E604" s="103">
        <f t="shared" ca="1" si="74"/>
        <v>0.4821494024388005</v>
      </c>
      <c r="F604" s="104">
        <f ca="1">IF($C$4="Hombre",(+VLOOKUP(INT(D604)+1,Tablas!$G$9:$K$1240,5,0)*(D604-INT(D604))+VLOOKUP(INT(D604),Tablas!$G$9:$K$1240,5,0)*(INT(D604)+1-D604))/(VLOOKUP(INT($C$5)+1,Tablas!$G$9:$K$1240,5,0)*($C$5-INT($C$5))+VLOOKUP(INT($C$5),Tablas!$G$9:$K$124,5,0)*(INT($C$5)+1-$C$5)),(+VLOOKUP(INT(D604)+1,Tablas!$G$9:$O$1240,9,0)*(D604-INT(D604))+VLOOKUP(INT(D604),Tablas!$G$9:$O$1240,9,0)*(INT(D604)+1-D604))/(VLOOKUP(INT($C$5)+1,Tablas!$G$9:$O$1240,9,0)*($C$5-INT($C$5))+VLOOKUP(INT($C$5),Tablas!$G$9:$O$124,9,0)*(INT($C$5)+1-$C$5)))</f>
        <v>3.588923370449785E-6</v>
      </c>
      <c r="G604" s="97">
        <f ca="1">IF($C$4="Hombre",(+VLOOKUP(INT(D604)+1,Tablas!$G$9:$K$1240,5,0)*(D604-INT(D604))+VLOOKUP(INT(D604),Tablas!$G$9:$K$1240,5,0)*(INT(D604)+1-D604)),+VLOOKUP(INT(D604)+1,Tablas!$G$9:$O$1240,9,0)*(D604-INT(D604))+VLOOKUP(INT(D604),Tablas!$G$9:$O$1240,9,0)*(INT(D604)+1-D604))</f>
        <v>3.3137170508080476</v>
      </c>
      <c r="H604" s="105">
        <f t="shared" ca="1" si="76"/>
        <v>1</v>
      </c>
      <c r="I604" s="106">
        <f t="shared" ca="1" si="77"/>
        <v>1.4419977153841747E-7</v>
      </c>
      <c r="J604" s="106">
        <f t="shared" ca="1" si="81"/>
        <v>1.2359980417578639E-7</v>
      </c>
      <c r="K604" s="105">
        <f t="shared" ca="1" si="78"/>
        <v>3.588923370449785E-6</v>
      </c>
      <c r="L604" s="75"/>
    </row>
    <row r="605" spans="2:12">
      <c r="B605" s="101">
        <f t="shared" ca="1" si="79"/>
        <v>70678</v>
      </c>
      <c r="C605" s="101">
        <f t="shared" ca="1" si="80"/>
        <v>70708</v>
      </c>
      <c r="D605" s="102">
        <f t="shared" ca="1" si="75"/>
        <v>116.08213552361396</v>
      </c>
      <c r="E605" s="103">
        <f t="shared" ca="1" si="74"/>
        <v>0.48154052068448389</v>
      </c>
      <c r="F605" s="104">
        <f ca="1">IF($C$4="Hombre",(+VLOOKUP(INT(D605)+1,Tablas!$G$9:$K$1240,5,0)*(D605-INT(D605))+VLOOKUP(INT(D605),Tablas!$G$9:$K$1240,5,0)*(INT(D605)+1-D605))/(VLOOKUP(INT($C$5)+1,Tablas!$G$9:$K$1240,5,0)*($C$5-INT($C$5))+VLOOKUP(INT($C$5),Tablas!$G$9:$K$124,5,0)*(INT($C$5)+1-$C$5)),(+VLOOKUP(INT(D605)+1,Tablas!$G$9:$O$1240,9,0)*(D605-INT(D605))+VLOOKUP(INT(D605),Tablas!$G$9:$O$1240,9,0)*(INT(D605)+1-D605))/(VLOOKUP(INT($C$5)+1,Tablas!$G$9:$O$1240,9,0)*($C$5-INT($C$5))+VLOOKUP(INT($C$5),Tablas!$G$9:$O$124,9,0)*(INT($C$5)+1-$C$5)))</f>
        <v>3.2856404249219442E-6</v>
      </c>
      <c r="G605" s="97">
        <f ca="1">IF($C$4="Hombre",(+VLOOKUP(INT(D605)+1,Tablas!$G$9:$K$1240,5,0)*(D605-INT(D605))+VLOOKUP(INT(D605),Tablas!$G$9:$K$1240,5,0)*(INT(D605)+1-D605)),+VLOOKUP(INT(D605)+1,Tablas!$G$9:$O$1240,9,0)*(D605-INT(D605))+VLOOKUP(INT(D605),Tablas!$G$9:$O$1240,9,0)*(INT(D605)+1-D605))</f>
        <v>3.0336904901715793</v>
      </c>
      <c r="H605" s="105">
        <f t="shared" ca="1" si="76"/>
        <v>1</v>
      </c>
      <c r="I605" s="106">
        <f t="shared" ca="1" si="77"/>
        <v>1.318474167499085E-7</v>
      </c>
      <c r="J605" s="106">
        <f t="shared" ca="1" si="81"/>
        <v>1.1301207149992157E-7</v>
      </c>
      <c r="K605" s="105">
        <f t="shared" ca="1" si="78"/>
        <v>3.2856404249219442E-6</v>
      </c>
      <c r="L605" s="75"/>
    </row>
    <row r="606" spans="2:12">
      <c r="B606" s="101">
        <f t="shared" ca="1" si="79"/>
        <v>70709</v>
      </c>
      <c r="C606" s="101">
        <f t="shared" ca="1" si="80"/>
        <v>70739</v>
      </c>
      <c r="D606" s="102">
        <f t="shared" ca="1" si="75"/>
        <v>116.16700889801506</v>
      </c>
      <c r="E606" s="103">
        <f t="shared" ca="1" si="74"/>
        <v>0.48093240785570945</v>
      </c>
      <c r="F606" s="104">
        <f ca="1">IF($C$4="Hombre",(+VLOOKUP(INT(D606)+1,Tablas!$G$9:$K$1240,5,0)*(D606-INT(D606))+VLOOKUP(INT(D606),Tablas!$G$9:$K$1240,5,0)*(INT(D606)+1-D606))/(VLOOKUP(INT($C$5)+1,Tablas!$G$9:$K$1240,5,0)*($C$5-INT($C$5))+VLOOKUP(INT($C$5),Tablas!$G$9:$K$124,5,0)*(INT($C$5)+1-$C$5)),(+VLOOKUP(INT(D606)+1,Tablas!$G$9:$O$1240,9,0)*(D606-INT(D606))+VLOOKUP(INT(D606),Tablas!$G$9:$O$1240,9,0)*(INT(D606)+1-D606))/(VLOOKUP(INT($C$5)+1,Tablas!$G$9:$O$1240,9,0)*($C$5-INT($C$5))+VLOOKUP(INT($C$5),Tablas!$G$9:$O$124,9,0)*(INT($C$5)+1-$C$5)))</f>
        <v>3.0196368611008677E-6</v>
      </c>
      <c r="G606" s="97">
        <f ca="1">IF($C$4="Hombre",(+VLOOKUP(INT(D606)+1,Tablas!$G$9:$K$1240,5,0)*(D606-INT(D606))+VLOOKUP(INT(D606),Tablas!$G$9:$K$1240,5,0)*(INT(D606)+1-D606)),+VLOOKUP(INT(D606)+1,Tablas!$G$9:$O$1240,9,0)*(D606-INT(D606))+VLOOKUP(INT(D606),Tablas!$G$9:$O$1240,9,0)*(INT(D606)+1-D606))</f>
        <v>2.7880846485235482</v>
      </c>
      <c r="H606" s="105">
        <f t="shared" ca="1" si="76"/>
        <v>1</v>
      </c>
      <c r="I606" s="106">
        <f t="shared" ca="1" si="77"/>
        <v>1.2102010220492473E-7</v>
      </c>
      <c r="J606" s="106">
        <f t="shared" ca="1" si="81"/>
        <v>1.0373151617564976E-7</v>
      </c>
      <c r="K606" s="105">
        <f t="shared" ca="1" si="78"/>
        <v>3.0196368611008677E-6</v>
      </c>
      <c r="L606" s="75"/>
    </row>
    <row r="607" spans="2:12">
      <c r="B607" s="101">
        <f t="shared" ca="1" si="79"/>
        <v>70740</v>
      </c>
      <c r="C607" s="101">
        <f t="shared" ca="1" si="80"/>
        <v>70769</v>
      </c>
      <c r="D607" s="102">
        <f t="shared" ca="1" si="75"/>
        <v>116.24914442162903</v>
      </c>
      <c r="E607" s="103">
        <f t="shared" ca="1" si="74"/>
        <v>0.48034464277470762</v>
      </c>
      <c r="F607" s="104">
        <f ca="1">IF($C$4="Hombre",(+VLOOKUP(INT(D607)+1,Tablas!$G$9:$K$1240,5,0)*(D607-INT(D607))+VLOOKUP(INT(D607),Tablas!$G$9:$K$1240,5,0)*(INT(D607)+1-D607))/(VLOOKUP(INT($C$5)+1,Tablas!$G$9:$K$1240,5,0)*($C$5-INT($C$5))+VLOOKUP(INT($C$5),Tablas!$G$9:$K$124,5,0)*(INT($C$5)+1-$C$5)),(+VLOOKUP(INT(D607)+1,Tablas!$G$9:$O$1240,9,0)*(D607-INT(D607))+VLOOKUP(INT(D607),Tablas!$G$9:$O$1240,9,0)*(INT(D607)+1-D607))/(VLOOKUP(INT($C$5)+1,Tablas!$G$9:$O$1240,9,0)*($C$5-INT($C$5))+VLOOKUP(INT($C$5),Tablas!$G$9:$O$124,9,0)*(INT($C$5)+1-$C$5)))</f>
        <v>2.7622140574030382E-6</v>
      </c>
      <c r="G607" s="97">
        <f ca="1">IF($C$4="Hombre",(+VLOOKUP(INT(D607)+1,Tablas!$G$9:$K$1240,5,0)*(D607-INT(D607))+VLOOKUP(INT(D607),Tablas!$G$9:$K$1240,5,0)*(INT(D607)+1-D607)),+VLOOKUP(INT(D607)+1,Tablas!$G$9:$O$1240,9,0)*(D607-INT(D607))+VLOOKUP(INT(D607),Tablas!$G$9:$O$1240,9,0)*(INT(D607)+1-D607))</f>
        <v>2.5504015759609251</v>
      </c>
      <c r="H607" s="105">
        <f t="shared" ca="1" si="76"/>
        <v>1</v>
      </c>
      <c r="I607" s="106">
        <f t="shared" ca="1" si="77"/>
        <v>1.1056789372254484E-7</v>
      </c>
      <c r="J607" s="106">
        <f t="shared" ca="1" si="81"/>
        <v>9.4772480333609873E-8</v>
      </c>
      <c r="K607" s="105">
        <f t="shared" ca="1" si="78"/>
        <v>2.7622140574030382E-6</v>
      </c>
      <c r="L607" s="75"/>
    </row>
    <row r="608" spans="2:12">
      <c r="B608" s="101">
        <f t="shared" ca="1" si="79"/>
        <v>70770</v>
      </c>
      <c r="C608" s="101">
        <f t="shared" ca="1" si="80"/>
        <v>70800</v>
      </c>
      <c r="D608" s="102">
        <f t="shared" ca="1" si="75"/>
        <v>116.33401779603011</v>
      </c>
      <c r="E608" s="103">
        <f t="shared" ca="1" si="74"/>
        <v>0.47973804015881738</v>
      </c>
      <c r="F608" s="104">
        <f ca="1">IF($C$4="Hombre",(+VLOOKUP(INT(D608)+1,Tablas!$G$9:$K$1240,5,0)*(D608-INT(D608))+VLOOKUP(INT(D608),Tablas!$G$9:$K$1240,5,0)*(INT(D608)+1-D608))/(VLOOKUP(INT($C$5)+1,Tablas!$G$9:$K$1240,5,0)*($C$5-INT($C$5))+VLOOKUP(INT($C$5),Tablas!$G$9:$K$124,5,0)*(INT($C$5)+1-$C$5)),(+VLOOKUP(INT(D608)+1,Tablas!$G$9:$O$1240,9,0)*(D608-INT(D608))+VLOOKUP(INT(D608),Tablas!$G$9:$O$1240,9,0)*(INT(D608)+1-D608))/(VLOOKUP(INT($C$5)+1,Tablas!$G$9:$O$1240,9,0)*($C$5-INT($C$5))+VLOOKUP(INT($C$5),Tablas!$G$9:$O$124,9,0)*(INT($C$5)+1-$C$5)))</f>
        <v>2.4962104935820063E-6</v>
      </c>
      <c r="G608" s="97">
        <f ca="1">IF($C$4="Hombre",(+VLOOKUP(INT(D608)+1,Tablas!$G$9:$K$1240,5,0)*(D608-INT(D608))+VLOOKUP(INT(D608),Tablas!$G$9:$K$1240,5,0)*(INT(D608)+1-D608)),+VLOOKUP(INT(D608)+1,Tablas!$G$9:$O$1240,9,0)*(D608-INT(D608))+VLOOKUP(INT(D608),Tablas!$G$9:$O$1240,9,0)*(INT(D608)+1-D608))</f>
        <v>2.3047957343129353</v>
      </c>
      <c r="H608" s="105">
        <f t="shared" ca="1" si="76"/>
        <v>1</v>
      </c>
      <c r="I608" s="106">
        <f t="shared" ca="1" si="77"/>
        <v>9.9793927501242162E-8</v>
      </c>
      <c r="J608" s="106">
        <f t="shared" ca="1" si="81"/>
        <v>8.5537652143921859E-8</v>
      </c>
      <c r="K608" s="105">
        <f t="shared" ca="1" si="78"/>
        <v>2.4962104935820063E-6</v>
      </c>
      <c r="L608" s="75"/>
    </row>
    <row r="609" spans="2:12">
      <c r="B609" s="101">
        <f t="shared" ca="1" si="79"/>
        <v>70801</v>
      </c>
      <c r="C609" s="101">
        <f t="shared" ca="1" si="80"/>
        <v>70830</v>
      </c>
      <c r="D609" s="102">
        <f t="shared" ca="1" si="75"/>
        <v>116.41615331964408</v>
      </c>
      <c r="E609" s="103">
        <f t="shared" ca="1" si="74"/>
        <v>0.47915173475825007</v>
      </c>
      <c r="F609" s="104">
        <f ca="1">IF($C$4="Hombre",(+VLOOKUP(INT(D609)+1,Tablas!$G$9:$K$1240,5,0)*(D609-INT(D609))+VLOOKUP(INT(D609),Tablas!$G$9:$K$1240,5,0)*(INT(D609)+1-D609))/(VLOOKUP(INT($C$5)+1,Tablas!$G$9:$K$1240,5,0)*($C$5-INT($C$5))+VLOOKUP(INT($C$5),Tablas!$G$9:$K$124,5,0)*(INT($C$5)+1-$C$5)),(+VLOOKUP(INT(D609)+1,Tablas!$G$9:$O$1240,9,0)*(D609-INT(D609))+VLOOKUP(INT(D609),Tablas!$G$9:$O$1240,9,0)*(INT(D609)+1-D609))/(VLOOKUP(INT($C$5)+1,Tablas!$G$9:$O$1240,9,0)*($C$5-INT($C$5))+VLOOKUP(INT($C$5),Tablas!$G$9:$O$124,9,0)*(INT($C$5)+1-$C$5)))</f>
        <v>2.238787689884176E-6</v>
      </c>
      <c r="G609" s="97">
        <f ca="1">IF($C$4="Hombre",(+VLOOKUP(INT(D609)+1,Tablas!$G$9:$K$1240,5,0)*(D609-INT(D609))+VLOOKUP(INT(D609),Tablas!$G$9:$K$1240,5,0)*(INT(D609)+1-D609)),+VLOOKUP(INT(D609)+1,Tablas!$G$9:$O$1240,9,0)*(D609-INT(D609))+VLOOKUP(INT(D609),Tablas!$G$9:$O$1240,9,0)*(INT(D609)+1-D609))</f>
        <v>2.0671126617503113</v>
      </c>
      <c r="H609" s="105">
        <f t="shared" ca="1" si="76"/>
        <v>1</v>
      </c>
      <c r="I609" s="106">
        <f t="shared" ca="1" si="77"/>
        <v>8.9393250446951512E-8</v>
      </c>
      <c r="J609" s="106">
        <f t="shared" ca="1" si="81"/>
        <v>1.5324557219477401E-7</v>
      </c>
      <c r="K609" s="105">
        <f t="shared" ca="1" si="78"/>
        <v>2.238787689884176E-6</v>
      </c>
      <c r="L609" s="75"/>
    </row>
    <row r="610" spans="2:12">
      <c r="B610" s="101">
        <f t="shared" ca="1" si="79"/>
        <v>70831</v>
      </c>
      <c r="C610" s="101">
        <f t="shared" ca="1" si="80"/>
        <v>70861</v>
      </c>
      <c r="D610" s="102">
        <f t="shared" ca="1" si="75"/>
        <v>116.50102669404518</v>
      </c>
      <c r="E610" s="103">
        <f t="shared" ca="1" si="74"/>
        <v>0.47854663860471802</v>
      </c>
      <c r="F610" s="104">
        <f ca="1">IF($C$4="Hombre",(+VLOOKUP(INT(D610)+1,Tablas!$G$9:$K$1240,5,0)*(D610-INT(D610))+VLOOKUP(INT(D610),Tablas!$G$9:$K$1240,5,0)*(INT(D610)+1-D610))/(VLOOKUP(INT($C$5)+1,Tablas!$G$9:$K$1240,5,0)*($C$5-INT($C$5))+VLOOKUP(INT($C$5),Tablas!$G$9:$K$124,5,0)*(INT($C$5)+1-$C$5)),(+VLOOKUP(INT(D610)+1,Tablas!$G$9:$O$1240,9,0)*(D610-INT(D610))+VLOOKUP(INT(D610),Tablas!$G$9:$O$1240,9,0)*(INT(D610)+1-D610))/(VLOOKUP(INT($C$5)+1,Tablas!$G$9:$O$1240,9,0)*($C$5-INT($C$5))+VLOOKUP(INT($C$5),Tablas!$G$9:$O$124,9,0)*(INT($C$5)+1-$C$5)))</f>
        <v>1.9727841260630999E-6</v>
      </c>
      <c r="G610" s="97">
        <f ca="1">IF($C$4="Hombre",(+VLOOKUP(INT(D610)+1,Tablas!$G$9:$K$1240,5,0)*(D610-INT(D610))+VLOOKUP(INT(D610),Tablas!$G$9:$K$1240,5,0)*(INT(D610)+1-D610)),+VLOOKUP(INT(D610)+1,Tablas!$G$9:$O$1240,9,0)*(D610-INT(D610))+VLOOKUP(INT(D610),Tablas!$G$9:$O$1240,9,0)*(INT(D610)+1-D610))</f>
        <v>1.8215068201022806</v>
      </c>
      <c r="H610" s="105">
        <f t="shared" ca="1" si="76"/>
        <v>1</v>
      </c>
      <c r="I610" s="106">
        <f t="shared" ca="1" si="77"/>
        <v>7.8672434351686893E-8</v>
      </c>
      <c r="J610" s="106">
        <f t="shared" ca="1" si="81"/>
        <v>6.7433515158588756E-8</v>
      </c>
      <c r="K610" s="105">
        <f t="shared" ca="1" si="78"/>
        <v>1.9727841260630999E-6</v>
      </c>
      <c r="L610" s="75"/>
    </row>
    <row r="611" spans="2:12">
      <c r="B611" s="101">
        <f t="shared" ca="1" si="79"/>
        <v>70862</v>
      </c>
      <c r="C611" s="101">
        <f t="shared" ca="1" si="80"/>
        <v>70892</v>
      </c>
      <c r="D611" s="102">
        <f t="shared" ca="1" si="75"/>
        <v>116.58590006844626</v>
      </c>
      <c r="E611" s="103">
        <f t="shared" ca="1" si="74"/>
        <v>0.47794230659608722</v>
      </c>
      <c r="F611" s="104">
        <f ca="1">IF($C$4="Hombre",(+VLOOKUP(INT(D611)+1,Tablas!$G$9:$K$1240,5,0)*(D611-INT(D611))+VLOOKUP(INT(D611),Tablas!$G$9:$K$1240,5,0)*(INT(D611)+1-D611))/(VLOOKUP(INT($C$5)+1,Tablas!$G$9:$K$1240,5,0)*($C$5-INT($C$5))+VLOOKUP(INT($C$5),Tablas!$G$9:$K$124,5,0)*(INT($C$5)+1-$C$5)),(+VLOOKUP(INT(D611)+1,Tablas!$G$9:$O$1240,9,0)*(D611-INT(D611))+VLOOKUP(INT(D611),Tablas!$G$9:$O$1240,9,0)*(INT(D611)+1-D611))/(VLOOKUP(INT($C$5)+1,Tablas!$G$9:$O$1240,9,0)*($C$5-INT($C$5))+VLOOKUP(INT($C$5),Tablas!$G$9:$O$124,9,0)*(INT($C$5)+1-$C$5)))</f>
        <v>1.7067805622420684E-6</v>
      </c>
      <c r="G611" s="97">
        <f ca="1">IF($C$4="Hombre",(+VLOOKUP(INT(D611)+1,Tablas!$G$9:$K$1240,5,0)*(D611-INT(D611))+VLOOKUP(INT(D611),Tablas!$G$9:$K$1240,5,0)*(INT(D611)+1-D611)),+VLOOKUP(INT(D611)+1,Tablas!$G$9:$O$1240,9,0)*(D611-INT(D611))+VLOOKUP(INT(D611),Tablas!$G$9:$O$1240,9,0)*(INT(D611)+1-D611))</f>
        <v>1.575900978454291</v>
      </c>
      <c r="H611" s="105">
        <f t="shared" ca="1" si="76"/>
        <v>1</v>
      </c>
      <c r="I611" s="106">
        <f t="shared" ca="1" si="77"/>
        <v>6.7978553230945064E-8</v>
      </c>
      <c r="J611" s="106">
        <f t="shared" ca="1" si="81"/>
        <v>5.8267331340810057E-8</v>
      </c>
      <c r="K611" s="105">
        <f t="shared" ca="1" si="78"/>
        <v>1.7067805622420684E-6</v>
      </c>
      <c r="L611" s="75"/>
    </row>
    <row r="612" spans="2:12">
      <c r="B612" s="101">
        <f t="shared" ca="1" si="79"/>
        <v>70893</v>
      </c>
      <c r="C612" s="101">
        <f t="shared" ca="1" si="80"/>
        <v>70920</v>
      </c>
      <c r="D612" s="102">
        <f t="shared" ca="1" si="75"/>
        <v>116.66255989048597</v>
      </c>
      <c r="E612" s="103">
        <f t="shared" ca="1" si="74"/>
        <v>0.47739711432636434</v>
      </c>
      <c r="F612" s="104">
        <f ca="1">IF($C$4="Hombre",(+VLOOKUP(INT(D612)+1,Tablas!$G$9:$K$1240,5,0)*(D612-INT(D612))+VLOOKUP(INT(D612),Tablas!$G$9:$K$1240,5,0)*(INT(D612)+1-D612))/(VLOOKUP(INT($C$5)+1,Tablas!$G$9:$K$1240,5,0)*($C$5-INT($C$5))+VLOOKUP(INT($C$5),Tablas!$G$9:$K$124,5,0)*(INT($C$5)+1-$C$5)),(+VLOOKUP(INT(D612)+1,Tablas!$G$9:$O$1240,9,0)*(D612-INT(D612))+VLOOKUP(INT(D612),Tablas!$G$9:$O$1240,9,0)*(INT(D612)+1-D612))/(VLOOKUP(INT($C$5)+1,Tablas!$G$9:$O$1240,9,0)*($C$5-INT($C$5))+VLOOKUP(INT($C$5),Tablas!$G$9:$O$124,9,0)*(INT($C$5)+1-$C$5)))</f>
        <v>1.466519278790775E-6</v>
      </c>
      <c r="G612" s="97">
        <f ca="1">IF($C$4="Hombre",(+VLOOKUP(INT(D612)+1,Tablas!$G$9:$K$1240,5,0)*(D612-INT(D612))+VLOOKUP(INT(D612),Tablas!$G$9:$K$1240,5,0)*(INT(D612)+1-D612)),+VLOOKUP(INT(D612)+1,Tablas!$G$9:$O$1240,9,0)*(D612-INT(D612))+VLOOKUP(INT(D612),Tablas!$G$9:$O$1240,9,0)*(INT(D612)+1-D612))</f>
        <v>1.3540634440625223</v>
      </c>
      <c r="H612" s="105">
        <f t="shared" ca="1" si="76"/>
        <v>1</v>
      </c>
      <c r="I612" s="106">
        <f t="shared" ca="1" si="77"/>
        <v>5.8342672649891418E-8</v>
      </c>
      <c r="J612" s="106">
        <f t="shared" ca="1" si="81"/>
        <v>5.000800512847836E-8</v>
      </c>
      <c r="K612" s="105">
        <f t="shared" ca="1" si="78"/>
        <v>1.466519278790775E-6</v>
      </c>
      <c r="L612" s="75"/>
    </row>
    <row r="613" spans="2:12">
      <c r="B613" s="101">
        <f t="shared" ca="1" si="79"/>
        <v>70921</v>
      </c>
      <c r="C613" s="101">
        <f t="shared" ca="1" si="80"/>
        <v>70951</v>
      </c>
      <c r="D613" s="102">
        <f t="shared" ca="1" si="75"/>
        <v>116.74743326488706</v>
      </c>
      <c r="E613" s="103">
        <f t="shared" ca="1" si="74"/>
        <v>0.47679423399299359</v>
      </c>
      <c r="F613" s="104">
        <f ca="1">IF($C$4="Hombre",(+VLOOKUP(INT(D613)+1,Tablas!$G$9:$K$1240,5,0)*(D613-INT(D613))+VLOOKUP(INT(D613),Tablas!$G$9:$K$1240,5,0)*(INT(D613)+1-D613))/(VLOOKUP(INT($C$5)+1,Tablas!$G$9:$K$1240,5,0)*($C$5-INT($C$5))+VLOOKUP(INT($C$5),Tablas!$G$9:$K$124,5,0)*(INT($C$5)+1-$C$5)),(+VLOOKUP(INT(D613)+1,Tablas!$G$9:$O$1240,9,0)*(D613-INT(D613))+VLOOKUP(INT(D613),Tablas!$G$9:$O$1240,9,0)*(INT(D613)+1-D613))/(VLOOKUP(INT($C$5)+1,Tablas!$G$9:$O$1240,9,0)*($C$5-INT($C$5))+VLOOKUP(INT($C$5),Tablas!$G$9:$O$124,9,0)*(INT($C$5)+1-$C$5)))</f>
        <v>1.2005157149696988E-6</v>
      </c>
      <c r="G613" s="97">
        <f ca="1">IF($C$4="Hombre",(+VLOOKUP(INT(D613)+1,Tablas!$G$9:$K$1240,5,0)*(D613-INT(D613))+VLOOKUP(INT(D613),Tablas!$G$9:$K$1240,5,0)*(INT(D613)+1-D613)),+VLOOKUP(INT(D613)+1,Tablas!$G$9:$O$1240,9,0)*(D613-INT(D613))+VLOOKUP(INT(D613),Tablas!$G$9:$O$1240,9,0)*(INT(D613)+1-D613))</f>
        <v>1.1084576024144916</v>
      </c>
      <c r="H613" s="105">
        <f t="shared" ca="1" si="76"/>
        <v>1</v>
      </c>
      <c r="I613" s="106">
        <f t="shared" ca="1" si="77"/>
        <v>4.7699914226294046E-8</v>
      </c>
      <c r="J613" s="106">
        <f t="shared" ca="1" si="81"/>
        <v>4.0885640765394897E-8</v>
      </c>
      <c r="K613" s="105">
        <f t="shared" ca="1" si="78"/>
        <v>1.2005157149696988E-6</v>
      </c>
      <c r="L613" s="75"/>
    </row>
    <row r="614" spans="2:12">
      <c r="B614" s="101">
        <f t="shared" ca="1" si="79"/>
        <v>70952</v>
      </c>
      <c r="C614" s="101">
        <f t="shared" ca="1" si="80"/>
        <v>70981</v>
      </c>
      <c r="D614" s="102">
        <f t="shared" ca="1" si="75"/>
        <v>116.82956878850102</v>
      </c>
      <c r="E614" s="103">
        <f t="shared" ca="1" si="74"/>
        <v>0.47621152632558233</v>
      </c>
      <c r="F614" s="104">
        <f ca="1">IF($C$4="Hombre",(+VLOOKUP(INT(D614)+1,Tablas!$G$9:$K$1240,5,0)*(D614-INT(D614))+VLOOKUP(INT(D614),Tablas!$G$9:$K$1240,5,0)*(INT(D614)+1-D614))/(VLOOKUP(INT($C$5)+1,Tablas!$G$9:$K$1240,5,0)*($C$5-INT($C$5))+VLOOKUP(INT($C$5),Tablas!$G$9:$K$124,5,0)*(INT($C$5)+1-$C$5)),(+VLOOKUP(INT(D614)+1,Tablas!$G$9:$O$1240,9,0)*(D614-INT(D614))+VLOOKUP(INT(D614),Tablas!$G$9:$O$1240,9,0)*(INT(D614)+1-D614))/(VLOOKUP(INT($C$5)+1,Tablas!$G$9:$O$1240,9,0)*($C$5-INT($C$5))+VLOOKUP(INT($C$5),Tablas!$G$9:$O$124,9,0)*(INT($C$5)+1-$C$5)))</f>
        <v>9.4309291127191339E-7</v>
      </c>
      <c r="G614" s="97">
        <f ca="1">IF($C$4="Hombre",(+VLOOKUP(INT(D614)+1,Tablas!$G$9:$K$1240,5,0)*(D614-INT(D614))+VLOOKUP(INT(D614),Tablas!$G$9:$K$1240,5,0)*(INT(D614)+1-D614)),+VLOOKUP(INT(D614)+1,Tablas!$G$9:$O$1240,9,0)*(D614-INT(D614))+VLOOKUP(INT(D614),Tablas!$G$9:$O$1240,9,0)*(INT(D614)+1-D614))</f>
        <v>0.87077452985190906</v>
      </c>
      <c r="H614" s="105">
        <f t="shared" ca="1" si="76"/>
        <v>1</v>
      </c>
      <c r="I614" s="106">
        <f t="shared" ca="1" si="77"/>
        <v>3.7425976228636241E-8</v>
      </c>
      <c r="J614" s="106">
        <f t="shared" ca="1" si="81"/>
        <v>3.207940819597392E-8</v>
      </c>
      <c r="K614" s="105">
        <f t="shared" ca="1" si="78"/>
        <v>9.4309291127191339E-7</v>
      </c>
      <c r="L614" s="75"/>
    </row>
    <row r="615" spans="2:12">
      <c r="B615" s="101">
        <f t="shared" ca="1" si="79"/>
        <v>70982</v>
      </c>
      <c r="C615" s="101">
        <f t="shared" ca="1" si="80"/>
        <v>71012</v>
      </c>
      <c r="D615" s="102">
        <f t="shared" ca="1" si="75"/>
        <v>116.91444216290212</v>
      </c>
      <c r="E615" s="103">
        <f t="shared" ca="1" si="74"/>
        <v>0.47561014321049738</v>
      </c>
      <c r="F615" s="104">
        <f ca="1">IF($C$4="Hombre",(+VLOOKUP(INT(D615)+1,Tablas!$G$9:$K$1240,5,0)*(D615-INT(D615))+VLOOKUP(INT(D615),Tablas!$G$9:$K$1240,5,0)*(INT(D615)+1-D615))/(VLOOKUP(INT($C$5)+1,Tablas!$G$9:$K$1240,5,0)*($C$5-INT($C$5))+VLOOKUP(INT($C$5),Tablas!$G$9:$K$124,5,0)*(INT($C$5)+1-$C$5)),(+VLOOKUP(INT(D615)+1,Tablas!$G$9:$O$1240,9,0)*(D615-INT(D615))+VLOOKUP(INT(D615),Tablas!$G$9:$O$1240,9,0)*(INT(D615)+1-D615))/(VLOOKUP(INT($C$5)+1,Tablas!$G$9:$O$1240,9,0)*($C$5-INT($C$5))+VLOOKUP(INT($C$5),Tablas!$G$9:$O$124,9,0)*(INT($C$5)+1-$C$5)))</f>
        <v>6.7708934745083715E-7</v>
      </c>
      <c r="G615" s="97">
        <f ca="1">IF($C$4="Hombre",(+VLOOKUP(INT(D615)+1,Tablas!$G$9:$K$1240,5,0)*(D615-INT(D615))+VLOOKUP(INT(D615),Tablas!$G$9:$K$1240,5,0)*(INT(D615)+1-D615)),+VLOOKUP(INT(D615)+1,Tablas!$G$9:$O$1240,9,0)*(D615-INT(D615))+VLOOKUP(INT(D615),Tablas!$G$9:$O$1240,9,0)*(INT(D615)+1-D615))</f>
        <v>0.62516868820387828</v>
      </c>
      <c r="H615" s="105">
        <f t="shared" ca="1" si="76"/>
        <v>1</v>
      </c>
      <c r="I615" s="106">
        <f t="shared" ca="1" si="77"/>
        <v>2.6835880125616238E-8</v>
      </c>
      <c r="J615" s="106">
        <f t="shared" ca="1" si="81"/>
        <v>4.6004365929627838E-8</v>
      </c>
      <c r="K615" s="105">
        <f t="shared" ca="1" si="78"/>
        <v>6.7708934745083715E-7</v>
      </c>
      <c r="L615" s="75"/>
    </row>
    <row r="616" spans="2:12">
      <c r="B616" s="101">
        <f t="shared" ca="1" si="79"/>
        <v>71013</v>
      </c>
      <c r="C616" s="101">
        <f t="shared" ca="1" si="80"/>
        <v>71042</v>
      </c>
      <c r="D616" s="102">
        <f t="shared" ca="1" si="75"/>
        <v>116.99657768651609</v>
      </c>
      <c r="E616" s="103">
        <f t="shared" ca="1" si="74"/>
        <v>0.47502888266372773</v>
      </c>
      <c r="F616" s="104">
        <f ca="1">IF($C$4="Hombre",(+VLOOKUP(INT(D616)+1,Tablas!$G$9:$K$1240,5,0)*(D616-INT(D616))+VLOOKUP(INT(D616),Tablas!$G$9:$K$1240,5,0)*(INT(D616)+1-D616))/(VLOOKUP(INT($C$5)+1,Tablas!$G$9:$K$1240,5,0)*($C$5-INT($C$5))+VLOOKUP(INT($C$5),Tablas!$G$9:$K$124,5,0)*(INT($C$5)+1-$C$5)),(+VLOOKUP(INT(D616)+1,Tablas!$G$9:$O$1240,9,0)*(D616-INT(D616))+VLOOKUP(INT(D616),Tablas!$G$9:$O$1240,9,0)*(INT(D616)+1-D616))/(VLOOKUP(INT($C$5)+1,Tablas!$G$9:$O$1240,9,0)*($C$5-INT($C$5))+VLOOKUP(INT($C$5),Tablas!$G$9:$O$124,9,0)*(INT($C$5)+1-$C$5)))</f>
        <v>4.1966654375300721E-7</v>
      </c>
      <c r="G616" s="97">
        <f ca="1">IF($C$4="Hombre",(+VLOOKUP(INT(D616)+1,Tablas!$G$9:$K$1240,5,0)*(D616-INT(D616))+VLOOKUP(INT(D616),Tablas!$G$9:$K$1240,5,0)*(INT(D616)+1-D616)),+VLOOKUP(INT(D616)+1,Tablas!$G$9:$O$1240,9,0)*(D616-INT(D616))+VLOOKUP(INT(D616),Tablas!$G$9:$O$1240,9,0)*(INT(D616)+1-D616))</f>
        <v>0.38748561564125461</v>
      </c>
      <c r="H616" s="105">
        <f t="shared" ca="1" si="76"/>
        <v>1</v>
      </c>
      <c r="I616" s="106">
        <f t="shared" ca="1" si="77"/>
        <v>1.6612810780861615E-8</v>
      </c>
      <c r="J616" s="106">
        <f t="shared" ca="1" si="81"/>
        <v>1.4239552097881385E-8</v>
      </c>
      <c r="K616" s="105">
        <f t="shared" ca="1" si="78"/>
        <v>4.1966654375300721E-7</v>
      </c>
      <c r="L616" s="75"/>
    </row>
    <row r="617" spans="2:12">
      <c r="B617" s="101">
        <f t="shared" ca="1" si="79"/>
        <v>71043</v>
      </c>
      <c r="C617" s="101">
        <f t="shared" ca="1" si="80"/>
        <v>71073</v>
      </c>
      <c r="D617" s="102">
        <f t="shared" ca="1" si="75"/>
        <v>117.08145106091717</v>
      </c>
      <c r="E617" s="103">
        <f t="shared" ca="1" si="74"/>
        <v>0.47442899304867414</v>
      </c>
      <c r="F617" s="104">
        <f ca="1">IF($C$4="Hombre",(+VLOOKUP(INT(D617)+1,Tablas!$G$9:$K$1240,5,0)*(D617-INT(D617))+VLOOKUP(INT(D617),Tablas!$G$9:$K$1240,5,0)*(INT(D617)+1-D617))/(VLOOKUP(INT($C$5)+1,Tablas!$G$9:$K$1240,5,0)*($C$5-INT($C$5))+VLOOKUP(INT($C$5),Tablas!$G$9:$K$124,5,0)*(INT($C$5)+1-$C$5)),(+VLOOKUP(INT(D617)+1,Tablas!$G$9:$O$1240,9,0)*(D617-INT(D617))+VLOOKUP(INT(D617),Tablas!$G$9:$O$1240,9,0)*(INT(D617)+1-D617))/(VLOOKUP(INT($C$5)+1,Tablas!$G$9:$O$1240,9,0)*($C$5-INT($C$5))+VLOOKUP(INT($C$5),Tablas!$G$9:$O$124,9,0)*(INT($C$5)+1-$C$5)))</f>
        <v>3.7822967700647209E-7</v>
      </c>
      <c r="G617" s="97">
        <f ca="1">IF($C$4="Hombre",(+VLOOKUP(INT(D617)+1,Tablas!$G$9:$K$1240,5,0)*(D617-INT(D617))+VLOOKUP(INT(D617),Tablas!$G$9:$K$1240,5,0)*(INT(D617)+1-D617)),+VLOOKUP(INT(D617)+1,Tablas!$G$9:$O$1240,9,0)*(D617-INT(D617))+VLOOKUP(INT(D617),Tablas!$G$9:$O$1240,9,0)*(INT(D617)+1-D617))</f>
        <v>0.34922621645746932</v>
      </c>
      <c r="H617" s="105">
        <f t="shared" ca="1" si="76"/>
        <v>1</v>
      </c>
      <c r="I617" s="106">
        <f t="shared" ca="1" si="77"/>
        <v>1.4953593733608815E-8</v>
      </c>
      <c r="J617" s="106">
        <f t="shared" ca="1" si="81"/>
        <v>1.2817366057378985E-8</v>
      </c>
      <c r="K617" s="105">
        <f t="shared" ca="1" si="78"/>
        <v>3.7822967700647209E-7</v>
      </c>
      <c r="L617" s="75"/>
    </row>
    <row r="618" spans="2:12">
      <c r="B618" s="101">
        <f t="shared" ca="1" si="79"/>
        <v>71074</v>
      </c>
      <c r="C618" s="101">
        <f t="shared" ca="1" si="80"/>
        <v>71104</v>
      </c>
      <c r="D618" s="102">
        <f t="shared" ca="1" si="75"/>
        <v>117.16632443531827</v>
      </c>
      <c r="E618" s="103">
        <f t="shared" ca="1" si="74"/>
        <v>0.47382986100345109</v>
      </c>
      <c r="F618" s="104">
        <f ca="1">IF($C$4="Hombre",(+VLOOKUP(INT(D618)+1,Tablas!$G$9:$K$1240,5,0)*(D618-INT(D618))+VLOOKUP(INT(D618),Tablas!$G$9:$K$1240,5,0)*(INT(D618)+1-D618))/(VLOOKUP(INT($C$5)+1,Tablas!$G$9:$K$1240,5,0)*($C$5-INT($C$5))+VLOOKUP(INT($C$5),Tablas!$G$9:$K$124,5,0)*(INT($C$5)+1-$C$5)),(+VLOOKUP(INT(D618)+1,Tablas!$G$9:$O$1240,9,0)*(D618-INT(D618))+VLOOKUP(INT(D618),Tablas!$G$9:$O$1240,9,0)*(INT(D618)+1-D618))/(VLOOKUP(INT($C$5)+1,Tablas!$G$9:$O$1240,9,0)*($C$5-INT($C$5))+VLOOKUP(INT($C$5),Tablas!$G$9:$O$124,9,0)*(INT($C$5)+1-$C$5)))</f>
        <v>3.4622838576724865E-7</v>
      </c>
      <c r="G618" s="97">
        <f ca="1">IF($C$4="Hombre",(+VLOOKUP(INT(D618)+1,Tablas!$G$9:$K$1240,5,0)*(D618-INT(D618))+VLOOKUP(INT(D618),Tablas!$G$9:$K$1240,5,0)*(INT(D618)+1-D618)),+VLOOKUP(INT(D618)+1,Tablas!$G$9:$O$1240,9,0)*(D618-INT(D618))+VLOOKUP(INT(D618),Tablas!$G$9:$O$1240,9,0)*(INT(D618)+1-D618))</f>
        <v>0.31967885267132112</v>
      </c>
      <c r="H618" s="105">
        <f t="shared" ca="1" si="76"/>
        <v>1</v>
      </c>
      <c r="I618" s="106">
        <f t="shared" ca="1" si="77"/>
        <v>1.3671112325295388E-8</v>
      </c>
      <c r="J618" s="106">
        <f t="shared" ca="1" si="81"/>
        <v>1.1718096278824618E-8</v>
      </c>
      <c r="K618" s="105">
        <f t="shared" ca="1" si="78"/>
        <v>3.4622838576724865E-7</v>
      </c>
      <c r="L618" s="75"/>
    </row>
    <row r="619" spans="2:12">
      <c r="B619" s="101">
        <f t="shared" ca="1" si="79"/>
        <v>71105</v>
      </c>
      <c r="C619" s="101">
        <f t="shared" ca="1" si="80"/>
        <v>71134</v>
      </c>
      <c r="D619" s="102">
        <f t="shared" ca="1" si="75"/>
        <v>117.24845995893224</v>
      </c>
      <c r="E619" s="103">
        <f t="shared" ca="1" si="74"/>
        <v>0.47325077620466305</v>
      </c>
      <c r="F619" s="104">
        <f ca="1">IF($C$4="Hombre",(+VLOOKUP(INT(D619)+1,Tablas!$G$9:$K$1240,5,0)*(D619-INT(D619))+VLOOKUP(INT(D619),Tablas!$G$9:$K$1240,5,0)*(INT(D619)+1-D619))/(VLOOKUP(INT($C$5)+1,Tablas!$G$9:$K$1240,5,0)*($C$5-INT($C$5))+VLOOKUP(INT($C$5),Tablas!$G$9:$K$124,5,0)*(INT($C$5)+1-$C$5)),(+VLOOKUP(INT(D619)+1,Tablas!$G$9:$O$1240,9,0)*(D619-INT(D619))+VLOOKUP(INT(D619),Tablas!$G$9:$O$1240,9,0)*(INT(D619)+1-D619))/(VLOOKUP(INT($C$5)+1,Tablas!$G$9:$O$1240,9,0)*($C$5-INT($C$5))+VLOOKUP(INT($C$5),Tablas!$G$9:$O$124,9,0)*(INT($C$5)+1-$C$5)))</f>
        <v>3.1525939424541779E-7</v>
      </c>
      <c r="G619" s="97">
        <f ca="1">IF($C$4="Hombre",(+VLOOKUP(INT(D619)+1,Tablas!$G$9:$K$1240,5,0)*(D619-INT(D619))+VLOOKUP(INT(D619),Tablas!$G$9:$K$1240,5,0)*(INT(D619)+1-D619)),+VLOOKUP(INT(D619)+1,Tablas!$G$9:$O$1240,9,0)*(D619-INT(D619))+VLOOKUP(INT(D619),Tablas!$G$9:$O$1240,9,0)*(INT(D619)+1-D619))</f>
        <v>0.29108462965246645</v>
      </c>
      <c r="H619" s="105">
        <f t="shared" ca="1" si="76"/>
        <v>1</v>
      </c>
      <c r="I619" s="106">
        <f t="shared" ca="1" si="77"/>
        <v>1.2433062752704654E-8</v>
      </c>
      <c r="J619" s="106">
        <f t="shared" ca="1" si="81"/>
        <v>1.0656910930889704E-8</v>
      </c>
      <c r="K619" s="105">
        <f t="shared" ca="1" si="78"/>
        <v>3.1525939424541779E-7</v>
      </c>
      <c r="L619" s="75"/>
    </row>
    <row r="620" spans="2:12">
      <c r="B620" s="101">
        <f t="shared" ca="1" si="79"/>
        <v>71135</v>
      </c>
      <c r="C620" s="101">
        <f t="shared" ca="1" si="80"/>
        <v>71165</v>
      </c>
      <c r="D620" s="102">
        <f t="shared" ca="1" si="75"/>
        <v>117.33333333333333</v>
      </c>
      <c r="E620" s="103">
        <f t="shared" ca="1" si="74"/>
        <v>0.47265313206907006</v>
      </c>
      <c r="F620" s="104">
        <f ca="1">IF($C$4="Hombre",(+VLOOKUP(INT(D620)+1,Tablas!$G$9:$K$1240,5,0)*(D620-INT(D620))+VLOOKUP(INT(D620),Tablas!$G$9:$K$1240,5,0)*(INT(D620)+1-D620))/(VLOOKUP(INT($C$5)+1,Tablas!$G$9:$K$1240,5,0)*($C$5-INT($C$5))+VLOOKUP(INT($C$5),Tablas!$G$9:$K$124,5,0)*(INT($C$5)+1-$C$5)),(+VLOOKUP(INT(D620)+1,Tablas!$G$9:$O$1240,9,0)*(D620-INT(D620))+VLOOKUP(INT(D620),Tablas!$G$9:$O$1240,9,0)*(INT(D620)+1-D620))/(VLOOKUP(INT($C$5)+1,Tablas!$G$9:$O$1240,9,0)*($C$5-INT($C$5))+VLOOKUP(INT($C$5),Tablas!$G$9:$O$124,9,0)*(INT($C$5)+1-$C$5)))</f>
        <v>2.8325810300619971E-7</v>
      </c>
      <c r="G620" s="97">
        <f ca="1">IF($C$4="Hombre",(+VLOOKUP(INT(D620)+1,Tablas!$G$9:$K$1240,5,0)*(D620-INT(D620))+VLOOKUP(INT(D620),Tablas!$G$9:$K$1240,5,0)*(INT(D620)+1-D620)),+VLOOKUP(INT(D620)+1,Tablas!$G$9:$O$1240,9,0)*(D620-INT(D620))+VLOOKUP(INT(D620),Tablas!$G$9:$O$1240,9,0)*(INT(D620)+1-D620))</f>
        <v>0.2615372658663232</v>
      </c>
      <c r="H620" s="105">
        <f t="shared" ca="1" si="76"/>
        <v>1</v>
      </c>
      <c r="I620" s="106">
        <f t="shared" ca="1" si="77"/>
        <v>1.1156902464151962E-8</v>
      </c>
      <c r="J620" s="106">
        <f t="shared" ca="1" si="81"/>
        <v>9.5630592549873954E-9</v>
      </c>
      <c r="K620" s="105">
        <f t="shared" ca="1" si="78"/>
        <v>2.8325810300619971E-7</v>
      </c>
      <c r="L620" s="75"/>
    </row>
    <row r="621" spans="2:12">
      <c r="B621" s="101">
        <f t="shared" ca="1" si="79"/>
        <v>71166</v>
      </c>
      <c r="C621" s="101">
        <f t="shared" ca="1" si="80"/>
        <v>71195</v>
      </c>
      <c r="D621" s="102">
        <f t="shared" ca="1" si="75"/>
        <v>117.4154688569473</v>
      </c>
      <c r="E621" s="103">
        <f t="shared" ca="1" si="74"/>
        <v>0.47207548539373989</v>
      </c>
      <c r="F621" s="104">
        <f ca="1">IF($C$4="Hombre",(+VLOOKUP(INT(D621)+1,Tablas!$G$9:$K$1240,5,0)*(D621-INT(D621))+VLOOKUP(INT(D621),Tablas!$G$9:$K$1240,5,0)*(INT(D621)+1-D621))/(VLOOKUP(INT($C$5)+1,Tablas!$G$9:$K$1240,5,0)*($C$5-INT($C$5))+VLOOKUP(INT($C$5),Tablas!$G$9:$K$124,5,0)*(INT($C$5)+1-$C$5)),(+VLOOKUP(INT(D621)+1,Tablas!$G$9:$O$1240,9,0)*(D621-INT(D621))+VLOOKUP(INT(D621),Tablas!$G$9:$O$1240,9,0)*(INT(D621)+1-D621))/(VLOOKUP(INT($C$5)+1,Tablas!$G$9:$O$1240,9,0)*($C$5-INT($C$5))+VLOOKUP(INT($C$5),Tablas!$G$9:$O$124,9,0)*(INT($C$5)+1-$C$5)))</f>
        <v>2.5228911148436885E-7</v>
      </c>
      <c r="G621" s="97">
        <f ca="1">IF($C$4="Hombre",(+VLOOKUP(INT(D621)+1,Tablas!$G$9:$K$1240,5,0)*(D621-INT(D621))+VLOOKUP(INT(D621),Tablas!$G$9:$K$1240,5,0)*(INT(D621)+1-D621)),+VLOOKUP(INT(D621)+1,Tablas!$G$9:$O$1240,9,0)*(D621-INT(D621))+VLOOKUP(INT(D621),Tablas!$G$9:$O$1240,9,0)*(INT(D621)+1-D621))</f>
        <v>0.23294304284746853</v>
      </c>
      <c r="H621" s="105">
        <f t="shared" ca="1" si="76"/>
        <v>1</v>
      </c>
      <c r="I621" s="106">
        <f t="shared" ca="1" si="77"/>
        <v>9.9249587302948973E-9</v>
      </c>
      <c r="J621" s="106">
        <f t="shared" ca="1" si="81"/>
        <v>1.7014214966219825E-8</v>
      </c>
      <c r="K621" s="105">
        <f t="shared" ca="1" si="78"/>
        <v>2.5228911148436885E-7</v>
      </c>
      <c r="L621" s="75"/>
    </row>
    <row r="622" spans="2:12">
      <c r="B622" s="101">
        <f t="shared" ca="1" si="79"/>
        <v>71196</v>
      </c>
      <c r="C622" s="101">
        <f t="shared" ca="1" si="80"/>
        <v>71226</v>
      </c>
      <c r="D622" s="102">
        <f t="shared" ca="1" si="75"/>
        <v>117.5003422313484</v>
      </c>
      <c r="E622" s="103">
        <f t="shared" ca="1" si="74"/>
        <v>0.47147932547263965</v>
      </c>
      <c r="F622" s="104">
        <f ca="1">IF($C$4="Hombre",(+VLOOKUP(INT(D622)+1,Tablas!$G$9:$K$1240,5,0)*(D622-INT(D622))+VLOOKUP(INT(D622),Tablas!$G$9:$K$1240,5,0)*(INT(D622)+1-D622))/(VLOOKUP(INT($C$5)+1,Tablas!$G$9:$K$1240,5,0)*($C$5-INT($C$5))+VLOOKUP(INT($C$5),Tablas!$G$9:$K$124,5,0)*(INT($C$5)+1-$C$5)),(+VLOOKUP(INT(D622)+1,Tablas!$G$9:$O$1240,9,0)*(D622-INT(D622))+VLOOKUP(INT(D622),Tablas!$G$9:$O$1240,9,0)*(INT(D622)+1-D622))/(VLOOKUP(INT($C$5)+1,Tablas!$G$9:$O$1240,9,0)*($C$5-INT($C$5))+VLOOKUP(INT($C$5),Tablas!$G$9:$O$124,9,0)*(INT($C$5)+1-$C$5)))</f>
        <v>2.2028782024514542E-7</v>
      </c>
      <c r="G622" s="97">
        <f ca="1">IF($C$4="Hombre",(+VLOOKUP(INT(D622)+1,Tablas!$G$9:$K$1240,5,0)*(D622-INT(D622))+VLOOKUP(INT(D622),Tablas!$G$9:$K$1240,5,0)*(INT(D622)+1-D622)),+VLOOKUP(INT(D622)+1,Tablas!$G$9:$O$1240,9,0)*(D622-INT(D622))+VLOOKUP(INT(D622),Tablas!$G$9:$O$1240,9,0)*(INT(D622)+1-D622))</f>
        <v>0.20339567906132033</v>
      </c>
      <c r="H622" s="105">
        <f t="shared" ca="1" si="76"/>
        <v>1</v>
      </c>
      <c r="I622" s="106">
        <f t="shared" ca="1" si="77"/>
        <v>8.6550960749182704E-9</v>
      </c>
      <c r="J622" s="106">
        <f t="shared" ca="1" si="81"/>
        <v>7.4186537785013755E-9</v>
      </c>
      <c r="K622" s="105">
        <f t="shared" ca="1" si="78"/>
        <v>2.2028782024514542E-7</v>
      </c>
      <c r="L622" s="75"/>
    </row>
    <row r="623" spans="2:12">
      <c r="B623" s="101">
        <f t="shared" ca="1" si="79"/>
        <v>71227</v>
      </c>
      <c r="C623" s="101">
        <f t="shared" ca="1" si="80"/>
        <v>71257</v>
      </c>
      <c r="D623" s="102">
        <f t="shared" ca="1" si="75"/>
        <v>117.58521560574948</v>
      </c>
      <c r="E623" s="103">
        <f t="shared" ca="1" si="74"/>
        <v>0.47088391841133098</v>
      </c>
      <c r="F623" s="104">
        <f ca="1">IF($C$4="Hombre",(+VLOOKUP(INT(D623)+1,Tablas!$G$9:$K$1240,5,0)*(D623-INT(D623))+VLOOKUP(INT(D623),Tablas!$G$9:$K$1240,5,0)*(INT(D623)+1-D623))/(VLOOKUP(INT($C$5)+1,Tablas!$G$9:$K$1240,5,0)*($C$5-INT($C$5))+VLOOKUP(INT($C$5),Tablas!$G$9:$K$124,5,0)*(INT($C$5)+1-$C$5)),(+VLOOKUP(INT(D623)+1,Tablas!$G$9:$O$1240,9,0)*(D623-INT(D623))+VLOOKUP(INT(D623),Tablas!$G$9:$O$1240,9,0)*(INT(D623)+1-D623))/(VLOOKUP(INT($C$5)+1,Tablas!$G$9:$O$1240,9,0)*($C$5-INT($C$5))+VLOOKUP(INT($C$5),Tablas!$G$9:$O$124,9,0)*(INT($C$5)+1-$C$5)))</f>
        <v>1.8828652900592733E-7</v>
      </c>
      <c r="G623" s="97">
        <f ca="1">IF($C$4="Hombre",(+VLOOKUP(INT(D623)+1,Tablas!$G$9:$K$1240,5,0)*(D623-INT(D623))+VLOOKUP(INT(D623),Tablas!$G$9:$K$1240,5,0)*(INT(D623)+1-D623)),+VLOOKUP(INT(D623)+1,Tablas!$G$9:$O$1240,9,0)*(D623-INT(D623))+VLOOKUP(INT(D623),Tablas!$G$9:$O$1240,9,0)*(INT(D623)+1-D623))</f>
        <v>0.17384831527517708</v>
      </c>
      <c r="H623" s="105">
        <f t="shared" ca="1" si="76"/>
        <v>1</v>
      </c>
      <c r="I623" s="106">
        <f t="shared" ca="1" si="77"/>
        <v>7.3884248801983156E-9</v>
      </c>
      <c r="J623" s="106">
        <f t="shared" ca="1" si="81"/>
        <v>6.3329356115985558E-9</v>
      </c>
      <c r="K623" s="105">
        <f t="shared" ca="1" si="78"/>
        <v>1.8828652900592733E-7</v>
      </c>
      <c r="L623" s="75"/>
    </row>
    <row r="624" spans="2:12">
      <c r="B624" s="101">
        <f t="shared" ca="1" si="79"/>
        <v>71258</v>
      </c>
      <c r="C624" s="101">
        <f t="shared" ca="1" si="80"/>
        <v>71285</v>
      </c>
      <c r="D624" s="102">
        <f t="shared" ca="1" si="75"/>
        <v>117.66187542778918</v>
      </c>
      <c r="E624" s="103">
        <f t="shared" ca="1" si="74"/>
        <v>0.47034677769641275</v>
      </c>
      <c r="F624" s="104">
        <f ca="1">IF($C$4="Hombre",(+VLOOKUP(INT(D624)+1,Tablas!$G$9:$K$1240,5,0)*(D624-INT(D624))+VLOOKUP(INT(D624),Tablas!$G$9:$K$1240,5,0)*(INT(D624)+1-D624))/(VLOOKUP(INT($C$5)+1,Tablas!$G$9:$K$1240,5,0)*($C$5-INT($C$5))+VLOOKUP(INT($C$5),Tablas!$G$9:$K$124,5,0)*(INT($C$5)+1-$C$5)),(+VLOOKUP(INT(D624)+1,Tablas!$G$9:$O$1240,9,0)*(D624-INT(D624))+VLOOKUP(INT(D624),Tablas!$G$9:$O$1240,9,0)*(INT(D624)+1-D624))/(VLOOKUP(INT($C$5)+1,Tablas!$G$9:$O$1240,9,0)*($C$5-INT($C$5))+VLOOKUP(INT($C$5),Tablas!$G$9:$O$124,9,0)*(INT($C$5)+1-$C$5)))</f>
        <v>1.59382136918887E-7</v>
      </c>
      <c r="G624" s="97">
        <f ca="1">IF($C$4="Hombre",(+VLOOKUP(INT(D624)+1,Tablas!$G$9:$K$1240,5,0)*(D624-INT(D624))+VLOOKUP(INT(D624),Tablas!$G$9:$K$1240,5,0)*(INT(D624)+1-D624)),+VLOOKUP(INT(D624)+1,Tablas!$G$9:$O$1240,9,0)*(D624-INT(D624))+VLOOKUP(INT(D624),Tablas!$G$9:$O$1240,9,0)*(INT(D624)+1-D624))</f>
        <v>0.14716037379091437</v>
      </c>
      <c r="H624" s="105">
        <f t="shared" ca="1" si="76"/>
        <v>1</v>
      </c>
      <c r="I624" s="106">
        <f t="shared" ca="1" si="77"/>
        <v>6.2470728768472458E-9</v>
      </c>
      <c r="J624" s="106">
        <f t="shared" ca="1" si="81"/>
        <v>5.3546338944404965E-9</v>
      </c>
      <c r="K624" s="105">
        <f t="shared" ca="1" si="78"/>
        <v>1.59382136918887E-7</v>
      </c>
      <c r="L624" s="75"/>
    </row>
    <row r="625" spans="2:12">
      <c r="B625" s="101">
        <f t="shared" ca="1" si="79"/>
        <v>71286</v>
      </c>
      <c r="C625" s="101">
        <f t="shared" ca="1" si="80"/>
        <v>71316</v>
      </c>
      <c r="D625" s="102">
        <f t="shared" ca="1" si="75"/>
        <v>117.74674880219028</v>
      </c>
      <c r="E625" s="103">
        <f t="shared" ca="1" si="74"/>
        <v>0.4697528008716102</v>
      </c>
      <c r="F625" s="104">
        <f ca="1">IF($C$4="Hombre",(+VLOOKUP(INT(D625)+1,Tablas!$G$9:$K$1240,5,0)*(D625-INT(D625))+VLOOKUP(INT(D625),Tablas!$G$9:$K$1240,5,0)*(INT(D625)+1-D625))/(VLOOKUP(INT($C$5)+1,Tablas!$G$9:$K$1240,5,0)*($C$5-INT($C$5))+VLOOKUP(INT($C$5),Tablas!$G$9:$K$124,5,0)*(INT($C$5)+1-$C$5)),(+VLOOKUP(INT(D625)+1,Tablas!$G$9:$O$1240,9,0)*(D625-INT(D625))+VLOOKUP(INT(D625),Tablas!$G$9:$O$1240,9,0)*(INT(D625)+1-D625))/(VLOOKUP(INT($C$5)+1,Tablas!$G$9:$O$1240,9,0)*($C$5-INT($C$5))+VLOOKUP(INT($C$5),Tablas!$G$9:$O$124,9,0)*(INT($C$5)+1-$C$5)))</f>
        <v>1.2738084567966354E-7</v>
      </c>
      <c r="G625" s="97">
        <f ca="1">IF($C$4="Hombre",(+VLOOKUP(INT(D625)+1,Tablas!$G$9:$K$1240,5,0)*(D625-INT(D625))+VLOOKUP(INT(D625),Tablas!$G$9:$K$1240,5,0)*(INT(D625)+1-D625)),+VLOOKUP(INT(D625)+1,Tablas!$G$9:$O$1240,9,0)*(D625-INT(D625))+VLOOKUP(INT(D625),Tablas!$G$9:$O$1240,9,0)*(INT(D625)+1-D625))</f>
        <v>0.11761301000476618</v>
      </c>
      <c r="H625" s="105">
        <f t="shared" ca="1" si="76"/>
        <v>1</v>
      </c>
      <c r="I625" s="106">
        <f t="shared" ca="1" si="77"/>
        <v>4.986459086284691E-9</v>
      </c>
      <c r="J625" s="106">
        <f t="shared" ca="1" si="81"/>
        <v>4.274107788244021E-9</v>
      </c>
      <c r="K625" s="105">
        <f t="shared" ca="1" si="78"/>
        <v>1.2738084567966354E-7</v>
      </c>
      <c r="L625" s="75"/>
    </row>
    <row r="626" spans="2:12">
      <c r="B626" s="101">
        <f t="shared" ca="1" si="79"/>
        <v>71317</v>
      </c>
      <c r="C626" s="101">
        <f t="shared" ca="1" si="80"/>
        <v>71346</v>
      </c>
      <c r="D626" s="102">
        <f t="shared" ca="1" si="75"/>
        <v>117.82888432580424</v>
      </c>
      <c r="E626" s="103">
        <f t="shared" ca="1" si="74"/>
        <v>0.46917869879708762</v>
      </c>
      <c r="F626" s="104">
        <f ca="1">IF($C$4="Hombre",(+VLOOKUP(INT(D626)+1,Tablas!$G$9:$K$1240,5,0)*(D626-INT(D626))+VLOOKUP(INT(D626),Tablas!$G$9:$K$1240,5,0)*(INT(D626)+1-D626))/(VLOOKUP(INT($C$5)+1,Tablas!$G$9:$K$1240,5,0)*($C$5-INT($C$5))+VLOOKUP(INT($C$5),Tablas!$G$9:$K$124,5,0)*(INT($C$5)+1-$C$5)),(+VLOOKUP(INT(D626)+1,Tablas!$G$9:$O$1240,9,0)*(D626-INT(D626))+VLOOKUP(INT(D626),Tablas!$G$9:$O$1240,9,0)*(INT(D626)+1-D626))/(VLOOKUP(INT($C$5)+1,Tablas!$G$9:$O$1240,9,0)*($C$5-INT($C$5))+VLOOKUP(INT($C$5),Tablas!$G$9:$O$124,9,0)*(INT($C$5)+1-$C$5)))</f>
        <v>9.6411854157838042E-8</v>
      </c>
      <c r="G626" s="97">
        <f ca="1">IF($C$4="Hombre",(+VLOOKUP(INT(D626)+1,Tablas!$G$9:$K$1240,5,0)*(D626-INT(D626))+VLOOKUP(INT(D626),Tablas!$G$9:$K$1240,5,0)*(INT(D626)+1-D626)),+VLOOKUP(INT(D626)+1,Tablas!$G$9:$O$1240,9,0)*(D626-INT(D626))+VLOOKUP(INT(D626),Tablas!$G$9:$O$1240,9,0)*(INT(D626)+1-D626))</f>
        <v>8.9018786985916434E-2</v>
      </c>
      <c r="H626" s="105">
        <f t="shared" ca="1" si="76"/>
        <v>1</v>
      </c>
      <c r="I626" s="106">
        <f t="shared" ca="1" si="77"/>
        <v>3.7695323568657528E-9</v>
      </c>
      <c r="J626" s="106">
        <f t="shared" ca="1" si="81"/>
        <v>3.2310277344563592E-9</v>
      </c>
      <c r="K626" s="105">
        <f t="shared" ca="1" si="78"/>
        <v>9.6411854157838042E-8</v>
      </c>
      <c r="L626" s="75"/>
    </row>
    <row r="627" spans="2:12">
      <c r="B627" s="101">
        <f t="shared" ca="1" si="79"/>
        <v>71347</v>
      </c>
      <c r="C627" s="101">
        <f t="shared" ca="1" si="80"/>
        <v>71377</v>
      </c>
      <c r="D627" s="102">
        <f t="shared" ca="1" si="75"/>
        <v>117.91375770020534</v>
      </c>
      <c r="E627" s="103">
        <f t="shared" ca="1" si="74"/>
        <v>0.46858619707922455</v>
      </c>
      <c r="F627" s="104">
        <f ca="1">IF($C$4="Hombre",(+VLOOKUP(INT(D627)+1,Tablas!$G$9:$K$1240,5,0)*(D627-INT(D627))+VLOOKUP(INT(D627),Tablas!$G$9:$K$1240,5,0)*(INT(D627)+1-D627))/(VLOOKUP(INT($C$5)+1,Tablas!$G$9:$K$1240,5,0)*($C$5-INT($C$5))+VLOOKUP(INT($C$5),Tablas!$G$9:$K$124,5,0)*(INT($C$5)+1-$C$5)),(+VLOOKUP(INT(D627)+1,Tablas!$G$9:$O$1240,9,0)*(D627-INT(D627))+VLOOKUP(INT(D627),Tablas!$G$9:$O$1240,9,0)*(INT(D627)+1-D627))/(VLOOKUP(INT($C$5)+1,Tablas!$G$9:$O$1240,9,0)*($C$5-INT($C$5))+VLOOKUP(INT($C$5),Tablas!$G$9:$O$124,9,0)*(INT($C$5)+1-$C$5)))</f>
        <v>6.4410562918614609E-8</v>
      </c>
      <c r="G627" s="97">
        <f ca="1">IF($C$4="Hombre",(+VLOOKUP(INT(D627)+1,Tablas!$G$9:$K$1240,5,0)*(D627-INT(D627))+VLOOKUP(INT(D627),Tablas!$G$9:$K$1240,5,0)*(INT(D627)+1-D627)),+VLOOKUP(INT(D627)+1,Tablas!$G$9:$O$1240,9,0)*(D627-INT(D627))+VLOOKUP(INT(D627),Tablas!$G$9:$O$1240,9,0)*(INT(D627)+1-D627))</f>
        <v>5.9471423199768239E-2</v>
      </c>
      <c r="H627" s="105">
        <f t="shared" ca="1" si="76"/>
        <v>1</v>
      </c>
      <c r="I627" s="106">
        <f t="shared" ca="1" si="77"/>
        <v>2.5151583941471447E-9</v>
      </c>
      <c r="J627" s="106">
        <f t="shared" ca="1" si="81"/>
        <v>4.311700104252248E-9</v>
      </c>
      <c r="K627" s="105">
        <f t="shared" ca="1" si="78"/>
        <v>6.4410562918614609E-8</v>
      </c>
      <c r="L627" s="75"/>
    </row>
    <row r="628" spans="2:12">
      <c r="B628" s="101">
        <f t="shared" ca="1" si="79"/>
        <v>71378</v>
      </c>
      <c r="C628" s="101">
        <f t="shared" ca="1" si="80"/>
        <v>71407</v>
      </c>
      <c r="D628" s="102">
        <f t="shared" ca="1" si="75"/>
        <v>117.99589322381931</v>
      </c>
      <c r="E628" s="103">
        <f t="shared" ca="1" si="74"/>
        <v>0.46801352075385355</v>
      </c>
      <c r="F628" s="104">
        <f ca="1">IF($C$4="Hombre",(+VLOOKUP(INT(D628)+1,Tablas!$G$9:$K$1240,5,0)*(D628-INT(D628))+VLOOKUP(INT(D628),Tablas!$G$9:$K$1240,5,0)*(INT(D628)+1-D628))/(VLOOKUP(INT($C$5)+1,Tablas!$G$9:$K$1240,5,0)*($C$5-INT($C$5))+VLOOKUP(INT($C$5),Tablas!$G$9:$K$124,5,0)*(INT($C$5)+1-$C$5)),(+VLOOKUP(INT(D628)+1,Tablas!$G$9:$O$1240,9,0)*(D628-INT(D628))+VLOOKUP(INT(D628),Tablas!$G$9:$O$1240,9,0)*(INT(D628)+1-D628))/(VLOOKUP(INT($C$5)+1,Tablas!$G$9:$O$1240,9,0)*($C$5-INT($C$5))+VLOOKUP(INT($C$5),Tablas!$G$9:$O$124,9,0)*(INT($C$5)+1-$C$5)))</f>
        <v>3.3441571396783745E-8</v>
      </c>
      <c r="G628" s="97">
        <f ca="1">IF($C$4="Hombre",(+VLOOKUP(INT(D628)+1,Tablas!$G$9:$K$1240,5,0)*(D628-INT(D628))+VLOOKUP(INT(D628),Tablas!$G$9:$K$1240,5,0)*(INT(D628)+1-D628)),+VLOOKUP(INT(D628)+1,Tablas!$G$9:$O$1240,9,0)*(D628-INT(D628))+VLOOKUP(INT(D628),Tablas!$G$9:$O$1240,9,0)*(INT(D628)+1-D628))</f>
        <v>3.0877200180913555E-2</v>
      </c>
      <c r="H628" s="105">
        <f t="shared" ca="1" si="76"/>
        <v>1</v>
      </c>
      <c r="I628" s="106">
        <f t="shared" ca="1" si="77"/>
        <v>1.304258964079177E-9</v>
      </c>
      <c r="J628" s="106">
        <f t="shared" ca="1" si="81"/>
        <v>1.117936254925009E-9</v>
      </c>
      <c r="K628" s="105">
        <f t="shared" ca="1" si="78"/>
        <v>3.3441571396783745E-8</v>
      </c>
      <c r="L628" s="75"/>
    </row>
    <row r="629" spans="2:12">
      <c r="B629" s="101">
        <f t="shared" ca="1" si="79"/>
        <v>71408</v>
      </c>
      <c r="C629" s="101">
        <f t="shared" ca="1" si="80"/>
        <v>71438</v>
      </c>
      <c r="D629" s="102">
        <f t="shared" ca="1" si="75"/>
        <v>118.08076659822039</v>
      </c>
      <c r="E629" s="103">
        <f t="shared" ca="1" si="74"/>
        <v>0.46742249047958778</v>
      </c>
      <c r="F629" s="104">
        <f ca="1">IF($C$4="Hombre",(+VLOOKUP(INT(D629)+1,Tablas!$G$9:$K$1240,5,0)*(D629-INT(D629))+VLOOKUP(INT(D629),Tablas!$G$9:$K$1240,5,0)*(INT(D629)+1-D629))/(VLOOKUP(INT($C$5)+1,Tablas!$G$9:$K$1240,5,0)*($C$5-INT($C$5))+VLOOKUP(INT($C$5),Tablas!$G$9:$K$124,5,0)*(INT($C$5)+1-$C$5)),(+VLOOKUP(INT(D629)+1,Tablas!$G$9:$O$1240,9,0)*(D629-INT(D629))+VLOOKUP(INT(D629),Tablas!$G$9:$O$1240,9,0)*(INT(D629)+1-D629))/(VLOOKUP(INT($C$5)+1,Tablas!$G$9:$O$1240,9,0)*($C$5-INT($C$5))+VLOOKUP(INT($C$5),Tablas!$G$9:$O$124,9,0)*(INT($C$5)+1-$C$5)))</f>
        <v>2.94975357915348E-8</v>
      </c>
      <c r="G629" s="97">
        <f ca="1">IF($C$4="Hombre",(+VLOOKUP(INT(D629)+1,Tablas!$G$9:$K$1240,5,0)*(D629-INT(D629))+VLOOKUP(INT(D629),Tablas!$G$9:$K$1240,5,0)*(INT(D629)+1-D629)),+VLOOKUP(INT(D629)+1,Tablas!$G$9:$O$1240,9,0)*(D629-INT(D629))+VLOOKUP(INT(D629),Tablas!$G$9:$O$1240,9,0)*(INT(D629)+1-D629))</f>
        <v>2.7235601660945845E-2</v>
      </c>
      <c r="H629" s="105">
        <f t="shared" ca="1" si="76"/>
        <v>1</v>
      </c>
      <c r="I629" s="106">
        <f t="shared" ca="1" si="77"/>
        <v>1.1489843035574979E-9</v>
      </c>
      <c r="J629" s="106">
        <f t="shared" ca="1" si="81"/>
        <v>9.8484368876356969E-10</v>
      </c>
      <c r="K629" s="105">
        <f t="shared" ca="1" si="78"/>
        <v>2.94975357915348E-8</v>
      </c>
      <c r="L629" s="75"/>
    </row>
    <row r="630" spans="2:12">
      <c r="B630" s="101">
        <f t="shared" ca="1" si="79"/>
        <v>71439</v>
      </c>
      <c r="C630" s="101">
        <f t="shared" ca="1" si="80"/>
        <v>71469</v>
      </c>
      <c r="D630" s="102">
        <f t="shared" ca="1" si="75"/>
        <v>118.16563997262149</v>
      </c>
      <c r="E630" s="103">
        <f t="shared" ref="E630:E693" ca="1" si="82">IF($D$17+40&lt;=D630,(1+$D$7)^-(D630-$C$5),(1+$C$7)^-(D630-$C$5))</f>
        <v>0.46683220658714536</v>
      </c>
      <c r="F630" s="104">
        <f ca="1">IF($C$4="Hombre",(+VLOOKUP(INT(D630)+1,Tablas!$G$9:$K$1240,5,0)*(D630-INT(D630))+VLOOKUP(INT(D630),Tablas!$G$9:$K$1240,5,0)*(INT(D630)+1-D630))/(VLOOKUP(INT($C$5)+1,Tablas!$G$9:$K$1240,5,0)*($C$5-INT($C$5))+VLOOKUP(INT($C$5),Tablas!$G$9:$K$124,5,0)*(INT($C$5)+1-$C$5)),(+VLOOKUP(INT(D630)+1,Tablas!$G$9:$O$1240,9,0)*(D630-INT(D630))+VLOOKUP(INT(D630),Tablas!$G$9:$O$1240,9,0)*(INT(D630)+1-D630))/(VLOOKUP(INT($C$5)+1,Tablas!$G$9:$O$1240,9,0)*($C$5-INT($C$5))+VLOOKUP(INT($C$5),Tablas!$G$9:$O$124,9,0)*(INT($C$5)+1-$C$5)))</f>
        <v>2.6980140303264658E-8</v>
      </c>
      <c r="G630" s="97">
        <f ca="1">IF($C$4="Hombre",(+VLOOKUP(INT(D630)+1,Tablas!$G$9:$K$1240,5,0)*(D630-INT(D630))+VLOOKUP(INT(D630),Tablas!$G$9:$K$1240,5,0)*(INT(D630)+1-D630)),+VLOOKUP(INT(D630)+1,Tablas!$G$9:$O$1240,9,0)*(D630-INT(D630))+VLOOKUP(INT(D630),Tablas!$G$9:$O$1240,9,0)*(INT(D630)+1-D630))</f>
        <v>2.4911245442645603E-2</v>
      </c>
      <c r="H630" s="105">
        <f t="shared" ca="1" si="76"/>
        <v>1</v>
      </c>
      <c r="I630" s="106">
        <f t="shared" ca="1" si="77"/>
        <v>1.0495998693169844E-9</v>
      </c>
      <c r="J630" s="106">
        <f t="shared" ca="1" si="81"/>
        <v>8.9965703084312946E-10</v>
      </c>
      <c r="K630" s="105">
        <f t="shared" ca="1" si="78"/>
        <v>2.6980140303264658E-8</v>
      </c>
      <c r="L630" s="75"/>
    </row>
    <row r="631" spans="2:12">
      <c r="B631" s="101">
        <f t="shared" ca="1" si="79"/>
        <v>71470</v>
      </c>
      <c r="C631" s="101">
        <f t="shared" ca="1" si="80"/>
        <v>71499</v>
      </c>
      <c r="D631" s="102">
        <f t="shared" ca="1" si="75"/>
        <v>118.24777549623545</v>
      </c>
      <c r="E631" s="103">
        <f t="shared" ca="1" si="82"/>
        <v>0.4662616738776898</v>
      </c>
      <c r="F631" s="104">
        <f ca="1">IF($C$4="Hombre",(+VLOOKUP(INT(D631)+1,Tablas!$G$9:$K$1240,5,0)*(D631-INT(D631))+VLOOKUP(INT(D631),Tablas!$G$9:$K$1240,5,0)*(INT(D631)+1-D631))/(VLOOKUP(INT($C$5)+1,Tablas!$G$9:$K$1240,5,0)*($C$5-INT($C$5))+VLOOKUP(INT($C$5),Tablas!$G$9:$K$124,5,0)*(INT($C$5)+1-$C$5)),(+VLOOKUP(INT(D631)+1,Tablas!$G$9:$O$1240,9,0)*(D631-INT(D631))+VLOOKUP(INT(D631),Tablas!$G$9:$O$1240,9,0)*(INT(D631)+1-D631))/(VLOOKUP(INT($C$5)+1,Tablas!$G$9:$O$1240,9,0)*($C$5-INT($C$5))+VLOOKUP(INT($C$5),Tablas!$G$9:$O$124,9,0)*(INT($C$5)+1-$C$5)))</f>
        <v>2.4543951121068026E-8</v>
      </c>
      <c r="G631" s="97">
        <f ca="1">IF($C$4="Hombre",(+VLOOKUP(INT(D631)+1,Tablas!$G$9:$K$1240,5,0)*(D631-INT(D631))+VLOOKUP(INT(D631),Tablas!$G$9:$K$1240,5,0)*(INT(D631)+1-D631)),+VLOOKUP(INT(D631)+1,Tablas!$G$9:$O$1240,9,0)*(D631-INT(D631))+VLOOKUP(INT(D631),Tablas!$G$9:$O$1240,9,0)*(INT(D631)+1-D631))</f>
        <v>2.2661868457194013E-2</v>
      </c>
      <c r="H631" s="105">
        <f t="shared" ca="1" si="76"/>
        <v>1</v>
      </c>
      <c r="I631" s="106">
        <f t="shared" ca="1" si="77"/>
        <v>9.53658644440115E-10</v>
      </c>
      <c r="J631" s="106">
        <f t="shared" ca="1" si="81"/>
        <v>8.1742169523438438E-10</v>
      </c>
      <c r="K631" s="105">
        <f t="shared" ca="1" si="78"/>
        <v>2.4543951121068026E-8</v>
      </c>
      <c r="L631" s="75"/>
    </row>
    <row r="632" spans="2:12">
      <c r="B632" s="101">
        <f t="shared" ca="1" si="79"/>
        <v>71500</v>
      </c>
      <c r="C632" s="101">
        <f t="shared" ca="1" si="80"/>
        <v>71530</v>
      </c>
      <c r="D632" s="102">
        <f t="shared" ca="1" si="75"/>
        <v>118.33264887063655</v>
      </c>
      <c r="E632" s="103">
        <f t="shared" ca="1" si="82"/>
        <v>0.46567285592100399</v>
      </c>
      <c r="F632" s="104">
        <f ca="1">IF($C$4="Hombre",(+VLOOKUP(INT(D632)+1,Tablas!$G$9:$K$1240,5,0)*(D632-INT(D632))+VLOOKUP(INT(D632),Tablas!$G$9:$K$1240,5,0)*(INT(D632)+1-D632))/(VLOOKUP(INT($C$5)+1,Tablas!$G$9:$K$1240,5,0)*($C$5-INT($C$5))+VLOOKUP(INT($C$5),Tablas!$G$9:$K$124,5,0)*(INT($C$5)+1-$C$5)),(+VLOOKUP(INT(D632)+1,Tablas!$G$9:$O$1240,9,0)*(D632-INT(D632))+VLOOKUP(INT(D632),Tablas!$G$9:$O$1240,9,0)*(INT(D632)+1-D632))/(VLOOKUP(INT($C$5)+1,Tablas!$G$9:$O$1240,9,0)*($C$5-INT($C$5))+VLOOKUP(INT($C$5),Tablas!$G$9:$O$124,9,0)*(INT($C$5)+1-$C$5)))</f>
        <v>2.2026555632797883E-8</v>
      </c>
      <c r="G632" s="97">
        <f ca="1">IF($C$4="Hombre",(+VLOOKUP(INT(D632)+1,Tablas!$G$9:$K$1240,5,0)*(D632-INT(D632))+VLOOKUP(INT(D632),Tablas!$G$9:$K$1240,5,0)*(INT(D632)+1-D632)),+VLOOKUP(INT(D632)+1,Tablas!$G$9:$O$1240,9,0)*(D632-INT(D632))+VLOOKUP(INT(D632),Tablas!$G$9:$O$1240,9,0)*(INT(D632)+1-D632))</f>
        <v>2.0337512238893771E-2</v>
      </c>
      <c r="H632" s="105">
        <f t="shared" ca="1" si="76"/>
        <v>1</v>
      </c>
      <c r="I632" s="106">
        <f t="shared" ca="1" si="77"/>
        <v>8.5476408896898893E-10</v>
      </c>
      <c r="J632" s="106">
        <f t="shared" ca="1" si="81"/>
        <v>7.3265493340199046E-10</v>
      </c>
      <c r="K632" s="105">
        <f t="shared" ca="1" si="78"/>
        <v>2.2026555632797883E-8</v>
      </c>
      <c r="L632" s="75"/>
    </row>
    <row r="633" spans="2:12">
      <c r="B633" s="101">
        <f t="shared" ca="1" si="79"/>
        <v>71531</v>
      </c>
      <c r="C633" s="101">
        <f t="shared" ca="1" si="80"/>
        <v>71560</v>
      </c>
      <c r="D633" s="102">
        <f t="shared" ca="1" si="75"/>
        <v>118.41478439425052</v>
      </c>
      <c r="E633" s="103">
        <f t="shared" ca="1" si="82"/>
        <v>0.46510374009638916</v>
      </c>
      <c r="F633" s="104">
        <f ca="1">IF($C$4="Hombre",(+VLOOKUP(INT(D633)+1,Tablas!$G$9:$K$1240,5,0)*(D633-INT(D633))+VLOOKUP(INT(D633),Tablas!$G$9:$K$1240,5,0)*(INT(D633)+1-D633))/(VLOOKUP(INT($C$5)+1,Tablas!$G$9:$K$1240,5,0)*($C$5-INT($C$5))+VLOOKUP(INT($C$5),Tablas!$G$9:$K$124,5,0)*(INT($C$5)+1-$C$5)),(+VLOOKUP(INT(D633)+1,Tablas!$G$9:$O$1240,9,0)*(D633-INT(D633))+VLOOKUP(INT(D633),Tablas!$G$9:$O$1240,9,0)*(INT(D633)+1-D633))/(VLOOKUP(INT($C$5)+1,Tablas!$G$9:$O$1240,9,0)*($C$5-INT($C$5))+VLOOKUP(INT($C$5),Tablas!$G$9:$O$124,9,0)*(INT($C$5)+1-$C$5)))</f>
        <v>1.9590366450600835E-8</v>
      </c>
      <c r="G633" s="97">
        <f ca="1">IF($C$4="Hombre",(+VLOOKUP(INT(D633)+1,Tablas!$G$9:$K$1240,5,0)*(D633-INT(D633))+VLOOKUP(INT(D633),Tablas!$G$9:$K$1240,5,0)*(INT(D633)+1-D633)),+VLOOKUP(INT(D633)+1,Tablas!$G$9:$O$1240,9,0)*(D633-INT(D633))+VLOOKUP(INT(D633),Tablas!$G$9:$O$1240,9,0)*(INT(D633)+1-D633))</f>
        <v>1.8088135253441797E-2</v>
      </c>
      <c r="H633" s="105">
        <f t="shared" ca="1" si="76"/>
        <v>1</v>
      </c>
      <c r="I633" s="106">
        <f t="shared" ca="1" si="77"/>
        <v>7.5929605883610609E-10</v>
      </c>
      <c r="J633" s="106">
        <f t="shared" ca="1" si="81"/>
        <v>1.301650386576182E-9</v>
      </c>
      <c r="K633" s="105">
        <f t="shared" ca="1" si="78"/>
        <v>1.9590366450600835E-8</v>
      </c>
      <c r="L633" s="75"/>
    </row>
    <row r="634" spans="2:12">
      <c r="B634" s="101">
        <f t="shared" ca="1" si="79"/>
        <v>71561</v>
      </c>
      <c r="C634" s="101">
        <f t="shared" ca="1" si="80"/>
        <v>71591</v>
      </c>
      <c r="D634" s="102">
        <f t="shared" ca="1" si="75"/>
        <v>118.4996577686516</v>
      </c>
      <c r="E634" s="103">
        <f t="shared" ca="1" si="82"/>
        <v>0.46451638443489357</v>
      </c>
      <c r="F634" s="104">
        <f ca="1">IF($C$4="Hombre",(+VLOOKUP(INT(D634)+1,Tablas!$G$9:$K$1240,5,0)*(D634-INT(D634))+VLOOKUP(INT(D634),Tablas!$G$9:$K$1240,5,0)*(INT(D634)+1-D634))/(VLOOKUP(INT($C$5)+1,Tablas!$G$9:$K$1240,5,0)*($C$5-INT($C$5))+VLOOKUP(INT($C$5),Tablas!$G$9:$K$124,5,0)*(INT($C$5)+1-$C$5)),(+VLOOKUP(INT(D634)+1,Tablas!$G$9:$O$1240,9,0)*(D634-INT(D634))+VLOOKUP(INT(D634),Tablas!$G$9:$O$1240,9,0)*(INT(D634)+1-D634))/(VLOOKUP(INT($C$5)+1,Tablas!$G$9:$O$1240,9,0)*($C$5-INT($C$5))+VLOOKUP(INT($C$5),Tablas!$G$9:$O$124,9,0)*(INT($C$5)+1-$C$5)))</f>
        <v>1.7072970962331112E-8</v>
      </c>
      <c r="G634" s="97">
        <f ca="1">IF($C$4="Hombre",(+VLOOKUP(INT(D634)+1,Tablas!$G$9:$K$1240,5,0)*(D634-INT(D634))+VLOOKUP(INT(D634),Tablas!$G$9:$K$1240,5,0)*(INT(D634)+1-D634)),+VLOOKUP(INT(D634)+1,Tablas!$G$9:$O$1240,9,0)*(D634-INT(D634))+VLOOKUP(INT(D634),Tablas!$G$9:$O$1240,9,0)*(INT(D634)+1-D634))</f>
        <v>1.5763779035141944E-2</v>
      </c>
      <c r="H634" s="105">
        <f t="shared" ca="1" si="76"/>
        <v>1</v>
      </c>
      <c r="I634" s="106">
        <f t="shared" ca="1" si="77"/>
        <v>6.6088956191533111E-10</v>
      </c>
      <c r="J634" s="106">
        <f t="shared" ca="1" si="81"/>
        <v>5.6647676735599811E-10</v>
      </c>
      <c r="K634" s="105">
        <f t="shared" ca="1" si="78"/>
        <v>1.7072970962331112E-8</v>
      </c>
      <c r="L634" s="75"/>
    </row>
    <row r="635" spans="2:12">
      <c r="B635" s="101">
        <f t="shared" ca="1" si="79"/>
        <v>71592</v>
      </c>
      <c r="C635" s="101">
        <f t="shared" ca="1" si="80"/>
        <v>71622</v>
      </c>
      <c r="D635" s="102">
        <f t="shared" ca="1" si="75"/>
        <v>118.5845311430527</v>
      </c>
      <c r="E635" s="103">
        <f t="shared" ca="1" si="82"/>
        <v>0.46392977051474155</v>
      </c>
      <c r="F635" s="104">
        <f ca="1">IF($C$4="Hombre",(+VLOOKUP(INT(D635)+1,Tablas!$G$9:$K$1240,5,0)*(D635-INT(D635))+VLOOKUP(INT(D635),Tablas!$G$9:$K$1240,5,0)*(INT(D635)+1-D635))/(VLOOKUP(INT($C$5)+1,Tablas!$G$9:$K$1240,5,0)*($C$5-INT($C$5))+VLOOKUP(INT($C$5),Tablas!$G$9:$K$124,5,0)*(INT($C$5)+1-$C$5)),(+VLOOKUP(INT(D635)+1,Tablas!$G$9:$O$1240,9,0)*(D635-INT(D635))+VLOOKUP(INT(D635),Tablas!$G$9:$O$1240,9,0)*(INT(D635)+1-D635))/(VLOOKUP(INT($C$5)+1,Tablas!$G$9:$O$1240,9,0)*($C$5-INT($C$5))+VLOOKUP(INT($C$5),Tablas!$G$9:$O$124,9,0)*(INT($C$5)+1-$C$5)))</f>
        <v>1.4555575474060966E-8</v>
      </c>
      <c r="G635" s="97">
        <f ca="1">IF($C$4="Hombre",(+VLOOKUP(INT(D635)+1,Tablas!$G$9:$K$1240,5,0)*(D635-INT(D635))+VLOOKUP(INT(D635),Tablas!$G$9:$K$1240,5,0)*(INT(D635)+1-D635)),+VLOOKUP(INT(D635)+1,Tablas!$G$9:$O$1240,9,0)*(D635-INT(D635))+VLOOKUP(INT(D635),Tablas!$G$9:$O$1240,9,0)*(INT(D635)+1-D635))</f>
        <v>1.3439422816841698E-2</v>
      </c>
      <c r="H635" s="105">
        <f t="shared" ca="1" si="76"/>
        <v>1</v>
      </c>
      <c r="I635" s="106">
        <f t="shared" ca="1" si="77"/>
        <v>5.6273039911592529E-10</v>
      </c>
      <c r="J635" s="106">
        <f t="shared" ca="1" si="81"/>
        <v>4.8234034209936452E-10</v>
      </c>
      <c r="K635" s="105">
        <f t="shared" ca="1" si="78"/>
        <v>1.4555575474060966E-8</v>
      </c>
      <c r="L635" s="75"/>
    </row>
    <row r="636" spans="2:12">
      <c r="B636" s="101">
        <f t="shared" ca="1" si="79"/>
        <v>71623</v>
      </c>
      <c r="C636" s="101">
        <f t="shared" ca="1" si="80"/>
        <v>71651</v>
      </c>
      <c r="D636" s="102">
        <f t="shared" ca="1" si="75"/>
        <v>118.66392881587953</v>
      </c>
      <c r="E636" s="103">
        <f t="shared" ca="1" si="82"/>
        <v>0.46338167332777624</v>
      </c>
      <c r="F636" s="104">
        <f ca="1">IF($C$4="Hombre",(+VLOOKUP(INT(D636)+1,Tablas!$G$9:$K$1240,5,0)*(D636-INT(D636))+VLOOKUP(INT(D636),Tablas!$G$9:$K$1240,5,0)*(INT(D636)+1-D636))/(VLOOKUP(INT($C$5)+1,Tablas!$G$9:$K$1240,5,0)*($C$5-INT($C$5))+VLOOKUP(INT($C$5),Tablas!$G$9:$K$124,5,0)*(INT($C$5)+1-$C$5)),(+VLOOKUP(INT(D636)+1,Tablas!$G$9:$O$1240,9,0)*(D636-INT(D636))+VLOOKUP(INT(D636),Tablas!$G$9:$O$1240,9,0)*(INT(D636)+1-D636))/(VLOOKUP(INT($C$5)+1,Tablas!$G$9:$O$1240,9,0)*($C$5-INT($C$5))+VLOOKUP(INT($C$5),Tablas!$G$9:$O$124,9,0)*(INT($C$5)+1-$C$5)))</f>
        <v>1.2200592597937432E-8</v>
      </c>
      <c r="G636" s="97">
        <f ca="1">IF($C$4="Hombre",(+VLOOKUP(INT(D636)+1,Tablas!$G$9:$K$1240,5,0)*(D636-INT(D636))+VLOOKUP(INT(D636),Tablas!$G$9:$K$1240,5,0)*(INT(D636)+1-D636)),+VLOOKUP(INT(D636)+1,Tablas!$G$9:$O$1240,9,0)*(D636-INT(D636))+VLOOKUP(INT(D636),Tablas!$G$9:$O$1240,9,0)*(INT(D636)+1-D636))</f>
        <v>1.1265025064238382E-2</v>
      </c>
      <c r="H636" s="105">
        <f t="shared" ca="1" si="76"/>
        <v>1</v>
      </c>
      <c r="I636" s="106">
        <f t="shared" ca="1" si="77"/>
        <v>4.7112758446856065E-10</v>
      </c>
      <c r="J636" s="106">
        <f t="shared" ca="1" si="81"/>
        <v>4.0382364383019488E-10</v>
      </c>
      <c r="K636" s="105">
        <f t="shared" ca="1" si="78"/>
        <v>1.2200592597937432E-8</v>
      </c>
      <c r="L636" s="75"/>
    </row>
    <row r="637" spans="2:12">
      <c r="B637" s="101">
        <f t="shared" ca="1" si="79"/>
        <v>71652</v>
      </c>
      <c r="C637" s="101">
        <f t="shared" ca="1" si="80"/>
        <v>71682</v>
      </c>
      <c r="D637" s="102">
        <f t="shared" ca="1" si="75"/>
        <v>118.74880219028063</v>
      </c>
      <c r="E637" s="103">
        <f t="shared" ca="1" si="82"/>
        <v>0.46279649237609005</v>
      </c>
      <c r="F637" s="104">
        <f ca="1">IF($C$4="Hombre",(+VLOOKUP(INT(D637)+1,Tablas!$G$9:$K$1240,5,0)*(D637-INT(D637))+VLOOKUP(INT(D637),Tablas!$G$9:$K$1240,5,0)*(INT(D637)+1-D637))/(VLOOKUP(INT($C$5)+1,Tablas!$G$9:$K$1240,5,0)*($C$5-INT($C$5))+VLOOKUP(INT($C$5),Tablas!$G$9:$K$124,5,0)*(INT($C$5)+1-$C$5)),(+VLOOKUP(INT(D637)+1,Tablas!$G$9:$O$1240,9,0)*(D637-INT(D637))+VLOOKUP(INT(D637),Tablas!$G$9:$O$1240,9,0)*(INT(D637)+1-D637))/(VLOOKUP(INT($C$5)+1,Tablas!$G$9:$O$1240,9,0)*($C$5-INT($C$5))+VLOOKUP(INT($C$5),Tablas!$G$9:$O$124,9,0)*(INT($C$5)+1-$C$5)))</f>
        <v>9.6831971096672877E-9</v>
      </c>
      <c r="G637" s="97">
        <f ca="1">IF($C$4="Hombre",(+VLOOKUP(INT(D637)+1,Tablas!$G$9:$K$1240,5,0)*(D637-INT(D637))+VLOOKUP(INT(D637),Tablas!$G$9:$K$1240,5,0)*(INT(D637)+1-D637)),+VLOOKUP(INT(D637)+1,Tablas!$G$9:$O$1240,9,0)*(D637-INT(D637))+VLOOKUP(INT(D637),Tablas!$G$9:$O$1240,9,0)*(INT(D637)+1-D637))</f>
        <v>8.9406688459381378E-3</v>
      </c>
      <c r="H637" s="105">
        <f t="shared" ca="1" si="76"/>
        <v>1</v>
      </c>
      <c r="I637" s="106">
        <f t="shared" ca="1" si="77"/>
        <v>3.7344580477835945E-10</v>
      </c>
      <c r="J637" s="106">
        <f t="shared" ca="1" si="81"/>
        <v>3.2009640409573667E-10</v>
      </c>
      <c r="K637" s="105">
        <f t="shared" ca="1" si="78"/>
        <v>9.6831971096672877E-9</v>
      </c>
      <c r="L637" s="75"/>
    </row>
    <row r="638" spans="2:12">
      <c r="B638" s="101">
        <f t="shared" ca="1" si="79"/>
        <v>71683</v>
      </c>
      <c r="C638" s="101">
        <f t="shared" ca="1" si="80"/>
        <v>71712</v>
      </c>
      <c r="D638" s="102">
        <f t="shared" ca="1" si="75"/>
        <v>118.8309377138946</v>
      </c>
      <c r="E638" s="103">
        <f t="shared" ca="1" si="82"/>
        <v>0.46223089186053817</v>
      </c>
      <c r="F638" s="104">
        <f ca="1">IF($C$4="Hombre",(+VLOOKUP(INT(D638)+1,Tablas!$G$9:$K$1240,5,0)*(D638-INT(D638))+VLOOKUP(INT(D638),Tablas!$G$9:$K$1240,5,0)*(INT(D638)+1-D638))/(VLOOKUP(INT($C$5)+1,Tablas!$G$9:$K$1240,5,0)*($C$5-INT($C$5))+VLOOKUP(INT($C$5),Tablas!$G$9:$K$124,5,0)*(INT($C$5)+1-$C$5)),(+VLOOKUP(INT(D638)+1,Tablas!$G$9:$O$1240,9,0)*(D638-INT(D638))+VLOOKUP(INT(D638),Tablas!$G$9:$O$1240,9,0)*(INT(D638)+1-D638))/(VLOOKUP(INT($C$5)+1,Tablas!$G$9:$O$1240,9,0)*($C$5-INT($C$5))+VLOOKUP(INT($C$5),Tablas!$G$9:$O$124,9,0)*(INT($C$5)+1-$C$5)))</f>
        <v>7.2470079274702375E-9</v>
      </c>
      <c r="G638" s="97">
        <f ca="1">IF($C$4="Hombre",(+VLOOKUP(INT(D638)+1,Tablas!$G$9:$K$1240,5,0)*(D638-INT(D638))+VLOOKUP(INT(D638),Tablas!$G$9:$K$1240,5,0)*(INT(D638)+1-D638)),+VLOOKUP(INT(D638)+1,Tablas!$G$9:$O$1240,9,0)*(D638-INT(D638))+VLOOKUP(INT(D638),Tablas!$G$9:$O$1240,9,0)*(INT(D638)+1-D638))</f>
        <v>6.6912918604861635E-3</v>
      </c>
      <c r="H638" s="105">
        <f t="shared" ca="1" si="76"/>
        <v>1</v>
      </c>
      <c r="I638" s="106">
        <f t="shared" ca="1" si="77"/>
        <v>2.7914924480291317E-10</v>
      </c>
      <c r="J638" s="106">
        <f t="shared" ca="1" si="81"/>
        <v>2.3927078125963989E-10</v>
      </c>
      <c r="K638" s="105">
        <f t="shared" ca="1" si="78"/>
        <v>7.2470079274702375E-9</v>
      </c>
      <c r="L638" s="75"/>
    </row>
    <row r="639" spans="2:12">
      <c r="B639" s="101">
        <f t="shared" ca="1" si="79"/>
        <v>71713</v>
      </c>
      <c r="C639" s="101">
        <f t="shared" ca="1" si="80"/>
        <v>71743</v>
      </c>
      <c r="D639" s="102">
        <f t="shared" ca="1" si="75"/>
        <v>118.91581108829568</v>
      </c>
      <c r="E639" s="103">
        <f t="shared" ca="1" si="82"/>
        <v>0.46164716417175172</v>
      </c>
      <c r="F639" s="104">
        <f ca="1">IF($C$4="Hombre",(+VLOOKUP(INT(D639)+1,Tablas!$G$9:$K$1240,5,0)*(D639-INT(D639))+VLOOKUP(INT(D639),Tablas!$G$9:$K$1240,5,0)*(INT(D639)+1-D639))/(VLOOKUP(INT($C$5)+1,Tablas!$G$9:$K$1240,5,0)*($C$5-INT($C$5))+VLOOKUP(INT($C$5),Tablas!$G$9:$K$124,5,0)*(INT($C$5)+1-$C$5)),(+VLOOKUP(INT(D639)+1,Tablas!$G$9:$O$1240,9,0)*(D639-INT(D639))+VLOOKUP(INT(D639),Tablas!$G$9:$O$1240,9,0)*(INT(D639)+1-D639))/(VLOOKUP(INT($C$5)+1,Tablas!$G$9:$O$1240,9,0)*($C$5-INT($C$5))+VLOOKUP(INT($C$5),Tablas!$G$9:$O$124,9,0)*(INT($C$5)+1-$C$5)))</f>
        <v>4.7296124392005133E-9</v>
      </c>
      <c r="G639" s="97">
        <f ca="1">IF($C$4="Hombre",(+VLOOKUP(INT(D639)+1,Tablas!$G$9:$K$1240,5,0)*(D639-INT(D639))+VLOOKUP(INT(D639),Tablas!$G$9:$K$1240,5,0)*(INT(D639)+1-D639)),+VLOOKUP(INT(D639)+1,Tablas!$G$9:$O$1240,9,0)*(D639-INT(D639))+VLOOKUP(INT(D639),Tablas!$G$9:$O$1240,9,0)*(INT(D639)+1-D639))</f>
        <v>4.3669356421863082E-3</v>
      </c>
      <c r="H639" s="105">
        <f t="shared" ca="1" si="76"/>
        <v>1</v>
      </c>
      <c r="I639" s="106">
        <f t="shared" ca="1" si="77"/>
        <v>1.8195101418236322E-10</v>
      </c>
      <c r="J639" s="106">
        <f t="shared" ca="1" si="81"/>
        <v>3.1191602431262265E-10</v>
      </c>
      <c r="K639" s="105">
        <f t="shared" ca="1" si="78"/>
        <v>4.7296124392005133E-9</v>
      </c>
      <c r="L639" s="75"/>
    </row>
    <row r="640" spans="2:12">
      <c r="B640" s="101">
        <f t="shared" ca="1" si="79"/>
        <v>71744</v>
      </c>
      <c r="C640" s="101">
        <f t="shared" ca="1" si="80"/>
        <v>71773</v>
      </c>
      <c r="D640" s="102">
        <f t="shared" ca="1" si="75"/>
        <v>118.99794661190965</v>
      </c>
      <c r="E640" s="103">
        <f t="shared" ca="1" si="82"/>
        <v>0.46108296829222356</v>
      </c>
      <c r="F640" s="104">
        <f ca="1">IF($C$4="Hombre",(+VLOOKUP(INT(D640)+1,Tablas!$G$9:$K$1240,5,0)*(D640-INT(D640))+VLOOKUP(INT(D640),Tablas!$G$9:$K$1240,5,0)*(INT(D640)+1-D640))/(VLOOKUP(INT($C$5)+1,Tablas!$G$9:$K$1240,5,0)*($C$5-INT($C$5))+VLOOKUP(INT($C$5),Tablas!$G$9:$K$124,5,0)*(INT($C$5)+1-$C$5)),(+VLOOKUP(INT(D640)+1,Tablas!$G$9:$O$1240,9,0)*(D640-INT(D640))+VLOOKUP(INT(D640),Tablas!$G$9:$O$1240,9,0)*(INT(D640)+1-D640))/(VLOOKUP(INT($C$5)+1,Tablas!$G$9:$O$1240,9,0)*($C$5-INT($C$5))+VLOOKUP(INT($C$5),Tablas!$G$9:$O$124,9,0)*(INT($C$5)+1-$C$5)))</f>
        <v>2.2934232570034644E-9</v>
      </c>
      <c r="G640" s="97">
        <f ca="1">IF($C$4="Hombre",(+VLOOKUP(INT(D640)+1,Tablas!$G$9:$K$1240,5,0)*(D640-INT(D640))+VLOOKUP(INT(D640),Tablas!$G$9:$K$1240,5,0)*(INT(D640)+1-D640)),+VLOOKUP(INT(D640)+1,Tablas!$G$9:$O$1240,9,0)*(D640-INT(D640))+VLOOKUP(INT(D640),Tablas!$G$9:$O$1240,9,0)*(INT(D640)+1-D640))</f>
        <v>2.1175586567343343E-3</v>
      </c>
      <c r="H640" s="105">
        <f t="shared" ca="1" si="76"/>
        <v>1</v>
      </c>
      <c r="I640" s="106">
        <f t="shared" ca="1" si="77"/>
        <v>8.8121533574131369E-11</v>
      </c>
      <c r="J640" s="106">
        <f t="shared" ca="1" si="81"/>
        <v>7.5532743063541181E-11</v>
      </c>
      <c r="K640" s="105">
        <f t="shared" ca="1" si="78"/>
        <v>2.2934232570034644E-9</v>
      </c>
      <c r="L640" s="75"/>
    </row>
    <row r="641" spans="2:12">
      <c r="B641" s="101">
        <f t="shared" ca="1" si="79"/>
        <v>71774</v>
      </c>
      <c r="C641" s="101">
        <f t="shared" ca="1" si="80"/>
        <v>71804</v>
      </c>
      <c r="D641" s="102">
        <f t="shared" ca="1" si="75"/>
        <v>119.08281998631075</v>
      </c>
      <c r="E641" s="103">
        <f t="shared" ca="1" si="82"/>
        <v>0.46050069025724261</v>
      </c>
      <c r="F641" s="104">
        <f ca="1">IF($C$4="Hombre",(+VLOOKUP(INT(D641)+1,Tablas!$G$9:$K$1240,5,0)*(D641-INT(D641))+VLOOKUP(INT(D641),Tablas!$G$9:$K$1240,5,0)*(INT(D641)+1-D641))/(VLOOKUP(INT($C$5)+1,Tablas!$G$9:$K$1240,5,0)*($C$5-INT($C$5))+VLOOKUP(INT($C$5),Tablas!$G$9:$K$124,5,0)*(INT($C$5)+1-$C$5)),(+VLOOKUP(INT(D641)+1,Tablas!$G$9:$O$1240,9,0)*(D641-INT(D641))+VLOOKUP(INT(D641),Tablas!$G$9:$O$1240,9,0)*(INT(D641)+1-D641))/(VLOOKUP(INT($C$5)+1,Tablas!$G$9:$O$1240,9,0)*($C$5-INT($C$5))+VLOOKUP(INT($C$5),Tablas!$G$9:$O$124,9,0)*(INT($C$5)+1-$C$5)))</f>
        <v>2.0476213735668447E-9</v>
      </c>
      <c r="G641" s="97">
        <f ca="1">IF($C$4="Hombre",(+VLOOKUP(INT(D641)+1,Tablas!$G$9:$K$1240,5,0)*(D641-INT(D641))+VLOOKUP(INT(D641),Tablas!$G$9:$K$1240,5,0)*(INT(D641)+1-D641)),+VLOOKUP(INT(D641)+1,Tablas!$G$9:$O$1240,9,0)*(D641-INT(D641))+VLOOKUP(INT(D641),Tablas!$G$9:$O$1240,9,0)*(INT(D641)+1-D641))</f>
        <v>1.8906053874137418E-3</v>
      </c>
      <c r="H641" s="105">
        <f t="shared" ca="1" si="76"/>
        <v>1</v>
      </c>
      <c r="I641" s="106">
        <f t="shared" ca="1" si="77"/>
        <v>7.8577587992751266E-11</v>
      </c>
      <c r="J641" s="106">
        <f t="shared" ca="1" si="81"/>
        <v>6.7352218279501078E-11</v>
      </c>
      <c r="K641" s="105">
        <f t="shared" ca="1" si="78"/>
        <v>2.0476213735668447E-9</v>
      </c>
      <c r="L641" s="75"/>
    </row>
    <row r="642" spans="2:12">
      <c r="B642" s="101">
        <f t="shared" ca="1" si="79"/>
        <v>71805</v>
      </c>
      <c r="C642" s="101">
        <f t="shared" ca="1" si="80"/>
        <v>71835</v>
      </c>
      <c r="D642" s="102">
        <f t="shared" ca="1" si="75"/>
        <v>119.16769336071184</v>
      </c>
      <c r="E642" s="103">
        <f t="shared" ca="1" si="82"/>
        <v>0.45991914755133112</v>
      </c>
      <c r="F642" s="104">
        <f ca="1">IF($C$4="Hombre",(+VLOOKUP(INT(D642)+1,Tablas!$G$9:$K$1240,5,0)*(D642-INT(D642))+VLOOKUP(INT(D642),Tablas!$G$9:$K$1240,5,0)*(INT(D642)+1-D642))/(VLOOKUP(INT($C$5)+1,Tablas!$G$9:$K$1240,5,0)*($C$5-INT($C$5))+VLOOKUP(INT($C$5),Tablas!$G$9:$K$124,5,0)*(INT($C$5)+1-$C$5)),(+VLOOKUP(INT(D642)+1,Tablas!$G$9:$O$1240,9,0)*(D642-INT(D642))+VLOOKUP(INT(D642),Tablas!$G$9:$O$1240,9,0)*(INT(D642)+1-D642))/(VLOOKUP(INT($C$5)+1,Tablas!$G$9:$O$1240,9,0)*($C$5-INT($C$5))+VLOOKUP(INT($C$5),Tablas!$G$9:$O$124,9,0)*(INT($C$5)+1-$C$5)))</f>
        <v>1.8581399927293384E-9</v>
      </c>
      <c r="G642" s="97">
        <f ca="1">IF($C$4="Hombre",(+VLOOKUP(INT(D642)+1,Tablas!$G$9:$K$1240,5,0)*(D642-INT(D642))+VLOOKUP(INT(D642),Tablas!$G$9:$K$1240,5,0)*(INT(D642)+1-D642)),+VLOOKUP(INT(D642)+1,Tablas!$G$9:$O$1240,9,0)*(D642-INT(D642))+VLOOKUP(INT(D642),Tablas!$G$9:$O$1240,9,0)*(INT(D642)+1-D642))</f>
        <v>1.7156538441008493E-3</v>
      </c>
      <c r="H642" s="105">
        <f t="shared" ca="1" si="76"/>
        <v>1</v>
      </c>
      <c r="I642" s="106">
        <f t="shared" ca="1" si="77"/>
        <v>7.1216180123926163E-11</v>
      </c>
      <c r="J642" s="106">
        <f t="shared" ca="1" si="81"/>
        <v>6.1042440106222427E-11</v>
      </c>
      <c r="K642" s="105">
        <f t="shared" ca="1" si="78"/>
        <v>1.8581399927293384E-9</v>
      </c>
      <c r="L642" s="75"/>
    </row>
    <row r="643" spans="2:12">
      <c r="B643" s="101">
        <f t="shared" ca="1" si="79"/>
        <v>71836</v>
      </c>
      <c r="C643" s="101">
        <f t="shared" ca="1" si="80"/>
        <v>71865</v>
      </c>
      <c r="D643" s="102">
        <f t="shared" ca="1" si="75"/>
        <v>119.24982888432581</v>
      </c>
      <c r="E643" s="103">
        <f t="shared" ca="1" si="82"/>
        <v>0.45935706354410005</v>
      </c>
      <c r="F643" s="104">
        <f ca="1">IF($C$4="Hombre",(+VLOOKUP(INT(D643)+1,Tablas!$G$9:$K$1240,5,0)*(D643-INT(D643))+VLOOKUP(INT(D643),Tablas!$G$9:$K$1240,5,0)*(INT(D643)+1-D643))/(VLOOKUP(INT($C$5)+1,Tablas!$G$9:$K$1240,5,0)*($C$5-INT($C$5))+VLOOKUP(INT($C$5),Tablas!$G$9:$K$124,5,0)*(INT($C$5)+1-$C$5)),(+VLOOKUP(INT(D643)+1,Tablas!$G$9:$O$1240,9,0)*(D643-INT(D643))+VLOOKUP(INT(D643),Tablas!$G$9:$O$1240,9,0)*(INT(D643)+1-D643))/(VLOOKUP(INT($C$5)+1,Tablas!$G$9:$O$1240,9,0)*($C$5-INT($C$5))+VLOOKUP(INT($C$5),Tablas!$G$9:$O$124,9,0)*(INT($C$5)+1-$C$5)))</f>
        <v>1.674770914499453E-9</v>
      </c>
      <c r="G643" s="97">
        <f ca="1">IF($C$4="Hombre",(+VLOOKUP(INT(D643)+1,Tablas!$G$9:$K$1240,5,0)*(D643-INT(D643))+VLOOKUP(INT(D643),Tablas!$G$9:$K$1240,5,0)*(INT(D643)+1-D643)),+VLOOKUP(INT(D643)+1,Tablas!$G$9:$O$1240,9,0)*(D643-INT(D643))+VLOOKUP(INT(D643),Tablas!$G$9:$O$1240,9,0)*(INT(D643)+1-D643))</f>
        <v>1.5463458989593028E-3</v>
      </c>
      <c r="H643" s="105">
        <f t="shared" ca="1" si="76"/>
        <v>1</v>
      </c>
      <c r="I643" s="106">
        <f t="shared" ca="1" si="77"/>
        <v>6.4109820782794642E-11</v>
      </c>
      <c r="J643" s="106">
        <f t="shared" ca="1" si="81"/>
        <v>5.4951274956681121E-11</v>
      </c>
      <c r="K643" s="105">
        <f t="shared" ca="1" si="78"/>
        <v>1.674770914499453E-9</v>
      </c>
      <c r="L643" s="75"/>
    </row>
    <row r="644" spans="2:12">
      <c r="B644" s="101">
        <f t="shared" ca="1" si="79"/>
        <v>71866</v>
      </c>
      <c r="C644" s="101">
        <f t="shared" ca="1" si="80"/>
        <v>71896</v>
      </c>
      <c r="D644" s="102">
        <f t="shared" ca="1" si="75"/>
        <v>119.33470225872689</v>
      </c>
      <c r="E644" s="103">
        <f t="shared" ca="1" si="82"/>
        <v>0.45877696506571614</v>
      </c>
      <c r="F644" s="104">
        <f ca="1">IF($C$4="Hombre",(+VLOOKUP(INT(D644)+1,Tablas!$G$9:$K$1240,5,0)*(D644-INT(D644))+VLOOKUP(INT(D644),Tablas!$G$9:$K$1240,5,0)*(INT(D644)+1-D644))/(VLOOKUP(INT($C$5)+1,Tablas!$G$9:$K$1240,5,0)*($C$5-INT($C$5))+VLOOKUP(INT($C$5),Tablas!$G$9:$K$124,5,0)*(INT($C$5)+1-$C$5)),(+VLOOKUP(INT(D644)+1,Tablas!$G$9:$O$1240,9,0)*(D644-INT(D644))+VLOOKUP(INT(D644),Tablas!$G$9:$O$1240,9,0)*(INT(D644)+1-D644))/(VLOOKUP(INT($C$5)+1,Tablas!$G$9:$O$1240,9,0)*($C$5-INT($C$5))+VLOOKUP(INT($C$5),Tablas!$G$9:$O$124,9,0)*(INT($C$5)+1-$C$5)))</f>
        <v>1.4852895336619467E-9</v>
      </c>
      <c r="G644" s="97">
        <f ca="1">IF($C$4="Hombre",(+VLOOKUP(INT(D644)+1,Tablas!$G$9:$K$1240,5,0)*(D644-INT(D644))+VLOOKUP(INT(D644),Tablas!$G$9:$K$1240,5,0)*(INT(D644)+1-D644)),+VLOOKUP(INT(D644)+1,Tablas!$G$9:$O$1240,9,0)*(D644-INT(D644))+VLOOKUP(INT(D644),Tablas!$G$9:$O$1240,9,0)*(INT(D644)+1-D644))</f>
        <v>1.3713943556464103E-3</v>
      </c>
      <c r="H644" s="105">
        <f t="shared" ca="1" si="76"/>
        <v>1</v>
      </c>
      <c r="I644" s="106">
        <f t="shared" ca="1" si="77"/>
        <v>5.678471870810839E-11</v>
      </c>
      <c r="J644" s="106">
        <f t="shared" ca="1" si="81"/>
        <v>4.8672616035521478E-11</v>
      </c>
      <c r="K644" s="105">
        <f t="shared" ca="1" si="78"/>
        <v>1.4852895336619467E-9</v>
      </c>
      <c r="L644" s="75"/>
    </row>
    <row r="645" spans="2:12">
      <c r="B645" s="101">
        <f t="shared" ca="1" si="79"/>
        <v>71897</v>
      </c>
      <c r="C645" s="101">
        <f t="shared" ca="1" si="80"/>
        <v>71926</v>
      </c>
      <c r="D645" s="102">
        <f t="shared" ca="1" si="75"/>
        <v>119.41683778234086</v>
      </c>
      <c r="E645" s="103">
        <f t="shared" ca="1" si="82"/>
        <v>0.45821627696146472</v>
      </c>
      <c r="F645" s="104">
        <f ca="1">IF($C$4="Hombre",(+VLOOKUP(INT(D645)+1,Tablas!$G$9:$K$1240,5,0)*(D645-INT(D645))+VLOOKUP(INT(D645),Tablas!$G$9:$K$1240,5,0)*(INT(D645)+1-D645))/(VLOOKUP(INT($C$5)+1,Tablas!$G$9:$K$1240,5,0)*($C$5-INT($C$5))+VLOOKUP(INT($C$5),Tablas!$G$9:$K$124,5,0)*(INT($C$5)+1-$C$5)),(+VLOOKUP(INT(D645)+1,Tablas!$G$9:$O$1240,9,0)*(D645-INT(D645))+VLOOKUP(INT(D645),Tablas!$G$9:$O$1240,9,0)*(INT(D645)+1-D645))/(VLOOKUP(INT($C$5)+1,Tablas!$G$9:$O$1240,9,0)*($C$5-INT($C$5))+VLOOKUP(INT($C$5),Tablas!$G$9:$O$124,9,0)*(INT($C$5)+1-$C$5)))</f>
        <v>1.3019204554320611E-9</v>
      </c>
      <c r="G645" s="97">
        <f ca="1">IF($C$4="Hombre",(+VLOOKUP(INT(D645)+1,Tablas!$G$9:$K$1240,5,0)*(D645-INT(D645))+VLOOKUP(INT(D645),Tablas!$G$9:$K$1240,5,0)*(INT(D645)+1-D645)),+VLOOKUP(INT(D645)+1,Tablas!$G$9:$O$1240,9,0)*(D645-INT(D645))+VLOOKUP(INT(D645),Tablas!$G$9:$O$1240,9,0)*(INT(D645)+1-D645))</f>
        <v>1.2020864105048638E-3</v>
      </c>
      <c r="H645" s="105">
        <f t="shared" ca="1" si="76"/>
        <v>1</v>
      </c>
      <c r="I645" s="106">
        <f t="shared" ca="1" si="77"/>
        <v>4.9713428665671126E-11</v>
      </c>
      <c r="J645" s="106">
        <f t="shared" ca="1" si="81"/>
        <v>8.5223020569721929E-11</v>
      </c>
      <c r="K645" s="105">
        <f t="shared" ca="1" si="78"/>
        <v>1.3019204554320611E-9</v>
      </c>
      <c r="L645" s="75"/>
    </row>
    <row r="646" spans="2:12">
      <c r="B646" s="101">
        <f t="shared" ca="1" si="79"/>
        <v>71927</v>
      </c>
      <c r="C646" s="101">
        <f t="shared" ca="1" si="80"/>
        <v>71957</v>
      </c>
      <c r="D646" s="102">
        <f t="shared" ca="1" si="75"/>
        <v>119.50171115674196</v>
      </c>
      <c r="E646" s="103">
        <f t="shared" ca="1" si="82"/>
        <v>0.45763761912395312</v>
      </c>
      <c r="F646" s="104">
        <f ca="1">IF($C$4="Hombre",(+VLOOKUP(INT(D646)+1,Tablas!$G$9:$K$1240,5,0)*(D646-INT(D646))+VLOOKUP(INT(D646),Tablas!$G$9:$K$1240,5,0)*(INT(D646)+1-D646))/(VLOOKUP(INT($C$5)+1,Tablas!$G$9:$K$1240,5,0)*($C$5-INT($C$5))+VLOOKUP(INT($C$5),Tablas!$G$9:$K$124,5,0)*(INT($C$5)+1-$C$5)),(+VLOOKUP(INT(D646)+1,Tablas!$G$9:$O$1240,9,0)*(D646-INT(D646))+VLOOKUP(INT(D646),Tablas!$G$9:$O$1240,9,0)*(INT(D646)+1-D646))/(VLOOKUP(INT($C$5)+1,Tablas!$G$9:$O$1240,9,0)*($C$5-INT($C$5))+VLOOKUP(INT($C$5),Tablas!$G$9:$O$124,9,0)*(INT($C$5)+1-$C$5)))</f>
        <v>1.1124390745945231E-9</v>
      </c>
      <c r="G646" s="97">
        <f ca="1">IF($C$4="Hombre",(+VLOOKUP(INT(D646)+1,Tablas!$G$9:$K$1240,5,0)*(D646-INT(D646))+VLOOKUP(INT(D646),Tablas!$G$9:$K$1240,5,0)*(INT(D646)+1-D646)),+VLOOKUP(INT(D646)+1,Tablas!$G$9:$O$1240,9,0)*(D646-INT(D646))+VLOOKUP(INT(D646),Tablas!$G$9:$O$1240,9,0)*(INT(D646)+1-D646))</f>
        <v>1.027134867191942E-3</v>
      </c>
      <c r="H646" s="105">
        <f t="shared" ca="1" si="76"/>
        <v>1</v>
      </c>
      <c r="I646" s="106">
        <f t="shared" ca="1" si="77"/>
        <v>4.2424497459824266E-11</v>
      </c>
      <c r="J646" s="106">
        <f t="shared" ca="1" si="81"/>
        <v>3.6363854965563657E-11</v>
      </c>
      <c r="K646" s="105">
        <f t="shared" ca="1" si="78"/>
        <v>1.1124390745945231E-9</v>
      </c>
      <c r="L646" s="75"/>
    </row>
    <row r="647" spans="2:12">
      <c r="B647" s="101">
        <f t="shared" ca="1" si="79"/>
        <v>71958</v>
      </c>
      <c r="C647" s="101">
        <f t="shared" ca="1" si="80"/>
        <v>71988</v>
      </c>
      <c r="D647" s="102">
        <f t="shared" ca="1" si="75"/>
        <v>119.58658453114305</v>
      </c>
      <c r="E647" s="103">
        <f t="shared" ca="1" si="82"/>
        <v>0.45705969204374919</v>
      </c>
      <c r="F647" s="104">
        <f ca="1">IF($C$4="Hombre",(+VLOOKUP(INT(D647)+1,Tablas!$G$9:$K$1240,5,0)*(D647-INT(D647))+VLOOKUP(INT(D647),Tablas!$G$9:$K$1240,5,0)*(INT(D647)+1-D647))/(VLOOKUP(INT($C$5)+1,Tablas!$G$9:$K$1240,5,0)*($C$5-INT($C$5))+VLOOKUP(INT($C$5),Tablas!$G$9:$K$124,5,0)*(INT($C$5)+1-$C$5)),(+VLOOKUP(INT(D647)+1,Tablas!$G$9:$O$1240,9,0)*(D647-INT(D647))+VLOOKUP(INT(D647),Tablas!$G$9:$O$1240,9,0)*(INT(D647)+1-D647))/(VLOOKUP(INT($C$5)+1,Tablas!$G$9:$O$1240,9,0)*($C$5-INT($C$5))+VLOOKUP(INT($C$5),Tablas!$G$9:$O$124,9,0)*(INT($C$5)+1-$C$5)))</f>
        <v>9.2295769375701695E-10</v>
      </c>
      <c r="G647" s="97">
        <f ca="1">IF($C$4="Hombre",(+VLOOKUP(INT(D647)+1,Tablas!$G$9:$K$1240,5,0)*(D647-INT(D647))+VLOOKUP(INT(D647),Tablas!$G$9:$K$1240,5,0)*(INT(D647)+1-D647)),+VLOOKUP(INT(D647)+1,Tablas!$G$9:$O$1240,9,0)*(D647-INT(D647))+VLOOKUP(INT(D647),Tablas!$G$9:$O$1240,9,0)*(INT(D647)+1-D647))</f>
        <v>8.5218332387904951E-4</v>
      </c>
      <c r="H647" s="105">
        <f t="shared" ca="1" si="76"/>
        <v>1</v>
      </c>
      <c r="I647" s="106">
        <f t="shared" ca="1" si="77"/>
        <v>3.5153896606499265E-11</v>
      </c>
      <c r="J647" s="106">
        <f t="shared" ca="1" si="81"/>
        <v>3.0131911376999366E-11</v>
      </c>
      <c r="K647" s="105">
        <f t="shared" ca="1" si="78"/>
        <v>9.2295769375701695E-10</v>
      </c>
      <c r="L647" s="75"/>
    </row>
    <row r="648" spans="2:12">
      <c r="B648" s="101">
        <f t="shared" ca="1" si="79"/>
        <v>71989</v>
      </c>
      <c r="C648" s="101">
        <f t="shared" ca="1" si="80"/>
        <v>72016</v>
      </c>
      <c r="D648" s="102">
        <f t="shared" ca="1" si="75"/>
        <v>119.66324435318275</v>
      </c>
      <c r="E648" s="103">
        <f t="shared" ca="1" si="82"/>
        <v>0.45653832072452272</v>
      </c>
      <c r="F648" s="104">
        <f ca="1">IF($C$4="Hombre",(+VLOOKUP(INT(D648)+1,Tablas!$G$9:$K$1240,5,0)*(D648-INT(D648))+VLOOKUP(INT(D648),Tablas!$G$9:$K$1240,5,0)*(INT(D648)+1-D648))/(VLOOKUP(INT($C$5)+1,Tablas!$G$9:$K$1240,5,0)*($C$5-INT($C$5))+VLOOKUP(INT($C$5),Tablas!$G$9:$K$124,5,0)*(INT($C$5)+1-$C$5)),(+VLOOKUP(INT(D648)+1,Tablas!$G$9:$O$1240,9,0)*(D648-INT(D648))+VLOOKUP(INT(D648),Tablas!$G$9:$O$1240,9,0)*(INT(D648)+1-D648))/(VLOOKUP(INT($C$5)+1,Tablas!$G$9:$O$1240,9,0)*($C$5-INT($C$5))+VLOOKUP(INT($C$5),Tablas!$G$9:$O$124,9,0)*(INT($C$5)+1-$C$5)))</f>
        <v>7.5181322074246758E-10</v>
      </c>
      <c r="G648" s="97">
        <f ca="1">IF($C$4="Hombre",(+VLOOKUP(INT(D648)+1,Tablas!$G$9:$K$1240,5,0)*(D648-INT(D648))+VLOOKUP(INT(D648),Tablas!$G$9:$K$1240,5,0)*(INT(D648)+1-D648)),+VLOOKUP(INT(D648)+1,Tablas!$G$9:$O$1240,9,0)*(D648-INT(D648))+VLOOKUP(INT(D648),Tablas!$G$9:$O$1240,9,0)*(INT(D648)+1-D648))</f>
        <v>6.9416257508028245E-4</v>
      </c>
      <c r="H648" s="105">
        <f t="shared" ca="1" si="76"/>
        <v>1</v>
      </c>
      <c r="I648" s="106">
        <f t="shared" ca="1" si="77"/>
        <v>2.8602628774688421E-11</v>
      </c>
      <c r="J648" s="106">
        <f t="shared" ca="1" si="81"/>
        <v>2.4516538949732934E-11</v>
      </c>
      <c r="K648" s="105">
        <f t="shared" ca="1" si="78"/>
        <v>7.5181322074246758E-10</v>
      </c>
      <c r="L648" s="75"/>
    </row>
    <row r="649" spans="2:12">
      <c r="B649" s="101">
        <f t="shared" ca="1" si="79"/>
        <v>72017</v>
      </c>
      <c r="C649" s="101">
        <f t="shared" ca="1" si="80"/>
        <v>72047</v>
      </c>
      <c r="D649" s="102">
        <f t="shared" ca="1" si="75"/>
        <v>119.74811772758385</v>
      </c>
      <c r="E649" s="103">
        <f t="shared" ca="1" si="82"/>
        <v>0.45596178189189213</v>
      </c>
      <c r="F649" s="104">
        <f ca="1">IF($C$4="Hombre",(+VLOOKUP(INT(D649)+1,Tablas!$G$9:$K$1240,5,0)*(D649-INT(D649))+VLOOKUP(INT(D649),Tablas!$G$9:$K$1240,5,0)*(INT(D649)+1-D649))/(VLOOKUP(INT($C$5)+1,Tablas!$G$9:$K$1240,5,0)*($C$5-INT($C$5))+VLOOKUP(INT($C$5),Tablas!$G$9:$K$124,5,0)*(INT($C$5)+1-$C$5)),(+VLOOKUP(INT(D649)+1,Tablas!$G$9:$O$1240,9,0)*(D649-INT(D649))+VLOOKUP(INT(D649),Tablas!$G$9:$O$1240,9,0)*(INT(D649)+1-D649))/(VLOOKUP(INT($C$5)+1,Tablas!$G$9:$O$1240,9,0)*($C$5-INT($C$5))+VLOOKUP(INT($C$5),Tablas!$G$9:$O$124,9,0)*(INT($C$5)+1-$C$5)))</f>
        <v>5.6233183990492974E-10</v>
      </c>
      <c r="G649" s="97">
        <f ca="1">IF($C$4="Hombre",(+VLOOKUP(INT(D649)+1,Tablas!$G$9:$K$1240,5,0)*(D649-INT(D649))+VLOOKUP(INT(D649),Tablas!$G$9:$K$1240,5,0)*(INT(D649)+1-D649)),+VLOOKUP(INT(D649)+1,Tablas!$G$9:$O$1240,9,0)*(D649-INT(D649))+VLOOKUP(INT(D649),Tablas!$G$9:$O$1240,9,0)*(INT(D649)+1-D649))</f>
        <v>5.1921103176736077E-4</v>
      </c>
      <c r="H649" s="105">
        <f t="shared" ca="1" si="76"/>
        <v>1</v>
      </c>
      <c r="I649" s="106">
        <f t="shared" ca="1" si="77"/>
        <v>2.1366818978133162E-11</v>
      </c>
      <c r="J649" s="106">
        <f t="shared" ca="1" si="81"/>
        <v>1.8314416266971282E-11</v>
      </c>
      <c r="K649" s="105">
        <f t="shared" ca="1" si="78"/>
        <v>5.6233183990492974E-10</v>
      </c>
      <c r="L649" s="75"/>
    </row>
    <row r="650" spans="2:12">
      <c r="B650" s="101">
        <f t="shared" ca="1" si="79"/>
        <v>72048</v>
      </c>
      <c r="C650" s="101">
        <f t="shared" ca="1" si="80"/>
        <v>72077</v>
      </c>
      <c r="D650" s="102">
        <f t="shared" ca="1" si="75"/>
        <v>119.8302532511978</v>
      </c>
      <c r="E650" s="103">
        <f t="shared" ca="1" si="82"/>
        <v>0.4554045343259352</v>
      </c>
      <c r="F650" s="104">
        <f ca="1">IF($C$4="Hombre",(+VLOOKUP(INT(D650)+1,Tablas!$G$9:$K$1240,5,0)*(D650-INT(D650))+VLOOKUP(INT(D650),Tablas!$G$9:$K$1240,5,0)*(INT(D650)+1-D650))/(VLOOKUP(INT($C$5)+1,Tablas!$G$9:$K$1240,5,0)*($C$5-INT($C$5))+VLOOKUP(INT($C$5),Tablas!$G$9:$K$124,5,0)*(INT($C$5)+1-$C$5)),(+VLOOKUP(INT(D650)+1,Tablas!$G$9:$O$1240,9,0)*(D650-INT(D650))+VLOOKUP(INT(D650),Tablas!$G$9:$O$1240,9,0)*(INT(D650)+1-D650))/(VLOOKUP(INT($C$5)+1,Tablas!$G$9:$O$1240,9,0)*($C$5-INT($C$5))+VLOOKUP(INT($C$5),Tablas!$G$9:$O$124,9,0)*(INT($C$5)+1-$C$5)))</f>
        <v>3.7896276167507584E-10</v>
      </c>
      <c r="G650" s="97">
        <f ca="1">IF($C$4="Hombre",(+VLOOKUP(INT(D650)+1,Tablas!$G$9:$K$1240,5,0)*(D650-INT(D650))+VLOOKUP(INT(D650),Tablas!$G$9:$K$1240,5,0)*(INT(D650)+1-D650)),+VLOOKUP(INT(D650)+1,Tablas!$G$9:$O$1240,9,0)*(D650-INT(D650))+VLOOKUP(INT(D650),Tablas!$G$9:$O$1240,9,0)*(INT(D650)+1-D650))</f>
        <v>3.4990308662584348E-4</v>
      </c>
      <c r="H650" s="105">
        <f t="shared" ca="1" si="76"/>
        <v>1</v>
      </c>
      <c r="I650" s="106">
        <f t="shared" ca="1" si="77"/>
        <v>1.4381780000625689E-11</v>
      </c>
      <c r="J650" s="106">
        <f t="shared" ca="1" si="81"/>
        <v>1.2327240000536305E-11</v>
      </c>
      <c r="K650" s="105">
        <f t="shared" ca="1" si="78"/>
        <v>3.7896276167507584E-10</v>
      </c>
      <c r="L650" s="75"/>
    </row>
    <row r="651" spans="2:12">
      <c r="B651" s="101">
        <f t="shared" ca="1" si="79"/>
        <v>72078</v>
      </c>
      <c r="C651" s="101">
        <f t="shared" ca="1" si="80"/>
        <v>72108</v>
      </c>
      <c r="D651" s="102">
        <f t="shared" ca="1" si="75"/>
        <v>119.9151266255989</v>
      </c>
      <c r="E651" s="103">
        <f t="shared" ca="1" si="82"/>
        <v>0.45482942729400361</v>
      </c>
      <c r="F651" s="104">
        <f ca="1">IF($C$4="Hombre",(+VLOOKUP(INT(D651)+1,Tablas!$G$9:$K$1240,5,0)*(D651-INT(D651))+VLOOKUP(INT(D651),Tablas!$G$9:$K$1240,5,0)*(INT(D651)+1-D651))/(VLOOKUP(INT($C$5)+1,Tablas!$G$9:$K$1240,5,0)*($C$5-INT($C$5))+VLOOKUP(INT($C$5),Tablas!$G$9:$K$124,5,0)*(INT($C$5)+1-$C$5)),(+VLOOKUP(INT(D651)+1,Tablas!$G$9:$O$1240,9,0)*(D651-INT(D651))+VLOOKUP(INT(D651),Tablas!$G$9:$O$1240,9,0)*(INT(D651)+1-D651))/(VLOOKUP(INT($C$5)+1,Tablas!$G$9:$O$1240,9,0)*($C$5-INT($C$5))+VLOOKUP(INT($C$5),Tablas!$G$9:$O$124,9,0)*(INT($C$5)+1-$C$5)))</f>
        <v>1.8948138083753792E-10</v>
      </c>
      <c r="G651" s="97">
        <f ca="1">IF($C$4="Hombre",(+VLOOKUP(INT(D651)+1,Tablas!$G$9:$K$1240,5,0)*(D651-INT(D651))+VLOOKUP(INT(D651),Tablas!$G$9:$K$1240,5,0)*(INT(D651)+1-D651)),+VLOOKUP(INT(D651)+1,Tablas!$G$9:$O$1240,9,0)*(D651-INT(D651))+VLOOKUP(INT(D651),Tablas!$G$9:$O$1240,9,0)*(INT(D651)+1-D651))</f>
        <v>1.7495154331292174E-4</v>
      </c>
      <c r="H651" s="105">
        <f t="shared" ca="1" si="76"/>
        <v>1</v>
      </c>
      <c r="I651" s="106">
        <f t="shared" ca="1" si="77"/>
        <v>7.1818089941011968E-12</v>
      </c>
      <c r="J651" s="106">
        <f t="shared" ca="1" si="81"/>
        <v>1.2311672561316338E-11</v>
      </c>
      <c r="K651" s="105">
        <f t="shared" ca="1" si="78"/>
        <v>1.8948138083753792E-10</v>
      </c>
      <c r="L651" s="75"/>
    </row>
    <row r="652" spans="2:12">
      <c r="B652" s="101">
        <f t="shared" ca="1" si="79"/>
        <v>72109</v>
      </c>
      <c r="C652" s="101">
        <f t="shared" ca="1" si="80"/>
        <v>72138</v>
      </c>
      <c r="D652" s="102">
        <f t="shared" ca="1" si="75"/>
        <v>119.99726214921287</v>
      </c>
      <c r="E652" s="103">
        <f t="shared" ca="1" si="82"/>
        <v>0.45427356362000537</v>
      </c>
      <c r="F652" s="104">
        <f ca="1">IF($C$4="Hombre",(+VLOOKUP(INT(D652)+1,Tablas!$G$9:$K$1240,5,0)*(D652-INT(D652))+VLOOKUP(INT(D652),Tablas!$G$9:$K$1240,5,0)*(INT(D652)+1-D652))/(VLOOKUP(INT($C$5)+1,Tablas!$G$9:$K$1240,5,0)*($C$5-INT($C$5))+VLOOKUP(INT($C$5),Tablas!$G$9:$K$124,5,0)*(INT($C$5)+1-$C$5)),(+VLOOKUP(INT(D652)+1,Tablas!$G$9:$O$1240,9,0)*(D652-INT(D652))+VLOOKUP(INT(D652),Tablas!$G$9:$O$1240,9,0)*(INT(D652)+1-D652))/(VLOOKUP(INT($C$5)+1,Tablas!$G$9:$O$1240,9,0)*($C$5-INT($C$5))+VLOOKUP(INT($C$5),Tablas!$G$9:$O$124,9,0)*(INT($C$5)+1-$C$5)))</f>
        <v>6.1123026076522794E-12</v>
      </c>
      <c r="G652" s="97">
        <f ca="1">IF($C$4="Hombre",(+VLOOKUP(INT(D652)+1,Tablas!$G$9:$K$1240,5,0)*(D652-INT(D652))+VLOOKUP(INT(D652),Tablas!$G$9:$K$1240,5,0)*(INT(D652)+1-D652)),+VLOOKUP(INT(D652)+1,Tablas!$G$9:$O$1240,9,0)*(D652-INT(D652))+VLOOKUP(INT(D652),Tablas!$G$9:$O$1240,9,0)*(INT(D652)+1-D652))</f>
        <v>5.6435981713751228E-6</v>
      </c>
      <c r="H652" s="105">
        <f t="shared" ca="1" si="76"/>
        <v>1</v>
      </c>
      <c r="I652" s="106">
        <f t="shared" ca="1" si="77"/>
        <v>2.3138812395850435E-13</v>
      </c>
      <c r="J652" s="106">
        <f t="shared" ca="1" si="81"/>
        <v>1.9833267767871802E-13</v>
      </c>
      <c r="K652" s="105">
        <f t="shared" ca="1" si="78"/>
        <v>6.1123026076522794E-12</v>
      </c>
      <c r="L652" s="75"/>
    </row>
    <row r="653" spans="2:12">
      <c r="B653" s="101">
        <f t="shared" ca="1" si="79"/>
        <v>72139</v>
      </c>
      <c r="C653" s="101">
        <f t="shared" ca="1" si="80"/>
        <v>72169</v>
      </c>
      <c r="D653" s="102">
        <f t="shared" ca="1" si="75"/>
        <v>120.08213552361396</v>
      </c>
      <c r="E653" s="103">
        <f t="shared" ca="1" si="82"/>
        <v>0.45369988483297891</v>
      </c>
      <c r="F653" s="104" t="e">
        <f ca="1">IF($C$4="Hombre",(+VLOOKUP(INT(D653)+1,Tablas!$G$9:$K$1240,5,0)*(D653-INT(D653))+VLOOKUP(INT(D653),Tablas!$G$9:$K$1240,5,0)*(INT(D653)+1-D653))/(VLOOKUP(INT($C$5)+1,Tablas!$G$9:$K$1240,5,0)*($C$5-INT($C$5))+VLOOKUP(INT($C$5),Tablas!$G$9:$K$124,5,0)*(INT($C$5)+1-$C$5)),(+VLOOKUP(INT(D653)+1,Tablas!$G$9:$O$1240,9,0)*(D653-INT(D653))+VLOOKUP(INT(D653),Tablas!$G$9:$O$1240,9,0)*(INT(D653)+1-D653))/(VLOOKUP(INT($C$5)+1,Tablas!$G$9:$O$1240,9,0)*($C$5-INT($C$5))+VLOOKUP(INT($C$5),Tablas!$G$9:$O$124,9,0)*(INT($C$5)+1-$C$5)))</f>
        <v>#N/A</v>
      </c>
      <c r="G653" s="97" t="e">
        <f ca="1">IF($C$4="Hombre",(+VLOOKUP(INT(D653)+1,Tablas!$G$9:$K$1240,5,0)*(D653-INT(D653))+VLOOKUP(INT(D653),Tablas!$G$9:$K$1240,5,0)*(INT(D653)+1-D653)),+VLOOKUP(INT(D653)+1,Tablas!$G$9:$O$1240,9,0)*(D653-INT(D653))+VLOOKUP(INT(D653),Tablas!$G$9:$O$1240,9,0)*(INT(D653)+1-D653))</f>
        <v>#N/A</v>
      </c>
      <c r="H653" s="105">
        <f t="shared" ca="1" si="76"/>
        <v>1</v>
      </c>
      <c r="I653" s="106" t="e">
        <f t="shared" ca="1" si="77"/>
        <v>#N/A</v>
      </c>
      <c r="J653" s="106" t="e">
        <f t="shared" ca="1" si="81"/>
        <v>#N/A</v>
      </c>
      <c r="K653" s="105" t="e">
        <f t="shared" ca="1" si="78"/>
        <v>#N/A</v>
      </c>
      <c r="L653" s="75"/>
    </row>
    <row r="654" spans="2:12">
      <c r="B654" s="101">
        <f t="shared" ca="1" si="79"/>
        <v>72170</v>
      </c>
      <c r="C654" s="101">
        <f t="shared" ca="1" si="80"/>
        <v>72200</v>
      </c>
      <c r="D654" s="102">
        <f t="shared" ca="1" si="75"/>
        <v>120.16700889801506</v>
      </c>
      <c r="E654" s="103">
        <f t="shared" ca="1" si="82"/>
        <v>0.45312693051547259</v>
      </c>
      <c r="F654" s="104" t="e">
        <f ca="1">IF($C$4="Hombre",(+VLOOKUP(INT(D654)+1,Tablas!$G$9:$K$1240,5,0)*(D654-INT(D654))+VLOOKUP(INT(D654),Tablas!$G$9:$K$1240,5,0)*(INT(D654)+1-D654))/(VLOOKUP(INT($C$5)+1,Tablas!$G$9:$K$1240,5,0)*($C$5-INT($C$5))+VLOOKUP(INT($C$5),Tablas!$G$9:$K$124,5,0)*(INT($C$5)+1-$C$5)),(+VLOOKUP(INT(D654)+1,Tablas!$G$9:$O$1240,9,0)*(D654-INT(D654))+VLOOKUP(INT(D654),Tablas!$G$9:$O$1240,9,0)*(INT(D654)+1-D654))/(VLOOKUP(INT($C$5)+1,Tablas!$G$9:$O$1240,9,0)*($C$5-INT($C$5))+VLOOKUP(INT($C$5),Tablas!$G$9:$O$124,9,0)*(INT($C$5)+1-$C$5)))</f>
        <v>#N/A</v>
      </c>
      <c r="G654" s="97" t="e">
        <f ca="1">IF($C$4="Hombre",(+VLOOKUP(INT(D654)+1,Tablas!$G$9:$K$1240,5,0)*(D654-INT(D654))+VLOOKUP(INT(D654),Tablas!$G$9:$K$1240,5,0)*(INT(D654)+1-D654)),+VLOOKUP(INT(D654)+1,Tablas!$G$9:$O$1240,9,0)*(D654-INT(D654))+VLOOKUP(INT(D654),Tablas!$G$9:$O$1240,9,0)*(INT(D654)+1-D654))</f>
        <v>#N/A</v>
      </c>
      <c r="H654" s="105">
        <f t="shared" ca="1" si="76"/>
        <v>1</v>
      </c>
      <c r="I654" s="106" t="e">
        <f t="shared" ca="1" si="77"/>
        <v>#N/A</v>
      </c>
      <c r="J654" s="106" t="e">
        <f t="shared" ca="1" si="81"/>
        <v>#N/A</v>
      </c>
      <c r="K654" s="105" t="e">
        <f t="shared" ca="1" si="78"/>
        <v>#N/A</v>
      </c>
      <c r="L654" s="75"/>
    </row>
    <row r="655" spans="2:12">
      <c r="B655" s="101">
        <f t="shared" ca="1" si="79"/>
        <v>72201</v>
      </c>
      <c r="C655" s="101">
        <f t="shared" ca="1" si="80"/>
        <v>72230</v>
      </c>
      <c r="D655" s="102">
        <f t="shared" ca="1" si="75"/>
        <v>120.24914442162903</v>
      </c>
      <c r="E655" s="103">
        <f t="shared" ca="1" si="82"/>
        <v>0.45257314752503941</v>
      </c>
      <c r="F655" s="104" t="e">
        <f ca="1">IF($C$4="Hombre",(+VLOOKUP(INT(D655)+1,Tablas!$G$9:$K$1240,5,0)*(D655-INT(D655))+VLOOKUP(INT(D655),Tablas!$G$9:$K$1240,5,0)*(INT(D655)+1-D655))/(VLOOKUP(INT($C$5)+1,Tablas!$G$9:$K$1240,5,0)*($C$5-INT($C$5))+VLOOKUP(INT($C$5),Tablas!$G$9:$K$124,5,0)*(INT($C$5)+1-$C$5)),(+VLOOKUP(INT(D655)+1,Tablas!$G$9:$O$1240,9,0)*(D655-INT(D655))+VLOOKUP(INT(D655),Tablas!$G$9:$O$1240,9,0)*(INT(D655)+1-D655))/(VLOOKUP(INT($C$5)+1,Tablas!$G$9:$O$1240,9,0)*($C$5-INT($C$5))+VLOOKUP(INT($C$5),Tablas!$G$9:$O$124,9,0)*(INT($C$5)+1-$C$5)))</f>
        <v>#N/A</v>
      </c>
      <c r="G655" s="97" t="e">
        <f ca="1">IF($C$4="Hombre",(+VLOOKUP(INT(D655)+1,Tablas!$G$9:$K$1240,5,0)*(D655-INT(D655))+VLOOKUP(INT(D655),Tablas!$G$9:$K$1240,5,0)*(INT(D655)+1-D655)),+VLOOKUP(INT(D655)+1,Tablas!$G$9:$O$1240,9,0)*(D655-INT(D655))+VLOOKUP(INT(D655),Tablas!$G$9:$O$1240,9,0)*(INT(D655)+1-D655))</f>
        <v>#N/A</v>
      </c>
      <c r="H655" s="105">
        <f t="shared" ca="1" si="76"/>
        <v>1</v>
      </c>
      <c r="I655" s="106" t="e">
        <f t="shared" ca="1" si="77"/>
        <v>#N/A</v>
      </c>
      <c r="J655" s="106" t="e">
        <f t="shared" ca="1" si="81"/>
        <v>#N/A</v>
      </c>
      <c r="K655" s="105" t="e">
        <f t="shared" ca="1" si="78"/>
        <v>#N/A</v>
      </c>
      <c r="L655" s="75"/>
    </row>
    <row r="656" spans="2:12">
      <c r="B656" s="101">
        <f t="shared" ca="1" si="79"/>
        <v>72231</v>
      </c>
      <c r="C656" s="101">
        <f t="shared" ca="1" si="80"/>
        <v>72261</v>
      </c>
      <c r="D656" s="102">
        <f t="shared" ca="1" si="75"/>
        <v>120.33401779603011</v>
      </c>
      <c r="E656" s="103">
        <f t="shared" ca="1" si="82"/>
        <v>0.45200161610629708</v>
      </c>
      <c r="F656" s="104" t="e">
        <f ca="1">IF($C$4="Hombre",(+VLOOKUP(INT(D656)+1,Tablas!$G$9:$K$1240,5,0)*(D656-INT(D656))+VLOOKUP(INT(D656),Tablas!$G$9:$K$1240,5,0)*(INT(D656)+1-D656))/(VLOOKUP(INT($C$5)+1,Tablas!$G$9:$K$1240,5,0)*($C$5-INT($C$5))+VLOOKUP(INT($C$5),Tablas!$G$9:$K$124,5,0)*(INT($C$5)+1-$C$5)),(+VLOOKUP(INT(D656)+1,Tablas!$G$9:$O$1240,9,0)*(D656-INT(D656))+VLOOKUP(INT(D656),Tablas!$G$9:$O$1240,9,0)*(INT(D656)+1-D656))/(VLOOKUP(INT($C$5)+1,Tablas!$G$9:$O$1240,9,0)*($C$5-INT($C$5))+VLOOKUP(INT($C$5),Tablas!$G$9:$O$124,9,0)*(INT($C$5)+1-$C$5)))</f>
        <v>#N/A</v>
      </c>
      <c r="G656" s="97" t="e">
        <f ca="1">IF($C$4="Hombre",(+VLOOKUP(INT(D656)+1,Tablas!$G$9:$K$1240,5,0)*(D656-INT(D656))+VLOOKUP(INT(D656),Tablas!$G$9:$K$1240,5,0)*(INT(D656)+1-D656)),+VLOOKUP(INT(D656)+1,Tablas!$G$9:$O$1240,9,0)*(D656-INT(D656))+VLOOKUP(INT(D656),Tablas!$G$9:$O$1240,9,0)*(INT(D656)+1-D656))</f>
        <v>#N/A</v>
      </c>
      <c r="H656" s="105">
        <f t="shared" ca="1" si="76"/>
        <v>1</v>
      </c>
      <c r="I656" s="106" t="e">
        <f t="shared" ca="1" si="77"/>
        <v>#N/A</v>
      </c>
      <c r="J656" s="106" t="e">
        <f t="shared" ca="1" si="81"/>
        <v>#N/A</v>
      </c>
      <c r="K656" s="105" t="e">
        <f t="shared" ca="1" si="78"/>
        <v>#N/A</v>
      </c>
      <c r="L656" s="75"/>
    </row>
    <row r="657" spans="2:12">
      <c r="B657" s="101">
        <f t="shared" ca="1" si="79"/>
        <v>72262</v>
      </c>
      <c r="C657" s="101">
        <f t="shared" ca="1" si="80"/>
        <v>72291</v>
      </c>
      <c r="D657" s="102">
        <f t="shared" ca="1" si="75"/>
        <v>120.41615331964408</v>
      </c>
      <c r="E657" s="103">
        <f t="shared" ca="1" si="82"/>
        <v>0.45144920840375058</v>
      </c>
      <c r="F657" s="104" t="e">
        <f ca="1">IF($C$4="Hombre",(+VLOOKUP(INT(D657)+1,Tablas!$G$9:$K$1240,5,0)*(D657-INT(D657))+VLOOKUP(INT(D657),Tablas!$G$9:$K$1240,5,0)*(INT(D657)+1-D657))/(VLOOKUP(INT($C$5)+1,Tablas!$G$9:$K$1240,5,0)*($C$5-INT($C$5))+VLOOKUP(INT($C$5),Tablas!$G$9:$K$124,5,0)*(INT($C$5)+1-$C$5)),(+VLOOKUP(INT(D657)+1,Tablas!$G$9:$O$1240,9,0)*(D657-INT(D657))+VLOOKUP(INT(D657),Tablas!$G$9:$O$1240,9,0)*(INT(D657)+1-D657))/(VLOOKUP(INT($C$5)+1,Tablas!$G$9:$O$1240,9,0)*($C$5-INT($C$5))+VLOOKUP(INT($C$5),Tablas!$G$9:$O$124,9,0)*(INT($C$5)+1-$C$5)))</f>
        <v>#N/A</v>
      </c>
      <c r="G657" s="97" t="e">
        <f ca="1">IF($C$4="Hombre",(+VLOOKUP(INT(D657)+1,Tablas!$G$9:$K$1240,5,0)*(D657-INT(D657))+VLOOKUP(INT(D657),Tablas!$G$9:$K$1240,5,0)*(INT(D657)+1-D657)),+VLOOKUP(INT(D657)+1,Tablas!$G$9:$O$1240,9,0)*(D657-INT(D657))+VLOOKUP(INT(D657),Tablas!$G$9:$O$1240,9,0)*(INT(D657)+1-D657))</f>
        <v>#N/A</v>
      </c>
      <c r="H657" s="105">
        <f t="shared" ca="1" si="76"/>
        <v>1</v>
      </c>
      <c r="I657" s="106" t="e">
        <f t="shared" ca="1" si="77"/>
        <v>#N/A</v>
      </c>
      <c r="J657" s="106" t="e">
        <f t="shared" ca="1" si="81"/>
        <v>#N/A</v>
      </c>
      <c r="K657" s="105" t="e">
        <f t="shared" ca="1" si="78"/>
        <v>#N/A</v>
      </c>
      <c r="L657" s="75"/>
    </row>
    <row r="658" spans="2:12">
      <c r="B658" s="101">
        <f t="shared" ca="1" si="79"/>
        <v>72292</v>
      </c>
      <c r="C658" s="101">
        <f t="shared" ca="1" si="80"/>
        <v>72322</v>
      </c>
      <c r="D658" s="102">
        <f t="shared" ref="D658:D721" ca="1" si="83">-_xlfn.DAYS($C$3,C658)/365.25</f>
        <v>120.50102669404518</v>
      </c>
      <c r="E658" s="103">
        <f t="shared" ca="1" si="82"/>
        <v>0.4508790963500855</v>
      </c>
      <c r="F658" s="104" t="e">
        <f ca="1">IF($C$4="Hombre",(+VLOOKUP(INT(D658)+1,Tablas!$G$9:$K$1240,5,0)*(D658-INT(D658))+VLOOKUP(INT(D658),Tablas!$G$9:$K$1240,5,0)*(INT(D658)+1-D658))/(VLOOKUP(INT($C$5)+1,Tablas!$G$9:$K$1240,5,0)*($C$5-INT($C$5))+VLOOKUP(INT($C$5),Tablas!$G$9:$K$124,5,0)*(INT($C$5)+1-$C$5)),(+VLOOKUP(INT(D658)+1,Tablas!$G$9:$O$1240,9,0)*(D658-INT(D658))+VLOOKUP(INT(D658),Tablas!$G$9:$O$1240,9,0)*(INT(D658)+1-D658))/(VLOOKUP(INT($C$5)+1,Tablas!$G$9:$O$1240,9,0)*($C$5-INT($C$5))+VLOOKUP(INT($C$5),Tablas!$G$9:$O$124,9,0)*(INT($C$5)+1-$C$5)))</f>
        <v>#N/A</v>
      </c>
      <c r="G658" s="97" t="e">
        <f ca="1">IF($C$4="Hombre",(+VLOOKUP(INT(D658)+1,Tablas!$G$9:$K$1240,5,0)*(D658-INT(D658))+VLOOKUP(INT(D658),Tablas!$G$9:$K$1240,5,0)*(INT(D658)+1-D658)),+VLOOKUP(INT(D658)+1,Tablas!$G$9:$O$1240,9,0)*(D658-INT(D658))+VLOOKUP(INT(D658),Tablas!$G$9:$O$1240,9,0)*(INT(D658)+1-D658))</f>
        <v>#N/A</v>
      </c>
      <c r="H658" s="105">
        <f t="shared" ref="H658:H721" ca="1" si="84">+IF(MONTH(B658)=1,H657*(1+$C$9),H657)</f>
        <v>1</v>
      </c>
      <c r="I658" s="106" t="e">
        <f t="shared" ref="I658:I721" ca="1" si="85">IF(B658&lt;$C$10,0,IF(B658&lt;$C$11,$C$8/12*E658*F658*H658,0))</f>
        <v>#N/A</v>
      </c>
      <c r="J658" s="106" t="e">
        <f t="shared" ca="1" si="81"/>
        <v>#N/A</v>
      </c>
      <c r="K658" s="105" t="e">
        <f t="shared" ref="K658:K721" ca="1" si="86">G658/$G$15</f>
        <v>#N/A</v>
      </c>
      <c r="L658" s="75"/>
    </row>
    <row r="659" spans="2:12">
      <c r="B659" s="101">
        <f t="shared" ref="B659:B722" ca="1" si="87">+DATE(YEAR(B658),MONTH(B658)+1,DAY(B658))</f>
        <v>72323</v>
      </c>
      <c r="C659" s="101">
        <f t="shared" ref="C659:C722" ca="1" si="88">+B660-1</f>
        <v>72353</v>
      </c>
      <c r="D659" s="102">
        <f t="shared" ca="1" si="83"/>
        <v>120.58590006844626</v>
      </c>
      <c r="E659" s="103">
        <f t="shared" ca="1" si="82"/>
        <v>0.45030970426169603</v>
      </c>
      <c r="F659" s="104" t="e">
        <f ca="1">IF($C$4="Hombre",(+VLOOKUP(INT(D659)+1,Tablas!$G$9:$K$1240,5,0)*(D659-INT(D659))+VLOOKUP(INT(D659),Tablas!$G$9:$K$1240,5,0)*(INT(D659)+1-D659))/(VLOOKUP(INT($C$5)+1,Tablas!$G$9:$K$1240,5,0)*($C$5-INT($C$5))+VLOOKUP(INT($C$5),Tablas!$G$9:$K$124,5,0)*(INT($C$5)+1-$C$5)),(+VLOOKUP(INT(D659)+1,Tablas!$G$9:$O$1240,9,0)*(D659-INT(D659))+VLOOKUP(INT(D659),Tablas!$G$9:$O$1240,9,0)*(INT(D659)+1-D659))/(VLOOKUP(INT($C$5)+1,Tablas!$G$9:$O$1240,9,0)*($C$5-INT($C$5))+VLOOKUP(INT($C$5),Tablas!$G$9:$O$124,9,0)*(INT($C$5)+1-$C$5)))</f>
        <v>#N/A</v>
      </c>
      <c r="G659" s="97" t="e">
        <f ca="1">IF($C$4="Hombre",(+VLOOKUP(INT(D659)+1,Tablas!$G$9:$K$1240,5,0)*(D659-INT(D659))+VLOOKUP(INT(D659),Tablas!$G$9:$K$1240,5,0)*(INT(D659)+1-D659)),+VLOOKUP(INT(D659)+1,Tablas!$G$9:$O$1240,9,0)*(D659-INT(D659))+VLOOKUP(INT(D659),Tablas!$G$9:$O$1240,9,0)*(INT(D659)+1-D659))</f>
        <v>#N/A</v>
      </c>
      <c r="H659" s="105">
        <f t="shared" ca="1" si="84"/>
        <v>1</v>
      </c>
      <c r="I659" s="106" t="e">
        <f t="shared" ca="1" si="85"/>
        <v>#N/A</v>
      </c>
      <c r="J659" s="106" t="e">
        <f t="shared" ref="J659:J722" ca="1" si="89">I659*12/14+IF(OR(MONTH(C659)=6,MONTH(C659)=12),I659*12/14,0)</f>
        <v>#N/A</v>
      </c>
      <c r="K659" s="105" t="e">
        <f t="shared" ca="1" si="86"/>
        <v>#N/A</v>
      </c>
      <c r="L659" s="75"/>
    </row>
    <row r="660" spans="2:12">
      <c r="B660" s="101">
        <f t="shared" ca="1" si="87"/>
        <v>72354</v>
      </c>
      <c r="C660" s="101">
        <f t="shared" ca="1" si="88"/>
        <v>72381</v>
      </c>
      <c r="D660" s="102">
        <f t="shared" ca="1" si="83"/>
        <v>120.66255989048597</v>
      </c>
      <c r="E660" s="103">
        <f t="shared" ca="1" si="82"/>
        <v>0.44979603270268886</v>
      </c>
      <c r="F660" s="104" t="e">
        <f ca="1">IF($C$4="Hombre",(+VLOOKUP(INT(D660)+1,Tablas!$G$9:$K$1240,5,0)*(D660-INT(D660))+VLOOKUP(INT(D660),Tablas!$G$9:$K$1240,5,0)*(INT(D660)+1-D660))/(VLOOKUP(INT($C$5)+1,Tablas!$G$9:$K$1240,5,0)*($C$5-INT($C$5))+VLOOKUP(INT($C$5),Tablas!$G$9:$K$124,5,0)*(INT($C$5)+1-$C$5)),(+VLOOKUP(INT(D660)+1,Tablas!$G$9:$O$1240,9,0)*(D660-INT(D660))+VLOOKUP(INT(D660),Tablas!$G$9:$O$1240,9,0)*(INT(D660)+1-D660))/(VLOOKUP(INT($C$5)+1,Tablas!$G$9:$O$1240,9,0)*($C$5-INT($C$5))+VLOOKUP(INT($C$5),Tablas!$G$9:$O$124,9,0)*(INT($C$5)+1-$C$5)))</f>
        <v>#N/A</v>
      </c>
      <c r="G660" s="97" t="e">
        <f ca="1">IF($C$4="Hombre",(+VLOOKUP(INT(D660)+1,Tablas!$G$9:$K$1240,5,0)*(D660-INT(D660))+VLOOKUP(INT(D660),Tablas!$G$9:$K$1240,5,0)*(INT(D660)+1-D660)),+VLOOKUP(INT(D660)+1,Tablas!$G$9:$O$1240,9,0)*(D660-INT(D660))+VLOOKUP(INT(D660),Tablas!$G$9:$O$1240,9,0)*(INT(D660)+1-D660))</f>
        <v>#N/A</v>
      </c>
      <c r="H660" s="105">
        <f t="shared" ca="1" si="84"/>
        <v>1</v>
      </c>
      <c r="I660" s="106" t="e">
        <f t="shared" ca="1" si="85"/>
        <v>#N/A</v>
      </c>
      <c r="J660" s="106" t="e">
        <f t="shared" ca="1" si="89"/>
        <v>#N/A</v>
      </c>
      <c r="K660" s="105" t="e">
        <f t="shared" ca="1" si="86"/>
        <v>#N/A</v>
      </c>
      <c r="L660" s="75"/>
    </row>
    <row r="661" spans="2:12">
      <c r="B661" s="101">
        <f t="shared" ca="1" si="87"/>
        <v>72382</v>
      </c>
      <c r="C661" s="101">
        <f t="shared" ca="1" si="88"/>
        <v>72412</v>
      </c>
      <c r="D661" s="102">
        <f t="shared" ca="1" si="83"/>
        <v>120.74743326488706</v>
      </c>
      <c r="E661" s="103">
        <f t="shared" ca="1" si="82"/>
        <v>0.44922800835983689</v>
      </c>
      <c r="F661" s="104" t="e">
        <f ca="1">IF($C$4="Hombre",(+VLOOKUP(INT(D661)+1,Tablas!$G$9:$K$1240,5,0)*(D661-INT(D661))+VLOOKUP(INT(D661),Tablas!$G$9:$K$1240,5,0)*(INT(D661)+1-D661))/(VLOOKUP(INT($C$5)+1,Tablas!$G$9:$K$1240,5,0)*($C$5-INT($C$5))+VLOOKUP(INT($C$5),Tablas!$G$9:$K$124,5,0)*(INT($C$5)+1-$C$5)),(+VLOOKUP(INT(D661)+1,Tablas!$G$9:$O$1240,9,0)*(D661-INT(D661))+VLOOKUP(INT(D661),Tablas!$G$9:$O$1240,9,0)*(INT(D661)+1-D661))/(VLOOKUP(INT($C$5)+1,Tablas!$G$9:$O$1240,9,0)*($C$5-INT($C$5))+VLOOKUP(INT($C$5),Tablas!$G$9:$O$124,9,0)*(INT($C$5)+1-$C$5)))</f>
        <v>#N/A</v>
      </c>
      <c r="G661" s="97" t="e">
        <f ca="1">IF($C$4="Hombre",(+VLOOKUP(INT(D661)+1,Tablas!$G$9:$K$1240,5,0)*(D661-INT(D661))+VLOOKUP(INT(D661),Tablas!$G$9:$K$1240,5,0)*(INT(D661)+1-D661)),+VLOOKUP(INT(D661)+1,Tablas!$G$9:$O$1240,9,0)*(D661-INT(D661))+VLOOKUP(INT(D661),Tablas!$G$9:$O$1240,9,0)*(INT(D661)+1-D661))</f>
        <v>#N/A</v>
      </c>
      <c r="H661" s="105">
        <f t="shared" ca="1" si="84"/>
        <v>1</v>
      </c>
      <c r="I661" s="106" t="e">
        <f t="shared" ca="1" si="85"/>
        <v>#N/A</v>
      </c>
      <c r="J661" s="106" t="e">
        <f t="shared" ca="1" si="89"/>
        <v>#N/A</v>
      </c>
      <c r="K661" s="105" t="e">
        <f t="shared" ca="1" si="86"/>
        <v>#N/A</v>
      </c>
      <c r="L661" s="75"/>
    </row>
    <row r="662" spans="2:12">
      <c r="B662" s="101">
        <f t="shared" ca="1" si="87"/>
        <v>72413</v>
      </c>
      <c r="C662" s="101">
        <f t="shared" ca="1" si="88"/>
        <v>72442</v>
      </c>
      <c r="D662" s="102">
        <f t="shared" ca="1" si="83"/>
        <v>120.82956878850102</v>
      </c>
      <c r="E662" s="103">
        <f t="shared" ca="1" si="82"/>
        <v>0.44867899038473491</v>
      </c>
      <c r="F662" s="104" t="e">
        <f ca="1">IF($C$4="Hombre",(+VLOOKUP(INT(D662)+1,Tablas!$G$9:$K$1240,5,0)*(D662-INT(D662))+VLOOKUP(INT(D662),Tablas!$G$9:$K$1240,5,0)*(INT(D662)+1-D662))/(VLOOKUP(INT($C$5)+1,Tablas!$G$9:$K$1240,5,0)*($C$5-INT($C$5))+VLOOKUP(INT($C$5),Tablas!$G$9:$K$124,5,0)*(INT($C$5)+1-$C$5)),(+VLOOKUP(INT(D662)+1,Tablas!$G$9:$O$1240,9,0)*(D662-INT(D662))+VLOOKUP(INT(D662),Tablas!$G$9:$O$1240,9,0)*(INT(D662)+1-D662))/(VLOOKUP(INT($C$5)+1,Tablas!$G$9:$O$1240,9,0)*($C$5-INT($C$5))+VLOOKUP(INT($C$5),Tablas!$G$9:$O$124,9,0)*(INT($C$5)+1-$C$5)))</f>
        <v>#N/A</v>
      </c>
      <c r="G662" s="97" t="e">
        <f ca="1">IF($C$4="Hombre",(+VLOOKUP(INT(D662)+1,Tablas!$G$9:$K$1240,5,0)*(D662-INT(D662))+VLOOKUP(INT(D662),Tablas!$G$9:$K$1240,5,0)*(INT(D662)+1-D662)),+VLOOKUP(INT(D662)+1,Tablas!$G$9:$O$1240,9,0)*(D662-INT(D662))+VLOOKUP(INT(D662),Tablas!$G$9:$O$1240,9,0)*(INT(D662)+1-D662))</f>
        <v>#N/A</v>
      </c>
      <c r="H662" s="105">
        <f t="shared" ca="1" si="84"/>
        <v>1</v>
      </c>
      <c r="I662" s="106" t="e">
        <f t="shared" ca="1" si="85"/>
        <v>#N/A</v>
      </c>
      <c r="J662" s="106" t="e">
        <f t="shared" ca="1" si="89"/>
        <v>#N/A</v>
      </c>
      <c r="K662" s="105" t="e">
        <f t="shared" ca="1" si="86"/>
        <v>#N/A</v>
      </c>
      <c r="L662" s="75"/>
    </row>
    <row r="663" spans="2:12">
      <c r="B663" s="101">
        <f t="shared" ca="1" si="87"/>
        <v>72443</v>
      </c>
      <c r="C663" s="101">
        <f t="shared" ca="1" si="88"/>
        <v>72473</v>
      </c>
      <c r="D663" s="102">
        <f t="shared" ca="1" si="83"/>
        <v>120.91444216290212</v>
      </c>
      <c r="E663" s="103">
        <f t="shared" ca="1" si="82"/>
        <v>0.44811237669734122</v>
      </c>
      <c r="F663" s="104" t="e">
        <f ca="1">IF($C$4="Hombre",(+VLOOKUP(INT(D663)+1,Tablas!$G$9:$K$1240,5,0)*(D663-INT(D663))+VLOOKUP(INT(D663),Tablas!$G$9:$K$1240,5,0)*(INT(D663)+1-D663))/(VLOOKUP(INT($C$5)+1,Tablas!$G$9:$K$1240,5,0)*($C$5-INT($C$5))+VLOOKUP(INT($C$5),Tablas!$G$9:$K$124,5,0)*(INT($C$5)+1-$C$5)),(+VLOOKUP(INT(D663)+1,Tablas!$G$9:$O$1240,9,0)*(D663-INT(D663))+VLOOKUP(INT(D663),Tablas!$G$9:$O$1240,9,0)*(INT(D663)+1-D663))/(VLOOKUP(INT($C$5)+1,Tablas!$G$9:$O$1240,9,0)*($C$5-INT($C$5))+VLOOKUP(INT($C$5),Tablas!$G$9:$O$124,9,0)*(INT($C$5)+1-$C$5)))</f>
        <v>#N/A</v>
      </c>
      <c r="G663" s="97" t="e">
        <f ca="1">IF($C$4="Hombre",(+VLOOKUP(INT(D663)+1,Tablas!$G$9:$K$1240,5,0)*(D663-INT(D663))+VLOOKUP(INT(D663),Tablas!$G$9:$K$1240,5,0)*(INT(D663)+1-D663)),+VLOOKUP(INT(D663)+1,Tablas!$G$9:$O$1240,9,0)*(D663-INT(D663))+VLOOKUP(INT(D663),Tablas!$G$9:$O$1240,9,0)*(INT(D663)+1-D663))</f>
        <v>#N/A</v>
      </c>
      <c r="H663" s="105">
        <f t="shared" ca="1" si="84"/>
        <v>1</v>
      </c>
      <c r="I663" s="106" t="e">
        <f t="shared" ca="1" si="85"/>
        <v>#N/A</v>
      </c>
      <c r="J663" s="106" t="e">
        <f t="shared" ca="1" si="89"/>
        <v>#N/A</v>
      </c>
      <c r="K663" s="105" t="e">
        <f t="shared" ca="1" si="86"/>
        <v>#N/A</v>
      </c>
      <c r="L663" s="75"/>
    </row>
    <row r="664" spans="2:12">
      <c r="B664" s="101">
        <f t="shared" ca="1" si="87"/>
        <v>72474</v>
      </c>
      <c r="C664" s="101">
        <f t="shared" ca="1" si="88"/>
        <v>72503</v>
      </c>
      <c r="D664" s="102">
        <f t="shared" ca="1" si="83"/>
        <v>120.99657768651609</v>
      </c>
      <c r="E664" s="103">
        <f t="shared" ca="1" si="82"/>
        <v>0.44756472217648707</v>
      </c>
      <c r="F664" s="104" t="e">
        <f ca="1">IF($C$4="Hombre",(+VLOOKUP(INT(D664)+1,Tablas!$G$9:$K$1240,5,0)*(D664-INT(D664))+VLOOKUP(INT(D664),Tablas!$G$9:$K$1240,5,0)*(INT(D664)+1-D664))/(VLOOKUP(INT($C$5)+1,Tablas!$G$9:$K$1240,5,0)*($C$5-INT($C$5))+VLOOKUP(INT($C$5),Tablas!$G$9:$K$124,5,0)*(INT($C$5)+1-$C$5)),(+VLOOKUP(INT(D664)+1,Tablas!$G$9:$O$1240,9,0)*(D664-INT(D664))+VLOOKUP(INT(D664),Tablas!$G$9:$O$1240,9,0)*(INT(D664)+1-D664))/(VLOOKUP(INT($C$5)+1,Tablas!$G$9:$O$1240,9,0)*($C$5-INT($C$5))+VLOOKUP(INT($C$5),Tablas!$G$9:$O$124,9,0)*(INT($C$5)+1-$C$5)))</f>
        <v>#N/A</v>
      </c>
      <c r="G664" s="97" t="e">
        <f ca="1">IF($C$4="Hombre",(+VLOOKUP(INT(D664)+1,Tablas!$G$9:$K$1240,5,0)*(D664-INT(D664))+VLOOKUP(INT(D664),Tablas!$G$9:$K$1240,5,0)*(INT(D664)+1-D664)),+VLOOKUP(INT(D664)+1,Tablas!$G$9:$O$1240,9,0)*(D664-INT(D664))+VLOOKUP(INT(D664),Tablas!$G$9:$O$1240,9,0)*(INT(D664)+1-D664))</f>
        <v>#N/A</v>
      </c>
      <c r="H664" s="105">
        <f t="shared" ca="1" si="84"/>
        <v>1</v>
      </c>
      <c r="I664" s="106" t="e">
        <f t="shared" ca="1" si="85"/>
        <v>#N/A</v>
      </c>
      <c r="J664" s="106" t="e">
        <f t="shared" ca="1" si="89"/>
        <v>#N/A</v>
      </c>
      <c r="K664" s="105" t="e">
        <f t="shared" ca="1" si="86"/>
        <v>#N/A</v>
      </c>
      <c r="L664" s="75"/>
    </row>
    <row r="665" spans="2:12">
      <c r="B665" s="101">
        <f t="shared" ca="1" si="87"/>
        <v>72504</v>
      </c>
      <c r="C665" s="101">
        <f t="shared" ca="1" si="88"/>
        <v>72534</v>
      </c>
      <c r="D665" s="102">
        <f t="shared" ca="1" si="83"/>
        <v>121.08145106091717</v>
      </c>
      <c r="E665" s="103">
        <f t="shared" ca="1" si="82"/>
        <v>0.44699951564127066</v>
      </c>
      <c r="F665" s="104" t="e">
        <f ca="1">IF($C$4="Hombre",(+VLOOKUP(INT(D665)+1,Tablas!$G$9:$K$1240,5,0)*(D665-INT(D665))+VLOOKUP(INT(D665),Tablas!$G$9:$K$1240,5,0)*(INT(D665)+1-D665))/(VLOOKUP(INT($C$5)+1,Tablas!$G$9:$K$1240,5,0)*($C$5-INT($C$5))+VLOOKUP(INT($C$5),Tablas!$G$9:$K$124,5,0)*(INT($C$5)+1-$C$5)),(+VLOOKUP(INT(D665)+1,Tablas!$G$9:$O$1240,9,0)*(D665-INT(D665))+VLOOKUP(INT(D665),Tablas!$G$9:$O$1240,9,0)*(INT(D665)+1-D665))/(VLOOKUP(INT($C$5)+1,Tablas!$G$9:$O$1240,9,0)*($C$5-INT($C$5))+VLOOKUP(INT($C$5),Tablas!$G$9:$O$124,9,0)*(INT($C$5)+1-$C$5)))</f>
        <v>#N/A</v>
      </c>
      <c r="G665" s="97" t="e">
        <f ca="1">IF($C$4="Hombre",(+VLOOKUP(INT(D665)+1,Tablas!$G$9:$K$1240,5,0)*(D665-INT(D665))+VLOOKUP(INT(D665),Tablas!$G$9:$K$1240,5,0)*(INT(D665)+1-D665)),+VLOOKUP(INT(D665)+1,Tablas!$G$9:$O$1240,9,0)*(D665-INT(D665))+VLOOKUP(INT(D665),Tablas!$G$9:$O$1240,9,0)*(INT(D665)+1-D665))</f>
        <v>#N/A</v>
      </c>
      <c r="H665" s="105">
        <f t="shared" ca="1" si="84"/>
        <v>1</v>
      </c>
      <c r="I665" s="106" t="e">
        <f t="shared" ca="1" si="85"/>
        <v>#N/A</v>
      </c>
      <c r="J665" s="106" t="e">
        <f t="shared" ca="1" si="89"/>
        <v>#N/A</v>
      </c>
      <c r="K665" s="105" t="e">
        <f t="shared" ca="1" si="86"/>
        <v>#N/A</v>
      </c>
      <c r="L665" s="75"/>
    </row>
    <row r="666" spans="2:12">
      <c r="B666" s="101">
        <f t="shared" ca="1" si="87"/>
        <v>72535</v>
      </c>
      <c r="C666" s="101">
        <f t="shared" ca="1" si="88"/>
        <v>72565</v>
      </c>
      <c r="D666" s="102">
        <f t="shared" ca="1" si="83"/>
        <v>121.16632443531827</v>
      </c>
      <c r="E666" s="103">
        <f t="shared" ca="1" si="82"/>
        <v>0.44643502287640213</v>
      </c>
      <c r="F666" s="104" t="e">
        <f ca="1">IF($C$4="Hombre",(+VLOOKUP(INT(D666)+1,Tablas!$G$9:$K$1240,5,0)*(D666-INT(D666))+VLOOKUP(INT(D666),Tablas!$G$9:$K$1240,5,0)*(INT(D666)+1-D666))/(VLOOKUP(INT($C$5)+1,Tablas!$G$9:$K$1240,5,0)*($C$5-INT($C$5))+VLOOKUP(INT($C$5),Tablas!$G$9:$K$124,5,0)*(INT($C$5)+1-$C$5)),(+VLOOKUP(INT(D666)+1,Tablas!$G$9:$O$1240,9,0)*(D666-INT(D666))+VLOOKUP(INT(D666),Tablas!$G$9:$O$1240,9,0)*(INT(D666)+1-D666))/(VLOOKUP(INT($C$5)+1,Tablas!$G$9:$O$1240,9,0)*($C$5-INT($C$5))+VLOOKUP(INT($C$5),Tablas!$G$9:$O$124,9,0)*(INT($C$5)+1-$C$5)))</f>
        <v>#N/A</v>
      </c>
      <c r="G666" s="97" t="e">
        <f ca="1">IF($C$4="Hombre",(+VLOOKUP(INT(D666)+1,Tablas!$G$9:$K$1240,5,0)*(D666-INT(D666))+VLOOKUP(INT(D666),Tablas!$G$9:$K$1240,5,0)*(INT(D666)+1-D666)),+VLOOKUP(INT(D666)+1,Tablas!$G$9:$O$1240,9,0)*(D666-INT(D666))+VLOOKUP(INT(D666),Tablas!$G$9:$O$1240,9,0)*(INT(D666)+1-D666))</f>
        <v>#N/A</v>
      </c>
      <c r="H666" s="105">
        <f t="shared" ca="1" si="84"/>
        <v>1</v>
      </c>
      <c r="I666" s="106" t="e">
        <f t="shared" ca="1" si="85"/>
        <v>#N/A</v>
      </c>
      <c r="J666" s="106" t="e">
        <f t="shared" ca="1" si="89"/>
        <v>#N/A</v>
      </c>
      <c r="K666" s="105" t="e">
        <f t="shared" ca="1" si="86"/>
        <v>#N/A</v>
      </c>
      <c r="L666" s="75"/>
    </row>
    <row r="667" spans="2:12">
      <c r="B667" s="101">
        <f t="shared" ca="1" si="87"/>
        <v>72566</v>
      </c>
      <c r="C667" s="101">
        <f t="shared" ca="1" si="88"/>
        <v>72595</v>
      </c>
      <c r="D667" s="102">
        <f t="shared" ca="1" si="83"/>
        <v>121.24845995893224</v>
      </c>
      <c r="E667" s="103">
        <f t="shared" ca="1" si="82"/>
        <v>0.44588941831098527</v>
      </c>
      <c r="F667" s="104" t="e">
        <f ca="1">IF($C$4="Hombre",(+VLOOKUP(INT(D667)+1,Tablas!$G$9:$K$1240,5,0)*(D667-INT(D667))+VLOOKUP(INT(D667),Tablas!$G$9:$K$1240,5,0)*(INT(D667)+1-D667))/(VLOOKUP(INT($C$5)+1,Tablas!$G$9:$K$1240,5,0)*($C$5-INT($C$5))+VLOOKUP(INT($C$5),Tablas!$G$9:$K$124,5,0)*(INT($C$5)+1-$C$5)),(+VLOOKUP(INT(D667)+1,Tablas!$G$9:$O$1240,9,0)*(D667-INT(D667))+VLOOKUP(INT(D667),Tablas!$G$9:$O$1240,9,0)*(INT(D667)+1-D667))/(VLOOKUP(INT($C$5)+1,Tablas!$G$9:$O$1240,9,0)*($C$5-INT($C$5))+VLOOKUP(INT($C$5),Tablas!$G$9:$O$124,9,0)*(INT($C$5)+1-$C$5)))</f>
        <v>#N/A</v>
      </c>
      <c r="G667" s="97" t="e">
        <f ca="1">IF($C$4="Hombre",(+VLOOKUP(INT(D667)+1,Tablas!$G$9:$K$1240,5,0)*(D667-INT(D667))+VLOOKUP(INT(D667),Tablas!$G$9:$K$1240,5,0)*(INT(D667)+1-D667)),+VLOOKUP(INT(D667)+1,Tablas!$G$9:$O$1240,9,0)*(D667-INT(D667))+VLOOKUP(INT(D667),Tablas!$G$9:$O$1240,9,0)*(INT(D667)+1-D667))</f>
        <v>#N/A</v>
      </c>
      <c r="H667" s="105">
        <f t="shared" ca="1" si="84"/>
        <v>1</v>
      </c>
      <c r="I667" s="106" t="e">
        <f t="shared" ca="1" si="85"/>
        <v>#N/A</v>
      </c>
      <c r="J667" s="106" t="e">
        <f t="shared" ca="1" si="89"/>
        <v>#N/A</v>
      </c>
      <c r="K667" s="105" t="e">
        <f t="shared" ca="1" si="86"/>
        <v>#N/A</v>
      </c>
      <c r="L667" s="75"/>
    </row>
    <row r="668" spans="2:12">
      <c r="B668" s="101">
        <f t="shared" ca="1" si="87"/>
        <v>72596</v>
      </c>
      <c r="C668" s="101">
        <f t="shared" ca="1" si="88"/>
        <v>72626</v>
      </c>
      <c r="D668" s="102">
        <f t="shared" ca="1" si="83"/>
        <v>121.33333333333333</v>
      </c>
      <c r="E668" s="103">
        <f t="shared" ca="1" si="82"/>
        <v>0.44532632743110623</v>
      </c>
      <c r="F668" s="104" t="e">
        <f ca="1">IF($C$4="Hombre",(+VLOOKUP(INT(D668)+1,Tablas!$G$9:$K$1240,5,0)*(D668-INT(D668))+VLOOKUP(INT(D668),Tablas!$G$9:$K$1240,5,0)*(INT(D668)+1-D668))/(VLOOKUP(INT($C$5)+1,Tablas!$G$9:$K$1240,5,0)*($C$5-INT($C$5))+VLOOKUP(INT($C$5),Tablas!$G$9:$K$124,5,0)*(INT($C$5)+1-$C$5)),(+VLOOKUP(INT(D668)+1,Tablas!$G$9:$O$1240,9,0)*(D668-INT(D668))+VLOOKUP(INT(D668),Tablas!$G$9:$O$1240,9,0)*(INT(D668)+1-D668))/(VLOOKUP(INT($C$5)+1,Tablas!$G$9:$O$1240,9,0)*($C$5-INT($C$5))+VLOOKUP(INT($C$5),Tablas!$G$9:$O$124,9,0)*(INT($C$5)+1-$C$5)))</f>
        <v>#N/A</v>
      </c>
      <c r="G668" s="97" t="e">
        <f ca="1">IF($C$4="Hombre",(+VLOOKUP(INT(D668)+1,Tablas!$G$9:$K$1240,5,0)*(D668-INT(D668))+VLOOKUP(INT(D668),Tablas!$G$9:$K$1240,5,0)*(INT(D668)+1-D668)),+VLOOKUP(INT(D668)+1,Tablas!$G$9:$O$1240,9,0)*(D668-INT(D668))+VLOOKUP(INT(D668),Tablas!$G$9:$O$1240,9,0)*(INT(D668)+1-D668))</f>
        <v>#N/A</v>
      </c>
      <c r="H668" s="105">
        <f t="shared" ca="1" si="84"/>
        <v>1</v>
      </c>
      <c r="I668" s="106" t="e">
        <f t="shared" ca="1" si="85"/>
        <v>#N/A</v>
      </c>
      <c r="J668" s="106" t="e">
        <f t="shared" ca="1" si="89"/>
        <v>#N/A</v>
      </c>
      <c r="K668" s="105" t="e">
        <f t="shared" ca="1" si="86"/>
        <v>#N/A</v>
      </c>
      <c r="L668" s="75"/>
    </row>
    <row r="669" spans="2:12">
      <c r="B669" s="101">
        <f t="shared" ca="1" si="87"/>
        <v>72627</v>
      </c>
      <c r="C669" s="101">
        <f t="shared" ca="1" si="88"/>
        <v>72656</v>
      </c>
      <c r="D669" s="102">
        <f t="shared" ca="1" si="83"/>
        <v>121.4154688569473</v>
      </c>
      <c r="E669" s="103">
        <f t="shared" ca="1" si="82"/>
        <v>0.44478207784293267</v>
      </c>
      <c r="F669" s="104" t="e">
        <f ca="1">IF($C$4="Hombre",(+VLOOKUP(INT(D669)+1,Tablas!$G$9:$K$1240,5,0)*(D669-INT(D669))+VLOOKUP(INT(D669),Tablas!$G$9:$K$1240,5,0)*(INT(D669)+1-D669))/(VLOOKUP(INT($C$5)+1,Tablas!$G$9:$K$1240,5,0)*($C$5-INT($C$5))+VLOOKUP(INT($C$5),Tablas!$G$9:$K$124,5,0)*(INT($C$5)+1-$C$5)),(+VLOOKUP(INT(D669)+1,Tablas!$G$9:$O$1240,9,0)*(D669-INT(D669))+VLOOKUP(INT(D669),Tablas!$G$9:$O$1240,9,0)*(INT(D669)+1-D669))/(VLOOKUP(INT($C$5)+1,Tablas!$G$9:$O$1240,9,0)*($C$5-INT($C$5))+VLOOKUP(INT($C$5),Tablas!$G$9:$O$124,9,0)*(INT($C$5)+1-$C$5)))</f>
        <v>#N/A</v>
      </c>
      <c r="G669" s="97" t="e">
        <f ca="1">IF($C$4="Hombre",(+VLOOKUP(INT(D669)+1,Tablas!$G$9:$K$1240,5,0)*(D669-INT(D669))+VLOOKUP(INT(D669),Tablas!$G$9:$K$1240,5,0)*(INT(D669)+1-D669)),+VLOOKUP(INT(D669)+1,Tablas!$G$9:$O$1240,9,0)*(D669-INT(D669))+VLOOKUP(INT(D669),Tablas!$G$9:$O$1240,9,0)*(INT(D669)+1-D669))</f>
        <v>#N/A</v>
      </c>
      <c r="H669" s="105">
        <f t="shared" ca="1" si="84"/>
        <v>1</v>
      </c>
      <c r="I669" s="106" t="e">
        <f t="shared" ca="1" si="85"/>
        <v>#N/A</v>
      </c>
      <c r="J669" s="106" t="e">
        <f t="shared" ca="1" si="89"/>
        <v>#N/A</v>
      </c>
      <c r="K669" s="105" t="e">
        <f t="shared" ca="1" si="86"/>
        <v>#N/A</v>
      </c>
      <c r="L669" s="75"/>
    </row>
    <row r="670" spans="2:12">
      <c r="B670" s="101">
        <f t="shared" ca="1" si="87"/>
        <v>72657</v>
      </c>
      <c r="C670" s="101">
        <f t="shared" ca="1" si="88"/>
        <v>72687</v>
      </c>
      <c r="D670" s="102">
        <f t="shared" ca="1" si="83"/>
        <v>121.5003422313484</v>
      </c>
      <c r="E670" s="103">
        <f t="shared" ca="1" si="82"/>
        <v>0.4442203853665429</v>
      </c>
      <c r="F670" s="104" t="e">
        <f ca="1">IF($C$4="Hombre",(+VLOOKUP(INT(D670)+1,Tablas!$G$9:$K$1240,5,0)*(D670-INT(D670))+VLOOKUP(INT(D670),Tablas!$G$9:$K$1240,5,0)*(INT(D670)+1-D670))/(VLOOKUP(INT($C$5)+1,Tablas!$G$9:$K$1240,5,0)*($C$5-INT($C$5))+VLOOKUP(INT($C$5),Tablas!$G$9:$K$124,5,0)*(INT($C$5)+1-$C$5)),(+VLOOKUP(INT(D670)+1,Tablas!$G$9:$O$1240,9,0)*(D670-INT(D670))+VLOOKUP(INT(D670),Tablas!$G$9:$O$1240,9,0)*(INT(D670)+1-D670))/(VLOOKUP(INT($C$5)+1,Tablas!$G$9:$O$1240,9,0)*($C$5-INT($C$5))+VLOOKUP(INT($C$5),Tablas!$G$9:$O$124,9,0)*(INT($C$5)+1-$C$5)))</f>
        <v>#N/A</v>
      </c>
      <c r="G670" s="97" t="e">
        <f ca="1">IF($C$4="Hombre",(+VLOOKUP(INT(D670)+1,Tablas!$G$9:$K$1240,5,0)*(D670-INT(D670))+VLOOKUP(INT(D670),Tablas!$G$9:$K$1240,5,0)*(INT(D670)+1-D670)),+VLOOKUP(INT(D670)+1,Tablas!$G$9:$O$1240,9,0)*(D670-INT(D670))+VLOOKUP(INT(D670),Tablas!$G$9:$O$1240,9,0)*(INT(D670)+1-D670))</f>
        <v>#N/A</v>
      </c>
      <c r="H670" s="105">
        <f t="shared" ca="1" si="84"/>
        <v>1</v>
      </c>
      <c r="I670" s="106" t="e">
        <f t="shared" ca="1" si="85"/>
        <v>#N/A</v>
      </c>
      <c r="J670" s="106" t="e">
        <f t="shared" ca="1" si="89"/>
        <v>#N/A</v>
      </c>
      <c r="K670" s="105" t="e">
        <f t="shared" ca="1" si="86"/>
        <v>#N/A</v>
      </c>
      <c r="L670" s="75"/>
    </row>
    <row r="671" spans="2:12">
      <c r="B671" s="101">
        <f t="shared" ca="1" si="87"/>
        <v>72688</v>
      </c>
      <c r="C671" s="101">
        <f t="shared" ca="1" si="88"/>
        <v>72718</v>
      </c>
      <c r="D671" s="102">
        <f t="shared" ca="1" si="83"/>
        <v>121.58521560574948</v>
      </c>
      <c r="E671" s="103">
        <f t="shared" ca="1" si="82"/>
        <v>0.44365940222277656</v>
      </c>
      <c r="F671" s="104" t="e">
        <f ca="1">IF($C$4="Hombre",(+VLOOKUP(INT(D671)+1,Tablas!$G$9:$K$1240,5,0)*(D671-INT(D671))+VLOOKUP(INT(D671),Tablas!$G$9:$K$1240,5,0)*(INT(D671)+1-D671))/(VLOOKUP(INT($C$5)+1,Tablas!$G$9:$K$1240,5,0)*($C$5-INT($C$5))+VLOOKUP(INT($C$5),Tablas!$G$9:$K$124,5,0)*(INT($C$5)+1-$C$5)),(+VLOOKUP(INT(D671)+1,Tablas!$G$9:$O$1240,9,0)*(D671-INT(D671))+VLOOKUP(INT(D671),Tablas!$G$9:$O$1240,9,0)*(INT(D671)+1-D671))/(VLOOKUP(INT($C$5)+1,Tablas!$G$9:$O$1240,9,0)*($C$5-INT($C$5))+VLOOKUP(INT($C$5),Tablas!$G$9:$O$124,9,0)*(INT($C$5)+1-$C$5)))</f>
        <v>#N/A</v>
      </c>
      <c r="G671" s="97" t="e">
        <f ca="1">IF($C$4="Hombre",(+VLOOKUP(INT(D671)+1,Tablas!$G$9:$K$1240,5,0)*(D671-INT(D671))+VLOOKUP(INT(D671),Tablas!$G$9:$K$1240,5,0)*(INT(D671)+1-D671)),+VLOOKUP(INT(D671)+1,Tablas!$G$9:$O$1240,9,0)*(D671-INT(D671))+VLOOKUP(INT(D671),Tablas!$G$9:$O$1240,9,0)*(INT(D671)+1-D671))</f>
        <v>#N/A</v>
      </c>
      <c r="H671" s="105">
        <f t="shared" ca="1" si="84"/>
        <v>1</v>
      </c>
      <c r="I671" s="106" t="e">
        <f t="shared" ca="1" si="85"/>
        <v>#N/A</v>
      </c>
      <c r="J671" s="106" t="e">
        <f t="shared" ca="1" si="89"/>
        <v>#N/A</v>
      </c>
      <c r="K671" s="105" t="e">
        <f t="shared" ca="1" si="86"/>
        <v>#N/A</v>
      </c>
      <c r="L671" s="75"/>
    </row>
    <row r="672" spans="2:12">
      <c r="B672" s="101">
        <f t="shared" ca="1" si="87"/>
        <v>72719</v>
      </c>
      <c r="C672" s="101">
        <f t="shared" ca="1" si="88"/>
        <v>72746</v>
      </c>
      <c r="D672" s="102">
        <f t="shared" ca="1" si="83"/>
        <v>121.66187542778918</v>
      </c>
      <c r="E672" s="103">
        <f t="shared" ca="1" si="82"/>
        <v>0.44315331671173569</v>
      </c>
      <c r="F672" s="104" t="e">
        <f ca="1">IF($C$4="Hombre",(+VLOOKUP(INT(D672)+1,Tablas!$G$9:$K$1240,5,0)*(D672-INT(D672))+VLOOKUP(INT(D672),Tablas!$G$9:$K$1240,5,0)*(INT(D672)+1-D672))/(VLOOKUP(INT($C$5)+1,Tablas!$G$9:$K$1240,5,0)*($C$5-INT($C$5))+VLOOKUP(INT($C$5),Tablas!$G$9:$K$124,5,0)*(INT($C$5)+1-$C$5)),(+VLOOKUP(INT(D672)+1,Tablas!$G$9:$O$1240,9,0)*(D672-INT(D672))+VLOOKUP(INT(D672),Tablas!$G$9:$O$1240,9,0)*(INT(D672)+1-D672))/(VLOOKUP(INT($C$5)+1,Tablas!$G$9:$O$1240,9,0)*($C$5-INT($C$5))+VLOOKUP(INT($C$5),Tablas!$G$9:$O$124,9,0)*(INT($C$5)+1-$C$5)))</f>
        <v>#N/A</v>
      </c>
      <c r="G672" s="97" t="e">
        <f ca="1">IF($C$4="Hombre",(+VLOOKUP(INT(D672)+1,Tablas!$G$9:$K$1240,5,0)*(D672-INT(D672))+VLOOKUP(INT(D672),Tablas!$G$9:$K$1240,5,0)*(INT(D672)+1-D672)),+VLOOKUP(INT(D672)+1,Tablas!$G$9:$O$1240,9,0)*(D672-INT(D672))+VLOOKUP(INT(D672),Tablas!$G$9:$O$1240,9,0)*(INT(D672)+1-D672))</f>
        <v>#N/A</v>
      </c>
      <c r="H672" s="105">
        <f t="shared" ca="1" si="84"/>
        <v>1</v>
      </c>
      <c r="I672" s="106" t="e">
        <f t="shared" ca="1" si="85"/>
        <v>#N/A</v>
      </c>
      <c r="J672" s="106" t="e">
        <f t="shared" ca="1" si="89"/>
        <v>#N/A</v>
      </c>
      <c r="K672" s="105" t="e">
        <f t="shared" ca="1" si="86"/>
        <v>#N/A</v>
      </c>
      <c r="L672" s="75"/>
    </row>
    <row r="673" spans="2:12">
      <c r="B673" s="101">
        <f t="shared" ca="1" si="87"/>
        <v>72747</v>
      </c>
      <c r="C673" s="101">
        <f t="shared" ca="1" si="88"/>
        <v>72777</v>
      </c>
      <c r="D673" s="102">
        <f t="shared" ca="1" si="83"/>
        <v>121.74674880219028</v>
      </c>
      <c r="E673" s="103">
        <f t="shared" ca="1" si="82"/>
        <v>0.44259368111425085</v>
      </c>
      <c r="F673" s="104" t="e">
        <f ca="1">IF($C$4="Hombre",(+VLOOKUP(INT(D673)+1,Tablas!$G$9:$K$1240,5,0)*(D673-INT(D673))+VLOOKUP(INT(D673),Tablas!$G$9:$K$1240,5,0)*(INT(D673)+1-D673))/(VLOOKUP(INT($C$5)+1,Tablas!$G$9:$K$1240,5,0)*($C$5-INT($C$5))+VLOOKUP(INT($C$5),Tablas!$G$9:$K$124,5,0)*(INT($C$5)+1-$C$5)),(+VLOOKUP(INT(D673)+1,Tablas!$G$9:$O$1240,9,0)*(D673-INT(D673))+VLOOKUP(INT(D673),Tablas!$G$9:$O$1240,9,0)*(INT(D673)+1-D673))/(VLOOKUP(INT($C$5)+1,Tablas!$G$9:$O$1240,9,0)*($C$5-INT($C$5))+VLOOKUP(INT($C$5),Tablas!$G$9:$O$124,9,0)*(INT($C$5)+1-$C$5)))</f>
        <v>#N/A</v>
      </c>
      <c r="G673" s="97" t="e">
        <f ca="1">IF($C$4="Hombre",(+VLOOKUP(INT(D673)+1,Tablas!$G$9:$K$1240,5,0)*(D673-INT(D673))+VLOOKUP(INT(D673),Tablas!$G$9:$K$1240,5,0)*(INT(D673)+1-D673)),+VLOOKUP(INT(D673)+1,Tablas!$G$9:$O$1240,9,0)*(D673-INT(D673))+VLOOKUP(INT(D673),Tablas!$G$9:$O$1240,9,0)*(INT(D673)+1-D673))</f>
        <v>#N/A</v>
      </c>
      <c r="H673" s="105">
        <f t="shared" ca="1" si="84"/>
        <v>1</v>
      </c>
      <c r="I673" s="106" t="e">
        <f t="shared" ca="1" si="85"/>
        <v>#N/A</v>
      </c>
      <c r="J673" s="106" t="e">
        <f t="shared" ca="1" si="89"/>
        <v>#N/A</v>
      </c>
      <c r="K673" s="105" t="e">
        <f t="shared" ca="1" si="86"/>
        <v>#N/A</v>
      </c>
      <c r="L673" s="75"/>
    </row>
    <row r="674" spans="2:12">
      <c r="B674" s="101">
        <f t="shared" ca="1" si="87"/>
        <v>72778</v>
      </c>
      <c r="C674" s="101">
        <f t="shared" ca="1" si="88"/>
        <v>72807</v>
      </c>
      <c r="D674" s="102">
        <f t="shared" ca="1" si="83"/>
        <v>121.82888432580424</v>
      </c>
      <c r="E674" s="103">
        <f t="shared" ca="1" si="82"/>
        <v>0.44205277119306086</v>
      </c>
      <c r="F674" s="104" t="e">
        <f ca="1">IF($C$4="Hombre",(+VLOOKUP(INT(D674)+1,Tablas!$G$9:$K$1240,5,0)*(D674-INT(D674))+VLOOKUP(INT(D674),Tablas!$G$9:$K$1240,5,0)*(INT(D674)+1-D674))/(VLOOKUP(INT($C$5)+1,Tablas!$G$9:$K$1240,5,0)*($C$5-INT($C$5))+VLOOKUP(INT($C$5),Tablas!$G$9:$K$124,5,0)*(INT($C$5)+1-$C$5)),(+VLOOKUP(INT(D674)+1,Tablas!$G$9:$O$1240,9,0)*(D674-INT(D674))+VLOOKUP(INT(D674),Tablas!$G$9:$O$1240,9,0)*(INT(D674)+1-D674))/(VLOOKUP(INT($C$5)+1,Tablas!$G$9:$O$1240,9,0)*($C$5-INT($C$5))+VLOOKUP(INT($C$5),Tablas!$G$9:$O$124,9,0)*(INT($C$5)+1-$C$5)))</f>
        <v>#N/A</v>
      </c>
      <c r="G674" s="97" t="e">
        <f ca="1">IF($C$4="Hombre",(+VLOOKUP(INT(D674)+1,Tablas!$G$9:$K$1240,5,0)*(D674-INT(D674))+VLOOKUP(INT(D674),Tablas!$G$9:$K$1240,5,0)*(INT(D674)+1-D674)),+VLOOKUP(INT(D674)+1,Tablas!$G$9:$O$1240,9,0)*(D674-INT(D674))+VLOOKUP(INT(D674),Tablas!$G$9:$O$1240,9,0)*(INT(D674)+1-D674))</f>
        <v>#N/A</v>
      </c>
      <c r="H674" s="105">
        <f t="shared" ca="1" si="84"/>
        <v>1</v>
      </c>
      <c r="I674" s="106" t="e">
        <f t="shared" ca="1" si="85"/>
        <v>#N/A</v>
      </c>
      <c r="J674" s="106" t="e">
        <f t="shared" ca="1" si="89"/>
        <v>#N/A</v>
      </c>
      <c r="K674" s="105" t="e">
        <f t="shared" ca="1" si="86"/>
        <v>#N/A</v>
      </c>
      <c r="L674" s="75"/>
    </row>
    <row r="675" spans="2:12">
      <c r="B675" s="101">
        <f t="shared" ca="1" si="87"/>
        <v>72808</v>
      </c>
      <c r="C675" s="101">
        <f t="shared" ca="1" si="88"/>
        <v>72838</v>
      </c>
      <c r="D675" s="102">
        <f t="shared" ca="1" si="83"/>
        <v>121.91375770020534</v>
      </c>
      <c r="E675" s="103">
        <f t="shared" ca="1" si="82"/>
        <v>0.44149452541807255</v>
      </c>
      <c r="F675" s="104" t="e">
        <f ca="1">IF($C$4="Hombre",(+VLOOKUP(INT(D675)+1,Tablas!$G$9:$K$1240,5,0)*(D675-INT(D675))+VLOOKUP(INT(D675),Tablas!$G$9:$K$1240,5,0)*(INT(D675)+1-D675))/(VLOOKUP(INT($C$5)+1,Tablas!$G$9:$K$1240,5,0)*($C$5-INT($C$5))+VLOOKUP(INT($C$5),Tablas!$G$9:$K$124,5,0)*(INT($C$5)+1-$C$5)),(+VLOOKUP(INT(D675)+1,Tablas!$G$9:$O$1240,9,0)*(D675-INT(D675))+VLOOKUP(INT(D675),Tablas!$G$9:$O$1240,9,0)*(INT(D675)+1-D675))/(VLOOKUP(INT($C$5)+1,Tablas!$G$9:$O$1240,9,0)*($C$5-INT($C$5))+VLOOKUP(INT($C$5),Tablas!$G$9:$O$124,9,0)*(INT($C$5)+1-$C$5)))</f>
        <v>#N/A</v>
      </c>
      <c r="G675" s="97" t="e">
        <f ca="1">IF($C$4="Hombre",(+VLOOKUP(INT(D675)+1,Tablas!$G$9:$K$1240,5,0)*(D675-INT(D675))+VLOOKUP(INT(D675),Tablas!$G$9:$K$1240,5,0)*(INT(D675)+1-D675)),+VLOOKUP(INT(D675)+1,Tablas!$G$9:$O$1240,9,0)*(D675-INT(D675))+VLOOKUP(INT(D675),Tablas!$G$9:$O$1240,9,0)*(INT(D675)+1-D675))</f>
        <v>#N/A</v>
      </c>
      <c r="H675" s="105">
        <f t="shared" ca="1" si="84"/>
        <v>1</v>
      </c>
      <c r="I675" s="106" t="e">
        <f t="shared" ca="1" si="85"/>
        <v>#N/A</v>
      </c>
      <c r="J675" s="106" t="e">
        <f t="shared" ca="1" si="89"/>
        <v>#N/A</v>
      </c>
      <c r="K675" s="105" t="e">
        <f t="shared" ca="1" si="86"/>
        <v>#N/A</v>
      </c>
      <c r="L675" s="75"/>
    </row>
    <row r="676" spans="2:12">
      <c r="B676" s="101">
        <f t="shared" ca="1" si="87"/>
        <v>72839</v>
      </c>
      <c r="C676" s="101">
        <f t="shared" ca="1" si="88"/>
        <v>72868</v>
      </c>
      <c r="D676" s="102">
        <f t="shared" ca="1" si="83"/>
        <v>121.99589322381931</v>
      </c>
      <c r="E676" s="103">
        <f t="shared" ca="1" si="82"/>
        <v>0.44095495881524943</v>
      </c>
      <c r="F676" s="104" t="e">
        <f ca="1">IF($C$4="Hombre",(+VLOOKUP(INT(D676)+1,Tablas!$G$9:$K$1240,5,0)*(D676-INT(D676))+VLOOKUP(INT(D676),Tablas!$G$9:$K$1240,5,0)*(INT(D676)+1-D676))/(VLOOKUP(INT($C$5)+1,Tablas!$G$9:$K$1240,5,0)*($C$5-INT($C$5))+VLOOKUP(INT($C$5),Tablas!$G$9:$K$124,5,0)*(INT($C$5)+1-$C$5)),(+VLOOKUP(INT(D676)+1,Tablas!$G$9:$O$1240,9,0)*(D676-INT(D676))+VLOOKUP(INT(D676),Tablas!$G$9:$O$1240,9,0)*(INT(D676)+1-D676))/(VLOOKUP(INT($C$5)+1,Tablas!$G$9:$O$1240,9,0)*($C$5-INT($C$5))+VLOOKUP(INT($C$5),Tablas!$G$9:$O$124,9,0)*(INT($C$5)+1-$C$5)))</f>
        <v>#N/A</v>
      </c>
      <c r="G676" s="97" t="e">
        <f ca="1">IF($C$4="Hombre",(+VLOOKUP(INT(D676)+1,Tablas!$G$9:$K$1240,5,0)*(D676-INT(D676))+VLOOKUP(INT(D676),Tablas!$G$9:$K$1240,5,0)*(INT(D676)+1-D676)),+VLOOKUP(INT(D676)+1,Tablas!$G$9:$O$1240,9,0)*(D676-INT(D676))+VLOOKUP(INT(D676),Tablas!$G$9:$O$1240,9,0)*(INT(D676)+1-D676))</f>
        <v>#N/A</v>
      </c>
      <c r="H676" s="105">
        <f t="shared" ca="1" si="84"/>
        <v>1</v>
      </c>
      <c r="I676" s="106" t="e">
        <f t="shared" ca="1" si="85"/>
        <v>#N/A</v>
      </c>
      <c r="J676" s="106" t="e">
        <f t="shared" ca="1" si="89"/>
        <v>#N/A</v>
      </c>
      <c r="K676" s="105" t="e">
        <f t="shared" ca="1" si="86"/>
        <v>#N/A</v>
      </c>
      <c r="L676" s="75"/>
    </row>
    <row r="677" spans="2:12">
      <c r="B677" s="101">
        <f t="shared" ca="1" si="87"/>
        <v>72869</v>
      </c>
      <c r="C677" s="101">
        <f t="shared" ca="1" si="88"/>
        <v>72899</v>
      </c>
      <c r="D677" s="102">
        <f t="shared" ca="1" si="83"/>
        <v>122.08076659822039</v>
      </c>
      <c r="E677" s="103">
        <f t="shared" ca="1" si="82"/>
        <v>0.44039809941121405</v>
      </c>
      <c r="F677" s="104" t="e">
        <f ca="1">IF($C$4="Hombre",(+VLOOKUP(INT(D677)+1,Tablas!$G$9:$K$1240,5,0)*(D677-INT(D677))+VLOOKUP(INT(D677),Tablas!$G$9:$K$1240,5,0)*(INT(D677)+1-D677))/(VLOOKUP(INT($C$5)+1,Tablas!$G$9:$K$1240,5,0)*($C$5-INT($C$5))+VLOOKUP(INT($C$5),Tablas!$G$9:$K$124,5,0)*(INT($C$5)+1-$C$5)),(+VLOOKUP(INT(D677)+1,Tablas!$G$9:$O$1240,9,0)*(D677-INT(D677))+VLOOKUP(INT(D677),Tablas!$G$9:$O$1240,9,0)*(INT(D677)+1-D677))/(VLOOKUP(INT($C$5)+1,Tablas!$G$9:$O$1240,9,0)*($C$5-INT($C$5))+VLOOKUP(INT($C$5),Tablas!$G$9:$O$124,9,0)*(INT($C$5)+1-$C$5)))</f>
        <v>#N/A</v>
      </c>
      <c r="G677" s="97" t="e">
        <f ca="1">IF($C$4="Hombre",(+VLOOKUP(INT(D677)+1,Tablas!$G$9:$K$1240,5,0)*(D677-INT(D677))+VLOOKUP(INT(D677),Tablas!$G$9:$K$1240,5,0)*(INT(D677)+1-D677)),+VLOOKUP(INT(D677)+1,Tablas!$G$9:$O$1240,9,0)*(D677-INT(D677))+VLOOKUP(INT(D677),Tablas!$G$9:$O$1240,9,0)*(INT(D677)+1-D677))</f>
        <v>#N/A</v>
      </c>
      <c r="H677" s="105">
        <f t="shared" ca="1" si="84"/>
        <v>1</v>
      </c>
      <c r="I677" s="106" t="e">
        <f t="shared" ca="1" si="85"/>
        <v>#N/A</v>
      </c>
      <c r="J677" s="106" t="e">
        <f t="shared" ca="1" si="89"/>
        <v>#N/A</v>
      </c>
      <c r="K677" s="105" t="e">
        <f t="shared" ca="1" si="86"/>
        <v>#N/A</v>
      </c>
      <c r="L677" s="75"/>
    </row>
    <row r="678" spans="2:12">
      <c r="B678" s="101">
        <f t="shared" ca="1" si="87"/>
        <v>72900</v>
      </c>
      <c r="C678" s="101">
        <f t="shared" ca="1" si="88"/>
        <v>72930</v>
      </c>
      <c r="D678" s="102">
        <f t="shared" ca="1" si="83"/>
        <v>122.16563997262149</v>
      </c>
      <c r="E678" s="103">
        <f t="shared" ca="1" si="82"/>
        <v>0.43984194323636272</v>
      </c>
      <c r="F678" s="104" t="e">
        <f ca="1">IF($C$4="Hombre",(+VLOOKUP(INT(D678)+1,Tablas!$G$9:$K$1240,5,0)*(D678-INT(D678))+VLOOKUP(INT(D678),Tablas!$G$9:$K$1240,5,0)*(INT(D678)+1-D678))/(VLOOKUP(INT($C$5)+1,Tablas!$G$9:$K$1240,5,0)*($C$5-INT($C$5))+VLOOKUP(INT($C$5),Tablas!$G$9:$K$124,5,0)*(INT($C$5)+1-$C$5)),(+VLOOKUP(INT(D678)+1,Tablas!$G$9:$O$1240,9,0)*(D678-INT(D678))+VLOOKUP(INT(D678),Tablas!$G$9:$O$1240,9,0)*(INT(D678)+1-D678))/(VLOOKUP(INT($C$5)+1,Tablas!$G$9:$O$1240,9,0)*($C$5-INT($C$5))+VLOOKUP(INT($C$5),Tablas!$G$9:$O$124,9,0)*(INT($C$5)+1-$C$5)))</f>
        <v>#N/A</v>
      </c>
      <c r="G678" s="97" t="e">
        <f ca="1">IF($C$4="Hombre",(+VLOOKUP(INT(D678)+1,Tablas!$G$9:$K$1240,5,0)*(D678-INT(D678))+VLOOKUP(INT(D678),Tablas!$G$9:$K$1240,5,0)*(INT(D678)+1-D678)),+VLOOKUP(INT(D678)+1,Tablas!$G$9:$O$1240,9,0)*(D678-INT(D678))+VLOOKUP(INT(D678),Tablas!$G$9:$O$1240,9,0)*(INT(D678)+1-D678))</f>
        <v>#N/A</v>
      </c>
      <c r="H678" s="105">
        <f t="shared" ca="1" si="84"/>
        <v>1</v>
      </c>
      <c r="I678" s="106" t="e">
        <f t="shared" ca="1" si="85"/>
        <v>#N/A</v>
      </c>
      <c r="J678" s="106" t="e">
        <f t="shared" ca="1" si="89"/>
        <v>#N/A</v>
      </c>
      <c r="K678" s="105" t="e">
        <f t="shared" ca="1" si="86"/>
        <v>#N/A</v>
      </c>
      <c r="L678" s="75"/>
    </row>
    <row r="679" spans="2:12">
      <c r="B679" s="101">
        <f t="shared" ca="1" si="87"/>
        <v>72931</v>
      </c>
      <c r="C679" s="101">
        <f t="shared" ca="1" si="88"/>
        <v>72960</v>
      </c>
      <c r="D679" s="102">
        <f t="shared" ca="1" si="83"/>
        <v>122.24777549623545</v>
      </c>
      <c r="E679" s="103">
        <f t="shared" ca="1" si="82"/>
        <v>0.43930439631465085</v>
      </c>
      <c r="F679" s="104" t="e">
        <f ca="1">IF($C$4="Hombre",(+VLOOKUP(INT(D679)+1,Tablas!$G$9:$K$1240,5,0)*(D679-INT(D679))+VLOOKUP(INT(D679),Tablas!$G$9:$K$1240,5,0)*(INT(D679)+1-D679))/(VLOOKUP(INT($C$5)+1,Tablas!$G$9:$K$1240,5,0)*($C$5-INT($C$5))+VLOOKUP(INT($C$5),Tablas!$G$9:$K$124,5,0)*(INT($C$5)+1-$C$5)),(+VLOOKUP(INT(D679)+1,Tablas!$G$9:$O$1240,9,0)*(D679-INT(D679))+VLOOKUP(INT(D679),Tablas!$G$9:$O$1240,9,0)*(INT(D679)+1-D679))/(VLOOKUP(INT($C$5)+1,Tablas!$G$9:$O$1240,9,0)*($C$5-INT($C$5))+VLOOKUP(INT($C$5),Tablas!$G$9:$O$124,9,0)*(INT($C$5)+1-$C$5)))</f>
        <v>#N/A</v>
      </c>
      <c r="G679" s="97" t="e">
        <f ca="1">IF($C$4="Hombre",(+VLOOKUP(INT(D679)+1,Tablas!$G$9:$K$1240,5,0)*(D679-INT(D679))+VLOOKUP(INT(D679),Tablas!$G$9:$K$1240,5,0)*(INT(D679)+1-D679)),+VLOOKUP(INT(D679)+1,Tablas!$G$9:$O$1240,9,0)*(D679-INT(D679))+VLOOKUP(INT(D679),Tablas!$G$9:$O$1240,9,0)*(INT(D679)+1-D679))</f>
        <v>#N/A</v>
      </c>
      <c r="H679" s="105">
        <f t="shared" ca="1" si="84"/>
        <v>1</v>
      </c>
      <c r="I679" s="106" t="e">
        <f t="shared" ca="1" si="85"/>
        <v>#N/A</v>
      </c>
      <c r="J679" s="106" t="e">
        <f t="shared" ca="1" si="89"/>
        <v>#N/A</v>
      </c>
      <c r="K679" s="105" t="e">
        <f t="shared" ca="1" si="86"/>
        <v>#N/A</v>
      </c>
      <c r="L679" s="75"/>
    </row>
    <row r="680" spans="2:12">
      <c r="B680" s="101">
        <f t="shared" ca="1" si="87"/>
        <v>72961</v>
      </c>
      <c r="C680" s="101">
        <f t="shared" ca="1" si="88"/>
        <v>72991</v>
      </c>
      <c r="D680" s="102">
        <f t="shared" ca="1" si="83"/>
        <v>122.33264887063655</v>
      </c>
      <c r="E680" s="103">
        <f t="shared" ca="1" si="82"/>
        <v>0.43874962132135181</v>
      </c>
      <c r="F680" s="104" t="e">
        <f ca="1">IF($C$4="Hombre",(+VLOOKUP(INT(D680)+1,Tablas!$G$9:$K$1240,5,0)*(D680-INT(D680))+VLOOKUP(INT(D680),Tablas!$G$9:$K$1240,5,0)*(INT(D680)+1-D680))/(VLOOKUP(INT($C$5)+1,Tablas!$G$9:$K$1240,5,0)*($C$5-INT($C$5))+VLOOKUP(INT($C$5),Tablas!$G$9:$K$124,5,0)*(INT($C$5)+1-$C$5)),(+VLOOKUP(INT(D680)+1,Tablas!$G$9:$O$1240,9,0)*(D680-INT(D680))+VLOOKUP(INT(D680),Tablas!$G$9:$O$1240,9,0)*(INT(D680)+1-D680))/(VLOOKUP(INT($C$5)+1,Tablas!$G$9:$O$1240,9,0)*($C$5-INT($C$5))+VLOOKUP(INT($C$5),Tablas!$G$9:$O$124,9,0)*(INT($C$5)+1-$C$5)))</f>
        <v>#N/A</v>
      </c>
      <c r="G680" s="97" t="e">
        <f ca="1">IF($C$4="Hombre",(+VLOOKUP(INT(D680)+1,Tablas!$G$9:$K$1240,5,0)*(D680-INT(D680))+VLOOKUP(INT(D680),Tablas!$G$9:$K$1240,5,0)*(INT(D680)+1-D680)),+VLOOKUP(INT(D680)+1,Tablas!$G$9:$O$1240,9,0)*(D680-INT(D680))+VLOOKUP(INT(D680),Tablas!$G$9:$O$1240,9,0)*(INT(D680)+1-D680))</f>
        <v>#N/A</v>
      </c>
      <c r="H680" s="105">
        <f t="shared" ca="1" si="84"/>
        <v>1</v>
      </c>
      <c r="I680" s="106" t="e">
        <f t="shared" ca="1" si="85"/>
        <v>#N/A</v>
      </c>
      <c r="J680" s="106" t="e">
        <f t="shared" ca="1" si="89"/>
        <v>#N/A</v>
      </c>
      <c r="K680" s="105" t="e">
        <f t="shared" ca="1" si="86"/>
        <v>#N/A</v>
      </c>
      <c r="L680" s="75"/>
    </row>
    <row r="681" spans="2:12">
      <c r="B681" s="101">
        <f t="shared" ca="1" si="87"/>
        <v>72992</v>
      </c>
      <c r="C681" s="101">
        <f t="shared" ca="1" si="88"/>
        <v>73021</v>
      </c>
      <c r="D681" s="102">
        <f t="shared" ca="1" si="83"/>
        <v>122.41478439425052</v>
      </c>
      <c r="E681" s="103">
        <f t="shared" ca="1" si="82"/>
        <v>0.43821340936619313</v>
      </c>
      <c r="F681" s="104" t="e">
        <f ca="1">IF($C$4="Hombre",(+VLOOKUP(INT(D681)+1,Tablas!$G$9:$K$1240,5,0)*(D681-INT(D681))+VLOOKUP(INT(D681),Tablas!$G$9:$K$1240,5,0)*(INT(D681)+1-D681))/(VLOOKUP(INT($C$5)+1,Tablas!$G$9:$K$1240,5,0)*($C$5-INT($C$5))+VLOOKUP(INT($C$5),Tablas!$G$9:$K$124,5,0)*(INT($C$5)+1-$C$5)),(+VLOOKUP(INT(D681)+1,Tablas!$G$9:$O$1240,9,0)*(D681-INT(D681))+VLOOKUP(INT(D681),Tablas!$G$9:$O$1240,9,0)*(INT(D681)+1-D681))/(VLOOKUP(INT($C$5)+1,Tablas!$G$9:$O$1240,9,0)*($C$5-INT($C$5))+VLOOKUP(INT($C$5),Tablas!$G$9:$O$124,9,0)*(INT($C$5)+1-$C$5)))</f>
        <v>#N/A</v>
      </c>
      <c r="G681" s="97" t="e">
        <f ca="1">IF($C$4="Hombre",(+VLOOKUP(INT(D681)+1,Tablas!$G$9:$K$1240,5,0)*(D681-INT(D681))+VLOOKUP(INT(D681),Tablas!$G$9:$K$1240,5,0)*(INT(D681)+1-D681)),+VLOOKUP(INT(D681)+1,Tablas!$G$9:$O$1240,9,0)*(D681-INT(D681))+VLOOKUP(INT(D681),Tablas!$G$9:$O$1240,9,0)*(INT(D681)+1-D681))</f>
        <v>#N/A</v>
      </c>
      <c r="H681" s="105">
        <f t="shared" ca="1" si="84"/>
        <v>1</v>
      </c>
      <c r="I681" s="106" t="e">
        <f t="shared" ca="1" si="85"/>
        <v>#N/A</v>
      </c>
      <c r="J681" s="106" t="e">
        <f t="shared" ca="1" si="89"/>
        <v>#N/A</v>
      </c>
      <c r="K681" s="105" t="e">
        <f t="shared" ca="1" si="86"/>
        <v>#N/A</v>
      </c>
      <c r="L681" s="75"/>
    </row>
    <row r="682" spans="2:12">
      <c r="B682" s="101">
        <f t="shared" ca="1" si="87"/>
        <v>73022</v>
      </c>
      <c r="C682" s="101">
        <f t="shared" ca="1" si="88"/>
        <v>73052</v>
      </c>
      <c r="D682" s="102">
        <f t="shared" ca="1" si="83"/>
        <v>122.4996577686516</v>
      </c>
      <c r="E682" s="103">
        <f t="shared" ca="1" si="82"/>
        <v>0.4376600121243624</v>
      </c>
      <c r="F682" s="104" t="e">
        <f ca="1">IF($C$4="Hombre",(+VLOOKUP(INT(D682)+1,Tablas!$G$9:$K$1240,5,0)*(D682-INT(D682))+VLOOKUP(INT(D682),Tablas!$G$9:$K$1240,5,0)*(INT(D682)+1-D682))/(VLOOKUP(INT($C$5)+1,Tablas!$G$9:$K$1240,5,0)*($C$5-INT($C$5))+VLOOKUP(INT($C$5),Tablas!$G$9:$K$124,5,0)*(INT($C$5)+1-$C$5)),(+VLOOKUP(INT(D682)+1,Tablas!$G$9:$O$1240,9,0)*(D682-INT(D682))+VLOOKUP(INT(D682),Tablas!$G$9:$O$1240,9,0)*(INT(D682)+1-D682))/(VLOOKUP(INT($C$5)+1,Tablas!$G$9:$O$1240,9,0)*($C$5-INT($C$5))+VLOOKUP(INT($C$5),Tablas!$G$9:$O$124,9,0)*(INT($C$5)+1-$C$5)))</f>
        <v>#N/A</v>
      </c>
      <c r="G682" s="97" t="e">
        <f ca="1">IF($C$4="Hombre",(+VLOOKUP(INT(D682)+1,Tablas!$G$9:$K$1240,5,0)*(D682-INT(D682))+VLOOKUP(INT(D682),Tablas!$G$9:$K$1240,5,0)*(INT(D682)+1-D682)),+VLOOKUP(INT(D682)+1,Tablas!$G$9:$O$1240,9,0)*(D682-INT(D682))+VLOOKUP(INT(D682),Tablas!$G$9:$O$1240,9,0)*(INT(D682)+1-D682))</f>
        <v>#N/A</v>
      </c>
      <c r="H682" s="105">
        <f t="shared" ca="1" si="84"/>
        <v>1</v>
      </c>
      <c r="I682" s="106" t="e">
        <f t="shared" ca="1" si="85"/>
        <v>#N/A</v>
      </c>
      <c r="J682" s="106" t="e">
        <f t="shared" ca="1" si="89"/>
        <v>#N/A</v>
      </c>
      <c r="K682" s="105" t="e">
        <f t="shared" ca="1" si="86"/>
        <v>#N/A</v>
      </c>
      <c r="L682" s="75"/>
    </row>
    <row r="683" spans="2:12">
      <c r="B683" s="101">
        <f t="shared" ca="1" si="87"/>
        <v>73053</v>
      </c>
      <c r="C683" s="101">
        <f t="shared" ca="1" si="88"/>
        <v>73083</v>
      </c>
      <c r="D683" s="102">
        <f t="shared" ca="1" si="83"/>
        <v>122.5845311430527</v>
      </c>
      <c r="E683" s="103">
        <f t="shared" ca="1" si="82"/>
        <v>0.43710731373952844</v>
      </c>
      <c r="F683" s="104" t="e">
        <f ca="1">IF($C$4="Hombre",(+VLOOKUP(INT(D683)+1,Tablas!$G$9:$K$1240,5,0)*(D683-INT(D683))+VLOOKUP(INT(D683),Tablas!$G$9:$K$1240,5,0)*(INT(D683)+1-D683))/(VLOOKUP(INT($C$5)+1,Tablas!$G$9:$K$1240,5,0)*($C$5-INT($C$5))+VLOOKUP(INT($C$5),Tablas!$G$9:$K$124,5,0)*(INT($C$5)+1-$C$5)),(+VLOOKUP(INT(D683)+1,Tablas!$G$9:$O$1240,9,0)*(D683-INT(D683))+VLOOKUP(INT(D683),Tablas!$G$9:$O$1240,9,0)*(INT(D683)+1-D683))/(VLOOKUP(INT($C$5)+1,Tablas!$G$9:$O$1240,9,0)*($C$5-INT($C$5))+VLOOKUP(INT($C$5),Tablas!$G$9:$O$124,9,0)*(INT($C$5)+1-$C$5)))</f>
        <v>#N/A</v>
      </c>
      <c r="G683" s="97" t="e">
        <f ca="1">IF($C$4="Hombre",(+VLOOKUP(INT(D683)+1,Tablas!$G$9:$K$1240,5,0)*(D683-INT(D683))+VLOOKUP(INT(D683),Tablas!$G$9:$K$1240,5,0)*(INT(D683)+1-D683)),+VLOOKUP(INT(D683)+1,Tablas!$G$9:$O$1240,9,0)*(D683-INT(D683))+VLOOKUP(INT(D683),Tablas!$G$9:$O$1240,9,0)*(INT(D683)+1-D683))</f>
        <v>#N/A</v>
      </c>
      <c r="H683" s="105">
        <f t="shared" ca="1" si="84"/>
        <v>1</v>
      </c>
      <c r="I683" s="106" t="e">
        <f t="shared" ca="1" si="85"/>
        <v>#N/A</v>
      </c>
      <c r="J683" s="106" t="e">
        <f t="shared" ca="1" si="89"/>
        <v>#N/A</v>
      </c>
      <c r="K683" s="105" t="e">
        <f t="shared" ca="1" si="86"/>
        <v>#N/A</v>
      </c>
      <c r="L683" s="75"/>
    </row>
    <row r="684" spans="2:12">
      <c r="B684" s="101">
        <f t="shared" ca="1" si="87"/>
        <v>73084</v>
      </c>
      <c r="C684" s="101">
        <f t="shared" ca="1" si="88"/>
        <v>73111</v>
      </c>
      <c r="D684" s="102">
        <f t="shared" ca="1" si="83"/>
        <v>122.6611909650924</v>
      </c>
      <c r="E684" s="103">
        <f t="shared" ca="1" si="82"/>
        <v>0.4366087022435356</v>
      </c>
      <c r="F684" s="104" t="e">
        <f ca="1">IF($C$4="Hombre",(+VLOOKUP(INT(D684)+1,Tablas!$G$9:$K$1240,5,0)*(D684-INT(D684))+VLOOKUP(INT(D684),Tablas!$G$9:$K$1240,5,0)*(INT(D684)+1-D684))/(VLOOKUP(INT($C$5)+1,Tablas!$G$9:$K$1240,5,0)*($C$5-INT($C$5))+VLOOKUP(INT($C$5),Tablas!$G$9:$K$124,5,0)*(INT($C$5)+1-$C$5)),(+VLOOKUP(INT(D684)+1,Tablas!$G$9:$O$1240,9,0)*(D684-INT(D684))+VLOOKUP(INT(D684),Tablas!$G$9:$O$1240,9,0)*(INT(D684)+1-D684))/(VLOOKUP(INT($C$5)+1,Tablas!$G$9:$O$1240,9,0)*($C$5-INT($C$5))+VLOOKUP(INT($C$5),Tablas!$G$9:$O$124,9,0)*(INT($C$5)+1-$C$5)))</f>
        <v>#N/A</v>
      </c>
      <c r="G684" s="97" t="e">
        <f ca="1">IF($C$4="Hombre",(+VLOOKUP(INT(D684)+1,Tablas!$G$9:$K$1240,5,0)*(D684-INT(D684))+VLOOKUP(INT(D684),Tablas!$G$9:$K$1240,5,0)*(INT(D684)+1-D684)),+VLOOKUP(INT(D684)+1,Tablas!$G$9:$O$1240,9,0)*(D684-INT(D684))+VLOOKUP(INT(D684),Tablas!$G$9:$O$1240,9,0)*(INT(D684)+1-D684))</f>
        <v>#N/A</v>
      </c>
      <c r="H684" s="105">
        <f t="shared" ca="1" si="84"/>
        <v>1</v>
      </c>
      <c r="I684" s="106" t="e">
        <f t="shared" ca="1" si="85"/>
        <v>#N/A</v>
      </c>
      <c r="J684" s="106" t="e">
        <f t="shared" ca="1" si="89"/>
        <v>#N/A</v>
      </c>
      <c r="K684" s="105" t="e">
        <f t="shared" ca="1" si="86"/>
        <v>#N/A</v>
      </c>
      <c r="L684" s="75"/>
    </row>
    <row r="685" spans="2:12">
      <c r="B685" s="101">
        <f t="shared" ca="1" si="87"/>
        <v>73112</v>
      </c>
      <c r="C685" s="101">
        <f t="shared" ca="1" si="88"/>
        <v>73142</v>
      </c>
      <c r="D685" s="102">
        <f t="shared" ca="1" si="83"/>
        <v>122.7460643394935</v>
      </c>
      <c r="E685" s="103">
        <f t="shared" ca="1" si="82"/>
        <v>0.43605733150403592</v>
      </c>
      <c r="F685" s="104" t="e">
        <f ca="1">IF($C$4="Hombre",(+VLOOKUP(INT(D685)+1,Tablas!$G$9:$K$1240,5,0)*(D685-INT(D685))+VLOOKUP(INT(D685),Tablas!$G$9:$K$1240,5,0)*(INT(D685)+1-D685))/(VLOOKUP(INT($C$5)+1,Tablas!$G$9:$K$1240,5,0)*($C$5-INT($C$5))+VLOOKUP(INT($C$5),Tablas!$G$9:$K$124,5,0)*(INT($C$5)+1-$C$5)),(+VLOOKUP(INT(D685)+1,Tablas!$G$9:$O$1240,9,0)*(D685-INT(D685))+VLOOKUP(INT(D685),Tablas!$G$9:$O$1240,9,0)*(INT(D685)+1-D685))/(VLOOKUP(INT($C$5)+1,Tablas!$G$9:$O$1240,9,0)*($C$5-INT($C$5))+VLOOKUP(INT($C$5),Tablas!$G$9:$O$124,9,0)*(INT($C$5)+1-$C$5)))</f>
        <v>#N/A</v>
      </c>
      <c r="G685" s="97" t="e">
        <f ca="1">IF($C$4="Hombre",(+VLOOKUP(INT(D685)+1,Tablas!$G$9:$K$1240,5,0)*(D685-INT(D685))+VLOOKUP(INT(D685),Tablas!$G$9:$K$1240,5,0)*(INT(D685)+1-D685)),+VLOOKUP(INT(D685)+1,Tablas!$G$9:$O$1240,9,0)*(D685-INT(D685))+VLOOKUP(INT(D685),Tablas!$G$9:$O$1240,9,0)*(INT(D685)+1-D685))</f>
        <v>#N/A</v>
      </c>
      <c r="H685" s="105">
        <f t="shared" ca="1" si="84"/>
        <v>1</v>
      </c>
      <c r="I685" s="106" t="e">
        <f t="shared" ca="1" si="85"/>
        <v>#N/A</v>
      </c>
      <c r="J685" s="106" t="e">
        <f t="shared" ca="1" si="89"/>
        <v>#N/A</v>
      </c>
      <c r="K685" s="105" t="e">
        <f t="shared" ca="1" si="86"/>
        <v>#N/A</v>
      </c>
      <c r="L685" s="75"/>
    </row>
    <row r="686" spans="2:12">
      <c r="B686" s="101">
        <f t="shared" ca="1" si="87"/>
        <v>73143</v>
      </c>
      <c r="C686" s="101">
        <f t="shared" ca="1" si="88"/>
        <v>73172</v>
      </c>
      <c r="D686" s="102">
        <f t="shared" ca="1" si="83"/>
        <v>122.82819986310746</v>
      </c>
      <c r="E686" s="103">
        <f t="shared" ca="1" si="82"/>
        <v>0.43552440989470698</v>
      </c>
      <c r="F686" s="104" t="e">
        <f ca="1">IF($C$4="Hombre",(+VLOOKUP(INT(D686)+1,Tablas!$G$9:$K$1240,5,0)*(D686-INT(D686))+VLOOKUP(INT(D686),Tablas!$G$9:$K$1240,5,0)*(INT(D686)+1-D686))/(VLOOKUP(INT($C$5)+1,Tablas!$G$9:$K$1240,5,0)*($C$5-INT($C$5))+VLOOKUP(INT($C$5),Tablas!$G$9:$K$124,5,0)*(INT($C$5)+1-$C$5)),(+VLOOKUP(INT(D686)+1,Tablas!$G$9:$O$1240,9,0)*(D686-INT(D686))+VLOOKUP(INT(D686),Tablas!$G$9:$O$1240,9,0)*(INT(D686)+1-D686))/(VLOOKUP(INT($C$5)+1,Tablas!$G$9:$O$1240,9,0)*($C$5-INT($C$5))+VLOOKUP(INT($C$5),Tablas!$G$9:$O$124,9,0)*(INT($C$5)+1-$C$5)))</f>
        <v>#N/A</v>
      </c>
      <c r="G686" s="97" t="e">
        <f ca="1">IF($C$4="Hombre",(+VLOOKUP(INT(D686)+1,Tablas!$G$9:$K$1240,5,0)*(D686-INT(D686))+VLOOKUP(INT(D686),Tablas!$G$9:$K$1240,5,0)*(INT(D686)+1-D686)),+VLOOKUP(INT(D686)+1,Tablas!$G$9:$O$1240,9,0)*(D686-INT(D686))+VLOOKUP(INT(D686),Tablas!$G$9:$O$1240,9,0)*(INT(D686)+1-D686))</f>
        <v>#N/A</v>
      </c>
      <c r="H686" s="105">
        <f t="shared" ca="1" si="84"/>
        <v>1</v>
      </c>
      <c r="I686" s="106" t="e">
        <f t="shared" ca="1" si="85"/>
        <v>#N/A</v>
      </c>
      <c r="J686" s="106" t="e">
        <f t="shared" ca="1" si="89"/>
        <v>#N/A</v>
      </c>
      <c r="K686" s="105" t="e">
        <f t="shared" ca="1" si="86"/>
        <v>#N/A</v>
      </c>
      <c r="L686" s="75"/>
    </row>
    <row r="687" spans="2:12">
      <c r="B687" s="101">
        <f t="shared" ca="1" si="87"/>
        <v>73173</v>
      </c>
      <c r="C687" s="101">
        <f t="shared" ca="1" si="88"/>
        <v>73203</v>
      </c>
      <c r="D687" s="102">
        <f t="shared" ca="1" si="83"/>
        <v>122.91307323750856</v>
      </c>
      <c r="E687" s="103">
        <f t="shared" ca="1" si="82"/>
        <v>0.43497440845240903</v>
      </c>
      <c r="F687" s="104" t="e">
        <f ca="1">IF($C$4="Hombre",(+VLOOKUP(INT(D687)+1,Tablas!$G$9:$K$1240,5,0)*(D687-INT(D687))+VLOOKUP(INT(D687),Tablas!$G$9:$K$1240,5,0)*(INT(D687)+1-D687))/(VLOOKUP(INT($C$5)+1,Tablas!$G$9:$K$1240,5,0)*($C$5-INT($C$5))+VLOOKUP(INT($C$5),Tablas!$G$9:$K$124,5,0)*(INT($C$5)+1-$C$5)),(+VLOOKUP(INT(D687)+1,Tablas!$G$9:$O$1240,9,0)*(D687-INT(D687))+VLOOKUP(INT(D687),Tablas!$G$9:$O$1240,9,0)*(INT(D687)+1-D687))/(VLOOKUP(INT($C$5)+1,Tablas!$G$9:$O$1240,9,0)*($C$5-INT($C$5))+VLOOKUP(INT($C$5),Tablas!$G$9:$O$124,9,0)*(INT($C$5)+1-$C$5)))</f>
        <v>#N/A</v>
      </c>
      <c r="G687" s="97" t="e">
        <f ca="1">IF($C$4="Hombre",(+VLOOKUP(INT(D687)+1,Tablas!$G$9:$K$1240,5,0)*(D687-INT(D687))+VLOOKUP(INT(D687),Tablas!$G$9:$K$1240,5,0)*(INT(D687)+1-D687)),+VLOOKUP(INT(D687)+1,Tablas!$G$9:$O$1240,9,0)*(D687-INT(D687))+VLOOKUP(INT(D687),Tablas!$G$9:$O$1240,9,0)*(INT(D687)+1-D687))</f>
        <v>#N/A</v>
      </c>
      <c r="H687" s="105">
        <f t="shared" ca="1" si="84"/>
        <v>1</v>
      </c>
      <c r="I687" s="106" t="e">
        <f t="shared" ca="1" si="85"/>
        <v>#N/A</v>
      </c>
      <c r="J687" s="106" t="e">
        <f t="shared" ca="1" si="89"/>
        <v>#N/A</v>
      </c>
      <c r="K687" s="105" t="e">
        <f t="shared" ca="1" si="86"/>
        <v>#N/A</v>
      </c>
      <c r="L687" s="75"/>
    </row>
    <row r="688" spans="2:12">
      <c r="B688" s="101">
        <f t="shared" ca="1" si="87"/>
        <v>73204</v>
      </c>
      <c r="C688" s="101">
        <f t="shared" ca="1" si="88"/>
        <v>73233</v>
      </c>
      <c r="D688" s="102">
        <f t="shared" ca="1" si="83"/>
        <v>122.99520876112251</v>
      </c>
      <c r="E688" s="103">
        <f t="shared" ca="1" si="82"/>
        <v>0.4344428103229388</v>
      </c>
      <c r="F688" s="104" t="e">
        <f ca="1">IF($C$4="Hombre",(+VLOOKUP(INT(D688)+1,Tablas!$G$9:$K$1240,5,0)*(D688-INT(D688))+VLOOKUP(INT(D688),Tablas!$G$9:$K$1240,5,0)*(INT(D688)+1-D688))/(VLOOKUP(INT($C$5)+1,Tablas!$G$9:$K$1240,5,0)*($C$5-INT($C$5))+VLOOKUP(INT($C$5),Tablas!$G$9:$K$124,5,0)*(INT($C$5)+1-$C$5)),(+VLOOKUP(INT(D688)+1,Tablas!$G$9:$O$1240,9,0)*(D688-INT(D688))+VLOOKUP(INT(D688),Tablas!$G$9:$O$1240,9,0)*(INT(D688)+1-D688))/(VLOOKUP(INT($C$5)+1,Tablas!$G$9:$O$1240,9,0)*($C$5-INT($C$5))+VLOOKUP(INT($C$5),Tablas!$G$9:$O$124,9,0)*(INT($C$5)+1-$C$5)))</f>
        <v>#N/A</v>
      </c>
      <c r="G688" s="97" t="e">
        <f ca="1">IF($C$4="Hombre",(+VLOOKUP(INT(D688)+1,Tablas!$G$9:$K$1240,5,0)*(D688-INT(D688))+VLOOKUP(INT(D688),Tablas!$G$9:$K$1240,5,0)*(INT(D688)+1-D688)),+VLOOKUP(INT(D688)+1,Tablas!$G$9:$O$1240,9,0)*(D688-INT(D688))+VLOOKUP(INT(D688),Tablas!$G$9:$O$1240,9,0)*(INT(D688)+1-D688))</f>
        <v>#N/A</v>
      </c>
      <c r="H688" s="105">
        <f t="shared" ca="1" si="84"/>
        <v>1</v>
      </c>
      <c r="I688" s="106" t="e">
        <f t="shared" ca="1" si="85"/>
        <v>#N/A</v>
      </c>
      <c r="J688" s="106" t="e">
        <f t="shared" ca="1" si="89"/>
        <v>#N/A</v>
      </c>
      <c r="K688" s="105" t="e">
        <f t="shared" ca="1" si="86"/>
        <v>#N/A</v>
      </c>
      <c r="L688" s="75"/>
    </row>
    <row r="689" spans="2:12">
      <c r="B689" s="101">
        <f t="shared" ca="1" si="87"/>
        <v>73234</v>
      </c>
      <c r="C689" s="101">
        <f t="shared" ca="1" si="88"/>
        <v>73264</v>
      </c>
      <c r="D689" s="102">
        <f t="shared" ca="1" si="83"/>
        <v>123.08008213552361</v>
      </c>
      <c r="E689" s="103">
        <f t="shared" ca="1" si="82"/>
        <v>0.43389417477727238</v>
      </c>
      <c r="F689" s="104" t="e">
        <f ca="1">IF($C$4="Hombre",(+VLOOKUP(INT(D689)+1,Tablas!$G$9:$K$1240,5,0)*(D689-INT(D689))+VLOOKUP(INT(D689),Tablas!$G$9:$K$1240,5,0)*(INT(D689)+1-D689))/(VLOOKUP(INT($C$5)+1,Tablas!$G$9:$K$1240,5,0)*($C$5-INT($C$5))+VLOOKUP(INT($C$5),Tablas!$G$9:$K$124,5,0)*(INT($C$5)+1-$C$5)),(+VLOOKUP(INT(D689)+1,Tablas!$G$9:$O$1240,9,0)*(D689-INT(D689))+VLOOKUP(INT(D689),Tablas!$G$9:$O$1240,9,0)*(INT(D689)+1-D689))/(VLOOKUP(INT($C$5)+1,Tablas!$G$9:$O$1240,9,0)*($C$5-INT($C$5))+VLOOKUP(INT($C$5),Tablas!$G$9:$O$124,9,0)*(INT($C$5)+1-$C$5)))</f>
        <v>#N/A</v>
      </c>
      <c r="G689" s="97" t="e">
        <f ca="1">IF($C$4="Hombre",(+VLOOKUP(INT(D689)+1,Tablas!$G$9:$K$1240,5,0)*(D689-INT(D689))+VLOOKUP(INT(D689),Tablas!$G$9:$K$1240,5,0)*(INT(D689)+1-D689)),+VLOOKUP(INT(D689)+1,Tablas!$G$9:$O$1240,9,0)*(D689-INT(D689))+VLOOKUP(INT(D689),Tablas!$G$9:$O$1240,9,0)*(INT(D689)+1-D689))</f>
        <v>#N/A</v>
      </c>
      <c r="H689" s="105">
        <f t="shared" ca="1" si="84"/>
        <v>1</v>
      </c>
      <c r="I689" s="106" t="e">
        <f t="shared" ca="1" si="85"/>
        <v>#N/A</v>
      </c>
      <c r="J689" s="106" t="e">
        <f t="shared" ca="1" si="89"/>
        <v>#N/A</v>
      </c>
      <c r="K689" s="105" t="e">
        <f t="shared" ca="1" si="86"/>
        <v>#N/A</v>
      </c>
      <c r="L689" s="75"/>
    </row>
    <row r="690" spans="2:12">
      <c r="B690" s="101">
        <f t="shared" ca="1" si="87"/>
        <v>73265</v>
      </c>
      <c r="C690" s="101">
        <f t="shared" ca="1" si="88"/>
        <v>73295</v>
      </c>
      <c r="D690" s="102">
        <f t="shared" ca="1" si="83"/>
        <v>123.16495550992471</v>
      </c>
      <c r="E690" s="103">
        <f t="shared" ca="1" si="82"/>
        <v>0.43334623207530099</v>
      </c>
      <c r="F690" s="104" t="e">
        <f ca="1">IF($C$4="Hombre",(+VLOOKUP(INT(D690)+1,Tablas!$G$9:$K$1240,5,0)*(D690-INT(D690))+VLOOKUP(INT(D690),Tablas!$G$9:$K$1240,5,0)*(INT(D690)+1-D690))/(VLOOKUP(INT($C$5)+1,Tablas!$G$9:$K$1240,5,0)*($C$5-INT($C$5))+VLOOKUP(INT($C$5),Tablas!$G$9:$K$124,5,0)*(INT($C$5)+1-$C$5)),(+VLOOKUP(INT(D690)+1,Tablas!$G$9:$O$1240,9,0)*(D690-INT(D690))+VLOOKUP(INT(D690),Tablas!$G$9:$O$1240,9,0)*(INT(D690)+1-D690))/(VLOOKUP(INT($C$5)+1,Tablas!$G$9:$O$1240,9,0)*($C$5-INT($C$5))+VLOOKUP(INT($C$5),Tablas!$G$9:$O$124,9,0)*(INT($C$5)+1-$C$5)))</f>
        <v>#N/A</v>
      </c>
      <c r="G690" s="97" t="e">
        <f ca="1">IF($C$4="Hombre",(+VLOOKUP(INT(D690)+1,Tablas!$G$9:$K$1240,5,0)*(D690-INT(D690))+VLOOKUP(INT(D690),Tablas!$G$9:$K$1240,5,0)*(INT(D690)+1-D690)),+VLOOKUP(INT(D690)+1,Tablas!$G$9:$O$1240,9,0)*(D690-INT(D690))+VLOOKUP(INT(D690),Tablas!$G$9:$O$1240,9,0)*(INT(D690)+1-D690))</f>
        <v>#N/A</v>
      </c>
      <c r="H690" s="105">
        <f t="shared" ca="1" si="84"/>
        <v>1</v>
      </c>
      <c r="I690" s="106" t="e">
        <f t="shared" ca="1" si="85"/>
        <v>#N/A</v>
      </c>
      <c r="J690" s="106" t="e">
        <f t="shared" ca="1" si="89"/>
        <v>#N/A</v>
      </c>
      <c r="K690" s="105" t="e">
        <f t="shared" ca="1" si="86"/>
        <v>#N/A</v>
      </c>
      <c r="L690" s="75"/>
    </row>
    <row r="691" spans="2:12">
      <c r="B691" s="101">
        <f t="shared" ca="1" si="87"/>
        <v>73296</v>
      </c>
      <c r="C691" s="101">
        <f t="shared" ca="1" si="88"/>
        <v>73325</v>
      </c>
      <c r="D691" s="102">
        <f t="shared" ca="1" si="83"/>
        <v>123.24709103353867</v>
      </c>
      <c r="E691" s="103">
        <f t="shared" ca="1" si="82"/>
        <v>0.43281662379971564</v>
      </c>
      <c r="F691" s="104" t="e">
        <f ca="1">IF($C$4="Hombre",(+VLOOKUP(INT(D691)+1,Tablas!$G$9:$K$1240,5,0)*(D691-INT(D691))+VLOOKUP(INT(D691),Tablas!$G$9:$K$1240,5,0)*(INT(D691)+1-D691))/(VLOOKUP(INT($C$5)+1,Tablas!$G$9:$K$1240,5,0)*($C$5-INT($C$5))+VLOOKUP(INT($C$5),Tablas!$G$9:$K$124,5,0)*(INT($C$5)+1-$C$5)),(+VLOOKUP(INT(D691)+1,Tablas!$G$9:$O$1240,9,0)*(D691-INT(D691))+VLOOKUP(INT(D691),Tablas!$G$9:$O$1240,9,0)*(INT(D691)+1-D691))/(VLOOKUP(INT($C$5)+1,Tablas!$G$9:$O$1240,9,0)*($C$5-INT($C$5))+VLOOKUP(INT($C$5),Tablas!$G$9:$O$124,9,0)*(INT($C$5)+1-$C$5)))</f>
        <v>#N/A</v>
      </c>
      <c r="G691" s="97" t="e">
        <f ca="1">IF($C$4="Hombre",(+VLOOKUP(INT(D691)+1,Tablas!$G$9:$K$1240,5,0)*(D691-INT(D691))+VLOOKUP(INT(D691),Tablas!$G$9:$K$1240,5,0)*(INT(D691)+1-D691)),+VLOOKUP(INT(D691)+1,Tablas!$G$9:$O$1240,9,0)*(D691-INT(D691))+VLOOKUP(INT(D691),Tablas!$G$9:$O$1240,9,0)*(INT(D691)+1-D691))</f>
        <v>#N/A</v>
      </c>
      <c r="H691" s="105">
        <f t="shared" ca="1" si="84"/>
        <v>1</v>
      </c>
      <c r="I691" s="106" t="e">
        <f t="shared" ca="1" si="85"/>
        <v>#N/A</v>
      </c>
      <c r="J691" s="106" t="e">
        <f t="shared" ca="1" si="89"/>
        <v>#N/A</v>
      </c>
      <c r="K691" s="105" t="e">
        <f t="shared" ca="1" si="86"/>
        <v>#N/A</v>
      </c>
      <c r="L691" s="75"/>
    </row>
    <row r="692" spans="2:12">
      <c r="B692" s="101">
        <f t="shared" ca="1" si="87"/>
        <v>73326</v>
      </c>
      <c r="C692" s="101">
        <f t="shared" ca="1" si="88"/>
        <v>73356</v>
      </c>
      <c r="D692" s="102">
        <f t="shared" ca="1" si="83"/>
        <v>123.33196440793976</v>
      </c>
      <c r="E692" s="103">
        <f t="shared" ca="1" si="82"/>
        <v>0.43227004188161394</v>
      </c>
      <c r="F692" s="104" t="e">
        <f ca="1">IF($C$4="Hombre",(+VLOOKUP(INT(D692)+1,Tablas!$G$9:$K$1240,5,0)*(D692-INT(D692))+VLOOKUP(INT(D692),Tablas!$G$9:$K$1240,5,0)*(INT(D692)+1-D692))/(VLOOKUP(INT($C$5)+1,Tablas!$G$9:$K$1240,5,0)*($C$5-INT($C$5))+VLOOKUP(INT($C$5),Tablas!$G$9:$K$124,5,0)*(INT($C$5)+1-$C$5)),(+VLOOKUP(INT(D692)+1,Tablas!$G$9:$O$1240,9,0)*(D692-INT(D692))+VLOOKUP(INT(D692),Tablas!$G$9:$O$1240,9,0)*(INT(D692)+1-D692))/(VLOOKUP(INT($C$5)+1,Tablas!$G$9:$O$1240,9,0)*($C$5-INT($C$5))+VLOOKUP(INT($C$5),Tablas!$G$9:$O$124,9,0)*(INT($C$5)+1-$C$5)))</f>
        <v>#N/A</v>
      </c>
      <c r="G692" s="97" t="e">
        <f ca="1">IF($C$4="Hombre",(+VLOOKUP(INT(D692)+1,Tablas!$G$9:$K$1240,5,0)*(D692-INT(D692))+VLOOKUP(INT(D692),Tablas!$G$9:$K$1240,5,0)*(INT(D692)+1-D692)),+VLOOKUP(INT(D692)+1,Tablas!$G$9:$O$1240,9,0)*(D692-INT(D692))+VLOOKUP(INT(D692),Tablas!$G$9:$O$1240,9,0)*(INT(D692)+1-D692))</f>
        <v>#N/A</v>
      </c>
      <c r="H692" s="105">
        <f t="shared" ca="1" si="84"/>
        <v>1</v>
      </c>
      <c r="I692" s="106" t="e">
        <f t="shared" ca="1" si="85"/>
        <v>#N/A</v>
      </c>
      <c r="J692" s="106" t="e">
        <f t="shared" ca="1" si="89"/>
        <v>#N/A</v>
      </c>
      <c r="K692" s="105" t="e">
        <f t="shared" ca="1" si="86"/>
        <v>#N/A</v>
      </c>
      <c r="L692" s="75"/>
    </row>
    <row r="693" spans="2:12">
      <c r="B693" s="101">
        <f t="shared" ca="1" si="87"/>
        <v>73357</v>
      </c>
      <c r="C693" s="101">
        <f t="shared" ca="1" si="88"/>
        <v>73386</v>
      </c>
      <c r="D693" s="102">
        <f t="shared" ca="1" si="83"/>
        <v>123.41409993155374</v>
      </c>
      <c r="E693" s="103">
        <f t="shared" ca="1" si="82"/>
        <v>0.43174174885741529</v>
      </c>
      <c r="F693" s="104" t="e">
        <f ca="1">IF($C$4="Hombre",(+VLOOKUP(INT(D693)+1,Tablas!$G$9:$K$1240,5,0)*(D693-INT(D693))+VLOOKUP(INT(D693),Tablas!$G$9:$K$1240,5,0)*(INT(D693)+1-D693))/(VLOOKUP(INT($C$5)+1,Tablas!$G$9:$K$1240,5,0)*($C$5-INT($C$5))+VLOOKUP(INT($C$5),Tablas!$G$9:$K$124,5,0)*(INT($C$5)+1-$C$5)),(+VLOOKUP(INT(D693)+1,Tablas!$G$9:$O$1240,9,0)*(D693-INT(D693))+VLOOKUP(INT(D693),Tablas!$G$9:$O$1240,9,0)*(INT(D693)+1-D693))/(VLOOKUP(INT($C$5)+1,Tablas!$G$9:$O$1240,9,0)*($C$5-INT($C$5))+VLOOKUP(INT($C$5),Tablas!$G$9:$O$124,9,0)*(INT($C$5)+1-$C$5)))</f>
        <v>#N/A</v>
      </c>
      <c r="G693" s="97" t="e">
        <f ca="1">IF($C$4="Hombre",(+VLOOKUP(INT(D693)+1,Tablas!$G$9:$K$1240,5,0)*(D693-INT(D693))+VLOOKUP(INT(D693),Tablas!$G$9:$K$1240,5,0)*(INT(D693)+1-D693)),+VLOOKUP(INT(D693)+1,Tablas!$G$9:$O$1240,9,0)*(D693-INT(D693))+VLOOKUP(INT(D693),Tablas!$G$9:$O$1240,9,0)*(INT(D693)+1-D693))</f>
        <v>#N/A</v>
      </c>
      <c r="H693" s="105">
        <f t="shared" ca="1" si="84"/>
        <v>1</v>
      </c>
      <c r="I693" s="106" t="e">
        <f t="shared" ca="1" si="85"/>
        <v>#N/A</v>
      </c>
      <c r="J693" s="106" t="e">
        <f t="shared" ca="1" si="89"/>
        <v>#N/A</v>
      </c>
      <c r="K693" s="105" t="e">
        <f t="shared" ca="1" si="86"/>
        <v>#N/A</v>
      </c>
      <c r="L693" s="75"/>
    </row>
    <row r="694" spans="2:12">
      <c r="B694" s="101">
        <f t="shared" ca="1" si="87"/>
        <v>73387</v>
      </c>
      <c r="C694" s="101">
        <f t="shared" ca="1" si="88"/>
        <v>73417</v>
      </c>
      <c r="D694" s="102">
        <f t="shared" ca="1" si="83"/>
        <v>123.49897330595482</v>
      </c>
      <c r="E694" s="103">
        <f t="shared" ref="E694:E757" ca="1" si="90">IF($D$17+40&lt;=D694,(1+$D$7)^-(D694-$C$5),(1+$C$7)^-(D694-$C$5))</f>
        <v>0.43119652434375549</v>
      </c>
      <c r="F694" s="104" t="e">
        <f ca="1">IF($C$4="Hombre",(+VLOOKUP(INT(D694)+1,Tablas!$G$9:$K$1240,5,0)*(D694-INT(D694))+VLOOKUP(INT(D694),Tablas!$G$9:$K$1240,5,0)*(INT(D694)+1-D694))/(VLOOKUP(INT($C$5)+1,Tablas!$G$9:$K$1240,5,0)*($C$5-INT($C$5))+VLOOKUP(INT($C$5),Tablas!$G$9:$K$124,5,0)*(INT($C$5)+1-$C$5)),(+VLOOKUP(INT(D694)+1,Tablas!$G$9:$O$1240,9,0)*(D694-INT(D694))+VLOOKUP(INT(D694),Tablas!$G$9:$O$1240,9,0)*(INT(D694)+1-D694))/(VLOOKUP(INT($C$5)+1,Tablas!$G$9:$O$1240,9,0)*($C$5-INT($C$5))+VLOOKUP(INT($C$5),Tablas!$G$9:$O$124,9,0)*(INT($C$5)+1-$C$5)))</f>
        <v>#N/A</v>
      </c>
      <c r="G694" s="97" t="e">
        <f ca="1">IF($C$4="Hombre",(+VLOOKUP(INT(D694)+1,Tablas!$G$9:$K$1240,5,0)*(D694-INT(D694))+VLOOKUP(INT(D694),Tablas!$G$9:$K$1240,5,0)*(INT(D694)+1-D694)),+VLOOKUP(INT(D694)+1,Tablas!$G$9:$O$1240,9,0)*(D694-INT(D694))+VLOOKUP(INT(D694),Tablas!$G$9:$O$1240,9,0)*(INT(D694)+1-D694))</f>
        <v>#N/A</v>
      </c>
      <c r="H694" s="105">
        <f t="shared" ca="1" si="84"/>
        <v>1</v>
      </c>
      <c r="I694" s="106" t="e">
        <f t="shared" ca="1" si="85"/>
        <v>#N/A</v>
      </c>
      <c r="J694" s="106" t="e">
        <f t="shared" ca="1" si="89"/>
        <v>#N/A</v>
      </c>
      <c r="K694" s="105" t="e">
        <f t="shared" ca="1" si="86"/>
        <v>#N/A</v>
      </c>
      <c r="L694" s="75"/>
    </row>
    <row r="695" spans="2:12">
      <c r="B695" s="101">
        <f t="shared" ca="1" si="87"/>
        <v>73418</v>
      </c>
      <c r="C695" s="101">
        <f t="shared" ca="1" si="88"/>
        <v>73448</v>
      </c>
      <c r="D695" s="102">
        <f t="shared" ca="1" si="83"/>
        <v>123.58384668035592</v>
      </c>
      <c r="E695" s="103">
        <f t="shared" ca="1" si="90"/>
        <v>0.43065198836617324</v>
      </c>
      <c r="F695" s="104" t="e">
        <f ca="1">IF($C$4="Hombre",(+VLOOKUP(INT(D695)+1,Tablas!$G$9:$K$1240,5,0)*(D695-INT(D695))+VLOOKUP(INT(D695),Tablas!$G$9:$K$1240,5,0)*(INT(D695)+1-D695))/(VLOOKUP(INT($C$5)+1,Tablas!$G$9:$K$1240,5,0)*($C$5-INT($C$5))+VLOOKUP(INT($C$5),Tablas!$G$9:$K$124,5,0)*(INT($C$5)+1-$C$5)),(+VLOOKUP(INT(D695)+1,Tablas!$G$9:$O$1240,9,0)*(D695-INT(D695))+VLOOKUP(INT(D695),Tablas!$G$9:$O$1240,9,0)*(INT(D695)+1-D695))/(VLOOKUP(INT($C$5)+1,Tablas!$G$9:$O$1240,9,0)*($C$5-INT($C$5))+VLOOKUP(INT($C$5),Tablas!$G$9:$O$124,9,0)*(INT($C$5)+1-$C$5)))</f>
        <v>#N/A</v>
      </c>
      <c r="G695" s="97" t="e">
        <f ca="1">IF($C$4="Hombre",(+VLOOKUP(INT(D695)+1,Tablas!$G$9:$K$1240,5,0)*(D695-INT(D695))+VLOOKUP(INT(D695),Tablas!$G$9:$K$1240,5,0)*(INT(D695)+1-D695)),+VLOOKUP(INT(D695)+1,Tablas!$G$9:$O$1240,9,0)*(D695-INT(D695))+VLOOKUP(INT(D695),Tablas!$G$9:$O$1240,9,0)*(INT(D695)+1-D695))</f>
        <v>#N/A</v>
      </c>
      <c r="H695" s="105">
        <f t="shared" ca="1" si="84"/>
        <v>1</v>
      </c>
      <c r="I695" s="106" t="e">
        <f t="shared" ca="1" si="85"/>
        <v>#N/A</v>
      </c>
      <c r="J695" s="106" t="e">
        <f t="shared" ca="1" si="89"/>
        <v>#N/A</v>
      </c>
      <c r="K695" s="105" t="e">
        <f t="shared" ca="1" si="86"/>
        <v>#N/A</v>
      </c>
      <c r="L695" s="75"/>
    </row>
    <row r="696" spans="2:12">
      <c r="B696" s="101">
        <f t="shared" ca="1" si="87"/>
        <v>73449</v>
      </c>
      <c r="C696" s="101">
        <f t="shared" ca="1" si="88"/>
        <v>73476</v>
      </c>
      <c r="D696" s="102">
        <f t="shared" ca="1" si="83"/>
        <v>123.66050650239562</v>
      </c>
      <c r="E696" s="103">
        <f t="shared" ca="1" si="90"/>
        <v>0.43016074050684439</v>
      </c>
      <c r="F696" s="104" t="e">
        <f ca="1">IF($C$4="Hombre",(+VLOOKUP(INT(D696)+1,Tablas!$G$9:$K$1240,5,0)*(D696-INT(D696))+VLOOKUP(INT(D696),Tablas!$G$9:$K$1240,5,0)*(INT(D696)+1-D696))/(VLOOKUP(INT($C$5)+1,Tablas!$G$9:$K$1240,5,0)*($C$5-INT($C$5))+VLOOKUP(INT($C$5),Tablas!$G$9:$K$124,5,0)*(INT($C$5)+1-$C$5)),(+VLOOKUP(INT(D696)+1,Tablas!$G$9:$O$1240,9,0)*(D696-INT(D696))+VLOOKUP(INT(D696),Tablas!$G$9:$O$1240,9,0)*(INT(D696)+1-D696))/(VLOOKUP(INT($C$5)+1,Tablas!$G$9:$O$1240,9,0)*($C$5-INT($C$5))+VLOOKUP(INT($C$5),Tablas!$G$9:$O$124,9,0)*(INT($C$5)+1-$C$5)))</f>
        <v>#N/A</v>
      </c>
      <c r="G696" s="97" t="e">
        <f ca="1">IF($C$4="Hombre",(+VLOOKUP(INT(D696)+1,Tablas!$G$9:$K$1240,5,0)*(D696-INT(D696))+VLOOKUP(INT(D696),Tablas!$G$9:$K$1240,5,0)*(INT(D696)+1-D696)),+VLOOKUP(INT(D696)+1,Tablas!$G$9:$O$1240,9,0)*(D696-INT(D696))+VLOOKUP(INT(D696),Tablas!$G$9:$O$1240,9,0)*(INT(D696)+1-D696))</f>
        <v>#N/A</v>
      </c>
      <c r="H696" s="105">
        <f t="shared" ca="1" si="84"/>
        <v>1</v>
      </c>
      <c r="I696" s="106" t="e">
        <f t="shared" ca="1" si="85"/>
        <v>#N/A</v>
      </c>
      <c r="J696" s="106" t="e">
        <f t="shared" ca="1" si="89"/>
        <v>#N/A</v>
      </c>
      <c r="K696" s="105" t="e">
        <f t="shared" ca="1" si="86"/>
        <v>#N/A</v>
      </c>
      <c r="L696" s="75"/>
    </row>
    <row r="697" spans="2:12">
      <c r="B697" s="101">
        <f t="shared" ca="1" si="87"/>
        <v>73477</v>
      </c>
      <c r="C697" s="101">
        <f t="shared" ca="1" si="88"/>
        <v>73507</v>
      </c>
      <c r="D697" s="102">
        <f t="shared" ca="1" si="83"/>
        <v>123.74537987679672</v>
      </c>
      <c r="E697" s="103">
        <f t="shared" ca="1" si="90"/>
        <v>0.42961751256755176</v>
      </c>
      <c r="F697" s="104" t="e">
        <f ca="1">IF($C$4="Hombre",(+VLOOKUP(INT(D697)+1,Tablas!$G$9:$K$1240,5,0)*(D697-INT(D697))+VLOOKUP(INT(D697),Tablas!$G$9:$K$1240,5,0)*(INT(D697)+1-D697))/(VLOOKUP(INT($C$5)+1,Tablas!$G$9:$K$1240,5,0)*($C$5-INT($C$5))+VLOOKUP(INT($C$5),Tablas!$G$9:$K$124,5,0)*(INT($C$5)+1-$C$5)),(+VLOOKUP(INT(D697)+1,Tablas!$G$9:$O$1240,9,0)*(D697-INT(D697))+VLOOKUP(INT(D697),Tablas!$G$9:$O$1240,9,0)*(INT(D697)+1-D697))/(VLOOKUP(INT($C$5)+1,Tablas!$G$9:$O$1240,9,0)*($C$5-INT($C$5))+VLOOKUP(INT($C$5),Tablas!$G$9:$O$124,9,0)*(INT($C$5)+1-$C$5)))</f>
        <v>#N/A</v>
      </c>
      <c r="G697" s="97" t="e">
        <f ca="1">IF($C$4="Hombre",(+VLOOKUP(INT(D697)+1,Tablas!$G$9:$K$1240,5,0)*(D697-INT(D697))+VLOOKUP(INT(D697),Tablas!$G$9:$K$1240,5,0)*(INT(D697)+1-D697)),+VLOOKUP(INT(D697)+1,Tablas!$G$9:$O$1240,9,0)*(D697-INT(D697))+VLOOKUP(INT(D697),Tablas!$G$9:$O$1240,9,0)*(INT(D697)+1-D697))</f>
        <v>#N/A</v>
      </c>
      <c r="H697" s="105">
        <f t="shared" ca="1" si="84"/>
        <v>1</v>
      </c>
      <c r="I697" s="106" t="e">
        <f t="shared" ca="1" si="85"/>
        <v>#N/A</v>
      </c>
      <c r="J697" s="106" t="e">
        <f t="shared" ca="1" si="89"/>
        <v>#N/A</v>
      </c>
      <c r="K697" s="105" t="e">
        <f t="shared" ca="1" si="86"/>
        <v>#N/A</v>
      </c>
      <c r="L697" s="75"/>
    </row>
    <row r="698" spans="2:12">
      <c r="B698" s="101">
        <f t="shared" ca="1" si="87"/>
        <v>73508</v>
      </c>
      <c r="C698" s="101">
        <f t="shared" ca="1" si="88"/>
        <v>73537</v>
      </c>
      <c r="D698" s="102">
        <f t="shared" ca="1" si="83"/>
        <v>123.82751540041068</v>
      </c>
      <c r="E698" s="103">
        <f t="shared" ca="1" si="90"/>
        <v>0.42909246129641798</v>
      </c>
      <c r="F698" s="104" t="e">
        <f ca="1">IF($C$4="Hombre",(+VLOOKUP(INT(D698)+1,Tablas!$G$9:$K$1240,5,0)*(D698-INT(D698))+VLOOKUP(INT(D698),Tablas!$G$9:$K$1240,5,0)*(INT(D698)+1-D698))/(VLOOKUP(INT($C$5)+1,Tablas!$G$9:$K$1240,5,0)*($C$5-INT($C$5))+VLOOKUP(INT($C$5),Tablas!$G$9:$K$124,5,0)*(INT($C$5)+1-$C$5)),(+VLOOKUP(INT(D698)+1,Tablas!$G$9:$O$1240,9,0)*(D698-INT(D698))+VLOOKUP(INT(D698),Tablas!$G$9:$O$1240,9,0)*(INT(D698)+1-D698))/(VLOOKUP(INT($C$5)+1,Tablas!$G$9:$O$1240,9,0)*($C$5-INT($C$5))+VLOOKUP(INT($C$5),Tablas!$G$9:$O$124,9,0)*(INT($C$5)+1-$C$5)))</f>
        <v>#N/A</v>
      </c>
      <c r="G698" s="97" t="e">
        <f ca="1">IF($C$4="Hombre",(+VLOOKUP(INT(D698)+1,Tablas!$G$9:$K$1240,5,0)*(D698-INT(D698))+VLOOKUP(INT(D698),Tablas!$G$9:$K$1240,5,0)*(INT(D698)+1-D698)),+VLOOKUP(INT(D698)+1,Tablas!$G$9:$O$1240,9,0)*(D698-INT(D698))+VLOOKUP(INT(D698),Tablas!$G$9:$O$1240,9,0)*(INT(D698)+1-D698))</f>
        <v>#N/A</v>
      </c>
      <c r="H698" s="105">
        <f t="shared" ca="1" si="84"/>
        <v>1</v>
      </c>
      <c r="I698" s="106" t="e">
        <f t="shared" ca="1" si="85"/>
        <v>#N/A</v>
      </c>
      <c r="J698" s="106" t="e">
        <f t="shared" ca="1" si="89"/>
        <v>#N/A</v>
      </c>
      <c r="K698" s="105" t="e">
        <f t="shared" ca="1" si="86"/>
        <v>#N/A</v>
      </c>
      <c r="L698" s="75"/>
    </row>
    <row r="699" spans="2:12">
      <c r="B699" s="101">
        <f t="shared" ca="1" si="87"/>
        <v>73538</v>
      </c>
      <c r="C699" s="101">
        <f t="shared" ca="1" si="88"/>
        <v>73568</v>
      </c>
      <c r="D699" s="102">
        <f t="shared" ca="1" si="83"/>
        <v>123.91238877481177</v>
      </c>
      <c r="E699" s="103">
        <f t="shared" ca="1" si="90"/>
        <v>0.42855058243215577</v>
      </c>
      <c r="F699" s="104" t="e">
        <f ca="1">IF($C$4="Hombre",(+VLOOKUP(INT(D699)+1,Tablas!$G$9:$K$1240,5,0)*(D699-INT(D699))+VLOOKUP(INT(D699),Tablas!$G$9:$K$1240,5,0)*(INT(D699)+1-D699))/(VLOOKUP(INT($C$5)+1,Tablas!$G$9:$K$1240,5,0)*($C$5-INT($C$5))+VLOOKUP(INT($C$5),Tablas!$G$9:$K$124,5,0)*(INT($C$5)+1-$C$5)),(+VLOOKUP(INT(D699)+1,Tablas!$G$9:$O$1240,9,0)*(D699-INT(D699))+VLOOKUP(INT(D699),Tablas!$G$9:$O$1240,9,0)*(INT(D699)+1-D699))/(VLOOKUP(INT($C$5)+1,Tablas!$G$9:$O$1240,9,0)*($C$5-INT($C$5))+VLOOKUP(INT($C$5),Tablas!$G$9:$O$124,9,0)*(INT($C$5)+1-$C$5)))</f>
        <v>#N/A</v>
      </c>
      <c r="G699" s="97" t="e">
        <f ca="1">IF($C$4="Hombre",(+VLOOKUP(INT(D699)+1,Tablas!$G$9:$K$1240,5,0)*(D699-INT(D699))+VLOOKUP(INT(D699),Tablas!$G$9:$K$1240,5,0)*(INT(D699)+1-D699)),+VLOOKUP(INT(D699)+1,Tablas!$G$9:$O$1240,9,0)*(D699-INT(D699))+VLOOKUP(INT(D699),Tablas!$G$9:$O$1240,9,0)*(INT(D699)+1-D699))</f>
        <v>#N/A</v>
      </c>
      <c r="H699" s="105">
        <f t="shared" ca="1" si="84"/>
        <v>1</v>
      </c>
      <c r="I699" s="106" t="e">
        <f t="shared" ca="1" si="85"/>
        <v>#N/A</v>
      </c>
      <c r="J699" s="106" t="e">
        <f t="shared" ca="1" si="89"/>
        <v>#N/A</v>
      </c>
      <c r="K699" s="105" t="e">
        <f t="shared" ca="1" si="86"/>
        <v>#N/A</v>
      </c>
      <c r="L699" s="75"/>
    </row>
    <row r="700" spans="2:12">
      <c r="B700" s="101">
        <f t="shared" ca="1" si="87"/>
        <v>73569</v>
      </c>
      <c r="C700" s="101">
        <f t="shared" ca="1" si="88"/>
        <v>73598</v>
      </c>
      <c r="D700" s="102">
        <f t="shared" ca="1" si="83"/>
        <v>123.99452429842573</v>
      </c>
      <c r="E700" s="103">
        <f t="shared" ca="1" si="90"/>
        <v>0.428026835095353</v>
      </c>
      <c r="F700" s="104" t="e">
        <f ca="1">IF($C$4="Hombre",(+VLOOKUP(INT(D700)+1,Tablas!$G$9:$K$1240,5,0)*(D700-INT(D700))+VLOOKUP(INT(D700),Tablas!$G$9:$K$1240,5,0)*(INT(D700)+1-D700))/(VLOOKUP(INT($C$5)+1,Tablas!$G$9:$K$1240,5,0)*($C$5-INT($C$5))+VLOOKUP(INT($C$5),Tablas!$G$9:$K$124,5,0)*(INT($C$5)+1-$C$5)),(+VLOOKUP(INT(D700)+1,Tablas!$G$9:$O$1240,9,0)*(D700-INT(D700))+VLOOKUP(INT(D700),Tablas!$G$9:$O$1240,9,0)*(INT(D700)+1-D700))/(VLOOKUP(INT($C$5)+1,Tablas!$G$9:$O$1240,9,0)*($C$5-INT($C$5))+VLOOKUP(INT($C$5),Tablas!$G$9:$O$124,9,0)*(INT($C$5)+1-$C$5)))</f>
        <v>#N/A</v>
      </c>
      <c r="G700" s="97" t="e">
        <f ca="1">IF($C$4="Hombre",(+VLOOKUP(INT(D700)+1,Tablas!$G$9:$K$1240,5,0)*(D700-INT(D700))+VLOOKUP(INT(D700),Tablas!$G$9:$K$1240,5,0)*(INT(D700)+1-D700)),+VLOOKUP(INT(D700)+1,Tablas!$G$9:$O$1240,9,0)*(D700-INT(D700))+VLOOKUP(INT(D700),Tablas!$G$9:$O$1240,9,0)*(INT(D700)+1-D700))</f>
        <v>#N/A</v>
      </c>
      <c r="H700" s="105">
        <f t="shared" ca="1" si="84"/>
        <v>1</v>
      </c>
      <c r="I700" s="106" t="e">
        <f t="shared" ca="1" si="85"/>
        <v>#N/A</v>
      </c>
      <c r="J700" s="106" t="e">
        <f t="shared" ca="1" si="89"/>
        <v>#N/A</v>
      </c>
      <c r="K700" s="105" t="e">
        <f t="shared" ca="1" si="86"/>
        <v>#N/A</v>
      </c>
      <c r="L700" s="75"/>
    </row>
    <row r="701" spans="2:12">
      <c r="B701" s="101">
        <f t="shared" ca="1" si="87"/>
        <v>73599</v>
      </c>
      <c r="C701" s="101">
        <f t="shared" ca="1" si="88"/>
        <v>73629</v>
      </c>
      <c r="D701" s="102">
        <f t="shared" ca="1" si="83"/>
        <v>124.07939767282683</v>
      </c>
      <c r="E701" s="103">
        <f t="shared" ca="1" si="90"/>
        <v>0.42748630195577159</v>
      </c>
      <c r="F701" s="104" t="e">
        <f ca="1">IF($C$4="Hombre",(+VLOOKUP(INT(D701)+1,Tablas!$G$9:$K$1240,5,0)*(D701-INT(D701))+VLOOKUP(INT(D701),Tablas!$G$9:$K$1240,5,0)*(INT(D701)+1-D701))/(VLOOKUP(INT($C$5)+1,Tablas!$G$9:$K$1240,5,0)*($C$5-INT($C$5))+VLOOKUP(INT($C$5),Tablas!$G$9:$K$124,5,0)*(INT($C$5)+1-$C$5)),(+VLOOKUP(INT(D701)+1,Tablas!$G$9:$O$1240,9,0)*(D701-INT(D701))+VLOOKUP(INT(D701),Tablas!$G$9:$O$1240,9,0)*(INT(D701)+1-D701))/(VLOOKUP(INT($C$5)+1,Tablas!$G$9:$O$1240,9,0)*($C$5-INT($C$5))+VLOOKUP(INT($C$5),Tablas!$G$9:$O$124,9,0)*(INT($C$5)+1-$C$5)))</f>
        <v>#N/A</v>
      </c>
      <c r="G701" s="97" t="e">
        <f ca="1">IF($C$4="Hombre",(+VLOOKUP(INT(D701)+1,Tablas!$G$9:$K$1240,5,0)*(D701-INT(D701))+VLOOKUP(INT(D701),Tablas!$G$9:$K$1240,5,0)*(INT(D701)+1-D701)),+VLOOKUP(INT(D701)+1,Tablas!$G$9:$O$1240,9,0)*(D701-INT(D701))+VLOOKUP(INT(D701),Tablas!$G$9:$O$1240,9,0)*(INT(D701)+1-D701))</f>
        <v>#N/A</v>
      </c>
      <c r="H701" s="105">
        <f t="shared" ca="1" si="84"/>
        <v>1</v>
      </c>
      <c r="I701" s="106" t="e">
        <f t="shared" ca="1" si="85"/>
        <v>#N/A</v>
      </c>
      <c r="J701" s="106" t="e">
        <f t="shared" ca="1" si="89"/>
        <v>#N/A</v>
      </c>
      <c r="K701" s="105" t="e">
        <f t="shared" ca="1" si="86"/>
        <v>#N/A</v>
      </c>
      <c r="L701" s="75"/>
    </row>
    <row r="702" spans="2:12">
      <c r="B702" s="101">
        <f t="shared" ca="1" si="87"/>
        <v>73630</v>
      </c>
      <c r="C702" s="101">
        <f t="shared" ca="1" si="88"/>
        <v>73660</v>
      </c>
      <c r="D702" s="102">
        <f t="shared" ca="1" si="83"/>
        <v>124.16427104722793</v>
      </c>
      <c r="E702" s="103">
        <f t="shared" ca="1" si="90"/>
        <v>0.42694645142777216</v>
      </c>
      <c r="F702" s="104" t="e">
        <f ca="1">IF($C$4="Hombre",(+VLOOKUP(INT(D702)+1,Tablas!$G$9:$K$1240,5,0)*(D702-INT(D702))+VLOOKUP(INT(D702),Tablas!$G$9:$K$1240,5,0)*(INT(D702)+1-D702))/(VLOOKUP(INT($C$5)+1,Tablas!$G$9:$K$1240,5,0)*($C$5-INT($C$5))+VLOOKUP(INT($C$5),Tablas!$G$9:$K$124,5,0)*(INT($C$5)+1-$C$5)),(+VLOOKUP(INT(D702)+1,Tablas!$G$9:$O$1240,9,0)*(D702-INT(D702))+VLOOKUP(INT(D702),Tablas!$G$9:$O$1240,9,0)*(INT(D702)+1-D702))/(VLOOKUP(INT($C$5)+1,Tablas!$G$9:$O$1240,9,0)*($C$5-INT($C$5))+VLOOKUP(INT($C$5),Tablas!$G$9:$O$124,9,0)*(INT($C$5)+1-$C$5)))</f>
        <v>#N/A</v>
      </c>
      <c r="G702" s="97" t="e">
        <f ca="1">IF($C$4="Hombre",(+VLOOKUP(INT(D702)+1,Tablas!$G$9:$K$1240,5,0)*(D702-INT(D702))+VLOOKUP(INT(D702),Tablas!$G$9:$K$1240,5,0)*(INT(D702)+1-D702)),+VLOOKUP(INT(D702)+1,Tablas!$G$9:$O$1240,9,0)*(D702-INT(D702))+VLOOKUP(INT(D702),Tablas!$G$9:$O$1240,9,0)*(INT(D702)+1-D702))</f>
        <v>#N/A</v>
      </c>
      <c r="H702" s="105">
        <f t="shared" ca="1" si="84"/>
        <v>1</v>
      </c>
      <c r="I702" s="106" t="e">
        <f t="shared" ca="1" si="85"/>
        <v>#N/A</v>
      </c>
      <c r="J702" s="106" t="e">
        <f t="shared" ca="1" si="89"/>
        <v>#N/A</v>
      </c>
      <c r="K702" s="105" t="e">
        <f t="shared" ca="1" si="86"/>
        <v>#N/A</v>
      </c>
      <c r="L702" s="75"/>
    </row>
    <row r="703" spans="2:12">
      <c r="B703" s="101">
        <f t="shared" ca="1" si="87"/>
        <v>73661</v>
      </c>
      <c r="C703" s="101">
        <f t="shared" ca="1" si="88"/>
        <v>73690</v>
      </c>
      <c r="D703" s="102">
        <f t="shared" ca="1" si="83"/>
        <v>124.24640657084188</v>
      </c>
      <c r="E703" s="103">
        <f t="shared" ca="1" si="90"/>
        <v>0.42642466455812505</v>
      </c>
      <c r="F703" s="104" t="e">
        <f ca="1">IF($C$4="Hombre",(+VLOOKUP(INT(D703)+1,Tablas!$G$9:$K$1240,5,0)*(D703-INT(D703))+VLOOKUP(INT(D703),Tablas!$G$9:$K$1240,5,0)*(INT(D703)+1-D703))/(VLOOKUP(INT($C$5)+1,Tablas!$G$9:$K$1240,5,0)*($C$5-INT($C$5))+VLOOKUP(INT($C$5),Tablas!$G$9:$K$124,5,0)*(INT($C$5)+1-$C$5)),(+VLOOKUP(INT(D703)+1,Tablas!$G$9:$O$1240,9,0)*(D703-INT(D703))+VLOOKUP(INT(D703),Tablas!$G$9:$O$1240,9,0)*(INT(D703)+1-D703))/(VLOOKUP(INT($C$5)+1,Tablas!$G$9:$O$1240,9,0)*($C$5-INT($C$5))+VLOOKUP(INT($C$5),Tablas!$G$9:$O$124,9,0)*(INT($C$5)+1-$C$5)))</f>
        <v>#N/A</v>
      </c>
      <c r="G703" s="97" t="e">
        <f ca="1">IF($C$4="Hombre",(+VLOOKUP(INT(D703)+1,Tablas!$G$9:$K$1240,5,0)*(D703-INT(D703))+VLOOKUP(INT(D703),Tablas!$G$9:$K$1240,5,0)*(INT(D703)+1-D703)),+VLOOKUP(INT(D703)+1,Tablas!$G$9:$O$1240,9,0)*(D703-INT(D703))+VLOOKUP(INT(D703),Tablas!$G$9:$O$1240,9,0)*(INT(D703)+1-D703))</f>
        <v>#N/A</v>
      </c>
      <c r="H703" s="105">
        <f t="shared" ca="1" si="84"/>
        <v>1</v>
      </c>
      <c r="I703" s="106" t="e">
        <f t="shared" ca="1" si="85"/>
        <v>#N/A</v>
      </c>
      <c r="J703" s="106" t="e">
        <f t="shared" ca="1" si="89"/>
        <v>#N/A</v>
      </c>
      <c r="K703" s="105" t="e">
        <f t="shared" ca="1" si="86"/>
        <v>#N/A</v>
      </c>
      <c r="L703" s="75"/>
    </row>
    <row r="704" spans="2:12">
      <c r="B704" s="101">
        <f t="shared" ca="1" si="87"/>
        <v>73691</v>
      </c>
      <c r="C704" s="101">
        <f t="shared" ca="1" si="88"/>
        <v>73721</v>
      </c>
      <c r="D704" s="102">
        <f t="shared" ca="1" si="83"/>
        <v>124.33127994524298</v>
      </c>
      <c r="E704" s="103">
        <f t="shared" ca="1" si="90"/>
        <v>0.4258861547175512</v>
      </c>
      <c r="F704" s="104" t="e">
        <f ca="1">IF($C$4="Hombre",(+VLOOKUP(INT(D704)+1,Tablas!$G$9:$K$1240,5,0)*(D704-INT(D704))+VLOOKUP(INT(D704),Tablas!$G$9:$K$1240,5,0)*(INT(D704)+1-D704))/(VLOOKUP(INT($C$5)+1,Tablas!$G$9:$K$1240,5,0)*($C$5-INT($C$5))+VLOOKUP(INT($C$5),Tablas!$G$9:$K$124,5,0)*(INT($C$5)+1-$C$5)),(+VLOOKUP(INT(D704)+1,Tablas!$G$9:$O$1240,9,0)*(D704-INT(D704))+VLOOKUP(INT(D704),Tablas!$G$9:$O$1240,9,0)*(INT(D704)+1-D704))/(VLOOKUP(INT($C$5)+1,Tablas!$G$9:$O$1240,9,0)*($C$5-INT($C$5))+VLOOKUP(INT($C$5),Tablas!$G$9:$O$124,9,0)*(INT($C$5)+1-$C$5)))</f>
        <v>#N/A</v>
      </c>
      <c r="G704" s="97" t="e">
        <f ca="1">IF($C$4="Hombre",(+VLOOKUP(INT(D704)+1,Tablas!$G$9:$K$1240,5,0)*(D704-INT(D704))+VLOOKUP(INT(D704),Tablas!$G$9:$K$1240,5,0)*(INT(D704)+1-D704)),+VLOOKUP(INT(D704)+1,Tablas!$G$9:$O$1240,9,0)*(D704-INT(D704))+VLOOKUP(INT(D704),Tablas!$G$9:$O$1240,9,0)*(INT(D704)+1-D704))</f>
        <v>#N/A</v>
      </c>
      <c r="H704" s="105">
        <f t="shared" ca="1" si="84"/>
        <v>1</v>
      </c>
      <c r="I704" s="106" t="e">
        <f t="shared" ca="1" si="85"/>
        <v>#N/A</v>
      </c>
      <c r="J704" s="106" t="e">
        <f t="shared" ca="1" si="89"/>
        <v>#N/A</v>
      </c>
      <c r="K704" s="105" t="e">
        <f t="shared" ca="1" si="86"/>
        <v>#N/A</v>
      </c>
      <c r="L704" s="75"/>
    </row>
    <row r="705" spans="2:12">
      <c r="B705" s="101">
        <f t="shared" ca="1" si="87"/>
        <v>73722</v>
      </c>
      <c r="C705" s="101">
        <f t="shared" ca="1" si="88"/>
        <v>73751</v>
      </c>
      <c r="D705" s="102">
        <f t="shared" ca="1" si="83"/>
        <v>124.41341546885695</v>
      </c>
      <c r="E705" s="103">
        <f t="shared" ca="1" si="90"/>
        <v>0.42536566367528356</v>
      </c>
      <c r="F705" s="104" t="e">
        <f ca="1">IF($C$4="Hombre",(+VLOOKUP(INT(D705)+1,Tablas!$G$9:$K$1240,5,0)*(D705-INT(D705))+VLOOKUP(INT(D705),Tablas!$G$9:$K$1240,5,0)*(INT(D705)+1-D705))/(VLOOKUP(INT($C$5)+1,Tablas!$G$9:$K$1240,5,0)*($C$5-INT($C$5))+VLOOKUP(INT($C$5),Tablas!$G$9:$K$124,5,0)*(INT($C$5)+1-$C$5)),(+VLOOKUP(INT(D705)+1,Tablas!$G$9:$O$1240,9,0)*(D705-INT(D705))+VLOOKUP(INT(D705),Tablas!$G$9:$O$1240,9,0)*(INT(D705)+1-D705))/(VLOOKUP(INT($C$5)+1,Tablas!$G$9:$O$1240,9,0)*($C$5-INT($C$5))+VLOOKUP(INT($C$5),Tablas!$G$9:$O$124,9,0)*(INT($C$5)+1-$C$5)))</f>
        <v>#N/A</v>
      </c>
      <c r="G705" s="97" t="e">
        <f ca="1">IF($C$4="Hombre",(+VLOOKUP(INT(D705)+1,Tablas!$G$9:$K$1240,5,0)*(D705-INT(D705))+VLOOKUP(INT(D705),Tablas!$G$9:$K$1240,5,0)*(INT(D705)+1-D705)),+VLOOKUP(INT(D705)+1,Tablas!$G$9:$O$1240,9,0)*(D705-INT(D705))+VLOOKUP(INT(D705),Tablas!$G$9:$O$1240,9,0)*(INT(D705)+1-D705))</f>
        <v>#N/A</v>
      </c>
      <c r="H705" s="105">
        <f t="shared" ca="1" si="84"/>
        <v>1</v>
      </c>
      <c r="I705" s="106" t="e">
        <f t="shared" ca="1" si="85"/>
        <v>#N/A</v>
      </c>
      <c r="J705" s="106" t="e">
        <f t="shared" ca="1" si="89"/>
        <v>#N/A</v>
      </c>
      <c r="K705" s="105" t="e">
        <f t="shared" ca="1" si="86"/>
        <v>#N/A</v>
      </c>
      <c r="L705" s="75"/>
    </row>
    <row r="706" spans="2:12">
      <c r="B706" s="101">
        <f t="shared" ca="1" si="87"/>
        <v>73752</v>
      </c>
      <c r="C706" s="101">
        <f t="shared" ca="1" si="88"/>
        <v>73782</v>
      </c>
      <c r="D706" s="102">
        <f t="shared" ca="1" si="83"/>
        <v>124.49828884325804</v>
      </c>
      <c r="E706" s="103">
        <f t="shared" ca="1" si="90"/>
        <v>0.42482849119261606</v>
      </c>
      <c r="F706" s="104" t="e">
        <f ca="1">IF($C$4="Hombre",(+VLOOKUP(INT(D706)+1,Tablas!$G$9:$K$1240,5,0)*(D706-INT(D706))+VLOOKUP(INT(D706),Tablas!$G$9:$K$1240,5,0)*(INT(D706)+1-D706))/(VLOOKUP(INT($C$5)+1,Tablas!$G$9:$K$1240,5,0)*($C$5-INT($C$5))+VLOOKUP(INT($C$5),Tablas!$G$9:$K$124,5,0)*(INT($C$5)+1-$C$5)),(+VLOOKUP(INT(D706)+1,Tablas!$G$9:$O$1240,9,0)*(D706-INT(D706))+VLOOKUP(INT(D706),Tablas!$G$9:$O$1240,9,0)*(INT(D706)+1-D706))/(VLOOKUP(INT($C$5)+1,Tablas!$G$9:$O$1240,9,0)*($C$5-INT($C$5))+VLOOKUP(INT($C$5),Tablas!$G$9:$O$124,9,0)*(INT($C$5)+1-$C$5)))</f>
        <v>#N/A</v>
      </c>
      <c r="G706" s="97" t="e">
        <f ca="1">IF($C$4="Hombre",(+VLOOKUP(INT(D706)+1,Tablas!$G$9:$K$1240,5,0)*(D706-INT(D706))+VLOOKUP(INT(D706),Tablas!$G$9:$K$1240,5,0)*(INT(D706)+1-D706)),+VLOOKUP(INT(D706)+1,Tablas!$G$9:$O$1240,9,0)*(D706-INT(D706))+VLOOKUP(INT(D706),Tablas!$G$9:$O$1240,9,0)*(INT(D706)+1-D706))</f>
        <v>#N/A</v>
      </c>
      <c r="H706" s="105">
        <f t="shared" ca="1" si="84"/>
        <v>1</v>
      </c>
      <c r="I706" s="106" t="e">
        <f t="shared" ca="1" si="85"/>
        <v>#N/A</v>
      </c>
      <c r="J706" s="106" t="e">
        <f t="shared" ca="1" si="89"/>
        <v>#N/A</v>
      </c>
      <c r="K706" s="105" t="e">
        <f t="shared" ca="1" si="86"/>
        <v>#N/A</v>
      </c>
      <c r="L706" s="75"/>
    </row>
    <row r="707" spans="2:12">
      <c r="B707" s="101">
        <f t="shared" ca="1" si="87"/>
        <v>73783</v>
      </c>
      <c r="C707" s="101">
        <f t="shared" ca="1" si="88"/>
        <v>73813</v>
      </c>
      <c r="D707" s="102">
        <f t="shared" ca="1" si="83"/>
        <v>124.58316221765914</v>
      </c>
      <c r="E707" s="103">
        <f t="shared" ca="1" si="90"/>
        <v>0.42429199707752913</v>
      </c>
      <c r="F707" s="104" t="e">
        <f ca="1">IF($C$4="Hombre",(+VLOOKUP(INT(D707)+1,Tablas!$G$9:$K$1240,5,0)*(D707-INT(D707))+VLOOKUP(INT(D707),Tablas!$G$9:$K$1240,5,0)*(INT(D707)+1-D707))/(VLOOKUP(INT($C$5)+1,Tablas!$G$9:$K$1240,5,0)*($C$5-INT($C$5))+VLOOKUP(INT($C$5),Tablas!$G$9:$K$124,5,0)*(INT($C$5)+1-$C$5)),(+VLOOKUP(INT(D707)+1,Tablas!$G$9:$O$1240,9,0)*(D707-INT(D707))+VLOOKUP(INT(D707),Tablas!$G$9:$O$1240,9,0)*(INT(D707)+1-D707))/(VLOOKUP(INT($C$5)+1,Tablas!$G$9:$O$1240,9,0)*($C$5-INT($C$5))+VLOOKUP(INT($C$5),Tablas!$G$9:$O$124,9,0)*(INT($C$5)+1-$C$5)))</f>
        <v>#N/A</v>
      </c>
      <c r="G707" s="97" t="e">
        <f ca="1">IF($C$4="Hombre",(+VLOOKUP(INT(D707)+1,Tablas!$G$9:$K$1240,5,0)*(D707-INT(D707))+VLOOKUP(INT(D707),Tablas!$G$9:$K$1240,5,0)*(INT(D707)+1-D707)),+VLOOKUP(INT(D707)+1,Tablas!$G$9:$O$1240,9,0)*(D707-INT(D707))+VLOOKUP(INT(D707),Tablas!$G$9:$O$1240,9,0)*(INT(D707)+1-D707))</f>
        <v>#N/A</v>
      </c>
      <c r="H707" s="105">
        <f t="shared" ca="1" si="84"/>
        <v>1</v>
      </c>
      <c r="I707" s="106" t="e">
        <f t="shared" ca="1" si="85"/>
        <v>#N/A</v>
      </c>
      <c r="J707" s="106" t="e">
        <f t="shared" ca="1" si="89"/>
        <v>#N/A</v>
      </c>
      <c r="K707" s="105" t="e">
        <f t="shared" ca="1" si="86"/>
        <v>#N/A</v>
      </c>
      <c r="L707" s="75"/>
    </row>
    <row r="708" spans="2:12">
      <c r="B708" s="101">
        <f t="shared" ca="1" si="87"/>
        <v>73814</v>
      </c>
      <c r="C708" s="101">
        <f t="shared" ca="1" si="88"/>
        <v>73841</v>
      </c>
      <c r="D708" s="102">
        <f t="shared" ca="1" si="83"/>
        <v>124.65982203969884</v>
      </c>
      <c r="E708" s="103">
        <f t="shared" ca="1" si="90"/>
        <v>0.42380800410657943</v>
      </c>
      <c r="F708" s="104" t="e">
        <f ca="1">IF($C$4="Hombre",(+VLOOKUP(INT(D708)+1,Tablas!$G$9:$K$1240,5,0)*(D708-INT(D708))+VLOOKUP(INT(D708),Tablas!$G$9:$K$1240,5,0)*(INT(D708)+1-D708))/(VLOOKUP(INT($C$5)+1,Tablas!$G$9:$K$1240,5,0)*($C$5-INT($C$5))+VLOOKUP(INT($C$5),Tablas!$G$9:$K$124,5,0)*(INT($C$5)+1-$C$5)),(+VLOOKUP(INT(D708)+1,Tablas!$G$9:$O$1240,9,0)*(D708-INT(D708))+VLOOKUP(INT(D708),Tablas!$G$9:$O$1240,9,0)*(INT(D708)+1-D708))/(VLOOKUP(INT($C$5)+1,Tablas!$G$9:$O$1240,9,0)*($C$5-INT($C$5))+VLOOKUP(INT($C$5),Tablas!$G$9:$O$124,9,0)*(INT($C$5)+1-$C$5)))</f>
        <v>#N/A</v>
      </c>
      <c r="G708" s="97" t="e">
        <f ca="1">IF($C$4="Hombre",(+VLOOKUP(INT(D708)+1,Tablas!$G$9:$K$1240,5,0)*(D708-INT(D708))+VLOOKUP(INT(D708),Tablas!$G$9:$K$1240,5,0)*(INT(D708)+1-D708)),+VLOOKUP(INT(D708)+1,Tablas!$G$9:$O$1240,9,0)*(D708-INT(D708))+VLOOKUP(INT(D708),Tablas!$G$9:$O$1240,9,0)*(INT(D708)+1-D708))</f>
        <v>#N/A</v>
      </c>
      <c r="H708" s="105">
        <f t="shared" ca="1" si="84"/>
        <v>1</v>
      </c>
      <c r="I708" s="106" t="e">
        <f t="shared" ca="1" si="85"/>
        <v>#N/A</v>
      </c>
      <c r="J708" s="106" t="e">
        <f t="shared" ca="1" si="89"/>
        <v>#N/A</v>
      </c>
      <c r="K708" s="105" t="e">
        <f t="shared" ca="1" si="86"/>
        <v>#N/A</v>
      </c>
      <c r="L708" s="75"/>
    </row>
    <row r="709" spans="2:12">
      <c r="B709" s="101">
        <f t="shared" ca="1" si="87"/>
        <v>73842</v>
      </c>
      <c r="C709" s="101">
        <f t="shared" ca="1" si="88"/>
        <v>73872</v>
      </c>
      <c r="D709" s="102">
        <f t="shared" ca="1" si="83"/>
        <v>124.74469541409994</v>
      </c>
      <c r="E709" s="103">
        <f t="shared" ca="1" si="90"/>
        <v>0.42327279871229995</v>
      </c>
      <c r="F709" s="104" t="e">
        <f ca="1">IF($C$4="Hombre",(+VLOOKUP(INT(D709)+1,Tablas!$G$9:$K$1240,5,0)*(D709-INT(D709))+VLOOKUP(INT(D709),Tablas!$G$9:$K$1240,5,0)*(INT(D709)+1-D709))/(VLOOKUP(INT($C$5)+1,Tablas!$G$9:$K$1240,5,0)*($C$5-INT($C$5))+VLOOKUP(INT($C$5),Tablas!$G$9:$K$124,5,0)*(INT($C$5)+1-$C$5)),(+VLOOKUP(INT(D709)+1,Tablas!$G$9:$O$1240,9,0)*(D709-INT(D709))+VLOOKUP(INT(D709),Tablas!$G$9:$O$1240,9,0)*(INT(D709)+1-D709))/(VLOOKUP(INT($C$5)+1,Tablas!$G$9:$O$1240,9,0)*($C$5-INT($C$5))+VLOOKUP(INT($C$5),Tablas!$G$9:$O$124,9,0)*(INT($C$5)+1-$C$5)))</f>
        <v>#N/A</v>
      </c>
      <c r="G709" s="97" t="e">
        <f ca="1">IF($C$4="Hombre",(+VLOOKUP(INT(D709)+1,Tablas!$G$9:$K$1240,5,0)*(D709-INT(D709))+VLOOKUP(INT(D709),Tablas!$G$9:$K$1240,5,0)*(INT(D709)+1-D709)),+VLOOKUP(INT(D709)+1,Tablas!$G$9:$O$1240,9,0)*(D709-INT(D709))+VLOOKUP(INT(D709),Tablas!$G$9:$O$1240,9,0)*(INT(D709)+1-D709))</f>
        <v>#N/A</v>
      </c>
      <c r="H709" s="105">
        <f t="shared" ca="1" si="84"/>
        <v>1</v>
      </c>
      <c r="I709" s="106" t="e">
        <f t="shared" ca="1" si="85"/>
        <v>#N/A</v>
      </c>
      <c r="J709" s="106" t="e">
        <f t="shared" ca="1" si="89"/>
        <v>#N/A</v>
      </c>
      <c r="K709" s="105" t="e">
        <f t="shared" ca="1" si="86"/>
        <v>#N/A</v>
      </c>
      <c r="L709" s="75"/>
    </row>
    <row r="710" spans="2:12">
      <c r="B710" s="101">
        <f t="shared" ca="1" si="87"/>
        <v>73873</v>
      </c>
      <c r="C710" s="101">
        <f t="shared" ca="1" si="88"/>
        <v>73902</v>
      </c>
      <c r="D710" s="102">
        <f t="shared" ca="1" si="83"/>
        <v>124.82683093771389</v>
      </c>
      <c r="E710" s="103">
        <f t="shared" ca="1" si="90"/>
        <v>0.4227555015479641</v>
      </c>
      <c r="F710" s="104" t="e">
        <f ca="1">IF($C$4="Hombre",(+VLOOKUP(INT(D710)+1,Tablas!$G$9:$K$1240,5,0)*(D710-INT(D710))+VLOOKUP(INT(D710),Tablas!$G$9:$K$1240,5,0)*(INT(D710)+1-D710))/(VLOOKUP(INT($C$5)+1,Tablas!$G$9:$K$1240,5,0)*($C$5-INT($C$5))+VLOOKUP(INT($C$5),Tablas!$G$9:$K$124,5,0)*(INT($C$5)+1-$C$5)),(+VLOOKUP(INT(D710)+1,Tablas!$G$9:$O$1240,9,0)*(D710-INT(D710))+VLOOKUP(INT(D710),Tablas!$G$9:$O$1240,9,0)*(INT(D710)+1-D710))/(VLOOKUP(INT($C$5)+1,Tablas!$G$9:$O$1240,9,0)*($C$5-INT($C$5))+VLOOKUP(INT($C$5),Tablas!$G$9:$O$124,9,0)*(INT($C$5)+1-$C$5)))</f>
        <v>#N/A</v>
      </c>
      <c r="G710" s="97" t="e">
        <f ca="1">IF($C$4="Hombre",(+VLOOKUP(INT(D710)+1,Tablas!$G$9:$K$1240,5,0)*(D710-INT(D710))+VLOOKUP(INT(D710),Tablas!$G$9:$K$1240,5,0)*(INT(D710)+1-D710)),+VLOOKUP(INT(D710)+1,Tablas!$G$9:$O$1240,9,0)*(D710-INT(D710))+VLOOKUP(INT(D710),Tablas!$G$9:$O$1240,9,0)*(INT(D710)+1-D710))</f>
        <v>#N/A</v>
      </c>
      <c r="H710" s="105">
        <f t="shared" ca="1" si="84"/>
        <v>1</v>
      </c>
      <c r="I710" s="106" t="e">
        <f t="shared" ca="1" si="85"/>
        <v>#N/A</v>
      </c>
      <c r="J710" s="106" t="e">
        <f t="shared" ca="1" si="89"/>
        <v>#N/A</v>
      </c>
      <c r="K710" s="105" t="e">
        <f t="shared" ca="1" si="86"/>
        <v>#N/A</v>
      </c>
      <c r="L710" s="75"/>
    </row>
    <row r="711" spans="2:12">
      <c r="B711" s="101">
        <f t="shared" ca="1" si="87"/>
        <v>73903</v>
      </c>
      <c r="C711" s="101">
        <f t="shared" ca="1" si="88"/>
        <v>73933</v>
      </c>
      <c r="D711" s="102">
        <f t="shared" ca="1" si="83"/>
        <v>124.91170431211499</v>
      </c>
      <c r="E711" s="103">
        <f t="shared" ca="1" si="90"/>
        <v>0.42222162530519047</v>
      </c>
      <c r="F711" s="104" t="e">
        <f ca="1">IF($C$4="Hombre",(+VLOOKUP(INT(D711)+1,Tablas!$G$9:$K$1240,5,0)*(D711-INT(D711))+VLOOKUP(INT(D711),Tablas!$G$9:$K$1240,5,0)*(INT(D711)+1-D711))/(VLOOKUP(INT($C$5)+1,Tablas!$G$9:$K$1240,5,0)*($C$5-INT($C$5))+VLOOKUP(INT($C$5),Tablas!$G$9:$K$124,5,0)*(INT($C$5)+1-$C$5)),(+VLOOKUP(INT(D711)+1,Tablas!$G$9:$O$1240,9,0)*(D711-INT(D711))+VLOOKUP(INT(D711),Tablas!$G$9:$O$1240,9,0)*(INT(D711)+1-D711))/(VLOOKUP(INT($C$5)+1,Tablas!$G$9:$O$1240,9,0)*($C$5-INT($C$5))+VLOOKUP(INT($C$5),Tablas!$G$9:$O$124,9,0)*(INT($C$5)+1-$C$5)))</f>
        <v>#N/A</v>
      </c>
      <c r="G711" s="97" t="e">
        <f ca="1">IF($C$4="Hombre",(+VLOOKUP(INT(D711)+1,Tablas!$G$9:$K$1240,5,0)*(D711-INT(D711))+VLOOKUP(INT(D711),Tablas!$G$9:$K$1240,5,0)*(INT(D711)+1-D711)),+VLOOKUP(INT(D711)+1,Tablas!$G$9:$O$1240,9,0)*(D711-INT(D711))+VLOOKUP(INT(D711),Tablas!$G$9:$O$1240,9,0)*(INT(D711)+1-D711))</f>
        <v>#N/A</v>
      </c>
      <c r="H711" s="105">
        <f t="shared" ca="1" si="84"/>
        <v>1</v>
      </c>
      <c r="I711" s="106" t="e">
        <f t="shared" ca="1" si="85"/>
        <v>#N/A</v>
      </c>
      <c r="J711" s="106" t="e">
        <f t="shared" ca="1" si="89"/>
        <v>#N/A</v>
      </c>
      <c r="K711" s="105" t="e">
        <f t="shared" ca="1" si="86"/>
        <v>#N/A</v>
      </c>
      <c r="L711" s="75"/>
    </row>
    <row r="712" spans="2:12">
      <c r="B712" s="101">
        <f t="shared" ca="1" si="87"/>
        <v>73934</v>
      </c>
      <c r="C712" s="101">
        <f t="shared" ca="1" si="88"/>
        <v>73963</v>
      </c>
      <c r="D712" s="102">
        <f t="shared" ca="1" si="83"/>
        <v>124.99383983572895</v>
      </c>
      <c r="E712" s="103">
        <f t="shared" ca="1" si="90"/>
        <v>0.42170561281831176</v>
      </c>
      <c r="F712" s="104" t="e">
        <f ca="1">IF($C$4="Hombre",(+VLOOKUP(INT(D712)+1,Tablas!$G$9:$K$1240,5,0)*(D712-INT(D712))+VLOOKUP(INT(D712),Tablas!$G$9:$K$1240,5,0)*(INT(D712)+1-D712))/(VLOOKUP(INT($C$5)+1,Tablas!$G$9:$K$1240,5,0)*($C$5-INT($C$5))+VLOOKUP(INT($C$5),Tablas!$G$9:$K$124,5,0)*(INT($C$5)+1-$C$5)),(+VLOOKUP(INT(D712)+1,Tablas!$G$9:$O$1240,9,0)*(D712-INT(D712))+VLOOKUP(INT(D712),Tablas!$G$9:$O$1240,9,0)*(INT(D712)+1-D712))/(VLOOKUP(INT($C$5)+1,Tablas!$G$9:$O$1240,9,0)*($C$5-INT($C$5))+VLOOKUP(INT($C$5),Tablas!$G$9:$O$124,9,0)*(INT($C$5)+1-$C$5)))</f>
        <v>#N/A</v>
      </c>
      <c r="G712" s="97" t="e">
        <f ca="1">IF($C$4="Hombre",(+VLOOKUP(INT(D712)+1,Tablas!$G$9:$K$1240,5,0)*(D712-INT(D712))+VLOOKUP(INT(D712),Tablas!$G$9:$K$1240,5,0)*(INT(D712)+1-D712)),+VLOOKUP(INT(D712)+1,Tablas!$G$9:$O$1240,9,0)*(D712-INT(D712))+VLOOKUP(INT(D712),Tablas!$G$9:$O$1240,9,0)*(INT(D712)+1-D712))</f>
        <v>#N/A</v>
      </c>
      <c r="H712" s="105">
        <f t="shared" ca="1" si="84"/>
        <v>1</v>
      </c>
      <c r="I712" s="106" t="e">
        <f t="shared" ca="1" si="85"/>
        <v>#N/A</v>
      </c>
      <c r="J712" s="106" t="e">
        <f t="shared" ca="1" si="89"/>
        <v>#N/A</v>
      </c>
      <c r="K712" s="105" t="e">
        <f t="shared" ca="1" si="86"/>
        <v>#N/A</v>
      </c>
      <c r="L712" s="75"/>
    </row>
    <row r="713" spans="2:12">
      <c r="B713" s="101">
        <f t="shared" ca="1" si="87"/>
        <v>73964</v>
      </c>
      <c r="C713" s="101">
        <f t="shared" ca="1" si="88"/>
        <v>73994</v>
      </c>
      <c r="D713" s="102">
        <f t="shared" ca="1" si="83"/>
        <v>125.07871321013005</v>
      </c>
      <c r="E713" s="103">
        <f t="shared" ca="1" si="90"/>
        <v>0.42117306242617342</v>
      </c>
      <c r="F713" s="104" t="e">
        <f ca="1">IF($C$4="Hombre",(+VLOOKUP(INT(D713)+1,Tablas!$G$9:$K$1240,5,0)*(D713-INT(D713))+VLOOKUP(INT(D713),Tablas!$G$9:$K$1240,5,0)*(INT(D713)+1-D713))/(VLOOKUP(INT($C$5)+1,Tablas!$G$9:$K$1240,5,0)*($C$5-INT($C$5))+VLOOKUP(INT($C$5),Tablas!$G$9:$K$124,5,0)*(INT($C$5)+1-$C$5)),(+VLOOKUP(INT(D713)+1,Tablas!$G$9:$O$1240,9,0)*(D713-INT(D713))+VLOOKUP(INT(D713),Tablas!$G$9:$O$1240,9,0)*(INT(D713)+1-D713))/(VLOOKUP(INT($C$5)+1,Tablas!$G$9:$O$1240,9,0)*($C$5-INT($C$5))+VLOOKUP(INT($C$5),Tablas!$G$9:$O$124,9,0)*(INT($C$5)+1-$C$5)))</f>
        <v>#N/A</v>
      </c>
      <c r="G713" s="97" t="e">
        <f ca="1">IF($C$4="Hombre",(+VLOOKUP(INT(D713)+1,Tablas!$G$9:$K$1240,5,0)*(D713-INT(D713))+VLOOKUP(INT(D713),Tablas!$G$9:$K$1240,5,0)*(INT(D713)+1-D713)),+VLOOKUP(INT(D713)+1,Tablas!$G$9:$O$1240,9,0)*(D713-INT(D713))+VLOOKUP(INT(D713),Tablas!$G$9:$O$1240,9,0)*(INT(D713)+1-D713))</f>
        <v>#N/A</v>
      </c>
      <c r="H713" s="105">
        <f t="shared" ca="1" si="84"/>
        <v>1</v>
      </c>
      <c r="I713" s="106" t="e">
        <f t="shared" ca="1" si="85"/>
        <v>#N/A</v>
      </c>
      <c r="J713" s="106" t="e">
        <f t="shared" ca="1" si="89"/>
        <v>#N/A</v>
      </c>
      <c r="K713" s="105" t="e">
        <f t="shared" ca="1" si="86"/>
        <v>#N/A</v>
      </c>
      <c r="L713" s="75"/>
    </row>
    <row r="714" spans="2:12">
      <c r="B714" s="101">
        <f t="shared" ca="1" si="87"/>
        <v>73995</v>
      </c>
      <c r="C714" s="101">
        <f t="shared" ca="1" si="88"/>
        <v>74025</v>
      </c>
      <c r="D714" s="102">
        <f t="shared" ca="1" si="83"/>
        <v>125.16358658453115</v>
      </c>
      <c r="E714" s="103">
        <f t="shared" ca="1" si="90"/>
        <v>0.42064118456461458</v>
      </c>
      <c r="F714" s="104" t="e">
        <f ca="1">IF($C$4="Hombre",(+VLOOKUP(INT(D714)+1,Tablas!$G$9:$K$1240,5,0)*(D714-INT(D714))+VLOOKUP(INT(D714),Tablas!$G$9:$K$1240,5,0)*(INT(D714)+1-D714))/(VLOOKUP(INT($C$5)+1,Tablas!$G$9:$K$1240,5,0)*($C$5-INT($C$5))+VLOOKUP(INT($C$5),Tablas!$G$9:$K$124,5,0)*(INT($C$5)+1-$C$5)),(+VLOOKUP(INT(D714)+1,Tablas!$G$9:$O$1240,9,0)*(D714-INT(D714))+VLOOKUP(INT(D714),Tablas!$G$9:$O$1240,9,0)*(INT(D714)+1-D714))/(VLOOKUP(INT($C$5)+1,Tablas!$G$9:$O$1240,9,0)*($C$5-INT($C$5))+VLOOKUP(INT($C$5),Tablas!$G$9:$O$124,9,0)*(INT($C$5)+1-$C$5)))</f>
        <v>#N/A</v>
      </c>
      <c r="G714" s="97" t="e">
        <f ca="1">IF($C$4="Hombre",(+VLOOKUP(INT(D714)+1,Tablas!$G$9:$K$1240,5,0)*(D714-INT(D714))+VLOOKUP(INT(D714),Tablas!$G$9:$K$1240,5,0)*(INT(D714)+1-D714)),+VLOOKUP(INT(D714)+1,Tablas!$G$9:$O$1240,9,0)*(D714-INT(D714))+VLOOKUP(INT(D714),Tablas!$G$9:$O$1240,9,0)*(INT(D714)+1-D714))</f>
        <v>#N/A</v>
      </c>
      <c r="H714" s="105">
        <f t="shared" ca="1" si="84"/>
        <v>1</v>
      </c>
      <c r="I714" s="106" t="e">
        <f t="shared" ca="1" si="85"/>
        <v>#N/A</v>
      </c>
      <c r="J714" s="106" t="e">
        <f t="shared" ca="1" si="89"/>
        <v>#N/A</v>
      </c>
      <c r="K714" s="105" t="e">
        <f t="shared" ca="1" si="86"/>
        <v>#N/A</v>
      </c>
      <c r="L714" s="75"/>
    </row>
    <row r="715" spans="2:12">
      <c r="B715" s="101">
        <f t="shared" ca="1" si="87"/>
        <v>74026</v>
      </c>
      <c r="C715" s="101">
        <f t="shared" ca="1" si="88"/>
        <v>74055</v>
      </c>
      <c r="D715" s="102">
        <f t="shared" ca="1" si="83"/>
        <v>125.2457221081451</v>
      </c>
      <c r="E715" s="103">
        <f t="shared" ca="1" si="90"/>
        <v>0.42012710359215399</v>
      </c>
      <c r="F715" s="104" t="e">
        <f ca="1">IF($C$4="Hombre",(+VLOOKUP(INT(D715)+1,Tablas!$G$9:$K$1240,5,0)*(D715-INT(D715))+VLOOKUP(INT(D715),Tablas!$G$9:$K$1240,5,0)*(INT(D715)+1-D715))/(VLOOKUP(INT($C$5)+1,Tablas!$G$9:$K$1240,5,0)*($C$5-INT($C$5))+VLOOKUP(INT($C$5),Tablas!$G$9:$K$124,5,0)*(INT($C$5)+1-$C$5)),(+VLOOKUP(INT(D715)+1,Tablas!$G$9:$O$1240,9,0)*(D715-INT(D715))+VLOOKUP(INT(D715),Tablas!$G$9:$O$1240,9,0)*(INT(D715)+1-D715))/(VLOOKUP(INT($C$5)+1,Tablas!$G$9:$O$1240,9,0)*($C$5-INT($C$5))+VLOOKUP(INT($C$5),Tablas!$G$9:$O$124,9,0)*(INT($C$5)+1-$C$5)))</f>
        <v>#N/A</v>
      </c>
      <c r="G715" s="97" t="e">
        <f ca="1">IF($C$4="Hombre",(+VLOOKUP(INT(D715)+1,Tablas!$G$9:$K$1240,5,0)*(D715-INT(D715))+VLOOKUP(INT(D715),Tablas!$G$9:$K$1240,5,0)*(INT(D715)+1-D715)),+VLOOKUP(INT(D715)+1,Tablas!$G$9:$O$1240,9,0)*(D715-INT(D715))+VLOOKUP(INT(D715),Tablas!$G$9:$O$1240,9,0)*(INT(D715)+1-D715))</f>
        <v>#N/A</v>
      </c>
      <c r="H715" s="105">
        <f t="shared" ca="1" si="84"/>
        <v>1</v>
      </c>
      <c r="I715" s="106" t="e">
        <f t="shared" ca="1" si="85"/>
        <v>#N/A</v>
      </c>
      <c r="J715" s="106" t="e">
        <f t="shared" ca="1" si="89"/>
        <v>#N/A</v>
      </c>
      <c r="K715" s="105" t="e">
        <f t="shared" ca="1" si="86"/>
        <v>#N/A</v>
      </c>
      <c r="L715" s="75"/>
    </row>
    <row r="716" spans="2:12">
      <c r="B716" s="101">
        <f t="shared" ca="1" si="87"/>
        <v>74056</v>
      </c>
      <c r="C716" s="101">
        <f t="shared" ca="1" si="88"/>
        <v>74086</v>
      </c>
      <c r="D716" s="102">
        <f t="shared" ca="1" si="83"/>
        <v>125.3305954825462</v>
      </c>
      <c r="E716" s="103">
        <f t="shared" ca="1" si="90"/>
        <v>0.41959654661836676</v>
      </c>
      <c r="F716" s="104" t="e">
        <f ca="1">IF($C$4="Hombre",(+VLOOKUP(INT(D716)+1,Tablas!$G$9:$K$1240,5,0)*(D716-INT(D716))+VLOOKUP(INT(D716),Tablas!$G$9:$K$1240,5,0)*(INT(D716)+1-D716))/(VLOOKUP(INT($C$5)+1,Tablas!$G$9:$K$1240,5,0)*($C$5-INT($C$5))+VLOOKUP(INT($C$5),Tablas!$G$9:$K$124,5,0)*(INT($C$5)+1-$C$5)),(+VLOOKUP(INT(D716)+1,Tablas!$G$9:$O$1240,9,0)*(D716-INT(D716))+VLOOKUP(INT(D716),Tablas!$G$9:$O$1240,9,0)*(INT(D716)+1-D716))/(VLOOKUP(INT($C$5)+1,Tablas!$G$9:$O$1240,9,0)*($C$5-INT($C$5))+VLOOKUP(INT($C$5),Tablas!$G$9:$O$124,9,0)*(INT($C$5)+1-$C$5)))</f>
        <v>#N/A</v>
      </c>
      <c r="G716" s="97" t="e">
        <f ca="1">IF($C$4="Hombre",(+VLOOKUP(INT(D716)+1,Tablas!$G$9:$K$1240,5,0)*(D716-INT(D716))+VLOOKUP(INT(D716),Tablas!$G$9:$K$1240,5,0)*(INT(D716)+1-D716)),+VLOOKUP(INT(D716)+1,Tablas!$G$9:$O$1240,9,0)*(D716-INT(D716))+VLOOKUP(INT(D716),Tablas!$G$9:$O$1240,9,0)*(INT(D716)+1-D716))</f>
        <v>#N/A</v>
      </c>
      <c r="H716" s="105">
        <f t="shared" ca="1" si="84"/>
        <v>1</v>
      </c>
      <c r="I716" s="106" t="e">
        <f t="shared" ca="1" si="85"/>
        <v>#N/A</v>
      </c>
      <c r="J716" s="106" t="e">
        <f t="shared" ca="1" si="89"/>
        <v>#N/A</v>
      </c>
      <c r="K716" s="105" t="e">
        <f t="shared" ca="1" si="86"/>
        <v>#N/A</v>
      </c>
      <c r="L716" s="75"/>
    </row>
    <row r="717" spans="2:12">
      <c r="B717" s="101">
        <f t="shared" ca="1" si="87"/>
        <v>74087</v>
      </c>
      <c r="C717" s="101">
        <f t="shared" ca="1" si="88"/>
        <v>74116</v>
      </c>
      <c r="D717" s="102">
        <f t="shared" ca="1" si="83"/>
        <v>125.41273100616016</v>
      </c>
      <c r="E717" s="103">
        <f t="shared" ca="1" si="90"/>
        <v>0.4190837423361376</v>
      </c>
      <c r="F717" s="104" t="e">
        <f ca="1">IF($C$4="Hombre",(+VLOOKUP(INT(D717)+1,Tablas!$G$9:$K$1240,5,0)*(D717-INT(D717))+VLOOKUP(INT(D717),Tablas!$G$9:$K$1240,5,0)*(INT(D717)+1-D717))/(VLOOKUP(INT($C$5)+1,Tablas!$G$9:$K$1240,5,0)*($C$5-INT($C$5))+VLOOKUP(INT($C$5),Tablas!$G$9:$K$124,5,0)*(INT($C$5)+1-$C$5)),(+VLOOKUP(INT(D717)+1,Tablas!$G$9:$O$1240,9,0)*(D717-INT(D717))+VLOOKUP(INT(D717),Tablas!$G$9:$O$1240,9,0)*(INT(D717)+1-D717))/(VLOOKUP(INT($C$5)+1,Tablas!$G$9:$O$1240,9,0)*($C$5-INT($C$5))+VLOOKUP(INT($C$5),Tablas!$G$9:$O$124,9,0)*(INT($C$5)+1-$C$5)))</f>
        <v>#N/A</v>
      </c>
      <c r="G717" s="97" t="e">
        <f ca="1">IF($C$4="Hombre",(+VLOOKUP(INT(D717)+1,Tablas!$G$9:$K$1240,5,0)*(D717-INT(D717))+VLOOKUP(INT(D717),Tablas!$G$9:$K$1240,5,0)*(INT(D717)+1-D717)),+VLOOKUP(INT(D717)+1,Tablas!$G$9:$O$1240,9,0)*(D717-INT(D717))+VLOOKUP(INT(D717),Tablas!$G$9:$O$1240,9,0)*(INT(D717)+1-D717))</f>
        <v>#N/A</v>
      </c>
      <c r="H717" s="105">
        <f t="shared" ca="1" si="84"/>
        <v>1</v>
      </c>
      <c r="I717" s="106" t="e">
        <f t="shared" ca="1" si="85"/>
        <v>#N/A</v>
      </c>
      <c r="J717" s="106" t="e">
        <f t="shared" ca="1" si="89"/>
        <v>#N/A</v>
      </c>
      <c r="K717" s="105" t="e">
        <f t="shared" ca="1" si="86"/>
        <v>#N/A</v>
      </c>
      <c r="L717" s="75"/>
    </row>
    <row r="718" spans="2:12">
      <c r="B718" s="101">
        <f t="shared" ca="1" si="87"/>
        <v>74117</v>
      </c>
      <c r="C718" s="101">
        <f t="shared" ca="1" si="88"/>
        <v>74147</v>
      </c>
      <c r="D718" s="102">
        <f t="shared" ca="1" si="83"/>
        <v>125.49760438056126</v>
      </c>
      <c r="E718" s="103">
        <f t="shared" ca="1" si="90"/>
        <v>0.41855450296977414</v>
      </c>
      <c r="F718" s="104" t="e">
        <f ca="1">IF($C$4="Hombre",(+VLOOKUP(INT(D718)+1,Tablas!$G$9:$K$1240,5,0)*(D718-INT(D718))+VLOOKUP(INT(D718),Tablas!$G$9:$K$1240,5,0)*(INT(D718)+1-D718))/(VLOOKUP(INT($C$5)+1,Tablas!$G$9:$K$1240,5,0)*($C$5-INT($C$5))+VLOOKUP(INT($C$5),Tablas!$G$9:$K$124,5,0)*(INT($C$5)+1-$C$5)),(+VLOOKUP(INT(D718)+1,Tablas!$G$9:$O$1240,9,0)*(D718-INT(D718))+VLOOKUP(INT(D718),Tablas!$G$9:$O$1240,9,0)*(INT(D718)+1-D718))/(VLOOKUP(INT($C$5)+1,Tablas!$G$9:$O$1240,9,0)*($C$5-INT($C$5))+VLOOKUP(INT($C$5),Tablas!$G$9:$O$124,9,0)*(INT($C$5)+1-$C$5)))</f>
        <v>#N/A</v>
      </c>
      <c r="G718" s="97" t="e">
        <f ca="1">IF($C$4="Hombre",(+VLOOKUP(INT(D718)+1,Tablas!$G$9:$K$1240,5,0)*(D718-INT(D718))+VLOOKUP(INT(D718),Tablas!$G$9:$K$1240,5,0)*(INT(D718)+1-D718)),+VLOOKUP(INT(D718)+1,Tablas!$G$9:$O$1240,9,0)*(D718-INT(D718))+VLOOKUP(INT(D718),Tablas!$G$9:$O$1240,9,0)*(INT(D718)+1-D718))</f>
        <v>#N/A</v>
      </c>
      <c r="H718" s="105">
        <f t="shared" ca="1" si="84"/>
        <v>1</v>
      </c>
      <c r="I718" s="106" t="e">
        <f t="shared" ca="1" si="85"/>
        <v>#N/A</v>
      </c>
      <c r="J718" s="106" t="e">
        <f t="shared" ca="1" si="89"/>
        <v>#N/A</v>
      </c>
      <c r="K718" s="105" t="e">
        <f t="shared" ca="1" si="86"/>
        <v>#N/A</v>
      </c>
      <c r="L718" s="75"/>
    </row>
    <row r="719" spans="2:12">
      <c r="B719" s="101">
        <f t="shared" ca="1" si="87"/>
        <v>74148</v>
      </c>
      <c r="C719" s="101">
        <f t="shared" ca="1" si="88"/>
        <v>74178</v>
      </c>
      <c r="D719" s="102">
        <f t="shared" ca="1" si="83"/>
        <v>125.58247775496235</v>
      </c>
      <c r="E719" s="103">
        <f t="shared" ca="1" si="90"/>
        <v>0.41802593195266541</v>
      </c>
      <c r="F719" s="104" t="e">
        <f ca="1">IF($C$4="Hombre",(+VLOOKUP(INT(D719)+1,Tablas!$G$9:$K$1240,5,0)*(D719-INT(D719))+VLOOKUP(INT(D719),Tablas!$G$9:$K$1240,5,0)*(INT(D719)+1-D719))/(VLOOKUP(INT($C$5)+1,Tablas!$G$9:$K$1240,5,0)*($C$5-INT($C$5))+VLOOKUP(INT($C$5),Tablas!$G$9:$K$124,5,0)*(INT($C$5)+1-$C$5)),(+VLOOKUP(INT(D719)+1,Tablas!$G$9:$O$1240,9,0)*(D719-INT(D719))+VLOOKUP(INT(D719),Tablas!$G$9:$O$1240,9,0)*(INT(D719)+1-D719))/(VLOOKUP(INT($C$5)+1,Tablas!$G$9:$O$1240,9,0)*($C$5-INT($C$5))+VLOOKUP(INT($C$5),Tablas!$G$9:$O$124,9,0)*(INT($C$5)+1-$C$5)))</f>
        <v>#N/A</v>
      </c>
      <c r="G719" s="97" t="e">
        <f ca="1">IF($C$4="Hombre",(+VLOOKUP(INT(D719)+1,Tablas!$G$9:$K$1240,5,0)*(D719-INT(D719))+VLOOKUP(INT(D719),Tablas!$G$9:$K$1240,5,0)*(INT(D719)+1-D719)),+VLOOKUP(INT(D719)+1,Tablas!$G$9:$O$1240,9,0)*(D719-INT(D719))+VLOOKUP(INT(D719),Tablas!$G$9:$O$1240,9,0)*(INT(D719)+1-D719))</f>
        <v>#N/A</v>
      </c>
      <c r="H719" s="105">
        <f t="shared" ca="1" si="84"/>
        <v>1</v>
      </c>
      <c r="I719" s="106" t="e">
        <f t="shared" ca="1" si="85"/>
        <v>#N/A</v>
      </c>
      <c r="J719" s="106" t="e">
        <f t="shared" ca="1" si="89"/>
        <v>#N/A</v>
      </c>
      <c r="K719" s="105" t="e">
        <f t="shared" ca="1" si="86"/>
        <v>#N/A</v>
      </c>
      <c r="L719" s="75"/>
    </row>
    <row r="720" spans="2:12">
      <c r="B720" s="101">
        <f t="shared" ca="1" si="87"/>
        <v>74179</v>
      </c>
      <c r="C720" s="101">
        <f t="shared" ca="1" si="88"/>
        <v>74206</v>
      </c>
      <c r="D720" s="102">
        <f t="shared" ca="1" si="83"/>
        <v>125.65913757700206</v>
      </c>
      <c r="E720" s="103">
        <f t="shared" ca="1" si="90"/>
        <v>0.41754908672783603</v>
      </c>
      <c r="F720" s="104" t="e">
        <f ca="1">IF($C$4="Hombre",(+VLOOKUP(INT(D720)+1,Tablas!$G$9:$K$1240,5,0)*(D720-INT(D720))+VLOOKUP(INT(D720),Tablas!$G$9:$K$1240,5,0)*(INT(D720)+1-D720))/(VLOOKUP(INT($C$5)+1,Tablas!$G$9:$K$1240,5,0)*($C$5-INT($C$5))+VLOOKUP(INT($C$5),Tablas!$G$9:$K$124,5,0)*(INT($C$5)+1-$C$5)),(+VLOOKUP(INT(D720)+1,Tablas!$G$9:$O$1240,9,0)*(D720-INT(D720))+VLOOKUP(INT(D720),Tablas!$G$9:$O$1240,9,0)*(INT(D720)+1-D720))/(VLOOKUP(INT($C$5)+1,Tablas!$G$9:$O$1240,9,0)*($C$5-INT($C$5))+VLOOKUP(INT($C$5),Tablas!$G$9:$O$124,9,0)*(INT($C$5)+1-$C$5)))</f>
        <v>#N/A</v>
      </c>
      <c r="G720" s="97" t="e">
        <f ca="1">IF($C$4="Hombre",(+VLOOKUP(INT(D720)+1,Tablas!$G$9:$K$1240,5,0)*(D720-INT(D720))+VLOOKUP(INT(D720),Tablas!$G$9:$K$1240,5,0)*(INT(D720)+1-D720)),+VLOOKUP(INT(D720)+1,Tablas!$G$9:$O$1240,9,0)*(D720-INT(D720))+VLOOKUP(INT(D720),Tablas!$G$9:$O$1240,9,0)*(INT(D720)+1-D720))</f>
        <v>#N/A</v>
      </c>
      <c r="H720" s="105">
        <f t="shared" ca="1" si="84"/>
        <v>1</v>
      </c>
      <c r="I720" s="106" t="e">
        <f t="shared" ca="1" si="85"/>
        <v>#N/A</v>
      </c>
      <c r="J720" s="106" t="e">
        <f t="shared" ca="1" si="89"/>
        <v>#N/A</v>
      </c>
      <c r="K720" s="105" t="e">
        <f t="shared" ca="1" si="86"/>
        <v>#N/A</v>
      </c>
      <c r="L720" s="75"/>
    </row>
    <row r="721" spans="2:12">
      <c r="B721" s="101">
        <f t="shared" ca="1" si="87"/>
        <v>74207</v>
      </c>
      <c r="C721" s="101">
        <f t="shared" ca="1" si="88"/>
        <v>74237</v>
      </c>
      <c r="D721" s="102">
        <f t="shared" ca="1" si="83"/>
        <v>125.74401095140315</v>
      </c>
      <c r="E721" s="103">
        <f t="shared" ca="1" si="90"/>
        <v>0.41702178539933854</v>
      </c>
      <c r="F721" s="104" t="e">
        <f ca="1">IF($C$4="Hombre",(+VLOOKUP(INT(D721)+1,Tablas!$G$9:$K$1240,5,0)*(D721-INT(D721))+VLOOKUP(INT(D721),Tablas!$G$9:$K$1240,5,0)*(INT(D721)+1-D721))/(VLOOKUP(INT($C$5)+1,Tablas!$G$9:$K$1240,5,0)*($C$5-INT($C$5))+VLOOKUP(INT($C$5),Tablas!$G$9:$K$124,5,0)*(INT($C$5)+1-$C$5)),(+VLOOKUP(INT(D721)+1,Tablas!$G$9:$O$1240,9,0)*(D721-INT(D721))+VLOOKUP(INT(D721),Tablas!$G$9:$O$1240,9,0)*(INT(D721)+1-D721))/(VLOOKUP(INT($C$5)+1,Tablas!$G$9:$O$1240,9,0)*($C$5-INT($C$5))+VLOOKUP(INT($C$5),Tablas!$G$9:$O$124,9,0)*(INT($C$5)+1-$C$5)))</f>
        <v>#N/A</v>
      </c>
      <c r="G721" s="97" t="e">
        <f ca="1">IF($C$4="Hombre",(+VLOOKUP(INT(D721)+1,Tablas!$G$9:$K$1240,5,0)*(D721-INT(D721))+VLOOKUP(INT(D721),Tablas!$G$9:$K$1240,5,0)*(INT(D721)+1-D721)),+VLOOKUP(INT(D721)+1,Tablas!$G$9:$O$1240,9,0)*(D721-INT(D721))+VLOOKUP(INT(D721),Tablas!$G$9:$O$1240,9,0)*(INT(D721)+1-D721))</f>
        <v>#N/A</v>
      </c>
      <c r="H721" s="105">
        <f t="shared" ca="1" si="84"/>
        <v>1</v>
      </c>
      <c r="I721" s="106" t="e">
        <f t="shared" ca="1" si="85"/>
        <v>#N/A</v>
      </c>
      <c r="J721" s="106" t="e">
        <f t="shared" ca="1" si="89"/>
        <v>#N/A</v>
      </c>
      <c r="K721" s="105" t="e">
        <f t="shared" ca="1" si="86"/>
        <v>#N/A</v>
      </c>
      <c r="L721" s="75"/>
    </row>
    <row r="722" spans="2:12">
      <c r="B722" s="101">
        <f t="shared" ca="1" si="87"/>
        <v>74238</v>
      </c>
      <c r="C722" s="101">
        <f t="shared" ca="1" si="88"/>
        <v>74267</v>
      </c>
      <c r="D722" s="102">
        <f t="shared" ref="D722:D785" ca="1" si="91">-_xlfn.DAYS($C$3,C722)/365.25</f>
        <v>125.82614647501711</v>
      </c>
      <c r="E722" s="103">
        <f t="shared" ca="1" si="90"/>
        <v>0.41651212782694169</v>
      </c>
      <c r="F722" s="104" t="e">
        <f ca="1">IF($C$4="Hombre",(+VLOOKUP(INT(D722)+1,Tablas!$G$9:$K$1240,5,0)*(D722-INT(D722))+VLOOKUP(INT(D722),Tablas!$G$9:$K$1240,5,0)*(INT(D722)+1-D722))/(VLOOKUP(INT($C$5)+1,Tablas!$G$9:$K$1240,5,0)*($C$5-INT($C$5))+VLOOKUP(INT($C$5),Tablas!$G$9:$K$124,5,0)*(INT($C$5)+1-$C$5)),(+VLOOKUP(INT(D722)+1,Tablas!$G$9:$O$1240,9,0)*(D722-INT(D722))+VLOOKUP(INT(D722),Tablas!$G$9:$O$1240,9,0)*(INT(D722)+1-D722))/(VLOOKUP(INT($C$5)+1,Tablas!$G$9:$O$1240,9,0)*($C$5-INT($C$5))+VLOOKUP(INT($C$5),Tablas!$G$9:$O$124,9,0)*(INT($C$5)+1-$C$5)))</f>
        <v>#N/A</v>
      </c>
      <c r="G722" s="97" t="e">
        <f ca="1">IF($C$4="Hombre",(+VLOOKUP(INT(D722)+1,Tablas!$G$9:$K$1240,5,0)*(D722-INT(D722))+VLOOKUP(INT(D722),Tablas!$G$9:$K$1240,5,0)*(INT(D722)+1-D722)),+VLOOKUP(INT(D722)+1,Tablas!$G$9:$O$1240,9,0)*(D722-INT(D722))+VLOOKUP(INT(D722),Tablas!$G$9:$O$1240,9,0)*(INT(D722)+1-D722))</f>
        <v>#N/A</v>
      </c>
      <c r="H722" s="105">
        <f t="shared" ref="H722:H785" ca="1" si="92">+IF(MONTH(B722)=1,H721*(1+$C$9),H721)</f>
        <v>1</v>
      </c>
      <c r="I722" s="106" t="e">
        <f t="shared" ref="I722:I785" ca="1" si="93">IF(B722&lt;$C$10,0,IF(B722&lt;$C$11,$C$8/12*E722*F722*H722,0))</f>
        <v>#N/A</v>
      </c>
      <c r="J722" s="106" t="e">
        <f t="shared" ca="1" si="89"/>
        <v>#N/A</v>
      </c>
      <c r="K722" s="105" t="e">
        <f t="shared" ref="K722:K785" ca="1" si="94">G722/$G$15</f>
        <v>#N/A</v>
      </c>
      <c r="L722" s="75"/>
    </row>
    <row r="723" spans="2:12">
      <c r="B723" s="101">
        <f t="shared" ref="B723:B786" ca="1" si="95">+DATE(YEAR(B722),MONTH(B722)+1,DAY(B722))</f>
        <v>74268</v>
      </c>
      <c r="C723" s="101">
        <f t="shared" ref="C723:C786" ca="1" si="96">+B724-1</f>
        <v>74298</v>
      </c>
      <c r="D723" s="102">
        <f t="shared" ca="1" si="91"/>
        <v>125.91101984941821</v>
      </c>
      <c r="E723" s="103">
        <f t="shared" ca="1" si="90"/>
        <v>0.41598613602066198</v>
      </c>
      <c r="F723" s="104" t="e">
        <f ca="1">IF($C$4="Hombre",(+VLOOKUP(INT(D723)+1,Tablas!$G$9:$K$1240,5,0)*(D723-INT(D723))+VLOOKUP(INT(D723),Tablas!$G$9:$K$1240,5,0)*(INT(D723)+1-D723))/(VLOOKUP(INT($C$5)+1,Tablas!$G$9:$K$1240,5,0)*($C$5-INT($C$5))+VLOOKUP(INT($C$5),Tablas!$G$9:$K$124,5,0)*(INT($C$5)+1-$C$5)),(+VLOOKUP(INT(D723)+1,Tablas!$G$9:$O$1240,9,0)*(D723-INT(D723))+VLOOKUP(INT(D723),Tablas!$G$9:$O$1240,9,0)*(INT(D723)+1-D723))/(VLOOKUP(INT($C$5)+1,Tablas!$G$9:$O$1240,9,0)*($C$5-INT($C$5))+VLOOKUP(INT($C$5),Tablas!$G$9:$O$124,9,0)*(INT($C$5)+1-$C$5)))</f>
        <v>#N/A</v>
      </c>
      <c r="G723" s="97" t="e">
        <f ca="1">IF($C$4="Hombre",(+VLOOKUP(INT(D723)+1,Tablas!$G$9:$K$1240,5,0)*(D723-INT(D723))+VLOOKUP(INT(D723),Tablas!$G$9:$K$1240,5,0)*(INT(D723)+1-D723)),+VLOOKUP(INT(D723)+1,Tablas!$G$9:$O$1240,9,0)*(D723-INT(D723))+VLOOKUP(INT(D723),Tablas!$G$9:$O$1240,9,0)*(INT(D723)+1-D723))</f>
        <v>#N/A</v>
      </c>
      <c r="H723" s="105">
        <f t="shared" ca="1" si="92"/>
        <v>1</v>
      </c>
      <c r="I723" s="106" t="e">
        <f t="shared" ca="1" si="93"/>
        <v>#N/A</v>
      </c>
      <c r="J723" s="106" t="e">
        <f t="shared" ref="J723:J786" ca="1" si="97">I723*12/14+IF(OR(MONTH(C723)=6,MONTH(C723)=12),I723*12/14,0)</f>
        <v>#N/A</v>
      </c>
      <c r="K723" s="105" t="e">
        <f t="shared" ca="1" si="94"/>
        <v>#N/A</v>
      </c>
      <c r="L723" s="75"/>
    </row>
    <row r="724" spans="2:12">
      <c r="B724" s="101">
        <f t="shared" ca="1" si="95"/>
        <v>74299</v>
      </c>
      <c r="C724" s="101">
        <f t="shared" ca="1" si="96"/>
        <v>74328</v>
      </c>
      <c r="D724" s="102">
        <f t="shared" ca="1" si="91"/>
        <v>125.99315537303217</v>
      </c>
      <c r="E724" s="103">
        <f t="shared" ca="1" si="90"/>
        <v>0.4154777441532394</v>
      </c>
      <c r="F724" s="104" t="e">
        <f ca="1">IF($C$4="Hombre",(+VLOOKUP(INT(D724)+1,Tablas!$G$9:$K$1240,5,0)*(D724-INT(D724))+VLOOKUP(INT(D724),Tablas!$G$9:$K$1240,5,0)*(INT(D724)+1-D724))/(VLOOKUP(INT($C$5)+1,Tablas!$G$9:$K$1240,5,0)*($C$5-INT($C$5))+VLOOKUP(INT($C$5),Tablas!$G$9:$K$124,5,0)*(INT($C$5)+1-$C$5)),(+VLOOKUP(INT(D724)+1,Tablas!$G$9:$O$1240,9,0)*(D724-INT(D724))+VLOOKUP(INT(D724),Tablas!$G$9:$O$1240,9,0)*(INT(D724)+1-D724))/(VLOOKUP(INT($C$5)+1,Tablas!$G$9:$O$1240,9,0)*($C$5-INT($C$5))+VLOOKUP(INT($C$5),Tablas!$G$9:$O$124,9,0)*(INT($C$5)+1-$C$5)))</f>
        <v>#N/A</v>
      </c>
      <c r="G724" s="97" t="e">
        <f ca="1">IF($C$4="Hombre",(+VLOOKUP(INT(D724)+1,Tablas!$G$9:$K$1240,5,0)*(D724-INT(D724))+VLOOKUP(INT(D724),Tablas!$G$9:$K$1240,5,0)*(INT(D724)+1-D724)),+VLOOKUP(INT(D724)+1,Tablas!$G$9:$O$1240,9,0)*(D724-INT(D724))+VLOOKUP(INT(D724),Tablas!$G$9:$O$1240,9,0)*(INT(D724)+1-D724))</f>
        <v>#N/A</v>
      </c>
      <c r="H724" s="105">
        <f t="shared" ca="1" si="92"/>
        <v>1</v>
      </c>
      <c r="I724" s="106" t="e">
        <f t="shared" ca="1" si="93"/>
        <v>#N/A</v>
      </c>
      <c r="J724" s="106" t="e">
        <f t="shared" ca="1" si="97"/>
        <v>#N/A</v>
      </c>
      <c r="K724" s="105" t="e">
        <f t="shared" ca="1" si="94"/>
        <v>#N/A</v>
      </c>
      <c r="L724" s="75"/>
    </row>
    <row r="725" spans="2:12">
      <c r="B725" s="101">
        <f t="shared" ca="1" si="95"/>
        <v>74329</v>
      </c>
      <c r="C725" s="101">
        <f t="shared" ca="1" si="96"/>
        <v>74359</v>
      </c>
      <c r="D725" s="102">
        <f t="shared" ca="1" si="91"/>
        <v>126.07802874743327</v>
      </c>
      <c r="E725" s="103">
        <f t="shared" ca="1" si="90"/>
        <v>0.41495305861705506</v>
      </c>
      <c r="F725" s="104" t="e">
        <f ca="1">IF($C$4="Hombre",(+VLOOKUP(INT(D725)+1,Tablas!$G$9:$K$1240,5,0)*(D725-INT(D725))+VLOOKUP(INT(D725),Tablas!$G$9:$K$1240,5,0)*(INT(D725)+1-D725))/(VLOOKUP(INT($C$5)+1,Tablas!$G$9:$K$1240,5,0)*($C$5-INT($C$5))+VLOOKUP(INT($C$5),Tablas!$G$9:$K$124,5,0)*(INT($C$5)+1-$C$5)),(+VLOOKUP(INT(D725)+1,Tablas!$G$9:$O$1240,9,0)*(D725-INT(D725))+VLOOKUP(INT(D725),Tablas!$G$9:$O$1240,9,0)*(INT(D725)+1-D725))/(VLOOKUP(INT($C$5)+1,Tablas!$G$9:$O$1240,9,0)*($C$5-INT($C$5))+VLOOKUP(INT($C$5),Tablas!$G$9:$O$124,9,0)*(INT($C$5)+1-$C$5)))</f>
        <v>#N/A</v>
      </c>
      <c r="G725" s="97" t="e">
        <f ca="1">IF($C$4="Hombre",(+VLOOKUP(INT(D725)+1,Tablas!$G$9:$K$1240,5,0)*(D725-INT(D725))+VLOOKUP(INT(D725),Tablas!$G$9:$K$1240,5,0)*(INT(D725)+1-D725)),+VLOOKUP(INT(D725)+1,Tablas!$G$9:$O$1240,9,0)*(D725-INT(D725))+VLOOKUP(INT(D725),Tablas!$G$9:$O$1240,9,0)*(INT(D725)+1-D725))</f>
        <v>#N/A</v>
      </c>
      <c r="H725" s="105">
        <f t="shared" ca="1" si="92"/>
        <v>1</v>
      </c>
      <c r="I725" s="106" t="e">
        <f t="shared" ca="1" si="93"/>
        <v>#N/A</v>
      </c>
      <c r="J725" s="106" t="e">
        <f t="shared" ca="1" si="97"/>
        <v>#N/A</v>
      </c>
      <c r="K725" s="105" t="e">
        <f t="shared" ca="1" si="94"/>
        <v>#N/A</v>
      </c>
      <c r="L725" s="75"/>
    </row>
    <row r="726" spans="2:12">
      <c r="B726" s="101">
        <f t="shared" ca="1" si="95"/>
        <v>74360</v>
      </c>
      <c r="C726" s="101">
        <f t="shared" ca="1" si="96"/>
        <v>74390</v>
      </c>
      <c r="D726" s="102">
        <f t="shared" ca="1" si="91"/>
        <v>126.16290212183436</v>
      </c>
      <c r="E726" s="103">
        <f t="shared" ca="1" si="90"/>
        <v>0.41442903567932682</v>
      </c>
      <c r="F726" s="104" t="e">
        <f ca="1">IF($C$4="Hombre",(+VLOOKUP(INT(D726)+1,Tablas!$G$9:$K$1240,5,0)*(D726-INT(D726))+VLOOKUP(INT(D726),Tablas!$G$9:$K$1240,5,0)*(INT(D726)+1-D726))/(VLOOKUP(INT($C$5)+1,Tablas!$G$9:$K$1240,5,0)*($C$5-INT($C$5))+VLOOKUP(INT($C$5),Tablas!$G$9:$K$124,5,0)*(INT($C$5)+1-$C$5)),(+VLOOKUP(INT(D726)+1,Tablas!$G$9:$O$1240,9,0)*(D726-INT(D726))+VLOOKUP(INT(D726),Tablas!$G$9:$O$1240,9,0)*(INT(D726)+1-D726))/(VLOOKUP(INT($C$5)+1,Tablas!$G$9:$O$1240,9,0)*($C$5-INT($C$5))+VLOOKUP(INT($C$5),Tablas!$G$9:$O$124,9,0)*(INT($C$5)+1-$C$5)))</f>
        <v>#N/A</v>
      </c>
      <c r="G726" s="97" t="e">
        <f ca="1">IF($C$4="Hombre",(+VLOOKUP(INT(D726)+1,Tablas!$G$9:$K$1240,5,0)*(D726-INT(D726))+VLOOKUP(INT(D726),Tablas!$G$9:$K$1240,5,0)*(INT(D726)+1-D726)),+VLOOKUP(INT(D726)+1,Tablas!$G$9:$O$1240,9,0)*(D726-INT(D726))+VLOOKUP(INT(D726),Tablas!$G$9:$O$1240,9,0)*(INT(D726)+1-D726))</f>
        <v>#N/A</v>
      </c>
      <c r="H726" s="105">
        <f t="shared" ca="1" si="92"/>
        <v>1</v>
      </c>
      <c r="I726" s="106" t="e">
        <f t="shared" ca="1" si="93"/>
        <v>#N/A</v>
      </c>
      <c r="J726" s="106" t="e">
        <f t="shared" ca="1" si="97"/>
        <v>#N/A</v>
      </c>
      <c r="K726" s="105" t="e">
        <f t="shared" ca="1" si="94"/>
        <v>#N/A</v>
      </c>
      <c r="L726" s="75"/>
    </row>
    <row r="727" spans="2:12">
      <c r="B727" s="101">
        <f t="shared" ca="1" si="95"/>
        <v>74391</v>
      </c>
      <c r="C727" s="101">
        <f t="shared" ca="1" si="96"/>
        <v>74420</v>
      </c>
      <c r="D727" s="102">
        <f t="shared" ca="1" si="91"/>
        <v>126.24503764544832</v>
      </c>
      <c r="E727" s="103">
        <f t="shared" ca="1" si="90"/>
        <v>0.41392254680116702</v>
      </c>
      <c r="F727" s="104" t="e">
        <f ca="1">IF($C$4="Hombre",(+VLOOKUP(INT(D727)+1,Tablas!$G$9:$K$1240,5,0)*(D727-INT(D727))+VLOOKUP(INT(D727),Tablas!$G$9:$K$1240,5,0)*(INT(D727)+1-D727))/(VLOOKUP(INT($C$5)+1,Tablas!$G$9:$K$1240,5,0)*($C$5-INT($C$5))+VLOOKUP(INT($C$5),Tablas!$G$9:$K$124,5,0)*(INT($C$5)+1-$C$5)),(+VLOOKUP(INT(D727)+1,Tablas!$G$9:$O$1240,9,0)*(D727-INT(D727))+VLOOKUP(INT(D727),Tablas!$G$9:$O$1240,9,0)*(INT(D727)+1-D727))/(VLOOKUP(INT($C$5)+1,Tablas!$G$9:$O$1240,9,0)*($C$5-INT($C$5))+VLOOKUP(INT($C$5),Tablas!$G$9:$O$124,9,0)*(INT($C$5)+1-$C$5)))</f>
        <v>#N/A</v>
      </c>
      <c r="G727" s="97" t="e">
        <f ca="1">IF($C$4="Hombre",(+VLOOKUP(INT(D727)+1,Tablas!$G$9:$K$1240,5,0)*(D727-INT(D727))+VLOOKUP(INT(D727),Tablas!$G$9:$K$1240,5,0)*(INT(D727)+1-D727)),+VLOOKUP(INT(D727)+1,Tablas!$G$9:$O$1240,9,0)*(D727-INT(D727))+VLOOKUP(INT(D727),Tablas!$G$9:$O$1240,9,0)*(INT(D727)+1-D727))</f>
        <v>#N/A</v>
      </c>
      <c r="H727" s="105">
        <f t="shared" ca="1" si="92"/>
        <v>1</v>
      </c>
      <c r="I727" s="106" t="e">
        <f t="shared" ca="1" si="93"/>
        <v>#N/A</v>
      </c>
      <c r="J727" s="106" t="e">
        <f t="shared" ca="1" si="97"/>
        <v>#N/A</v>
      </c>
      <c r="K727" s="105" t="e">
        <f t="shared" ca="1" si="94"/>
        <v>#N/A</v>
      </c>
      <c r="L727" s="75"/>
    </row>
    <row r="728" spans="2:12">
      <c r="B728" s="101">
        <f t="shared" ca="1" si="95"/>
        <v>74421</v>
      </c>
      <c r="C728" s="101">
        <f t="shared" ca="1" si="96"/>
        <v>74451</v>
      </c>
      <c r="D728" s="102">
        <f t="shared" ca="1" si="91"/>
        <v>126.32991101984942</v>
      </c>
      <c r="E728" s="103">
        <f t="shared" ca="1" si="90"/>
        <v>0.41339982524396346</v>
      </c>
      <c r="F728" s="104" t="e">
        <f ca="1">IF($C$4="Hombre",(+VLOOKUP(INT(D728)+1,Tablas!$G$9:$K$1240,5,0)*(D728-INT(D728))+VLOOKUP(INT(D728),Tablas!$G$9:$K$1240,5,0)*(INT(D728)+1-D728))/(VLOOKUP(INT($C$5)+1,Tablas!$G$9:$K$1240,5,0)*($C$5-INT($C$5))+VLOOKUP(INT($C$5),Tablas!$G$9:$K$124,5,0)*(INT($C$5)+1-$C$5)),(+VLOOKUP(INT(D728)+1,Tablas!$G$9:$O$1240,9,0)*(D728-INT(D728))+VLOOKUP(INT(D728),Tablas!$G$9:$O$1240,9,0)*(INT(D728)+1-D728))/(VLOOKUP(INT($C$5)+1,Tablas!$G$9:$O$1240,9,0)*($C$5-INT($C$5))+VLOOKUP(INT($C$5),Tablas!$G$9:$O$124,9,0)*(INT($C$5)+1-$C$5)))</f>
        <v>#N/A</v>
      </c>
      <c r="G728" s="97" t="e">
        <f ca="1">IF($C$4="Hombre",(+VLOOKUP(INT(D728)+1,Tablas!$G$9:$K$1240,5,0)*(D728-INT(D728))+VLOOKUP(INT(D728),Tablas!$G$9:$K$1240,5,0)*(INT(D728)+1-D728)),+VLOOKUP(INT(D728)+1,Tablas!$G$9:$O$1240,9,0)*(D728-INT(D728))+VLOOKUP(INT(D728),Tablas!$G$9:$O$1240,9,0)*(INT(D728)+1-D728))</f>
        <v>#N/A</v>
      </c>
      <c r="H728" s="105">
        <f t="shared" ca="1" si="92"/>
        <v>1</v>
      </c>
      <c r="I728" s="106" t="e">
        <f t="shared" ca="1" si="93"/>
        <v>#N/A</v>
      </c>
      <c r="J728" s="106" t="e">
        <f t="shared" ca="1" si="97"/>
        <v>#N/A</v>
      </c>
      <c r="K728" s="105" t="e">
        <f t="shared" ca="1" si="94"/>
        <v>#N/A</v>
      </c>
      <c r="L728" s="75"/>
    </row>
    <row r="729" spans="2:12">
      <c r="B729" s="101">
        <f t="shared" ca="1" si="95"/>
        <v>74452</v>
      </c>
      <c r="C729" s="101">
        <f t="shared" ca="1" si="96"/>
        <v>74481</v>
      </c>
      <c r="D729" s="102">
        <f t="shared" ca="1" si="91"/>
        <v>126.41204654346338</v>
      </c>
      <c r="E729" s="103">
        <f t="shared" ca="1" si="90"/>
        <v>0.41289459420150998</v>
      </c>
      <c r="F729" s="104" t="e">
        <f ca="1">IF($C$4="Hombre",(+VLOOKUP(INT(D729)+1,Tablas!$G$9:$K$1240,5,0)*(D729-INT(D729))+VLOOKUP(INT(D729),Tablas!$G$9:$K$1240,5,0)*(INT(D729)+1-D729))/(VLOOKUP(INT($C$5)+1,Tablas!$G$9:$K$1240,5,0)*($C$5-INT($C$5))+VLOOKUP(INT($C$5),Tablas!$G$9:$K$124,5,0)*(INT($C$5)+1-$C$5)),(+VLOOKUP(INT(D729)+1,Tablas!$G$9:$O$1240,9,0)*(D729-INT(D729))+VLOOKUP(INT(D729),Tablas!$G$9:$O$1240,9,0)*(INT(D729)+1-D729))/(VLOOKUP(INT($C$5)+1,Tablas!$G$9:$O$1240,9,0)*($C$5-INT($C$5))+VLOOKUP(INT($C$5),Tablas!$G$9:$O$124,9,0)*(INT($C$5)+1-$C$5)))</f>
        <v>#N/A</v>
      </c>
      <c r="G729" s="97" t="e">
        <f ca="1">IF($C$4="Hombre",(+VLOOKUP(INT(D729)+1,Tablas!$G$9:$K$1240,5,0)*(D729-INT(D729))+VLOOKUP(INT(D729),Tablas!$G$9:$K$1240,5,0)*(INT(D729)+1-D729)),+VLOOKUP(INT(D729)+1,Tablas!$G$9:$O$1240,9,0)*(D729-INT(D729))+VLOOKUP(INT(D729),Tablas!$G$9:$O$1240,9,0)*(INT(D729)+1-D729))</f>
        <v>#N/A</v>
      </c>
      <c r="H729" s="105">
        <f t="shared" ca="1" si="92"/>
        <v>1</v>
      </c>
      <c r="I729" s="106" t="e">
        <f t="shared" ca="1" si="93"/>
        <v>#N/A</v>
      </c>
      <c r="J729" s="106" t="e">
        <f t="shared" ca="1" si="97"/>
        <v>#N/A</v>
      </c>
      <c r="K729" s="105" t="e">
        <f t="shared" ca="1" si="94"/>
        <v>#N/A</v>
      </c>
      <c r="L729" s="75"/>
    </row>
    <row r="730" spans="2:12">
      <c r="B730" s="101">
        <f t="shared" ca="1" si="95"/>
        <v>74482</v>
      </c>
      <c r="C730" s="101">
        <f t="shared" ca="1" si="96"/>
        <v>74512</v>
      </c>
      <c r="D730" s="102">
        <f t="shared" ca="1" si="91"/>
        <v>126.49691991786447</v>
      </c>
      <c r="E730" s="103">
        <f t="shared" ca="1" si="90"/>
        <v>0.41237317079292812</v>
      </c>
      <c r="F730" s="104" t="e">
        <f ca="1">IF($C$4="Hombre",(+VLOOKUP(INT(D730)+1,Tablas!$G$9:$K$1240,5,0)*(D730-INT(D730))+VLOOKUP(INT(D730),Tablas!$G$9:$K$1240,5,0)*(INT(D730)+1-D730))/(VLOOKUP(INT($C$5)+1,Tablas!$G$9:$K$1240,5,0)*($C$5-INT($C$5))+VLOOKUP(INT($C$5),Tablas!$G$9:$K$124,5,0)*(INT($C$5)+1-$C$5)),(+VLOOKUP(INT(D730)+1,Tablas!$G$9:$O$1240,9,0)*(D730-INT(D730))+VLOOKUP(INT(D730),Tablas!$G$9:$O$1240,9,0)*(INT(D730)+1-D730))/(VLOOKUP(INT($C$5)+1,Tablas!$G$9:$O$1240,9,0)*($C$5-INT($C$5))+VLOOKUP(INT($C$5),Tablas!$G$9:$O$124,9,0)*(INT($C$5)+1-$C$5)))</f>
        <v>#N/A</v>
      </c>
      <c r="G730" s="97" t="e">
        <f ca="1">IF($C$4="Hombre",(+VLOOKUP(INT(D730)+1,Tablas!$G$9:$K$1240,5,0)*(D730-INT(D730))+VLOOKUP(INT(D730),Tablas!$G$9:$K$1240,5,0)*(INT(D730)+1-D730)),+VLOOKUP(INT(D730)+1,Tablas!$G$9:$O$1240,9,0)*(D730-INT(D730))+VLOOKUP(INT(D730),Tablas!$G$9:$O$1240,9,0)*(INT(D730)+1-D730))</f>
        <v>#N/A</v>
      </c>
      <c r="H730" s="105">
        <f t="shared" ca="1" si="92"/>
        <v>1</v>
      </c>
      <c r="I730" s="106" t="e">
        <f t="shared" ca="1" si="93"/>
        <v>#N/A</v>
      </c>
      <c r="J730" s="106" t="e">
        <f t="shared" ca="1" si="97"/>
        <v>#N/A</v>
      </c>
      <c r="K730" s="105" t="e">
        <f t="shared" ca="1" si="94"/>
        <v>#N/A</v>
      </c>
      <c r="L730" s="75"/>
    </row>
    <row r="731" spans="2:12">
      <c r="B731" s="101">
        <f t="shared" ca="1" si="95"/>
        <v>74513</v>
      </c>
      <c r="C731" s="101">
        <f t="shared" ca="1" si="96"/>
        <v>74543</v>
      </c>
      <c r="D731" s="102">
        <f t="shared" ca="1" si="91"/>
        <v>126.58179329226557</v>
      </c>
      <c r="E731" s="103">
        <f t="shared" ca="1" si="90"/>
        <v>0.41185240586322891</v>
      </c>
      <c r="F731" s="104" t="e">
        <f ca="1">IF($C$4="Hombre",(+VLOOKUP(INT(D731)+1,Tablas!$G$9:$K$1240,5,0)*(D731-INT(D731))+VLOOKUP(INT(D731),Tablas!$G$9:$K$1240,5,0)*(INT(D731)+1-D731))/(VLOOKUP(INT($C$5)+1,Tablas!$G$9:$K$1240,5,0)*($C$5-INT($C$5))+VLOOKUP(INT($C$5),Tablas!$G$9:$K$124,5,0)*(INT($C$5)+1-$C$5)),(+VLOOKUP(INT(D731)+1,Tablas!$G$9:$O$1240,9,0)*(D731-INT(D731))+VLOOKUP(INT(D731),Tablas!$G$9:$O$1240,9,0)*(INT(D731)+1-D731))/(VLOOKUP(INT($C$5)+1,Tablas!$G$9:$O$1240,9,0)*($C$5-INT($C$5))+VLOOKUP(INT($C$5),Tablas!$G$9:$O$124,9,0)*(INT($C$5)+1-$C$5)))</f>
        <v>#N/A</v>
      </c>
      <c r="G731" s="97" t="e">
        <f ca="1">IF($C$4="Hombre",(+VLOOKUP(INT(D731)+1,Tablas!$G$9:$K$1240,5,0)*(D731-INT(D731))+VLOOKUP(INT(D731),Tablas!$G$9:$K$1240,5,0)*(INT(D731)+1-D731)),+VLOOKUP(INT(D731)+1,Tablas!$G$9:$O$1240,9,0)*(D731-INT(D731))+VLOOKUP(INT(D731),Tablas!$G$9:$O$1240,9,0)*(INT(D731)+1-D731))</f>
        <v>#N/A</v>
      </c>
      <c r="H731" s="105">
        <f t="shared" ca="1" si="92"/>
        <v>1</v>
      </c>
      <c r="I731" s="106" t="e">
        <f t="shared" ca="1" si="93"/>
        <v>#N/A</v>
      </c>
      <c r="J731" s="106" t="e">
        <f t="shared" ca="1" si="97"/>
        <v>#N/A</v>
      </c>
      <c r="K731" s="105" t="e">
        <f t="shared" ca="1" si="94"/>
        <v>#N/A</v>
      </c>
      <c r="L731" s="75"/>
    </row>
    <row r="732" spans="2:12">
      <c r="B732" s="101">
        <f t="shared" ca="1" si="95"/>
        <v>74544</v>
      </c>
      <c r="C732" s="101">
        <f t="shared" ca="1" si="96"/>
        <v>74572</v>
      </c>
      <c r="D732" s="102">
        <f t="shared" ca="1" si="91"/>
        <v>126.6611909650924</v>
      </c>
      <c r="E732" s="103">
        <f t="shared" ca="1" si="90"/>
        <v>0.41136583405981114</v>
      </c>
      <c r="F732" s="104" t="e">
        <f ca="1">IF($C$4="Hombre",(+VLOOKUP(INT(D732)+1,Tablas!$G$9:$K$1240,5,0)*(D732-INT(D732))+VLOOKUP(INT(D732),Tablas!$G$9:$K$1240,5,0)*(INT(D732)+1-D732))/(VLOOKUP(INT($C$5)+1,Tablas!$G$9:$K$1240,5,0)*($C$5-INT($C$5))+VLOOKUP(INT($C$5),Tablas!$G$9:$K$124,5,0)*(INT($C$5)+1-$C$5)),(+VLOOKUP(INT(D732)+1,Tablas!$G$9:$O$1240,9,0)*(D732-INT(D732))+VLOOKUP(INT(D732),Tablas!$G$9:$O$1240,9,0)*(INT(D732)+1-D732))/(VLOOKUP(INT($C$5)+1,Tablas!$G$9:$O$1240,9,0)*($C$5-INT($C$5))+VLOOKUP(INT($C$5),Tablas!$G$9:$O$124,9,0)*(INT($C$5)+1-$C$5)))</f>
        <v>#N/A</v>
      </c>
      <c r="G732" s="97" t="e">
        <f ca="1">IF($C$4="Hombre",(+VLOOKUP(INT(D732)+1,Tablas!$G$9:$K$1240,5,0)*(D732-INT(D732))+VLOOKUP(INT(D732),Tablas!$G$9:$K$1240,5,0)*(INT(D732)+1-D732)),+VLOOKUP(INT(D732)+1,Tablas!$G$9:$O$1240,9,0)*(D732-INT(D732))+VLOOKUP(INT(D732),Tablas!$G$9:$O$1240,9,0)*(INT(D732)+1-D732))</f>
        <v>#N/A</v>
      </c>
      <c r="H732" s="105">
        <f t="shared" ca="1" si="92"/>
        <v>1</v>
      </c>
      <c r="I732" s="106" t="e">
        <f t="shared" ca="1" si="93"/>
        <v>#N/A</v>
      </c>
      <c r="J732" s="106" t="e">
        <f t="shared" ca="1" si="97"/>
        <v>#N/A</v>
      </c>
      <c r="K732" s="105" t="e">
        <f t="shared" ca="1" si="94"/>
        <v>#N/A</v>
      </c>
      <c r="L732" s="75"/>
    </row>
    <row r="733" spans="2:12">
      <c r="B733" s="101">
        <f t="shared" ca="1" si="95"/>
        <v>74573</v>
      </c>
      <c r="C733" s="101">
        <f t="shared" ca="1" si="96"/>
        <v>74603</v>
      </c>
      <c r="D733" s="102">
        <f t="shared" ca="1" si="91"/>
        <v>126.7460643394935</v>
      </c>
      <c r="E733" s="103">
        <f t="shared" ca="1" si="90"/>
        <v>0.41084634124401309</v>
      </c>
      <c r="F733" s="104" t="e">
        <f ca="1">IF($C$4="Hombre",(+VLOOKUP(INT(D733)+1,Tablas!$G$9:$K$1240,5,0)*(D733-INT(D733))+VLOOKUP(INT(D733),Tablas!$G$9:$K$1240,5,0)*(INT(D733)+1-D733))/(VLOOKUP(INT($C$5)+1,Tablas!$G$9:$K$1240,5,0)*($C$5-INT($C$5))+VLOOKUP(INT($C$5),Tablas!$G$9:$K$124,5,0)*(INT($C$5)+1-$C$5)),(+VLOOKUP(INT(D733)+1,Tablas!$G$9:$O$1240,9,0)*(D733-INT(D733))+VLOOKUP(INT(D733),Tablas!$G$9:$O$1240,9,0)*(INT(D733)+1-D733))/(VLOOKUP(INT($C$5)+1,Tablas!$G$9:$O$1240,9,0)*($C$5-INT($C$5))+VLOOKUP(INT($C$5),Tablas!$G$9:$O$124,9,0)*(INT($C$5)+1-$C$5)))</f>
        <v>#N/A</v>
      </c>
      <c r="G733" s="97" t="e">
        <f ca="1">IF($C$4="Hombre",(+VLOOKUP(INT(D733)+1,Tablas!$G$9:$K$1240,5,0)*(D733-INT(D733))+VLOOKUP(INT(D733),Tablas!$G$9:$K$1240,5,0)*(INT(D733)+1-D733)),+VLOOKUP(INT(D733)+1,Tablas!$G$9:$O$1240,9,0)*(D733-INT(D733))+VLOOKUP(INT(D733),Tablas!$G$9:$O$1240,9,0)*(INT(D733)+1-D733))</f>
        <v>#N/A</v>
      </c>
      <c r="H733" s="105">
        <f t="shared" ca="1" si="92"/>
        <v>1</v>
      </c>
      <c r="I733" s="106" t="e">
        <f t="shared" ca="1" si="93"/>
        <v>#N/A</v>
      </c>
      <c r="J733" s="106" t="e">
        <f t="shared" ca="1" si="97"/>
        <v>#N/A</v>
      </c>
      <c r="K733" s="105" t="e">
        <f t="shared" ca="1" si="94"/>
        <v>#N/A</v>
      </c>
      <c r="L733" s="75"/>
    </row>
    <row r="734" spans="2:12">
      <c r="B734" s="101">
        <f t="shared" ca="1" si="95"/>
        <v>74604</v>
      </c>
      <c r="C734" s="101">
        <f t="shared" ca="1" si="96"/>
        <v>74633</v>
      </c>
      <c r="D734" s="102">
        <f t="shared" ca="1" si="91"/>
        <v>126.82819986310746</v>
      </c>
      <c r="E734" s="103">
        <f t="shared" ca="1" si="90"/>
        <v>0.41034423090772443</v>
      </c>
      <c r="F734" s="104" t="e">
        <f ca="1">IF($C$4="Hombre",(+VLOOKUP(INT(D734)+1,Tablas!$G$9:$K$1240,5,0)*(D734-INT(D734))+VLOOKUP(INT(D734),Tablas!$G$9:$K$1240,5,0)*(INT(D734)+1-D734))/(VLOOKUP(INT($C$5)+1,Tablas!$G$9:$K$1240,5,0)*($C$5-INT($C$5))+VLOOKUP(INT($C$5),Tablas!$G$9:$K$124,5,0)*(INT($C$5)+1-$C$5)),(+VLOOKUP(INT(D734)+1,Tablas!$G$9:$O$1240,9,0)*(D734-INT(D734))+VLOOKUP(INT(D734),Tablas!$G$9:$O$1240,9,0)*(INT(D734)+1-D734))/(VLOOKUP(INT($C$5)+1,Tablas!$G$9:$O$1240,9,0)*($C$5-INT($C$5))+VLOOKUP(INT($C$5),Tablas!$G$9:$O$124,9,0)*(INT($C$5)+1-$C$5)))</f>
        <v>#N/A</v>
      </c>
      <c r="G734" s="97" t="e">
        <f ca="1">IF($C$4="Hombre",(+VLOOKUP(INT(D734)+1,Tablas!$G$9:$K$1240,5,0)*(D734-INT(D734))+VLOOKUP(INT(D734),Tablas!$G$9:$K$1240,5,0)*(INT(D734)+1-D734)),+VLOOKUP(INT(D734)+1,Tablas!$G$9:$O$1240,9,0)*(D734-INT(D734))+VLOOKUP(INT(D734),Tablas!$G$9:$O$1240,9,0)*(INT(D734)+1-D734))</f>
        <v>#N/A</v>
      </c>
      <c r="H734" s="105">
        <f t="shared" ca="1" si="92"/>
        <v>1</v>
      </c>
      <c r="I734" s="106" t="e">
        <f t="shared" ca="1" si="93"/>
        <v>#N/A</v>
      </c>
      <c r="J734" s="106" t="e">
        <f t="shared" ca="1" si="97"/>
        <v>#N/A</v>
      </c>
      <c r="K734" s="105" t="e">
        <f t="shared" ca="1" si="94"/>
        <v>#N/A</v>
      </c>
      <c r="L734" s="75"/>
    </row>
    <row r="735" spans="2:12">
      <c r="B735" s="101">
        <f t="shared" ca="1" si="95"/>
        <v>74634</v>
      </c>
      <c r="C735" s="101">
        <f t="shared" ca="1" si="96"/>
        <v>74664</v>
      </c>
      <c r="D735" s="102">
        <f t="shared" ca="1" si="91"/>
        <v>126.91307323750856</v>
      </c>
      <c r="E735" s="103">
        <f t="shared" ca="1" si="90"/>
        <v>0.40982602822215625</v>
      </c>
      <c r="F735" s="104" t="e">
        <f ca="1">IF($C$4="Hombre",(+VLOOKUP(INT(D735)+1,Tablas!$G$9:$K$1240,5,0)*(D735-INT(D735))+VLOOKUP(INT(D735),Tablas!$G$9:$K$1240,5,0)*(INT(D735)+1-D735))/(VLOOKUP(INT($C$5)+1,Tablas!$G$9:$K$1240,5,0)*($C$5-INT($C$5))+VLOOKUP(INT($C$5),Tablas!$G$9:$K$124,5,0)*(INT($C$5)+1-$C$5)),(+VLOOKUP(INT(D735)+1,Tablas!$G$9:$O$1240,9,0)*(D735-INT(D735))+VLOOKUP(INT(D735),Tablas!$G$9:$O$1240,9,0)*(INT(D735)+1-D735))/(VLOOKUP(INT($C$5)+1,Tablas!$G$9:$O$1240,9,0)*($C$5-INT($C$5))+VLOOKUP(INT($C$5),Tablas!$G$9:$O$124,9,0)*(INT($C$5)+1-$C$5)))</f>
        <v>#N/A</v>
      </c>
      <c r="G735" s="97" t="e">
        <f ca="1">IF($C$4="Hombre",(+VLOOKUP(INT(D735)+1,Tablas!$G$9:$K$1240,5,0)*(D735-INT(D735))+VLOOKUP(INT(D735),Tablas!$G$9:$K$1240,5,0)*(INT(D735)+1-D735)),+VLOOKUP(INT(D735)+1,Tablas!$G$9:$O$1240,9,0)*(D735-INT(D735))+VLOOKUP(INT(D735),Tablas!$G$9:$O$1240,9,0)*(INT(D735)+1-D735))</f>
        <v>#N/A</v>
      </c>
      <c r="H735" s="105">
        <f t="shared" ca="1" si="92"/>
        <v>1</v>
      </c>
      <c r="I735" s="106" t="e">
        <f t="shared" ca="1" si="93"/>
        <v>#N/A</v>
      </c>
      <c r="J735" s="106" t="e">
        <f t="shared" ca="1" si="97"/>
        <v>#N/A</v>
      </c>
      <c r="K735" s="105" t="e">
        <f t="shared" ca="1" si="94"/>
        <v>#N/A</v>
      </c>
      <c r="L735" s="75"/>
    </row>
    <row r="736" spans="2:12">
      <c r="B736" s="101">
        <f t="shared" ca="1" si="95"/>
        <v>74665</v>
      </c>
      <c r="C736" s="101">
        <f t="shared" ca="1" si="96"/>
        <v>74694</v>
      </c>
      <c r="D736" s="102">
        <f t="shared" ca="1" si="91"/>
        <v>126.99520876112251</v>
      </c>
      <c r="E736" s="103">
        <f t="shared" ca="1" si="90"/>
        <v>0.40932516484771941</v>
      </c>
      <c r="F736" s="104" t="e">
        <f ca="1">IF($C$4="Hombre",(+VLOOKUP(INT(D736)+1,Tablas!$G$9:$K$1240,5,0)*(D736-INT(D736))+VLOOKUP(INT(D736),Tablas!$G$9:$K$1240,5,0)*(INT(D736)+1-D736))/(VLOOKUP(INT($C$5)+1,Tablas!$G$9:$K$1240,5,0)*($C$5-INT($C$5))+VLOOKUP(INT($C$5),Tablas!$G$9:$K$124,5,0)*(INT($C$5)+1-$C$5)),(+VLOOKUP(INT(D736)+1,Tablas!$G$9:$O$1240,9,0)*(D736-INT(D736))+VLOOKUP(INT(D736),Tablas!$G$9:$O$1240,9,0)*(INT(D736)+1-D736))/(VLOOKUP(INT($C$5)+1,Tablas!$G$9:$O$1240,9,0)*($C$5-INT($C$5))+VLOOKUP(INT($C$5),Tablas!$G$9:$O$124,9,0)*(INT($C$5)+1-$C$5)))</f>
        <v>#N/A</v>
      </c>
      <c r="G736" s="97" t="e">
        <f ca="1">IF($C$4="Hombre",(+VLOOKUP(INT(D736)+1,Tablas!$G$9:$K$1240,5,0)*(D736-INT(D736))+VLOOKUP(INT(D736),Tablas!$G$9:$K$1240,5,0)*(INT(D736)+1-D736)),+VLOOKUP(INT(D736)+1,Tablas!$G$9:$O$1240,9,0)*(D736-INT(D736))+VLOOKUP(INT(D736),Tablas!$G$9:$O$1240,9,0)*(INT(D736)+1-D736))</f>
        <v>#N/A</v>
      </c>
      <c r="H736" s="105">
        <f t="shared" ca="1" si="92"/>
        <v>1</v>
      </c>
      <c r="I736" s="106" t="e">
        <f t="shared" ca="1" si="93"/>
        <v>#N/A</v>
      </c>
      <c r="J736" s="106" t="e">
        <f t="shared" ca="1" si="97"/>
        <v>#N/A</v>
      </c>
      <c r="K736" s="105" t="e">
        <f t="shared" ca="1" si="94"/>
        <v>#N/A</v>
      </c>
      <c r="L736" s="75"/>
    </row>
    <row r="737" spans="2:12">
      <c r="B737" s="101">
        <f t="shared" ca="1" si="95"/>
        <v>74695</v>
      </c>
      <c r="C737" s="101">
        <f t="shared" ca="1" si="96"/>
        <v>74725</v>
      </c>
      <c r="D737" s="102">
        <f t="shared" ca="1" si="91"/>
        <v>127.08008213552361</v>
      </c>
      <c r="E737" s="103">
        <f t="shared" ca="1" si="90"/>
        <v>0.40880824908841773</v>
      </c>
      <c r="F737" s="104" t="e">
        <f ca="1">IF($C$4="Hombre",(+VLOOKUP(INT(D737)+1,Tablas!$G$9:$K$1240,5,0)*(D737-INT(D737))+VLOOKUP(INT(D737),Tablas!$G$9:$K$1240,5,0)*(INT(D737)+1-D737))/(VLOOKUP(INT($C$5)+1,Tablas!$G$9:$K$1240,5,0)*($C$5-INT($C$5))+VLOOKUP(INT($C$5),Tablas!$G$9:$K$124,5,0)*(INT($C$5)+1-$C$5)),(+VLOOKUP(INT(D737)+1,Tablas!$G$9:$O$1240,9,0)*(D737-INT(D737))+VLOOKUP(INT(D737),Tablas!$G$9:$O$1240,9,0)*(INT(D737)+1-D737))/(VLOOKUP(INT($C$5)+1,Tablas!$G$9:$O$1240,9,0)*($C$5-INT($C$5))+VLOOKUP(INT($C$5),Tablas!$G$9:$O$124,9,0)*(INT($C$5)+1-$C$5)))</f>
        <v>#N/A</v>
      </c>
      <c r="G737" s="97" t="e">
        <f ca="1">IF($C$4="Hombre",(+VLOOKUP(INT(D737)+1,Tablas!$G$9:$K$1240,5,0)*(D737-INT(D737))+VLOOKUP(INT(D737),Tablas!$G$9:$K$1240,5,0)*(INT(D737)+1-D737)),+VLOOKUP(INT(D737)+1,Tablas!$G$9:$O$1240,9,0)*(D737-INT(D737))+VLOOKUP(INT(D737),Tablas!$G$9:$O$1240,9,0)*(INT(D737)+1-D737))</f>
        <v>#N/A</v>
      </c>
      <c r="H737" s="105">
        <f t="shared" ca="1" si="92"/>
        <v>1</v>
      </c>
      <c r="I737" s="106" t="e">
        <f t="shared" ca="1" si="93"/>
        <v>#N/A</v>
      </c>
      <c r="J737" s="106" t="e">
        <f t="shared" ca="1" si="97"/>
        <v>#N/A</v>
      </c>
      <c r="K737" s="105" t="e">
        <f t="shared" ca="1" si="94"/>
        <v>#N/A</v>
      </c>
      <c r="L737" s="75"/>
    </row>
    <row r="738" spans="2:12">
      <c r="B738" s="101">
        <f t="shared" ca="1" si="95"/>
        <v>74726</v>
      </c>
      <c r="C738" s="101">
        <f t="shared" ca="1" si="96"/>
        <v>74756</v>
      </c>
      <c r="D738" s="102">
        <f t="shared" ca="1" si="91"/>
        <v>127.16495550992471</v>
      </c>
      <c r="E738" s="103">
        <f t="shared" ca="1" si="90"/>
        <v>0.40829198611551965</v>
      </c>
      <c r="F738" s="104" t="e">
        <f ca="1">IF($C$4="Hombre",(+VLOOKUP(INT(D738)+1,Tablas!$G$9:$K$1240,5,0)*(D738-INT(D738))+VLOOKUP(INT(D738),Tablas!$G$9:$K$1240,5,0)*(INT(D738)+1-D738))/(VLOOKUP(INT($C$5)+1,Tablas!$G$9:$K$1240,5,0)*($C$5-INT($C$5))+VLOOKUP(INT($C$5),Tablas!$G$9:$K$124,5,0)*(INT($C$5)+1-$C$5)),(+VLOOKUP(INT(D738)+1,Tablas!$G$9:$O$1240,9,0)*(D738-INT(D738))+VLOOKUP(INT(D738),Tablas!$G$9:$O$1240,9,0)*(INT(D738)+1-D738))/(VLOOKUP(INT($C$5)+1,Tablas!$G$9:$O$1240,9,0)*($C$5-INT($C$5))+VLOOKUP(INT($C$5),Tablas!$G$9:$O$124,9,0)*(INT($C$5)+1-$C$5)))</f>
        <v>#N/A</v>
      </c>
      <c r="G738" s="97" t="e">
        <f ca="1">IF($C$4="Hombre",(+VLOOKUP(INT(D738)+1,Tablas!$G$9:$K$1240,5,0)*(D738-INT(D738))+VLOOKUP(INT(D738),Tablas!$G$9:$K$1240,5,0)*(INT(D738)+1-D738)),+VLOOKUP(INT(D738)+1,Tablas!$G$9:$O$1240,9,0)*(D738-INT(D738))+VLOOKUP(INT(D738),Tablas!$G$9:$O$1240,9,0)*(INT(D738)+1-D738))</f>
        <v>#N/A</v>
      </c>
      <c r="H738" s="105">
        <f t="shared" ca="1" si="92"/>
        <v>1</v>
      </c>
      <c r="I738" s="106" t="e">
        <f t="shared" ca="1" si="93"/>
        <v>#N/A</v>
      </c>
      <c r="J738" s="106" t="e">
        <f t="shared" ca="1" si="97"/>
        <v>#N/A</v>
      </c>
      <c r="K738" s="105" t="e">
        <f t="shared" ca="1" si="94"/>
        <v>#N/A</v>
      </c>
      <c r="L738" s="75"/>
    </row>
    <row r="739" spans="2:12">
      <c r="B739" s="101">
        <f t="shared" ca="1" si="95"/>
        <v>74757</v>
      </c>
      <c r="C739" s="101">
        <f t="shared" ca="1" si="96"/>
        <v>74786</v>
      </c>
      <c r="D739" s="102">
        <f t="shared" ca="1" si="91"/>
        <v>127.24709103353867</v>
      </c>
      <c r="E739" s="103">
        <f t="shared" ca="1" si="90"/>
        <v>0.40779299755003384</v>
      </c>
      <c r="F739" s="104" t="e">
        <f ca="1">IF($C$4="Hombre",(+VLOOKUP(INT(D739)+1,Tablas!$G$9:$K$1240,5,0)*(D739-INT(D739))+VLOOKUP(INT(D739),Tablas!$G$9:$K$1240,5,0)*(INT(D739)+1-D739))/(VLOOKUP(INT($C$5)+1,Tablas!$G$9:$K$1240,5,0)*($C$5-INT($C$5))+VLOOKUP(INT($C$5),Tablas!$G$9:$K$124,5,0)*(INT($C$5)+1-$C$5)),(+VLOOKUP(INT(D739)+1,Tablas!$G$9:$O$1240,9,0)*(D739-INT(D739))+VLOOKUP(INT(D739),Tablas!$G$9:$O$1240,9,0)*(INT(D739)+1-D739))/(VLOOKUP(INT($C$5)+1,Tablas!$G$9:$O$1240,9,0)*($C$5-INT($C$5))+VLOOKUP(INT($C$5),Tablas!$G$9:$O$124,9,0)*(INT($C$5)+1-$C$5)))</f>
        <v>#N/A</v>
      </c>
      <c r="G739" s="97" t="e">
        <f ca="1">IF($C$4="Hombre",(+VLOOKUP(INT(D739)+1,Tablas!$G$9:$K$1240,5,0)*(D739-INT(D739))+VLOOKUP(INT(D739),Tablas!$G$9:$K$1240,5,0)*(INT(D739)+1-D739)),+VLOOKUP(INT(D739)+1,Tablas!$G$9:$O$1240,9,0)*(D739-INT(D739))+VLOOKUP(INT(D739),Tablas!$G$9:$O$1240,9,0)*(INT(D739)+1-D739))</f>
        <v>#N/A</v>
      </c>
      <c r="H739" s="105">
        <f t="shared" ca="1" si="92"/>
        <v>1</v>
      </c>
      <c r="I739" s="106" t="e">
        <f t="shared" ca="1" si="93"/>
        <v>#N/A</v>
      </c>
      <c r="J739" s="106" t="e">
        <f t="shared" ca="1" si="97"/>
        <v>#N/A</v>
      </c>
      <c r="K739" s="105" t="e">
        <f t="shared" ca="1" si="94"/>
        <v>#N/A</v>
      </c>
      <c r="L739" s="75"/>
    </row>
    <row r="740" spans="2:12">
      <c r="B740" s="101">
        <f t="shared" ca="1" si="95"/>
        <v>74787</v>
      </c>
      <c r="C740" s="101">
        <f t="shared" ca="1" si="96"/>
        <v>74817</v>
      </c>
      <c r="D740" s="102">
        <f t="shared" ca="1" si="91"/>
        <v>127.33196440793976</v>
      </c>
      <c r="E740" s="103">
        <f t="shared" ca="1" si="90"/>
        <v>0.40727801668623853</v>
      </c>
      <c r="F740" s="104" t="e">
        <f ca="1">IF($C$4="Hombre",(+VLOOKUP(INT(D740)+1,Tablas!$G$9:$K$1240,5,0)*(D740-INT(D740))+VLOOKUP(INT(D740),Tablas!$G$9:$K$1240,5,0)*(INT(D740)+1-D740))/(VLOOKUP(INT($C$5)+1,Tablas!$G$9:$K$1240,5,0)*($C$5-INT($C$5))+VLOOKUP(INT($C$5),Tablas!$G$9:$K$124,5,0)*(INT($C$5)+1-$C$5)),(+VLOOKUP(INT(D740)+1,Tablas!$G$9:$O$1240,9,0)*(D740-INT(D740))+VLOOKUP(INT(D740),Tablas!$G$9:$O$1240,9,0)*(INT(D740)+1-D740))/(VLOOKUP(INT($C$5)+1,Tablas!$G$9:$O$1240,9,0)*($C$5-INT($C$5))+VLOOKUP(INT($C$5),Tablas!$G$9:$O$124,9,0)*(INT($C$5)+1-$C$5)))</f>
        <v>#N/A</v>
      </c>
      <c r="G740" s="97" t="e">
        <f ca="1">IF($C$4="Hombre",(+VLOOKUP(INT(D740)+1,Tablas!$G$9:$K$1240,5,0)*(D740-INT(D740))+VLOOKUP(INT(D740),Tablas!$G$9:$K$1240,5,0)*(INT(D740)+1-D740)),+VLOOKUP(INT(D740)+1,Tablas!$G$9:$O$1240,9,0)*(D740-INT(D740))+VLOOKUP(INT(D740),Tablas!$G$9:$O$1240,9,0)*(INT(D740)+1-D740))</f>
        <v>#N/A</v>
      </c>
      <c r="H740" s="105">
        <f t="shared" ca="1" si="92"/>
        <v>1</v>
      </c>
      <c r="I740" s="106" t="e">
        <f t="shared" ca="1" si="93"/>
        <v>#N/A</v>
      </c>
      <c r="J740" s="106" t="e">
        <f t="shared" ca="1" si="97"/>
        <v>#N/A</v>
      </c>
      <c r="K740" s="105" t="e">
        <f t="shared" ca="1" si="94"/>
        <v>#N/A</v>
      </c>
      <c r="L740" s="75"/>
    </row>
    <row r="741" spans="2:12">
      <c r="B741" s="101">
        <f t="shared" ca="1" si="95"/>
        <v>74818</v>
      </c>
      <c r="C741" s="101">
        <f t="shared" ca="1" si="96"/>
        <v>74847</v>
      </c>
      <c r="D741" s="102">
        <f t="shared" ca="1" si="91"/>
        <v>127.41409993155374</v>
      </c>
      <c r="E741" s="103">
        <f t="shared" ca="1" si="90"/>
        <v>0.40678026732986805</v>
      </c>
      <c r="F741" s="104" t="e">
        <f ca="1">IF($C$4="Hombre",(+VLOOKUP(INT(D741)+1,Tablas!$G$9:$K$1240,5,0)*(D741-INT(D741))+VLOOKUP(INT(D741),Tablas!$G$9:$K$1240,5,0)*(INT(D741)+1-D741))/(VLOOKUP(INT($C$5)+1,Tablas!$G$9:$K$1240,5,0)*($C$5-INT($C$5))+VLOOKUP(INT($C$5),Tablas!$G$9:$K$124,5,0)*(INT($C$5)+1-$C$5)),(+VLOOKUP(INT(D741)+1,Tablas!$G$9:$O$1240,9,0)*(D741-INT(D741))+VLOOKUP(INT(D741),Tablas!$G$9:$O$1240,9,0)*(INT(D741)+1-D741))/(VLOOKUP(INT($C$5)+1,Tablas!$G$9:$O$1240,9,0)*($C$5-INT($C$5))+VLOOKUP(INT($C$5),Tablas!$G$9:$O$124,9,0)*(INT($C$5)+1-$C$5)))</f>
        <v>#N/A</v>
      </c>
      <c r="G741" s="97" t="e">
        <f ca="1">IF($C$4="Hombre",(+VLOOKUP(INT(D741)+1,Tablas!$G$9:$K$1240,5,0)*(D741-INT(D741))+VLOOKUP(INT(D741),Tablas!$G$9:$K$1240,5,0)*(INT(D741)+1-D741)),+VLOOKUP(INT(D741)+1,Tablas!$G$9:$O$1240,9,0)*(D741-INT(D741))+VLOOKUP(INT(D741),Tablas!$G$9:$O$1240,9,0)*(INT(D741)+1-D741))</f>
        <v>#N/A</v>
      </c>
      <c r="H741" s="105">
        <f t="shared" ca="1" si="92"/>
        <v>1</v>
      </c>
      <c r="I741" s="106" t="e">
        <f t="shared" ca="1" si="93"/>
        <v>#N/A</v>
      </c>
      <c r="J741" s="106" t="e">
        <f t="shared" ca="1" si="97"/>
        <v>#N/A</v>
      </c>
      <c r="K741" s="105" t="e">
        <f t="shared" ca="1" si="94"/>
        <v>#N/A</v>
      </c>
      <c r="L741" s="75"/>
    </row>
    <row r="742" spans="2:12">
      <c r="B742" s="101">
        <f t="shared" ca="1" si="95"/>
        <v>74848</v>
      </c>
      <c r="C742" s="101">
        <f t="shared" ca="1" si="96"/>
        <v>74878</v>
      </c>
      <c r="D742" s="102">
        <f t="shared" ca="1" si="91"/>
        <v>127.49897330595482</v>
      </c>
      <c r="E742" s="103">
        <f t="shared" ca="1" si="90"/>
        <v>0.40626656539113204</v>
      </c>
      <c r="F742" s="104" t="e">
        <f ca="1">IF($C$4="Hombre",(+VLOOKUP(INT(D742)+1,Tablas!$G$9:$K$1240,5,0)*(D742-INT(D742))+VLOOKUP(INT(D742),Tablas!$G$9:$K$1240,5,0)*(INT(D742)+1-D742))/(VLOOKUP(INT($C$5)+1,Tablas!$G$9:$K$1240,5,0)*($C$5-INT($C$5))+VLOOKUP(INT($C$5),Tablas!$G$9:$K$124,5,0)*(INT($C$5)+1-$C$5)),(+VLOOKUP(INT(D742)+1,Tablas!$G$9:$O$1240,9,0)*(D742-INT(D742))+VLOOKUP(INT(D742),Tablas!$G$9:$O$1240,9,0)*(INT(D742)+1-D742))/(VLOOKUP(INT($C$5)+1,Tablas!$G$9:$O$1240,9,0)*($C$5-INT($C$5))+VLOOKUP(INT($C$5),Tablas!$G$9:$O$124,9,0)*(INT($C$5)+1-$C$5)))</f>
        <v>#N/A</v>
      </c>
      <c r="G742" s="97" t="e">
        <f ca="1">IF($C$4="Hombre",(+VLOOKUP(INT(D742)+1,Tablas!$G$9:$K$1240,5,0)*(D742-INT(D742))+VLOOKUP(INT(D742),Tablas!$G$9:$K$1240,5,0)*(INT(D742)+1-D742)),+VLOOKUP(INT(D742)+1,Tablas!$G$9:$O$1240,9,0)*(D742-INT(D742))+VLOOKUP(INT(D742),Tablas!$G$9:$O$1240,9,0)*(INT(D742)+1-D742))</f>
        <v>#N/A</v>
      </c>
      <c r="H742" s="105">
        <f t="shared" ca="1" si="92"/>
        <v>1</v>
      </c>
      <c r="I742" s="106" t="e">
        <f t="shared" ca="1" si="93"/>
        <v>#N/A</v>
      </c>
      <c r="J742" s="106" t="e">
        <f t="shared" ca="1" si="97"/>
        <v>#N/A</v>
      </c>
      <c r="K742" s="105" t="e">
        <f t="shared" ca="1" si="94"/>
        <v>#N/A</v>
      </c>
      <c r="L742" s="75"/>
    </row>
    <row r="743" spans="2:12">
      <c r="B743" s="101">
        <f t="shared" ca="1" si="95"/>
        <v>74879</v>
      </c>
      <c r="C743" s="101">
        <f t="shared" ca="1" si="96"/>
        <v>74909</v>
      </c>
      <c r="D743" s="102">
        <f t="shared" ca="1" si="91"/>
        <v>127.58384668035592</v>
      </c>
      <c r="E743" s="103">
        <f t="shared" ca="1" si="90"/>
        <v>0.40575351218023031</v>
      </c>
      <c r="F743" s="104" t="e">
        <f ca="1">IF($C$4="Hombre",(+VLOOKUP(INT(D743)+1,Tablas!$G$9:$K$1240,5,0)*(D743-INT(D743))+VLOOKUP(INT(D743),Tablas!$G$9:$K$1240,5,0)*(INT(D743)+1-D743))/(VLOOKUP(INT($C$5)+1,Tablas!$G$9:$K$1240,5,0)*($C$5-INT($C$5))+VLOOKUP(INT($C$5),Tablas!$G$9:$K$124,5,0)*(INT($C$5)+1-$C$5)),(+VLOOKUP(INT(D743)+1,Tablas!$G$9:$O$1240,9,0)*(D743-INT(D743))+VLOOKUP(INT(D743),Tablas!$G$9:$O$1240,9,0)*(INT(D743)+1-D743))/(VLOOKUP(INT($C$5)+1,Tablas!$G$9:$O$1240,9,0)*($C$5-INT($C$5))+VLOOKUP(INT($C$5),Tablas!$G$9:$O$124,9,0)*(INT($C$5)+1-$C$5)))</f>
        <v>#N/A</v>
      </c>
      <c r="G743" s="97" t="e">
        <f ca="1">IF($C$4="Hombre",(+VLOOKUP(INT(D743)+1,Tablas!$G$9:$K$1240,5,0)*(D743-INT(D743))+VLOOKUP(INT(D743),Tablas!$G$9:$K$1240,5,0)*(INT(D743)+1-D743)),+VLOOKUP(INT(D743)+1,Tablas!$G$9:$O$1240,9,0)*(D743-INT(D743))+VLOOKUP(INT(D743),Tablas!$G$9:$O$1240,9,0)*(INT(D743)+1-D743))</f>
        <v>#N/A</v>
      </c>
      <c r="H743" s="105">
        <f t="shared" ca="1" si="92"/>
        <v>1</v>
      </c>
      <c r="I743" s="106" t="e">
        <f t="shared" ca="1" si="93"/>
        <v>#N/A</v>
      </c>
      <c r="J743" s="106" t="e">
        <f t="shared" ca="1" si="97"/>
        <v>#N/A</v>
      </c>
      <c r="K743" s="105" t="e">
        <f t="shared" ca="1" si="94"/>
        <v>#N/A</v>
      </c>
      <c r="L743" s="75"/>
    </row>
    <row r="744" spans="2:12">
      <c r="B744" s="101">
        <f t="shared" ca="1" si="95"/>
        <v>74910</v>
      </c>
      <c r="C744" s="101">
        <f t="shared" ca="1" si="96"/>
        <v>74937</v>
      </c>
      <c r="D744" s="102">
        <f t="shared" ca="1" si="91"/>
        <v>127.66050650239562</v>
      </c>
      <c r="E744" s="103">
        <f t="shared" ca="1" si="90"/>
        <v>0.40529066619400844</v>
      </c>
      <c r="F744" s="104" t="e">
        <f ca="1">IF($C$4="Hombre",(+VLOOKUP(INT(D744)+1,Tablas!$G$9:$K$1240,5,0)*(D744-INT(D744))+VLOOKUP(INT(D744),Tablas!$G$9:$K$1240,5,0)*(INT(D744)+1-D744))/(VLOOKUP(INT($C$5)+1,Tablas!$G$9:$K$1240,5,0)*($C$5-INT($C$5))+VLOOKUP(INT($C$5),Tablas!$G$9:$K$124,5,0)*(INT($C$5)+1-$C$5)),(+VLOOKUP(INT(D744)+1,Tablas!$G$9:$O$1240,9,0)*(D744-INT(D744))+VLOOKUP(INT(D744),Tablas!$G$9:$O$1240,9,0)*(INT(D744)+1-D744))/(VLOOKUP(INT($C$5)+1,Tablas!$G$9:$O$1240,9,0)*($C$5-INT($C$5))+VLOOKUP(INT($C$5),Tablas!$G$9:$O$124,9,0)*(INT($C$5)+1-$C$5)))</f>
        <v>#N/A</v>
      </c>
      <c r="G744" s="97" t="e">
        <f ca="1">IF($C$4="Hombre",(+VLOOKUP(INT(D744)+1,Tablas!$G$9:$K$1240,5,0)*(D744-INT(D744))+VLOOKUP(INT(D744),Tablas!$G$9:$K$1240,5,0)*(INT(D744)+1-D744)),+VLOOKUP(INT(D744)+1,Tablas!$G$9:$O$1240,9,0)*(D744-INT(D744))+VLOOKUP(INT(D744),Tablas!$G$9:$O$1240,9,0)*(INT(D744)+1-D744))</f>
        <v>#N/A</v>
      </c>
      <c r="H744" s="105">
        <f t="shared" ca="1" si="92"/>
        <v>1</v>
      </c>
      <c r="I744" s="106" t="e">
        <f t="shared" ca="1" si="93"/>
        <v>#N/A</v>
      </c>
      <c r="J744" s="106" t="e">
        <f t="shared" ca="1" si="97"/>
        <v>#N/A</v>
      </c>
      <c r="K744" s="105" t="e">
        <f t="shared" ca="1" si="94"/>
        <v>#N/A</v>
      </c>
      <c r="L744" s="75"/>
    </row>
    <row r="745" spans="2:12">
      <c r="B745" s="101">
        <f t="shared" ca="1" si="95"/>
        <v>74938</v>
      </c>
      <c r="C745" s="101">
        <f t="shared" ca="1" si="96"/>
        <v>74968</v>
      </c>
      <c r="D745" s="102">
        <f t="shared" ca="1" si="91"/>
        <v>127.74537987679672</v>
      </c>
      <c r="E745" s="103">
        <f t="shared" ca="1" si="90"/>
        <v>0.40477884539615583</v>
      </c>
      <c r="F745" s="104" t="e">
        <f ca="1">IF($C$4="Hombre",(+VLOOKUP(INT(D745)+1,Tablas!$G$9:$K$1240,5,0)*(D745-INT(D745))+VLOOKUP(INT(D745),Tablas!$G$9:$K$1240,5,0)*(INT(D745)+1-D745))/(VLOOKUP(INT($C$5)+1,Tablas!$G$9:$K$1240,5,0)*($C$5-INT($C$5))+VLOOKUP(INT($C$5),Tablas!$G$9:$K$124,5,0)*(INT($C$5)+1-$C$5)),(+VLOOKUP(INT(D745)+1,Tablas!$G$9:$O$1240,9,0)*(D745-INT(D745))+VLOOKUP(INT(D745),Tablas!$G$9:$O$1240,9,0)*(INT(D745)+1-D745))/(VLOOKUP(INT($C$5)+1,Tablas!$G$9:$O$1240,9,0)*($C$5-INT($C$5))+VLOOKUP(INT($C$5),Tablas!$G$9:$O$124,9,0)*(INT($C$5)+1-$C$5)))</f>
        <v>#N/A</v>
      </c>
      <c r="G745" s="97" t="e">
        <f ca="1">IF($C$4="Hombre",(+VLOOKUP(INT(D745)+1,Tablas!$G$9:$K$1240,5,0)*(D745-INT(D745))+VLOOKUP(INT(D745),Tablas!$G$9:$K$1240,5,0)*(INT(D745)+1-D745)),+VLOOKUP(INT(D745)+1,Tablas!$G$9:$O$1240,9,0)*(D745-INT(D745))+VLOOKUP(INT(D745),Tablas!$G$9:$O$1240,9,0)*(INT(D745)+1-D745))</f>
        <v>#N/A</v>
      </c>
      <c r="H745" s="105">
        <f t="shared" ca="1" si="92"/>
        <v>1</v>
      </c>
      <c r="I745" s="106" t="e">
        <f t="shared" ca="1" si="93"/>
        <v>#N/A</v>
      </c>
      <c r="J745" s="106" t="e">
        <f t="shared" ca="1" si="97"/>
        <v>#N/A</v>
      </c>
      <c r="K745" s="105" t="e">
        <f t="shared" ca="1" si="94"/>
        <v>#N/A</v>
      </c>
      <c r="L745" s="75"/>
    </row>
    <row r="746" spans="2:12">
      <c r="B746" s="101">
        <f t="shared" ca="1" si="95"/>
        <v>74969</v>
      </c>
      <c r="C746" s="101">
        <f t="shared" ca="1" si="96"/>
        <v>74998</v>
      </c>
      <c r="D746" s="102">
        <f t="shared" ca="1" si="91"/>
        <v>127.82751540041068</v>
      </c>
      <c r="E746" s="103">
        <f t="shared" ca="1" si="90"/>
        <v>0.40428415036840165</v>
      </c>
      <c r="F746" s="104" t="e">
        <f ca="1">IF($C$4="Hombre",(+VLOOKUP(INT(D746)+1,Tablas!$G$9:$K$1240,5,0)*(D746-INT(D746))+VLOOKUP(INT(D746),Tablas!$G$9:$K$1240,5,0)*(INT(D746)+1-D746))/(VLOOKUP(INT($C$5)+1,Tablas!$G$9:$K$1240,5,0)*($C$5-INT($C$5))+VLOOKUP(INT($C$5),Tablas!$G$9:$K$124,5,0)*(INT($C$5)+1-$C$5)),(+VLOOKUP(INT(D746)+1,Tablas!$G$9:$O$1240,9,0)*(D746-INT(D746))+VLOOKUP(INT(D746),Tablas!$G$9:$O$1240,9,0)*(INT(D746)+1-D746))/(VLOOKUP(INT($C$5)+1,Tablas!$G$9:$O$1240,9,0)*($C$5-INT($C$5))+VLOOKUP(INT($C$5),Tablas!$G$9:$O$124,9,0)*(INT($C$5)+1-$C$5)))</f>
        <v>#N/A</v>
      </c>
      <c r="G746" s="97" t="e">
        <f ca="1">IF($C$4="Hombre",(+VLOOKUP(INT(D746)+1,Tablas!$G$9:$K$1240,5,0)*(D746-INT(D746))+VLOOKUP(INT(D746),Tablas!$G$9:$K$1240,5,0)*(INT(D746)+1-D746)),+VLOOKUP(INT(D746)+1,Tablas!$G$9:$O$1240,9,0)*(D746-INT(D746))+VLOOKUP(INT(D746),Tablas!$G$9:$O$1240,9,0)*(INT(D746)+1-D746))</f>
        <v>#N/A</v>
      </c>
      <c r="H746" s="105">
        <f t="shared" ca="1" si="92"/>
        <v>1</v>
      </c>
      <c r="I746" s="106" t="e">
        <f t="shared" ca="1" si="93"/>
        <v>#N/A</v>
      </c>
      <c r="J746" s="106" t="e">
        <f t="shared" ca="1" si="97"/>
        <v>#N/A</v>
      </c>
      <c r="K746" s="105" t="e">
        <f t="shared" ca="1" si="94"/>
        <v>#N/A</v>
      </c>
      <c r="L746" s="75"/>
    </row>
    <row r="747" spans="2:12">
      <c r="B747" s="101">
        <f t="shared" ca="1" si="95"/>
        <v>74999</v>
      </c>
      <c r="C747" s="101">
        <f t="shared" ca="1" si="96"/>
        <v>75029</v>
      </c>
      <c r="D747" s="102">
        <f t="shared" ca="1" si="91"/>
        <v>127.91238877481177</v>
      </c>
      <c r="E747" s="103">
        <f t="shared" ca="1" si="90"/>
        <v>0.40377360064776807</v>
      </c>
      <c r="F747" s="104" t="e">
        <f ca="1">IF($C$4="Hombre",(+VLOOKUP(INT(D747)+1,Tablas!$G$9:$K$1240,5,0)*(D747-INT(D747))+VLOOKUP(INT(D747),Tablas!$G$9:$K$1240,5,0)*(INT(D747)+1-D747))/(VLOOKUP(INT($C$5)+1,Tablas!$G$9:$K$1240,5,0)*($C$5-INT($C$5))+VLOOKUP(INT($C$5),Tablas!$G$9:$K$124,5,0)*(INT($C$5)+1-$C$5)),(+VLOOKUP(INT(D747)+1,Tablas!$G$9:$O$1240,9,0)*(D747-INT(D747))+VLOOKUP(INT(D747),Tablas!$G$9:$O$1240,9,0)*(INT(D747)+1-D747))/(VLOOKUP(INT($C$5)+1,Tablas!$G$9:$O$1240,9,0)*($C$5-INT($C$5))+VLOOKUP(INT($C$5),Tablas!$G$9:$O$124,9,0)*(INT($C$5)+1-$C$5)))</f>
        <v>#N/A</v>
      </c>
      <c r="G747" s="97" t="e">
        <f ca="1">IF($C$4="Hombre",(+VLOOKUP(INT(D747)+1,Tablas!$G$9:$K$1240,5,0)*(D747-INT(D747))+VLOOKUP(INT(D747),Tablas!$G$9:$K$1240,5,0)*(INT(D747)+1-D747)),+VLOOKUP(INT(D747)+1,Tablas!$G$9:$O$1240,9,0)*(D747-INT(D747))+VLOOKUP(INT(D747),Tablas!$G$9:$O$1240,9,0)*(INT(D747)+1-D747))</f>
        <v>#N/A</v>
      </c>
      <c r="H747" s="105">
        <f t="shared" ca="1" si="92"/>
        <v>1</v>
      </c>
      <c r="I747" s="106" t="e">
        <f t="shared" ca="1" si="93"/>
        <v>#N/A</v>
      </c>
      <c r="J747" s="106" t="e">
        <f t="shared" ca="1" si="97"/>
        <v>#N/A</v>
      </c>
      <c r="K747" s="105" t="e">
        <f t="shared" ca="1" si="94"/>
        <v>#N/A</v>
      </c>
      <c r="L747" s="75"/>
    </row>
    <row r="748" spans="2:12">
      <c r="B748" s="101">
        <f t="shared" ca="1" si="95"/>
        <v>75030</v>
      </c>
      <c r="C748" s="101">
        <f t="shared" ca="1" si="96"/>
        <v>75059</v>
      </c>
      <c r="D748" s="102">
        <f t="shared" ca="1" si="91"/>
        <v>127.99452429842573</v>
      </c>
      <c r="E748" s="103">
        <f t="shared" ca="1" si="90"/>
        <v>0.40328013416637781</v>
      </c>
      <c r="F748" s="104" t="e">
        <f ca="1">IF($C$4="Hombre",(+VLOOKUP(INT(D748)+1,Tablas!$G$9:$K$1240,5,0)*(D748-INT(D748))+VLOOKUP(INT(D748),Tablas!$G$9:$K$1240,5,0)*(INT(D748)+1-D748))/(VLOOKUP(INT($C$5)+1,Tablas!$G$9:$K$1240,5,0)*($C$5-INT($C$5))+VLOOKUP(INT($C$5),Tablas!$G$9:$K$124,5,0)*(INT($C$5)+1-$C$5)),(+VLOOKUP(INT(D748)+1,Tablas!$G$9:$O$1240,9,0)*(D748-INT(D748))+VLOOKUP(INT(D748),Tablas!$G$9:$O$1240,9,0)*(INT(D748)+1-D748))/(VLOOKUP(INT($C$5)+1,Tablas!$G$9:$O$1240,9,0)*($C$5-INT($C$5))+VLOOKUP(INT($C$5),Tablas!$G$9:$O$124,9,0)*(INT($C$5)+1-$C$5)))</f>
        <v>#N/A</v>
      </c>
      <c r="G748" s="97" t="e">
        <f ca="1">IF($C$4="Hombre",(+VLOOKUP(INT(D748)+1,Tablas!$G$9:$K$1240,5,0)*(D748-INT(D748))+VLOOKUP(INT(D748),Tablas!$G$9:$K$1240,5,0)*(INT(D748)+1-D748)),+VLOOKUP(INT(D748)+1,Tablas!$G$9:$O$1240,9,0)*(D748-INT(D748))+VLOOKUP(INT(D748),Tablas!$G$9:$O$1240,9,0)*(INT(D748)+1-D748))</f>
        <v>#N/A</v>
      </c>
      <c r="H748" s="105">
        <f t="shared" ca="1" si="92"/>
        <v>1</v>
      </c>
      <c r="I748" s="106" t="e">
        <f t="shared" ca="1" si="93"/>
        <v>#N/A</v>
      </c>
      <c r="J748" s="106" t="e">
        <f t="shared" ca="1" si="97"/>
        <v>#N/A</v>
      </c>
      <c r="K748" s="105" t="e">
        <f t="shared" ca="1" si="94"/>
        <v>#N/A</v>
      </c>
      <c r="L748" s="75"/>
    </row>
    <row r="749" spans="2:12">
      <c r="B749" s="101">
        <f t="shared" ca="1" si="95"/>
        <v>75060</v>
      </c>
      <c r="C749" s="101">
        <f t="shared" ca="1" si="96"/>
        <v>75090</v>
      </c>
      <c r="D749" s="102">
        <f t="shared" ca="1" si="91"/>
        <v>128.07939767282684</v>
      </c>
      <c r="E749" s="103">
        <f t="shared" ca="1" si="90"/>
        <v>0.40277085236631682</v>
      </c>
      <c r="F749" s="104" t="e">
        <f ca="1">IF($C$4="Hombre",(+VLOOKUP(INT(D749)+1,Tablas!$G$9:$K$1240,5,0)*(D749-INT(D749))+VLOOKUP(INT(D749),Tablas!$G$9:$K$1240,5,0)*(INT(D749)+1-D749))/(VLOOKUP(INT($C$5)+1,Tablas!$G$9:$K$1240,5,0)*($C$5-INT($C$5))+VLOOKUP(INT($C$5),Tablas!$G$9:$K$124,5,0)*(INT($C$5)+1-$C$5)),(+VLOOKUP(INT(D749)+1,Tablas!$G$9:$O$1240,9,0)*(D749-INT(D749))+VLOOKUP(INT(D749),Tablas!$G$9:$O$1240,9,0)*(INT(D749)+1-D749))/(VLOOKUP(INT($C$5)+1,Tablas!$G$9:$O$1240,9,0)*($C$5-INT($C$5))+VLOOKUP(INT($C$5),Tablas!$G$9:$O$124,9,0)*(INT($C$5)+1-$C$5)))</f>
        <v>#N/A</v>
      </c>
      <c r="G749" s="97" t="e">
        <f ca="1">IF($C$4="Hombre",(+VLOOKUP(INT(D749)+1,Tablas!$G$9:$K$1240,5,0)*(D749-INT(D749))+VLOOKUP(INT(D749),Tablas!$G$9:$K$1240,5,0)*(INT(D749)+1-D749)),+VLOOKUP(INT(D749)+1,Tablas!$G$9:$O$1240,9,0)*(D749-INT(D749))+VLOOKUP(INT(D749),Tablas!$G$9:$O$1240,9,0)*(INT(D749)+1-D749))</f>
        <v>#N/A</v>
      </c>
      <c r="H749" s="105">
        <f t="shared" ca="1" si="92"/>
        <v>1</v>
      </c>
      <c r="I749" s="106" t="e">
        <f t="shared" ca="1" si="93"/>
        <v>#N/A</v>
      </c>
      <c r="J749" s="106" t="e">
        <f t="shared" ca="1" si="97"/>
        <v>#N/A</v>
      </c>
      <c r="K749" s="105" t="e">
        <f t="shared" ca="1" si="94"/>
        <v>#N/A</v>
      </c>
      <c r="L749" s="75"/>
    </row>
    <row r="750" spans="2:12">
      <c r="B750" s="101">
        <f t="shared" ca="1" si="95"/>
        <v>75091</v>
      </c>
      <c r="C750" s="101">
        <f t="shared" ca="1" si="96"/>
        <v>75121</v>
      </c>
      <c r="D750" s="102">
        <f t="shared" ca="1" si="91"/>
        <v>128.16427104722791</v>
      </c>
      <c r="E750" s="103">
        <f t="shared" ca="1" si="90"/>
        <v>0.40226221371212389</v>
      </c>
      <c r="F750" s="104" t="e">
        <f ca="1">IF($C$4="Hombre",(+VLOOKUP(INT(D750)+1,Tablas!$G$9:$K$1240,5,0)*(D750-INT(D750))+VLOOKUP(INT(D750),Tablas!$G$9:$K$1240,5,0)*(INT(D750)+1-D750))/(VLOOKUP(INT($C$5)+1,Tablas!$G$9:$K$1240,5,0)*($C$5-INT($C$5))+VLOOKUP(INT($C$5),Tablas!$G$9:$K$124,5,0)*(INT($C$5)+1-$C$5)),(+VLOOKUP(INT(D750)+1,Tablas!$G$9:$O$1240,9,0)*(D750-INT(D750))+VLOOKUP(INT(D750),Tablas!$G$9:$O$1240,9,0)*(INT(D750)+1-D750))/(VLOOKUP(INT($C$5)+1,Tablas!$G$9:$O$1240,9,0)*($C$5-INT($C$5))+VLOOKUP(INT($C$5),Tablas!$G$9:$O$124,9,0)*(INT($C$5)+1-$C$5)))</f>
        <v>#N/A</v>
      </c>
      <c r="G750" s="97" t="e">
        <f ca="1">IF($C$4="Hombre",(+VLOOKUP(INT(D750)+1,Tablas!$G$9:$K$1240,5,0)*(D750-INT(D750))+VLOOKUP(INT(D750),Tablas!$G$9:$K$1240,5,0)*(INT(D750)+1-D750)),+VLOOKUP(INT(D750)+1,Tablas!$G$9:$O$1240,9,0)*(D750-INT(D750))+VLOOKUP(INT(D750),Tablas!$G$9:$O$1240,9,0)*(INT(D750)+1-D750))</f>
        <v>#N/A</v>
      </c>
      <c r="H750" s="105">
        <f t="shared" ca="1" si="92"/>
        <v>1</v>
      </c>
      <c r="I750" s="106" t="e">
        <f t="shared" ca="1" si="93"/>
        <v>#N/A</v>
      </c>
      <c r="J750" s="106" t="e">
        <f t="shared" ca="1" si="97"/>
        <v>#N/A</v>
      </c>
      <c r="K750" s="105" t="e">
        <f t="shared" ca="1" si="94"/>
        <v>#N/A</v>
      </c>
      <c r="L750" s="75"/>
    </row>
    <row r="751" spans="2:12">
      <c r="B751" s="101">
        <f t="shared" ca="1" si="95"/>
        <v>75122</v>
      </c>
      <c r="C751" s="101">
        <f t="shared" ca="1" si="96"/>
        <v>75151</v>
      </c>
      <c r="D751" s="102">
        <f t="shared" ca="1" si="91"/>
        <v>128.24640657084188</v>
      </c>
      <c r="E751" s="103">
        <f t="shared" ca="1" si="90"/>
        <v>0.40177059435197171</v>
      </c>
      <c r="F751" s="104" t="e">
        <f ca="1">IF($C$4="Hombre",(+VLOOKUP(INT(D751)+1,Tablas!$G$9:$K$1240,5,0)*(D751-INT(D751))+VLOOKUP(INT(D751),Tablas!$G$9:$K$1240,5,0)*(INT(D751)+1-D751))/(VLOOKUP(INT($C$5)+1,Tablas!$G$9:$K$1240,5,0)*($C$5-INT($C$5))+VLOOKUP(INT($C$5),Tablas!$G$9:$K$124,5,0)*(INT($C$5)+1-$C$5)),(+VLOOKUP(INT(D751)+1,Tablas!$G$9:$O$1240,9,0)*(D751-INT(D751))+VLOOKUP(INT(D751),Tablas!$G$9:$O$1240,9,0)*(INT(D751)+1-D751))/(VLOOKUP(INT($C$5)+1,Tablas!$G$9:$O$1240,9,0)*($C$5-INT($C$5))+VLOOKUP(INT($C$5),Tablas!$G$9:$O$124,9,0)*(INT($C$5)+1-$C$5)))</f>
        <v>#N/A</v>
      </c>
      <c r="G751" s="97" t="e">
        <f ca="1">IF($C$4="Hombre",(+VLOOKUP(INT(D751)+1,Tablas!$G$9:$K$1240,5,0)*(D751-INT(D751))+VLOOKUP(INT(D751),Tablas!$G$9:$K$1240,5,0)*(INT(D751)+1-D751)),+VLOOKUP(INT(D751)+1,Tablas!$G$9:$O$1240,9,0)*(D751-INT(D751))+VLOOKUP(INT(D751),Tablas!$G$9:$O$1240,9,0)*(INT(D751)+1-D751))</f>
        <v>#N/A</v>
      </c>
      <c r="H751" s="105">
        <f t="shared" ca="1" si="92"/>
        <v>1</v>
      </c>
      <c r="I751" s="106" t="e">
        <f t="shared" ca="1" si="93"/>
        <v>#N/A</v>
      </c>
      <c r="J751" s="106" t="e">
        <f t="shared" ca="1" si="97"/>
        <v>#N/A</v>
      </c>
      <c r="K751" s="105" t="e">
        <f t="shared" ca="1" si="94"/>
        <v>#N/A</v>
      </c>
      <c r="L751" s="75"/>
    </row>
    <row r="752" spans="2:12">
      <c r="B752" s="101">
        <f t="shared" ca="1" si="95"/>
        <v>75152</v>
      </c>
      <c r="C752" s="101">
        <f t="shared" ca="1" si="96"/>
        <v>75182</v>
      </c>
      <c r="D752" s="102">
        <f t="shared" ca="1" si="91"/>
        <v>128.33127994524298</v>
      </c>
      <c r="E752" s="103">
        <f t="shared" ca="1" si="90"/>
        <v>0.4012632188723288</v>
      </c>
      <c r="F752" s="104" t="e">
        <f ca="1">IF($C$4="Hombre",(+VLOOKUP(INT(D752)+1,Tablas!$G$9:$K$1240,5,0)*(D752-INT(D752))+VLOOKUP(INT(D752),Tablas!$G$9:$K$1240,5,0)*(INT(D752)+1-D752))/(VLOOKUP(INT($C$5)+1,Tablas!$G$9:$K$1240,5,0)*($C$5-INT($C$5))+VLOOKUP(INT($C$5),Tablas!$G$9:$K$124,5,0)*(INT($C$5)+1-$C$5)),(+VLOOKUP(INT(D752)+1,Tablas!$G$9:$O$1240,9,0)*(D752-INT(D752))+VLOOKUP(INT(D752),Tablas!$G$9:$O$1240,9,0)*(INT(D752)+1-D752))/(VLOOKUP(INT($C$5)+1,Tablas!$G$9:$O$1240,9,0)*($C$5-INT($C$5))+VLOOKUP(INT($C$5),Tablas!$G$9:$O$124,9,0)*(INT($C$5)+1-$C$5)))</f>
        <v>#N/A</v>
      </c>
      <c r="G752" s="97" t="e">
        <f ca="1">IF($C$4="Hombre",(+VLOOKUP(INT(D752)+1,Tablas!$G$9:$K$1240,5,0)*(D752-INT(D752))+VLOOKUP(INT(D752),Tablas!$G$9:$K$1240,5,0)*(INT(D752)+1-D752)),+VLOOKUP(INT(D752)+1,Tablas!$G$9:$O$1240,9,0)*(D752-INT(D752))+VLOOKUP(INT(D752),Tablas!$G$9:$O$1240,9,0)*(INT(D752)+1-D752))</f>
        <v>#N/A</v>
      </c>
      <c r="H752" s="105">
        <f t="shared" ca="1" si="92"/>
        <v>1</v>
      </c>
      <c r="I752" s="106" t="e">
        <f t="shared" ca="1" si="93"/>
        <v>#N/A</v>
      </c>
      <c r="J752" s="106" t="e">
        <f t="shared" ca="1" si="97"/>
        <v>#N/A</v>
      </c>
      <c r="K752" s="105" t="e">
        <f t="shared" ca="1" si="94"/>
        <v>#N/A</v>
      </c>
      <c r="L752" s="75"/>
    </row>
    <row r="753" spans="2:12">
      <c r="B753" s="101">
        <f t="shared" ca="1" si="95"/>
        <v>75183</v>
      </c>
      <c r="C753" s="101">
        <f t="shared" ca="1" si="96"/>
        <v>75212</v>
      </c>
      <c r="D753" s="102">
        <f t="shared" ca="1" si="91"/>
        <v>128.41341546885695</v>
      </c>
      <c r="E753" s="103">
        <f t="shared" ca="1" si="90"/>
        <v>0.40077282042029866</v>
      </c>
      <c r="F753" s="104" t="e">
        <f ca="1">IF($C$4="Hombre",(+VLOOKUP(INT(D753)+1,Tablas!$G$9:$K$1240,5,0)*(D753-INT(D753))+VLOOKUP(INT(D753),Tablas!$G$9:$K$1240,5,0)*(INT(D753)+1-D753))/(VLOOKUP(INT($C$5)+1,Tablas!$G$9:$K$1240,5,0)*($C$5-INT($C$5))+VLOOKUP(INT($C$5),Tablas!$G$9:$K$124,5,0)*(INT($C$5)+1-$C$5)),(+VLOOKUP(INT(D753)+1,Tablas!$G$9:$O$1240,9,0)*(D753-INT(D753))+VLOOKUP(INT(D753),Tablas!$G$9:$O$1240,9,0)*(INT(D753)+1-D753))/(VLOOKUP(INT($C$5)+1,Tablas!$G$9:$O$1240,9,0)*($C$5-INT($C$5))+VLOOKUP(INT($C$5),Tablas!$G$9:$O$124,9,0)*(INT($C$5)+1-$C$5)))</f>
        <v>#N/A</v>
      </c>
      <c r="G753" s="97" t="e">
        <f ca="1">IF($C$4="Hombre",(+VLOOKUP(INT(D753)+1,Tablas!$G$9:$K$1240,5,0)*(D753-INT(D753))+VLOOKUP(INT(D753),Tablas!$G$9:$K$1240,5,0)*(INT(D753)+1-D753)),+VLOOKUP(INT(D753)+1,Tablas!$G$9:$O$1240,9,0)*(D753-INT(D753))+VLOOKUP(INT(D753),Tablas!$G$9:$O$1240,9,0)*(INT(D753)+1-D753))</f>
        <v>#N/A</v>
      </c>
      <c r="H753" s="105">
        <f t="shared" ca="1" si="92"/>
        <v>1</v>
      </c>
      <c r="I753" s="106" t="e">
        <f t="shared" ca="1" si="93"/>
        <v>#N/A</v>
      </c>
      <c r="J753" s="106" t="e">
        <f t="shared" ca="1" si="97"/>
        <v>#N/A</v>
      </c>
      <c r="K753" s="105" t="e">
        <f t="shared" ca="1" si="94"/>
        <v>#N/A</v>
      </c>
      <c r="L753" s="75"/>
    </row>
    <row r="754" spans="2:12">
      <c r="B754" s="101">
        <f t="shared" ca="1" si="95"/>
        <v>75213</v>
      </c>
      <c r="C754" s="101">
        <f t="shared" ca="1" si="96"/>
        <v>75243</v>
      </c>
      <c r="D754" s="102">
        <f t="shared" ca="1" si="91"/>
        <v>128.49828884325805</v>
      </c>
      <c r="E754" s="103">
        <f t="shared" ca="1" si="90"/>
        <v>0.40026670497818539</v>
      </c>
      <c r="F754" s="104" t="e">
        <f ca="1">IF($C$4="Hombre",(+VLOOKUP(INT(D754)+1,Tablas!$G$9:$K$1240,5,0)*(D754-INT(D754))+VLOOKUP(INT(D754),Tablas!$G$9:$K$1240,5,0)*(INT(D754)+1-D754))/(VLOOKUP(INT($C$5)+1,Tablas!$G$9:$K$1240,5,0)*($C$5-INT($C$5))+VLOOKUP(INT($C$5),Tablas!$G$9:$K$124,5,0)*(INT($C$5)+1-$C$5)),(+VLOOKUP(INT(D754)+1,Tablas!$G$9:$O$1240,9,0)*(D754-INT(D754))+VLOOKUP(INT(D754),Tablas!$G$9:$O$1240,9,0)*(INT(D754)+1-D754))/(VLOOKUP(INT($C$5)+1,Tablas!$G$9:$O$1240,9,0)*($C$5-INT($C$5))+VLOOKUP(INT($C$5),Tablas!$G$9:$O$124,9,0)*(INT($C$5)+1-$C$5)))</f>
        <v>#N/A</v>
      </c>
      <c r="G754" s="97" t="e">
        <f ca="1">IF($C$4="Hombre",(+VLOOKUP(INT(D754)+1,Tablas!$G$9:$K$1240,5,0)*(D754-INT(D754))+VLOOKUP(INT(D754),Tablas!$G$9:$K$1240,5,0)*(INT(D754)+1-D754)),+VLOOKUP(INT(D754)+1,Tablas!$G$9:$O$1240,9,0)*(D754-INT(D754))+VLOOKUP(INT(D754),Tablas!$G$9:$O$1240,9,0)*(INT(D754)+1-D754))</f>
        <v>#N/A</v>
      </c>
      <c r="H754" s="105">
        <f t="shared" ca="1" si="92"/>
        <v>1</v>
      </c>
      <c r="I754" s="106" t="e">
        <f t="shared" ca="1" si="93"/>
        <v>#N/A</v>
      </c>
      <c r="J754" s="106" t="e">
        <f t="shared" ca="1" si="97"/>
        <v>#N/A</v>
      </c>
      <c r="K754" s="105" t="e">
        <f t="shared" ca="1" si="94"/>
        <v>#N/A</v>
      </c>
      <c r="L754" s="75"/>
    </row>
    <row r="755" spans="2:12">
      <c r="B755" s="101">
        <f t="shared" ca="1" si="95"/>
        <v>75244</v>
      </c>
      <c r="C755" s="101">
        <f t="shared" ca="1" si="96"/>
        <v>75274</v>
      </c>
      <c r="D755" s="102">
        <f t="shared" ca="1" si="91"/>
        <v>128.58316221765915</v>
      </c>
      <c r="E755" s="103">
        <f t="shared" ca="1" si="90"/>
        <v>0.39976122868330877</v>
      </c>
      <c r="F755" s="104" t="e">
        <f ca="1">IF($C$4="Hombre",(+VLOOKUP(INT(D755)+1,Tablas!$G$9:$K$1240,5,0)*(D755-INT(D755))+VLOOKUP(INT(D755),Tablas!$G$9:$K$1240,5,0)*(INT(D755)+1-D755))/(VLOOKUP(INT($C$5)+1,Tablas!$G$9:$K$1240,5,0)*($C$5-INT($C$5))+VLOOKUP(INT($C$5),Tablas!$G$9:$K$124,5,0)*(INT($C$5)+1-$C$5)),(+VLOOKUP(INT(D755)+1,Tablas!$G$9:$O$1240,9,0)*(D755-INT(D755))+VLOOKUP(INT(D755),Tablas!$G$9:$O$1240,9,0)*(INT(D755)+1-D755))/(VLOOKUP(INT($C$5)+1,Tablas!$G$9:$O$1240,9,0)*($C$5-INT($C$5))+VLOOKUP(INT($C$5),Tablas!$G$9:$O$124,9,0)*(INT($C$5)+1-$C$5)))</f>
        <v>#N/A</v>
      </c>
      <c r="G755" s="97" t="e">
        <f ca="1">IF($C$4="Hombre",(+VLOOKUP(INT(D755)+1,Tablas!$G$9:$K$1240,5,0)*(D755-INT(D755))+VLOOKUP(INT(D755),Tablas!$G$9:$K$1240,5,0)*(INT(D755)+1-D755)),+VLOOKUP(INT(D755)+1,Tablas!$G$9:$O$1240,9,0)*(D755-INT(D755))+VLOOKUP(INT(D755),Tablas!$G$9:$O$1240,9,0)*(INT(D755)+1-D755))</f>
        <v>#N/A</v>
      </c>
      <c r="H755" s="105">
        <f t="shared" ca="1" si="92"/>
        <v>1</v>
      </c>
      <c r="I755" s="106" t="e">
        <f t="shared" ca="1" si="93"/>
        <v>#N/A</v>
      </c>
      <c r="J755" s="106" t="e">
        <f t="shared" ca="1" si="97"/>
        <v>#N/A</v>
      </c>
      <c r="K755" s="105" t="e">
        <f t="shared" ca="1" si="94"/>
        <v>#N/A</v>
      </c>
      <c r="L755" s="75"/>
    </row>
    <row r="756" spans="2:12">
      <c r="B756" s="101">
        <f t="shared" ca="1" si="95"/>
        <v>75275</v>
      </c>
      <c r="C756" s="101">
        <f t="shared" ca="1" si="96"/>
        <v>75302</v>
      </c>
      <c r="D756" s="102">
        <f t="shared" ca="1" si="91"/>
        <v>128.65982203969884</v>
      </c>
      <c r="E756" s="103">
        <f t="shared" ca="1" si="90"/>
        <v>0.39930521813851055</v>
      </c>
      <c r="F756" s="104" t="e">
        <f ca="1">IF($C$4="Hombre",(+VLOOKUP(INT(D756)+1,Tablas!$G$9:$K$1240,5,0)*(D756-INT(D756))+VLOOKUP(INT(D756),Tablas!$G$9:$K$1240,5,0)*(INT(D756)+1-D756))/(VLOOKUP(INT($C$5)+1,Tablas!$G$9:$K$1240,5,0)*($C$5-INT($C$5))+VLOOKUP(INT($C$5),Tablas!$G$9:$K$124,5,0)*(INT($C$5)+1-$C$5)),(+VLOOKUP(INT(D756)+1,Tablas!$G$9:$O$1240,9,0)*(D756-INT(D756))+VLOOKUP(INT(D756),Tablas!$G$9:$O$1240,9,0)*(INT(D756)+1-D756))/(VLOOKUP(INT($C$5)+1,Tablas!$G$9:$O$1240,9,0)*($C$5-INT($C$5))+VLOOKUP(INT($C$5),Tablas!$G$9:$O$124,9,0)*(INT($C$5)+1-$C$5)))</f>
        <v>#N/A</v>
      </c>
      <c r="G756" s="97" t="e">
        <f ca="1">IF($C$4="Hombre",(+VLOOKUP(INT(D756)+1,Tablas!$G$9:$K$1240,5,0)*(D756-INT(D756))+VLOOKUP(INT(D756),Tablas!$G$9:$K$1240,5,0)*(INT(D756)+1-D756)),+VLOOKUP(INT(D756)+1,Tablas!$G$9:$O$1240,9,0)*(D756-INT(D756))+VLOOKUP(INT(D756),Tablas!$G$9:$O$1240,9,0)*(INT(D756)+1-D756))</f>
        <v>#N/A</v>
      </c>
      <c r="H756" s="105">
        <f t="shared" ca="1" si="92"/>
        <v>1</v>
      </c>
      <c r="I756" s="106" t="e">
        <f t="shared" ca="1" si="93"/>
        <v>#N/A</v>
      </c>
      <c r="J756" s="106" t="e">
        <f t="shared" ca="1" si="97"/>
        <v>#N/A</v>
      </c>
      <c r="K756" s="105" t="e">
        <f t="shared" ca="1" si="94"/>
        <v>#N/A</v>
      </c>
      <c r="L756" s="75"/>
    </row>
    <row r="757" spans="2:12">
      <c r="B757" s="101">
        <f t="shared" ca="1" si="95"/>
        <v>75303</v>
      </c>
      <c r="C757" s="101">
        <f t="shared" ca="1" si="96"/>
        <v>75333</v>
      </c>
      <c r="D757" s="102">
        <f t="shared" ca="1" si="91"/>
        <v>128.74469541409994</v>
      </c>
      <c r="E757" s="103">
        <f t="shared" ca="1" si="90"/>
        <v>0.39880095605605592</v>
      </c>
      <c r="F757" s="104" t="e">
        <f ca="1">IF($C$4="Hombre",(+VLOOKUP(INT(D757)+1,Tablas!$G$9:$K$1240,5,0)*(D757-INT(D757))+VLOOKUP(INT(D757),Tablas!$G$9:$K$1240,5,0)*(INT(D757)+1-D757))/(VLOOKUP(INT($C$5)+1,Tablas!$G$9:$K$1240,5,0)*($C$5-INT($C$5))+VLOOKUP(INT($C$5),Tablas!$G$9:$K$124,5,0)*(INT($C$5)+1-$C$5)),(+VLOOKUP(INT(D757)+1,Tablas!$G$9:$O$1240,9,0)*(D757-INT(D757))+VLOOKUP(INT(D757),Tablas!$G$9:$O$1240,9,0)*(INT(D757)+1-D757))/(VLOOKUP(INT($C$5)+1,Tablas!$G$9:$O$1240,9,0)*($C$5-INT($C$5))+VLOOKUP(INT($C$5),Tablas!$G$9:$O$124,9,0)*(INT($C$5)+1-$C$5)))</f>
        <v>#N/A</v>
      </c>
      <c r="G757" s="97" t="e">
        <f ca="1">IF($C$4="Hombre",(+VLOOKUP(INT(D757)+1,Tablas!$G$9:$K$1240,5,0)*(D757-INT(D757))+VLOOKUP(INT(D757),Tablas!$G$9:$K$1240,5,0)*(INT(D757)+1-D757)),+VLOOKUP(INT(D757)+1,Tablas!$G$9:$O$1240,9,0)*(D757-INT(D757))+VLOOKUP(INT(D757),Tablas!$G$9:$O$1240,9,0)*(INT(D757)+1-D757))</f>
        <v>#N/A</v>
      </c>
      <c r="H757" s="105">
        <f t="shared" ca="1" si="92"/>
        <v>1</v>
      </c>
      <c r="I757" s="106" t="e">
        <f t="shared" ca="1" si="93"/>
        <v>#N/A</v>
      </c>
      <c r="J757" s="106" t="e">
        <f t="shared" ca="1" si="97"/>
        <v>#N/A</v>
      </c>
      <c r="K757" s="105" t="e">
        <f t="shared" ca="1" si="94"/>
        <v>#N/A</v>
      </c>
      <c r="L757" s="75"/>
    </row>
    <row r="758" spans="2:12">
      <c r="B758" s="101">
        <f t="shared" ca="1" si="95"/>
        <v>75334</v>
      </c>
      <c r="C758" s="101">
        <f t="shared" ca="1" si="96"/>
        <v>75363</v>
      </c>
      <c r="D758" s="102">
        <f t="shared" ca="1" si="91"/>
        <v>128.82683093771391</v>
      </c>
      <c r="E758" s="103">
        <f t="shared" ref="E758:E821" ca="1" si="98">IF($D$17+40&lt;=D758,(1+$D$7)^-(D758-$C$5),(1+$C$7)^-(D758-$C$5))</f>
        <v>0.39831356682544655</v>
      </c>
      <c r="F758" s="104" t="e">
        <f ca="1">IF($C$4="Hombre",(+VLOOKUP(INT(D758)+1,Tablas!$G$9:$K$1240,5,0)*(D758-INT(D758))+VLOOKUP(INT(D758),Tablas!$G$9:$K$1240,5,0)*(INT(D758)+1-D758))/(VLOOKUP(INT($C$5)+1,Tablas!$G$9:$K$1240,5,0)*($C$5-INT($C$5))+VLOOKUP(INT($C$5),Tablas!$G$9:$K$124,5,0)*(INT($C$5)+1-$C$5)),(+VLOOKUP(INT(D758)+1,Tablas!$G$9:$O$1240,9,0)*(D758-INT(D758))+VLOOKUP(INT(D758),Tablas!$G$9:$O$1240,9,0)*(INT(D758)+1-D758))/(VLOOKUP(INT($C$5)+1,Tablas!$G$9:$O$1240,9,0)*($C$5-INT($C$5))+VLOOKUP(INT($C$5),Tablas!$G$9:$O$124,9,0)*(INT($C$5)+1-$C$5)))</f>
        <v>#N/A</v>
      </c>
      <c r="G758" s="97" t="e">
        <f ca="1">IF($C$4="Hombre",(+VLOOKUP(INT(D758)+1,Tablas!$G$9:$K$1240,5,0)*(D758-INT(D758))+VLOOKUP(INT(D758),Tablas!$G$9:$K$1240,5,0)*(INT(D758)+1-D758)),+VLOOKUP(INT(D758)+1,Tablas!$G$9:$O$1240,9,0)*(D758-INT(D758))+VLOOKUP(INT(D758),Tablas!$G$9:$O$1240,9,0)*(INT(D758)+1-D758))</f>
        <v>#N/A</v>
      </c>
      <c r="H758" s="105">
        <f t="shared" ca="1" si="92"/>
        <v>1</v>
      </c>
      <c r="I758" s="106" t="e">
        <f t="shared" ca="1" si="93"/>
        <v>#N/A</v>
      </c>
      <c r="J758" s="106" t="e">
        <f t="shared" ca="1" si="97"/>
        <v>#N/A</v>
      </c>
      <c r="K758" s="105" t="e">
        <f t="shared" ca="1" si="94"/>
        <v>#N/A</v>
      </c>
      <c r="L758" s="75"/>
    </row>
    <row r="759" spans="2:12">
      <c r="B759" s="101">
        <f t="shared" ca="1" si="95"/>
        <v>75364</v>
      </c>
      <c r="C759" s="101">
        <f t="shared" ca="1" si="96"/>
        <v>75394</v>
      </c>
      <c r="D759" s="102">
        <f t="shared" ca="1" si="91"/>
        <v>128.91170431211498</v>
      </c>
      <c r="E759" s="103">
        <f t="shared" ca="1" si="98"/>
        <v>0.3978105570485807</v>
      </c>
      <c r="F759" s="104" t="e">
        <f ca="1">IF($C$4="Hombre",(+VLOOKUP(INT(D759)+1,Tablas!$G$9:$K$1240,5,0)*(D759-INT(D759))+VLOOKUP(INT(D759),Tablas!$G$9:$K$1240,5,0)*(INT(D759)+1-D759))/(VLOOKUP(INT($C$5)+1,Tablas!$G$9:$K$1240,5,0)*($C$5-INT($C$5))+VLOOKUP(INT($C$5),Tablas!$G$9:$K$124,5,0)*(INT($C$5)+1-$C$5)),(+VLOOKUP(INT(D759)+1,Tablas!$G$9:$O$1240,9,0)*(D759-INT(D759))+VLOOKUP(INT(D759),Tablas!$G$9:$O$1240,9,0)*(INT(D759)+1-D759))/(VLOOKUP(INT($C$5)+1,Tablas!$G$9:$O$1240,9,0)*($C$5-INT($C$5))+VLOOKUP(INT($C$5),Tablas!$G$9:$O$124,9,0)*(INT($C$5)+1-$C$5)))</f>
        <v>#N/A</v>
      </c>
      <c r="G759" s="97" t="e">
        <f ca="1">IF($C$4="Hombre",(+VLOOKUP(INT(D759)+1,Tablas!$G$9:$K$1240,5,0)*(D759-INT(D759))+VLOOKUP(INT(D759),Tablas!$G$9:$K$1240,5,0)*(INT(D759)+1-D759)),+VLOOKUP(INT(D759)+1,Tablas!$G$9:$O$1240,9,0)*(D759-INT(D759))+VLOOKUP(INT(D759),Tablas!$G$9:$O$1240,9,0)*(INT(D759)+1-D759))</f>
        <v>#N/A</v>
      </c>
      <c r="H759" s="105">
        <f t="shared" ca="1" si="92"/>
        <v>1</v>
      </c>
      <c r="I759" s="106" t="e">
        <f t="shared" ca="1" si="93"/>
        <v>#N/A</v>
      </c>
      <c r="J759" s="106" t="e">
        <f t="shared" ca="1" si="97"/>
        <v>#N/A</v>
      </c>
      <c r="K759" s="105" t="e">
        <f t="shared" ca="1" si="94"/>
        <v>#N/A</v>
      </c>
      <c r="L759" s="75"/>
    </row>
    <row r="760" spans="2:12">
      <c r="B760" s="101">
        <f t="shared" ca="1" si="95"/>
        <v>75395</v>
      </c>
      <c r="C760" s="101">
        <f t="shared" ca="1" si="96"/>
        <v>75424</v>
      </c>
      <c r="D760" s="102">
        <f t="shared" ca="1" si="91"/>
        <v>128.99383983572895</v>
      </c>
      <c r="E760" s="103">
        <f t="shared" ca="1" si="98"/>
        <v>0.3973243782208124</v>
      </c>
      <c r="F760" s="104" t="e">
        <f ca="1">IF($C$4="Hombre",(+VLOOKUP(INT(D760)+1,Tablas!$G$9:$K$1240,5,0)*(D760-INT(D760))+VLOOKUP(INT(D760),Tablas!$G$9:$K$1240,5,0)*(INT(D760)+1-D760))/(VLOOKUP(INT($C$5)+1,Tablas!$G$9:$K$1240,5,0)*($C$5-INT($C$5))+VLOOKUP(INT($C$5),Tablas!$G$9:$K$124,5,0)*(INT($C$5)+1-$C$5)),(+VLOOKUP(INT(D760)+1,Tablas!$G$9:$O$1240,9,0)*(D760-INT(D760))+VLOOKUP(INT(D760),Tablas!$G$9:$O$1240,9,0)*(INT(D760)+1-D760))/(VLOOKUP(INT($C$5)+1,Tablas!$G$9:$O$1240,9,0)*($C$5-INT($C$5))+VLOOKUP(INT($C$5),Tablas!$G$9:$O$124,9,0)*(INT($C$5)+1-$C$5)))</f>
        <v>#N/A</v>
      </c>
      <c r="G760" s="97" t="e">
        <f ca="1">IF($C$4="Hombre",(+VLOOKUP(INT(D760)+1,Tablas!$G$9:$K$1240,5,0)*(D760-INT(D760))+VLOOKUP(INT(D760),Tablas!$G$9:$K$1240,5,0)*(INT(D760)+1-D760)),+VLOOKUP(INT(D760)+1,Tablas!$G$9:$O$1240,9,0)*(D760-INT(D760))+VLOOKUP(INT(D760),Tablas!$G$9:$O$1240,9,0)*(INT(D760)+1-D760))</f>
        <v>#N/A</v>
      </c>
      <c r="H760" s="105">
        <f t="shared" ca="1" si="92"/>
        <v>1</v>
      </c>
      <c r="I760" s="106" t="e">
        <f t="shared" ca="1" si="93"/>
        <v>#N/A</v>
      </c>
      <c r="J760" s="106" t="e">
        <f t="shared" ca="1" si="97"/>
        <v>#N/A</v>
      </c>
      <c r="K760" s="105" t="e">
        <f t="shared" ca="1" si="94"/>
        <v>#N/A</v>
      </c>
      <c r="L760" s="75"/>
    </row>
    <row r="761" spans="2:12">
      <c r="B761" s="101">
        <f t="shared" ca="1" si="95"/>
        <v>75425</v>
      </c>
      <c r="C761" s="101">
        <f t="shared" ca="1" si="96"/>
        <v>75455</v>
      </c>
      <c r="D761" s="102">
        <f t="shared" ca="1" si="91"/>
        <v>129.07871321013005</v>
      </c>
      <c r="E761" s="103">
        <f t="shared" ca="1" si="98"/>
        <v>0.39682261763950671</v>
      </c>
      <c r="F761" s="104" t="e">
        <f ca="1">IF($C$4="Hombre",(+VLOOKUP(INT(D761)+1,Tablas!$G$9:$K$1240,5,0)*(D761-INT(D761))+VLOOKUP(INT(D761),Tablas!$G$9:$K$1240,5,0)*(INT(D761)+1-D761))/(VLOOKUP(INT($C$5)+1,Tablas!$G$9:$K$1240,5,0)*($C$5-INT($C$5))+VLOOKUP(INT($C$5),Tablas!$G$9:$K$124,5,0)*(INT($C$5)+1-$C$5)),(+VLOOKUP(INT(D761)+1,Tablas!$G$9:$O$1240,9,0)*(D761-INT(D761))+VLOOKUP(INT(D761),Tablas!$G$9:$O$1240,9,0)*(INT(D761)+1-D761))/(VLOOKUP(INT($C$5)+1,Tablas!$G$9:$O$1240,9,0)*($C$5-INT($C$5))+VLOOKUP(INT($C$5),Tablas!$G$9:$O$124,9,0)*(INT($C$5)+1-$C$5)))</f>
        <v>#N/A</v>
      </c>
      <c r="G761" s="97" t="e">
        <f ca="1">IF($C$4="Hombre",(+VLOOKUP(INT(D761)+1,Tablas!$G$9:$K$1240,5,0)*(D761-INT(D761))+VLOOKUP(INT(D761),Tablas!$G$9:$K$1240,5,0)*(INT(D761)+1-D761)),+VLOOKUP(INT(D761)+1,Tablas!$G$9:$O$1240,9,0)*(D761-INT(D761))+VLOOKUP(INT(D761),Tablas!$G$9:$O$1240,9,0)*(INT(D761)+1-D761))</f>
        <v>#N/A</v>
      </c>
      <c r="H761" s="105">
        <f t="shared" ca="1" si="92"/>
        <v>1</v>
      </c>
      <c r="I761" s="106" t="e">
        <f t="shared" ca="1" si="93"/>
        <v>#N/A</v>
      </c>
      <c r="J761" s="106" t="e">
        <f t="shared" ca="1" si="97"/>
        <v>#N/A</v>
      </c>
      <c r="K761" s="105" t="e">
        <f t="shared" ca="1" si="94"/>
        <v>#N/A</v>
      </c>
      <c r="L761" s="75"/>
    </row>
    <row r="762" spans="2:12">
      <c r="B762" s="101">
        <f t="shared" ca="1" si="95"/>
        <v>75456</v>
      </c>
      <c r="C762" s="101">
        <f t="shared" ca="1" si="96"/>
        <v>75486</v>
      </c>
      <c r="D762" s="102">
        <f t="shared" ca="1" si="91"/>
        <v>129.16358658453115</v>
      </c>
      <c r="E762" s="103">
        <f t="shared" ca="1" si="98"/>
        <v>0.39632149070590733</v>
      </c>
      <c r="F762" s="104" t="e">
        <f ca="1">IF($C$4="Hombre",(+VLOOKUP(INT(D762)+1,Tablas!$G$9:$K$1240,5,0)*(D762-INT(D762))+VLOOKUP(INT(D762),Tablas!$G$9:$K$1240,5,0)*(INT(D762)+1-D762))/(VLOOKUP(INT($C$5)+1,Tablas!$G$9:$K$1240,5,0)*($C$5-INT($C$5))+VLOOKUP(INT($C$5),Tablas!$G$9:$K$124,5,0)*(INT($C$5)+1-$C$5)),(+VLOOKUP(INT(D762)+1,Tablas!$G$9:$O$1240,9,0)*(D762-INT(D762))+VLOOKUP(INT(D762),Tablas!$G$9:$O$1240,9,0)*(INT(D762)+1-D762))/(VLOOKUP(INT($C$5)+1,Tablas!$G$9:$O$1240,9,0)*($C$5-INT($C$5))+VLOOKUP(INT($C$5),Tablas!$G$9:$O$124,9,0)*(INT($C$5)+1-$C$5)))</f>
        <v>#N/A</v>
      </c>
      <c r="G762" s="97" t="e">
        <f ca="1">IF($C$4="Hombre",(+VLOOKUP(INT(D762)+1,Tablas!$G$9:$K$1240,5,0)*(D762-INT(D762))+VLOOKUP(INT(D762),Tablas!$G$9:$K$1240,5,0)*(INT(D762)+1-D762)),+VLOOKUP(INT(D762)+1,Tablas!$G$9:$O$1240,9,0)*(D762-INT(D762))+VLOOKUP(INT(D762),Tablas!$G$9:$O$1240,9,0)*(INT(D762)+1-D762))</f>
        <v>#N/A</v>
      </c>
      <c r="H762" s="105">
        <f t="shared" ca="1" si="92"/>
        <v>1</v>
      </c>
      <c r="I762" s="106" t="e">
        <f t="shared" ca="1" si="93"/>
        <v>#N/A</v>
      </c>
      <c r="J762" s="106" t="e">
        <f t="shared" ca="1" si="97"/>
        <v>#N/A</v>
      </c>
      <c r="K762" s="105" t="e">
        <f t="shared" ca="1" si="94"/>
        <v>#N/A</v>
      </c>
      <c r="L762" s="75"/>
    </row>
    <row r="763" spans="2:12">
      <c r="B763" s="101">
        <f t="shared" ca="1" si="95"/>
        <v>75487</v>
      </c>
      <c r="C763" s="101">
        <f t="shared" ca="1" si="96"/>
        <v>75516</v>
      </c>
      <c r="D763" s="102">
        <f t="shared" ca="1" si="91"/>
        <v>129.24572210814512</v>
      </c>
      <c r="E763" s="103">
        <f t="shared" ca="1" si="98"/>
        <v>0.39583713172056439</v>
      </c>
      <c r="F763" s="104" t="e">
        <f ca="1">IF($C$4="Hombre",(+VLOOKUP(INT(D763)+1,Tablas!$G$9:$K$1240,5,0)*(D763-INT(D763))+VLOOKUP(INT(D763),Tablas!$G$9:$K$1240,5,0)*(INT(D763)+1-D763))/(VLOOKUP(INT($C$5)+1,Tablas!$G$9:$K$1240,5,0)*($C$5-INT($C$5))+VLOOKUP(INT($C$5),Tablas!$G$9:$K$124,5,0)*(INT($C$5)+1-$C$5)),(+VLOOKUP(INT(D763)+1,Tablas!$G$9:$O$1240,9,0)*(D763-INT(D763))+VLOOKUP(INT(D763),Tablas!$G$9:$O$1240,9,0)*(INT(D763)+1-D763))/(VLOOKUP(INT($C$5)+1,Tablas!$G$9:$O$1240,9,0)*($C$5-INT($C$5))+VLOOKUP(INT($C$5),Tablas!$G$9:$O$124,9,0)*(INT($C$5)+1-$C$5)))</f>
        <v>#N/A</v>
      </c>
      <c r="G763" s="97" t="e">
        <f ca="1">IF($C$4="Hombre",(+VLOOKUP(INT(D763)+1,Tablas!$G$9:$K$1240,5,0)*(D763-INT(D763))+VLOOKUP(INT(D763),Tablas!$G$9:$K$1240,5,0)*(INT(D763)+1-D763)),+VLOOKUP(INT(D763)+1,Tablas!$G$9:$O$1240,9,0)*(D763-INT(D763))+VLOOKUP(INT(D763),Tablas!$G$9:$O$1240,9,0)*(INT(D763)+1-D763))</f>
        <v>#N/A</v>
      </c>
      <c r="H763" s="105">
        <f t="shared" ca="1" si="92"/>
        <v>1</v>
      </c>
      <c r="I763" s="106" t="e">
        <f t="shared" ca="1" si="93"/>
        <v>#N/A</v>
      </c>
      <c r="J763" s="106" t="e">
        <f t="shared" ca="1" si="97"/>
        <v>#N/A</v>
      </c>
      <c r="K763" s="105" t="e">
        <f t="shared" ca="1" si="94"/>
        <v>#N/A</v>
      </c>
      <c r="L763" s="75"/>
    </row>
    <row r="764" spans="2:12">
      <c r="B764" s="101">
        <f t="shared" ca="1" si="95"/>
        <v>75517</v>
      </c>
      <c r="C764" s="101">
        <f t="shared" ca="1" si="96"/>
        <v>75547</v>
      </c>
      <c r="D764" s="102">
        <f t="shared" ca="1" si="91"/>
        <v>129.33059548254622</v>
      </c>
      <c r="E764" s="103">
        <f t="shared" ca="1" si="98"/>
        <v>0.39533724930659353</v>
      </c>
      <c r="F764" s="104" t="e">
        <f ca="1">IF($C$4="Hombre",(+VLOOKUP(INT(D764)+1,Tablas!$G$9:$K$1240,5,0)*(D764-INT(D764))+VLOOKUP(INT(D764),Tablas!$G$9:$K$1240,5,0)*(INT(D764)+1-D764))/(VLOOKUP(INT($C$5)+1,Tablas!$G$9:$K$1240,5,0)*($C$5-INT($C$5))+VLOOKUP(INT($C$5),Tablas!$G$9:$K$124,5,0)*(INT($C$5)+1-$C$5)),(+VLOOKUP(INT(D764)+1,Tablas!$G$9:$O$1240,9,0)*(D764-INT(D764))+VLOOKUP(INT(D764),Tablas!$G$9:$O$1240,9,0)*(INT(D764)+1-D764))/(VLOOKUP(INT($C$5)+1,Tablas!$G$9:$O$1240,9,0)*($C$5-INT($C$5))+VLOOKUP(INT($C$5),Tablas!$G$9:$O$124,9,0)*(INT($C$5)+1-$C$5)))</f>
        <v>#N/A</v>
      </c>
      <c r="G764" s="97" t="e">
        <f ca="1">IF($C$4="Hombre",(+VLOOKUP(INT(D764)+1,Tablas!$G$9:$K$1240,5,0)*(D764-INT(D764))+VLOOKUP(INT(D764),Tablas!$G$9:$K$1240,5,0)*(INT(D764)+1-D764)),+VLOOKUP(INT(D764)+1,Tablas!$G$9:$O$1240,9,0)*(D764-INT(D764))+VLOOKUP(INT(D764),Tablas!$G$9:$O$1240,9,0)*(INT(D764)+1-D764))</f>
        <v>#N/A</v>
      </c>
      <c r="H764" s="105">
        <f t="shared" ca="1" si="92"/>
        <v>1</v>
      </c>
      <c r="I764" s="106" t="e">
        <f t="shared" ca="1" si="93"/>
        <v>#N/A</v>
      </c>
      <c r="J764" s="106" t="e">
        <f t="shared" ca="1" si="97"/>
        <v>#N/A</v>
      </c>
      <c r="K764" s="105" t="e">
        <f t="shared" ca="1" si="94"/>
        <v>#N/A</v>
      </c>
      <c r="L764" s="75"/>
    </row>
    <row r="765" spans="2:12">
      <c r="B765" s="101">
        <f t="shared" ca="1" si="95"/>
        <v>75548</v>
      </c>
      <c r="C765" s="101">
        <f t="shared" ca="1" si="96"/>
        <v>75577</v>
      </c>
      <c r="D765" s="102">
        <f t="shared" ca="1" si="91"/>
        <v>129.41273100616016</v>
      </c>
      <c r="E765" s="103">
        <f t="shared" ca="1" si="98"/>
        <v>0.39485409319865372</v>
      </c>
      <c r="F765" s="104" t="e">
        <f ca="1">IF($C$4="Hombre",(+VLOOKUP(INT(D765)+1,Tablas!$G$9:$K$1240,5,0)*(D765-INT(D765))+VLOOKUP(INT(D765),Tablas!$G$9:$K$1240,5,0)*(INT(D765)+1-D765))/(VLOOKUP(INT($C$5)+1,Tablas!$G$9:$K$1240,5,0)*($C$5-INT($C$5))+VLOOKUP(INT($C$5),Tablas!$G$9:$K$124,5,0)*(INT($C$5)+1-$C$5)),(+VLOOKUP(INT(D765)+1,Tablas!$G$9:$O$1240,9,0)*(D765-INT(D765))+VLOOKUP(INT(D765),Tablas!$G$9:$O$1240,9,0)*(INT(D765)+1-D765))/(VLOOKUP(INT($C$5)+1,Tablas!$G$9:$O$1240,9,0)*($C$5-INT($C$5))+VLOOKUP(INT($C$5),Tablas!$G$9:$O$124,9,0)*(INT($C$5)+1-$C$5)))</f>
        <v>#N/A</v>
      </c>
      <c r="G765" s="97" t="e">
        <f ca="1">IF($C$4="Hombre",(+VLOOKUP(INT(D765)+1,Tablas!$G$9:$K$1240,5,0)*(D765-INT(D765))+VLOOKUP(INT(D765),Tablas!$G$9:$K$1240,5,0)*(INT(D765)+1-D765)),+VLOOKUP(INT(D765)+1,Tablas!$G$9:$O$1240,9,0)*(D765-INT(D765))+VLOOKUP(INT(D765),Tablas!$G$9:$O$1240,9,0)*(INT(D765)+1-D765))</f>
        <v>#N/A</v>
      </c>
      <c r="H765" s="105">
        <f t="shared" ca="1" si="92"/>
        <v>1</v>
      </c>
      <c r="I765" s="106" t="e">
        <f t="shared" ca="1" si="93"/>
        <v>#N/A</v>
      </c>
      <c r="J765" s="106" t="e">
        <f t="shared" ca="1" si="97"/>
        <v>#N/A</v>
      </c>
      <c r="K765" s="105" t="e">
        <f t="shared" ca="1" si="94"/>
        <v>#N/A</v>
      </c>
      <c r="L765" s="75"/>
    </row>
    <row r="766" spans="2:12">
      <c r="B766" s="101">
        <f t="shared" ca="1" si="95"/>
        <v>75578</v>
      </c>
      <c r="C766" s="101">
        <f t="shared" ca="1" si="96"/>
        <v>75608</v>
      </c>
      <c r="D766" s="102">
        <f t="shared" ca="1" si="91"/>
        <v>129.49760438056126</v>
      </c>
      <c r="E766" s="103">
        <f t="shared" ca="1" si="98"/>
        <v>0.39435545221361906</v>
      </c>
      <c r="F766" s="104" t="e">
        <f ca="1">IF($C$4="Hombre",(+VLOOKUP(INT(D766)+1,Tablas!$G$9:$K$1240,5,0)*(D766-INT(D766))+VLOOKUP(INT(D766),Tablas!$G$9:$K$1240,5,0)*(INT(D766)+1-D766))/(VLOOKUP(INT($C$5)+1,Tablas!$G$9:$K$1240,5,0)*($C$5-INT($C$5))+VLOOKUP(INT($C$5),Tablas!$G$9:$K$124,5,0)*(INT($C$5)+1-$C$5)),(+VLOOKUP(INT(D766)+1,Tablas!$G$9:$O$1240,9,0)*(D766-INT(D766))+VLOOKUP(INT(D766),Tablas!$G$9:$O$1240,9,0)*(INT(D766)+1-D766))/(VLOOKUP(INT($C$5)+1,Tablas!$G$9:$O$1240,9,0)*($C$5-INT($C$5))+VLOOKUP(INT($C$5),Tablas!$G$9:$O$124,9,0)*(INT($C$5)+1-$C$5)))</f>
        <v>#N/A</v>
      </c>
      <c r="G766" s="97" t="e">
        <f ca="1">IF($C$4="Hombre",(+VLOOKUP(INT(D766)+1,Tablas!$G$9:$K$1240,5,0)*(D766-INT(D766))+VLOOKUP(INT(D766),Tablas!$G$9:$K$1240,5,0)*(INT(D766)+1-D766)),+VLOOKUP(INT(D766)+1,Tablas!$G$9:$O$1240,9,0)*(D766-INT(D766))+VLOOKUP(INT(D766),Tablas!$G$9:$O$1240,9,0)*(INT(D766)+1-D766))</f>
        <v>#N/A</v>
      </c>
      <c r="H766" s="105">
        <f t="shared" ca="1" si="92"/>
        <v>1</v>
      </c>
      <c r="I766" s="106" t="e">
        <f t="shared" ca="1" si="93"/>
        <v>#N/A</v>
      </c>
      <c r="J766" s="106" t="e">
        <f t="shared" ca="1" si="97"/>
        <v>#N/A</v>
      </c>
      <c r="K766" s="105" t="e">
        <f t="shared" ca="1" si="94"/>
        <v>#N/A</v>
      </c>
      <c r="L766" s="75"/>
    </row>
    <row r="767" spans="2:12">
      <c r="B767" s="101">
        <f t="shared" ca="1" si="95"/>
        <v>75609</v>
      </c>
      <c r="C767" s="101">
        <f t="shared" ca="1" si="96"/>
        <v>75639</v>
      </c>
      <c r="D767" s="102">
        <f t="shared" ca="1" si="91"/>
        <v>129.58247775496235</v>
      </c>
      <c r="E767" s="103">
        <f t="shared" ca="1" si="98"/>
        <v>0.39385744093671265</v>
      </c>
      <c r="F767" s="104" t="e">
        <f ca="1">IF($C$4="Hombre",(+VLOOKUP(INT(D767)+1,Tablas!$G$9:$K$1240,5,0)*(D767-INT(D767))+VLOOKUP(INT(D767),Tablas!$G$9:$K$1240,5,0)*(INT(D767)+1-D767))/(VLOOKUP(INT($C$5)+1,Tablas!$G$9:$K$1240,5,0)*($C$5-INT($C$5))+VLOOKUP(INT($C$5),Tablas!$G$9:$K$124,5,0)*(INT($C$5)+1-$C$5)),(+VLOOKUP(INT(D767)+1,Tablas!$G$9:$O$1240,9,0)*(D767-INT(D767))+VLOOKUP(INT(D767),Tablas!$G$9:$O$1240,9,0)*(INT(D767)+1-D767))/(VLOOKUP(INT($C$5)+1,Tablas!$G$9:$O$1240,9,0)*($C$5-INT($C$5))+VLOOKUP(INT($C$5),Tablas!$G$9:$O$124,9,0)*(INT($C$5)+1-$C$5)))</f>
        <v>#N/A</v>
      </c>
      <c r="G767" s="97" t="e">
        <f ca="1">IF($C$4="Hombre",(+VLOOKUP(INT(D767)+1,Tablas!$G$9:$K$1240,5,0)*(D767-INT(D767))+VLOOKUP(INT(D767),Tablas!$G$9:$K$1240,5,0)*(INT(D767)+1-D767)),+VLOOKUP(INT(D767)+1,Tablas!$G$9:$O$1240,9,0)*(D767-INT(D767))+VLOOKUP(INT(D767),Tablas!$G$9:$O$1240,9,0)*(INT(D767)+1-D767))</f>
        <v>#N/A</v>
      </c>
      <c r="H767" s="105">
        <f t="shared" ca="1" si="92"/>
        <v>1</v>
      </c>
      <c r="I767" s="106" t="e">
        <f t="shared" ca="1" si="93"/>
        <v>#N/A</v>
      </c>
      <c r="J767" s="106" t="e">
        <f t="shared" ca="1" si="97"/>
        <v>#N/A</v>
      </c>
      <c r="K767" s="105" t="e">
        <f t="shared" ca="1" si="94"/>
        <v>#N/A</v>
      </c>
      <c r="L767" s="75"/>
    </row>
    <row r="768" spans="2:12">
      <c r="B768" s="101">
        <f t="shared" ca="1" si="95"/>
        <v>75640</v>
      </c>
      <c r="C768" s="101">
        <f t="shared" ca="1" si="96"/>
        <v>75667</v>
      </c>
      <c r="D768" s="102">
        <f t="shared" ca="1" si="91"/>
        <v>129.65913757700204</v>
      </c>
      <c r="E768" s="103">
        <f t="shared" ca="1" si="98"/>
        <v>0.39340816488559094</v>
      </c>
      <c r="F768" s="104" t="e">
        <f ca="1">IF($C$4="Hombre",(+VLOOKUP(INT(D768)+1,Tablas!$G$9:$K$1240,5,0)*(D768-INT(D768))+VLOOKUP(INT(D768),Tablas!$G$9:$K$1240,5,0)*(INT(D768)+1-D768))/(VLOOKUP(INT($C$5)+1,Tablas!$G$9:$K$1240,5,0)*($C$5-INT($C$5))+VLOOKUP(INT($C$5),Tablas!$G$9:$K$124,5,0)*(INT($C$5)+1-$C$5)),(+VLOOKUP(INT(D768)+1,Tablas!$G$9:$O$1240,9,0)*(D768-INT(D768))+VLOOKUP(INT(D768),Tablas!$G$9:$O$1240,9,0)*(INT(D768)+1-D768))/(VLOOKUP(INT($C$5)+1,Tablas!$G$9:$O$1240,9,0)*($C$5-INT($C$5))+VLOOKUP(INT($C$5),Tablas!$G$9:$O$124,9,0)*(INT($C$5)+1-$C$5)))</f>
        <v>#N/A</v>
      </c>
      <c r="G768" s="97" t="e">
        <f ca="1">IF($C$4="Hombre",(+VLOOKUP(INT(D768)+1,Tablas!$G$9:$K$1240,5,0)*(D768-INT(D768))+VLOOKUP(INT(D768),Tablas!$G$9:$K$1240,5,0)*(INT(D768)+1-D768)),+VLOOKUP(INT(D768)+1,Tablas!$G$9:$O$1240,9,0)*(D768-INT(D768))+VLOOKUP(INT(D768),Tablas!$G$9:$O$1240,9,0)*(INT(D768)+1-D768))</f>
        <v>#N/A</v>
      </c>
      <c r="H768" s="105">
        <f t="shared" ca="1" si="92"/>
        <v>1</v>
      </c>
      <c r="I768" s="106" t="e">
        <f t="shared" ca="1" si="93"/>
        <v>#N/A</v>
      </c>
      <c r="J768" s="106" t="e">
        <f t="shared" ca="1" si="97"/>
        <v>#N/A</v>
      </c>
      <c r="K768" s="105" t="e">
        <f t="shared" ca="1" si="94"/>
        <v>#N/A</v>
      </c>
      <c r="L768" s="75"/>
    </row>
    <row r="769" spans="2:12">
      <c r="B769" s="101">
        <f t="shared" ca="1" si="95"/>
        <v>75668</v>
      </c>
      <c r="C769" s="101">
        <f t="shared" ca="1" si="96"/>
        <v>75698</v>
      </c>
      <c r="D769" s="102">
        <f t="shared" ca="1" si="91"/>
        <v>129.74401095140314</v>
      </c>
      <c r="E769" s="103">
        <f t="shared" ca="1" si="98"/>
        <v>0.39291134988927146</v>
      </c>
      <c r="F769" s="104" t="e">
        <f ca="1">IF($C$4="Hombre",(+VLOOKUP(INT(D769)+1,Tablas!$G$9:$K$1240,5,0)*(D769-INT(D769))+VLOOKUP(INT(D769),Tablas!$G$9:$K$1240,5,0)*(INT(D769)+1-D769))/(VLOOKUP(INT($C$5)+1,Tablas!$G$9:$K$1240,5,0)*($C$5-INT($C$5))+VLOOKUP(INT($C$5),Tablas!$G$9:$K$124,5,0)*(INT($C$5)+1-$C$5)),(+VLOOKUP(INT(D769)+1,Tablas!$G$9:$O$1240,9,0)*(D769-INT(D769))+VLOOKUP(INT(D769),Tablas!$G$9:$O$1240,9,0)*(INT(D769)+1-D769))/(VLOOKUP(INT($C$5)+1,Tablas!$G$9:$O$1240,9,0)*($C$5-INT($C$5))+VLOOKUP(INT($C$5),Tablas!$G$9:$O$124,9,0)*(INT($C$5)+1-$C$5)))</f>
        <v>#N/A</v>
      </c>
      <c r="G769" s="97" t="e">
        <f ca="1">IF($C$4="Hombre",(+VLOOKUP(INT(D769)+1,Tablas!$G$9:$K$1240,5,0)*(D769-INT(D769))+VLOOKUP(INT(D769),Tablas!$G$9:$K$1240,5,0)*(INT(D769)+1-D769)),+VLOOKUP(INT(D769)+1,Tablas!$G$9:$O$1240,9,0)*(D769-INT(D769))+VLOOKUP(INT(D769),Tablas!$G$9:$O$1240,9,0)*(INT(D769)+1-D769))</f>
        <v>#N/A</v>
      </c>
      <c r="H769" s="105">
        <f t="shared" ca="1" si="92"/>
        <v>1</v>
      </c>
      <c r="I769" s="106" t="e">
        <f t="shared" ca="1" si="93"/>
        <v>#N/A</v>
      </c>
      <c r="J769" s="106" t="e">
        <f t="shared" ca="1" si="97"/>
        <v>#N/A</v>
      </c>
      <c r="K769" s="105" t="e">
        <f t="shared" ca="1" si="94"/>
        <v>#N/A</v>
      </c>
      <c r="L769" s="75"/>
    </row>
    <row r="770" spans="2:12">
      <c r="B770" s="101">
        <f t="shared" ca="1" si="95"/>
        <v>75699</v>
      </c>
      <c r="C770" s="101">
        <f t="shared" ca="1" si="96"/>
        <v>75728</v>
      </c>
      <c r="D770" s="102">
        <f t="shared" ca="1" si="91"/>
        <v>129.82614647501711</v>
      </c>
      <c r="E770" s="103">
        <f t="shared" ca="1" si="98"/>
        <v>0.39243115856171279</v>
      </c>
      <c r="F770" s="104" t="e">
        <f ca="1">IF($C$4="Hombre",(+VLOOKUP(INT(D770)+1,Tablas!$G$9:$K$1240,5,0)*(D770-INT(D770))+VLOOKUP(INT(D770),Tablas!$G$9:$K$1240,5,0)*(INT(D770)+1-D770))/(VLOOKUP(INT($C$5)+1,Tablas!$G$9:$K$1240,5,0)*($C$5-INT($C$5))+VLOOKUP(INT($C$5),Tablas!$G$9:$K$124,5,0)*(INT($C$5)+1-$C$5)),(+VLOOKUP(INT(D770)+1,Tablas!$G$9:$O$1240,9,0)*(D770-INT(D770))+VLOOKUP(INT(D770),Tablas!$G$9:$O$1240,9,0)*(INT(D770)+1-D770))/(VLOOKUP(INT($C$5)+1,Tablas!$G$9:$O$1240,9,0)*($C$5-INT($C$5))+VLOOKUP(INT($C$5),Tablas!$G$9:$O$124,9,0)*(INT($C$5)+1-$C$5)))</f>
        <v>#N/A</v>
      </c>
      <c r="G770" s="97" t="e">
        <f ca="1">IF($C$4="Hombre",(+VLOOKUP(INT(D770)+1,Tablas!$G$9:$K$1240,5,0)*(D770-INT(D770))+VLOOKUP(INT(D770),Tablas!$G$9:$K$1240,5,0)*(INT(D770)+1-D770)),+VLOOKUP(INT(D770)+1,Tablas!$G$9:$O$1240,9,0)*(D770-INT(D770))+VLOOKUP(INT(D770),Tablas!$G$9:$O$1240,9,0)*(INT(D770)+1-D770))</f>
        <v>#N/A</v>
      </c>
      <c r="H770" s="105">
        <f t="shared" ca="1" si="92"/>
        <v>1</v>
      </c>
      <c r="I770" s="106" t="e">
        <f t="shared" ca="1" si="93"/>
        <v>#N/A</v>
      </c>
      <c r="J770" s="106" t="e">
        <f t="shared" ca="1" si="97"/>
        <v>#N/A</v>
      </c>
      <c r="K770" s="105" t="e">
        <f t="shared" ca="1" si="94"/>
        <v>#N/A</v>
      </c>
      <c r="L770" s="75"/>
    </row>
    <row r="771" spans="2:12">
      <c r="B771" s="101">
        <f t="shared" ca="1" si="95"/>
        <v>75729</v>
      </c>
      <c r="C771" s="101">
        <f t="shared" ca="1" si="96"/>
        <v>75759</v>
      </c>
      <c r="D771" s="102">
        <f t="shared" ca="1" si="91"/>
        <v>129.91101984941821</v>
      </c>
      <c r="E771" s="103">
        <f t="shared" ca="1" si="98"/>
        <v>0.39193557737657603</v>
      </c>
      <c r="F771" s="104" t="e">
        <f ca="1">IF($C$4="Hombre",(+VLOOKUP(INT(D771)+1,Tablas!$G$9:$K$1240,5,0)*(D771-INT(D771))+VLOOKUP(INT(D771),Tablas!$G$9:$K$1240,5,0)*(INT(D771)+1-D771))/(VLOOKUP(INT($C$5)+1,Tablas!$G$9:$K$1240,5,0)*($C$5-INT($C$5))+VLOOKUP(INT($C$5),Tablas!$G$9:$K$124,5,0)*(INT($C$5)+1-$C$5)),(+VLOOKUP(INT(D771)+1,Tablas!$G$9:$O$1240,9,0)*(D771-INT(D771))+VLOOKUP(INT(D771),Tablas!$G$9:$O$1240,9,0)*(INT(D771)+1-D771))/(VLOOKUP(INT($C$5)+1,Tablas!$G$9:$O$1240,9,0)*($C$5-INT($C$5))+VLOOKUP(INT($C$5),Tablas!$G$9:$O$124,9,0)*(INT($C$5)+1-$C$5)))</f>
        <v>#N/A</v>
      </c>
      <c r="G771" s="97" t="e">
        <f ca="1">IF($C$4="Hombre",(+VLOOKUP(INT(D771)+1,Tablas!$G$9:$K$1240,5,0)*(D771-INT(D771))+VLOOKUP(INT(D771),Tablas!$G$9:$K$1240,5,0)*(INT(D771)+1-D771)),+VLOOKUP(INT(D771)+1,Tablas!$G$9:$O$1240,9,0)*(D771-INT(D771))+VLOOKUP(INT(D771),Tablas!$G$9:$O$1240,9,0)*(INT(D771)+1-D771))</f>
        <v>#N/A</v>
      </c>
      <c r="H771" s="105">
        <f t="shared" ca="1" si="92"/>
        <v>1</v>
      </c>
      <c r="I771" s="106" t="e">
        <f t="shared" ca="1" si="93"/>
        <v>#N/A</v>
      </c>
      <c r="J771" s="106" t="e">
        <f t="shared" ca="1" si="97"/>
        <v>#N/A</v>
      </c>
      <c r="K771" s="105" t="e">
        <f t="shared" ca="1" si="94"/>
        <v>#N/A</v>
      </c>
      <c r="L771" s="75"/>
    </row>
    <row r="772" spans="2:12">
      <c r="B772" s="101">
        <f t="shared" ca="1" si="95"/>
        <v>75760</v>
      </c>
      <c r="C772" s="101">
        <f t="shared" ca="1" si="96"/>
        <v>75789</v>
      </c>
      <c r="D772" s="102">
        <f t="shared" ca="1" si="91"/>
        <v>129.99315537303218</v>
      </c>
      <c r="E772" s="103">
        <f t="shared" ca="1" si="98"/>
        <v>0.39145657857628435</v>
      </c>
      <c r="F772" s="104" t="e">
        <f ca="1">IF($C$4="Hombre",(+VLOOKUP(INT(D772)+1,Tablas!$G$9:$K$1240,5,0)*(D772-INT(D772))+VLOOKUP(INT(D772),Tablas!$G$9:$K$1240,5,0)*(INT(D772)+1-D772))/(VLOOKUP(INT($C$5)+1,Tablas!$G$9:$K$1240,5,0)*($C$5-INT($C$5))+VLOOKUP(INT($C$5),Tablas!$G$9:$K$124,5,0)*(INT($C$5)+1-$C$5)),(+VLOOKUP(INT(D772)+1,Tablas!$G$9:$O$1240,9,0)*(D772-INT(D772))+VLOOKUP(INT(D772),Tablas!$G$9:$O$1240,9,0)*(INT(D772)+1-D772))/(VLOOKUP(INT($C$5)+1,Tablas!$G$9:$O$1240,9,0)*($C$5-INT($C$5))+VLOOKUP(INT($C$5),Tablas!$G$9:$O$124,9,0)*(INT($C$5)+1-$C$5)))</f>
        <v>#N/A</v>
      </c>
      <c r="G772" s="97" t="e">
        <f ca="1">IF($C$4="Hombre",(+VLOOKUP(INT(D772)+1,Tablas!$G$9:$K$1240,5,0)*(D772-INT(D772))+VLOOKUP(INT(D772),Tablas!$G$9:$K$1240,5,0)*(INT(D772)+1-D772)),+VLOOKUP(INT(D772)+1,Tablas!$G$9:$O$1240,9,0)*(D772-INT(D772))+VLOOKUP(INT(D772),Tablas!$G$9:$O$1240,9,0)*(INT(D772)+1-D772))</f>
        <v>#N/A</v>
      </c>
      <c r="H772" s="105">
        <f t="shared" ca="1" si="92"/>
        <v>1</v>
      </c>
      <c r="I772" s="106" t="e">
        <f t="shared" ca="1" si="93"/>
        <v>#N/A</v>
      </c>
      <c r="J772" s="106" t="e">
        <f t="shared" ca="1" si="97"/>
        <v>#N/A</v>
      </c>
      <c r="K772" s="105" t="e">
        <f t="shared" ca="1" si="94"/>
        <v>#N/A</v>
      </c>
      <c r="L772" s="75"/>
    </row>
    <row r="773" spans="2:12">
      <c r="B773" s="101">
        <f t="shared" ca="1" si="95"/>
        <v>75790</v>
      </c>
      <c r="C773" s="101">
        <f t="shared" ca="1" si="96"/>
        <v>75820</v>
      </c>
      <c r="D773" s="102">
        <f t="shared" ca="1" si="91"/>
        <v>130.07802874743325</v>
      </c>
      <c r="E773" s="103">
        <f t="shared" ca="1" si="98"/>
        <v>0.39096222813823206</v>
      </c>
      <c r="F773" s="104" t="e">
        <f ca="1">IF($C$4="Hombre",(+VLOOKUP(INT(D773)+1,Tablas!$G$9:$K$1240,5,0)*(D773-INT(D773))+VLOOKUP(INT(D773),Tablas!$G$9:$K$1240,5,0)*(INT(D773)+1-D773))/(VLOOKUP(INT($C$5)+1,Tablas!$G$9:$K$1240,5,0)*($C$5-INT($C$5))+VLOOKUP(INT($C$5),Tablas!$G$9:$K$124,5,0)*(INT($C$5)+1-$C$5)),(+VLOOKUP(INT(D773)+1,Tablas!$G$9:$O$1240,9,0)*(D773-INT(D773))+VLOOKUP(INT(D773),Tablas!$G$9:$O$1240,9,0)*(INT(D773)+1-D773))/(VLOOKUP(INT($C$5)+1,Tablas!$G$9:$O$1240,9,0)*($C$5-INT($C$5))+VLOOKUP(INT($C$5),Tablas!$G$9:$O$124,9,0)*(INT($C$5)+1-$C$5)))</f>
        <v>#N/A</v>
      </c>
      <c r="G773" s="97" t="e">
        <f ca="1">IF($C$4="Hombre",(+VLOOKUP(INT(D773)+1,Tablas!$G$9:$K$1240,5,0)*(D773-INT(D773))+VLOOKUP(INT(D773),Tablas!$G$9:$K$1240,5,0)*(INT(D773)+1-D773)),+VLOOKUP(INT(D773)+1,Tablas!$G$9:$O$1240,9,0)*(D773-INT(D773))+VLOOKUP(INT(D773),Tablas!$G$9:$O$1240,9,0)*(INT(D773)+1-D773))</f>
        <v>#N/A</v>
      </c>
      <c r="H773" s="105">
        <f t="shared" ca="1" si="92"/>
        <v>1</v>
      </c>
      <c r="I773" s="106" t="e">
        <f t="shared" ca="1" si="93"/>
        <v>#N/A</v>
      </c>
      <c r="J773" s="106" t="e">
        <f t="shared" ca="1" si="97"/>
        <v>#N/A</v>
      </c>
      <c r="K773" s="105" t="e">
        <f t="shared" ca="1" si="94"/>
        <v>#N/A</v>
      </c>
      <c r="L773" s="75"/>
    </row>
    <row r="774" spans="2:12">
      <c r="B774" s="101">
        <f t="shared" ca="1" si="95"/>
        <v>75821</v>
      </c>
      <c r="C774" s="101">
        <f t="shared" ca="1" si="96"/>
        <v>75851</v>
      </c>
      <c r="D774" s="102">
        <f t="shared" ca="1" si="91"/>
        <v>130.16290212183435</v>
      </c>
      <c r="E774" s="103">
        <f t="shared" ca="1" si="98"/>
        <v>0.39046850198999605</v>
      </c>
      <c r="F774" s="104" t="e">
        <f ca="1">IF($C$4="Hombre",(+VLOOKUP(INT(D774)+1,Tablas!$G$9:$K$1240,5,0)*(D774-INT(D774))+VLOOKUP(INT(D774),Tablas!$G$9:$K$1240,5,0)*(INT(D774)+1-D774))/(VLOOKUP(INT($C$5)+1,Tablas!$G$9:$K$1240,5,0)*($C$5-INT($C$5))+VLOOKUP(INT($C$5),Tablas!$G$9:$K$124,5,0)*(INT($C$5)+1-$C$5)),(+VLOOKUP(INT(D774)+1,Tablas!$G$9:$O$1240,9,0)*(D774-INT(D774))+VLOOKUP(INT(D774),Tablas!$G$9:$O$1240,9,0)*(INT(D774)+1-D774))/(VLOOKUP(INT($C$5)+1,Tablas!$G$9:$O$1240,9,0)*($C$5-INT($C$5))+VLOOKUP(INT($C$5),Tablas!$G$9:$O$124,9,0)*(INT($C$5)+1-$C$5)))</f>
        <v>#N/A</v>
      </c>
      <c r="G774" s="97" t="e">
        <f ca="1">IF($C$4="Hombre",(+VLOOKUP(INT(D774)+1,Tablas!$G$9:$K$1240,5,0)*(D774-INT(D774))+VLOOKUP(INT(D774),Tablas!$G$9:$K$1240,5,0)*(INT(D774)+1-D774)),+VLOOKUP(INT(D774)+1,Tablas!$G$9:$O$1240,9,0)*(D774-INT(D774))+VLOOKUP(INT(D774),Tablas!$G$9:$O$1240,9,0)*(INT(D774)+1-D774))</f>
        <v>#N/A</v>
      </c>
      <c r="H774" s="105">
        <f t="shared" ca="1" si="92"/>
        <v>1</v>
      </c>
      <c r="I774" s="106" t="e">
        <f t="shared" ca="1" si="93"/>
        <v>#N/A</v>
      </c>
      <c r="J774" s="106" t="e">
        <f t="shared" ca="1" si="97"/>
        <v>#N/A</v>
      </c>
      <c r="K774" s="105" t="e">
        <f t="shared" ca="1" si="94"/>
        <v>#N/A</v>
      </c>
      <c r="L774" s="75"/>
    </row>
    <row r="775" spans="2:12">
      <c r="B775" s="101">
        <f t="shared" ca="1" si="95"/>
        <v>75852</v>
      </c>
      <c r="C775" s="101">
        <f t="shared" ca="1" si="96"/>
        <v>75881</v>
      </c>
      <c r="D775" s="102">
        <f t="shared" ca="1" si="91"/>
        <v>130.24503764544832</v>
      </c>
      <c r="E775" s="103">
        <f t="shared" ca="1" si="98"/>
        <v>0.38999129615617817</v>
      </c>
      <c r="F775" s="104" t="e">
        <f ca="1">IF($C$4="Hombre",(+VLOOKUP(INT(D775)+1,Tablas!$G$9:$K$1240,5,0)*(D775-INT(D775))+VLOOKUP(INT(D775),Tablas!$G$9:$K$1240,5,0)*(INT(D775)+1-D775))/(VLOOKUP(INT($C$5)+1,Tablas!$G$9:$K$1240,5,0)*($C$5-INT($C$5))+VLOOKUP(INT($C$5),Tablas!$G$9:$K$124,5,0)*(INT($C$5)+1-$C$5)),(+VLOOKUP(INT(D775)+1,Tablas!$G$9:$O$1240,9,0)*(D775-INT(D775))+VLOOKUP(INT(D775),Tablas!$G$9:$O$1240,9,0)*(INT(D775)+1-D775))/(VLOOKUP(INT($C$5)+1,Tablas!$G$9:$O$1240,9,0)*($C$5-INT($C$5))+VLOOKUP(INT($C$5),Tablas!$G$9:$O$124,9,0)*(INT($C$5)+1-$C$5)))</f>
        <v>#N/A</v>
      </c>
      <c r="G775" s="97" t="e">
        <f ca="1">IF($C$4="Hombre",(+VLOOKUP(INT(D775)+1,Tablas!$G$9:$K$1240,5,0)*(D775-INT(D775))+VLOOKUP(INT(D775),Tablas!$G$9:$K$1240,5,0)*(INT(D775)+1-D775)),+VLOOKUP(INT(D775)+1,Tablas!$G$9:$O$1240,9,0)*(D775-INT(D775))+VLOOKUP(INT(D775),Tablas!$G$9:$O$1240,9,0)*(INT(D775)+1-D775))</f>
        <v>#N/A</v>
      </c>
      <c r="H775" s="105">
        <f t="shared" ca="1" si="92"/>
        <v>1</v>
      </c>
      <c r="I775" s="106" t="e">
        <f t="shared" ca="1" si="93"/>
        <v>#N/A</v>
      </c>
      <c r="J775" s="106" t="e">
        <f t="shared" ca="1" si="97"/>
        <v>#N/A</v>
      </c>
      <c r="K775" s="105" t="e">
        <f t="shared" ca="1" si="94"/>
        <v>#N/A</v>
      </c>
      <c r="L775" s="75"/>
    </row>
    <row r="776" spans="2:12">
      <c r="B776" s="101">
        <f t="shared" ca="1" si="95"/>
        <v>75882</v>
      </c>
      <c r="C776" s="101">
        <f t="shared" ca="1" si="96"/>
        <v>75912</v>
      </c>
      <c r="D776" s="102">
        <f t="shared" ca="1" si="91"/>
        <v>130.32991101984942</v>
      </c>
      <c r="E776" s="103">
        <f t="shared" ca="1" si="98"/>
        <v>0.38949879614815014</v>
      </c>
      <c r="F776" s="104" t="e">
        <f ca="1">IF($C$4="Hombre",(+VLOOKUP(INT(D776)+1,Tablas!$G$9:$K$1240,5,0)*(D776-INT(D776))+VLOOKUP(INT(D776),Tablas!$G$9:$K$1240,5,0)*(INT(D776)+1-D776))/(VLOOKUP(INT($C$5)+1,Tablas!$G$9:$K$1240,5,0)*($C$5-INT($C$5))+VLOOKUP(INT($C$5),Tablas!$G$9:$K$124,5,0)*(INT($C$5)+1-$C$5)),(+VLOOKUP(INT(D776)+1,Tablas!$G$9:$O$1240,9,0)*(D776-INT(D776))+VLOOKUP(INT(D776),Tablas!$G$9:$O$1240,9,0)*(INT(D776)+1-D776))/(VLOOKUP(INT($C$5)+1,Tablas!$G$9:$O$1240,9,0)*($C$5-INT($C$5))+VLOOKUP(INT($C$5),Tablas!$G$9:$O$124,9,0)*(INT($C$5)+1-$C$5)))</f>
        <v>#N/A</v>
      </c>
      <c r="G776" s="97" t="e">
        <f ca="1">IF($C$4="Hombre",(+VLOOKUP(INT(D776)+1,Tablas!$G$9:$K$1240,5,0)*(D776-INT(D776))+VLOOKUP(INT(D776),Tablas!$G$9:$K$1240,5,0)*(INT(D776)+1-D776)),+VLOOKUP(INT(D776)+1,Tablas!$G$9:$O$1240,9,0)*(D776-INT(D776))+VLOOKUP(INT(D776),Tablas!$G$9:$O$1240,9,0)*(INT(D776)+1-D776))</f>
        <v>#N/A</v>
      </c>
      <c r="H776" s="105">
        <f t="shared" ca="1" si="92"/>
        <v>1</v>
      </c>
      <c r="I776" s="106" t="e">
        <f t="shared" ca="1" si="93"/>
        <v>#N/A</v>
      </c>
      <c r="J776" s="106" t="e">
        <f t="shared" ca="1" si="97"/>
        <v>#N/A</v>
      </c>
      <c r="K776" s="105" t="e">
        <f t="shared" ca="1" si="94"/>
        <v>#N/A</v>
      </c>
      <c r="L776" s="75"/>
    </row>
    <row r="777" spans="2:12">
      <c r="B777" s="101">
        <f t="shared" ca="1" si="95"/>
        <v>75913</v>
      </c>
      <c r="C777" s="101">
        <f t="shared" ca="1" si="96"/>
        <v>75942</v>
      </c>
      <c r="D777" s="102">
        <f t="shared" ca="1" si="91"/>
        <v>130.41204654346339</v>
      </c>
      <c r="E777" s="103">
        <f t="shared" ca="1" si="98"/>
        <v>0.38902277542729891</v>
      </c>
      <c r="F777" s="104" t="e">
        <f ca="1">IF($C$4="Hombre",(+VLOOKUP(INT(D777)+1,Tablas!$G$9:$K$1240,5,0)*(D777-INT(D777))+VLOOKUP(INT(D777),Tablas!$G$9:$K$1240,5,0)*(INT(D777)+1-D777))/(VLOOKUP(INT($C$5)+1,Tablas!$G$9:$K$1240,5,0)*($C$5-INT($C$5))+VLOOKUP(INT($C$5),Tablas!$G$9:$K$124,5,0)*(INT($C$5)+1-$C$5)),(+VLOOKUP(INT(D777)+1,Tablas!$G$9:$O$1240,9,0)*(D777-INT(D777))+VLOOKUP(INT(D777),Tablas!$G$9:$O$1240,9,0)*(INT(D777)+1-D777))/(VLOOKUP(INT($C$5)+1,Tablas!$G$9:$O$1240,9,0)*($C$5-INT($C$5))+VLOOKUP(INT($C$5),Tablas!$G$9:$O$124,9,0)*(INT($C$5)+1-$C$5)))</f>
        <v>#N/A</v>
      </c>
      <c r="G777" s="97" t="e">
        <f ca="1">IF($C$4="Hombre",(+VLOOKUP(INT(D777)+1,Tablas!$G$9:$K$1240,5,0)*(D777-INT(D777))+VLOOKUP(INT(D777),Tablas!$G$9:$K$1240,5,0)*(INT(D777)+1-D777)),+VLOOKUP(INT(D777)+1,Tablas!$G$9:$O$1240,9,0)*(D777-INT(D777))+VLOOKUP(INT(D777),Tablas!$G$9:$O$1240,9,0)*(INT(D777)+1-D777))</f>
        <v>#N/A</v>
      </c>
      <c r="H777" s="105">
        <f t="shared" ca="1" si="92"/>
        <v>1</v>
      </c>
      <c r="I777" s="106" t="e">
        <f t="shared" ca="1" si="93"/>
        <v>#N/A</v>
      </c>
      <c r="J777" s="106" t="e">
        <f t="shared" ca="1" si="97"/>
        <v>#N/A</v>
      </c>
      <c r="K777" s="105" t="e">
        <f t="shared" ca="1" si="94"/>
        <v>#N/A</v>
      </c>
      <c r="L777" s="75"/>
    </row>
    <row r="778" spans="2:12">
      <c r="B778" s="101">
        <f t="shared" ca="1" si="95"/>
        <v>75943</v>
      </c>
      <c r="C778" s="101">
        <f t="shared" ca="1" si="96"/>
        <v>75973</v>
      </c>
      <c r="D778" s="102">
        <f t="shared" ca="1" si="91"/>
        <v>130.49691991786449</v>
      </c>
      <c r="E778" s="103">
        <f t="shared" ca="1" si="98"/>
        <v>0.38853149851443081</v>
      </c>
      <c r="F778" s="104" t="e">
        <f ca="1">IF($C$4="Hombre",(+VLOOKUP(INT(D778)+1,Tablas!$G$9:$K$1240,5,0)*(D778-INT(D778))+VLOOKUP(INT(D778),Tablas!$G$9:$K$1240,5,0)*(INT(D778)+1-D778))/(VLOOKUP(INT($C$5)+1,Tablas!$G$9:$K$1240,5,0)*($C$5-INT($C$5))+VLOOKUP(INT($C$5),Tablas!$G$9:$K$124,5,0)*(INT($C$5)+1-$C$5)),(+VLOOKUP(INT(D778)+1,Tablas!$G$9:$O$1240,9,0)*(D778-INT(D778))+VLOOKUP(INT(D778),Tablas!$G$9:$O$1240,9,0)*(INT(D778)+1-D778))/(VLOOKUP(INT($C$5)+1,Tablas!$G$9:$O$1240,9,0)*($C$5-INT($C$5))+VLOOKUP(INT($C$5),Tablas!$G$9:$O$124,9,0)*(INT($C$5)+1-$C$5)))</f>
        <v>#N/A</v>
      </c>
      <c r="G778" s="97" t="e">
        <f ca="1">IF($C$4="Hombre",(+VLOOKUP(INT(D778)+1,Tablas!$G$9:$K$1240,5,0)*(D778-INT(D778))+VLOOKUP(INT(D778),Tablas!$G$9:$K$1240,5,0)*(INT(D778)+1-D778)),+VLOOKUP(INT(D778)+1,Tablas!$G$9:$O$1240,9,0)*(D778-INT(D778))+VLOOKUP(INT(D778),Tablas!$G$9:$O$1240,9,0)*(INT(D778)+1-D778))</f>
        <v>#N/A</v>
      </c>
      <c r="H778" s="105">
        <f t="shared" ca="1" si="92"/>
        <v>1</v>
      </c>
      <c r="I778" s="106" t="e">
        <f t="shared" ca="1" si="93"/>
        <v>#N/A</v>
      </c>
      <c r="J778" s="106" t="e">
        <f t="shared" ca="1" si="97"/>
        <v>#N/A</v>
      </c>
      <c r="K778" s="105" t="e">
        <f t="shared" ca="1" si="94"/>
        <v>#N/A</v>
      </c>
      <c r="L778" s="75"/>
    </row>
    <row r="779" spans="2:12">
      <c r="B779" s="101">
        <f t="shared" ca="1" si="95"/>
        <v>75974</v>
      </c>
      <c r="C779" s="101">
        <f t="shared" ca="1" si="96"/>
        <v>76004</v>
      </c>
      <c r="D779" s="102">
        <f t="shared" ca="1" si="91"/>
        <v>130.58179329226556</v>
      </c>
      <c r="E779" s="103">
        <f t="shared" ca="1" si="98"/>
        <v>0.38804084200998201</v>
      </c>
      <c r="F779" s="104" t="e">
        <f ca="1">IF($C$4="Hombre",(+VLOOKUP(INT(D779)+1,Tablas!$G$9:$K$1240,5,0)*(D779-INT(D779))+VLOOKUP(INT(D779),Tablas!$G$9:$K$1240,5,0)*(INT(D779)+1-D779))/(VLOOKUP(INT($C$5)+1,Tablas!$G$9:$K$1240,5,0)*($C$5-INT($C$5))+VLOOKUP(INT($C$5),Tablas!$G$9:$K$124,5,0)*(INT($C$5)+1-$C$5)),(+VLOOKUP(INT(D779)+1,Tablas!$G$9:$O$1240,9,0)*(D779-INT(D779))+VLOOKUP(INT(D779),Tablas!$G$9:$O$1240,9,0)*(INT(D779)+1-D779))/(VLOOKUP(INT($C$5)+1,Tablas!$G$9:$O$1240,9,0)*($C$5-INT($C$5))+VLOOKUP(INT($C$5),Tablas!$G$9:$O$124,9,0)*(INT($C$5)+1-$C$5)))</f>
        <v>#N/A</v>
      </c>
      <c r="G779" s="97" t="e">
        <f ca="1">IF($C$4="Hombre",(+VLOOKUP(INT(D779)+1,Tablas!$G$9:$K$1240,5,0)*(D779-INT(D779))+VLOOKUP(INT(D779),Tablas!$G$9:$K$1240,5,0)*(INT(D779)+1-D779)),+VLOOKUP(INT(D779)+1,Tablas!$G$9:$O$1240,9,0)*(D779-INT(D779))+VLOOKUP(INT(D779),Tablas!$G$9:$O$1240,9,0)*(INT(D779)+1-D779))</f>
        <v>#N/A</v>
      </c>
      <c r="H779" s="105">
        <f t="shared" ca="1" si="92"/>
        <v>1</v>
      </c>
      <c r="I779" s="106" t="e">
        <f t="shared" ca="1" si="93"/>
        <v>#N/A</v>
      </c>
      <c r="J779" s="106" t="e">
        <f t="shared" ca="1" si="97"/>
        <v>#N/A</v>
      </c>
      <c r="K779" s="105" t="e">
        <f t="shared" ca="1" si="94"/>
        <v>#N/A</v>
      </c>
      <c r="L779" s="75"/>
    </row>
    <row r="780" spans="2:12">
      <c r="B780" s="101">
        <f t="shared" ca="1" si="95"/>
        <v>76005</v>
      </c>
      <c r="C780" s="101">
        <f t="shared" ca="1" si="96"/>
        <v>76033</v>
      </c>
      <c r="D780" s="102">
        <f t="shared" ca="1" si="91"/>
        <v>130.6611909650924</v>
      </c>
      <c r="E780" s="103">
        <f t="shared" ca="1" si="98"/>
        <v>0.38758240172989955</v>
      </c>
      <c r="F780" s="104" t="e">
        <f ca="1">IF($C$4="Hombre",(+VLOOKUP(INT(D780)+1,Tablas!$G$9:$K$1240,5,0)*(D780-INT(D780))+VLOOKUP(INT(D780),Tablas!$G$9:$K$1240,5,0)*(INT(D780)+1-D780))/(VLOOKUP(INT($C$5)+1,Tablas!$G$9:$K$1240,5,0)*($C$5-INT($C$5))+VLOOKUP(INT($C$5),Tablas!$G$9:$K$124,5,0)*(INT($C$5)+1-$C$5)),(+VLOOKUP(INT(D780)+1,Tablas!$G$9:$O$1240,9,0)*(D780-INT(D780))+VLOOKUP(INT(D780),Tablas!$G$9:$O$1240,9,0)*(INT(D780)+1-D780))/(VLOOKUP(INT($C$5)+1,Tablas!$G$9:$O$1240,9,0)*($C$5-INT($C$5))+VLOOKUP(INT($C$5),Tablas!$G$9:$O$124,9,0)*(INT($C$5)+1-$C$5)))</f>
        <v>#N/A</v>
      </c>
      <c r="G780" s="97" t="e">
        <f ca="1">IF($C$4="Hombre",(+VLOOKUP(INT(D780)+1,Tablas!$G$9:$K$1240,5,0)*(D780-INT(D780))+VLOOKUP(INT(D780),Tablas!$G$9:$K$1240,5,0)*(INT(D780)+1-D780)),+VLOOKUP(INT(D780)+1,Tablas!$G$9:$O$1240,9,0)*(D780-INT(D780))+VLOOKUP(INT(D780),Tablas!$G$9:$O$1240,9,0)*(INT(D780)+1-D780))</f>
        <v>#N/A</v>
      </c>
      <c r="H780" s="105">
        <f t="shared" ca="1" si="92"/>
        <v>1</v>
      </c>
      <c r="I780" s="106" t="e">
        <f t="shared" ca="1" si="93"/>
        <v>#N/A</v>
      </c>
      <c r="J780" s="106" t="e">
        <f t="shared" ca="1" si="97"/>
        <v>#N/A</v>
      </c>
      <c r="K780" s="105" t="e">
        <f t="shared" ca="1" si="94"/>
        <v>#N/A</v>
      </c>
      <c r="L780" s="75"/>
    </row>
    <row r="781" spans="2:12">
      <c r="B781" s="101">
        <f t="shared" ca="1" si="95"/>
        <v>76034</v>
      </c>
      <c r="C781" s="101">
        <f t="shared" ca="1" si="96"/>
        <v>76064</v>
      </c>
      <c r="D781" s="102">
        <f t="shared" ca="1" si="91"/>
        <v>130.7460643394935</v>
      </c>
      <c r="E781" s="103">
        <f t="shared" ca="1" si="98"/>
        <v>0.38709294379110731</v>
      </c>
      <c r="F781" s="104" t="e">
        <f ca="1">IF($C$4="Hombre",(+VLOOKUP(INT(D781)+1,Tablas!$G$9:$K$1240,5,0)*(D781-INT(D781))+VLOOKUP(INT(D781),Tablas!$G$9:$K$1240,5,0)*(INT(D781)+1-D781))/(VLOOKUP(INT($C$5)+1,Tablas!$G$9:$K$1240,5,0)*($C$5-INT($C$5))+VLOOKUP(INT($C$5),Tablas!$G$9:$K$124,5,0)*(INT($C$5)+1-$C$5)),(+VLOOKUP(INT(D781)+1,Tablas!$G$9:$O$1240,9,0)*(D781-INT(D781))+VLOOKUP(INT(D781),Tablas!$G$9:$O$1240,9,0)*(INT(D781)+1-D781))/(VLOOKUP(INT($C$5)+1,Tablas!$G$9:$O$1240,9,0)*($C$5-INT($C$5))+VLOOKUP(INT($C$5),Tablas!$G$9:$O$124,9,0)*(INT($C$5)+1-$C$5)))</f>
        <v>#N/A</v>
      </c>
      <c r="G781" s="97" t="e">
        <f ca="1">IF($C$4="Hombre",(+VLOOKUP(INT(D781)+1,Tablas!$G$9:$K$1240,5,0)*(D781-INT(D781))+VLOOKUP(INT(D781),Tablas!$G$9:$K$1240,5,0)*(INT(D781)+1-D781)),+VLOOKUP(INT(D781)+1,Tablas!$G$9:$O$1240,9,0)*(D781-INT(D781))+VLOOKUP(INT(D781),Tablas!$G$9:$O$1240,9,0)*(INT(D781)+1-D781))</f>
        <v>#N/A</v>
      </c>
      <c r="H781" s="105">
        <f t="shared" ca="1" si="92"/>
        <v>1</v>
      </c>
      <c r="I781" s="106" t="e">
        <f t="shared" ca="1" si="93"/>
        <v>#N/A</v>
      </c>
      <c r="J781" s="106" t="e">
        <f t="shared" ca="1" si="97"/>
        <v>#N/A</v>
      </c>
      <c r="K781" s="105" t="e">
        <f t="shared" ca="1" si="94"/>
        <v>#N/A</v>
      </c>
      <c r="L781" s="75"/>
    </row>
    <row r="782" spans="2:12">
      <c r="B782" s="101">
        <f t="shared" ca="1" si="95"/>
        <v>76065</v>
      </c>
      <c r="C782" s="101">
        <f t="shared" ca="1" si="96"/>
        <v>76094</v>
      </c>
      <c r="D782" s="102">
        <f t="shared" ca="1" si="91"/>
        <v>130.82819986310747</v>
      </c>
      <c r="E782" s="103">
        <f t="shared" ca="1" si="98"/>
        <v>0.38661986335039211</v>
      </c>
      <c r="F782" s="104" t="e">
        <f ca="1">IF($C$4="Hombre",(+VLOOKUP(INT(D782)+1,Tablas!$G$9:$K$1240,5,0)*(D782-INT(D782))+VLOOKUP(INT(D782),Tablas!$G$9:$K$1240,5,0)*(INT(D782)+1-D782))/(VLOOKUP(INT($C$5)+1,Tablas!$G$9:$K$1240,5,0)*($C$5-INT($C$5))+VLOOKUP(INT($C$5),Tablas!$G$9:$K$124,5,0)*(INT($C$5)+1-$C$5)),(+VLOOKUP(INT(D782)+1,Tablas!$G$9:$O$1240,9,0)*(D782-INT(D782))+VLOOKUP(INT(D782),Tablas!$G$9:$O$1240,9,0)*(INT(D782)+1-D782))/(VLOOKUP(INT($C$5)+1,Tablas!$G$9:$O$1240,9,0)*($C$5-INT($C$5))+VLOOKUP(INT($C$5),Tablas!$G$9:$O$124,9,0)*(INT($C$5)+1-$C$5)))</f>
        <v>#N/A</v>
      </c>
      <c r="G782" s="97" t="e">
        <f ca="1">IF($C$4="Hombre",(+VLOOKUP(INT(D782)+1,Tablas!$G$9:$K$1240,5,0)*(D782-INT(D782))+VLOOKUP(INT(D782),Tablas!$G$9:$K$1240,5,0)*(INT(D782)+1-D782)),+VLOOKUP(INT(D782)+1,Tablas!$G$9:$O$1240,9,0)*(D782-INT(D782))+VLOOKUP(INT(D782),Tablas!$G$9:$O$1240,9,0)*(INT(D782)+1-D782))</f>
        <v>#N/A</v>
      </c>
      <c r="H782" s="105">
        <f t="shared" ca="1" si="92"/>
        <v>1</v>
      </c>
      <c r="I782" s="106" t="e">
        <f t="shared" ca="1" si="93"/>
        <v>#N/A</v>
      </c>
      <c r="J782" s="106" t="e">
        <f t="shared" ca="1" si="97"/>
        <v>#N/A</v>
      </c>
      <c r="K782" s="105" t="e">
        <f t="shared" ca="1" si="94"/>
        <v>#N/A</v>
      </c>
      <c r="L782" s="75"/>
    </row>
    <row r="783" spans="2:12">
      <c r="B783" s="101">
        <f t="shared" ca="1" si="95"/>
        <v>76095</v>
      </c>
      <c r="C783" s="101">
        <f t="shared" ca="1" si="96"/>
        <v>76125</v>
      </c>
      <c r="D783" s="102">
        <f t="shared" ca="1" si="91"/>
        <v>130.91307323750857</v>
      </c>
      <c r="E783" s="103">
        <f t="shared" ca="1" si="98"/>
        <v>0.38613162095195752</v>
      </c>
      <c r="F783" s="104" t="e">
        <f ca="1">IF($C$4="Hombre",(+VLOOKUP(INT(D783)+1,Tablas!$G$9:$K$1240,5,0)*(D783-INT(D783))+VLOOKUP(INT(D783),Tablas!$G$9:$K$1240,5,0)*(INT(D783)+1-D783))/(VLOOKUP(INT($C$5)+1,Tablas!$G$9:$K$1240,5,0)*($C$5-INT($C$5))+VLOOKUP(INT($C$5),Tablas!$G$9:$K$124,5,0)*(INT($C$5)+1-$C$5)),(+VLOOKUP(INT(D783)+1,Tablas!$G$9:$O$1240,9,0)*(D783-INT(D783))+VLOOKUP(INT(D783),Tablas!$G$9:$O$1240,9,0)*(INT(D783)+1-D783))/(VLOOKUP(INT($C$5)+1,Tablas!$G$9:$O$1240,9,0)*($C$5-INT($C$5))+VLOOKUP(INT($C$5),Tablas!$G$9:$O$124,9,0)*(INT($C$5)+1-$C$5)))</f>
        <v>#N/A</v>
      </c>
      <c r="G783" s="97" t="e">
        <f ca="1">IF($C$4="Hombre",(+VLOOKUP(INT(D783)+1,Tablas!$G$9:$K$1240,5,0)*(D783-INT(D783))+VLOOKUP(INT(D783),Tablas!$G$9:$K$1240,5,0)*(INT(D783)+1-D783)),+VLOOKUP(INT(D783)+1,Tablas!$G$9:$O$1240,9,0)*(D783-INT(D783))+VLOOKUP(INT(D783),Tablas!$G$9:$O$1240,9,0)*(INT(D783)+1-D783))</f>
        <v>#N/A</v>
      </c>
      <c r="H783" s="105">
        <f t="shared" ca="1" si="92"/>
        <v>1</v>
      </c>
      <c r="I783" s="106" t="e">
        <f t="shared" ca="1" si="93"/>
        <v>#N/A</v>
      </c>
      <c r="J783" s="106" t="e">
        <f t="shared" ca="1" si="97"/>
        <v>#N/A</v>
      </c>
      <c r="K783" s="105" t="e">
        <f t="shared" ca="1" si="94"/>
        <v>#N/A</v>
      </c>
      <c r="L783" s="75"/>
    </row>
    <row r="784" spans="2:12">
      <c r="B784" s="101">
        <f t="shared" ca="1" si="95"/>
        <v>76126</v>
      </c>
      <c r="C784" s="101">
        <f t="shared" ca="1" si="96"/>
        <v>76155</v>
      </c>
      <c r="D784" s="102">
        <f t="shared" ca="1" si="91"/>
        <v>130.99520876112251</v>
      </c>
      <c r="E784" s="103">
        <f t="shared" ca="1" si="98"/>
        <v>0.38565971537903504</v>
      </c>
      <c r="F784" s="104" t="e">
        <f ca="1">IF($C$4="Hombre",(+VLOOKUP(INT(D784)+1,Tablas!$G$9:$K$1240,5,0)*(D784-INT(D784))+VLOOKUP(INT(D784),Tablas!$G$9:$K$1240,5,0)*(INT(D784)+1-D784))/(VLOOKUP(INT($C$5)+1,Tablas!$G$9:$K$1240,5,0)*($C$5-INT($C$5))+VLOOKUP(INT($C$5),Tablas!$G$9:$K$124,5,0)*(INT($C$5)+1-$C$5)),(+VLOOKUP(INT(D784)+1,Tablas!$G$9:$O$1240,9,0)*(D784-INT(D784))+VLOOKUP(INT(D784),Tablas!$G$9:$O$1240,9,0)*(INT(D784)+1-D784))/(VLOOKUP(INT($C$5)+1,Tablas!$G$9:$O$1240,9,0)*($C$5-INT($C$5))+VLOOKUP(INT($C$5),Tablas!$G$9:$O$124,9,0)*(INT($C$5)+1-$C$5)))</f>
        <v>#N/A</v>
      </c>
      <c r="G784" s="97" t="e">
        <f ca="1">IF($C$4="Hombre",(+VLOOKUP(INT(D784)+1,Tablas!$G$9:$K$1240,5,0)*(D784-INT(D784))+VLOOKUP(INT(D784),Tablas!$G$9:$K$1240,5,0)*(INT(D784)+1-D784)),+VLOOKUP(INT(D784)+1,Tablas!$G$9:$O$1240,9,0)*(D784-INT(D784))+VLOOKUP(INT(D784),Tablas!$G$9:$O$1240,9,0)*(INT(D784)+1-D784))</f>
        <v>#N/A</v>
      </c>
      <c r="H784" s="105">
        <f t="shared" ca="1" si="92"/>
        <v>1</v>
      </c>
      <c r="I784" s="106" t="e">
        <f t="shared" ca="1" si="93"/>
        <v>#N/A</v>
      </c>
      <c r="J784" s="106" t="e">
        <f t="shared" ca="1" si="97"/>
        <v>#N/A</v>
      </c>
      <c r="K784" s="105" t="e">
        <f t="shared" ca="1" si="94"/>
        <v>#N/A</v>
      </c>
      <c r="L784" s="75"/>
    </row>
    <row r="785" spans="2:12">
      <c r="B785" s="101">
        <f t="shared" ca="1" si="95"/>
        <v>76156</v>
      </c>
      <c r="C785" s="101">
        <f t="shared" ca="1" si="96"/>
        <v>76186</v>
      </c>
      <c r="D785" s="102">
        <f t="shared" ca="1" si="91"/>
        <v>131.08008213552361</v>
      </c>
      <c r="E785" s="103">
        <f t="shared" ca="1" si="98"/>
        <v>0.38517268550223444</v>
      </c>
      <c r="F785" s="104" t="e">
        <f ca="1">IF($C$4="Hombre",(+VLOOKUP(INT(D785)+1,Tablas!$G$9:$K$1240,5,0)*(D785-INT(D785))+VLOOKUP(INT(D785),Tablas!$G$9:$K$1240,5,0)*(INT(D785)+1-D785))/(VLOOKUP(INT($C$5)+1,Tablas!$G$9:$K$1240,5,0)*($C$5-INT($C$5))+VLOOKUP(INT($C$5),Tablas!$G$9:$K$124,5,0)*(INT($C$5)+1-$C$5)),(+VLOOKUP(INT(D785)+1,Tablas!$G$9:$O$1240,9,0)*(D785-INT(D785))+VLOOKUP(INT(D785),Tablas!$G$9:$O$1240,9,0)*(INT(D785)+1-D785))/(VLOOKUP(INT($C$5)+1,Tablas!$G$9:$O$1240,9,0)*($C$5-INT($C$5))+VLOOKUP(INT($C$5),Tablas!$G$9:$O$124,9,0)*(INT($C$5)+1-$C$5)))</f>
        <v>#N/A</v>
      </c>
      <c r="G785" s="97" t="e">
        <f ca="1">IF($C$4="Hombre",(+VLOOKUP(INT(D785)+1,Tablas!$G$9:$K$1240,5,0)*(D785-INT(D785))+VLOOKUP(INT(D785),Tablas!$G$9:$K$1240,5,0)*(INT(D785)+1-D785)),+VLOOKUP(INT(D785)+1,Tablas!$G$9:$O$1240,9,0)*(D785-INT(D785))+VLOOKUP(INT(D785),Tablas!$G$9:$O$1240,9,0)*(INT(D785)+1-D785))</f>
        <v>#N/A</v>
      </c>
      <c r="H785" s="105">
        <f t="shared" ca="1" si="92"/>
        <v>1</v>
      </c>
      <c r="I785" s="106" t="e">
        <f t="shared" ca="1" si="93"/>
        <v>#N/A</v>
      </c>
      <c r="J785" s="106" t="e">
        <f t="shared" ca="1" si="97"/>
        <v>#N/A</v>
      </c>
      <c r="K785" s="105" t="e">
        <f t="shared" ca="1" si="94"/>
        <v>#N/A</v>
      </c>
      <c r="L785" s="75"/>
    </row>
    <row r="786" spans="2:12">
      <c r="B786" s="101">
        <f t="shared" ca="1" si="95"/>
        <v>76187</v>
      </c>
      <c r="C786" s="101">
        <f t="shared" ca="1" si="96"/>
        <v>76217</v>
      </c>
      <c r="D786" s="102">
        <f t="shared" ref="D786:D849" ca="1" si="99">-_xlfn.DAYS($C$3,C786)/365.25</f>
        <v>131.16495550992471</v>
      </c>
      <c r="E786" s="103">
        <f t="shared" ca="1" si="98"/>
        <v>0.38468627067048883</v>
      </c>
      <c r="F786" s="104" t="e">
        <f ca="1">IF($C$4="Hombre",(+VLOOKUP(INT(D786)+1,Tablas!$G$9:$K$1240,5,0)*(D786-INT(D786))+VLOOKUP(INT(D786),Tablas!$G$9:$K$1240,5,0)*(INT(D786)+1-D786))/(VLOOKUP(INT($C$5)+1,Tablas!$G$9:$K$1240,5,0)*($C$5-INT($C$5))+VLOOKUP(INT($C$5),Tablas!$G$9:$K$124,5,0)*(INT($C$5)+1-$C$5)),(+VLOOKUP(INT(D786)+1,Tablas!$G$9:$O$1240,9,0)*(D786-INT(D786))+VLOOKUP(INT(D786),Tablas!$G$9:$O$1240,9,0)*(INT(D786)+1-D786))/(VLOOKUP(INT($C$5)+1,Tablas!$G$9:$O$1240,9,0)*($C$5-INT($C$5))+VLOOKUP(INT($C$5),Tablas!$G$9:$O$124,9,0)*(INT($C$5)+1-$C$5)))</f>
        <v>#N/A</v>
      </c>
      <c r="G786" s="97" t="e">
        <f ca="1">IF($C$4="Hombre",(+VLOOKUP(INT(D786)+1,Tablas!$G$9:$K$1240,5,0)*(D786-INT(D786))+VLOOKUP(INT(D786),Tablas!$G$9:$K$1240,5,0)*(INT(D786)+1-D786)),+VLOOKUP(INT(D786)+1,Tablas!$G$9:$O$1240,9,0)*(D786-INT(D786))+VLOOKUP(INT(D786),Tablas!$G$9:$O$1240,9,0)*(INT(D786)+1-D786))</f>
        <v>#N/A</v>
      </c>
      <c r="H786" s="105">
        <f t="shared" ref="H786:H849" ca="1" si="100">+IF(MONTH(B786)=1,H785*(1+$C$9),H785)</f>
        <v>1</v>
      </c>
      <c r="I786" s="106" t="e">
        <f t="shared" ref="I786:I849" ca="1" si="101">IF(B786&lt;$C$10,0,IF(B786&lt;$C$11,$C$8/12*E786*F786*H786,0))</f>
        <v>#N/A</v>
      </c>
      <c r="J786" s="106" t="e">
        <f t="shared" ca="1" si="97"/>
        <v>#N/A</v>
      </c>
      <c r="K786" s="105" t="e">
        <f t="shared" ref="K786:K849" ca="1" si="102">G786/$G$15</f>
        <v>#N/A</v>
      </c>
      <c r="L786" s="75"/>
    </row>
    <row r="787" spans="2:12">
      <c r="B787" s="101">
        <f t="shared" ref="B787:B850" ca="1" si="103">+DATE(YEAR(B786),MONTH(B786)+1,DAY(B786))</f>
        <v>76218</v>
      </c>
      <c r="C787" s="101">
        <f t="shared" ref="C787:C850" ca="1" si="104">+B788-1</f>
        <v>76247</v>
      </c>
      <c r="D787" s="102">
        <f t="shared" ca="1" si="99"/>
        <v>131.24709103353868</v>
      </c>
      <c r="E787" s="103">
        <f t="shared" ca="1" si="98"/>
        <v>0.38421613151299461</v>
      </c>
      <c r="F787" s="104" t="e">
        <f ca="1">IF($C$4="Hombre",(+VLOOKUP(INT(D787)+1,Tablas!$G$9:$K$1240,5,0)*(D787-INT(D787))+VLOOKUP(INT(D787),Tablas!$G$9:$K$1240,5,0)*(INT(D787)+1-D787))/(VLOOKUP(INT($C$5)+1,Tablas!$G$9:$K$1240,5,0)*($C$5-INT($C$5))+VLOOKUP(INT($C$5),Tablas!$G$9:$K$124,5,0)*(INT($C$5)+1-$C$5)),(+VLOOKUP(INT(D787)+1,Tablas!$G$9:$O$1240,9,0)*(D787-INT(D787))+VLOOKUP(INT(D787),Tablas!$G$9:$O$1240,9,0)*(INT(D787)+1-D787))/(VLOOKUP(INT($C$5)+1,Tablas!$G$9:$O$1240,9,0)*($C$5-INT($C$5))+VLOOKUP(INT($C$5),Tablas!$G$9:$O$124,9,0)*(INT($C$5)+1-$C$5)))</f>
        <v>#N/A</v>
      </c>
      <c r="G787" s="97" t="e">
        <f ca="1">IF($C$4="Hombre",(+VLOOKUP(INT(D787)+1,Tablas!$G$9:$K$1240,5,0)*(D787-INT(D787))+VLOOKUP(INT(D787),Tablas!$G$9:$K$1240,5,0)*(INT(D787)+1-D787)),+VLOOKUP(INT(D787)+1,Tablas!$G$9:$O$1240,9,0)*(D787-INT(D787))+VLOOKUP(INT(D787),Tablas!$G$9:$O$1240,9,0)*(INT(D787)+1-D787))</f>
        <v>#N/A</v>
      </c>
      <c r="H787" s="105">
        <f t="shared" ca="1" si="100"/>
        <v>1</v>
      </c>
      <c r="I787" s="106" t="e">
        <f t="shared" ca="1" si="101"/>
        <v>#N/A</v>
      </c>
      <c r="J787" s="106" t="e">
        <f t="shared" ref="J787:J850" ca="1" si="105">I787*12/14+IF(OR(MONTH(C787)=6,MONTH(C787)=12),I787*12/14,0)</f>
        <v>#N/A</v>
      </c>
      <c r="K787" s="105" t="e">
        <f t="shared" ca="1" si="102"/>
        <v>#N/A</v>
      </c>
      <c r="L787" s="75"/>
    </row>
    <row r="788" spans="2:12">
      <c r="B788" s="101">
        <f t="shared" ca="1" si="103"/>
        <v>76248</v>
      </c>
      <c r="C788" s="101">
        <f t="shared" ca="1" si="104"/>
        <v>76278</v>
      </c>
      <c r="D788" s="102">
        <f t="shared" ca="1" si="99"/>
        <v>131.33196440793978</v>
      </c>
      <c r="E788" s="103">
        <f t="shared" ca="1" si="98"/>
        <v>0.3837309246642272</v>
      </c>
      <c r="F788" s="104" t="e">
        <f ca="1">IF($C$4="Hombre",(+VLOOKUP(INT(D788)+1,Tablas!$G$9:$K$1240,5,0)*(D788-INT(D788))+VLOOKUP(INT(D788),Tablas!$G$9:$K$1240,5,0)*(INT(D788)+1-D788))/(VLOOKUP(INT($C$5)+1,Tablas!$G$9:$K$1240,5,0)*($C$5-INT($C$5))+VLOOKUP(INT($C$5),Tablas!$G$9:$K$124,5,0)*(INT($C$5)+1-$C$5)),(+VLOOKUP(INT(D788)+1,Tablas!$G$9:$O$1240,9,0)*(D788-INT(D788))+VLOOKUP(INT(D788),Tablas!$G$9:$O$1240,9,0)*(INT(D788)+1-D788))/(VLOOKUP(INT($C$5)+1,Tablas!$G$9:$O$1240,9,0)*($C$5-INT($C$5))+VLOOKUP(INT($C$5),Tablas!$G$9:$O$124,9,0)*(INT($C$5)+1-$C$5)))</f>
        <v>#N/A</v>
      </c>
      <c r="G788" s="97" t="e">
        <f ca="1">IF($C$4="Hombre",(+VLOOKUP(INT(D788)+1,Tablas!$G$9:$K$1240,5,0)*(D788-INT(D788))+VLOOKUP(INT(D788),Tablas!$G$9:$K$1240,5,0)*(INT(D788)+1-D788)),+VLOOKUP(INT(D788)+1,Tablas!$G$9:$O$1240,9,0)*(D788-INT(D788))+VLOOKUP(INT(D788),Tablas!$G$9:$O$1240,9,0)*(INT(D788)+1-D788))</f>
        <v>#N/A</v>
      </c>
      <c r="H788" s="105">
        <f t="shared" ca="1" si="100"/>
        <v>1</v>
      </c>
      <c r="I788" s="106" t="e">
        <f t="shared" ca="1" si="101"/>
        <v>#N/A</v>
      </c>
      <c r="J788" s="106" t="e">
        <f t="shared" ca="1" si="105"/>
        <v>#N/A</v>
      </c>
      <c r="K788" s="105" t="e">
        <f t="shared" ca="1" si="102"/>
        <v>#N/A</v>
      </c>
      <c r="L788" s="75"/>
    </row>
    <row r="789" spans="2:12">
      <c r="B789" s="101">
        <f t="shared" ca="1" si="103"/>
        <v>76279</v>
      </c>
      <c r="C789" s="101">
        <f t="shared" ca="1" si="104"/>
        <v>76308</v>
      </c>
      <c r="D789" s="102">
        <f t="shared" ca="1" si="99"/>
        <v>131.41409993155372</v>
      </c>
      <c r="E789" s="103">
        <f t="shared" ca="1" si="98"/>
        <v>0.38326195307001976</v>
      </c>
      <c r="F789" s="104" t="e">
        <f ca="1">IF($C$4="Hombre",(+VLOOKUP(INT(D789)+1,Tablas!$G$9:$K$1240,5,0)*(D789-INT(D789))+VLOOKUP(INT(D789),Tablas!$G$9:$K$1240,5,0)*(INT(D789)+1-D789))/(VLOOKUP(INT($C$5)+1,Tablas!$G$9:$K$1240,5,0)*($C$5-INT($C$5))+VLOOKUP(INT($C$5),Tablas!$G$9:$K$124,5,0)*(INT($C$5)+1-$C$5)),(+VLOOKUP(INT(D789)+1,Tablas!$G$9:$O$1240,9,0)*(D789-INT(D789))+VLOOKUP(INT(D789),Tablas!$G$9:$O$1240,9,0)*(INT(D789)+1-D789))/(VLOOKUP(INT($C$5)+1,Tablas!$G$9:$O$1240,9,0)*($C$5-INT($C$5))+VLOOKUP(INT($C$5),Tablas!$G$9:$O$124,9,0)*(INT($C$5)+1-$C$5)))</f>
        <v>#N/A</v>
      </c>
      <c r="G789" s="97" t="e">
        <f ca="1">IF($C$4="Hombre",(+VLOOKUP(INT(D789)+1,Tablas!$G$9:$K$1240,5,0)*(D789-INT(D789))+VLOOKUP(INT(D789),Tablas!$G$9:$K$1240,5,0)*(INT(D789)+1-D789)),+VLOOKUP(INT(D789)+1,Tablas!$G$9:$O$1240,9,0)*(D789-INT(D789))+VLOOKUP(INT(D789),Tablas!$G$9:$O$1240,9,0)*(INT(D789)+1-D789))</f>
        <v>#N/A</v>
      </c>
      <c r="H789" s="105">
        <f t="shared" ca="1" si="100"/>
        <v>1</v>
      </c>
      <c r="I789" s="106" t="e">
        <f t="shared" ca="1" si="101"/>
        <v>#N/A</v>
      </c>
      <c r="J789" s="106" t="e">
        <f t="shared" ca="1" si="105"/>
        <v>#N/A</v>
      </c>
      <c r="K789" s="105" t="e">
        <f t="shared" ca="1" si="102"/>
        <v>#N/A</v>
      </c>
      <c r="L789" s="75"/>
    </row>
    <row r="790" spans="2:12">
      <c r="B790" s="101">
        <f t="shared" ca="1" si="103"/>
        <v>76309</v>
      </c>
      <c r="C790" s="101">
        <f t="shared" ca="1" si="104"/>
        <v>76339</v>
      </c>
      <c r="D790" s="102">
        <f t="shared" ca="1" si="99"/>
        <v>131.49897330595482</v>
      </c>
      <c r="E790" s="103">
        <f t="shared" ca="1" si="98"/>
        <v>0.38277795120427494</v>
      </c>
      <c r="F790" s="104" t="e">
        <f ca="1">IF($C$4="Hombre",(+VLOOKUP(INT(D790)+1,Tablas!$G$9:$K$1240,5,0)*(D790-INT(D790))+VLOOKUP(INT(D790),Tablas!$G$9:$K$1240,5,0)*(INT(D790)+1-D790))/(VLOOKUP(INT($C$5)+1,Tablas!$G$9:$K$1240,5,0)*($C$5-INT($C$5))+VLOOKUP(INT($C$5),Tablas!$G$9:$K$124,5,0)*(INT($C$5)+1-$C$5)),(+VLOOKUP(INT(D790)+1,Tablas!$G$9:$O$1240,9,0)*(D790-INT(D790))+VLOOKUP(INT(D790),Tablas!$G$9:$O$1240,9,0)*(INT(D790)+1-D790))/(VLOOKUP(INT($C$5)+1,Tablas!$G$9:$O$1240,9,0)*($C$5-INT($C$5))+VLOOKUP(INT($C$5),Tablas!$G$9:$O$124,9,0)*(INT($C$5)+1-$C$5)))</f>
        <v>#N/A</v>
      </c>
      <c r="G790" s="97" t="e">
        <f ca="1">IF($C$4="Hombre",(+VLOOKUP(INT(D790)+1,Tablas!$G$9:$K$1240,5,0)*(D790-INT(D790))+VLOOKUP(INT(D790),Tablas!$G$9:$K$1240,5,0)*(INT(D790)+1-D790)),+VLOOKUP(INT(D790)+1,Tablas!$G$9:$O$1240,9,0)*(D790-INT(D790))+VLOOKUP(INT(D790),Tablas!$G$9:$O$1240,9,0)*(INT(D790)+1-D790))</f>
        <v>#N/A</v>
      </c>
      <c r="H790" s="105">
        <f t="shared" ca="1" si="100"/>
        <v>1</v>
      </c>
      <c r="I790" s="106" t="e">
        <f t="shared" ca="1" si="101"/>
        <v>#N/A</v>
      </c>
      <c r="J790" s="106" t="e">
        <f t="shared" ca="1" si="105"/>
        <v>#N/A</v>
      </c>
      <c r="K790" s="105" t="e">
        <f t="shared" ca="1" si="102"/>
        <v>#N/A</v>
      </c>
      <c r="L790" s="75"/>
    </row>
    <row r="791" spans="2:12">
      <c r="B791" s="101">
        <f t="shared" ca="1" si="103"/>
        <v>76340</v>
      </c>
      <c r="C791" s="101">
        <f t="shared" ca="1" si="104"/>
        <v>76370</v>
      </c>
      <c r="D791" s="102">
        <f t="shared" ca="1" si="99"/>
        <v>131.58384668035592</v>
      </c>
      <c r="E791" s="103">
        <f t="shared" ca="1" si="98"/>
        <v>0.38229456055966532</v>
      </c>
      <c r="F791" s="104" t="e">
        <f ca="1">IF($C$4="Hombre",(+VLOOKUP(INT(D791)+1,Tablas!$G$9:$K$1240,5,0)*(D791-INT(D791))+VLOOKUP(INT(D791),Tablas!$G$9:$K$1240,5,0)*(INT(D791)+1-D791))/(VLOOKUP(INT($C$5)+1,Tablas!$G$9:$K$1240,5,0)*($C$5-INT($C$5))+VLOOKUP(INT($C$5),Tablas!$G$9:$K$124,5,0)*(INT($C$5)+1-$C$5)),(+VLOOKUP(INT(D791)+1,Tablas!$G$9:$O$1240,9,0)*(D791-INT(D791))+VLOOKUP(INT(D791),Tablas!$G$9:$O$1240,9,0)*(INT(D791)+1-D791))/(VLOOKUP(INT($C$5)+1,Tablas!$G$9:$O$1240,9,0)*($C$5-INT($C$5))+VLOOKUP(INT($C$5),Tablas!$G$9:$O$124,9,0)*(INT($C$5)+1-$C$5)))</f>
        <v>#N/A</v>
      </c>
      <c r="G791" s="97" t="e">
        <f ca="1">IF($C$4="Hombre",(+VLOOKUP(INT(D791)+1,Tablas!$G$9:$K$1240,5,0)*(D791-INT(D791))+VLOOKUP(INT(D791),Tablas!$G$9:$K$1240,5,0)*(INT(D791)+1-D791)),+VLOOKUP(INT(D791)+1,Tablas!$G$9:$O$1240,9,0)*(D791-INT(D791))+VLOOKUP(INT(D791),Tablas!$G$9:$O$1240,9,0)*(INT(D791)+1-D791))</f>
        <v>#N/A</v>
      </c>
      <c r="H791" s="105">
        <f t="shared" ca="1" si="100"/>
        <v>1</v>
      </c>
      <c r="I791" s="106" t="e">
        <f t="shared" ca="1" si="101"/>
        <v>#N/A</v>
      </c>
      <c r="J791" s="106" t="e">
        <f t="shared" ca="1" si="105"/>
        <v>#N/A</v>
      </c>
      <c r="K791" s="105" t="e">
        <f t="shared" ca="1" si="102"/>
        <v>#N/A</v>
      </c>
      <c r="L791" s="75"/>
    </row>
    <row r="792" spans="2:12">
      <c r="B792" s="101">
        <f t="shared" ca="1" si="103"/>
        <v>76371</v>
      </c>
      <c r="C792" s="101">
        <f t="shared" ca="1" si="104"/>
        <v>76398</v>
      </c>
      <c r="D792" s="102">
        <f t="shared" ca="1" si="99"/>
        <v>131.66050650239561</v>
      </c>
      <c r="E792" s="103">
        <f t="shared" ca="1" si="98"/>
        <v>0.38185847437039566</v>
      </c>
      <c r="F792" s="104" t="e">
        <f ca="1">IF($C$4="Hombre",(+VLOOKUP(INT(D792)+1,Tablas!$G$9:$K$1240,5,0)*(D792-INT(D792))+VLOOKUP(INT(D792),Tablas!$G$9:$K$1240,5,0)*(INT(D792)+1-D792))/(VLOOKUP(INT($C$5)+1,Tablas!$G$9:$K$1240,5,0)*($C$5-INT($C$5))+VLOOKUP(INT($C$5),Tablas!$G$9:$K$124,5,0)*(INT($C$5)+1-$C$5)),(+VLOOKUP(INT(D792)+1,Tablas!$G$9:$O$1240,9,0)*(D792-INT(D792))+VLOOKUP(INT(D792),Tablas!$G$9:$O$1240,9,0)*(INT(D792)+1-D792))/(VLOOKUP(INT($C$5)+1,Tablas!$G$9:$O$1240,9,0)*($C$5-INT($C$5))+VLOOKUP(INT($C$5),Tablas!$G$9:$O$124,9,0)*(INT($C$5)+1-$C$5)))</f>
        <v>#N/A</v>
      </c>
      <c r="G792" s="97" t="e">
        <f ca="1">IF($C$4="Hombre",(+VLOOKUP(INT(D792)+1,Tablas!$G$9:$K$1240,5,0)*(D792-INT(D792))+VLOOKUP(INT(D792),Tablas!$G$9:$K$1240,5,0)*(INT(D792)+1-D792)),+VLOOKUP(INT(D792)+1,Tablas!$G$9:$O$1240,9,0)*(D792-INT(D792))+VLOOKUP(INT(D792),Tablas!$G$9:$O$1240,9,0)*(INT(D792)+1-D792))</f>
        <v>#N/A</v>
      </c>
      <c r="H792" s="105">
        <f t="shared" ca="1" si="100"/>
        <v>1</v>
      </c>
      <c r="I792" s="106" t="e">
        <f t="shared" ca="1" si="101"/>
        <v>#N/A</v>
      </c>
      <c r="J792" s="106" t="e">
        <f t="shared" ca="1" si="105"/>
        <v>#N/A</v>
      </c>
      <c r="K792" s="105" t="e">
        <f t="shared" ca="1" si="102"/>
        <v>#N/A</v>
      </c>
      <c r="L792" s="75"/>
    </row>
    <row r="793" spans="2:12">
      <c r="B793" s="101">
        <f t="shared" ca="1" si="103"/>
        <v>76399</v>
      </c>
      <c r="C793" s="101">
        <f t="shared" ca="1" si="104"/>
        <v>76429</v>
      </c>
      <c r="D793" s="102">
        <f t="shared" ca="1" si="99"/>
        <v>131.7453798767967</v>
      </c>
      <c r="E793" s="103">
        <f t="shared" ca="1" si="98"/>
        <v>0.38137624488592614</v>
      </c>
      <c r="F793" s="104" t="e">
        <f ca="1">IF($C$4="Hombre",(+VLOOKUP(INT(D793)+1,Tablas!$G$9:$K$1240,5,0)*(D793-INT(D793))+VLOOKUP(INT(D793),Tablas!$G$9:$K$1240,5,0)*(INT(D793)+1-D793))/(VLOOKUP(INT($C$5)+1,Tablas!$G$9:$K$1240,5,0)*($C$5-INT($C$5))+VLOOKUP(INT($C$5),Tablas!$G$9:$K$124,5,0)*(INT($C$5)+1-$C$5)),(+VLOOKUP(INT(D793)+1,Tablas!$G$9:$O$1240,9,0)*(D793-INT(D793))+VLOOKUP(INT(D793),Tablas!$G$9:$O$1240,9,0)*(INT(D793)+1-D793))/(VLOOKUP(INT($C$5)+1,Tablas!$G$9:$O$1240,9,0)*($C$5-INT($C$5))+VLOOKUP(INT($C$5),Tablas!$G$9:$O$124,9,0)*(INT($C$5)+1-$C$5)))</f>
        <v>#N/A</v>
      </c>
      <c r="G793" s="97" t="e">
        <f ca="1">IF($C$4="Hombre",(+VLOOKUP(INT(D793)+1,Tablas!$G$9:$K$1240,5,0)*(D793-INT(D793))+VLOOKUP(INT(D793),Tablas!$G$9:$K$1240,5,0)*(INT(D793)+1-D793)),+VLOOKUP(INT(D793)+1,Tablas!$G$9:$O$1240,9,0)*(D793-INT(D793))+VLOOKUP(INT(D793),Tablas!$G$9:$O$1240,9,0)*(INT(D793)+1-D793))</f>
        <v>#N/A</v>
      </c>
      <c r="H793" s="105">
        <f t="shared" ca="1" si="100"/>
        <v>1</v>
      </c>
      <c r="I793" s="106" t="e">
        <f t="shared" ca="1" si="101"/>
        <v>#N/A</v>
      </c>
      <c r="J793" s="106" t="e">
        <f t="shared" ca="1" si="105"/>
        <v>#N/A</v>
      </c>
      <c r="K793" s="105" t="e">
        <f t="shared" ca="1" si="102"/>
        <v>#N/A</v>
      </c>
      <c r="L793" s="75"/>
    </row>
    <row r="794" spans="2:12">
      <c r="B794" s="101">
        <f t="shared" ca="1" si="103"/>
        <v>76430</v>
      </c>
      <c r="C794" s="101">
        <f t="shared" ca="1" si="104"/>
        <v>76459</v>
      </c>
      <c r="D794" s="102">
        <f t="shared" ca="1" si="99"/>
        <v>131.82751540041068</v>
      </c>
      <c r="E794" s="103">
        <f t="shared" ca="1" si="98"/>
        <v>0.38091015103197479</v>
      </c>
      <c r="F794" s="104" t="e">
        <f ca="1">IF($C$4="Hombre",(+VLOOKUP(INT(D794)+1,Tablas!$G$9:$K$1240,5,0)*(D794-INT(D794))+VLOOKUP(INT(D794),Tablas!$G$9:$K$1240,5,0)*(INT(D794)+1-D794))/(VLOOKUP(INT($C$5)+1,Tablas!$G$9:$K$1240,5,0)*($C$5-INT($C$5))+VLOOKUP(INT($C$5),Tablas!$G$9:$K$124,5,0)*(INT($C$5)+1-$C$5)),(+VLOOKUP(INT(D794)+1,Tablas!$G$9:$O$1240,9,0)*(D794-INT(D794))+VLOOKUP(INT(D794),Tablas!$G$9:$O$1240,9,0)*(INT(D794)+1-D794))/(VLOOKUP(INT($C$5)+1,Tablas!$G$9:$O$1240,9,0)*($C$5-INT($C$5))+VLOOKUP(INT($C$5),Tablas!$G$9:$O$124,9,0)*(INT($C$5)+1-$C$5)))</f>
        <v>#N/A</v>
      </c>
      <c r="G794" s="97" t="e">
        <f ca="1">IF($C$4="Hombre",(+VLOOKUP(INT(D794)+1,Tablas!$G$9:$K$1240,5,0)*(D794-INT(D794))+VLOOKUP(INT(D794),Tablas!$G$9:$K$1240,5,0)*(INT(D794)+1-D794)),+VLOOKUP(INT(D794)+1,Tablas!$G$9:$O$1240,9,0)*(D794-INT(D794))+VLOOKUP(INT(D794),Tablas!$G$9:$O$1240,9,0)*(INT(D794)+1-D794))</f>
        <v>#N/A</v>
      </c>
      <c r="H794" s="105">
        <f t="shared" ca="1" si="100"/>
        <v>1</v>
      </c>
      <c r="I794" s="106" t="e">
        <f t="shared" ca="1" si="101"/>
        <v>#N/A</v>
      </c>
      <c r="J794" s="106" t="e">
        <f t="shared" ca="1" si="105"/>
        <v>#N/A</v>
      </c>
      <c r="K794" s="105" t="e">
        <f t="shared" ca="1" si="102"/>
        <v>#N/A</v>
      </c>
      <c r="L794" s="75"/>
    </row>
    <row r="795" spans="2:12">
      <c r="B795" s="101">
        <f t="shared" ca="1" si="103"/>
        <v>76460</v>
      </c>
      <c r="C795" s="101">
        <f t="shared" ca="1" si="104"/>
        <v>76490</v>
      </c>
      <c r="D795" s="102">
        <f t="shared" ca="1" si="99"/>
        <v>131.91238877481177</v>
      </c>
      <c r="E795" s="103">
        <f t="shared" ca="1" si="98"/>
        <v>0.38042911913641653</v>
      </c>
      <c r="F795" s="104" t="e">
        <f ca="1">IF($C$4="Hombre",(+VLOOKUP(INT(D795)+1,Tablas!$G$9:$K$1240,5,0)*(D795-INT(D795))+VLOOKUP(INT(D795),Tablas!$G$9:$K$1240,5,0)*(INT(D795)+1-D795))/(VLOOKUP(INT($C$5)+1,Tablas!$G$9:$K$1240,5,0)*($C$5-INT($C$5))+VLOOKUP(INT($C$5),Tablas!$G$9:$K$124,5,0)*(INT($C$5)+1-$C$5)),(+VLOOKUP(INT(D795)+1,Tablas!$G$9:$O$1240,9,0)*(D795-INT(D795))+VLOOKUP(INT(D795),Tablas!$G$9:$O$1240,9,0)*(INT(D795)+1-D795))/(VLOOKUP(INT($C$5)+1,Tablas!$G$9:$O$1240,9,0)*($C$5-INT($C$5))+VLOOKUP(INT($C$5),Tablas!$G$9:$O$124,9,0)*(INT($C$5)+1-$C$5)))</f>
        <v>#N/A</v>
      </c>
      <c r="G795" s="97" t="e">
        <f ca="1">IF($C$4="Hombre",(+VLOOKUP(INT(D795)+1,Tablas!$G$9:$K$1240,5,0)*(D795-INT(D795))+VLOOKUP(INT(D795),Tablas!$G$9:$K$1240,5,0)*(INT(D795)+1-D795)),+VLOOKUP(INT(D795)+1,Tablas!$G$9:$O$1240,9,0)*(D795-INT(D795))+VLOOKUP(INT(D795),Tablas!$G$9:$O$1240,9,0)*(INT(D795)+1-D795))</f>
        <v>#N/A</v>
      </c>
      <c r="H795" s="105">
        <f t="shared" ca="1" si="100"/>
        <v>1</v>
      </c>
      <c r="I795" s="106" t="e">
        <f t="shared" ca="1" si="101"/>
        <v>#N/A</v>
      </c>
      <c r="J795" s="106" t="e">
        <f t="shared" ca="1" si="105"/>
        <v>#N/A</v>
      </c>
      <c r="K795" s="105" t="e">
        <f t="shared" ca="1" si="102"/>
        <v>#N/A</v>
      </c>
      <c r="L795" s="75"/>
    </row>
    <row r="796" spans="2:12">
      <c r="B796" s="101">
        <f t="shared" ca="1" si="103"/>
        <v>76491</v>
      </c>
      <c r="C796" s="101">
        <f t="shared" ca="1" si="104"/>
        <v>76520</v>
      </c>
      <c r="D796" s="102">
        <f t="shared" ca="1" si="99"/>
        <v>131.99452429842574</v>
      </c>
      <c r="E796" s="103">
        <f t="shared" ca="1" si="98"/>
        <v>0.37996418279947541</v>
      </c>
      <c r="F796" s="104" t="e">
        <f ca="1">IF($C$4="Hombre",(+VLOOKUP(INT(D796)+1,Tablas!$G$9:$K$1240,5,0)*(D796-INT(D796))+VLOOKUP(INT(D796),Tablas!$G$9:$K$1240,5,0)*(INT(D796)+1-D796))/(VLOOKUP(INT($C$5)+1,Tablas!$G$9:$K$1240,5,0)*($C$5-INT($C$5))+VLOOKUP(INT($C$5),Tablas!$G$9:$K$124,5,0)*(INT($C$5)+1-$C$5)),(+VLOOKUP(INT(D796)+1,Tablas!$G$9:$O$1240,9,0)*(D796-INT(D796))+VLOOKUP(INT(D796),Tablas!$G$9:$O$1240,9,0)*(INT(D796)+1-D796))/(VLOOKUP(INT($C$5)+1,Tablas!$G$9:$O$1240,9,0)*($C$5-INT($C$5))+VLOOKUP(INT($C$5),Tablas!$G$9:$O$124,9,0)*(INT($C$5)+1-$C$5)))</f>
        <v>#N/A</v>
      </c>
      <c r="G796" s="97" t="e">
        <f ca="1">IF($C$4="Hombre",(+VLOOKUP(INT(D796)+1,Tablas!$G$9:$K$1240,5,0)*(D796-INT(D796))+VLOOKUP(INT(D796),Tablas!$G$9:$K$1240,5,0)*(INT(D796)+1-D796)),+VLOOKUP(INT(D796)+1,Tablas!$G$9:$O$1240,9,0)*(D796-INT(D796))+VLOOKUP(INT(D796),Tablas!$G$9:$O$1240,9,0)*(INT(D796)+1-D796))</f>
        <v>#N/A</v>
      </c>
      <c r="H796" s="105">
        <f t="shared" ca="1" si="100"/>
        <v>1</v>
      </c>
      <c r="I796" s="106" t="e">
        <f t="shared" ca="1" si="101"/>
        <v>#N/A</v>
      </c>
      <c r="J796" s="106" t="e">
        <f t="shared" ca="1" si="105"/>
        <v>#N/A</v>
      </c>
      <c r="K796" s="105" t="e">
        <f t="shared" ca="1" si="102"/>
        <v>#N/A</v>
      </c>
      <c r="L796" s="75"/>
    </row>
    <row r="797" spans="2:12">
      <c r="B797" s="101">
        <f t="shared" ca="1" si="103"/>
        <v>76521</v>
      </c>
      <c r="C797" s="101">
        <f t="shared" ca="1" si="104"/>
        <v>76551</v>
      </c>
      <c r="D797" s="102">
        <f t="shared" ca="1" si="99"/>
        <v>132.07939767282684</v>
      </c>
      <c r="E797" s="103">
        <f t="shared" ca="1" si="98"/>
        <v>0.37948434551868609</v>
      </c>
      <c r="F797" s="104" t="e">
        <f ca="1">IF($C$4="Hombre",(+VLOOKUP(INT(D797)+1,Tablas!$G$9:$K$1240,5,0)*(D797-INT(D797))+VLOOKUP(INT(D797),Tablas!$G$9:$K$1240,5,0)*(INT(D797)+1-D797))/(VLOOKUP(INT($C$5)+1,Tablas!$G$9:$K$1240,5,0)*($C$5-INT($C$5))+VLOOKUP(INT($C$5),Tablas!$G$9:$K$124,5,0)*(INT($C$5)+1-$C$5)),(+VLOOKUP(INT(D797)+1,Tablas!$G$9:$O$1240,9,0)*(D797-INT(D797))+VLOOKUP(INT(D797),Tablas!$G$9:$O$1240,9,0)*(INT(D797)+1-D797))/(VLOOKUP(INT($C$5)+1,Tablas!$G$9:$O$1240,9,0)*($C$5-INT($C$5))+VLOOKUP(INT($C$5),Tablas!$G$9:$O$124,9,0)*(INT($C$5)+1-$C$5)))</f>
        <v>#N/A</v>
      </c>
      <c r="G797" s="97" t="e">
        <f ca="1">IF($C$4="Hombre",(+VLOOKUP(INT(D797)+1,Tablas!$G$9:$K$1240,5,0)*(D797-INT(D797))+VLOOKUP(INT(D797),Tablas!$G$9:$K$1240,5,0)*(INT(D797)+1-D797)),+VLOOKUP(INT(D797)+1,Tablas!$G$9:$O$1240,9,0)*(D797-INT(D797))+VLOOKUP(INT(D797),Tablas!$G$9:$O$1240,9,0)*(INT(D797)+1-D797))</f>
        <v>#N/A</v>
      </c>
      <c r="H797" s="105">
        <f t="shared" ca="1" si="100"/>
        <v>1</v>
      </c>
      <c r="I797" s="106" t="e">
        <f t="shared" ca="1" si="101"/>
        <v>#N/A</v>
      </c>
      <c r="J797" s="106" t="e">
        <f t="shared" ca="1" si="105"/>
        <v>#N/A</v>
      </c>
      <c r="K797" s="105" t="e">
        <f t="shared" ca="1" si="102"/>
        <v>#N/A</v>
      </c>
      <c r="L797" s="75"/>
    </row>
    <row r="798" spans="2:12">
      <c r="B798" s="101">
        <f t="shared" ca="1" si="103"/>
        <v>76552</v>
      </c>
      <c r="C798" s="101">
        <f t="shared" ca="1" si="104"/>
        <v>76582</v>
      </c>
      <c r="D798" s="102">
        <f t="shared" ca="1" si="99"/>
        <v>132.16427104722791</v>
      </c>
      <c r="E798" s="103">
        <f t="shared" ca="1" si="98"/>
        <v>0.37900511419979127</v>
      </c>
      <c r="F798" s="104" t="e">
        <f ca="1">IF($C$4="Hombre",(+VLOOKUP(INT(D798)+1,Tablas!$G$9:$K$1240,5,0)*(D798-INT(D798))+VLOOKUP(INT(D798),Tablas!$G$9:$K$1240,5,0)*(INT(D798)+1-D798))/(VLOOKUP(INT($C$5)+1,Tablas!$G$9:$K$1240,5,0)*($C$5-INT($C$5))+VLOOKUP(INT($C$5),Tablas!$G$9:$K$124,5,0)*(INT($C$5)+1-$C$5)),(+VLOOKUP(INT(D798)+1,Tablas!$G$9:$O$1240,9,0)*(D798-INT(D798))+VLOOKUP(INT(D798),Tablas!$G$9:$O$1240,9,0)*(INT(D798)+1-D798))/(VLOOKUP(INT($C$5)+1,Tablas!$G$9:$O$1240,9,0)*($C$5-INT($C$5))+VLOOKUP(INT($C$5),Tablas!$G$9:$O$124,9,0)*(INT($C$5)+1-$C$5)))</f>
        <v>#N/A</v>
      </c>
      <c r="G798" s="97" t="e">
        <f ca="1">IF($C$4="Hombre",(+VLOOKUP(INT(D798)+1,Tablas!$G$9:$K$1240,5,0)*(D798-INT(D798))+VLOOKUP(INT(D798),Tablas!$G$9:$K$1240,5,0)*(INT(D798)+1-D798)),+VLOOKUP(INT(D798)+1,Tablas!$G$9:$O$1240,9,0)*(D798-INT(D798))+VLOOKUP(INT(D798),Tablas!$G$9:$O$1240,9,0)*(INT(D798)+1-D798))</f>
        <v>#N/A</v>
      </c>
      <c r="H798" s="105">
        <f t="shared" ca="1" si="100"/>
        <v>1</v>
      </c>
      <c r="I798" s="106" t="e">
        <f t="shared" ca="1" si="101"/>
        <v>#N/A</v>
      </c>
      <c r="J798" s="106" t="e">
        <f t="shared" ca="1" si="105"/>
        <v>#N/A</v>
      </c>
      <c r="K798" s="105" t="e">
        <f t="shared" ca="1" si="102"/>
        <v>#N/A</v>
      </c>
      <c r="L798" s="75"/>
    </row>
    <row r="799" spans="2:12">
      <c r="B799" s="101">
        <f t="shared" ca="1" si="103"/>
        <v>76583</v>
      </c>
      <c r="C799" s="101">
        <f t="shared" ca="1" si="104"/>
        <v>76612</v>
      </c>
      <c r="D799" s="102">
        <f t="shared" ca="1" si="99"/>
        <v>132.24640657084188</v>
      </c>
      <c r="E799" s="103">
        <f t="shared" ca="1" si="98"/>
        <v>0.37854191819135219</v>
      </c>
      <c r="F799" s="104" t="e">
        <f ca="1">IF($C$4="Hombre",(+VLOOKUP(INT(D799)+1,Tablas!$G$9:$K$1240,5,0)*(D799-INT(D799))+VLOOKUP(INT(D799),Tablas!$G$9:$K$1240,5,0)*(INT(D799)+1-D799))/(VLOOKUP(INT($C$5)+1,Tablas!$G$9:$K$1240,5,0)*($C$5-INT($C$5))+VLOOKUP(INT($C$5),Tablas!$G$9:$K$124,5,0)*(INT($C$5)+1-$C$5)),(+VLOOKUP(INT(D799)+1,Tablas!$G$9:$O$1240,9,0)*(D799-INT(D799))+VLOOKUP(INT(D799),Tablas!$G$9:$O$1240,9,0)*(INT(D799)+1-D799))/(VLOOKUP(INT($C$5)+1,Tablas!$G$9:$O$1240,9,0)*($C$5-INT($C$5))+VLOOKUP(INT($C$5),Tablas!$G$9:$O$124,9,0)*(INT($C$5)+1-$C$5)))</f>
        <v>#N/A</v>
      </c>
      <c r="G799" s="97" t="e">
        <f ca="1">IF($C$4="Hombre",(+VLOOKUP(INT(D799)+1,Tablas!$G$9:$K$1240,5,0)*(D799-INT(D799))+VLOOKUP(INT(D799),Tablas!$G$9:$K$1240,5,0)*(INT(D799)+1-D799)),+VLOOKUP(INT(D799)+1,Tablas!$G$9:$O$1240,9,0)*(D799-INT(D799))+VLOOKUP(INT(D799),Tablas!$G$9:$O$1240,9,0)*(INT(D799)+1-D799))</f>
        <v>#N/A</v>
      </c>
      <c r="H799" s="105">
        <f t="shared" ca="1" si="100"/>
        <v>1</v>
      </c>
      <c r="I799" s="106" t="e">
        <f t="shared" ca="1" si="101"/>
        <v>#N/A</v>
      </c>
      <c r="J799" s="106" t="e">
        <f t="shared" ca="1" si="105"/>
        <v>#N/A</v>
      </c>
      <c r="K799" s="105" t="e">
        <f t="shared" ca="1" si="102"/>
        <v>#N/A</v>
      </c>
      <c r="L799" s="75"/>
    </row>
    <row r="800" spans="2:12">
      <c r="B800" s="101">
        <f t="shared" ca="1" si="103"/>
        <v>76613</v>
      </c>
      <c r="C800" s="101">
        <f t="shared" ca="1" si="104"/>
        <v>76643</v>
      </c>
      <c r="D800" s="102">
        <f t="shared" ca="1" si="99"/>
        <v>132.33127994524298</v>
      </c>
      <c r="E800" s="103">
        <f t="shared" ca="1" si="98"/>
        <v>0.37806387701559852</v>
      </c>
      <c r="F800" s="104" t="e">
        <f ca="1">IF($C$4="Hombre",(+VLOOKUP(INT(D800)+1,Tablas!$G$9:$K$1240,5,0)*(D800-INT(D800))+VLOOKUP(INT(D800),Tablas!$G$9:$K$1240,5,0)*(INT(D800)+1-D800))/(VLOOKUP(INT($C$5)+1,Tablas!$G$9:$K$1240,5,0)*($C$5-INT($C$5))+VLOOKUP(INT($C$5),Tablas!$G$9:$K$124,5,0)*(INT($C$5)+1-$C$5)),(+VLOOKUP(INT(D800)+1,Tablas!$G$9:$O$1240,9,0)*(D800-INT(D800))+VLOOKUP(INT(D800),Tablas!$G$9:$O$1240,9,0)*(INT(D800)+1-D800))/(VLOOKUP(INT($C$5)+1,Tablas!$G$9:$O$1240,9,0)*($C$5-INT($C$5))+VLOOKUP(INT($C$5),Tablas!$G$9:$O$124,9,0)*(INT($C$5)+1-$C$5)))</f>
        <v>#N/A</v>
      </c>
      <c r="G800" s="97" t="e">
        <f ca="1">IF($C$4="Hombre",(+VLOOKUP(INT(D800)+1,Tablas!$G$9:$K$1240,5,0)*(D800-INT(D800))+VLOOKUP(INT(D800),Tablas!$G$9:$K$1240,5,0)*(INT(D800)+1-D800)),+VLOOKUP(INT(D800)+1,Tablas!$G$9:$O$1240,9,0)*(D800-INT(D800))+VLOOKUP(INT(D800),Tablas!$G$9:$O$1240,9,0)*(INT(D800)+1-D800))</f>
        <v>#N/A</v>
      </c>
      <c r="H800" s="105">
        <f t="shared" ca="1" si="100"/>
        <v>1</v>
      </c>
      <c r="I800" s="106" t="e">
        <f t="shared" ca="1" si="101"/>
        <v>#N/A</v>
      </c>
      <c r="J800" s="106" t="e">
        <f t="shared" ca="1" si="105"/>
        <v>#N/A</v>
      </c>
      <c r="K800" s="105" t="e">
        <f t="shared" ca="1" si="102"/>
        <v>#N/A</v>
      </c>
      <c r="L800" s="75"/>
    </row>
    <row r="801" spans="2:12">
      <c r="B801" s="101">
        <f t="shared" ca="1" si="103"/>
        <v>76644</v>
      </c>
      <c r="C801" s="101">
        <f t="shared" ca="1" si="104"/>
        <v>76673</v>
      </c>
      <c r="D801" s="102">
        <f t="shared" ca="1" si="99"/>
        <v>132.41341546885695</v>
      </c>
      <c r="E801" s="103">
        <f t="shared" ca="1" si="98"/>
        <v>0.37760183132753866</v>
      </c>
      <c r="F801" s="104" t="e">
        <f ca="1">IF($C$4="Hombre",(+VLOOKUP(INT(D801)+1,Tablas!$G$9:$K$1240,5,0)*(D801-INT(D801))+VLOOKUP(INT(D801),Tablas!$G$9:$K$1240,5,0)*(INT(D801)+1-D801))/(VLOOKUP(INT($C$5)+1,Tablas!$G$9:$K$1240,5,0)*($C$5-INT($C$5))+VLOOKUP(INT($C$5),Tablas!$G$9:$K$124,5,0)*(INT($C$5)+1-$C$5)),(+VLOOKUP(INT(D801)+1,Tablas!$G$9:$O$1240,9,0)*(D801-INT(D801))+VLOOKUP(INT(D801),Tablas!$G$9:$O$1240,9,0)*(INT(D801)+1-D801))/(VLOOKUP(INT($C$5)+1,Tablas!$G$9:$O$1240,9,0)*($C$5-INT($C$5))+VLOOKUP(INT($C$5),Tablas!$G$9:$O$124,9,0)*(INT($C$5)+1-$C$5)))</f>
        <v>#N/A</v>
      </c>
      <c r="G801" s="97" t="e">
        <f ca="1">IF($C$4="Hombre",(+VLOOKUP(INT(D801)+1,Tablas!$G$9:$K$1240,5,0)*(D801-INT(D801))+VLOOKUP(INT(D801),Tablas!$G$9:$K$1240,5,0)*(INT(D801)+1-D801)),+VLOOKUP(INT(D801)+1,Tablas!$G$9:$O$1240,9,0)*(D801-INT(D801))+VLOOKUP(INT(D801),Tablas!$G$9:$O$1240,9,0)*(INT(D801)+1-D801))</f>
        <v>#N/A</v>
      </c>
      <c r="H801" s="105">
        <f t="shared" ca="1" si="100"/>
        <v>1</v>
      </c>
      <c r="I801" s="106" t="e">
        <f t="shared" ca="1" si="101"/>
        <v>#N/A</v>
      </c>
      <c r="J801" s="106" t="e">
        <f t="shared" ca="1" si="105"/>
        <v>#N/A</v>
      </c>
      <c r="K801" s="105" t="e">
        <f t="shared" ca="1" si="102"/>
        <v>#N/A</v>
      </c>
      <c r="L801" s="75"/>
    </row>
    <row r="802" spans="2:12">
      <c r="B802" s="101">
        <f t="shared" ca="1" si="103"/>
        <v>76674</v>
      </c>
      <c r="C802" s="101">
        <f t="shared" ca="1" si="104"/>
        <v>76704</v>
      </c>
      <c r="D802" s="102">
        <f t="shared" ca="1" si="99"/>
        <v>132.49828884325805</v>
      </c>
      <c r="E802" s="103">
        <f t="shared" ca="1" si="98"/>
        <v>0.37712497733927497</v>
      </c>
      <c r="F802" s="104" t="e">
        <f ca="1">IF($C$4="Hombre",(+VLOOKUP(INT(D802)+1,Tablas!$G$9:$K$1240,5,0)*(D802-INT(D802))+VLOOKUP(INT(D802),Tablas!$G$9:$K$1240,5,0)*(INT(D802)+1-D802))/(VLOOKUP(INT($C$5)+1,Tablas!$G$9:$K$1240,5,0)*($C$5-INT($C$5))+VLOOKUP(INT($C$5),Tablas!$G$9:$K$124,5,0)*(INT($C$5)+1-$C$5)),(+VLOOKUP(INT(D802)+1,Tablas!$G$9:$O$1240,9,0)*(D802-INT(D802))+VLOOKUP(INT(D802),Tablas!$G$9:$O$1240,9,0)*(INT(D802)+1-D802))/(VLOOKUP(INT($C$5)+1,Tablas!$G$9:$O$1240,9,0)*($C$5-INT($C$5))+VLOOKUP(INT($C$5),Tablas!$G$9:$O$124,9,0)*(INT($C$5)+1-$C$5)))</f>
        <v>#N/A</v>
      </c>
      <c r="G802" s="97" t="e">
        <f ca="1">IF($C$4="Hombre",(+VLOOKUP(INT(D802)+1,Tablas!$G$9:$K$1240,5,0)*(D802-INT(D802))+VLOOKUP(INT(D802),Tablas!$G$9:$K$1240,5,0)*(INT(D802)+1-D802)),+VLOOKUP(INT(D802)+1,Tablas!$G$9:$O$1240,9,0)*(D802-INT(D802))+VLOOKUP(INT(D802),Tablas!$G$9:$O$1240,9,0)*(INT(D802)+1-D802))</f>
        <v>#N/A</v>
      </c>
      <c r="H802" s="105">
        <f t="shared" ca="1" si="100"/>
        <v>1</v>
      </c>
      <c r="I802" s="106" t="e">
        <f t="shared" ca="1" si="101"/>
        <v>#N/A</v>
      </c>
      <c r="J802" s="106" t="e">
        <f t="shared" ca="1" si="105"/>
        <v>#N/A</v>
      </c>
      <c r="K802" s="105" t="e">
        <f t="shared" ca="1" si="102"/>
        <v>#N/A</v>
      </c>
      <c r="L802" s="75"/>
    </row>
    <row r="803" spans="2:12">
      <c r="B803" s="101">
        <f t="shared" ca="1" si="103"/>
        <v>76705</v>
      </c>
      <c r="C803" s="101">
        <f t="shared" ca="1" si="104"/>
        <v>76735</v>
      </c>
      <c r="D803" s="102">
        <f t="shared" ca="1" si="99"/>
        <v>132.58316221765915</v>
      </c>
      <c r="E803" s="103">
        <f t="shared" ca="1" si="98"/>
        <v>0.37664872554545847</v>
      </c>
      <c r="F803" s="104" t="e">
        <f ca="1">IF($C$4="Hombre",(+VLOOKUP(INT(D803)+1,Tablas!$G$9:$K$1240,5,0)*(D803-INT(D803))+VLOOKUP(INT(D803),Tablas!$G$9:$K$1240,5,0)*(INT(D803)+1-D803))/(VLOOKUP(INT($C$5)+1,Tablas!$G$9:$K$1240,5,0)*($C$5-INT($C$5))+VLOOKUP(INT($C$5),Tablas!$G$9:$K$124,5,0)*(INT($C$5)+1-$C$5)),(+VLOOKUP(INT(D803)+1,Tablas!$G$9:$O$1240,9,0)*(D803-INT(D803))+VLOOKUP(INT(D803),Tablas!$G$9:$O$1240,9,0)*(INT(D803)+1-D803))/(VLOOKUP(INT($C$5)+1,Tablas!$G$9:$O$1240,9,0)*($C$5-INT($C$5))+VLOOKUP(INT($C$5),Tablas!$G$9:$O$124,9,0)*(INT($C$5)+1-$C$5)))</f>
        <v>#N/A</v>
      </c>
      <c r="G803" s="97" t="e">
        <f ca="1">IF($C$4="Hombre",(+VLOOKUP(INT(D803)+1,Tablas!$G$9:$K$1240,5,0)*(D803-INT(D803))+VLOOKUP(INT(D803),Tablas!$G$9:$K$1240,5,0)*(INT(D803)+1-D803)),+VLOOKUP(INT(D803)+1,Tablas!$G$9:$O$1240,9,0)*(D803-INT(D803))+VLOOKUP(INT(D803),Tablas!$G$9:$O$1240,9,0)*(INT(D803)+1-D803))</f>
        <v>#N/A</v>
      </c>
      <c r="H803" s="105">
        <f t="shared" ca="1" si="100"/>
        <v>1</v>
      </c>
      <c r="I803" s="106" t="e">
        <f t="shared" ca="1" si="101"/>
        <v>#N/A</v>
      </c>
      <c r="J803" s="106" t="e">
        <f t="shared" ca="1" si="105"/>
        <v>#N/A</v>
      </c>
      <c r="K803" s="105" t="e">
        <f t="shared" ca="1" si="102"/>
        <v>#N/A</v>
      </c>
      <c r="L803" s="75"/>
    </row>
    <row r="804" spans="2:12">
      <c r="B804" s="101">
        <f t="shared" ca="1" si="103"/>
        <v>76736</v>
      </c>
      <c r="C804" s="101">
        <f t="shared" ca="1" si="104"/>
        <v>76763</v>
      </c>
      <c r="D804" s="102">
        <f t="shared" ca="1" si="99"/>
        <v>132.65982203969884</v>
      </c>
      <c r="E804" s="103">
        <f t="shared" ca="1" si="98"/>
        <v>0.37621907960130507</v>
      </c>
      <c r="F804" s="104" t="e">
        <f ca="1">IF($C$4="Hombre",(+VLOOKUP(INT(D804)+1,Tablas!$G$9:$K$1240,5,0)*(D804-INT(D804))+VLOOKUP(INT(D804),Tablas!$G$9:$K$1240,5,0)*(INT(D804)+1-D804))/(VLOOKUP(INT($C$5)+1,Tablas!$G$9:$K$1240,5,0)*($C$5-INT($C$5))+VLOOKUP(INT($C$5),Tablas!$G$9:$K$124,5,0)*(INT($C$5)+1-$C$5)),(+VLOOKUP(INT(D804)+1,Tablas!$G$9:$O$1240,9,0)*(D804-INT(D804))+VLOOKUP(INT(D804),Tablas!$G$9:$O$1240,9,0)*(INT(D804)+1-D804))/(VLOOKUP(INT($C$5)+1,Tablas!$G$9:$O$1240,9,0)*($C$5-INT($C$5))+VLOOKUP(INT($C$5),Tablas!$G$9:$O$124,9,0)*(INT($C$5)+1-$C$5)))</f>
        <v>#N/A</v>
      </c>
      <c r="G804" s="97" t="e">
        <f ca="1">IF($C$4="Hombre",(+VLOOKUP(INT(D804)+1,Tablas!$G$9:$K$1240,5,0)*(D804-INT(D804))+VLOOKUP(INT(D804),Tablas!$G$9:$K$1240,5,0)*(INT(D804)+1-D804)),+VLOOKUP(INT(D804)+1,Tablas!$G$9:$O$1240,9,0)*(D804-INT(D804))+VLOOKUP(INT(D804),Tablas!$G$9:$O$1240,9,0)*(INT(D804)+1-D804))</f>
        <v>#N/A</v>
      </c>
      <c r="H804" s="105">
        <f t="shared" ca="1" si="100"/>
        <v>1</v>
      </c>
      <c r="I804" s="106" t="e">
        <f t="shared" ca="1" si="101"/>
        <v>#N/A</v>
      </c>
      <c r="J804" s="106" t="e">
        <f t="shared" ca="1" si="105"/>
        <v>#N/A</v>
      </c>
      <c r="K804" s="105" t="e">
        <f t="shared" ca="1" si="102"/>
        <v>#N/A</v>
      </c>
      <c r="L804" s="75"/>
    </row>
    <row r="805" spans="2:12">
      <c r="B805" s="101">
        <f t="shared" ca="1" si="103"/>
        <v>76764</v>
      </c>
      <c r="C805" s="101">
        <f t="shared" ca="1" si="104"/>
        <v>76794</v>
      </c>
      <c r="D805" s="102">
        <f t="shared" ca="1" si="99"/>
        <v>132.74469541409994</v>
      </c>
      <c r="E805" s="103">
        <f t="shared" ca="1" si="98"/>
        <v>0.37574397181928482</v>
      </c>
      <c r="F805" s="104" t="e">
        <f ca="1">IF($C$4="Hombre",(+VLOOKUP(INT(D805)+1,Tablas!$G$9:$K$1240,5,0)*(D805-INT(D805))+VLOOKUP(INT(D805),Tablas!$G$9:$K$1240,5,0)*(INT(D805)+1-D805))/(VLOOKUP(INT($C$5)+1,Tablas!$G$9:$K$1240,5,0)*($C$5-INT($C$5))+VLOOKUP(INT($C$5),Tablas!$G$9:$K$124,5,0)*(INT($C$5)+1-$C$5)),(+VLOOKUP(INT(D805)+1,Tablas!$G$9:$O$1240,9,0)*(D805-INT(D805))+VLOOKUP(INT(D805),Tablas!$G$9:$O$1240,9,0)*(INT(D805)+1-D805))/(VLOOKUP(INT($C$5)+1,Tablas!$G$9:$O$1240,9,0)*($C$5-INT($C$5))+VLOOKUP(INT($C$5),Tablas!$G$9:$O$124,9,0)*(INT($C$5)+1-$C$5)))</f>
        <v>#N/A</v>
      </c>
      <c r="G805" s="97" t="e">
        <f ca="1">IF($C$4="Hombre",(+VLOOKUP(INT(D805)+1,Tablas!$G$9:$K$1240,5,0)*(D805-INT(D805))+VLOOKUP(INT(D805),Tablas!$G$9:$K$1240,5,0)*(INT(D805)+1-D805)),+VLOOKUP(INT(D805)+1,Tablas!$G$9:$O$1240,9,0)*(D805-INT(D805))+VLOOKUP(INT(D805),Tablas!$G$9:$O$1240,9,0)*(INT(D805)+1-D805))</f>
        <v>#N/A</v>
      </c>
      <c r="H805" s="105">
        <f t="shared" ca="1" si="100"/>
        <v>1</v>
      </c>
      <c r="I805" s="106" t="e">
        <f t="shared" ca="1" si="101"/>
        <v>#N/A</v>
      </c>
      <c r="J805" s="106" t="e">
        <f t="shared" ca="1" si="105"/>
        <v>#N/A</v>
      </c>
      <c r="K805" s="105" t="e">
        <f t="shared" ca="1" si="102"/>
        <v>#N/A</v>
      </c>
      <c r="L805" s="75"/>
    </row>
    <row r="806" spans="2:12">
      <c r="B806" s="101">
        <f t="shared" ca="1" si="103"/>
        <v>76795</v>
      </c>
      <c r="C806" s="101">
        <f t="shared" ca="1" si="104"/>
        <v>76824</v>
      </c>
      <c r="D806" s="102">
        <f t="shared" ca="1" si="99"/>
        <v>132.82683093771391</v>
      </c>
      <c r="E806" s="103">
        <f t="shared" ca="1" si="98"/>
        <v>0.37528476137219308</v>
      </c>
      <c r="F806" s="104" t="e">
        <f ca="1">IF($C$4="Hombre",(+VLOOKUP(INT(D806)+1,Tablas!$G$9:$K$1240,5,0)*(D806-INT(D806))+VLOOKUP(INT(D806),Tablas!$G$9:$K$1240,5,0)*(INT(D806)+1-D806))/(VLOOKUP(INT($C$5)+1,Tablas!$G$9:$K$1240,5,0)*($C$5-INT($C$5))+VLOOKUP(INT($C$5),Tablas!$G$9:$K$124,5,0)*(INT($C$5)+1-$C$5)),(+VLOOKUP(INT(D806)+1,Tablas!$G$9:$O$1240,9,0)*(D806-INT(D806))+VLOOKUP(INT(D806),Tablas!$G$9:$O$1240,9,0)*(INT(D806)+1-D806))/(VLOOKUP(INT($C$5)+1,Tablas!$G$9:$O$1240,9,0)*($C$5-INT($C$5))+VLOOKUP(INT($C$5),Tablas!$G$9:$O$124,9,0)*(INT($C$5)+1-$C$5)))</f>
        <v>#N/A</v>
      </c>
      <c r="G806" s="97" t="e">
        <f ca="1">IF($C$4="Hombre",(+VLOOKUP(INT(D806)+1,Tablas!$G$9:$K$1240,5,0)*(D806-INT(D806))+VLOOKUP(INT(D806),Tablas!$G$9:$K$1240,5,0)*(INT(D806)+1-D806)),+VLOOKUP(INT(D806)+1,Tablas!$G$9:$O$1240,9,0)*(D806-INT(D806))+VLOOKUP(INT(D806),Tablas!$G$9:$O$1240,9,0)*(INT(D806)+1-D806))</f>
        <v>#N/A</v>
      </c>
      <c r="H806" s="105">
        <f t="shared" ca="1" si="100"/>
        <v>1</v>
      </c>
      <c r="I806" s="106" t="e">
        <f t="shared" ca="1" si="101"/>
        <v>#N/A</v>
      </c>
      <c r="J806" s="106" t="e">
        <f t="shared" ca="1" si="105"/>
        <v>#N/A</v>
      </c>
      <c r="K806" s="105" t="e">
        <f t="shared" ca="1" si="102"/>
        <v>#N/A</v>
      </c>
      <c r="L806" s="75"/>
    </row>
    <row r="807" spans="2:12">
      <c r="B807" s="101">
        <f t="shared" ca="1" si="103"/>
        <v>76825</v>
      </c>
      <c r="C807" s="101">
        <f t="shared" ca="1" si="104"/>
        <v>76855</v>
      </c>
      <c r="D807" s="102">
        <f t="shared" ca="1" si="99"/>
        <v>132.91170431211498</v>
      </c>
      <c r="E807" s="103">
        <f t="shared" ca="1" si="98"/>
        <v>0.37481083349274996</v>
      </c>
      <c r="F807" s="104" t="e">
        <f ca="1">IF($C$4="Hombre",(+VLOOKUP(INT(D807)+1,Tablas!$G$9:$K$1240,5,0)*(D807-INT(D807))+VLOOKUP(INT(D807),Tablas!$G$9:$K$1240,5,0)*(INT(D807)+1-D807))/(VLOOKUP(INT($C$5)+1,Tablas!$G$9:$K$1240,5,0)*($C$5-INT($C$5))+VLOOKUP(INT($C$5),Tablas!$G$9:$K$124,5,0)*(INT($C$5)+1-$C$5)),(+VLOOKUP(INT(D807)+1,Tablas!$G$9:$O$1240,9,0)*(D807-INT(D807))+VLOOKUP(INT(D807),Tablas!$G$9:$O$1240,9,0)*(INT(D807)+1-D807))/(VLOOKUP(INT($C$5)+1,Tablas!$G$9:$O$1240,9,0)*($C$5-INT($C$5))+VLOOKUP(INT($C$5),Tablas!$G$9:$O$124,9,0)*(INT($C$5)+1-$C$5)))</f>
        <v>#N/A</v>
      </c>
      <c r="G807" s="97" t="e">
        <f ca="1">IF($C$4="Hombre",(+VLOOKUP(INT(D807)+1,Tablas!$G$9:$K$1240,5,0)*(D807-INT(D807))+VLOOKUP(INT(D807),Tablas!$G$9:$K$1240,5,0)*(INT(D807)+1-D807)),+VLOOKUP(INT(D807)+1,Tablas!$G$9:$O$1240,9,0)*(D807-INT(D807))+VLOOKUP(INT(D807),Tablas!$G$9:$O$1240,9,0)*(INT(D807)+1-D807))</f>
        <v>#N/A</v>
      </c>
      <c r="H807" s="105">
        <f t="shared" ca="1" si="100"/>
        <v>1</v>
      </c>
      <c r="I807" s="106" t="e">
        <f t="shared" ca="1" si="101"/>
        <v>#N/A</v>
      </c>
      <c r="J807" s="106" t="e">
        <f t="shared" ca="1" si="105"/>
        <v>#N/A</v>
      </c>
      <c r="K807" s="105" t="e">
        <f t="shared" ca="1" si="102"/>
        <v>#N/A</v>
      </c>
      <c r="L807" s="75"/>
    </row>
    <row r="808" spans="2:12">
      <c r="B808" s="101">
        <f t="shared" ca="1" si="103"/>
        <v>76856</v>
      </c>
      <c r="C808" s="101">
        <f t="shared" ca="1" si="104"/>
        <v>76885</v>
      </c>
      <c r="D808" s="102">
        <f t="shared" ca="1" si="99"/>
        <v>132.99383983572895</v>
      </c>
      <c r="E808" s="103">
        <f t="shared" ca="1" si="98"/>
        <v>0.37435276346812746</v>
      </c>
      <c r="F808" s="104" t="e">
        <f ca="1">IF($C$4="Hombre",(+VLOOKUP(INT(D808)+1,Tablas!$G$9:$K$1240,5,0)*(D808-INT(D808))+VLOOKUP(INT(D808),Tablas!$G$9:$K$1240,5,0)*(INT(D808)+1-D808))/(VLOOKUP(INT($C$5)+1,Tablas!$G$9:$K$1240,5,0)*($C$5-INT($C$5))+VLOOKUP(INT($C$5),Tablas!$G$9:$K$124,5,0)*(INT($C$5)+1-$C$5)),(+VLOOKUP(INT(D808)+1,Tablas!$G$9:$O$1240,9,0)*(D808-INT(D808))+VLOOKUP(INT(D808),Tablas!$G$9:$O$1240,9,0)*(INT(D808)+1-D808))/(VLOOKUP(INT($C$5)+1,Tablas!$G$9:$O$1240,9,0)*($C$5-INT($C$5))+VLOOKUP(INT($C$5),Tablas!$G$9:$O$124,9,0)*(INT($C$5)+1-$C$5)))</f>
        <v>#N/A</v>
      </c>
      <c r="G808" s="97" t="e">
        <f ca="1">IF($C$4="Hombre",(+VLOOKUP(INT(D808)+1,Tablas!$G$9:$K$1240,5,0)*(D808-INT(D808))+VLOOKUP(INT(D808),Tablas!$G$9:$K$1240,5,0)*(INT(D808)+1-D808)),+VLOOKUP(INT(D808)+1,Tablas!$G$9:$O$1240,9,0)*(D808-INT(D808))+VLOOKUP(INT(D808),Tablas!$G$9:$O$1240,9,0)*(INT(D808)+1-D808))</f>
        <v>#N/A</v>
      </c>
      <c r="H808" s="105">
        <f t="shared" ca="1" si="100"/>
        <v>1</v>
      </c>
      <c r="I808" s="106" t="e">
        <f t="shared" ca="1" si="101"/>
        <v>#N/A</v>
      </c>
      <c r="J808" s="106" t="e">
        <f t="shared" ca="1" si="105"/>
        <v>#N/A</v>
      </c>
      <c r="K808" s="105" t="e">
        <f t="shared" ca="1" si="102"/>
        <v>#N/A</v>
      </c>
      <c r="L808" s="75"/>
    </row>
    <row r="809" spans="2:12">
      <c r="B809" s="101">
        <f t="shared" ca="1" si="103"/>
        <v>76886</v>
      </c>
      <c r="C809" s="101">
        <f t="shared" ca="1" si="104"/>
        <v>76916</v>
      </c>
      <c r="D809" s="102">
        <f t="shared" ca="1" si="99"/>
        <v>133.07871321013005</v>
      </c>
      <c r="E809" s="103">
        <f t="shared" ca="1" si="98"/>
        <v>0.37388001256104175</v>
      </c>
      <c r="F809" s="104" t="e">
        <f ca="1">IF($C$4="Hombre",(+VLOOKUP(INT(D809)+1,Tablas!$G$9:$K$1240,5,0)*(D809-INT(D809))+VLOOKUP(INT(D809),Tablas!$G$9:$K$1240,5,0)*(INT(D809)+1-D809))/(VLOOKUP(INT($C$5)+1,Tablas!$G$9:$K$1240,5,0)*($C$5-INT($C$5))+VLOOKUP(INT($C$5),Tablas!$G$9:$K$124,5,0)*(INT($C$5)+1-$C$5)),(+VLOOKUP(INT(D809)+1,Tablas!$G$9:$O$1240,9,0)*(D809-INT(D809))+VLOOKUP(INT(D809),Tablas!$G$9:$O$1240,9,0)*(INT(D809)+1-D809))/(VLOOKUP(INT($C$5)+1,Tablas!$G$9:$O$1240,9,0)*($C$5-INT($C$5))+VLOOKUP(INT($C$5),Tablas!$G$9:$O$124,9,0)*(INT($C$5)+1-$C$5)))</f>
        <v>#N/A</v>
      </c>
      <c r="G809" s="97" t="e">
        <f ca="1">IF($C$4="Hombre",(+VLOOKUP(INT(D809)+1,Tablas!$G$9:$K$1240,5,0)*(D809-INT(D809))+VLOOKUP(INT(D809),Tablas!$G$9:$K$1240,5,0)*(INT(D809)+1-D809)),+VLOOKUP(INT(D809)+1,Tablas!$G$9:$O$1240,9,0)*(D809-INT(D809))+VLOOKUP(INT(D809),Tablas!$G$9:$O$1240,9,0)*(INT(D809)+1-D809))</f>
        <v>#N/A</v>
      </c>
      <c r="H809" s="105">
        <f t="shared" ca="1" si="100"/>
        <v>1</v>
      </c>
      <c r="I809" s="106" t="e">
        <f t="shared" ca="1" si="101"/>
        <v>#N/A</v>
      </c>
      <c r="J809" s="106" t="e">
        <f t="shared" ca="1" si="105"/>
        <v>#N/A</v>
      </c>
      <c r="K809" s="105" t="e">
        <f t="shared" ca="1" si="102"/>
        <v>#N/A</v>
      </c>
      <c r="L809" s="75"/>
    </row>
    <row r="810" spans="2:12">
      <c r="B810" s="101">
        <f t="shared" ca="1" si="103"/>
        <v>76917</v>
      </c>
      <c r="C810" s="101">
        <f t="shared" ca="1" si="104"/>
        <v>76947</v>
      </c>
      <c r="D810" s="102">
        <f t="shared" ca="1" si="99"/>
        <v>133.16358658453115</v>
      </c>
      <c r="E810" s="103">
        <f t="shared" ca="1" si="98"/>
        <v>0.37340785866683252</v>
      </c>
      <c r="F810" s="104" t="e">
        <f ca="1">IF($C$4="Hombre",(+VLOOKUP(INT(D810)+1,Tablas!$G$9:$K$1240,5,0)*(D810-INT(D810))+VLOOKUP(INT(D810),Tablas!$G$9:$K$1240,5,0)*(INT(D810)+1-D810))/(VLOOKUP(INT($C$5)+1,Tablas!$G$9:$K$1240,5,0)*($C$5-INT($C$5))+VLOOKUP(INT($C$5),Tablas!$G$9:$K$124,5,0)*(INT($C$5)+1-$C$5)),(+VLOOKUP(INT(D810)+1,Tablas!$G$9:$O$1240,9,0)*(D810-INT(D810))+VLOOKUP(INT(D810),Tablas!$G$9:$O$1240,9,0)*(INT(D810)+1-D810))/(VLOOKUP(INT($C$5)+1,Tablas!$G$9:$O$1240,9,0)*($C$5-INT($C$5))+VLOOKUP(INT($C$5),Tablas!$G$9:$O$124,9,0)*(INT($C$5)+1-$C$5)))</f>
        <v>#N/A</v>
      </c>
      <c r="G810" s="97" t="e">
        <f ca="1">IF($C$4="Hombre",(+VLOOKUP(INT(D810)+1,Tablas!$G$9:$K$1240,5,0)*(D810-INT(D810))+VLOOKUP(INT(D810),Tablas!$G$9:$K$1240,5,0)*(INT(D810)+1-D810)),+VLOOKUP(INT(D810)+1,Tablas!$G$9:$O$1240,9,0)*(D810-INT(D810))+VLOOKUP(INT(D810),Tablas!$G$9:$O$1240,9,0)*(INT(D810)+1-D810))</f>
        <v>#N/A</v>
      </c>
      <c r="H810" s="105">
        <f t="shared" ca="1" si="100"/>
        <v>1</v>
      </c>
      <c r="I810" s="106" t="e">
        <f t="shared" ca="1" si="101"/>
        <v>#N/A</v>
      </c>
      <c r="J810" s="106" t="e">
        <f t="shared" ca="1" si="105"/>
        <v>#N/A</v>
      </c>
      <c r="K810" s="105" t="e">
        <f t="shared" ca="1" si="102"/>
        <v>#N/A</v>
      </c>
      <c r="L810" s="75"/>
    </row>
    <row r="811" spans="2:12">
      <c r="B811" s="101">
        <f t="shared" ca="1" si="103"/>
        <v>76948</v>
      </c>
      <c r="C811" s="101">
        <f t="shared" ca="1" si="104"/>
        <v>76977</v>
      </c>
      <c r="D811" s="102">
        <f t="shared" ca="1" si="99"/>
        <v>133.24572210814512</v>
      </c>
      <c r="E811" s="103">
        <f t="shared" ca="1" si="98"/>
        <v>0.37295150326904464</v>
      </c>
      <c r="F811" s="104" t="e">
        <f ca="1">IF($C$4="Hombre",(+VLOOKUP(INT(D811)+1,Tablas!$G$9:$K$1240,5,0)*(D811-INT(D811))+VLOOKUP(INT(D811),Tablas!$G$9:$K$1240,5,0)*(INT(D811)+1-D811))/(VLOOKUP(INT($C$5)+1,Tablas!$G$9:$K$1240,5,0)*($C$5-INT($C$5))+VLOOKUP(INT($C$5),Tablas!$G$9:$K$124,5,0)*(INT($C$5)+1-$C$5)),(+VLOOKUP(INT(D811)+1,Tablas!$G$9:$O$1240,9,0)*(D811-INT(D811))+VLOOKUP(INT(D811),Tablas!$G$9:$O$1240,9,0)*(INT(D811)+1-D811))/(VLOOKUP(INT($C$5)+1,Tablas!$G$9:$O$1240,9,0)*($C$5-INT($C$5))+VLOOKUP(INT($C$5),Tablas!$G$9:$O$124,9,0)*(INT($C$5)+1-$C$5)))</f>
        <v>#N/A</v>
      </c>
      <c r="G811" s="97" t="e">
        <f ca="1">IF($C$4="Hombre",(+VLOOKUP(INT(D811)+1,Tablas!$G$9:$K$1240,5,0)*(D811-INT(D811))+VLOOKUP(INT(D811),Tablas!$G$9:$K$1240,5,0)*(INT(D811)+1-D811)),+VLOOKUP(INT(D811)+1,Tablas!$G$9:$O$1240,9,0)*(D811-INT(D811))+VLOOKUP(INT(D811),Tablas!$G$9:$O$1240,9,0)*(INT(D811)+1-D811))</f>
        <v>#N/A</v>
      </c>
      <c r="H811" s="105">
        <f t="shared" ca="1" si="100"/>
        <v>1</v>
      </c>
      <c r="I811" s="106" t="e">
        <f t="shared" ca="1" si="101"/>
        <v>#N/A</v>
      </c>
      <c r="J811" s="106" t="e">
        <f t="shared" ca="1" si="105"/>
        <v>#N/A</v>
      </c>
      <c r="K811" s="105" t="e">
        <f t="shared" ca="1" si="102"/>
        <v>#N/A</v>
      </c>
      <c r="L811" s="75"/>
    </row>
    <row r="812" spans="2:12">
      <c r="B812" s="101">
        <f t="shared" ca="1" si="103"/>
        <v>76978</v>
      </c>
      <c r="C812" s="101">
        <f t="shared" ca="1" si="104"/>
        <v>77008</v>
      </c>
      <c r="D812" s="102">
        <f t="shared" ca="1" si="99"/>
        <v>133.33059548254622</v>
      </c>
      <c r="E812" s="103">
        <f t="shared" ca="1" si="98"/>
        <v>0.37248052194160369</v>
      </c>
      <c r="F812" s="104" t="e">
        <f ca="1">IF($C$4="Hombre",(+VLOOKUP(INT(D812)+1,Tablas!$G$9:$K$1240,5,0)*(D812-INT(D812))+VLOOKUP(INT(D812),Tablas!$G$9:$K$1240,5,0)*(INT(D812)+1-D812))/(VLOOKUP(INT($C$5)+1,Tablas!$G$9:$K$1240,5,0)*($C$5-INT($C$5))+VLOOKUP(INT($C$5),Tablas!$G$9:$K$124,5,0)*(INT($C$5)+1-$C$5)),(+VLOOKUP(INT(D812)+1,Tablas!$G$9:$O$1240,9,0)*(D812-INT(D812))+VLOOKUP(INT(D812),Tablas!$G$9:$O$1240,9,0)*(INT(D812)+1-D812))/(VLOOKUP(INT($C$5)+1,Tablas!$G$9:$O$1240,9,0)*($C$5-INT($C$5))+VLOOKUP(INT($C$5),Tablas!$G$9:$O$124,9,0)*(INT($C$5)+1-$C$5)))</f>
        <v>#N/A</v>
      </c>
      <c r="G812" s="97" t="e">
        <f ca="1">IF($C$4="Hombre",(+VLOOKUP(INT(D812)+1,Tablas!$G$9:$K$1240,5,0)*(D812-INT(D812))+VLOOKUP(INT(D812),Tablas!$G$9:$K$1240,5,0)*(INT(D812)+1-D812)),+VLOOKUP(INT(D812)+1,Tablas!$G$9:$O$1240,9,0)*(D812-INT(D812))+VLOOKUP(INT(D812),Tablas!$G$9:$O$1240,9,0)*(INT(D812)+1-D812))</f>
        <v>#N/A</v>
      </c>
      <c r="H812" s="105">
        <f t="shared" ca="1" si="100"/>
        <v>1</v>
      </c>
      <c r="I812" s="106" t="e">
        <f t="shared" ca="1" si="101"/>
        <v>#N/A</v>
      </c>
      <c r="J812" s="106" t="e">
        <f t="shared" ca="1" si="105"/>
        <v>#N/A</v>
      </c>
      <c r="K812" s="105" t="e">
        <f t="shared" ca="1" si="102"/>
        <v>#N/A</v>
      </c>
      <c r="L812" s="75"/>
    </row>
    <row r="813" spans="2:12">
      <c r="B813" s="101">
        <f t="shared" ca="1" si="103"/>
        <v>77009</v>
      </c>
      <c r="C813" s="101">
        <f t="shared" ca="1" si="104"/>
        <v>77038</v>
      </c>
      <c r="D813" s="102">
        <f t="shared" ca="1" si="99"/>
        <v>133.41273100616016</v>
      </c>
      <c r="E813" s="103">
        <f t="shared" ca="1" si="98"/>
        <v>0.37202529987593608</v>
      </c>
      <c r="F813" s="104" t="e">
        <f ca="1">IF($C$4="Hombre",(+VLOOKUP(INT(D813)+1,Tablas!$G$9:$K$1240,5,0)*(D813-INT(D813))+VLOOKUP(INT(D813),Tablas!$G$9:$K$1240,5,0)*(INT(D813)+1-D813))/(VLOOKUP(INT($C$5)+1,Tablas!$G$9:$K$1240,5,0)*($C$5-INT($C$5))+VLOOKUP(INT($C$5),Tablas!$G$9:$K$124,5,0)*(INT($C$5)+1-$C$5)),(+VLOOKUP(INT(D813)+1,Tablas!$G$9:$O$1240,9,0)*(D813-INT(D813))+VLOOKUP(INT(D813),Tablas!$G$9:$O$1240,9,0)*(INT(D813)+1-D813))/(VLOOKUP(INT($C$5)+1,Tablas!$G$9:$O$1240,9,0)*($C$5-INT($C$5))+VLOOKUP(INT($C$5),Tablas!$G$9:$O$124,9,0)*(INT($C$5)+1-$C$5)))</f>
        <v>#N/A</v>
      </c>
      <c r="G813" s="97" t="e">
        <f ca="1">IF($C$4="Hombre",(+VLOOKUP(INT(D813)+1,Tablas!$G$9:$K$1240,5,0)*(D813-INT(D813))+VLOOKUP(INT(D813),Tablas!$G$9:$K$1240,5,0)*(INT(D813)+1-D813)),+VLOOKUP(INT(D813)+1,Tablas!$G$9:$O$1240,9,0)*(D813-INT(D813))+VLOOKUP(INT(D813),Tablas!$G$9:$O$1240,9,0)*(INT(D813)+1-D813))</f>
        <v>#N/A</v>
      </c>
      <c r="H813" s="105">
        <f t="shared" ca="1" si="100"/>
        <v>1</v>
      </c>
      <c r="I813" s="106" t="e">
        <f t="shared" ca="1" si="101"/>
        <v>#N/A</v>
      </c>
      <c r="J813" s="106" t="e">
        <f t="shared" ca="1" si="105"/>
        <v>#N/A</v>
      </c>
      <c r="K813" s="105" t="e">
        <f t="shared" ca="1" si="102"/>
        <v>#N/A</v>
      </c>
      <c r="L813" s="75"/>
    </row>
    <row r="814" spans="2:12">
      <c r="B814" s="101">
        <f t="shared" ca="1" si="103"/>
        <v>77039</v>
      </c>
      <c r="C814" s="101">
        <f t="shared" ca="1" si="104"/>
        <v>77069</v>
      </c>
      <c r="D814" s="102">
        <f t="shared" ca="1" si="99"/>
        <v>133.49760438056126</v>
      </c>
      <c r="E814" s="103">
        <f t="shared" ca="1" si="98"/>
        <v>0.37155548820326179</v>
      </c>
      <c r="F814" s="104" t="e">
        <f ca="1">IF($C$4="Hombre",(+VLOOKUP(INT(D814)+1,Tablas!$G$9:$K$1240,5,0)*(D814-INT(D814))+VLOOKUP(INT(D814),Tablas!$G$9:$K$1240,5,0)*(INT(D814)+1-D814))/(VLOOKUP(INT($C$5)+1,Tablas!$G$9:$K$1240,5,0)*($C$5-INT($C$5))+VLOOKUP(INT($C$5),Tablas!$G$9:$K$124,5,0)*(INT($C$5)+1-$C$5)),(+VLOOKUP(INT(D814)+1,Tablas!$G$9:$O$1240,9,0)*(D814-INT(D814))+VLOOKUP(INT(D814),Tablas!$G$9:$O$1240,9,0)*(INT(D814)+1-D814))/(VLOOKUP(INT($C$5)+1,Tablas!$G$9:$O$1240,9,0)*($C$5-INT($C$5))+VLOOKUP(INT($C$5),Tablas!$G$9:$O$124,9,0)*(INT($C$5)+1-$C$5)))</f>
        <v>#N/A</v>
      </c>
      <c r="G814" s="97" t="e">
        <f ca="1">IF($C$4="Hombre",(+VLOOKUP(INT(D814)+1,Tablas!$G$9:$K$1240,5,0)*(D814-INT(D814))+VLOOKUP(INT(D814),Tablas!$G$9:$K$1240,5,0)*(INT(D814)+1-D814)),+VLOOKUP(INT(D814)+1,Tablas!$G$9:$O$1240,9,0)*(D814-INT(D814))+VLOOKUP(INT(D814),Tablas!$G$9:$O$1240,9,0)*(INT(D814)+1-D814))</f>
        <v>#N/A</v>
      </c>
      <c r="H814" s="105">
        <f t="shared" ca="1" si="100"/>
        <v>1</v>
      </c>
      <c r="I814" s="106" t="e">
        <f t="shared" ca="1" si="101"/>
        <v>#N/A</v>
      </c>
      <c r="J814" s="106" t="e">
        <f t="shared" ca="1" si="105"/>
        <v>#N/A</v>
      </c>
      <c r="K814" s="105" t="e">
        <f t="shared" ca="1" si="102"/>
        <v>#N/A</v>
      </c>
      <c r="L814" s="75"/>
    </row>
    <row r="815" spans="2:12">
      <c r="B815" s="101">
        <f t="shared" ca="1" si="103"/>
        <v>77070</v>
      </c>
      <c r="C815" s="101">
        <f t="shared" ca="1" si="104"/>
        <v>77100</v>
      </c>
      <c r="D815" s="102">
        <f t="shared" ca="1" si="99"/>
        <v>133.58247775496235</v>
      </c>
      <c r="E815" s="103">
        <f t="shared" ca="1" si="98"/>
        <v>0.3710862698316556</v>
      </c>
      <c r="F815" s="104" t="e">
        <f ca="1">IF($C$4="Hombre",(+VLOOKUP(INT(D815)+1,Tablas!$G$9:$K$1240,5,0)*(D815-INT(D815))+VLOOKUP(INT(D815),Tablas!$G$9:$K$1240,5,0)*(INT(D815)+1-D815))/(VLOOKUP(INT($C$5)+1,Tablas!$G$9:$K$1240,5,0)*($C$5-INT($C$5))+VLOOKUP(INT($C$5),Tablas!$G$9:$K$124,5,0)*(INT($C$5)+1-$C$5)),(+VLOOKUP(INT(D815)+1,Tablas!$G$9:$O$1240,9,0)*(D815-INT(D815))+VLOOKUP(INT(D815),Tablas!$G$9:$O$1240,9,0)*(INT(D815)+1-D815))/(VLOOKUP(INT($C$5)+1,Tablas!$G$9:$O$1240,9,0)*($C$5-INT($C$5))+VLOOKUP(INT($C$5),Tablas!$G$9:$O$124,9,0)*(INT($C$5)+1-$C$5)))</f>
        <v>#N/A</v>
      </c>
      <c r="G815" s="97" t="e">
        <f ca="1">IF($C$4="Hombre",(+VLOOKUP(INT(D815)+1,Tablas!$G$9:$K$1240,5,0)*(D815-INT(D815))+VLOOKUP(INT(D815),Tablas!$G$9:$K$1240,5,0)*(INT(D815)+1-D815)),+VLOOKUP(INT(D815)+1,Tablas!$G$9:$O$1240,9,0)*(D815-INT(D815))+VLOOKUP(INT(D815),Tablas!$G$9:$O$1240,9,0)*(INT(D815)+1-D815))</f>
        <v>#N/A</v>
      </c>
      <c r="H815" s="105">
        <f t="shared" ca="1" si="100"/>
        <v>1</v>
      </c>
      <c r="I815" s="106" t="e">
        <f t="shared" ca="1" si="101"/>
        <v>#N/A</v>
      </c>
      <c r="J815" s="106" t="e">
        <f t="shared" ca="1" si="105"/>
        <v>#N/A</v>
      </c>
      <c r="K815" s="105" t="e">
        <f t="shared" ca="1" si="102"/>
        <v>#N/A</v>
      </c>
      <c r="L815" s="75"/>
    </row>
    <row r="816" spans="2:12">
      <c r="B816" s="101">
        <f t="shared" ca="1" si="103"/>
        <v>77101</v>
      </c>
      <c r="C816" s="101">
        <f t="shared" ca="1" si="104"/>
        <v>77128</v>
      </c>
      <c r="D816" s="102">
        <f t="shared" ca="1" si="99"/>
        <v>133.65913757700204</v>
      </c>
      <c r="E816" s="103">
        <f t="shared" ca="1" si="98"/>
        <v>0.37066296902124324</v>
      </c>
      <c r="F816" s="104" t="e">
        <f ca="1">IF($C$4="Hombre",(+VLOOKUP(INT(D816)+1,Tablas!$G$9:$K$1240,5,0)*(D816-INT(D816))+VLOOKUP(INT(D816),Tablas!$G$9:$K$1240,5,0)*(INT(D816)+1-D816))/(VLOOKUP(INT($C$5)+1,Tablas!$G$9:$K$1240,5,0)*($C$5-INT($C$5))+VLOOKUP(INT($C$5),Tablas!$G$9:$K$124,5,0)*(INT($C$5)+1-$C$5)),(+VLOOKUP(INT(D816)+1,Tablas!$G$9:$O$1240,9,0)*(D816-INT(D816))+VLOOKUP(INT(D816),Tablas!$G$9:$O$1240,9,0)*(INT(D816)+1-D816))/(VLOOKUP(INT($C$5)+1,Tablas!$G$9:$O$1240,9,0)*($C$5-INT($C$5))+VLOOKUP(INT($C$5),Tablas!$G$9:$O$124,9,0)*(INT($C$5)+1-$C$5)))</f>
        <v>#N/A</v>
      </c>
      <c r="G816" s="97" t="e">
        <f ca="1">IF($C$4="Hombre",(+VLOOKUP(INT(D816)+1,Tablas!$G$9:$K$1240,5,0)*(D816-INT(D816))+VLOOKUP(INT(D816),Tablas!$G$9:$K$1240,5,0)*(INT(D816)+1-D816)),+VLOOKUP(INT(D816)+1,Tablas!$G$9:$O$1240,9,0)*(D816-INT(D816))+VLOOKUP(INT(D816),Tablas!$G$9:$O$1240,9,0)*(INT(D816)+1-D816))</f>
        <v>#N/A</v>
      </c>
      <c r="H816" s="105">
        <f t="shared" ca="1" si="100"/>
        <v>1</v>
      </c>
      <c r="I816" s="106" t="e">
        <f t="shared" ca="1" si="101"/>
        <v>#N/A</v>
      </c>
      <c r="J816" s="106" t="e">
        <f t="shared" ca="1" si="105"/>
        <v>#N/A</v>
      </c>
      <c r="K816" s="105" t="e">
        <f t="shared" ca="1" si="102"/>
        <v>#N/A</v>
      </c>
      <c r="L816" s="75"/>
    </row>
    <row r="817" spans="2:12">
      <c r="B817" s="101">
        <f t="shared" ca="1" si="103"/>
        <v>77129</v>
      </c>
      <c r="C817" s="101">
        <f t="shared" ca="1" si="104"/>
        <v>77159</v>
      </c>
      <c r="D817" s="102">
        <f t="shared" ca="1" si="99"/>
        <v>133.74401095140314</v>
      </c>
      <c r="E817" s="103">
        <f t="shared" ca="1" si="98"/>
        <v>0.37019487776634102</v>
      </c>
      <c r="F817" s="104" t="e">
        <f ca="1">IF($C$4="Hombre",(+VLOOKUP(INT(D817)+1,Tablas!$G$9:$K$1240,5,0)*(D817-INT(D817))+VLOOKUP(INT(D817),Tablas!$G$9:$K$1240,5,0)*(INT(D817)+1-D817))/(VLOOKUP(INT($C$5)+1,Tablas!$G$9:$K$1240,5,0)*($C$5-INT($C$5))+VLOOKUP(INT($C$5),Tablas!$G$9:$K$124,5,0)*(INT($C$5)+1-$C$5)),(+VLOOKUP(INT(D817)+1,Tablas!$G$9:$O$1240,9,0)*(D817-INT(D817))+VLOOKUP(INT(D817),Tablas!$G$9:$O$1240,9,0)*(INT(D817)+1-D817))/(VLOOKUP(INT($C$5)+1,Tablas!$G$9:$O$1240,9,0)*($C$5-INT($C$5))+VLOOKUP(INT($C$5),Tablas!$G$9:$O$124,9,0)*(INT($C$5)+1-$C$5)))</f>
        <v>#N/A</v>
      </c>
      <c r="G817" s="97" t="e">
        <f ca="1">IF($C$4="Hombre",(+VLOOKUP(INT(D817)+1,Tablas!$G$9:$K$1240,5,0)*(D817-INT(D817))+VLOOKUP(INT(D817),Tablas!$G$9:$K$1240,5,0)*(INT(D817)+1-D817)),+VLOOKUP(INT(D817)+1,Tablas!$G$9:$O$1240,9,0)*(D817-INT(D817))+VLOOKUP(INT(D817),Tablas!$G$9:$O$1240,9,0)*(INT(D817)+1-D817))</f>
        <v>#N/A</v>
      </c>
      <c r="H817" s="105">
        <f t="shared" ca="1" si="100"/>
        <v>1</v>
      </c>
      <c r="I817" s="106" t="e">
        <f t="shared" ca="1" si="101"/>
        <v>#N/A</v>
      </c>
      <c r="J817" s="106" t="e">
        <f t="shared" ca="1" si="105"/>
        <v>#N/A</v>
      </c>
      <c r="K817" s="105" t="e">
        <f t="shared" ca="1" si="102"/>
        <v>#N/A</v>
      </c>
      <c r="L817" s="75"/>
    </row>
    <row r="818" spans="2:12">
      <c r="B818" s="101">
        <f t="shared" ca="1" si="103"/>
        <v>77160</v>
      </c>
      <c r="C818" s="101">
        <f t="shared" ca="1" si="104"/>
        <v>77189</v>
      </c>
      <c r="D818" s="102">
        <f t="shared" ca="1" si="99"/>
        <v>133.82614647501711</v>
      </c>
      <c r="E818" s="103">
        <f t="shared" ca="1" si="98"/>
        <v>0.36974244906999482</v>
      </c>
      <c r="F818" s="104" t="e">
        <f ca="1">IF($C$4="Hombre",(+VLOOKUP(INT(D818)+1,Tablas!$G$9:$K$1240,5,0)*(D818-INT(D818))+VLOOKUP(INT(D818),Tablas!$G$9:$K$1240,5,0)*(INT(D818)+1-D818))/(VLOOKUP(INT($C$5)+1,Tablas!$G$9:$K$1240,5,0)*($C$5-INT($C$5))+VLOOKUP(INT($C$5),Tablas!$G$9:$K$124,5,0)*(INT($C$5)+1-$C$5)),(+VLOOKUP(INT(D818)+1,Tablas!$G$9:$O$1240,9,0)*(D818-INT(D818))+VLOOKUP(INT(D818),Tablas!$G$9:$O$1240,9,0)*(INT(D818)+1-D818))/(VLOOKUP(INT($C$5)+1,Tablas!$G$9:$O$1240,9,0)*($C$5-INT($C$5))+VLOOKUP(INT($C$5),Tablas!$G$9:$O$124,9,0)*(INT($C$5)+1-$C$5)))</f>
        <v>#N/A</v>
      </c>
      <c r="G818" s="97" t="e">
        <f ca="1">IF($C$4="Hombre",(+VLOOKUP(INT(D818)+1,Tablas!$G$9:$K$1240,5,0)*(D818-INT(D818))+VLOOKUP(INT(D818),Tablas!$G$9:$K$1240,5,0)*(INT(D818)+1-D818)),+VLOOKUP(INT(D818)+1,Tablas!$G$9:$O$1240,9,0)*(D818-INT(D818))+VLOOKUP(INT(D818),Tablas!$G$9:$O$1240,9,0)*(INT(D818)+1-D818))</f>
        <v>#N/A</v>
      </c>
      <c r="H818" s="105">
        <f t="shared" ca="1" si="100"/>
        <v>1</v>
      </c>
      <c r="I818" s="106" t="e">
        <f t="shared" ca="1" si="101"/>
        <v>#N/A</v>
      </c>
      <c r="J818" s="106" t="e">
        <f t="shared" ca="1" si="105"/>
        <v>#N/A</v>
      </c>
      <c r="K818" s="105" t="e">
        <f t="shared" ca="1" si="102"/>
        <v>#N/A</v>
      </c>
      <c r="L818" s="75"/>
    </row>
    <row r="819" spans="2:12">
      <c r="B819" s="101">
        <f t="shared" ca="1" si="103"/>
        <v>77190</v>
      </c>
      <c r="C819" s="101">
        <f t="shared" ca="1" si="104"/>
        <v>77220</v>
      </c>
      <c r="D819" s="102">
        <f t="shared" ca="1" si="99"/>
        <v>133.91101984941821</v>
      </c>
      <c r="E819" s="103">
        <f t="shared" ca="1" si="98"/>
        <v>0.36927552029253213</v>
      </c>
      <c r="F819" s="104" t="e">
        <f ca="1">IF($C$4="Hombre",(+VLOOKUP(INT(D819)+1,Tablas!$G$9:$K$1240,5,0)*(D819-INT(D819))+VLOOKUP(INT(D819),Tablas!$G$9:$K$1240,5,0)*(INT(D819)+1-D819))/(VLOOKUP(INT($C$5)+1,Tablas!$G$9:$K$1240,5,0)*($C$5-INT($C$5))+VLOOKUP(INT($C$5),Tablas!$G$9:$K$124,5,0)*(INT($C$5)+1-$C$5)),(+VLOOKUP(INT(D819)+1,Tablas!$G$9:$O$1240,9,0)*(D819-INT(D819))+VLOOKUP(INT(D819),Tablas!$G$9:$O$1240,9,0)*(INT(D819)+1-D819))/(VLOOKUP(INT($C$5)+1,Tablas!$G$9:$O$1240,9,0)*($C$5-INT($C$5))+VLOOKUP(INT($C$5),Tablas!$G$9:$O$124,9,0)*(INT($C$5)+1-$C$5)))</f>
        <v>#N/A</v>
      </c>
      <c r="G819" s="97" t="e">
        <f ca="1">IF($C$4="Hombre",(+VLOOKUP(INT(D819)+1,Tablas!$G$9:$K$1240,5,0)*(D819-INT(D819))+VLOOKUP(INT(D819),Tablas!$G$9:$K$1240,5,0)*(INT(D819)+1-D819)),+VLOOKUP(INT(D819)+1,Tablas!$G$9:$O$1240,9,0)*(D819-INT(D819))+VLOOKUP(INT(D819),Tablas!$G$9:$O$1240,9,0)*(INT(D819)+1-D819))</f>
        <v>#N/A</v>
      </c>
      <c r="H819" s="105">
        <f t="shared" ca="1" si="100"/>
        <v>1</v>
      </c>
      <c r="I819" s="106" t="e">
        <f t="shared" ca="1" si="101"/>
        <v>#N/A</v>
      </c>
      <c r="J819" s="106" t="e">
        <f t="shared" ca="1" si="105"/>
        <v>#N/A</v>
      </c>
      <c r="K819" s="105" t="e">
        <f t="shared" ca="1" si="102"/>
        <v>#N/A</v>
      </c>
      <c r="L819" s="75"/>
    </row>
    <row r="820" spans="2:12">
      <c r="B820" s="101">
        <f t="shared" ca="1" si="103"/>
        <v>77221</v>
      </c>
      <c r="C820" s="101">
        <f t="shared" ca="1" si="104"/>
        <v>77250</v>
      </c>
      <c r="D820" s="102">
        <f t="shared" ca="1" si="99"/>
        <v>133.99315537303218</v>
      </c>
      <c r="E820" s="103">
        <f t="shared" ca="1" si="98"/>
        <v>0.3688242151765711</v>
      </c>
      <c r="F820" s="104" t="e">
        <f ca="1">IF($C$4="Hombre",(+VLOOKUP(INT(D820)+1,Tablas!$G$9:$K$1240,5,0)*(D820-INT(D820))+VLOOKUP(INT(D820),Tablas!$G$9:$K$1240,5,0)*(INT(D820)+1-D820))/(VLOOKUP(INT($C$5)+1,Tablas!$G$9:$K$1240,5,0)*($C$5-INT($C$5))+VLOOKUP(INT($C$5),Tablas!$G$9:$K$124,5,0)*(INT($C$5)+1-$C$5)),(+VLOOKUP(INT(D820)+1,Tablas!$G$9:$O$1240,9,0)*(D820-INT(D820))+VLOOKUP(INT(D820),Tablas!$G$9:$O$1240,9,0)*(INT(D820)+1-D820))/(VLOOKUP(INT($C$5)+1,Tablas!$G$9:$O$1240,9,0)*($C$5-INT($C$5))+VLOOKUP(INT($C$5),Tablas!$G$9:$O$124,9,0)*(INT($C$5)+1-$C$5)))</f>
        <v>#N/A</v>
      </c>
      <c r="G820" s="97" t="e">
        <f ca="1">IF($C$4="Hombre",(+VLOOKUP(INT(D820)+1,Tablas!$G$9:$K$1240,5,0)*(D820-INT(D820))+VLOOKUP(INT(D820),Tablas!$G$9:$K$1240,5,0)*(INT(D820)+1-D820)),+VLOOKUP(INT(D820)+1,Tablas!$G$9:$O$1240,9,0)*(D820-INT(D820))+VLOOKUP(INT(D820),Tablas!$G$9:$O$1240,9,0)*(INT(D820)+1-D820))</f>
        <v>#N/A</v>
      </c>
      <c r="H820" s="105">
        <f t="shared" ca="1" si="100"/>
        <v>1</v>
      </c>
      <c r="I820" s="106" t="e">
        <f t="shared" ca="1" si="101"/>
        <v>#N/A</v>
      </c>
      <c r="J820" s="106" t="e">
        <f t="shared" ca="1" si="105"/>
        <v>#N/A</v>
      </c>
      <c r="K820" s="105" t="e">
        <f t="shared" ca="1" si="102"/>
        <v>#N/A</v>
      </c>
      <c r="L820" s="75"/>
    </row>
    <row r="821" spans="2:12">
      <c r="B821" s="101">
        <f t="shared" ca="1" si="103"/>
        <v>77251</v>
      </c>
      <c r="C821" s="101">
        <f t="shared" ca="1" si="104"/>
        <v>77281</v>
      </c>
      <c r="D821" s="102">
        <f t="shared" ca="1" si="99"/>
        <v>134.07802874743325</v>
      </c>
      <c r="E821" s="103">
        <f t="shared" ca="1" si="98"/>
        <v>0.36835844598960288</v>
      </c>
      <c r="F821" s="104" t="e">
        <f ca="1">IF($C$4="Hombre",(+VLOOKUP(INT(D821)+1,Tablas!$G$9:$K$1240,5,0)*(D821-INT(D821))+VLOOKUP(INT(D821),Tablas!$G$9:$K$1240,5,0)*(INT(D821)+1-D821))/(VLOOKUP(INT($C$5)+1,Tablas!$G$9:$K$1240,5,0)*($C$5-INT($C$5))+VLOOKUP(INT($C$5),Tablas!$G$9:$K$124,5,0)*(INT($C$5)+1-$C$5)),(+VLOOKUP(INT(D821)+1,Tablas!$G$9:$O$1240,9,0)*(D821-INT(D821))+VLOOKUP(INT(D821),Tablas!$G$9:$O$1240,9,0)*(INT(D821)+1-D821))/(VLOOKUP(INT($C$5)+1,Tablas!$G$9:$O$1240,9,0)*($C$5-INT($C$5))+VLOOKUP(INT($C$5),Tablas!$G$9:$O$124,9,0)*(INT($C$5)+1-$C$5)))</f>
        <v>#N/A</v>
      </c>
      <c r="G821" s="97" t="e">
        <f ca="1">IF($C$4="Hombre",(+VLOOKUP(INT(D821)+1,Tablas!$G$9:$K$1240,5,0)*(D821-INT(D821))+VLOOKUP(INT(D821),Tablas!$G$9:$K$1240,5,0)*(INT(D821)+1-D821)),+VLOOKUP(INT(D821)+1,Tablas!$G$9:$O$1240,9,0)*(D821-INT(D821))+VLOOKUP(INT(D821),Tablas!$G$9:$O$1240,9,0)*(INT(D821)+1-D821))</f>
        <v>#N/A</v>
      </c>
      <c r="H821" s="105">
        <f t="shared" ca="1" si="100"/>
        <v>1</v>
      </c>
      <c r="I821" s="106" t="e">
        <f t="shared" ca="1" si="101"/>
        <v>#N/A</v>
      </c>
      <c r="J821" s="106" t="e">
        <f t="shared" ca="1" si="105"/>
        <v>#N/A</v>
      </c>
      <c r="K821" s="105" t="e">
        <f t="shared" ca="1" si="102"/>
        <v>#N/A</v>
      </c>
      <c r="L821" s="75"/>
    </row>
    <row r="822" spans="2:12">
      <c r="B822" s="101">
        <f t="shared" ca="1" si="103"/>
        <v>77282</v>
      </c>
      <c r="C822" s="101">
        <f t="shared" ca="1" si="104"/>
        <v>77312</v>
      </c>
      <c r="D822" s="102">
        <f t="shared" ca="1" si="99"/>
        <v>134.16290212183435</v>
      </c>
      <c r="E822" s="103">
        <f t="shared" ref="E822:E854" ca="1" si="106">IF($D$17+40&lt;=D822,(1+$D$7)^-(D822-$C$5),(1+$C$7)^-(D822-$C$5))</f>
        <v>0.36789326499865471</v>
      </c>
      <c r="F822" s="104" t="e">
        <f ca="1">IF($C$4="Hombre",(+VLOOKUP(INT(D822)+1,Tablas!$G$9:$K$1240,5,0)*(D822-INT(D822))+VLOOKUP(INT(D822),Tablas!$G$9:$K$1240,5,0)*(INT(D822)+1-D822))/(VLOOKUP(INT($C$5)+1,Tablas!$G$9:$K$1240,5,0)*($C$5-INT($C$5))+VLOOKUP(INT($C$5),Tablas!$G$9:$K$124,5,0)*(INT($C$5)+1-$C$5)),(+VLOOKUP(INT(D822)+1,Tablas!$G$9:$O$1240,9,0)*(D822-INT(D822))+VLOOKUP(INT(D822),Tablas!$G$9:$O$1240,9,0)*(INT(D822)+1-D822))/(VLOOKUP(INT($C$5)+1,Tablas!$G$9:$O$1240,9,0)*($C$5-INT($C$5))+VLOOKUP(INT($C$5),Tablas!$G$9:$O$124,9,0)*(INT($C$5)+1-$C$5)))</f>
        <v>#N/A</v>
      </c>
      <c r="G822" s="97" t="e">
        <f ca="1">IF($C$4="Hombre",(+VLOOKUP(INT(D822)+1,Tablas!$G$9:$K$1240,5,0)*(D822-INT(D822))+VLOOKUP(INT(D822),Tablas!$G$9:$K$1240,5,0)*(INT(D822)+1-D822)),+VLOOKUP(INT(D822)+1,Tablas!$G$9:$O$1240,9,0)*(D822-INT(D822))+VLOOKUP(INT(D822),Tablas!$G$9:$O$1240,9,0)*(INT(D822)+1-D822))</f>
        <v>#N/A</v>
      </c>
      <c r="H822" s="105">
        <f t="shared" ca="1" si="100"/>
        <v>1</v>
      </c>
      <c r="I822" s="106">
        <f t="shared" ca="1" si="101"/>
        <v>0</v>
      </c>
      <c r="J822" s="106">
        <f t="shared" ca="1" si="105"/>
        <v>0</v>
      </c>
      <c r="K822" s="105" t="e">
        <f t="shared" ca="1" si="102"/>
        <v>#N/A</v>
      </c>
      <c r="L822" s="75"/>
    </row>
    <row r="823" spans="2:12">
      <c r="B823" s="101">
        <f t="shared" ca="1" si="103"/>
        <v>77313</v>
      </c>
      <c r="C823" s="101">
        <f t="shared" ca="1" si="104"/>
        <v>77342</v>
      </c>
      <c r="D823" s="102">
        <f t="shared" ca="1" si="99"/>
        <v>134.24503764544832</v>
      </c>
      <c r="E823" s="103">
        <f t="shared" ca="1" si="106"/>
        <v>0.36744364918743067</v>
      </c>
      <c r="F823" s="104" t="e">
        <f ca="1">IF($C$4="Hombre",(+VLOOKUP(INT(D823)+1,Tablas!$G$9:$K$1240,5,0)*(D823-INT(D823))+VLOOKUP(INT(D823),Tablas!$G$9:$K$1240,5,0)*(INT(D823)+1-D823))/(VLOOKUP(INT($C$5)+1,Tablas!$G$9:$K$1240,5,0)*($C$5-INT($C$5))+VLOOKUP(INT($C$5),Tablas!$G$9:$K$124,5,0)*(INT($C$5)+1-$C$5)),(+VLOOKUP(INT(D823)+1,Tablas!$G$9:$O$1240,9,0)*(D823-INT(D823))+VLOOKUP(INT(D823),Tablas!$G$9:$O$1240,9,0)*(INT(D823)+1-D823))/(VLOOKUP(INT($C$5)+1,Tablas!$G$9:$O$1240,9,0)*($C$5-INT($C$5))+VLOOKUP(INT($C$5),Tablas!$G$9:$O$124,9,0)*(INT($C$5)+1-$C$5)))</f>
        <v>#N/A</v>
      </c>
      <c r="G823" s="97" t="e">
        <f ca="1">IF($C$4="Hombre",(+VLOOKUP(INT(D823)+1,Tablas!$G$9:$K$1240,5,0)*(D823-INT(D823))+VLOOKUP(INT(D823),Tablas!$G$9:$K$1240,5,0)*(INT(D823)+1-D823)),+VLOOKUP(INT(D823)+1,Tablas!$G$9:$O$1240,9,0)*(D823-INT(D823))+VLOOKUP(INT(D823),Tablas!$G$9:$O$1240,9,0)*(INT(D823)+1-D823))</f>
        <v>#N/A</v>
      </c>
      <c r="H823" s="105">
        <f t="shared" ca="1" si="100"/>
        <v>1</v>
      </c>
      <c r="I823" s="106">
        <f t="shared" ca="1" si="101"/>
        <v>0</v>
      </c>
      <c r="J823" s="106">
        <f t="shared" ca="1" si="105"/>
        <v>0</v>
      </c>
      <c r="K823" s="105" t="e">
        <f t="shared" ca="1" si="102"/>
        <v>#N/A</v>
      </c>
      <c r="L823" s="75"/>
    </row>
    <row r="824" spans="2:12">
      <c r="B824" s="101">
        <f t="shared" ca="1" si="103"/>
        <v>77343</v>
      </c>
      <c r="C824" s="101">
        <f t="shared" ca="1" si="104"/>
        <v>77373</v>
      </c>
      <c r="D824" s="102">
        <f t="shared" ca="1" si="99"/>
        <v>134.32991101984942</v>
      </c>
      <c r="E824" s="103">
        <f t="shared" ca="1" si="106"/>
        <v>0.36697962344645052</v>
      </c>
      <c r="F824" s="104" t="e">
        <f ca="1">IF($C$4="Hombre",(+VLOOKUP(INT(D824)+1,Tablas!$G$9:$K$1240,5,0)*(D824-INT(D824))+VLOOKUP(INT(D824),Tablas!$G$9:$K$1240,5,0)*(INT(D824)+1-D824))/(VLOOKUP(INT($C$5)+1,Tablas!$G$9:$K$1240,5,0)*($C$5-INT($C$5))+VLOOKUP(INT($C$5),Tablas!$G$9:$K$124,5,0)*(INT($C$5)+1-$C$5)),(+VLOOKUP(INT(D824)+1,Tablas!$G$9:$O$1240,9,0)*(D824-INT(D824))+VLOOKUP(INT(D824),Tablas!$G$9:$O$1240,9,0)*(INT(D824)+1-D824))/(VLOOKUP(INT($C$5)+1,Tablas!$G$9:$O$1240,9,0)*($C$5-INT($C$5))+VLOOKUP(INT($C$5),Tablas!$G$9:$O$124,9,0)*(INT($C$5)+1-$C$5)))</f>
        <v>#N/A</v>
      </c>
      <c r="G824" s="97" t="e">
        <f ca="1">IF($C$4="Hombre",(+VLOOKUP(INT(D824)+1,Tablas!$G$9:$K$1240,5,0)*(D824-INT(D824))+VLOOKUP(INT(D824),Tablas!$G$9:$K$1240,5,0)*(INT(D824)+1-D824)),+VLOOKUP(INT(D824)+1,Tablas!$G$9:$O$1240,9,0)*(D824-INT(D824))+VLOOKUP(INT(D824),Tablas!$G$9:$O$1240,9,0)*(INT(D824)+1-D824))</f>
        <v>#N/A</v>
      </c>
      <c r="H824" s="105">
        <f t="shared" ca="1" si="100"/>
        <v>1</v>
      </c>
      <c r="I824" s="106">
        <f t="shared" ca="1" si="101"/>
        <v>0</v>
      </c>
      <c r="J824" s="106">
        <f t="shared" ca="1" si="105"/>
        <v>0</v>
      </c>
      <c r="K824" s="105" t="e">
        <f t="shared" ca="1" si="102"/>
        <v>#N/A</v>
      </c>
      <c r="L824" s="75"/>
    </row>
    <row r="825" spans="2:12">
      <c r="B825" s="101">
        <f t="shared" ca="1" si="103"/>
        <v>77374</v>
      </c>
      <c r="C825" s="101">
        <f t="shared" ca="1" si="104"/>
        <v>77403</v>
      </c>
      <c r="D825" s="102">
        <f t="shared" ca="1" si="99"/>
        <v>134.41204654346339</v>
      </c>
      <c r="E825" s="103">
        <f t="shared" ca="1" si="106"/>
        <v>0.3665311242299748</v>
      </c>
      <c r="F825" s="104" t="e">
        <f ca="1">IF($C$4="Hombre",(+VLOOKUP(INT(D825)+1,Tablas!$G$9:$K$1240,5,0)*(D825-INT(D825))+VLOOKUP(INT(D825),Tablas!$G$9:$K$1240,5,0)*(INT(D825)+1-D825))/(VLOOKUP(INT($C$5)+1,Tablas!$G$9:$K$1240,5,0)*($C$5-INT($C$5))+VLOOKUP(INT($C$5),Tablas!$G$9:$K$124,5,0)*(INT($C$5)+1-$C$5)),(+VLOOKUP(INT(D825)+1,Tablas!$G$9:$O$1240,9,0)*(D825-INT(D825))+VLOOKUP(INT(D825),Tablas!$G$9:$O$1240,9,0)*(INT(D825)+1-D825))/(VLOOKUP(INT($C$5)+1,Tablas!$G$9:$O$1240,9,0)*($C$5-INT($C$5))+VLOOKUP(INT($C$5),Tablas!$G$9:$O$124,9,0)*(INT($C$5)+1-$C$5)))</f>
        <v>#N/A</v>
      </c>
      <c r="G825" s="97" t="e">
        <f ca="1">IF($C$4="Hombre",(+VLOOKUP(INT(D825)+1,Tablas!$G$9:$K$1240,5,0)*(D825-INT(D825))+VLOOKUP(INT(D825),Tablas!$G$9:$K$1240,5,0)*(INT(D825)+1-D825)),+VLOOKUP(INT(D825)+1,Tablas!$G$9:$O$1240,9,0)*(D825-INT(D825))+VLOOKUP(INT(D825),Tablas!$G$9:$O$1240,9,0)*(INT(D825)+1-D825))</f>
        <v>#N/A</v>
      </c>
      <c r="H825" s="105">
        <f t="shared" ca="1" si="100"/>
        <v>1</v>
      </c>
      <c r="I825" s="106">
        <f t="shared" ca="1" si="101"/>
        <v>0</v>
      </c>
      <c r="J825" s="106">
        <f t="shared" ca="1" si="105"/>
        <v>0</v>
      </c>
      <c r="K825" s="105" t="e">
        <f t="shared" ca="1" si="102"/>
        <v>#N/A</v>
      </c>
      <c r="L825" s="75"/>
    </row>
    <row r="826" spans="2:12">
      <c r="B826" s="101">
        <f t="shared" ca="1" si="103"/>
        <v>77404</v>
      </c>
      <c r="C826" s="101">
        <f t="shared" ca="1" si="104"/>
        <v>77434</v>
      </c>
      <c r="D826" s="102">
        <f t="shared" ca="1" si="99"/>
        <v>134.49691991786449</v>
      </c>
      <c r="E826" s="103">
        <f t="shared" ca="1" si="106"/>
        <v>0.36606825086996653</v>
      </c>
      <c r="F826" s="104" t="e">
        <f ca="1">IF($C$4="Hombre",(+VLOOKUP(INT(D826)+1,Tablas!$G$9:$K$1240,5,0)*(D826-INT(D826))+VLOOKUP(INT(D826),Tablas!$G$9:$K$1240,5,0)*(INT(D826)+1-D826))/(VLOOKUP(INT($C$5)+1,Tablas!$G$9:$K$1240,5,0)*($C$5-INT($C$5))+VLOOKUP(INT($C$5),Tablas!$G$9:$K$124,5,0)*(INT($C$5)+1-$C$5)),(+VLOOKUP(INT(D826)+1,Tablas!$G$9:$O$1240,9,0)*(D826-INT(D826))+VLOOKUP(INT(D826),Tablas!$G$9:$O$1240,9,0)*(INT(D826)+1-D826))/(VLOOKUP(INT($C$5)+1,Tablas!$G$9:$O$1240,9,0)*($C$5-INT($C$5))+VLOOKUP(INT($C$5),Tablas!$G$9:$O$124,9,0)*(INT($C$5)+1-$C$5)))</f>
        <v>#N/A</v>
      </c>
      <c r="G826" s="97" t="e">
        <f ca="1">IF($C$4="Hombre",(+VLOOKUP(INT(D826)+1,Tablas!$G$9:$K$1240,5,0)*(D826-INT(D826))+VLOOKUP(INT(D826),Tablas!$G$9:$K$1240,5,0)*(INT(D826)+1-D826)),+VLOOKUP(INT(D826)+1,Tablas!$G$9:$O$1240,9,0)*(D826-INT(D826))+VLOOKUP(INT(D826),Tablas!$G$9:$O$1240,9,0)*(INT(D826)+1-D826))</f>
        <v>#N/A</v>
      </c>
      <c r="H826" s="105">
        <f t="shared" ca="1" si="100"/>
        <v>1</v>
      </c>
      <c r="I826" s="106">
        <f t="shared" ca="1" si="101"/>
        <v>0</v>
      </c>
      <c r="J826" s="106">
        <f t="shared" ca="1" si="105"/>
        <v>0</v>
      </c>
      <c r="K826" s="105" t="e">
        <f t="shared" ca="1" si="102"/>
        <v>#N/A</v>
      </c>
      <c r="L826" s="75"/>
    </row>
    <row r="827" spans="2:12">
      <c r="B827" s="101">
        <f t="shared" ca="1" si="103"/>
        <v>77435</v>
      </c>
      <c r="C827" s="101">
        <f t="shared" ca="1" si="104"/>
        <v>77465</v>
      </c>
      <c r="D827" s="102">
        <f t="shared" ca="1" si="99"/>
        <v>134.58179329226556</v>
      </c>
      <c r="E827" s="103">
        <f t="shared" ca="1" si="106"/>
        <v>0.36560596204898732</v>
      </c>
      <c r="F827" s="104" t="e">
        <f ca="1">IF($C$4="Hombre",(+VLOOKUP(INT(D827)+1,Tablas!$G$9:$K$1240,5,0)*(D827-INT(D827))+VLOOKUP(INT(D827),Tablas!$G$9:$K$1240,5,0)*(INT(D827)+1-D827))/(VLOOKUP(INT($C$5)+1,Tablas!$G$9:$K$1240,5,0)*($C$5-INT($C$5))+VLOOKUP(INT($C$5),Tablas!$G$9:$K$124,5,0)*(INT($C$5)+1-$C$5)),(+VLOOKUP(INT(D827)+1,Tablas!$G$9:$O$1240,9,0)*(D827-INT(D827))+VLOOKUP(INT(D827),Tablas!$G$9:$O$1240,9,0)*(INT(D827)+1-D827))/(VLOOKUP(INT($C$5)+1,Tablas!$G$9:$O$1240,9,0)*($C$5-INT($C$5))+VLOOKUP(INT($C$5),Tablas!$G$9:$O$124,9,0)*(INT($C$5)+1-$C$5)))</f>
        <v>#N/A</v>
      </c>
      <c r="G827" s="97" t="e">
        <f ca="1">IF($C$4="Hombre",(+VLOOKUP(INT(D827)+1,Tablas!$G$9:$K$1240,5,0)*(D827-INT(D827))+VLOOKUP(INT(D827),Tablas!$G$9:$K$1240,5,0)*(INT(D827)+1-D827)),+VLOOKUP(INT(D827)+1,Tablas!$G$9:$O$1240,9,0)*(D827-INT(D827))+VLOOKUP(INT(D827),Tablas!$G$9:$O$1240,9,0)*(INT(D827)+1-D827))</f>
        <v>#N/A</v>
      </c>
      <c r="H827" s="105">
        <f t="shared" ca="1" si="100"/>
        <v>1</v>
      </c>
      <c r="I827" s="106">
        <f t="shared" ca="1" si="101"/>
        <v>0</v>
      </c>
      <c r="J827" s="106">
        <f t="shared" ca="1" si="105"/>
        <v>0</v>
      </c>
      <c r="K827" s="105" t="e">
        <f t="shared" ca="1" si="102"/>
        <v>#N/A</v>
      </c>
      <c r="L827" s="75"/>
    </row>
    <row r="828" spans="2:12">
      <c r="B828" s="101">
        <f t="shared" ca="1" si="103"/>
        <v>77466</v>
      </c>
      <c r="C828" s="101">
        <f t="shared" ca="1" si="104"/>
        <v>77494</v>
      </c>
      <c r="D828" s="102">
        <f t="shared" ca="1" si="99"/>
        <v>134.6611909650924</v>
      </c>
      <c r="E828" s="103">
        <f t="shared" ca="1" si="106"/>
        <v>0.36517402684656541</v>
      </c>
      <c r="F828" s="104" t="e">
        <f ca="1">IF($C$4="Hombre",(+VLOOKUP(INT(D828)+1,Tablas!$G$9:$K$1240,5,0)*(D828-INT(D828))+VLOOKUP(INT(D828),Tablas!$G$9:$K$1240,5,0)*(INT(D828)+1-D828))/(VLOOKUP(INT($C$5)+1,Tablas!$G$9:$K$1240,5,0)*($C$5-INT($C$5))+VLOOKUP(INT($C$5),Tablas!$G$9:$K$124,5,0)*(INT($C$5)+1-$C$5)),(+VLOOKUP(INT(D828)+1,Tablas!$G$9:$O$1240,9,0)*(D828-INT(D828))+VLOOKUP(INT(D828),Tablas!$G$9:$O$1240,9,0)*(INT(D828)+1-D828))/(VLOOKUP(INT($C$5)+1,Tablas!$G$9:$O$1240,9,0)*($C$5-INT($C$5))+VLOOKUP(INT($C$5),Tablas!$G$9:$O$124,9,0)*(INT($C$5)+1-$C$5)))</f>
        <v>#N/A</v>
      </c>
      <c r="G828" s="97" t="e">
        <f ca="1">IF($C$4="Hombre",(+VLOOKUP(INT(D828)+1,Tablas!$G$9:$K$1240,5,0)*(D828-INT(D828))+VLOOKUP(INT(D828),Tablas!$G$9:$K$1240,5,0)*(INT(D828)+1-D828)),+VLOOKUP(INT(D828)+1,Tablas!$G$9:$O$1240,9,0)*(D828-INT(D828))+VLOOKUP(INT(D828),Tablas!$G$9:$O$1240,9,0)*(INT(D828)+1-D828))</f>
        <v>#N/A</v>
      </c>
      <c r="H828" s="105">
        <f t="shared" ca="1" si="100"/>
        <v>1</v>
      </c>
      <c r="I828" s="106">
        <f t="shared" ca="1" si="101"/>
        <v>0</v>
      </c>
      <c r="J828" s="106">
        <f t="shared" ca="1" si="105"/>
        <v>0</v>
      </c>
      <c r="K828" s="105" t="e">
        <f t="shared" ca="1" si="102"/>
        <v>#N/A</v>
      </c>
      <c r="L828" s="75"/>
    </row>
    <row r="829" spans="2:12">
      <c r="B829" s="101">
        <f t="shared" ca="1" si="103"/>
        <v>77495</v>
      </c>
      <c r="C829" s="101">
        <f t="shared" ca="1" si="104"/>
        <v>77525</v>
      </c>
      <c r="D829" s="102">
        <f t="shared" ca="1" si="99"/>
        <v>134.7460643394935</v>
      </c>
      <c r="E829" s="103">
        <f t="shared" ca="1" si="106"/>
        <v>0.36471286729524671</v>
      </c>
      <c r="F829" s="104" t="e">
        <f ca="1">IF($C$4="Hombre",(+VLOOKUP(INT(D829)+1,Tablas!$G$9:$K$1240,5,0)*(D829-INT(D829))+VLOOKUP(INT(D829),Tablas!$G$9:$K$1240,5,0)*(INT(D829)+1-D829))/(VLOOKUP(INT($C$5)+1,Tablas!$G$9:$K$1240,5,0)*($C$5-INT($C$5))+VLOOKUP(INT($C$5),Tablas!$G$9:$K$124,5,0)*(INT($C$5)+1-$C$5)),(+VLOOKUP(INT(D829)+1,Tablas!$G$9:$O$1240,9,0)*(D829-INT(D829))+VLOOKUP(INT(D829),Tablas!$G$9:$O$1240,9,0)*(INT(D829)+1-D829))/(VLOOKUP(INT($C$5)+1,Tablas!$G$9:$O$1240,9,0)*($C$5-INT($C$5))+VLOOKUP(INT($C$5),Tablas!$G$9:$O$124,9,0)*(INT($C$5)+1-$C$5)))</f>
        <v>#N/A</v>
      </c>
      <c r="G829" s="97" t="e">
        <f ca="1">IF($C$4="Hombre",(+VLOOKUP(INT(D829)+1,Tablas!$G$9:$K$1240,5,0)*(D829-INT(D829))+VLOOKUP(INT(D829),Tablas!$G$9:$K$1240,5,0)*(INT(D829)+1-D829)),+VLOOKUP(INT(D829)+1,Tablas!$G$9:$O$1240,9,0)*(D829-INT(D829))+VLOOKUP(INT(D829),Tablas!$G$9:$O$1240,9,0)*(INT(D829)+1-D829))</f>
        <v>#N/A</v>
      </c>
      <c r="H829" s="105">
        <f t="shared" ca="1" si="100"/>
        <v>1</v>
      </c>
      <c r="I829" s="106">
        <f t="shared" ca="1" si="101"/>
        <v>0</v>
      </c>
      <c r="J829" s="106">
        <f t="shared" ca="1" si="105"/>
        <v>0</v>
      </c>
      <c r="K829" s="105" t="e">
        <f t="shared" ca="1" si="102"/>
        <v>#N/A</v>
      </c>
      <c r="L829" s="75"/>
    </row>
    <row r="830" spans="2:12">
      <c r="B830" s="101">
        <f t="shared" ca="1" si="103"/>
        <v>77526</v>
      </c>
      <c r="C830" s="101">
        <f t="shared" ca="1" si="104"/>
        <v>77555</v>
      </c>
      <c r="D830" s="102">
        <f t="shared" ca="1" si="99"/>
        <v>134.82819986310747</v>
      </c>
      <c r="E830" s="103">
        <f t="shared" ca="1" si="106"/>
        <v>0.36426713836434771</v>
      </c>
      <c r="F830" s="104" t="e">
        <f ca="1">IF($C$4="Hombre",(+VLOOKUP(INT(D830)+1,Tablas!$G$9:$K$1240,5,0)*(D830-INT(D830))+VLOOKUP(INT(D830),Tablas!$G$9:$K$1240,5,0)*(INT(D830)+1-D830))/(VLOOKUP(INT($C$5)+1,Tablas!$G$9:$K$1240,5,0)*($C$5-INT($C$5))+VLOOKUP(INT($C$5),Tablas!$G$9:$K$124,5,0)*(INT($C$5)+1-$C$5)),(+VLOOKUP(INT(D830)+1,Tablas!$G$9:$O$1240,9,0)*(D830-INT(D830))+VLOOKUP(INT(D830),Tablas!$G$9:$O$1240,9,0)*(INT(D830)+1-D830))/(VLOOKUP(INT($C$5)+1,Tablas!$G$9:$O$1240,9,0)*($C$5-INT($C$5))+VLOOKUP(INT($C$5),Tablas!$G$9:$O$124,9,0)*(INT($C$5)+1-$C$5)))</f>
        <v>#N/A</v>
      </c>
      <c r="G830" s="97" t="e">
        <f ca="1">IF($C$4="Hombre",(+VLOOKUP(INT(D830)+1,Tablas!$G$9:$K$1240,5,0)*(D830-INT(D830))+VLOOKUP(INT(D830),Tablas!$G$9:$K$1240,5,0)*(INT(D830)+1-D830)),+VLOOKUP(INT(D830)+1,Tablas!$G$9:$O$1240,9,0)*(D830-INT(D830))+VLOOKUP(INT(D830),Tablas!$G$9:$O$1240,9,0)*(INT(D830)+1-D830))</f>
        <v>#N/A</v>
      </c>
      <c r="H830" s="105">
        <f t="shared" ca="1" si="100"/>
        <v>1</v>
      </c>
      <c r="I830" s="106">
        <f t="shared" ca="1" si="101"/>
        <v>0</v>
      </c>
      <c r="J830" s="106">
        <f t="shared" ca="1" si="105"/>
        <v>0</v>
      </c>
      <c r="K830" s="105" t="e">
        <f t="shared" ca="1" si="102"/>
        <v>#N/A</v>
      </c>
      <c r="L830" s="75"/>
    </row>
    <row r="831" spans="2:12">
      <c r="B831" s="101">
        <f t="shared" ca="1" si="103"/>
        <v>77556</v>
      </c>
      <c r="C831" s="101">
        <f t="shared" ca="1" si="104"/>
        <v>77586</v>
      </c>
      <c r="D831" s="102">
        <f t="shared" ca="1" si="99"/>
        <v>134.91307323750857</v>
      </c>
      <c r="E831" s="103">
        <f t="shared" ca="1" si="106"/>
        <v>0.36380712407598531</v>
      </c>
      <c r="F831" s="104" t="e">
        <f ca="1">IF($C$4="Hombre",(+VLOOKUP(INT(D831)+1,Tablas!$G$9:$K$1240,5,0)*(D831-INT(D831))+VLOOKUP(INT(D831),Tablas!$G$9:$K$1240,5,0)*(INT(D831)+1-D831))/(VLOOKUP(INT($C$5)+1,Tablas!$G$9:$K$1240,5,0)*($C$5-INT($C$5))+VLOOKUP(INT($C$5),Tablas!$G$9:$K$124,5,0)*(INT($C$5)+1-$C$5)),(+VLOOKUP(INT(D831)+1,Tablas!$G$9:$O$1240,9,0)*(D831-INT(D831))+VLOOKUP(INT(D831),Tablas!$G$9:$O$1240,9,0)*(INT(D831)+1-D831))/(VLOOKUP(INT($C$5)+1,Tablas!$G$9:$O$1240,9,0)*($C$5-INT($C$5))+VLOOKUP(INT($C$5),Tablas!$G$9:$O$124,9,0)*(INT($C$5)+1-$C$5)))</f>
        <v>#N/A</v>
      </c>
      <c r="G831" s="97" t="e">
        <f ca="1">IF($C$4="Hombre",(+VLOOKUP(INT(D831)+1,Tablas!$G$9:$K$1240,5,0)*(D831-INT(D831))+VLOOKUP(INT(D831),Tablas!$G$9:$K$1240,5,0)*(INT(D831)+1-D831)),+VLOOKUP(INT(D831)+1,Tablas!$G$9:$O$1240,9,0)*(D831-INT(D831))+VLOOKUP(INT(D831),Tablas!$G$9:$O$1240,9,0)*(INT(D831)+1-D831))</f>
        <v>#N/A</v>
      </c>
      <c r="H831" s="105">
        <f t="shared" ca="1" si="100"/>
        <v>1</v>
      </c>
      <c r="I831" s="106">
        <f t="shared" ca="1" si="101"/>
        <v>0</v>
      </c>
      <c r="J831" s="106">
        <f t="shared" ca="1" si="105"/>
        <v>0</v>
      </c>
      <c r="K831" s="105" t="e">
        <f t="shared" ca="1" si="102"/>
        <v>#N/A</v>
      </c>
      <c r="L831" s="75"/>
    </row>
    <row r="832" spans="2:12">
      <c r="B832" s="101">
        <f t="shared" ca="1" si="103"/>
        <v>77587</v>
      </c>
      <c r="C832" s="101">
        <f t="shared" ca="1" si="104"/>
        <v>77616</v>
      </c>
      <c r="D832" s="102">
        <f t="shared" ca="1" si="99"/>
        <v>134.99520876112251</v>
      </c>
      <c r="E832" s="103">
        <f t="shared" ca="1" si="106"/>
        <v>0.36336250208699333</v>
      </c>
      <c r="F832" s="104" t="e">
        <f ca="1">IF($C$4="Hombre",(+VLOOKUP(INT(D832)+1,Tablas!$G$9:$K$1240,5,0)*(D832-INT(D832))+VLOOKUP(INT(D832),Tablas!$G$9:$K$1240,5,0)*(INT(D832)+1-D832))/(VLOOKUP(INT($C$5)+1,Tablas!$G$9:$K$1240,5,0)*($C$5-INT($C$5))+VLOOKUP(INT($C$5),Tablas!$G$9:$K$124,5,0)*(INT($C$5)+1-$C$5)),(+VLOOKUP(INT(D832)+1,Tablas!$G$9:$O$1240,9,0)*(D832-INT(D832))+VLOOKUP(INT(D832),Tablas!$G$9:$O$1240,9,0)*(INT(D832)+1-D832))/(VLOOKUP(INT($C$5)+1,Tablas!$G$9:$O$1240,9,0)*($C$5-INT($C$5))+VLOOKUP(INT($C$5),Tablas!$G$9:$O$124,9,0)*(INT($C$5)+1-$C$5)))</f>
        <v>#N/A</v>
      </c>
      <c r="G832" s="97" t="e">
        <f ca="1">IF($C$4="Hombre",(+VLOOKUP(INT(D832)+1,Tablas!$G$9:$K$1240,5,0)*(D832-INT(D832))+VLOOKUP(INT(D832),Tablas!$G$9:$K$1240,5,0)*(INT(D832)+1-D832)),+VLOOKUP(INT(D832)+1,Tablas!$G$9:$O$1240,9,0)*(D832-INT(D832))+VLOOKUP(INT(D832),Tablas!$G$9:$O$1240,9,0)*(INT(D832)+1-D832))</f>
        <v>#N/A</v>
      </c>
      <c r="H832" s="105">
        <f t="shared" ca="1" si="100"/>
        <v>1</v>
      </c>
      <c r="I832" s="106">
        <f t="shared" ca="1" si="101"/>
        <v>0</v>
      </c>
      <c r="J832" s="106">
        <f t="shared" ca="1" si="105"/>
        <v>0</v>
      </c>
      <c r="K832" s="105" t="e">
        <f t="shared" ca="1" si="102"/>
        <v>#N/A</v>
      </c>
      <c r="L832" s="75"/>
    </row>
    <row r="833" spans="2:12">
      <c r="B833" s="101">
        <f t="shared" ca="1" si="103"/>
        <v>77617</v>
      </c>
      <c r="C833" s="101">
        <f t="shared" ca="1" si="104"/>
        <v>77647</v>
      </c>
      <c r="D833" s="102">
        <f t="shared" ca="1" si="99"/>
        <v>135.08008213552361</v>
      </c>
      <c r="E833" s="103">
        <f t="shared" ca="1" si="106"/>
        <v>0.3629036302173933</v>
      </c>
      <c r="F833" s="104" t="e">
        <f ca="1">IF($C$4="Hombre",(+VLOOKUP(INT(D833)+1,Tablas!$G$9:$K$1240,5,0)*(D833-INT(D833))+VLOOKUP(INT(D833),Tablas!$G$9:$K$1240,5,0)*(INT(D833)+1-D833))/(VLOOKUP(INT($C$5)+1,Tablas!$G$9:$K$1240,5,0)*($C$5-INT($C$5))+VLOOKUP(INT($C$5),Tablas!$G$9:$K$124,5,0)*(INT($C$5)+1-$C$5)),(+VLOOKUP(INT(D833)+1,Tablas!$G$9:$O$1240,9,0)*(D833-INT(D833))+VLOOKUP(INT(D833),Tablas!$G$9:$O$1240,9,0)*(INT(D833)+1-D833))/(VLOOKUP(INT($C$5)+1,Tablas!$G$9:$O$1240,9,0)*($C$5-INT($C$5))+VLOOKUP(INT($C$5),Tablas!$G$9:$O$124,9,0)*(INT($C$5)+1-$C$5)))</f>
        <v>#N/A</v>
      </c>
      <c r="G833" s="97" t="e">
        <f ca="1">IF($C$4="Hombre",(+VLOOKUP(INT(D833)+1,Tablas!$G$9:$K$1240,5,0)*(D833-INT(D833))+VLOOKUP(INT(D833),Tablas!$G$9:$K$1240,5,0)*(INT(D833)+1-D833)),+VLOOKUP(INT(D833)+1,Tablas!$G$9:$O$1240,9,0)*(D833-INT(D833))+VLOOKUP(INT(D833),Tablas!$G$9:$O$1240,9,0)*(INT(D833)+1-D833))</f>
        <v>#N/A</v>
      </c>
      <c r="H833" s="105">
        <f t="shared" ca="1" si="100"/>
        <v>1</v>
      </c>
      <c r="I833" s="106">
        <f t="shared" ca="1" si="101"/>
        <v>0</v>
      </c>
      <c r="J833" s="106">
        <f t="shared" ca="1" si="105"/>
        <v>0</v>
      </c>
      <c r="K833" s="105" t="e">
        <f t="shared" ca="1" si="102"/>
        <v>#N/A</v>
      </c>
      <c r="L833" s="75"/>
    </row>
    <row r="834" spans="2:12">
      <c r="B834" s="101">
        <f t="shared" ca="1" si="103"/>
        <v>77648</v>
      </c>
      <c r="C834" s="101">
        <f t="shared" ca="1" si="104"/>
        <v>77678</v>
      </c>
      <c r="D834" s="102">
        <f t="shared" ca="1" si="99"/>
        <v>135.16495550992471</v>
      </c>
      <c r="E834" s="103">
        <f t="shared" ca="1" si="106"/>
        <v>0.36244533783354504</v>
      </c>
      <c r="F834" s="104" t="e">
        <f ca="1">IF($C$4="Hombre",(+VLOOKUP(INT(D834)+1,Tablas!$G$9:$K$1240,5,0)*(D834-INT(D834))+VLOOKUP(INT(D834),Tablas!$G$9:$K$1240,5,0)*(INT(D834)+1-D834))/(VLOOKUP(INT($C$5)+1,Tablas!$G$9:$K$1240,5,0)*($C$5-INT($C$5))+VLOOKUP(INT($C$5),Tablas!$G$9:$K$124,5,0)*(INT($C$5)+1-$C$5)),(+VLOOKUP(INT(D834)+1,Tablas!$G$9:$O$1240,9,0)*(D834-INT(D834))+VLOOKUP(INT(D834),Tablas!$G$9:$O$1240,9,0)*(INT(D834)+1-D834))/(VLOOKUP(INT($C$5)+1,Tablas!$G$9:$O$1240,9,0)*($C$5-INT($C$5))+VLOOKUP(INT($C$5),Tablas!$G$9:$O$124,9,0)*(INT($C$5)+1-$C$5)))</f>
        <v>#N/A</v>
      </c>
      <c r="G834" s="97" t="e">
        <f ca="1">IF($C$4="Hombre",(+VLOOKUP(INT(D834)+1,Tablas!$G$9:$K$1240,5,0)*(D834-INT(D834))+VLOOKUP(INT(D834),Tablas!$G$9:$K$1240,5,0)*(INT(D834)+1-D834)),+VLOOKUP(INT(D834)+1,Tablas!$G$9:$O$1240,9,0)*(D834-INT(D834))+VLOOKUP(INT(D834),Tablas!$G$9:$O$1240,9,0)*(INT(D834)+1-D834))</f>
        <v>#N/A</v>
      </c>
      <c r="H834" s="105">
        <f t="shared" ca="1" si="100"/>
        <v>1</v>
      </c>
      <c r="I834" s="106">
        <f t="shared" ca="1" si="101"/>
        <v>0</v>
      </c>
      <c r="J834" s="106">
        <f t="shared" ca="1" si="105"/>
        <v>0</v>
      </c>
      <c r="K834" s="105" t="e">
        <f t="shared" ca="1" si="102"/>
        <v>#N/A</v>
      </c>
      <c r="L834" s="75"/>
    </row>
    <row r="835" spans="2:12">
      <c r="B835" s="101">
        <f t="shared" ca="1" si="103"/>
        <v>77679</v>
      </c>
      <c r="C835" s="101">
        <f t="shared" ca="1" si="104"/>
        <v>77708</v>
      </c>
      <c r="D835" s="102">
        <f t="shared" ca="1" si="99"/>
        <v>135.24709103353868</v>
      </c>
      <c r="E835" s="103">
        <f t="shared" ca="1" si="106"/>
        <v>0.36200238013331371</v>
      </c>
      <c r="F835" s="104" t="e">
        <f ca="1">IF($C$4="Hombre",(+VLOOKUP(INT(D835)+1,Tablas!$G$9:$K$1240,5,0)*(D835-INT(D835))+VLOOKUP(INT(D835),Tablas!$G$9:$K$1240,5,0)*(INT(D835)+1-D835))/(VLOOKUP(INT($C$5)+1,Tablas!$G$9:$K$1240,5,0)*($C$5-INT($C$5))+VLOOKUP(INT($C$5),Tablas!$G$9:$K$124,5,0)*(INT($C$5)+1-$C$5)),(+VLOOKUP(INT(D835)+1,Tablas!$G$9:$O$1240,9,0)*(D835-INT(D835))+VLOOKUP(INT(D835),Tablas!$G$9:$O$1240,9,0)*(INT(D835)+1-D835))/(VLOOKUP(INT($C$5)+1,Tablas!$G$9:$O$1240,9,0)*($C$5-INT($C$5))+VLOOKUP(INT($C$5),Tablas!$G$9:$O$124,9,0)*(INT($C$5)+1-$C$5)))</f>
        <v>#N/A</v>
      </c>
      <c r="G835" s="97" t="e">
        <f ca="1">IF($C$4="Hombre",(+VLOOKUP(INT(D835)+1,Tablas!$G$9:$K$1240,5,0)*(D835-INT(D835))+VLOOKUP(INT(D835),Tablas!$G$9:$K$1240,5,0)*(INT(D835)+1-D835)),+VLOOKUP(INT(D835)+1,Tablas!$G$9:$O$1240,9,0)*(D835-INT(D835))+VLOOKUP(INT(D835),Tablas!$G$9:$O$1240,9,0)*(INT(D835)+1-D835))</f>
        <v>#N/A</v>
      </c>
      <c r="H835" s="105">
        <f t="shared" ca="1" si="100"/>
        <v>1</v>
      </c>
      <c r="I835" s="106">
        <f t="shared" ca="1" si="101"/>
        <v>0</v>
      </c>
      <c r="J835" s="106">
        <f t="shared" ca="1" si="105"/>
        <v>0</v>
      </c>
      <c r="K835" s="105" t="e">
        <f t="shared" ca="1" si="102"/>
        <v>#N/A</v>
      </c>
      <c r="L835" s="75"/>
    </row>
    <row r="836" spans="2:12">
      <c r="B836" s="101">
        <f t="shared" ca="1" si="103"/>
        <v>77709</v>
      </c>
      <c r="C836" s="101">
        <f t="shared" ca="1" si="104"/>
        <v>77739</v>
      </c>
      <c r="D836" s="102">
        <f t="shared" ca="1" si="99"/>
        <v>135.33196440793978</v>
      </c>
      <c r="E836" s="103">
        <f t="shared" ca="1" si="106"/>
        <v>0.36154522589197785</v>
      </c>
      <c r="F836" s="104" t="e">
        <f ca="1">IF($C$4="Hombre",(+VLOOKUP(INT(D836)+1,Tablas!$G$9:$K$1240,5,0)*(D836-INT(D836))+VLOOKUP(INT(D836),Tablas!$G$9:$K$1240,5,0)*(INT(D836)+1-D836))/(VLOOKUP(INT($C$5)+1,Tablas!$G$9:$K$1240,5,0)*($C$5-INT($C$5))+VLOOKUP(INT($C$5),Tablas!$G$9:$K$124,5,0)*(INT($C$5)+1-$C$5)),(+VLOOKUP(INT(D836)+1,Tablas!$G$9:$O$1240,9,0)*(D836-INT(D836))+VLOOKUP(INT(D836),Tablas!$G$9:$O$1240,9,0)*(INT(D836)+1-D836))/(VLOOKUP(INT($C$5)+1,Tablas!$G$9:$O$1240,9,0)*($C$5-INT($C$5))+VLOOKUP(INT($C$5),Tablas!$G$9:$O$124,9,0)*(INT($C$5)+1-$C$5)))</f>
        <v>#N/A</v>
      </c>
      <c r="G836" s="97" t="e">
        <f ca="1">IF($C$4="Hombre",(+VLOOKUP(INT(D836)+1,Tablas!$G$9:$K$1240,5,0)*(D836-INT(D836))+VLOOKUP(INT(D836),Tablas!$G$9:$K$1240,5,0)*(INT(D836)+1-D836)),+VLOOKUP(INT(D836)+1,Tablas!$G$9:$O$1240,9,0)*(D836-INT(D836))+VLOOKUP(INT(D836),Tablas!$G$9:$O$1240,9,0)*(INT(D836)+1-D836))</f>
        <v>#N/A</v>
      </c>
      <c r="H836" s="105">
        <f t="shared" ca="1" si="100"/>
        <v>1</v>
      </c>
      <c r="I836" s="106">
        <f t="shared" ca="1" si="101"/>
        <v>0</v>
      </c>
      <c r="J836" s="106">
        <f t="shared" ca="1" si="105"/>
        <v>0</v>
      </c>
      <c r="K836" s="105" t="e">
        <f t="shared" ca="1" si="102"/>
        <v>#N/A</v>
      </c>
      <c r="L836" s="75"/>
    </row>
    <row r="837" spans="2:12">
      <c r="B837" s="101">
        <f t="shared" ca="1" si="103"/>
        <v>77740</v>
      </c>
      <c r="C837" s="101">
        <f t="shared" ca="1" si="104"/>
        <v>77769</v>
      </c>
      <c r="D837" s="102">
        <f t="shared" ca="1" si="99"/>
        <v>135.41409993155372</v>
      </c>
      <c r="E837" s="103">
        <f t="shared" ca="1" si="106"/>
        <v>0.36110336825146322</v>
      </c>
      <c r="F837" s="104" t="e">
        <f ca="1">IF($C$4="Hombre",(+VLOOKUP(INT(D837)+1,Tablas!$G$9:$K$1240,5,0)*(D837-INT(D837))+VLOOKUP(INT(D837),Tablas!$G$9:$K$1240,5,0)*(INT(D837)+1-D837))/(VLOOKUP(INT($C$5)+1,Tablas!$G$9:$K$1240,5,0)*($C$5-INT($C$5))+VLOOKUP(INT($C$5),Tablas!$G$9:$K$124,5,0)*(INT($C$5)+1-$C$5)),(+VLOOKUP(INT(D837)+1,Tablas!$G$9:$O$1240,9,0)*(D837-INT(D837))+VLOOKUP(INT(D837),Tablas!$G$9:$O$1240,9,0)*(INT(D837)+1-D837))/(VLOOKUP(INT($C$5)+1,Tablas!$G$9:$O$1240,9,0)*($C$5-INT($C$5))+VLOOKUP(INT($C$5),Tablas!$G$9:$O$124,9,0)*(INT($C$5)+1-$C$5)))</f>
        <v>#N/A</v>
      </c>
      <c r="G837" s="97" t="e">
        <f ca="1">IF($C$4="Hombre",(+VLOOKUP(INT(D837)+1,Tablas!$G$9:$K$1240,5,0)*(D837-INT(D837))+VLOOKUP(INT(D837),Tablas!$G$9:$K$1240,5,0)*(INT(D837)+1-D837)),+VLOOKUP(INT(D837)+1,Tablas!$G$9:$O$1240,9,0)*(D837-INT(D837))+VLOOKUP(INT(D837),Tablas!$G$9:$O$1240,9,0)*(INT(D837)+1-D837))</f>
        <v>#N/A</v>
      </c>
      <c r="H837" s="105">
        <f t="shared" ca="1" si="100"/>
        <v>1</v>
      </c>
      <c r="I837" s="106">
        <f t="shared" ca="1" si="101"/>
        <v>0</v>
      </c>
      <c r="J837" s="106">
        <f t="shared" ca="1" si="105"/>
        <v>0</v>
      </c>
      <c r="K837" s="105" t="e">
        <f t="shared" ca="1" si="102"/>
        <v>#N/A</v>
      </c>
      <c r="L837" s="75"/>
    </row>
    <row r="838" spans="2:12">
      <c r="B838" s="101">
        <f t="shared" ca="1" si="103"/>
        <v>77770</v>
      </c>
      <c r="C838" s="101">
        <f t="shared" ca="1" si="104"/>
        <v>77800</v>
      </c>
      <c r="D838" s="102">
        <f t="shared" ca="1" si="99"/>
        <v>135.49897330595482</v>
      </c>
      <c r="E838" s="103">
        <f t="shared" ca="1" si="106"/>
        <v>0.36064734932612907</v>
      </c>
      <c r="F838" s="104" t="e">
        <f ca="1">IF($C$4="Hombre",(+VLOOKUP(INT(D838)+1,Tablas!$G$9:$K$1240,5,0)*(D838-INT(D838))+VLOOKUP(INT(D838),Tablas!$G$9:$K$1240,5,0)*(INT(D838)+1-D838))/(VLOOKUP(INT($C$5)+1,Tablas!$G$9:$K$1240,5,0)*($C$5-INT($C$5))+VLOOKUP(INT($C$5),Tablas!$G$9:$K$124,5,0)*(INT($C$5)+1-$C$5)),(+VLOOKUP(INT(D838)+1,Tablas!$G$9:$O$1240,9,0)*(D838-INT(D838))+VLOOKUP(INT(D838),Tablas!$G$9:$O$1240,9,0)*(INT(D838)+1-D838))/(VLOOKUP(INT($C$5)+1,Tablas!$G$9:$O$1240,9,0)*($C$5-INT($C$5))+VLOOKUP(INT($C$5),Tablas!$G$9:$O$124,9,0)*(INT($C$5)+1-$C$5)))</f>
        <v>#N/A</v>
      </c>
      <c r="G838" s="97" t="e">
        <f ca="1">IF($C$4="Hombre",(+VLOOKUP(INT(D838)+1,Tablas!$G$9:$K$1240,5,0)*(D838-INT(D838))+VLOOKUP(INT(D838),Tablas!$G$9:$K$1240,5,0)*(INT(D838)+1-D838)),+VLOOKUP(INT(D838)+1,Tablas!$G$9:$O$1240,9,0)*(D838-INT(D838))+VLOOKUP(INT(D838),Tablas!$G$9:$O$1240,9,0)*(INT(D838)+1-D838))</f>
        <v>#N/A</v>
      </c>
      <c r="H838" s="105">
        <f t="shared" ca="1" si="100"/>
        <v>1</v>
      </c>
      <c r="I838" s="106">
        <f t="shared" ca="1" si="101"/>
        <v>0</v>
      </c>
      <c r="J838" s="106">
        <f t="shared" ca="1" si="105"/>
        <v>0</v>
      </c>
      <c r="K838" s="105" t="e">
        <f t="shared" ca="1" si="102"/>
        <v>#N/A</v>
      </c>
      <c r="L838" s="75"/>
    </row>
    <row r="839" spans="2:12">
      <c r="B839" s="101">
        <f t="shared" ca="1" si="103"/>
        <v>77801</v>
      </c>
      <c r="C839" s="101">
        <f t="shared" ca="1" si="104"/>
        <v>77831</v>
      </c>
      <c r="D839" s="102">
        <f t="shared" ca="1" si="99"/>
        <v>135.58384668035592</v>
      </c>
      <c r="E839" s="103">
        <f t="shared" ca="1" si="106"/>
        <v>0.36019190628370984</v>
      </c>
      <c r="F839" s="104" t="e">
        <f ca="1">IF($C$4="Hombre",(+VLOOKUP(INT(D839)+1,Tablas!$G$9:$K$1240,5,0)*(D839-INT(D839))+VLOOKUP(INT(D839),Tablas!$G$9:$K$1240,5,0)*(INT(D839)+1-D839))/(VLOOKUP(INT($C$5)+1,Tablas!$G$9:$K$1240,5,0)*($C$5-INT($C$5))+VLOOKUP(INT($C$5),Tablas!$G$9:$K$124,5,0)*(INT($C$5)+1-$C$5)),(+VLOOKUP(INT(D839)+1,Tablas!$G$9:$O$1240,9,0)*(D839-INT(D839))+VLOOKUP(INT(D839),Tablas!$G$9:$O$1240,9,0)*(INT(D839)+1-D839))/(VLOOKUP(INT($C$5)+1,Tablas!$G$9:$O$1240,9,0)*($C$5-INT($C$5))+VLOOKUP(INT($C$5),Tablas!$G$9:$O$124,9,0)*(INT($C$5)+1-$C$5)))</f>
        <v>#N/A</v>
      </c>
      <c r="G839" s="97" t="e">
        <f ca="1">IF($C$4="Hombre",(+VLOOKUP(INT(D839)+1,Tablas!$G$9:$K$1240,5,0)*(D839-INT(D839))+VLOOKUP(INT(D839),Tablas!$G$9:$K$1240,5,0)*(INT(D839)+1-D839)),+VLOOKUP(INT(D839)+1,Tablas!$G$9:$O$1240,9,0)*(D839-INT(D839))+VLOOKUP(INT(D839),Tablas!$G$9:$O$1240,9,0)*(INT(D839)+1-D839))</f>
        <v>#N/A</v>
      </c>
      <c r="H839" s="105">
        <f t="shared" ca="1" si="100"/>
        <v>1</v>
      </c>
      <c r="I839" s="106">
        <f t="shared" ca="1" si="101"/>
        <v>0</v>
      </c>
      <c r="J839" s="106">
        <f t="shared" ca="1" si="105"/>
        <v>0</v>
      </c>
      <c r="K839" s="105" t="e">
        <f t="shared" ca="1" si="102"/>
        <v>#N/A</v>
      </c>
      <c r="L839" s="75"/>
    </row>
    <row r="840" spans="2:12">
      <c r="B840" s="101">
        <f t="shared" ca="1" si="103"/>
        <v>77832</v>
      </c>
      <c r="C840" s="101">
        <f t="shared" ca="1" si="104"/>
        <v>77859</v>
      </c>
      <c r="D840" s="102">
        <f t="shared" ca="1" si="99"/>
        <v>135.66050650239561</v>
      </c>
      <c r="E840" s="103">
        <f t="shared" ca="1" si="106"/>
        <v>0.35978103275313411</v>
      </c>
      <c r="F840" s="104" t="e">
        <f ca="1">IF($C$4="Hombre",(+VLOOKUP(INT(D840)+1,Tablas!$G$9:$K$1240,5,0)*(D840-INT(D840))+VLOOKUP(INT(D840),Tablas!$G$9:$K$1240,5,0)*(INT(D840)+1-D840))/(VLOOKUP(INT($C$5)+1,Tablas!$G$9:$K$1240,5,0)*($C$5-INT($C$5))+VLOOKUP(INT($C$5),Tablas!$G$9:$K$124,5,0)*(INT($C$5)+1-$C$5)),(+VLOOKUP(INT(D840)+1,Tablas!$G$9:$O$1240,9,0)*(D840-INT(D840))+VLOOKUP(INT(D840),Tablas!$G$9:$O$1240,9,0)*(INT(D840)+1-D840))/(VLOOKUP(INT($C$5)+1,Tablas!$G$9:$O$1240,9,0)*($C$5-INT($C$5))+VLOOKUP(INT($C$5),Tablas!$G$9:$O$124,9,0)*(INT($C$5)+1-$C$5)))</f>
        <v>#N/A</v>
      </c>
      <c r="G840" s="97" t="e">
        <f ca="1">IF($C$4="Hombre",(+VLOOKUP(INT(D840)+1,Tablas!$G$9:$K$1240,5,0)*(D840-INT(D840))+VLOOKUP(INT(D840),Tablas!$G$9:$K$1240,5,0)*(INT(D840)+1-D840)),+VLOOKUP(INT(D840)+1,Tablas!$G$9:$O$1240,9,0)*(D840-INT(D840))+VLOOKUP(INT(D840),Tablas!$G$9:$O$1240,9,0)*(INT(D840)+1-D840))</f>
        <v>#N/A</v>
      </c>
      <c r="H840" s="105">
        <f t="shared" ca="1" si="100"/>
        <v>1</v>
      </c>
      <c r="I840" s="106">
        <f t="shared" ca="1" si="101"/>
        <v>0</v>
      </c>
      <c r="J840" s="106">
        <f t="shared" ca="1" si="105"/>
        <v>0</v>
      </c>
      <c r="K840" s="105" t="e">
        <f t="shared" ca="1" si="102"/>
        <v>#N/A</v>
      </c>
      <c r="L840" s="75"/>
    </row>
    <row r="841" spans="2:12">
      <c r="B841" s="101">
        <f t="shared" ca="1" si="103"/>
        <v>77860</v>
      </c>
      <c r="C841" s="101">
        <f t="shared" ca="1" si="104"/>
        <v>77890</v>
      </c>
      <c r="D841" s="102">
        <f t="shared" ca="1" si="99"/>
        <v>135.7453798767967</v>
      </c>
      <c r="E841" s="103">
        <f t="shared" ca="1" si="106"/>
        <v>0.35932668373748761</v>
      </c>
      <c r="F841" s="104" t="e">
        <f ca="1">IF($C$4="Hombre",(+VLOOKUP(INT(D841)+1,Tablas!$G$9:$K$1240,5,0)*(D841-INT(D841))+VLOOKUP(INT(D841),Tablas!$G$9:$K$1240,5,0)*(INT(D841)+1-D841))/(VLOOKUP(INT($C$5)+1,Tablas!$G$9:$K$1240,5,0)*($C$5-INT($C$5))+VLOOKUP(INT($C$5),Tablas!$G$9:$K$124,5,0)*(INT($C$5)+1-$C$5)),(+VLOOKUP(INT(D841)+1,Tablas!$G$9:$O$1240,9,0)*(D841-INT(D841))+VLOOKUP(INT(D841),Tablas!$G$9:$O$1240,9,0)*(INT(D841)+1-D841))/(VLOOKUP(INT($C$5)+1,Tablas!$G$9:$O$1240,9,0)*($C$5-INT($C$5))+VLOOKUP(INT($C$5),Tablas!$G$9:$O$124,9,0)*(INT($C$5)+1-$C$5)))</f>
        <v>#N/A</v>
      </c>
      <c r="G841" s="97" t="e">
        <f ca="1">IF($C$4="Hombre",(+VLOOKUP(INT(D841)+1,Tablas!$G$9:$K$1240,5,0)*(D841-INT(D841))+VLOOKUP(INT(D841),Tablas!$G$9:$K$1240,5,0)*(INT(D841)+1-D841)),+VLOOKUP(INT(D841)+1,Tablas!$G$9:$O$1240,9,0)*(D841-INT(D841))+VLOOKUP(INT(D841),Tablas!$G$9:$O$1240,9,0)*(INT(D841)+1-D841))</f>
        <v>#N/A</v>
      </c>
      <c r="H841" s="105">
        <f t="shared" ca="1" si="100"/>
        <v>1</v>
      </c>
      <c r="I841" s="106">
        <f t="shared" ca="1" si="101"/>
        <v>0</v>
      </c>
      <c r="J841" s="106">
        <f t="shared" ca="1" si="105"/>
        <v>0</v>
      </c>
      <c r="K841" s="105" t="e">
        <f t="shared" ca="1" si="102"/>
        <v>#N/A</v>
      </c>
      <c r="L841" s="75"/>
    </row>
    <row r="842" spans="2:12">
      <c r="B842" s="101">
        <f t="shared" ca="1" si="103"/>
        <v>77891</v>
      </c>
      <c r="C842" s="101">
        <f t="shared" ca="1" si="104"/>
        <v>77920</v>
      </c>
      <c r="D842" s="102">
        <f t="shared" ca="1" si="99"/>
        <v>135.82751540041068</v>
      </c>
      <c r="E842" s="103">
        <f t="shared" ca="1" si="106"/>
        <v>0.35888753745846114</v>
      </c>
      <c r="F842" s="104" t="e">
        <f ca="1">IF($C$4="Hombre",(+VLOOKUP(INT(D842)+1,Tablas!$G$9:$K$1240,5,0)*(D842-INT(D842))+VLOOKUP(INT(D842),Tablas!$G$9:$K$1240,5,0)*(INT(D842)+1-D842))/(VLOOKUP(INT($C$5)+1,Tablas!$G$9:$K$1240,5,0)*($C$5-INT($C$5))+VLOOKUP(INT($C$5),Tablas!$G$9:$K$124,5,0)*(INT($C$5)+1-$C$5)),(+VLOOKUP(INT(D842)+1,Tablas!$G$9:$O$1240,9,0)*(D842-INT(D842))+VLOOKUP(INT(D842),Tablas!$G$9:$O$1240,9,0)*(INT(D842)+1-D842))/(VLOOKUP(INT($C$5)+1,Tablas!$G$9:$O$1240,9,0)*($C$5-INT($C$5))+VLOOKUP(INT($C$5),Tablas!$G$9:$O$124,9,0)*(INT($C$5)+1-$C$5)))</f>
        <v>#N/A</v>
      </c>
      <c r="G842" s="97" t="e">
        <f ca="1">IF($C$4="Hombre",(+VLOOKUP(INT(D842)+1,Tablas!$G$9:$K$1240,5,0)*(D842-INT(D842))+VLOOKUP(INT(D842),Tablas!$G$9:$K$1240,5,0)*(INT(D842)+1-D842)),+VLOOKUP(INT(D842)+1,Tablas!$G$9:$O$1240,9,0)*(D842-INT(D842))+VLOOKUP(INT(D842),Tablas!$G$9:$O$1240,9,0)*(INT(D842)+1-D842))</f>
        <v>#N/A</v>
      </c>
      <c r="H842" s="105">
        <f t="shared" ca="1" si="100"/>
        <v>1</v>
      </c>
      <c r="I842" s="106">
        <f t="shared" ca="1" si="101"/>
        <v>0</v>
      </c>
      <c r="J842" s="106">
        <f t="shared" ca="1" si="105"/>
        <v>0</v>
      </c>
      <c r="K842" s="105" t="e">
        <f t="shared" ca="1" si="102"/>
        <v>#N/A</v>
      </c>
      <c r="L842" s="75"/>
    </row>
    <row r="843" spans="2:12">
      <c r="B843" s="101">
        <f t="shared" ca="1" si="103"/>
        <v>77921</v>
      </c>
      <c r="C843" s="101">
        <f t="shared" ca="1" si="104"/>
        <v>77951</v>
      </c>
      <c r="D843" s="102">
        <f t="shared" ca="1" si="99"/>
        <v>135.91238877481177</v>
      </c>
      <c r="E843" s="103">
        <f t="shared" ca="1" si="106"/>
        <v>0.35843431679220117</v>
      </c>
      <c r="F843" s="104" t="e">
        <f ca="1">IF($C$4="Hombre",(+VLOOKUP(INT(D843)+1,Tablas!$G$9:$K$1240,5,0)*(D843-INT(D843))+VLOOKUP(INT(D843),Tablas!$G$9:$K$1240,5,0)*(INT(D843)+1-D843))/(VLOOKUP(INT($C$5)+1,Tablas!$G$9:$K$1240,5,0)*($C$5-INT($C$5))+VLOOKUP(INT($C$5),Tablas!$G$9:$K$124,5,0)*(INT($C$5)+1-$C$5)),(+VLOOKUP(INT(D843)+1,Tablas!$G$9:$O$1240,9,0)*(D843-INT(D843))+VLOOKUP(INT(D843),Tablas!$G$9:$O$1240,9,0)*(INT(D843)+1-D843))/(VLOOKUP(INT($C$5)+1,Tablas!$G$9:$O$1240,9,0)*($C$5-INT($C$5))+VLOOKUP(INT($C$5),Tablas!$G$9:$O$124,9,0)*(INT($C$5)+1-$C$5)))</f>
        <v>#N/A</v>
      </c>
      <c r="G843" s="97" t="e">
        <f ca="1">IF($C$4="Hombre",(+VLOOKUP(INT(D843)+1,Tablas!$G$9:$K$1240,5,0)*(D843-INT(D843))+VLOOKUP(INT(D843),Tablas!$G$9:$K$1240,5,0)*(INT(D843)+1-D843)),+VLOOKUP(INT(D843)+1,Tablas!$G$9:$O$1240,9,0)*(D843-INT(D843))+VLOOKUP(INT(D843),Tablas!$G$9:$O$1240,9,0)*(INT(D843)+1-D843))</f>
        <v>#N/A</v>
      </c>
      <c r="H843" s="105">
        <f t="shared" ca="1" si="100"/>
        <v>1</v>
      </c>
      <c r="I843" s="106">
        <f t="shared" ca="1" si="101"/>
        <v>0</v>
      </c>
      <c r="J843" s="106">
        <f t="shared" ca="1" si="105"/>
        <v>0</v>
      </c>
      <c r="K843" s="105" t="e">
        <f t="shared" ca="1" si="102"/>
        <v>#N/A</v>
      </c>
      <c r="L843" s="75"/>
    </row>
    <row r="844" spans="2:12">
      <c r="B844" s="101">
        <f t="shared" ca="1" si="103"/>
        <v>77952</v>
      </c>
      <c r="C844" s="101">
        <f t="shared" ca="1" si="104"/>
        <v>77981</v>
      </c>
      <c r="D844" s="102">
        <f t="shared" ca="1" si="99"/>
        <v>135.99452429842574</v>
      </c>
      <c r="E844" s="103">
        <f t="shared" ca="1" si="106"/>
        <v>0.35799626110744803</v>
      </c>
      <c r="F844" s="104" t="e">
        <f ca="1">IF($C$4="Hombre",(+VLOOKUP(INT(D844)+1,Tablas!$G$9:$K$1240,5,0)*(D844-INT(D844))+VLOOKUP(INT(D844),Tablas!$G$9:$K$1240,5,0)*(INT(D844)+1-D844))/(VLOOKUP(INT($C$5)+1,Tablas!$G$9:$K$1240,5,0)*($C$5-INT($C$5))+VLOOKUP(INT($C$5),Tablas!$G$9:$K$124,5,0)*(INT($C$5)+1-$C$5)),(+VLOOKUP(INT(D844)+1,Tablas!$G$9:$O$1240,9,0)*(D844-INT(D844))+VLOOKUP(INT(D844),Tablas!$G$9:$O$1240,9,0)*(INT(D844)+1-D844))/(VLOOKUP(INT($C$5)+1,Tablas!$G$9:$O$1240,9,0)*($C$5-INT($C$5))+VLOOKUP(INT($C$5),Tablas!$G$9:$O$124,9,0)*(INT($C$5)+1-$C$5)))</f>
        <v>#N/A</v>
      </c>
      <c r="G844" s="97" t="e">
        <f ca="1">IF($C$4="Hombre",(+VLOOKUP(INT(D844)+1,Tablas!$G$9:$K$1240,5,0)*(D844-INT(D844))+VLOOKUP(INT(D844),Tablas!$G$9:$K$1240,5,0)*(INT(D844)+1-D844)),+VLOOKUP(INT(D844)+1,Tablas!$G$9:$O$1240,9,0)*(D844-INT(D844))+VLOOKUP(INT(D844),Tablas!$G$9:$O$1240,9,0)*(INT(D844)+1-D844))</f>
        <v>#N/A</v>
      </c>
      <c r="H844" s="105">
        <f t="shared" ca="1" si="100"/>
        <v>1</v>
      </c>
      <c r="I844" s="106">
        <f t="shared" ca="1" si="101"/>
        <v>0</v>
      </c>
      <c r="J844" s="106">
        <f t="shared" ca="1" si="105"/>
        <v>0</v>
      </c>
      <c r="K844" s="105" t="e">
        <f t="shared" ca="1" si="102"/>
        <v>#N/A</v>
      </c>
      <c r="L844" s="75"/>
    </row>
    <row r="845" spans="2:12">
      <c r="B845" s="101">
        <f t="shared" ca="1" si="103"/>
        <v>77982</v>
      </c>
      <c r="C845" s="101">
        <f t="shared" ca="1" si="104"/>
        <v>78012</v>
      </c>
      <c r="D845" s="102">
        <f t="shared" ca="1" si="99"/>
        <v>136.07939767282684</v>
      </c>
      <c r="E845" s="103">
        <f t="shared" ca="1" si="106"/>
        <v>0.35754416598838457</v>
      </c>
      <c r="F845" s="104" t="e">
        <f ca="1">IF($C$4="Hombre",(+VLOOKUP(INT(D845)+1,Tablas!$G$9:$K$1240,5,0)*(D845-INT(D845))+VLOOKUP(INT(D845),Tablas!$G$9:$K$1240,5,0)*(INT(D845)+1-D845))/(VLOOKUP(INT($C$5)+1,Tablas!$G$9:$K$1240,5,0)*($C$5-INT($C$5))+VLOOKUP(INT($C$5),Tablas!$G$9:$K$124,5,0)*(INT($C$5)+1-$C$5)),(+VLOOKUP(INT(D845)+1,Tablas!$G$9:$O$1240,9,0)*(D845-INT(D845))+VLOOKUP(INT(D845),Tablas!$G$9:$O$1240,9,0)*(INT(D845)+1-D845))/(VLOOKUP(INT($C$5)+1,Tablas!$G$9:$O$1240,9,0)*($C$5-INT($C$5))+VLOOKUP(INT($C$5),Tablas!$G$9:$O$124,9,0)*(INT($C$5)+1-$C$5)))</f>
        <v>#N/A</v>
      </c>
      <c r="G845" s="97" t="e">
        <f ca="1">IF($C$4="Hombre",(+VLOOKUP(INT(D845)+1,Tablas!$G$9:$K$1240,5,0)*(D845-INT(D845))+VLOOKUP(INT(D845),Tablas!$G$9:$K$1240,5,0)*(INT(D845)+1-D845)),+VLOOKUP(INT(D845)+1,Tablas!$G$9:$O$1240,9,0)*(D845-INT(D845))+VLOOKUP(INT(D845),Tablas!$G$9:$O$1240,9,0)*(INT(D845)+1-D845))</f>
        <v>#N/A</v>
      </c>
      <c r="H845" s="105">
        <f t="shared" ca="1" si="100"/>
        <v>1</v>
      </c>
      <c r="I845" s="106">
        <f t="shared" ca="1" si="101"/>
        <v>0</v>
      </c>
      <c r="J845" s="106">
        <f t="shared" ca="1" si="105"/>
        <v>0</v>
      </c>
      <c r="K845" s="105" t="e">
        <f t="shared" ca="1" si="102"/>
        <v>#N/A</v>
      </c>
      <c r="L845" s="75"/>
    </row>
    <row r="846" spans="2:12">
      <c r="B846" s="101">
        <f t="shared" ca="1" si="103"/>
        <v>78013</v>
      </c>
      <c r="C846" s="101">
        <f t="shared" ca="1" si="104"/>
        <v>78043</v>
      </c>
      <c r="D846" s="102">
        <f t="shared" ca="1" si="99"/>
        <v>136.16427104722791</v>
      </c>
      <c r="E846" s="103">
        <f t="shared" ca="1" si="106"/>
        <v>0.3570926417970624</v>
      </c>
      <c r="F846" s="104" t="e">
        <f ca="1">IF($C$4="Hombre",(+VLOOKUP(INT(D846)+1,Tablas!$G$9:$K$1240,5,0)*(D846-INT(D846))+VLOOKUP(INT(D846),Tablas!$G$9:$K$1240,5,0)*(INT(D846)+1-D846))/(VLOOKUP(INT($C$5)+1,Tablas!$G$9:$K$1240,5,0)*($C$5-INT($C$5))+VLOOKUP(INT($C$5),Tablas!$G$9:$K$124,5,0)*(INT($C$5)+1-$C$5)),(+VLOOKUP(INT(D846)+1,Tablas!$G$9:$O$1240,9,0)*(D846-INT(D846))+VLOOKUP(INT(D846),Tablas!$G$9:$O$1240,9,0)*(INT(D846)+1-D846))/(VLOOKUP(INT($C$5)+1,Tablas!$G$9:$O$1240,9,0)*($C$5-INT($C$5))+VLOOKUP(INT($C$5),Tablas!$G$9:$O$124,9,0)*(INT($C$5)+1-$C$5)))</f>
        <v>#N/A</v>
      </c>
      <c r="G846" s="97" t="e">
        <f ca="1">IF($C$4="Hombre",(+VLOOKUP(INT(D846)+1,Tablas!$G$9:$K$1240,5,0)*(D846-INT(D846))+VLOOKUP(INT(D846),Tablas!$G$9:$K$1240,5,0)*(INT(D846)+1-D846)),+VLOOKUP(INT(D846)+1,Tablas!$G$9:$O$1240,9,0)*(D846-INT(D846))+VLOOKUP(INT(D846),Tablas!$G$9:$O$1240,9,0)*(INT(D846)+1-D846))</f>
        <v>#N/A</v>
      </c>
      <c r="H846" s="105">
        <f t="shared" ca="1" si="100"/>
        <v>1</v>
      </c>
      <c r="I846" s="106">
        <f t="shared" ca="1" si="101"/>
        <v>0</v>
      </c>
      <c r="J846" s="106">
        <f t="shared" ca="1" si="105"/>
        <v>0</v>
      </c>
      <c r="K846" s="105" t="e">
        <f t="shared" ca="1" si="102"/>
        <v>#N/A</v>
      </c>
      <c r="L846" s="75"/>
    </row>
    <row r="847" spans="2:12">
      <c r="B847" s="101">
        <f t="shared" ca="1" si="103"/>
        <v>78044</v>
      </c>
      <c r="C847" s="101">
        <f t="shared" ca="1" si="104"/>
        <v>78073</v>
      </c>
      <c r="D847" s="102">
        <f t="shared" ca="1" si="99"/>
        <v>136.24640657084188</v>
      </c>
      <c r="E847" s="103">
        <f t="shared" ca="1" si="106"/>
        <v>0.35665622582237938</v>
      </c>
      <c r="F847" s="104" t="e">
        <f ca="1">IF($C$4="Hombre",(+VLOOKUP(INT(D847)+1,Tablas!$G$9:$K$1240,5,0)*(D847-INT(D847))+VLOOKUP(INT(D847),Tablas!$G$9:$K$1240,5,0)*(INT(D847)+1-D847))/(VLOOKUP(INT($C$5)+1,Tablas!$G$9:$K$1240,5,0)*($C$5-INT($C$5))+VLOOKUP(INT($C$5),Tablas!$G$9:$K$124,5,0)*(INT($C$5)+1-$C$5)),(+VLOOKUP(INT(D847)+1,Tablas!$G$9:$O$1240,9,0)*(D847-INT(D847))+VLOOKUP(INT(D847),Tablas!$G$9:$O$1240,9,0)*(INT(D847)+1-D847))/(VLOOKUP(INT($C$5)+1,Tablas!$G$9:$O$1240,9,0)*($C$5-INT($C$5))+VLOOKUP(INT($C$5),Tablas!$G$9:$O$124,9,0)*(INT($C$5)+1-$C$5)))</f>
        <v>#N/A</v>
      </c>
      <c r="G847" s="97" t="e">
        <f ca="1">IF($C$4="Hombre",(+VLOOKUP(INT(D847)+1,Tablas!$G$9:$K$1240,5,0)*(D847-INT(D847))+VLOOKUP(INT(D847),Tablas!$G$9:$K$1240,5,0)*(INT(D847)+1-D847)),+VLOOKUP(INT(D847)+1,Tablas!$G$9:$O$1240,9,0)*(D847-INT(D847))+VLOOKUP(INT(D847),Tablas!$G$9:$O$1240,9,0)*(INT(D847)+1-D847))</f>
        <v>#N/A</v>
      </c>
      <c r="H847" s="105">
        <f t="shared" ca="1" si="100"/>
        <v>1</v>
      </c>
      <c r="I847" s="106">
        <f t="shared" ca="1" si="101"/>
        <v>0</v>
      </c>
      <c r="J847" s="106">
        <f t="shared" ca="1" si="105"/>
        <v>0</v>
      </c>
      <c r="K847" s="105" t="e">
        <f t="shared" ca="1" si="102"/>
        <v>#N/A</v>
      </c>
      <c r="L847" s="75"/>
    </row>
    <row r="848" spans="2:12">
      <c r="B848" s="101">
        <f t="shared" ca="1" si="103"/>
        <v>78074</v>
      </c>
      <c r="C848" s="101">
        <f t="shared" ca="1" si="104"/>
        <v>78104</v>
      </c>
      <c r="D848" s="102">
        <f t="shared" ca="1" si="99"/>
        <v>136.33127994524298</v>
      </c>
      <c r="E848" s="103">
        <f t="shared" ca="1" si="106"/>
        <v>0.3562058229651564</v>
      </c>
      <c r="F848" s="104" t="e">
        <f ca="1">IF($C$4="Hombre",(+VLOOKUP(INT(D848)+1,Tablas!$G$9:$K$1240,5,0)*(D848-INT(D848))+VLOOKUP(INT(D848),Tablas!$G$9:$K$1240,5,0)*(INT(D848)+1-D848))/(VLOOKUP(INT($C$5)+1,Tablas!$G$9:$K$1240,5,0)*($C$5-INT($C$5))+VLOOKUP(INT($C$5),Tablas!$G$9:$K$124,5,0)*(INT($C$5)+1-$C$5)),(+VLOOKUP(INT(D848)+1,Tablas!$G$9:$O$1240,9,0)*(D848-INT(D848))+VLOOKUP(INT(D848),Tablas!$G$9:$O$1240,9,0)*(INT(D848)+1-D848))/(VLOOKUP(INT($C$5)+1,Tablas!$G$9:$O$1240,9,0)*($C$5-INT($C$5))+VLOOKUP(INT($C$5),Tablas!$G$9:$O$124,9,0)*(INT($C$5)+1-$C$5)))</f>
        <v>#N/A</v>
      </c>
      <c r="G848" s="97" t="e">
        <f ca="1">IF($C$4="Hombre",(+VLOOKUP(INT(D848)+1,Tablas!$G$9:$K$1240,5,0)*(D848-INT(D848))+VLOOKUP(INT(D848),Tablas!$G$9:$K$1240,5,0)*(INT(D848)+1-D848)),+VLOOKUP(INT(D848)+1,Tablas!$G$9:$O$1240,9,0)*(D848-INT(D848))+VLOOKUP(INT(D848),Tablas!$G$9:$O$1240,9,0)*(INT(D848)+1-D848))</f>
        <v>#N/A</v>
      </c>
      <c r="H848" s="105">
        <f t="shared" ca="1" si="100"/>
        <v>1</v>
      </c>
      <c r="I848" s="106">
        <f t="shared" ca="1" si="101"/>
        <v>0</v>
      </c>
      <c r="J848" s="106">
        <f t="shared" ca="1" si="105"/>
        <v>0</v>
      </c>
      <c r="K848" s="105" t="e">
        <f t="shared" ca="1" si="102"/>
        <v>#N/A</v>
      </c>
      <c r="L848" s="75"/>
    </row>
    <row r="849" spans="2:12">
      <c r="B849" s="101">
        <f t="shared" ca="1" si="103"/>
        <v>78105</v>
      </c>
      <c r="C849" s="101">
        <f t="shared" ca="1" si="104"/>
        <v>78134</v>
      </c>
      <c r="D849" s="102">
        <f t="shared" ca="1" si="99"/>
        <v>136.41341546885695</v>
      </c>
      <c r="E849" s="103">
        <f t="shared" ca="1" si="106"/>
        <v>0.35577049080419448</v>
      </c>
      <c r="F849" s="104" t="e">
        <f ca="1">IF($C$4="Hombre",(+VLOOKUP(INT(D849)+1,Tablas!$G$9:$K$1240,5,0)*(D849-INT(D849))+VLOOKUP(INT(D849),Tablas!$G$9:$K$1240,5,0)*(INT(D849)+1-D849))/(VLOOKUP(INT($C$5)+1,Tablas!$G$9:$K$1240,5,0)*($C$5-INT($C$5))+VLOOKUP(INT($C$5),Tablas!$G$9:$K$124,5,0)*(INT($C$5)+1-$C$5)),(+VLOOKUP(INT(D849)+1,Tablas!$G$9:$O$1240,9,0)*(D849-INT(D849))+VLOOKUP(INT(D849),Tablas!$G$9:$O$1240,9,0)*(INT(D849)+1-D849))/(VLOOKUP(INT($C$5)+1,Tablas!$G$9:$O$1240,9,0)*($C$5-INT($C$5))+VLOOKUP(INT($C$5),Tablas!$G$9:$O$124,9,0)*(INT($C$5)+1-$C$5)))</f>
        <v>#N/A</v>
      </c>
      <c r="G849" s="97" t="e">
        <f ca="1">IF($C$4="Hombre",(+VLOOKUP(INT(D849)+1,Tablas!$G$9:$K$1240,5,0)*(D849-INT(D849))+VLOOKUP(INT(D849),Tablas!$G$9:$K$1240,5,0)*(INT(D849)+1-D849)),+VLOOKUP(INT(D849)+1,Tablas!$G$9:$O$1240,9,0)*(D849-INT(D849))+VLOOKUP(INT(D849),Tablas!$G$9:$O$1240,9,0)*(INT(D849)+1-D849))</f>
        <v>#N/A</v>
      </c>
      <c r="H849" s="105">
        <f t="shared" ca="1" si="100"/>
        <v>1</v>
      </c>
      <c r="I849" s="106">
        <f t="shared" ca="1" si="101"/>
        <v>0</v>
      </c>
      <c r="J849" s="106">
        <f t="shared" ca="1" si="105"/>
        <v>0</v>
      </c>
      <c r="K849" s="105" t="e">
        <f t="shared" ca="1" si="102"/>
        <v>#N/A</v>
      </c>
      <c r="L849" s="75"/>
    </row>
    <row r="850" spans="2:12">
      <c r="B850" s="101">
        <f t="shared" ca="1" si="103"/>
        <v>78135</v>
      </c>
      <c r="C850" s="101">
        <f t="shared" ca="1" si="104"/>
        <v>78165</v>
      </c>
      <c r="D850" s="102">
        <f t="shared" ref="D850:D913" ca="1" si="107">-_xlfn.DAYS($C$3,C850)/365.25</f>
        <v>136.49828884325805</v>
      </c>
      <c r="E850" s="103">
        <f t="shared" ca="1" si="106"/>
        <v>0.35532120649630311</v>
      </c>
      <c r="F850" s="104" t="e">
        <f ca="1">IF($C$4="Hombre",(+VLOOKUP(INT(D850)+1,Tablas!$G$9:$K$1240,5,0)*(D850-INT(D850))+VLOOKUP(INT(D850),Tablas!$G$9:$K$1240,5,0)*(INT(D850)+1-D850))/(VLOOKUP(INT($C$5)+1,Tablas!$G$9:$K$1240,5,0)*($C$5-INT($C$5))+VLOOKUP(INT($C$5),Tablas!$G$9:$K$124,5,0)*(INT($C$5)+1-$C$5)),(+VLOOKUP(INT(D850)+1,Tablas!$G$9:$O$1240,9,0)*(D850-INT(D850))+VLOOKUP(INT(D850),Tablas!$G$9:$O$1240,9,0)*(INT(D850)+1-D850))/(VLOOKUP(INT($C$5)+1,Tablas!$G$9:$O$1240,9,0)*($C$5-INT($C$5))+VLOOKUP(INT($C$5),Tablas!$G$9:$O$124,9,0)*(INT($C$5)+1-$C$5)))</f>
        <v>#N/A</v>
      </c>
      <c r="G850" s="97" t="e">
        <f ca="1">IF($C$4="Hombre",(+VLOOKUP(INT(D850)+1,Tablas!$G$9:$K$1240,5,0)*(D850-INT(D850))+VLOOKUP(INT(D850),Tablas!$G$9:$K$1240,5,0)*(INT(D850)+1-D850)),+VLOOKUP(INT(D850)+1,Tablas!$G$9:$O$1240,9,0)*(D850-INT(D850))+VLOOKUP(INT(D850),Tablas!$G$9:$O$1240,9,0)*(INT(D850)+1-D850))</f>
        <v>#N/A</v>
      </c>
      <c r="H850" s="105">
        <f t="shared" ref="H850:H913" ca="1" si="108">+IF(MONTH(B850)=1,H849*(1+$C$9),H849)</f>
        <v>1</v>
      </c>
      <c r="I850" s="106">
        <f t="shared" ref="I850:I913" ca="1" si="109">IF(B850&lt;$C$10,0,IF(B850&lt;$C$11,$C$8/12*E850*F850*H850,0))</f>
        <v>0</v>
      </c>
      <c r="J850" s="106">
        <f t="shared" ca="1" si="105"/>
        <v>0</v>
      </c>
      <c r="K850" s="105" t="e">
        <f t="shared" ref="K850:K913" ca="1" si="110">G850/$G$15</f>
        <v>#N/A</v>
      </c>
      <c r="L850" s="75"/>
    </row>
    <row r="851" spans="2:12">
      <c r="B851" s="101">
        <f t="shared" ref="B851:B914" ca="1" si="111">+DATE(YEAR(B850),MONTH(B850)+1,DAY(B850))</f>
        <v>78166</v>
      </c>
      <c r="C851" s="101">
        <f t="shared" ref="C851:C914" ca="1" si="112">+B852-1</f>
        <v>78196</v>
      </c>
      <c r="D851" s="102">
        <f t="shared" ca="1" si="107"/>
        <v>136.58316221765915</v>
      </c>
      <c r="E851" s="103">
        <f t="shared" ca="1" si="106"/>
        <v>0.35487248956652351</v>
      </c>
      <c r="F851" s="104" t="e">
        <f ca="1">IF($C$4="Hombre",(+VLOOKUP(INT(D851)+1,Tablas!$G$9:$K$1240,5,0)*(D851-INT(D851))+VLOOKUP(INT(D851),Tablas!$G$9:$K$1240,5,0)*(INT(D851)+1-D851))/(VLOOKUP(INT($C$5)+1,Tablas!$G$9:$K$1240,5,0)*($C$5-INT($C$5))+VLOOKUP(INT($C$5),Tablas!$G$9:$K$124,5,0)*(INT($C$5)+1-$C$5)),(+VLOOKUP(INT(D851)+1,Tablas!$G$9:$O$1240,9,0)*(D851-INT(D851))+VLOOKUP(INT(D851),Tablas!$G$9:$O$1240,9,0)*(INT(D851)+1-D851))/(VLOOKUP(INT($C$5)+1,Tablas!$G$9:$O$1240,9,0)*($C$5-INT($C$5))+VLOOKUP(INT($C$5),Tablas!$G$9:$O$124,9,0)*(INT($C$5)+1-$C$5)))</f>
        <v>#N/A</v>
      </c>
      <c r="G851" s="97" t="e">
        <f ca="1">IF($C$4="Hombre",(+VLOOKUP(INT(D851)+1,Tablas!$G$9:$K$1240,5,0)*(D851-INT(D851))+VLOOKUP(INT(D851),Tablas!$G$9:$K$1240,5,0)*(INT(D851)+1-D851)),+VLOOKUP(INT(D851)+1,Tablas!$G$9:$O$1240,9,0)*(D851-INT(D851))+VLOOKUP(INT(D851),Tablas!$G$9:$O$1240,9,0)*(INT(D851)+1-D851))</f>
        <v>#N/A</v>
      </c>
      <c r="H851" s="105">
        <f t="shared" ca="1" si="108"/>
        <v>1</v>
      </c>
      <c r="I851" s="106">
        <f t="shared" ca="1" si="109"/>
        <v>0</v>
      </c>
      <c r="J851" s="106">
        <f t="shared" ref="J851:J914" ca="1" si="113">I851*12/14+IF(OR(MONTH(C851)=6,MONTH(C851)=12),I851*12/14,0)</f>
        <v>0</v>
      </c>
      <c r="K851" s="105" t="e">
        <f t="shared" ca="1" si="110"/>
        <v>#N/A</v>
      </c>
      <c r="L851" s="75"/>
    </row>
    <row r="852" spans="2:12">
      <c r="B852" s="101">
        <f t="shared" ca="1" si="111"/>
        <v>78197</v>
      </c>
      <c r="C852" s="101">
        <f t="shared" ca="1" si="112"/>
        <v>78224</v>
      </c>
      <c r="D852" s="102">
        <f t="shared" ca="1" si="107"/>
        <v>136.65982203969884</v>
      </c>
      <c r="E852" s="103">
        <f t="shared" ca="1" si="106"/>
        <v>0.3544676839333355</v>
      </c>
      <c r="F852" s="104" t="e">
        <f ca="1">IF($C$4="Hombre",(+VLOOKUP(INT(D852)+1,Tablas!$G$9:$K$1240,5,0)*(D852-INT(D852))+VLOOKUP(INT(D852),Tablas!$G$9:$K$1240,5,0)*(INT(D852)+1-D852))/(VLOOKUP(INT($C$5)+1,Tablas!$G$9:$K$1240,5,0)*($C$5-INT($C$5))+VLOOKUP(INT($C$5),Tablas!$G$9:$K$124,5,0)*(INT($C$5)+1-$C$5)),(+VLOOKUP(INT(D852)+1,Tablas!$G$9:$O$1240,9,0)*(D852-INT(D852))+VLOOKUP(INT(D852),Tablas!$G$9:$O$1240,9,0)*(INT(D852)+1-D852))/(VLOOKUP(INT($C$5)+1,Tablas!$G$9:$O$1240,9,0)*($C$5-INT($C$5))+VLOOKUP(INT($C$5),Tablas!$G$9:$O$124,9,0)*(INT($C$5)+1-$C$5)))</f>
        <v>#N/A</v>
      </c>
      <c r="G852" s="97" t="e">
        <f ca="1">IF($C$4="Hombre",(+VLOOKUP(INT(D852)+1,Tablas!$G$9:$K$1240,5,0)*(D852-INT(D852))+VLOOKUP(INT(D852),Tablas!$G$9:$K$1240,5,0)*(INT(D852)+1-D852)),+VLOOKUP(INT(D852)+1,Tablas!$G$9:$O$1240,9,0)*(D852-INT(D852))+VLOOKUP(INT(D852),Tablas!$G$9:$O$1240,9,0)*(INT(D852)+1-D852))</f>
        <v>#N/A</v>
      </c>
      <c r="H852" s="105">
        <f t="shared" ca="1" si="108"/>
        <v>1</v>
      </c>
      <c r="I852" s="106">
        <f t="shared" ca="1" si="109"/>
        <v>0</v>
      </c>
      <c r="J852" s="106">
        <f t="shared" ca="1" si="113"/>
        <v>0</v>
      </c>
      <c r="K852" s="105" t="e">
        <f t="shared" ca="1" si="110"/>
        <v>#N/A</v>
      </c>
      <c r="L852" s="75"/>
    </row>
    <row r="853" spans="2:12">
      <c r="B853" s="101">
        <f t="shared" ca="1" si="111"/>
        <v>78225</v>
      </c>
      <c r="C853" s="101">
        <f t="shared" ca="1" si="112"/>
        <v>78255</v>
      </c>
      <c r="D853" s="102">
        <f t="shared" ca="1" si="107"/>
        <v>136.74469541409994</v>
      </c>
      <c r="E853" s="103">
        <f t="shared" ca="1" si="106"/>
        <v>0.35402004487342953</v>
      </c>
      <c r="F853" s="104" t="e">
        <f ca="1">IF($C$4="Hombre",(+VLOOKUP(INT(D853)+1,Tablas!$G$9:$K$1240,5,0)*(D853-INT(D853))+VLOOKUP(INT(D853),Tablas!$G$9:$K$1240,5,0)*(INT(D853)+1-D853))/(VLOOKUP(INT($C$5)+1,Tablas!$G$9:$K$1240,5,0)*($C$5-INT($C$5))+VLOOKUP(INT($C$5),Tablas!$G$9:$K$124,5,0)*(INT($C$5)+1-$C$5)),(+VLOOKUP(INT(D853)+1,Tablas!$G$9:$O$1240,9,0)*(D853-INT(D853))+VLOOKUP(INT(D853),Tablas!$G$9:$O$1240,9,0)*(INT(D853)+1-D853))/(VLOOKUP(INT($C$5)+1,Tablas!$G$9:$O$1240,9,0)*($C$5-INT($C$5))+VLOOKUP(INT($C$5),Tablas!$G$9:$O$124,9,0)*(INT($C$5)+1-$C$5)))</f>
        <v>#N/A</v>
      </c>
      <c r="G853" s="97" t="e">
        <f ca="1">IF($C$4="Hombre",(+VLOOKUP(INT(D853)+1,Tablas!$G$9:$K$1240,5,0)*(D853-INT(D853))+VLOOKUP(INT(D853),Tablas!$G$9:$K$1240,5,0)*(INT(D853)+1-D853)),+VLOOKUP(INT(D853)+1,Tablas!$G$9:$O$1240,9,0)*(D853-INT(D853))+VLOOKUP(INT(D853),Tablas!$G$9:$O$1240,9,0)*(INT(D853)+1-D853))</f>
        <v>#N/A</v>
      </c>
      <c r="H853" s="105">
        <f t="shared" ca="1" si="108"/>
        <v>1</v>
      </c>
      <c r="I853" s="106">
        <f t="shared" ca="1" si="109"/>
        <v>0</v>
      </c>
      <c r="J853" s="106">
        <f t="shared" ca="1" si="113"/>
        <v>0</v>
      </c>
      <c r="K853" s="105" t="e">
        <f t="shared" ca="1" si="110"/>
        <v>#N/A</v>
      </c>
      <c r="L853" s="75"/>
    </row>
    <row r="854" spans="2:12">
      <c r="B854" s="101">
        <f t="shared" ca="1" si="111"/>
        <v>78256</v>
      </c>
      <c r="C854" s="101">
        <f t="shared" ca="1" si="112"/>
        <v>78285</v>
      </c>
      <c r="D854" s="102">
        <f t="shared" ca="1" si="107"/>
        <v>136.82683093771391</v>
      </c>
      <c r="E854" s="103">
        <f t="shared" ca="1" si="106"/>
        <v>0.35358738403179679</v>
      </c>
      <c r="F854" s="104" t="e">
        <f ca="1">IF($C$4="Hombre",(+VLOOKUP(INT(D854)+1,Tablas!$G$9:$K$1240,5,0)*(D854-INT(D854))+VLOOKUP(INT(D854),Tablas!$G$9:$K$1240,5,0)*(INT(D854)+1-D854))/(VLOOKUP(INT($C$5)+1,Tablas!$G$9:$K$1240,5,0)*($C$5-INT($C$5))+VLOOKUP(INT($C$5),Tablas!$G$9:$K$124,5,0)*(INT($C$5)+1-$C$5)),(+VLOOKUP(INT(D854)+1,Tablas!$G$9:$O$1240,9,0)*(D854-INT(D854))+VLOOKUP(INT(D854),Tablas!$G$9:$O$1240,9,0)*(INT(D854)+1-D854))/(VLOOKUP(INT($C$5)+1,Tablas!$G$9:$O$1240,9,0)*($C$5-INT($C$5))+VLOOKUP(INT($C$5),Tablas!$G$9:$O$124,9,0)*(INT($C$5)+1-$C$5)))</f>
        <v>#N/A</v>
      </c>
      <c r="G854" s="97" t="e">
        <f ca="1">IF($C$4="Hombre",(+VLOOKUP(INT(D854)+1,Tablas!$G$9:$K$1240,5,0)*(D854-INT(D854))+VLOOKUP(INT(D854),Tablas!$G$9:$K$1240,5,0)*(INT(D854)+1-D854)),+VLOOKUP(INT(D854)+1,Tablas!$G$9:$O$1240,9,0)*(D854-INT(D854))+VLOOKUP(INT(D854),Tablas!$G$9:$O$1240,9,0)*(INT(D854)+1-D854))</f>
        <v>#N/A</v>
      </c>
      <c r="H854" s="105">
        <f t="shared" ca="1" si="108"/>
        <v>1</v>
      </c>
      <c r="I854" s="106">
        <f t="shared" ca="1" si="109"/>
        <v>0</v>
      </c>
      <c r="J854" s="106">
        <f t="shared" ca="1" si="113"/>
        <v>0</v>
      </c>
      <c r="K854" s="105" t="e">
        <f t="shared" ca="1" si="110"/>
        <v>#N/A</v>
      </c>
      <c r="L854" s="75"/>
    </row>
    <row r="855" spans="2:12">
      <c r="B855" s="101">
        <f t="shared" ca="1" si="111"/>
        <v>78286</v>
      </c>
      <c r="C855" s="101">
        <f t="shared" ca="1" si="112"/>
        <v>78316</v>
      </c>
      <c r="D855" s="102">
        <f t="shared" ca="1" si="107"/>
        <v>136.91170431211498</v>
      </c>
      <c r="E855" s="103">
        <f ca="1">IF($D$17+40&lt;=D855,(1+$D$7)^-(D855-$C$5),(1+$C$7)^-(D855-$C$5))</f>
        <v>0.35314085665749223</v>
      </c>
      <c r="F855" s="104" t="e">
        <f ca="1">IF($C$4="Hombre",(+VLOOKUP(INT(D855)+1,Tablas!$G$9:$K$1240,5,0)*(D855-INT(D855))+VLOOKUP(INT(D855),Tablas!$G$9:$K$1240,5,0)*(INT(D855)+1-D855))/(VLOOKUP(INT($C$5)+1,Tablas!$G$9:$K$1240,5,0)*($C$5-INT($C$5))+VLOOKUP(INT($C$5),Tablas!$G$9:$K$124,5,0)*(INT($C$5)+1-$C$5)),(+VLOOKUP(INT(D855)+1,Tablas!$G$9:$O$1240,9,0)*(D855-INT(D855))+VLOOKUP(INT(D855),Tablas!$G$9:$O$1240,9,0)*(INT(D855)+1-D855))/(VLOOKUP(INT($C$5)+1,Tablas!$G$9:$O$1240,9,0)*($C$5-INT($C$5))+VLOOKUP(INT($C$5),Tablas!$G$9:$O$124,9,0)*(INT($C$5)+1-$C$5)))</f>
        <v>#N/A</v>
      </c>
      <c r="G855" s="97" t="e">
        <f ca="1">IF($C$4="Hombre",(+VLOOKUP(INT(D855)+1,Tablas!$G$9:$K$1240,5,0)*(D855-INT(D855))+VLOOKUP(INT(D855),Tablas!$G$9:$K$1240,5,0)*(INT(D855)+1-D855)),+VLOOKUP(INT(D855)+1,Tablas!$G$9:$O$1240,9,0)*(D855-INT(D855))+VLOOKUP(INT(D855),Tablas!$G$9:$O$1240,9,0)*(INT(D855)+1-D855))</f>
        <v>#N/A</v>
      </c>
      <c r="H855" s="105">
        <f t="shared" ca="1" si="108"/>
        <v>1</v>
      </c>
      <c r="I855" s="106">
        <f t="shared" ca="1" si="109"/>
        <v>0</v>
      </c>
      <c r="J855" s="106">
        <f t="shared" ca="1" si="113"/>
        <v>0</v>
      </c>
      <c r="K855" s="105" t="e">
        <f t="shared" ca="1" si="110"/>
        <v>#N/A</v>
      </c>
      <c r="L855" s="75"/>
    </row>
    <row r="856" spans="2:12">
      <c r="B856" s="101">
        <f t="shared" ca="1" si="111"/>
        <v>78317</v>
      </c>
      <c r="C856" s="101">
        <f t="shared" ca="1" si="112"/>
        <v>78346</v>
      </c>
      <c r="D856" s="102">
        <f t="shared" ca="1" si="107"/>
        <v>136.99383983572895</v>
      </c>
      <c r="E856" s="103">
        <f t="shared" ref="E856:E919" ca="1" si="114">IF($D$17+40&lt;=D856,(1+$D$7)^-(D856-$C$5),(1+$C$7)^-(D856-$C$5))</f>
        <v>0.35270927030392579</v>
      </c>
      <c r="F856" s="104" t="e">
        <f ca="1">IF($C$4="Hombre",(+VLOOKUP(INT(D856)+1,Tablas!$G$9:$K$1240,5,0)*(D856-INT(D856))+VLOOKUP(INT(D856),Tablas!$G$9:$K$1240,5,0)*(INT(D856)+1-D856))/(VLOOKUP(INT($C$5)+1,Tablas!$G$9:$K$1240,5,0)*($C$5-INT($C$5))+VLOOKUP(INT($C$5),Tablas!$G$9:$K$124,5,0)*(INT($C$5)+1-$C$5)),(+VLOOKUP(INT(D856)+1,Tablas!$G$9:$O$1240,9,0)*(D856-INT(D856))+VLOOKUP(INT(D856),Tablas!$G$9:$O$1240,9,0)*(INT(D856)+1-D856))/(VLOOKUP(INT($C$5)+1,Tablas!$G$9:$O$1240,9,0)*($C$5-INT($C$5))+VLOOKUP(INT($C$5),Tablas!$G$9:$O$124,9,0)*(INT($C$5)+1-$C$5)))</f>
        <v>#N/A</v>
      </c>
      <c r="G856" s="97" t="e">
        <f ca="1">IF($C$4="Hombre",(+VLOOKUP(INT(D856)+1,Tablas!$G$9:$K$1240,5,0)*(D856-INT(D856))+VLOOKUP(INT(D856),Tablas!$G$9:$K$1240,5,0)*(INT(D856)+1-D856)),+VLOOKUP(INT(D856)+1,Tablas!$G$9:$O$1240,9,0)*(D856-INT(D856))+VLOOKUP(INT(D856),Tablas!$G$9:$O$1240,9,0)*(INT(D856)+1-D856))</f>
        <v>#N/A</v>
      </c>
      <c r="H856" s="105">
        <f t="shared" ca="1" si="108"/>
        <v>1</v>
      </c>
      <c r="I856" s="106">
        <f t="shared" ca="1" si="109"/>
        <v>0</v>
      </c>
      <c r="J856" s="106">
        <f t="shared" ca="1" si="113"/>
        <v>0</v>
      </c>
      <c r="K856" s="105" t="e">
        <f t="shared" ca="1" si="110"/>
        <v>#N/A</v>
      </c>
      <c r="L856" s="75"/>
    </row>
    <row r="857" spans="2:12">
      <c r="B857" s="101">
        <f t="shared" ca="1" si="111"/>
        <v>78347</v>
      </c>
      <c r="C857" s="101">
        <f t="shared" ca="1" si="112"/>
        <v>78377</v>
      </c>
      <c r="D857" s="102">
        <f t="shared" ca="1" si="107"/>
        <v>137.07871321013005</v>
      </c>
      <c r="E857" s="103">
        <f t="shared" ca="1" si="114"/>
        <v>0.35226385185441589</v>
      </c>
      <c r="F857" s="104" t="e">
        <f ca="1">IF($C$4="Hombre",(+VLOOKUP(INT(D857)+1,Tablas!$G$9:$K$1240,5,0)*(D857-INT(D857))+VLOOKUP(INT(D857),Tablas!$G$9:$K$1240,5,0)*(INT(D857)+1-D857))/(VLOOKUP(INT($C$5)+1,Tablas!$G$9:$K$1240,5,0)*($C$5-INT($C$5))+VLOOKUP(INT($C$5),Tablas!$G$9:$K$124,5,0)*(INT($C$5)+1-$C$5)),(+VLOOKUP(INT(D857)+1,Tablas!$G$9:$O$1240,9,0)*(D857-INT(D857))+VLOOKUP(INT(D857),Tablas!$G$9:$O$1240,9,0)*(INT(D857)+1-D857))/(VLOOKUP(INT($C$5)+1,Tablas!$G$9:$O$1240,9,0)*($C$5-INT($C$5))+VLOOKUP(INT($C$5),Tablas!$G$9:$O$124,9,0)*(INT($C$5)+1-$C$5)))</f>
        <v>#N/A</v>
      </c>
      <c r="G857" s="97" t="e">
        <f ca="1">IF($C$4="Hombre",(+VLOOKUP(INT(D857)+1,Tablas!$G$9:$K$1240,5,0)*(D857-INT(D857))+VLOOKUP(INT(D857),Tablas!$G$9:$K$1240,5,0)*(INT(D857)+1-D857)),+VLOOKUP(INT(D857)+1,Tablas!$G$9:$O$1240,9,0)*(D857-INT(D857))+VLOOKUP(INT(D857),Tablas!$G$9:$O$1240,9,0)*(INT(D857)+1-D857))</f>
        <v>#N/A</v>
      </c>
      <c r="H857" s="105">
        <f t="shared" ca="1" si="108"/>
        <v>1</v>
      </c>
      <c r="I857" s="106">
        <f t="shared" ca="1" si="109"/>
        <v>0</v>
      </c>
      <c r="J857" s="106">
        <f t="shared" ca="1" si="113"/>
        <v>0</v>
      </c>
      <c r="K857" s="105" t="e">
        <f t="shared" ca="1" si="110"/>
        <v>#N/A</v>
      </c>
      <c r="L857" s="75"/>
    </row>
    <row r="858" spans="2:12">
      <c r="B858" s="101">
        <f t="shared" ca="1" si="111"/>
        <v>78378</v>
      </c>
      <c r="C858" s="101">
        <f t="shared" ca="1" si="112"/>
        <v>78408</v>
      </c>
      <c r="D858" s="102">
        <f t="shared" ca="1" si="107"/>
        <v>137.16358658453115</v>
      </c>
      <c r="E858" s="103">
        <f t="shared" ca="1" si="114"/>
        <v>0.3518189959010235</v>
      </c>
      <c r="F858" s="104" t="e">
        <f ca="1">IF($C$4="Hombre",(+VLOOKUP(INT(D858)+1,Tablas!$G$9:$K$1240,5,0)*(D858-INT(D858))+VLOOKUP(INT(D858),Tablas!$G$9:$K$1240,5,0)*(INT(D858)+1-D858))/(VLOOKUP(INT($C$5)+1,Tablas!$G$9:$K$1240,5,0)*($C$5-INT($C$5))+VLOOKUP(INT($C$5),Tablas!$G$9:$K$124,5,0)*(INT($C$5)+1-$C$5)),(+VLOOKUP(INT(D858)+1,Tablas!$G$9:$O$1240,9,0)*(D858-INT(D858))+VLOOKUP(INT(D858),Tablas!$G$9:$O$1240,9,0)*(INT(D858)+1-D858))/(VLOOKUP(INT($C$5)+1,Tablas!$G$9:$O$1240,9,0)*($C$5-INT($C$5))+VLOOKUP(INT($C$5),Tablas!$G$9:$O$124,9,0)*(INT($C$5)+1-$C$5)))</f>
        <v>#N/A</v>
      </c>
      <c r="G858" s="97" t="e">
        <f ca="1">IF($C$4="Hombre",(+VLOOKUP(INT(D858)+1,Tablas!$G$9:$K$1240,5,0)*(D858-INT(D858))+VLOOKUP(INT(D858),Tablas!$G$9:$K$1240,5,0)*(INT(D858)+1-D858)),+VLOOKUP(INT(D858)+1,Tablas!$G$9:$O$1240,9,0)*(D858-INT(D858))+VLOOKUP(INT(D858),Tablas!$G$9:$O$1240,9,0)*(INT(D858)+1-D858))</f>
        <v>#N/A</v>
      </c>
      <c r="H858" s="105">
        <f t="shared" ca="1" si="108"/>
        <v>1</v>
      </c>
      <c r="I858" s="106">
        <f t="shared" ca="1" si="109"/>
        <v>0</v>
      </c>
      <c r="J858" s="106">
        <f t="shared" ca="1" si="113"/>
        <v>0</v>
      </c>
      <c r="K858" s="105" t="e">
        <f t="shared" ca="1" si="110"/>
        <v>#N/A</v>
      </c>
      <c r="L858" s="75"/>
    </row>
    <row r="859" spans="2:12">
      <c r="B859" s="101">
        <f t="shared" ca="1" si="111"/>
        <v>78409</v>
      </c>
      <c r="C859" s="101">
        <f t="shared" ca="1" si="112"/>
        <v>78438</v>
      </c>
      <c r="D859" s="102">
        <f t="shared" ca="1" si="107"/>
        <v>137.24572210814512</v>
      </c>
      <c r="E859" s="103">
        <f t="shared" ca="1" si="114"/>
        <v>0.35138902504182162</v>
      </c>
      <c r="F859" s="104" t="e">
        <f ca="1">IF($C$4="Hombre",(+VLOOKUP(INT(D859)+1,Tablas!$G$9:$K$1240,5,0)*(D859-INT(D859))+VLOOKUP(INT(D859),Tablas!$G$9:$K$1240,5,0)*(INT(D859)+1-D859))/(VLOOKUP(INT($C$5)+1,Tablas!$G$9:$K$1240,5,0)*($C$5-INT($C$5))+VLOOKUP(INT($C$5),Tablas!$G$9:$K$124,5,0)*(INT($C$5)+1-$C$5)),(+VLOOKUP(INT(D859)+1,Tablas!$G$9:$O$1240,9,0)*(D859-INT(D859))+VLOOKUP(INT(D859),Tablas!$G$9:$O$1240,9,0)*(INT(D859)+1-D859))/(VLOOKUP(INT($C$5)+1,Tablas!$G$9:$O$1240,9,0)*($C$5-INT($C$5))+VLOOKUP(INT($C$5),Tablas!$G$9:$O$124,9,0)*(INT($C$5)+1-$C$5)))</f>
        <v>#N/A</v>
      </c>
      <c r="G859" s="97" t="e">
        <f ca="1">IF($C$4="Hombre",(+VLOOKUP(INT(D859)+1,Tablas!$G$9:$K$1240,5,0)*(D859-INT(D859))+VLOOKUP(INT(D859),Tablas!$G$9:$K$1240,5,0)*(INT(D859)+1-D859)),+VLOOKUP(INT(D859)+1,Tablas!$G$9:$O$1240,9,0)*(D859-INT(D859))+VLOOKUP(INT(D859),Tablas!$G$9:$O$1240,9,0)*(INT(D859)+1-D859))</f>
        <v>#N/A</v>
      </c>
      <c r="H859" s="105">
        <f t="shared" ca="1" si="108"/>
        <v>1</v>
      </c>
      <c r="I859" s="106">
        <f t="shared" ca="1" si="109"/>
        <v>0</v>
      </c>
      <c r="J859" s="106">
        <f t="shared" ca="1" si="113"/>
        <v>0</v>
      </c>
      <c r="K859" s="105" t="e">
        <f t="shared" ca="1" si="110"/>
        <v>#N/A</v>
      </c>
      <c r="L859" s="75"/>
    </row>
    <row r="860" spans="2:12">
      <c r="B860" s="101">
        <f t="shared" ca="1" si="111"/>
        <v>78439</v>
      </c>
      <c r="C860" s="101">
        <f t="shared" ca="1" si="112"/>
        <v>78469</v>
      </c>
      <c r="D860" s="102">
        <f t="shared" ca="1" si="107"/>
        <v>137.33059548254622</v>
      </c>
      <c r="E860" s="103">
        <f t="shared" ca="1" si="114"/>
        <v>0.35094527386234708</v>
      </c>
      <c r="F860" s="104" t="e">
        <f ca="1">IF($C$4="Hombre",(+VLOOKUP(INT(D860)+1,Tablas!$G$9:$K$1240,5,0)*(D860-INT(D860))+VLOOKUP(INT(D860),Tablas!$G$9:$K$1240,5,0)*(INT(D860)+1-D860))/(VLOOKUP(INT($C$5)+1,Tablas!$G$9:$K$1240,5,0)*($C$5-INT($C$5))+VLOOKUP(INT($C$5),Tablas!$G$9:$K$124,5,0)*(INT($C$5)+1-$C$5)),(+VLOOKUP(INT(D860)+1,Tablas!$G$9:$O$1240,9,0)*(D860-INT(D860))+VLOOKUP(INT(D860),Tablas!$G$9:$O$1240,9,0)*(INT(D860)+1-D860))/(VLOOKUP(INT($C$5)+1,Tablas!$G$9:$O$1240,9,0)*($C$5-INT($C$5))+VLOOKUP(INT($C$5),Tablas!$G$9:$O$124,9,0)*(INT($C$5)+1-$C$5)))</f>
        <v>#N/A</v>
      </c>
      <c r="G860" s="97" t="e">
        <f ca="1">IF($C$4="Hombre",(+VLOOKUP(INT(D860)+1,Tablas!$G$9:$K$1240,5,0)*(D860-INT(D860))+VLOOKUP(INT(D860),Tablas!$G$9:$K$1240,5,0)*(INT(D860)+1-D860)),+VLOOKUP(INT(D860)+1,Tablas!$G$9:$O$1240,9,0)*(D860-INT(D860))+VLOOKUP(INT(D860),Tablas!$G$9:$O$1240,9,0)*(INT(D860)+1-D860))</f>
        <v>#N/A</v>
      </c>
      <c r="H860" s="105">
        <f t="shared" ca="1" si="108"/>
        <v>1</v>
      </c>
      <c r="I860" s="106">
        <f t="shared" ca="1" si="109"/>
        <v>0</v>
      </c>
      <c r="J860" s="106">
        <f t="shared" ca="1" si="113"/>
        <v>0</v>
      </c>
      <c r="K860" s="105" t="e">
        <f t="shared" ca="1" si="110"/>
        <v>#N/A</v>
      </c>
      <c r="L860" s="75"/>
    </row>
    <row r="861" spans="2:12">
      <c r="B861" s="101">
        <f t="shared" ca="1" si="111"/>
        <v>78470</v>
      </c>
      <c r="C861" s="101">
        <f t="shared" ca="1" si="112"/>
        <v>78499</v>
      </c>
      <c r="D861" s="102">
        <f t="shared" ca="1" si="107"/>
        <v>137.41273100616016</v>
      </c>
      <c r="E861" s="103">
        <f t="shared" ca="1" si="114"/>
        <v>0.35051637081079662</v>
      </c>
      <c r="F861" s="104" t="e">
        <f ca="1">IF($C$4="Hombre",(+VLOOKUP(INT(D861)+1,Tablas!$G$9:$K$1240,5,0)*(D861-INT(D861))+VLOOKUP(INT(D861),Tablas!$G$9:$K$1240,5,0)*(INT(D861)+1-D861))/(VLOOKUP(INT($C$5)+1,Tablas!$G$9:$K$1240,5,0)*($C$5-INT($C$5))+VLOOKUP(INT($C$5),Tablas!$G$9:$K$124,5,0)*(INT($C$5)+1-$C$5)),(+VLOOKUP(INT(D861)+1,Tablas!$G$9:$O$1240,9,0)*(D861-INT(D861))+VLOOKUP(INT(D861),Tablas!$G$9:$O$1240,9,0)*(INT(D861)+1-D861))/(VLOOKUP(INT($C$5)+1,Tablas!$G$9:$O$1240,9,0)*($C$5-INT($C$5))+VLOOKUP(INT($C$5),Tablas!$G$9:$O$124,9,0)*(INT($C$5)+1-$C$5)))</f>
        <v>#N/A</v>
      </c>
      <c r="G861" s="97" t="e">
        <f ca="1">IF($C$4="Hombre",(+VLOOKUP(INT(D861)+1,Tablas!$G$9:$K$1240,5,0)*(D861-INT(D861))+VLOOKUP(INT(D861),Tablas!$G$9:$K$1240,5,0)*(INT(D861)+1-D861)),+VLOOKUP(INT(D861)+1,Tablas!$G$9:$O$1240,9,0)*(D861-INT(D861))+VLOOKUP(INT(D861),Tablas!$G$9:$O$1240,9,0)*(INT(D861)+1-D861))</f>
        <v>#N/A</v>
      </c>
      <c r="H861" s="105">
        <f t="shared" ca="1" si="108"/>
        <v>1</v>
      </c>
      <c r="I861" s="106">
        <f t="shared" ca="1" si="109"/>
        <v>0</v>
      </c>
      <c r="J861" s="106">
        <f t="shared" ca="1" si="113"/>
        <v>0</v>
      </c>
      <c r="K861" s="105" t="e">
        <f t="shared" ca="1" si="110"/>
        <v>#N/A</v>
      </c>
      <c r="L861" s="75"/>
    </row>
    <row r="862" spans="2:12">
      <c r="B862" s="101">
        <f t="shared" ca="1" si="111"/>
        <v>78500</v>
      </c>
      <c r="C862" s="101">
        <f t="shared" ca="1" si="112"/>
        <v>78530</v>
      </c>
      <c r="D862" s="102">
        <f t="shared" ca="1" si="107"/>
        <v>137.49760438056126</v>
      </c>
      <c r="E862" s="103">
        <f t="shared" ca="1" si="114"/>
        <v>0.35007372166159828</v>
      </c>
      <c r="F862" s="104" t="e">
        <f ca="1">IF($C$4="Hombre",(+VLOOKUP(INT(D862)+1,Tablas!$G$9:$K$1240,5,0)*(D862-INT(D862))+VLOOKUP(INT(D862),Tablas!$G$9:$K$1240,5,0)*(INT(D862)+1-D862))/(VLOOKUP(INT($C$5)+1,Tablas!$G$9:$K$1240,5,0)*($C$5-INT($C$5))+VLOOKUP(INT($C$5),Tablas!$G$9:$K$124,5,0)*(INT($C$5)+1-$C$5)),(+VLOOKUP(INT(D862)+1,Tablas!$G$9:$O$1240,9,0)*(D862-INT(D862))+VLOOKUP(INT(D862),Tablas!$G$9:$O$1240,9,0)*(INT(D862)+1-D862))/(VLOOKUP(INT($C$5)+1,Tablas!$G$9:$O$1240,9,0)*($C$5-INT($C$5))+VLOOKUP(INT($C$5),Tablas!$G$9:$O$124,9,0)*(INT($C$5)+1-$C$5)))</f>
        <v>#N/A</v>
      </c>
      <c r="G862" s="97" t="e">
        <f ca="1">IF($C$4="Hombre",(+VLOOKUP(INT(D862)+1,Tablas!$G$9:$K$1240,5,0)*(D862-INT(D862))+VLOOKUP(INT(D862),Tablas!$G$9:$K$1240,5,0)*(INT(D862)+1-D862)),+VLOOKUP(INT(D862)+1,Tablas!$G$9:$O$1240,9,0)*(D862-INT(D862))+VLOOKUP(INT(D862),Tablas!$G$9:$O$1240,9,0)*(INT(D862)+1-D862))</f>
        <v>#N/A</v>
      </c>
      <c r="H862" s="105">
        <f t="shared" ca="1" si="108"/>
        <v>1</v>
      </c>
      <c r="I862" s="106">
        <f t="shared" ca="1" si="109"/>
        <v>0</v>
      </c>
      <c r="J862" s="106">
        <f t="shared" ca="1" si="113"/>
        <v>0</v>
      </c>
      <c r="K862" s="105" t="e">
        <f t="shared" ca="1" si="110"/>
        <v>#N/A</v>
      </c>
      <c r="L862" s="75"/>
    </row>
    <row r="863" spans="2:12">
      <c r="B863" s="101">
        <f t="shared" ca="1" si="111"/>
        <v>78531</v>
      </c>
      <c r="C863" s="101">
        <f t="shared" ca="1" si="112"/>
        <v>78561</v>
      </c>
      <c r="D863" s="102">
        <f t="shared" ca="1" si="107"/>
        <v>137.58247775496235</v>
      </c>
      <c r="E863" s="103">
        <f t="shared" ca="1" si="114"/>
        <v>0.34963163151131016</v>
      </c>
      <c r="F863" s="104" t="e">
        <f ca="1">IF($C$4="Hombre",(+VLOOKUP(INT(D863)+1,Tablas!$G$9:$K$1240,5,0)*(D863-INT(D863))+VLOOKUP(INT(D863),Tablas!$G$9:$K$1240,5,0)*(INT(D863)+1-D863))/(VLOOKUP(INT($C$5)+1,Tablas!$G$9:$K$1240,5,0)*($C$5-INT($C$5))+VLOOKUP(INT($C$5),Tablas!$G$9:$K$124,5,0)*(INT($C$5)+1-$C$5)),(+VLOOKUP(INT(D863)+1,Tablas!$G$9:$O$1240,9,0)*(D863-INT(D863))+VLOOKUP(INT(D863),Tablas!$G$9:$O$1240,9,0)*(INT(D863)+1-D863))/(VLOOKUP(INT($C$5)+1,Tablas!$G$9:$O$1240,9,0)*($C$5-INT($C$5))+VLOOKUP(INT($C$5),Tablas!$G$9:$O$124,9,0)*(INT($C$5)+1-$C$5)))</f>
        <v>#N/A</v>
      </c>
      <c r="G863" s="97" t="e">
        <f ca="1">IF($C$4="Hombre",(+VLOOKUP(INT(D863)+1,Tablas!$G$9:$K$1240,5,0)*(D863-INT(D863))+VLOOKUP(INT(D863),Tablas!$G$9:$K$1240,5,0)*(INT(D863)+1-D863)),+VLOOKUP(INT(D863)+1,Tablas!$G$9:$O$1240,9,0)*(D863-INT(D863))+VLOOKUP(INT(D863),Tablas!$G$9:$O$1240,9,0)*(INT(D863)+1-D863))</f>
        <v>#N/A</v>
      </c>
      <c r="H863" s="105">
        <f t="shared" ca="1" si="108"/>
        <v>1</v>
      </c>
      <c r="I863" s="106">
        <f t="shared" ca="1" si="109"/>
        <v>0</v>
      </c>
      <c r="J863" s="106">
        <f t="shared" ca="1" si="113"/>
        <v>0</v>
      </c>
      <c r="K863" s="105" t="e">
        <f t="shared" ca="1" si="110"/>
        <v>#N/A</v>
      </c>
      <c r="L863" s="75"/>
    </row>
    <row r="864" spans="2:12">
      <c r="B864" s="101">
        <f t="shared" ca="1" si="111"/>
        <v>78562</v>
      </c>
      <c r="C864" s="101">
        <f t="shared" ca="1" si="112"/>
        <v>78589</v>
      </c>
      <c r="D864" s="102">
        <f t="shared" ca="1" si="107"/>
        <v>137.65913757700204</v>
      </c>
      <c r="E864" s="103">
        <f t="shared" ca="1" si="114"/>
        <v>0.34923280416307195</v>
      </c>
      <c r="F864" s="104" t="e">
        <f ca="1">IF($C$4="Hombre",(+VLOOKUP(INT(D864)+1,Tablas!$G$9:$K$1240,5,0)*(D864-INT(D864))+VLOOKUP(INT(D864),Tablas!$G$9:$K$1240,5,0)*(INT(D864)+1-D864))/(VLOOKUP(INT($C$5)+1,Tablas!$G$9:$K$1240,5,0)*($C$5-INT($C$5))+VLOOKUP(INT($C$5),Tablas!$G$9:$K$124,5,0)*(INT($C$5)+1-$C$5)),(+VLOOKUP(INT(D864)+1,Tablas!$G$9:$O$1240,9,0)*(D864-INT(D864))+VLOOKUP(INT(D864),Tablas!$G$9:$O$1240,9,0)*(INT(D864)+1-D864))/(VLOOKUP(INT($C$5)+1,Tablas!$G$9:$O$1240,9,0)*($C$5-INT($C$5))+VLOOKUP(INT($C$5),Tablas!$G$9:$O$124,9,0)*(INT($C$5)+1-$C$5)))</f>
        <v>#N/A</v>
      </c>
      <c r="G864" s="97" t="e">
        <f ca="1">IF($C$4="Hombre",(+VLOOKUP(INT(D864)+1,Tablas!$G$9:$K$1240,5,0)*(D864-INT(D864))+VLOOKUP(INT(D864),Tablas!$G$9:$K$1240,5,0)*(INT(D864)+1-D864)),+VLOOKUP(INT(D864)+1,Tablas!$G$9:$O$1240,9,0)*(D864-INT(D864))+VLOOKUP(INT(D864),Tablas!$G$9:$O$1240,9,0)*(INT(D864)+1-D864))</f>
        <v>#N/A</v>
      </c>
      <c r="H864" s="105">
        <f t="shared" ca="1" si="108"/>
        <v>1</v>
      </c>
      <c r="I864" s="106">
        <f t="shared" ca="1" si="109"/>
        <v>0</v>
      </c>
      <c r="J864" s="106">
        <f t="shared" ca="1" si="113"/>
        <v>0</v>
      </c>
      <c r="K864" s="105" t="e">
        <f t="shared" ca="1" si="110"/>
        <v>#N/A</v>
      </c>
      <c r="L864" s="75"/>
    </row>
    <row r="865" spans="2:12">
      <c r="B865" s="101">
        <f t="shared" ca="1" si="111"/>
        <v>78590</v>
      </c>
      <c r="C865" s="101">
        <f t="shared" ca="1" si="112"/>
        <v>78620</v>
      </c>
      <c r="D865" s="102">
        <f t="shared" ca="1" si="107"/>
        <v>137.74401095140314</v>
      </c>
      <c r="E865" s="103">
        <f t="shared" ca="1" si="114"/>
        <v>0.34879177596436806</v>
      </c>
      <c r="F865" s="104" t="e">
        <f ca="1">IF($C$4="Hombre",(+VLOOKUP(INT(D865)+1,Tablas!$G$9:$K$1240,5,0)*(D865-INT(D865))+VLOOKUP(INT(D865),Tablas!$G$9:$K$1240,5,0)*(INT(D865)+1-D865))/(VLOOKUP(INT($C$5)+1,Tablas!$G$9:$K$1240,5,0)*($C$5-INT($C$5))+VLOOKUP(INT($C$5),Tablas!$G$9:$K$124,5,0)*(INT($C$5)+1-$C$5)),(+VLOOKUP(INT(D865)+1,Tablas!$G$9:$O$1240,9,0)*(D865-INT(D865))+VLOOKUP(INT(D865),Tablas!$G$9:$O$1240,9,0)*(INT(D865)+1-D865))/(VLOOKUP(INT($C$5)+1,Tablas!$G$9:$O$1240,9,0)*($C$5-INT($C$5))+VLOOKUP(INT($C$5),Tablas!$G$9:$O$124,9,0)*(INT($C$5)+1-$C$5)))</f>
        <v>#N/A</v>
      </c>
      <c r="G865" s="97" t="e">
        <f ca="1">IF($C$4="Hombre",(+VLOOKUP(INT(D865)+1,Tablas!$G$9:$K$1240,5,0)*(D865-INT(D865))+VLOOKUP(INT(D865),Tablas!$G$9:$K$1240,5,0)*(INT(D865)+1-D865)),+VLOOKUP(INT(D865)+1,Tablas!$G$9:$O$1240,9,0)*(D865-INT(D865))+VLOOKUP(INT(D865),Tablas!$G$9:$O$1240,9,0)*(INT(D865)+1-D865))</f>
        <v>#N/A</v>
      </c>
      <c r="H865" s="105">
        <f t="shared" ca="1" si="108"/>
        <v>1</v>
      </c>
      <c r="I865" s="106">
        <f t="shared" ca="1" si="109"/>
        <v>0</v>
      </c>
      <c r="J865" s="106">
        <f t="shared" ca="1" si="113"/>
        <v>0</v>
      </c>
      <c r="K865" s="105" t="e">
        <f t="shared" ca="1" si="110"/>
        <v>#N/A</v>
      </c>
      <c r="L865" s="75"/>
    </row>
    <row r="866" spans="2:12">
      <c r="B866" s="101">
        <f t="shared" ca="1" si="111"/>
        <v>78621</v>
      </c>
      <c r="C866" s="101">
        <f t="shared" ca="1" si="112"/>
        <v>78650</v>
      </c>
      <c r="D866" s="102">
        <f t="shared" ca="1" si="107"/>
        <v>137.82614647501711</v>
      </c>
      <c r="E866" s="103">
        <f t="shared" ca="1" si="114"/>
        <v>0.34836550478134148</v>
      </c>
      <c r="F866" s="104" t="e">
        <f ca="1">IF($C$4="Hombre",(+VLOOKUP(INT(D866)+1,Tablas!$G$9:$K$1240,5,0)*(D866-INT(D866))+VLOOKUP(INT(D866),Tablas!$G$9:$K$1240,5,0)*(INT(D866)+1-D866))/(VLOOKUP(INT($C$5)+1,Tablas!$G$9:$K$1240,5,0)*($C$5-INT($C$5))+VLOOKUP(INT($C$5),Tablas!$G$9:$K$124,5,0)*(INT($C$5)+1-$C$5)),(+VLOOKUP(INT(D866)+1,Tablas!$G$9:$O$1240,9,0)*(D866-INT(D866))+VLOOKUP(INT(D866),Tablas!$G$9:$O$1240,9,0)*(INT(D866)+1-D866))/(VLOOKUP(INT($C$5)+1,Tablas!$G$9:$O$1240,9,0)*($C$5-INT($C$5))+VLOOKUP(INT($C$5),Tablas!$G$9:$O$124,9,0)*(INT($C$5)+1-$C$5)))</f>
        <v>#N/A</v>
      </c>
      <c r="G866" s="97" t="e">
        <f ca="1">IF($C$4="Hombre",(+VLOOKUP(INT(D866)+1,Tablas!$G$9:$K$1240,5,0)*(D866-INT(D866))+VLOOKUP(INT(D866),Tablas!$G$9:$K$1240,5,0)*(INT(D866)+1-D866)),+VLOOKUP(INT(D866)+1,Tablas!$G$9:$O$1240,9,0)*(D866-INT(D866))+VLOOKUP(INT(D866),Tablas!$G$9:$O$1240,9,0)*(INT(D866)+1-D866))</f>
        <v>#N/A</v>
      </c>
      <c r="H866" s="105">
        <f t="shared" ca="1" si="108"/>
        <v>1</v>
      </c>
      <c r="I866" s="106">
        <f t="shared" ca="1" si="109"/>
        <v>0</v>
      </c>
      <c r="J866" s="106">
        <f t="shared" ca="1" si="113"/>
        <v>0</v>
      </c>
      <c r="K866" s="105" t="e">
        <f t="shared" ca="1" si="110"/>
        <v>#N/A</v>
      </c>
      <c r="L866" s="75"/>
    </row>
    <row r="867" spans="2:12">
      <c r="B867" s="101">
        <f t="shared" ca="1" si="111"/>
        <v>78651</v>
      </c>
      <c r="C867" s="101">
        <f t="shared" ca="1" si="112"/>
        <v>78681</v>
      </c>
      <c r="D867" s="102">
        <f t="shared" ca="1" si="107"/>
        <v>137.91101984941821</v>
      </c>
      <c r="E867" s="103">
        <f t="shared" ca="1" si="114"/>
        <v>0.34792557185054901</v>
      </c>
      <c r="F867" s="104" t="e">
        <f ca="1">IF($C$4="Hombre",(+VLOOKUP(INT(D867)+1,Tablas!$G$9:$K$1240,5,0)*(D867-INT(D867))+VLOOKUP(INT(D867),Tablas!$G$9:$K$1240,5,0)*(INT(D867)+1-D867))/(VLOOKUP(INT($C$5)+1,Tablas!$G$9:$K$1240,5,0)*($C$5-INT($C$5))+VLOOKUP(INT($C$5),Tablas!$G$9:$K$124,5,0)*(INT($C$5)+1-$C$5)),(+VLOOKUP(INT(D867)+1,Tablas!$G$9:$O$1240,9,0)*(D867-INT(D867))+VLOOKUP(INT(D867),Tablas!$G$9:$O$1240,9,0)*(INT(D867)+1-D867))/(VLOOKUP(INT($C$5)+1,Tablas!$G$9:$O$1240,9,0)*($C$5-INT($C$5))+VLOOKUP(INT($C$5),Tablas!$G$9:$O$124,9,0)*(INT($C$5)+1-$C$5)))</f>
        <v>#N/A</v>
      </c>
      <c r="G867" s="97" t="e">
        <f ca="1">IF($C$4="Hombre",(+VLOOKUP(INT(D867)+1,Tablas!$G$9:$K$1240,5,0)*(D867-INT(D867))+VLOOKUP(INT(D867),Tablas!$G$9:$K$1240,5,0)*(INT(D867)+1-D867)),+VLOOKUP(INT(D867)+1,Tablas!$G$9:$O$1240,9,0)*(D867-INT(D867))+VLOOKUP(INT(D867),Tablas!$G$9:$O$1240,9,0)*(INT(D867)+1-D867))</f>
        <v>#N/A</v>
      </c>
      <c r="H867" s="105">
        <f t="shared" ca="1" si="108"/>
        <v>1</v>
      </c>
      <c r="I867" s="106">
        <f t="shared" ca="1" si="109"/>
        <v>0</v>
      </c>
      <c r="J867" s="106">
        <f t="shared" ca="1" si="113"/>
        <v>0</v>
      </c>
      <c r="K867" s="105" t="e">
        <f t="shared" ca="1" si="110"/>
        <v>#N/A</v>
      </c>
      <c r="L867" s="75"/>
    </row>
    <row r="868" spans="2:12">
      <c r="B868" s="101">
        <f t="shared" ca="1" si="111"/>
        <v>78682</v>
      </c>
      <c r="C868" s="101">
        <f t="shared" ca="1" si="112"/>
        <v>78711</v>
      </c>
      <c r="D868" s="102">
        <f t="shared" ca="1" si="107"/>
        <v>137.99315537303218</v>
      </c>
      <c r="E868" s="103">
        <f t="shared" ca="1" si="114"/>
        <v>0.34750035928724277</v>
      </c>
      <c r="F868" s="104" t="e">
        <f ca="1">IF($C$4="Hombre",(+VLOOKUP(INT(D868)+1,Tablas!$G$9:$K$1240,5,0)*(D868-INT(D868))+VLOOKUP(INT(D868),Tablas!$G$9:$K$1240,5,0)*(INT(D868)+1-D868))/(VLOOKUP(INT($C$5)+1,Tablas!$G$9:$K$1240,5,0)*($C$5-INT($C$5))+VLOOKUP(INT($C$5),Tablas!$G$9:$K$124,5,0)*(INT($C$5)+1-$C$5)),(+VLOOKUP(INT(D868)+1,Tablas!$G$9:$O$1240,9,0)*(D868-INT(D868))+VLOOKUP(INT(D868),Tablas!$G$9:$O$1240,9,0)*(INT(D868)+1-D868))/(VLOOKUP(INT($C$5)+1,Tablas!$G$9:$O$1240,9,0)*($C$5-INT($C$5))+VLOOKUP(INT($C$5),Tablas!$G$9:$O$124,9,0)*(INT($C$5)+1-$C$5)))</f>
        <v>#N/A</v>
      </c>
      <c r="G868" s="97" t="e">
        <f ca="1">IF($C$4="Hombre",(+VLOOKUP(INT(D868)+1,Tablas!$G$9:$K$1240,5,0)*(D868-INT(D868))+VLOOKUP(INT(D868),Tablas!$G$9:$K$1240,5,0)*(INT(D868)+1-D868)),+VLOOKUP(INT(D868)+1,Tablas!$G$9:$O$1240,9,0)*(D868-INT(D868))+VLOOKUP(INT(D868),Tablas!$G$9:$O$1240,9,0)*(INT(D868)+1-D868))</f>
        <v>#N/A</v>
      </c>
      <c r="H868" s="105">
        <f t="shared" ca="1" si="108"/>
        <v>1</v>
      </c>
      <c r="I868" s="106">
        <f t="shared" ca="1" si="109"/>
        <v>0</v>
      </c>
      <c r="J868" s="106">
        <f t="shared" ca="1" si="113"/>
        <v>0</v>
      </c>
      <c r="K868" s="105" t="e">
        <f t="shared" ca="1" si="110"/>
        <v>#N/A</v>
      </c>
      <c r="L868" s="75"/>
    </row>
    <row r="869" spans="2:12">
      <c r="B869" s="101">
        <f t="shared" ca="1" si="111"/>
        <v>78712</v>
      </c>
      <c r="C869" s="101">
        <f t="shared" ca="1" si="112"/>
        <v>78742</v>
      </c>
      <c r="D869" s="102">
        <f t="shared" ca="1" si="107"/>
        <v>138.07802874743325</v>
      </c>
      <c r="E869" s="103">
        <f t="shared" ca="1" si="114"/>
        <v>0.3470615189043279</v>
      </c>
      <c r="F869" s="104" t="e">
        <f ca="1">IF($C$4="Hombre",(+VLOOKUP(INT(D869)+1,Tablas!$G$9:$K$1240,5,0)*(D869-INT(D869))+VLOOKUP(INT(D869),Tablas!$G$9:$K$1240,5,0)*(INT(D869)+1-D869))/(VLOOKUP(INT($C$5)+1,Tablas!$G$9:$K$1240,5,0)*($C$5-INT($C$5))+VLOOKUP(INT($C$5),Tablas!$G$9:$K$124,5,0)*(INT($C$5)+1-$C$5)),(+VLOOKUP(INT(D869)+1,Tablas!$G$9:$O$1240,9,0)*(D869-INT(D869))+VLOOKUP(INT(D869),Tablas!$G$9:$O$1240,9,0)*(INT(D869)+1-D869))/(VLOOKUP(INT($C$5)+1,Tablas!$G$9:$O$1240,9,0)*($C$5-INT($C$5))+VLOOKUP(INT($C$5),Tablas!$G$9:$O$124,9,0)*(INT($C$5)+1-$C$5)))</f>
        <v>#N/A</v>
      </c>
      <c r="G869" s="97" t="e">
        <f ca="1">IF($C$4="Hombre",(+VLOOKUP(INT(D869)+1,Tablas!$G$9:$K$1240,5,0)*(D869-INT(D869))+VLOOKUP(INT(D869),Tablas!$G$9:$K$1240,5,0)*(INT(D869)+1-D869)),+VLOOKUP(INT(D869)+1,Tablas!$G$9:$O$1240,9,0)*(D869-INT(D869))+VLOOKUP(INT(D869),Tablas!$G$9:$O$1240,9,0)*(INT(D869)+1-D869))</f>
        <v>#N/A</v>
      </c>
      <c r="H869" s="105">
        <f t="shared" ca="1" si="108"/>
        <v>1</v>
      </c>
      <c r="I869" s="106">
        <f t="shared" ca="1" si="109"/>
        <v>0</v>
      </c>
      <c r="J869" s="106">
        <f t="shared" ca="1" si="113"/>
        <v>0</v>
      </c>
      <c r="K869" s="105" t="e">
        <f t="shared" ca="1" si="110"/>
        <v>#N/A</v>
      </c>
      <c r="L869" s="75"/>
    </row>
    <row r="870" spans="2:12">
      <c r="B870" s="101">
        <f t="shared" ca="1" si="111"/>
        <v>78743</v>
      </c>
      <c r="C870" s="101">
        <f t="shared" ca="1" si="112"/>
        <v>78773</v>
      </c>
      <c r="D870" s="102">
        <f t="shared" ca="1" si="107"/>
        <v>138.16290212183435</v>
      </c>
      <c r="E870" s="103">
        <f t="shared" ca="1" si="114"/>
        <v>0.34662323271042739</v>
      </c>
      <c r="F870" s="104" t="e">
        <f ca="1">IF($C$4="Hombre",(+VLOOKUP(INT(D870)+1,Tablas!$G$9:$K$1240,5,0)*(D870-INT(D870))+VLOOKUP(INT(D870),Tablas!$G$9:$K$1240,5,0)*(INT(D870)+1-D870))/(VLOOKUP(INT($C$5)+1,Tablas!$G$9:$K$1240,5,0)*($C$5-INT($C$5))+VLOOKUP(INT($C$5),Tablas!$G$9:$K$124,5,0)*(INT($C$5)+1-$C$5)),(+VLOOKUP(INT(D870)+1,Tablas!$G$9:$O$1240,9,0)*(D870-INT(D870))+VLOOKUP(INT(D870),Tablas!$G$9:$O$1240,9,0)*(INT(D870)+1-D870))/(VLOOKUP(INT($C$5)+1,Tablas!$G$9:$O$1240,9,0)*($C$5-INT($C$5))+VLOOKUP(INT($C$5),Tablas!$G$9:$O$124,9,0)*(INT($C$5)+1-$C$5)))</f>
        <v>#N/A</v>
      </c>
      <c r="G870" s="97" t="e">
        <f ca="1">IF($C$4="Hombre",(+VLOOKUP(INT(D870)+1,Tablas!$G$9:$K$1240,5,0)*(D870-INT(D870))+VLOOKUP(INT(D870),Tablas!$G$9:$K$1240,5,0)*(INT(D870)+1-D870)),+VLOOKUP(INT(D870)+1,Tablas!$G$9:$O$1240,9,0)*(D870-INT(D870))+VLOOKUP(INT(D870),Tablas!$G$9:$O$1240,9,0)*(INT(D870)+1-D870))</f>
        <v>#N/A</v>
      </c>
      <c r="H870" s="105">
        <f t="shared" ca="1" si="108"/>
        <v>1</v>
      </c>
      <c r="I870" s="106">
        <f t="shared" ca="1" si="109"/>
        <v>0</v>
      </c>
      <c r="J870" s="106">
        <f t="shared" ca="1" si="113"/>
        <v>0</v>
      </c>
      <c r="K870" s="105" t="e">
        <f t="shared" ca="1" si="110"/>
        <v>#N/A</v>
      </c>
      <c r="L870" s="75"/>
    </row>
    <row r="871" spans="2:12">
      <c r="B871" s="101">
        <f t="shared" ca="1" si="111"/>
        <v>78774</v>
      </c>
      <c r="C871" s="101">
        <f t="shared" ca="1" si="112"/>
        <v>78803</v>
      </c>
      <c r="D871" s="102">
        <f t="shared" ca="1" si="107"/>
        <v>138.24503764544832</v>
      </c>
      <c r="E871" s="103">
        <f t="shared" ca="1" si="114"/>
        <v>0.34619961178340458</v>
      </c>
      <c r="F871" s="104" t="e">
        <f ca="1">IF($C$4="Hombre",(+VLOOKUP(INT(D871)+1,Tablas!$G$9:$K$1240,5,0)*(D871-INT(D871))+VLOOKUP(INT(D871),Tablas!$G$9:$K$1240,5,0)*(INT(D871)+1-D871))/(VLOOKUP(INT($C$5)+1,Tablas!$G$9:$K$1240,5,0)*($C$5-INT($C$5))+VLOOKUP(INT($C$5),Tablas!$G$9:$K$124,5,0)*(INT($C$5)+1-$C$5)),(+VLOOKUP(INT(D871)+1,Tablas!$G$9:$O$1240,9,0)*(D871-INT(D871))+VLOOKUP(INT(D871),Tablas!$G$9:$O$1240,9,0)*(INT(D871)+1-D871))/(VLOOKUP(INT($C$5)+1,Tablas!$G$9:$O$1240,9,0)*($C$5-INT($C$5))+VLOOKUP(INT($C$5),Tablas!$G$9:$O$124,9,0)*(INT($C$5)+1-$C$5)))</f>
        <v>#N/A</v>
      </c>
      <c r="G871" s="97" t="e">
        <f ca="1">IF($C$4="Hombre",(+VLOOKUP(INT(D871)+1,Tablas!$G$9:$K$1240,5,0)*(D871-INT(D871))+VLOOKUP(INT(D871),Tablas!$G$9:$K$1240,5,0)*(INT(D871)+1-D871)),+VLOOKUP(INT(D871)+1,Tablas!$G$9:$O$1240,9,0)*(D871-INT(D871))+VLOOKUP(INT(D871),Tablas!$G$9:$O$1240,9,0)*(INT(D871)+1-D871))</f>
        <v>#N/A</v>
      </c>
      <c r="H871" s="105">
        <f t="shared" ca="1" si="108"/>
        <v>1</v>
      </c>
      <c r="I871" s="106">
        <f t="shared" ca="1" si="109"/>
        <v>0</v>
      </c>
      <c r="J871" s="106">
        <f t="shared" ca="1" si="113"/>
        <v>0</v>
      </c>
      <c r="K871" s="105" t="e">
        <f t="shared" ca="1" si="110"/>
        <v>#N/A</v>
      </c>
      <c r="L871" s="75"/>
    </row>
    <row r="872" spans="2:12">
      <c r="B872" s="101">
        <f t="shared" ca="1" si="111"/>
        <v>78804</v>
      </c>
      <c r="C872" s="101">
        <f t="shared" ca="1" si="112"/>
        <v>78834</v>
      </c>
      <c r="D872" s="102">
        <f t="shared" ca="1" si="107"/>
        <v>138.32991101984942</v>
      </c>
      <c r="E872" s="103">
        <f t="shared" ca="1" si="114"/>
        <v>0.34576241404780589</v>
      </c>
      <c r="F872" s="104" t="e">
        <f ca="1">IF($C$4="Hombre",(+VLOOKUP(INT(D872)+1,Tablas!$G$9:$K$1240,5,0)*(D872-INT(D872))+VLOOKUP(INT(D872),Tablas!$G$9:$K$1240,5,0)*(INT(D872)+1-D872))/(VLOOKUP(INT($C$5)+1,Tablas!$G$9:$K$1240,5,0)*($C$5-INT($C$5))+VLOOKUP(INT($C$5),Tablas!$G$9:$K$124,5,0)*(INT($C$5)+1-$C$5)),(+VLOOKUP(INT(D872)+1,Tablas!$G$9:$O$1240,9,0)*(D872-INT(D872))+VLOOKUP(INT(D872),Tablas!$G$9:$O$1240,9,0)*(INT(D872)+1-D872))/(VLOOKUP(INT($C$5)+1,Tablas!$G$9:$O$1240,9,0)*($C$5-INT($C$5))+VLOOKUP(INT($C$5),Tablas!$G$9:$O$124,9,0)*(INT($C$5)+1-$C$5)))</f>
        <v>#N/A</v>
      </c>
      <c r="G872" s="97" t="e">
        <f ca="1">IF($C$4="Hombre",(+VLOOKUP(INT(D872)+1,Tablas!$G$9:$K$1240,5,0)*(D872-INT(D872))+VLOOKUP(INT(D872),Tablas!$G$9:$K$1240,5,0)*(INT(D872)+1-D872)),+VLOOKUP(INT(D872)+1,Tablas!$G$9:$O$1240,9,0)*(D872-INT(D872))+VLOOKUP(INT(D872),Tablas!$G$9:$O$1240,9,0)*(INT(D872)+1-D872))</f>
        <v>#N/A</v>
      </c>
      <c r="H872" s="105">
        <f t="shared" ca="1" si="108"/>
        <v>1</v>
      </c>
      <c r="I872" s="106">
        <f t="shared" ca="1" si="109"/>
        <v>0</v>
      </c>
      <c r="J872" s="106">
        <f t="shared" ca="1" si="113"/>
        <v>0</v>
      </c>
      <c r="K872" s="105" t="e">
        <f t="shared" ca="1" si="110"/>
        <v>#N/A</v>
      </c>
      <c r="L872" s="75"/>
    </row>
    <row r="873" spans="2:12">
      <c r="B873" s="101">
        <f t="shared" ca="1" si="111"/>
        <v>78835</v>
      </c>
      <c r="C873" s="101">
        <f t="shared" ca="1" si="112"/>
        <v>78864</v>
      </c>
      <c r="D873" s="102">
        <f t="shared" ca="1" si="107"/>
        <v>138.41204654346339</v>
      </c>
      <c r="E873" s="103">
        <f t="shared" ca="1" si="114"/>
        <v>0.34533984515874655</v>
      </c>
      <c r="F873" s="104" t="e">
        <f ca="1">IF($C$4="Hombre",(+VLOOKUP(INT(D873)+1,Tablas!$G$9:$K$1240,5,0)*(D873-INT(D873))+VLOOKUP(INT(D873),Tablas!$G$9:$K$1240,5,0)*(INT(D873)+1-D873))/(VLOOKUP(INT($C$5)+1,Tablas!$G$9:$K$1240,5,0)*($C$5-INT($C$5))+VLOOKUP(INT($C$5),Tablas!$G$9:$K$124,5,0)*(INT($C$5)+1-$C$5)),(+VLOOKUP(INT(D873)+1,Tablas!$G$9:$O$1240,9,0)*(D873-INT(D873))+VLOOKUP(INT(D873),Tablas!$G$9:$O$1240,9,0)*(INT(D873)+1-D873))/(VLOOKUP(INT($C$5)+1,Tablas!$G$9:$O$1240,9,0)*($C$5-INT($C$5))+VLOOKUP(INT($C$5),Tablas!$G$9:$O$124,9,0)*(INT($C$5)+1-$C$5)))</f>
        <v>#N/A</v>
      </c>
      <c r="G873" s="97" t="e">
        <f ca="1">IF($C$4="Hombre",(+VLOOKUP(INT(D873)+1,Tablas!$G$9:$K$1240,5,0)*(D873-INT(D873))+VLOOKUP(INT(D873),Tablas!$G$9:$K$1240,5,0)*(INT(D873)+1-D873)),+VLOOKUP(INT(D873)+1,Tablas!$G$9:$O$1240,9,0)*(D873-INT(D873))+VLOOKUP(INT(D873),Tablas!$G$9:$O$1240,9,0)*(INT(D873)+1-D873))</f>
        <v>#N/A</v>
      </c>
      <c r="H873" s="105">
        <f t="shared" ca="1" si="108"/>
        <v>1</v>
      </c>
      <c r="I873" s="106">
        <f t="shared" ca="1" si="109"/>
        <v>0</v>
      </c>
      <c r="J873" s="106">
        <f t="shared" ca="1" si="113"/>
        <v>0</v>
      </c>
      <c r="K873" s="105" t="e">
        <f t="shared" ca="1" si="110"/>
        <v>#N/A</v>
      </c>
      <c r="L873" s="75"/>
    </row>
    <row r="874" spans="2:12">
      <c r="B874" s="101">
        <f t="shared" ca="1" si="111"/>
        <v>78865</v>
      </c>
      <c r="C874" s="101">
        <f t="shared" ca="1" si="112"/>
        <v>78895</v>
      </c>
      <c r="D874" s="102">
        <f t="shared" ca="1" si="107"/>
        <v>138.49691991786449</v>
      </c>
      <c r="E874" s="103">
        <f t="shared" ca="1" si="114"/>
        <v>0.34490373317832695</v>
      </c>
      <c r="F874" s="104" t="e">
        <f ca="1">IF($C$4="Hombre",(+VLOOKUP(INT(D874)+1,Tablas!$G$9:$K$1240,5,0)*(D874-INT(D874))+VLOOKUP(INT(D874),Tablas!$G$9:$K$1240,5,0)*(INT(D874)+1-D874))/(VLOOKUP(INT($C$5)+1,Tablas!$G$9:$K$1240,5,0)*($C$5-INT($C$5))+VLOOKUP(INT($C$5),Tablas!$G$9:$K$124,5,0)*(INT($C$5)+1-$C$5)),(+VLOOKUP(INT(D874)+1,Tablas!$G$9:$O$1240,9,0)*(D874-INT(D874))+VLOOKUP(INT(D874),Tablas!$G$9:$O$1240,9,0)*(INT(D874)+1-D874))/(VLOOKUP(INT($C$5)+1,Tablas!$G$9:$O$1240,9,0)*($C$5-INT($C$5))+VLOOKUP(INT($C$5),Tablas!$G$9:$O$124,9,0)*(INT($C$5)+1-$C$5)))</f>
        <v>#N/A</v>
      </c>
      <c r="G874" s="97" t="e">
        <f ca="1">IF($C$4="Hombre",(+VLOOKUP(INT(D874)+1,Tablas!$G$9:$K$1240,5,0)*(D874-INT(D874))+VLOOKUP(INT(D874),Tablas!$G$9:$K$1240,5,0)*(INT(D874)+1-D874)),+VLOOKUP(INT(D874)+1,Tablas!$G$9:$O$1240,9,0)*(D874-INT(D874))+VLOOKUP(INT(D874),Tablas!$G$9:$O$1240,9,0)*(INT(D874)+1-D874))</f>
        <v>#N/A</v>
      </c>
      <c r="H874" s="105">
        <f t="shared" ca="1" si="108"/>
        <v>1</v>
      </c>
      <c r="I874" s="106">
        <f t="shared" ca="1" si="109"/>
        <v>0</v>
      </c>
      <c r="J874" s="106">
        <f t="shared" ca="1" si="113"/>
        <v>0</v>
      </c>
      <c r="K874" s="105" t="e">
        <f t="shared" ca="1" si="110"/>
        <v>#N/A</v>
      </c>
      <c r="L874" s="75"/>
    </row>
    <row r="875" spans="2:12">
      <c r="B875" s="101">
        <f t="shared" ca="1" si="111"/>
        <v>78896</v>
      </c>
      <c r="C875" s="101">
        <f t="shared" ca="1" si="112"/>
        <v>78926</v>
      </c>
      <c r="D875" s="102">
        <f t="shared" ca="1" si="107"/>
        <v>138.58179329226556</v>
      </c>
      <c r="E875" s="103">
        <f t="shared" ca="1" si="114"/>
        <v>0.34446817194136248</v>
      </c>
      <c r="F875" s="104" t="e">
        <f ca="1">IF($C$4="Hombre",(+VLOOKUP(INT(D875)+1,Tablas!$G$9:$K$1240,5,0)*(D875-INT(D875))+VLOOKUP(INT(D875),Tablas!$G$9:$K$1240,5,0)*(INT(D875)+1-D875))/(VLOOKUP(INT($C$5)+1,Tablas!$G$9:$K$1240,5,0)*($C$5-INT($C$5))+VLOOKUP(INT($C$5),Tablas!$G$9:$K$124,5,0)*(INT($C$5)+1-$C$5)),(+VLOOKUP(INT(D875)+1,Tablas!$G$9:$O$1240,9,0)*(D875-INT(D875))+VLOOKUP(INT(D875),Tablas!$G$9:$O$1240,9,0)*(INT(D875)+1-D875))/(VLOOKUP(INT($C$5)+1,Tablas!$G$9:$O$1240,9,0)*($C$5-INT($C$5))+VLOOKUP(INT($C$5),Tablas!$G$9:$O$124,9,0)*(INT($C$5)+1-$C$5)))</f>
        <v>#N/A</v>
      </c>
      <c r="G875" s="97" t="e">
        <f ca="1">IF($C$4="Hombre",(+VLOOKUP(INT(D875)+1,Tablas!$G$9:$K$1240,5,0)*(D875-INT(D875))+VLOOKUP(INT(D875),Tablas!$G$9:$K$1240,5,0)*(INT(D875)+1-D875)),+VLOOKUP(INT(D875)+1,Tablas!$G$9:$O$1240,9,0)*(D875-INT(D875))+VLOOKUP(INT(D875),Tablas!$G$9:$O$1240,9,0)*(INT(D875)+1-D875))</f>
        <v>#N/A</v>
      </c>
      <c r="H875" s="105">
        <f t="shared" ca="1" si="108"/>
        <v>1</v>
      </c>
      <c r="I875" s="106">
        <f t="shared" ca="1" si="109"/>
        <v>0</v>
      </c>
      <c r="J875" s="106">
        <f t="shared" ca="1" si="113"/>
        <v>0</v>
      </c>
      <c r="K875" s="105" t="e">
        <f t="shared" ca="1" si="110"/>
        <v>#N/A</v>
      </c>
      <c r="L875" s="75"/>
    </row>
    <row r="876" spans="2:12">
      <c r="B876" s="101">
        <f t="shared" ca="1" si="111"/>
        <v>78927</v>
      </c>
      <c r="C876" s="101">
        <f t="shared" ca="1" si="112"/>
        <v>78955</v>
      </c>
      <c r="D876" s="102">
        <f t="shared" ca="1" si="107"/>
        <v>138.6611909650924</v>
      </c>
      <c r="E876" s="103">
        <f t="shared" ca="1" si="114"/>
        <v>0.34406120940513479</v>
      </c>
      <c r="F876" s="104" t="e">
        <f ca="1">IF($C$4="Hombre",(+VLOOKUP(INT(D876)+1,Tablas!$G$9:$K$1240,5,0)*(D876-INT(D876))+VLOOKUP(INT(D876),Tablas!$G$9:$K$1240,5,0)*(INT(D876)+1-D876))/(VLOOKUP(INT($C$5)+1,Tablas!$G$9:$K$1240,5,0)*($C$5-INT($C$5))+VLOOKUP(INT($C$5),Tablas!$G$9:$K$124,5,0)*(INT($C$5)+1-$C$5)),(+VLOOKUP(INT(D876)+1,Tablas!$G$9:$O$1240,9,0)*(D876-INT(D876))+VLOOKUP(INT(D876),Tablas!$G$9:$O$1240,9,0)*(INT(D876)+1-D876))/(VLOOKUP(INT($C$5)+1,Tablas!$G$9:$O$1240,9,0)*($C$5-INT($C$5))+VLOOKUP(INT($C$5),Tablas!$G$9:$O$124,9,0)*(INT($C$5)+1-$C$5)))</f>
        <v>#N/A</v>
      </c>
      <c r="G876" s="97" t="e">
        <f ca="1">IF($C$4="Hombre",(+VLOOKUP(INT(D876)+1,Tablas!$G$9:$K$1240,5,0)*(D876-INT(D876))+VLOOKUP(INT(D876),Tablas!$G$9:$K$1240,5,0)*(INT(D876)+1-D876)),+VLOOKUP(INT(D876)+1,Tablas!$G$9:$O$1240,9,0)*(D876-INT(D876))+VLOOKUP(INT(D876),Tablas!$G$9:$O$1240,9,0)*(INT(D876)+1-D876))</f>
        <v>#N/A</v>
      </c>
      <c r="H876" s="105">
        <f t="shared" ca="1" si="108"/>
        <v>1</v>
      </c>
      <c r="I876" s="106">
        <f t="shared" ca="1" si="109"/>
        <v>0</v>
      </c>
      <c r="J876" s="106">
        <f t="shared" ca="1" si="113"/>
        <v>0</v>
      </c>
      <c r="K876" s="105" t="e">
        <f t="shared" ca="1" si="110"/>
        <v>#N/A</v>
      </c>
      <c r="L876" s="75"/>
    </row>
    <row r="877" spans="2:12">
      <c r="B877" s="101">
        <f t="shared" ca="1" si="111"/>
        <v>78956</v>
      </c>
      <c r="C877" s="101">
        <f t="shared" ca="1" si="112"/>
        <v>78986</v>
      </c>
      <c r="D877" s="102">
        <f t="shared" ca="1" si="107"/>
        <v>138.7460643394935</v>
      </c>
      <c r="E877" s="103">
        <f t="shared" ca="1" si="114"/>
        <v>0.34362671214823631</v>
      </c>
      <c r="F877" s="104" t="e">
        <f ca="1">IF($C$4="Hombre",(+VLOOKUP(INT(D877)+1,Tablas!$G$9:$K$1240,5,0)*(D877-INT(D877))+VLOOKUP(INT(D877),Tablas!$G$9:$K$1240,5,0)*(INT(D877)+1-D877))/(VLOOKUP(INT($C$5)+1,Tablas!$G$9:$K$1240,5,0)*($C$5-INT($C$5))+VLOOKUP(INT($C$5),Tablas!$G$9:$K$124,5,0)*(INT($C$5)+1-$C$5)),(+VLOOKUP(INT(D877)+1,Tablas!$G$9:$O$1240,9,0)*(D877-INT(D877))+VLOOKUP(INT(D877),Tablas!$G$9:$O$1240,9,0)*(INT(D877)+1-D877))/(VLOOKUP(INT($C$5)+1,Tablas!$G$9:$O$1240,9,0)*($C$5-INT($C$5))+VLOOKUP(INT($C$5),Tablas!$G$9:$O$124,9,0)*(INT($C$5)+1-$C$5)))</f>
        <v>#N/A</v>
      </c>
      <c r="G877" s="97" t="e">
        <f ca="1">IF($C$4="Hombre",(+VLOOKUP(INT(D877)+1,Tablas!$G$9:$K$1240,5,0)*(D877-INT(D877))+VLOOKUP(INT(D877),Tablas!$G$9:$K$1240,5,0)*(INT(D877)+1-D877)),+VLOOKUP(INT(D877)+1,Tablas!$G$9:$O$1240,9,0)*(D877-INT(D877))+VLOOKUP(INT(D877),Tablas!$G$9:$O$1240,9,0)*(INT(D877)+1-D877))</f>
        <v>#N/A</v>
      </c>
      <c r="H877" s="105">
        <f t="shared" ca="1" si="108"/>
        <v>1</v>
      </c>
      <c r="I877" s="106">
        <f t="shared" ca="1" si="109"/>
        <v>0</v>
      </c>
      <c r="J877" s="106">
        <f t="shared" ca="1" si="113"/>
        <v>0</v>
      </c>
      <c r="K877" s="105" t="e">
        <f t="shared" ca="1" si="110"/>
        <v>#N/A</v>
      </c>
      <c r="L877" s="75"/>
    </row>
    <row r="878" spans="2:12">
      <c r="B878" s="101">
        <f t="shared" ca="1" si="111"/>
        <v>78987</v>
      </c>
      <c r="C878" s="101">
        <f t="shared" ca="1" si="112"/>
        <v>79016</v>
      </c>
      <c r="D878" s="102">
        <f t="shared" ca="1" si="107"/>
        <v>138.82819986310747</v>
      </c>
      <c r="E878" s="103">
        <f t="shared" ca="1" si="114"/>
        <v>0.34320675337856066</v>
      </c>
      <c r="F878" s="104" t="e">
        <f ca="1">IF($C$4="Hombre",(+VLOOKUP(INT(D878)+1,Tablas!$G$9:$K$1240,5,0)*(D878-INT(D878))+VLOOKUP(INT(D878),Tablas!$G$9:$K$1240,5,0)*(INT(D878)+1-D878))/(VLOOKUP(INT($C$5)+1,Tablas!$G$9:$K$1240,5,0)*($C$5-INT($C$5))+VLOOKUP(INT($C$5),Tablas!$G$9:$K$124,5,0)*(INT($C$5)+1-$C$5)),(+VLOOKUP(INT(D878)+1,Tablas!$G$9:$O$1240,9,0)*(D878-INT(D878))+VLOOKUP(INT(D878),Tablas!$G$9:$O$1240,9,0)*(INT(D878)+1-D878))/(VLOOKUP(INT($C$5)+1,Tablas!$G$9:$O$1240,9,0)*($C$5-INT($C$5))+VLOOKUP(INT($C$5),Tablas!$G$9:$O$124,9,0)*(INT($C$5)+1-$C$5)))</f>
        <v>#N/A</v>
      </c>
      <c r="G878" s="97" t="e">
        <f ca="1">IF($C$4="Hombre",(+VLOOKUP(INT(D878)+1,Tablas!$G$9:$K$1240,5,0)*(D878-INT(D878))+VLOOKUP(INT(D878),Tablas!$G$9:$K$1240,5,0)*(INT(D878)+1-D878)),+VLOOKUP(INT(D878)+1,Tablas!$G$9:$O$1240,9,0)*(D878-INT(D878))+VLOOKUP(INT(D878),Tablas!$G$9:$O$1240,9,0)*(INT(D878)+1-D878))</f>
        <v>#N/A</v>
      </c>
      <c r="H878" s="105">
        <f t="shared" ca="1" si="108"/>
        <v>1</v>
      </c>
      <c r="I878" s="106">
        <f t="shared" ca="1" si="109"/>
        <v>0</v>
      </c>
      <c r="J878" s="106">
        <f t="shared" ca="1" si="113"/>
        <v>0</v>
      </c>
      <c r="K878" s="105" t="e">
        <f t="shared" ca="1" si="110"/>
        <v>#N/A</v>
      </c>
      <c r="L878" s="75"/>
    </row>
    <row r="879" spans="2:12">
      <c r="B879" s="101">
        <f t="shared" ca="1" si="111"/>
        <v>79017</v>
      </c>
      <c r="C879" s="101">
        <f t="shared" ca="1" si="112"/>
        <v>79047</v>
      </c>
      <c r="D879" s="102">
        <f t="shared" ca="1" si="107"/>
        <v>138.91307323750857</v>
      </c>
      <c r="E879" s="103">
        <f t="shared" ca="1" si="114"/>
        <v>0.34277333517035896</v>
      </c>
      <c r="F879" s="104" t="e">
        <f ca="1">IF($C$4="Hombre",(+VLOOKUP(INT(D879)+1,Tablas!$G$9:$K$1240,5,0)*(D879-INT(D879))+VLOOKUP(INT(D879),Tablas!$G$9:$K$1240,5,0)*(INT(D879)+1-D879))/(VLOOKUP(INT($C$5)+1,Tablas!$G$9:$K$1240,5,0)*($C$5-INT($C$5))+VLOOKUP(INT($C$5),Tablas!$G$9:$K$124,5,0)*(INT($C$5)+1-$C$5)),(+VLOOKUP(INT(D879)+1,Tablas!$G$9:$O$1240,9,0)*(D879-INT(D879))+VLOOKUP(INT(D879),Tablas!$G$9:$O$1240,9,0)*(INT(D879)+1-D879))/(VLOOKUP(INT($C$5)+1,Tablas!$G$9:$O$1240,9,0)*($C$5-INT($C$5))+VLOOKUP(INT($C$5),Tablas!$G$9:$O$124,9,0)*(INT($C$5)+1-$C$5)))</f>
        <v>#N/A</v>
      </c>
      <c r="G879" s="97" t="e">
        <f ca="1">IF($C$4="Hombre",(+VLOOKUP(INT(D879)+1,Tablas!$G$9:$K$1240,5,0)*(D879-INT(D879))+VLOOKUP(INT(D879),Tablas!$G$9:$K$1240,5,0)*(INT(D879)+1-D879)),+VLOOKUP(INT(D879)+1,Tablas!$G$9:$O$1240,9,0)*(D879-INT(D879))+VLOOKUP(INT(D879),Tablas!$G$9:$O$1240,9,0)*(INT(D879)+1-D879))</f>
        <v>#N/A</v>
      </c>
      <c r="H879" s="105">
        <f t="shared" ca="1" si="108"/>
        <v>1</v>
      </c>
      <c r="I879" s="106">
        <f t="shared" ca="1" si="109"/>
        <v>0</v>
      </c>
      <c r="J879" s="106">
        <f t="shared" ca="1" si="113"/>
        <v>0</v>
      </c>
      <c r="K879" s="105" t="e">
        <f t="shared" ca="1" si="110"/>
        <v>#N/A</v>
      </c>
      <c r="L879" s="75"/>
    </row>
    <row r="880" spans="2:12">
      <c r="B880" s="101">
        <f t="shared" ca="1" si="111"/>
        <v>79048</v>
      </c>
      <c r="C880" s="101">
        <f t="shared" ca="1" si="112"/>
        <v>79077</v>
      </c>
      <c r="D880" s="102">
        <f t="shared" ca="1" si="107"/>
        <v>138.99520876112251</v>
      </c>
      <c r="E880" s="103">
        <f t="shared" ca="1" si="114"/>
        <v>0.34235441934389205</v>
      </c>
      <c r="F880" s="104" t="e">
        <f ca="1">IF($C$4="Hombre",(+VLOOKUP(INT(D880)+1,Tablas!$G$9:$K$1240,5,0)*(D880-INT(D880))+VLOOKUP(INT(D880),Tablas!$G$9:$K$1240,5,0)*(INT(D880)+1-D880))/(VLOOKUP(INT($C$5)+1,Tablas!$G$9:$K$1240,5,0)*($C$5-INT($C$5))+VLOOKUP(INT($C$5),Tablas!$G$9:$K$124,5,0)*(INT($C$5)+1-$C$5)),(+VLOOKUP(INT(D880)+1,Tablas!$G$9:$O$1240,9,0)*(D880-INT(D880))+VLOOKUP(INT(D880),Tablas!$G$9:$O$1240,9,0)*(INT(D880)+1-D880))/(VLOOKUP(INT($C$5)+1,Tablas!$G$9:$O$1240,9,0)*($C$5-INT($C$5))+VLOOKUP(INT($C$5),Tablas!$G$9:$O$124,9,0)*(INT($C$5)+1-$C$5)))</f>
        <v>#N/A</v>
      </c>
      <c r="G880" s="97" t="e">
        <f ca="1">IF($C$4="Hombre",(+VLOOKUP(INT(D880)+1,Tablas!$G$9:$K$1240,5,0)*(D880-INT(D880))+VLOOKUP(INT(D880),Tablas!$G$9:$K$1240,5,0)*(INT(D880)+1-D880)),+VLOOKUP(INT(D880)+1,Tablas!$G$9:$O$1240,9,0)*(D880-INT(D880))+VLOOKUP(INT(D880),Tablas!$G$9:$O$1240,9,0)*(INT(D880)+1-D880))</f>
        <v>#N/A</v>
      </c>
      <c r="H880" s="105">
        <f t="shared" ca="1" si="108"/>
        <v>1</v>
      </c>
      <c r="I880" s="106">
        <f t="shared" ca="1" si="109"/>
        <v>0</v>
      </c>
      <c r="J880" s="106">
        <f t="shared" ca="1" si="113"/>
        <v>0</v>
      </c>
      <c r="K880" s="105" t="e">
        <f t="shared" ca="1" si="110"/>
        <v>#N/A</v>
      </c>
      <c r="L880" s="75"/>
    </row>
    <row r="881" spans="2:12">
      <c r="B881" s="101">
        <f t="shared" ca="1" si="111"/>
        <v>79078</v>
      </c>
      <c r="C881" s="101">
        <f t="shared" ca="1" si="112"/>
        <v>79108</v>
      </c>
      <c r="D881" s="102">
        <f t="shared" ca="1" si="107"/>
        <v>139.08008213552361</v>
      </c>
      <c r="E881" s="103">
        <f t="shared" ca="1" si="114"/>
        <v>0.34192207750463266</v>
      </c>
      <c r="F881" s="104" t="e">
        <f ca="1">IF($C$4="Hombre",(+VLOOKUP(INT(D881)+1,Tablas!$G$9:$K$1240,5,0)*(D881-INT(D881))+VLOOKUP(INT(D881),Tablas!$G$9:$K$1240,5,0)*(INT(D881)+1-D881))/(VLOOKUP(INT($C$5)+1,Tablas!$G$9:$K$1240,5,0)*($C$5-INT($C$5))+VLOOKUP(INT($C$5),Tablas!$G$9:$K$124,5,0)*(INT($C$5)+1-$C$5)),(+VLOOKUP(INT(D881)+1,Tablas!$G$9:$O$1240,9,0)*(D881-INT(D881))+VLOOKUP(INT(D881),Tablas!$G$9:$O$1240,9,0)*(INT(D881)+1-D881))/(VLOOKUP(INT($C$5)+1,Tablas!$G$9:$O$1240,9,0)*($C$5-INT($C$5))+VLOOKUP(INT($C$5),Tablas!$G$9:$O$124,9,0)*(INT($C$5)+1-$C$5)))</f>
        <v>#N/A</v>
      </c>
      <c r="G881" s="97" t="e">
        <f ca="1">IF($C$4="Hombre",(+VLOOKUP(INT(D881)+1,Tablas!$G$9:$K$1240,5,0)*(D881-INT(D881))+VLOOKUP(INT(D881),Tablas!$G$9:$K$1240,5,0)*(INT(D881)+1-D881)),+VLOOKUP(INT(D881)+1,Tablas!$G$9:$O$1240,9,0)*(D881-INT(D881))+VLOOKUP(INT(D881),Tablas!$G$9:$O$1240,9,0)*(INT(D881)+1-D881))</f>
        <v>#N/A</v>
      </c>
      <c r="H881" s="105">
        <f t="shared" ca="1" si="108"/>
        <v>1</v>
      </c>
      <c r="I881" s="106">
        <f t="shared" ca="1" si="109"/>
        <v>0</v>
      </c>
      <c r="J881" s="106">
        <f t="shared" ca="1" si="113"/>
        <v>0</v>
      </c>
      <c r="K881" s="105" t="e">
        <f t="shared" ca="1" si="110"/>
        <v>#N/A</v>
      </c>
      <c r="L881" s="75"/>
    </row>
    <row r="882" spans="2:12">
      <c r="B882" s="101">
        <f t="shared" ca="1" si="111"/>
        <v>79109</v>
      </c>
      <c r="C882" s="101">
        <f t="shared" ca="1" si="112"/>
        <v>79139</v>
      </c>
      <c r="D882" s="102">
        <f t="shared" ca="1" si="107"/>
        <v>139.16495550992471</v>
      </c>
      <c r="E882" s="103">
        <f t="shared" ca="1" si="114"/>
        <v>0.34149028164771039</v>
      </c>
      <c r="F882" s="104" t="e">
        <f ca="1">IF($C$4="Hombre",(+VLOOKUP(INT(D882)+1,Tablas!$G$9:$K$1240,5,0)*(D882-INT(D882))+VLOOKUP(INT(D882),Tablas!$G$9:$K$1240,5,0)*(INT(D882)+1-D882))/(VLOOKUP(INT($C$5)+1,Tablas!$G$9:$K$1240,5,0)*($C$5-INT($C$5))+VLOOKUP(INT($C$5),Tablas!$G$9:$K$124,5,0)*(INT($C$5)+1-$C$5)),(+VLOOKUP(INT(D882)+1,Tablas!$G$9:$O$1240,9,0)*(D882-INT(D882))+VLOOKUP(INT(D882),Tablas!$G$9:$O$1240,9,0)*(INT(D882)+1-D882))/(VLOOKUP(INT($C$5)+1,Tablas!$G$9:$O$1240,9,0)*($C$5-INT($C$5))+VLOOKUP(INT($C$5),Tablas!$G$9:$O$124,9,0)*(INT($C$5)+1-$C$5)))</f>
        <v>#N/A</v>
      </c>
      <c r="G882" s="97" t="e">
        <f ca="1">IF($C$4="Hombre",(+VLOOKUP(INT(D882)+1,Tablas!$G$9:$K$1240,5,0)*(D882-INT(D882))+VLOOKUP(INT(D882),Tablas!$G$9:$K$1240,5,0)*(INT(D882)+1-D882)),+VLOOKUP(INT(D882)+1,Tablas!$G$9:$O$1240,9,0)*(D882-INT(D882))+VLOOKUP(INT(D882),Tablas!$G$9:$O$1240,9,0)*(INT(D882)+1-D882))</f>
        <v>#N/A</v>
      </c>
      <c r="H882" s="105">
        <f t="shared" ca="1" si="108"/>
        <v>1</v>
      </c>
      <c r="I882" s="106">
        <f t="shared" ca="1" si="109"/>
        <v>0</v>
      </c>
      <c r="J882" s="106">
        <f t="shared" ca="1" si="113"/>
        <v>0</v>
      </c>
      <c r="K882" s="105" t="e">
        <f t="shared" ca="1" si="110"/>
        <v>#N/A</v>
      </c>
      <c r="L882" s="75"/>
    </row>
    <row r="883" spans="2:12">
      <c r="B883" s="101">
        <f t="shared" ca="1" si="111"/>
        <v>79140</v>
      </c>
      <c r="C883" s="101">
        <f t="shared" ca="1" si="112"/>
        <v>79169</v>
      </c>
      <c r="D883" s="102">
        <f t="shared" ca="1" si="107"/>
        <v>139.24709103353868</v>
      </c>
      <c r="E883" s="103">
        <f t="shared" ca="1" si="114"/>
        <v>0.34107293388786836</v>
      </c>
      <c r="F883" s="104" t="e">
        <f ca="1">IF($C$4="Hombre",(+VLOOKUP(INT(D883)+1,Tablas!$G$9:$K$1240,5,0)*(D883-INT(D883))+VLOOKUP(INT(D883),Tablas!$G$9:$K$1240,5,0)*(INT(D883)+1-D883))/(VLOOKUP(INT($C$5)+1,Tablas!$G$9:$K$1240,5,0)*($C$5-INT($C$5))+VLOOKUP(INT($C$5),Tablas!$G$9:$K$124,5,0)*(INT($C$5)+1-$C$5)),(+VLOOKUP(INT(D883)+1,Tablas!$G$9:$O$1240,9,0)*(D883-INT(D883))+VLOOKUP(INT(D883),Tablas!$G$9:$O$1240,9,0)*(INT(D883)+1-D883))/(VLOOKUP(INT($C$5)+1,Tablas!$G$9:$O$1240,9,0)*($C$5-INT($C$5))+VLOOKUP(INT($C$5),Tablas!$G$9:$O$124,9,0)*(INT($C$5)+1-$C$5)))</f>
        <v>#N/A</v>
      </c>
      <c r="G883" s="97" t="e">
        <f ca="1">IF($C$4="Hombre",(+VLOOKUP(INT(D883)+1,Tablas!$G$9:$K$1240,5,0)*(D883-INT(D883))+VLOOKUP(INT(D883),Tablas!$G$9:$K$1240,5,0)*(INT(D883)+1-D883)),+VLOOKUP(INT(D883)+1,Tablas!$G$9:$O$1240,9,0)*(D883-INT(D883))+VLOOKUP(INT(D883),Tablas!$G$9:$O$1240,9,0)*(INT(D883)+1-D883))</f>
        <v>#N/A</v>
      </c>
      <c r="H883" s="105">
        <f t="shared" ca="1" si="108"/>
        <v>1</v>
      </c>
      <c r="I883" s="106">
        <f t="shared" ca="1" si="109"/>
        <v>0</v>
      </c>
      <c r="J883" s="106">
        <f t="shared" ca="1" si="113"/>
        <v>0</v>
      </c>
      <c r="K883" s="105" t="e">
        <f t="shared" ca="1" si="110"/>
        <v>#N/A</v>
      </c>
      <c r="L883" s="75"/>
    </row>
    <row r="884" spans="2:12">
      <c r="B884" s="101">
        <f t="shared" ca="1" si="111"/>
        <v>79170</v>
      </c>
      <c r="C884" s="101">
        <f t="shared" ca="1" si="112"/>
        <v>79200</v>
      </c>
      <c r="D884" s="102">
        <f t="shared" ca="1" si="107"/>
        <v>139.33196440793978</v>
      </c>
      <c r="E884" s="103">
        <f t="shared" ca="1" si="114"/>
        <v>0.34064221037087306</v>
      </c>
      <c r="F884" s="104" t="e">
        <f ca="1">IF($C$4="Hombre",(+VLOOKUP(INT(D884)+1,Tablas!$G$9:$K$1240,5,0)*(D884-INT(D884))+VLOOKUP(INT(D884),Tablas!$G$9:$K$1240,5,0)*(INT(D884)+1-D884))/(VLOOKUP(INT($C$5)+1,Tablas!$G$9:$K$1240,5,0)*($C$5-INT($C$5))+VLOOKUP(INT($C$5),Tablas!$G$9:$K$124,5,0)*(INT($C$5)+1-$C$5)),(+VLOOKUP(INT(D884)+1,Tablas!$G$9:$O$1240,9,0)*(D884-INT(D884))+VLOOKUP(INT(D884),Tablas!$G$9:$O$1240,9,0)*(INT(D884)+1-D884))/(VLOOKUP(INT($C$5)+1,Tablas!$G$9:$O$1240,9,0)*($C$5-INT($C$5))+VLOOKUP(INT($C$5),Tablas!$G$9:$O$124,9,0)*(INT($C$5)+1-$C$5)))</f>
        <v>#N/A</v>
      </c>
      <c r="G884" s="97" t="e">
        <f ca="1">IF($C$4="Hombre",(+VLOOKUP(INT(D884)+1,Tablas!$G$9:$K$1240,5,0)*(D884-INT(D884))+VLOOKUP(INT(D884),Tablas!$G$9:$K$1240,5,0)*(INT(D884)+1-D884)),+VLOOKUP(INT(D884)+1,Tablas!$G$9:$O$1240,9,0)*(D884-INT(D884))+VLOOKUP(INT(D884),Tablas!$G$9:$O$1240,9,0)*(INT(D884)+1-D884))</f>
        <v>#N/A</v>
      </c>
      <c r="H884" s="105">
        <f t="shared" ca="1" si="108"/>
        <v>1</v>
      </c>
      <c r="I884" s="106">
        <f t="shared" ca="1" si="109"/>
        <v>0</v>
      </c>
      <c r="J884" s="106">
        <f t="shared" ca="1" si="113"/>
        <v>0</v>
      </c>
      <c r="K884" s="105" t="e">
        <f t="shared" ca="1" si="110"/>
        <v>#N/A</v>
      </c>
      <c r="L884" s="75"/>
    </row>
    <row r="885" spans="2:12">
      <c r="B885" s="101">
        <f t="shared" ca="1" si="111"/>
        <v>79201</v>
      </c>
      <c r="C885" s="101">
        <f t="shared" ca="1" si="112"/>
        <v>79230</v>
      </c>
      <c r="D885" s="102">
        <f t="shared" ca="1" si="107"/>
        <v>139.41409993155372</v>
      </c>
      <c r="E885" s="103">
        <f t="shared" ca="1" si="114"/>
        <v>0.34022589906994843</v>
      </c>
      <c r="F885" s="104" t="e">
        <f ca="1">IF($C$4="Hombre",(+VLOOKUP(INT(D885)+1,Tablas!$G$9:$K$1240,5,0)*(D885-INT(D885))+VLOOKUP(INT(D885),Tablas!$G$9:$K$1240,5,0)*(INT(D885)+1-D885))/(VLOOKUP(INT($C$5)+1,Tablas!$G$9:$K$1240,5,0)*($C$5-INT($C$5))+VLOOKUP(INT($C$5),Tablas!$G$9:$K$124,5,0)*(INT($C$5)+1-$C$5)),(+VLOOKUP(INT(D885)+1,Tablas!$G$9:$O$1240,9,0)*(D885-INT(D885))+VLOOKUP(INT(D885),Tablas!$G$9:$O$1240,9,0)*(INT(D885)+1-D885))/(VLOOKUP(INT($C$5)+1,Tablas!$G$9:$O$1240,9,0)*($C$5-INT($C$5))+VLOOKUP(INT($C$5),Tablas!$G$9:$O$124,9,0)*(INT($C$5)+1-$C$5)))</f>
        <v>#N/A</v>
      </c>
      <c r="G885" s="97" t="e">
        <f ca="1">IF($C$4="Hombre",(+VLOOKUP(INT(D885)+1,Tablas!$G$9:$K$1240,5,0)*(D885-INT(D885))+VLOOKUP(INT(D885),Tablas!$G$9:$K$1240,5,0)*(INT(D885)+1-D885)),+VLOOKUP(INT(D885)+1,Tablas!$G$9:$O$1240,9,0)*(D885-INT(D885))+VLOOKUP(INT(D885),Tablas!$G$9:$O$1240,9,0)*(INT(D885)+1-D885))</f>
        <v>#N/A</v>
      </c>
      <c r="H885" s="105">
        <f t="shared" ca="1" si="108"/>
        <v>1</v>
      </c>
      <c r="I885" s="106">
        <f t="shared" ca="1" si="109"/>
        <v>0</v>
      </c>
      <c r="J885" s="106">
        <f t="shared" ca="1" si="113"/>
        <v>0</v>
      </c>
      <c r="K885" s="105" t="e">
        <f t="shared" ca="1" si="110"/>
        <v>#N/A</v>
      </c>
      <c r="L885" s="75"/>
    </row>
    <row r="886" spans="2:12">
      <c r="B886" s="101">
        <f t="shared" ca="1" si="111"/>
        <v>79231</v>
      </c>
      <c r="C886" s="101">
        <f t="shared" ca="1" si="112"/>
        <v>79261</v>
      </c>
      <c r="D886" s="102">
        <f t="shared" ca="1" si="107"/>
        <v>139.49897330595482</v>
      </c>
      <c r="E886" s="103">
        <f t="shared" ca="1" si="114"/>
        <v>0.3397962452297863</v>
      </c>
      <c r="F886" s="104" t="e">
        <f ca="1">IF($C$4="Hombre",(+VLOOKUP(INT(D886)+1,Tablas!$G$9:$K$1240,5,0)*(D886-INT(D886))+VLOOKUP(INT(D886),Tablas!$G$9:$K$1240,5,0)*(INT(D886)+1-D886))/(VLOOKUP(INT($C$5)+1,Tablas!$G$9:$K$1240,5,0)*($C$5-INT($C$5))+VLOOKUP(INT($C$5),Tablas!$G$9:$K$124,5,0)*(INT($C$5)+1-$C$5)),(+VLOOKUP(INT(D886)+1,Tablas!$G$9:$O$1240,9,0)*(D886-INT(D886))+VLOOKUP(INT(D886),Tablas!$G$9:$O$1240,9,0)*(INT(D886)+1-D886))/(VLOOKUP(INT($C$5)+1,Tablas!$G$9:$O$1240,9,0)*($C$5-INT($C$5))+VLOOKUP(INT($C$5),Tablas!$G$9:$O$124,9,0)*(INT($C$5)+1-$C$5)))</f>
        <v>#N/A</v>
      </c>
      <c r="G886" s="97" t="e">
        <f ca="1">IF($C$4="Hombre",(+VLOOKUP(INT(D886)+1,Tablas!$G$9:$K$1240,5,0)*(D886-INT(D886))+VLOOKUP(INT(D886),Tablas!$G$9:$K$1240,5,0)*(INT(D886)+1-D886)),+VLOOKUP(INT(D886)+1,Tablas!$G$9:$O$1240,9,0)*(D886-INT(D886))+VLOOKUP(INT(D886),Tablas!$G$9:$O$1240,9,0)*(INT(D886)+1-D886))</f>
        <v>#N/A</v>
      </c>
      <c r="H886" s="105">
        <f t="shared" ca="1" si="108"/>
        <v>1</v>
      </c>
      <c r="I886" s="106">
        <f t="shared" ca="1" si="109"/>
        <v>0</v>
      </c>
      <c r="J886" s="106">
        <f t="shared" ca="1" si="113"/>
        <v>0</v>
      </c>
      <c r="K886" s="105" t="e">
        <f t="shared" ca="1" si="110"/>
        <v>#N/A</v>
      </c>
      <c r="L886" s="75"/>
    </row>
    <row r="887" spans="2:12">
      <c r="B887" s="101">
        <f t="shared" ca="1" si="111"/>
        <v>79262</v>
      </c>
      <c r="C887" s="101">
        <f t="shared" ca="1" si="112"/>
        <v>79292</v>
      </c>
      <c r="D887" s="102">
        <f t="shared" ca="1" si="107"/>
        <v>139.58384668035592</v>
      </c>
      <c r="E887" s="103">
        <f t="shared" ca="1" si="114"/>
        <v>0.33936713397742502</v>
      </c>
      <c r="F887" s="104" t="e">
        <f ca="1">IF($C$4="Hombre",(+VLOOKUP(INT(D887)+1,Tablas!$G$9:$K$1240,5,0)*(D887-INT(D887))+VLOOKUP(INT(D887),Tablas!$G$9:$K$1240,5,0)*(INT(D887)+1-D887))/(VLOOKUP(INT($C$5)+1,Tablas!$G$9:$K$1240,5,0)*($C$5-INT($C$5))+VLOOKUP(INT($C$5),Tablas!$G$9:$K$124,5,0)*(INT($C$5)+1-$C$5)),(+VLOOKUP(INT(D887)+1,Tablas!$G$9:$O$1240,9,0)*(D887-INT(D887))+VLOOKUP(INT(D887),Tablas!$G$9:$O$1240,9,0)*(INT(D887)+1-D887))/(VLOOKUP(INT($C$5)+1,Tablas!$G$9:$O$1240,9,0)*($C$5-INT($C$5))+VLOOKUP(INT($C$5),Tablas!$G$9:$O$124,9,0)*(INT($C$5)+1-$C$5)))</f>
        <v>#N/A</v>
      </c>
      <c r="G887" s="97" t="e">
        <f ca="1">IF($C$4="Hombre",(+VLOOKUP(INT(D887)+1,Tablas!$G$9:$K$1240,5,0)*(D887-INT(D887))+VLOOKUP(INT(D887),Tablas!$G$9:$K$1240,5,0)*(INT(D887)+1-D887)),+VLOOKUP(INT(D887)+1,Tablas!$G$9:$O$1240,9,0)*(D887-INT(D887))+VLOOKUP(INT(D887),Tablas!$G$9:$O$1240,9,0)*(INT(D887)+1-D887))</f>
        <v>#N/A</v>
      </c>
      <c r="H887" s="105">
        <f t="shared" ca="1" si="108"/>
        <v>1</v>
      </c>
      <c r="I887" s="106">
        <f t="shared" ca="1" si="109"/>
        <v>0</v>
      </c>
      <c r="J887" s="106">
        <f t="shared" ca="1" si="113"/>
        <v>0</v>
      </c>
      <c r="K887" s="105" t="e">
        <f t="shared" ca="1" si="110"/>
        <v>#N/A</v>
      </c>
      <c r="L887" s="75"/>
    </row>
    <row r="888" spans="2:12">
      <c r="B888" s="101">
        <f t="shared" ca="1" si="111"/>
        <v>79293</v>
      </c>
      <c r="C888" s="101">
        <f t="shared" ca="1" si="112"/>
        <v>79320</v>
      </c>
      <c r="D888" s="102">
        <f t="shared" ca="1" si="107"/>
        <v>139.66050650239561</v>
      </c>
      <c r="E888" s="103">
        <f t="shared" ca="1" si="114"/>
        <v>0.33898001541627443</v>
      </c>
      <c r="F888" s="104" t="e">
        <f ca="1">IF($C$4="Hombre",(+VLOOKUP(INT(D888)+1,Tablas!$G$9:$K$1240,5,0)*(D888-INT(D888))+VLOOKUP(INT(D888),Tablas!$G$9:$K$1240,5,0)*(INT(D888)+1-D888))/(VLOOKUP(INT($C$5)+1,Tablas!$G$9:$K$1240,5,0)*($C$5-INT($C$5))+VLOOKUP(INT($C$5),Tablas!$G$9:$K$124,5,0)*(INT($C$5)+1-$C$5)),(+VLOOKUP(INT(D888)+1,Tablas!$G$9:$O$1240,9,0)*(D888-INT(D888))+VLOOKUP(INT(D888),Tablas!$G$9:$O$1240,9,0)*(INT(D888)+1-D888))/(VLOOKUP(INT($C$5)+1,Tablas!$G$9:$O$1240,9,0)*($C$5-INT($C$5))+VLOOKUP(INT($C$5),Tablas!$G$9:$O$124,9,0)*(INT($C$5)+1-$C$5)))</f>
        <v>#N/A</v>
      </c>
      <c r="G888" s="97" t="e">
        <f ca="1">IF($C$4="Hombre",(+VLOOKUP(INT(D888)+1,Tablas!$G$9:$K$1240,5,0)*(D888-INT(D888))+VLOOKUP(INT(D888),Tablas!$G$9:$K$1240,5,0)*(INT(D888)+1-D888)),+VLOOKUP(INT(D888)+1,Tablas!$G$9:$O$1240,9,0)*(D888-INT(D888))+VLOOKUP(INT(D888),Tablas!$G$9:$O$1240,9,0)*(INT(D888)+1-D888))</f>
        <v>#N/A</v>
      </c>
      <c r="H888" s="105">
        <f t="shared" ca="1" si="108"/>
        <v>1</v>
      </c>
      <c r="I888" s="106">
        <f t="shared" ca="1" si="109"/>
        <v>0</v>
      </c>
      <c r="J888" s="106">
        <f t="shared" ca="1" si="113"/>
        <v>0</v>
      </c>
      <c r="K888" s="105" t="e">
        <f t="shared" ca="1" si="110"/>
        <v>#N/A</v>
      </c>
      <c r="L888" s="75"/>
    </row>
    <row r="889" spans="2:12">
      <c r="B889" s="101">
        <f t="shared" ca="1" si="111"/>
        <v>79321</v>
      </c>
      <c r="C889" s="101">
        <f t="shared" ca="1" si="112"/>
        <v>79351</v>
      </c>
      <c r="D889" s="102">
        <f t="shared" ca="1" si="107"/>
        <v>139.7453798767967</v>
      </c>
      <c r="E889" s="103">
        <f t="shared" ca="1" si="114"/>
        <v>0.33855193493868596</v>
      </c>
      <c r="F889" s="104" t="e">
        <f ca="1">IF($C$4="Hombre",(+VLOOKUP(INT(D889)+1,Tablas!$G$9:$K$1240,5,0)*(D889-INT(D889))+VLOOKUP(INT(D889),Tablas!$G$9:$K$1240,5,0)*(INT(D889)+1-D889))/(VLOOKUP(INT($C$5)+1,Tablas!$G$9:$K$1240,5,0)*($C$5-INT($C$5))+VLOOKUP(INT($C$5),Tablas!$G$9:$K$124,5,0)*(INT($C$5)+1-$C$5)),(+VLOOKUP(INT(D889)+1,Tablas!$G$9:$O$1240,9,0)*(D889-INT(D889))+VLOOKUP(INT(D889),Tablas!$G$9:$O$1240,9,0)*(INT(D889)+1-D889))/(VLOOKUP(INT($C$5)+1,Tablas!$G$9:$O$1240,9,0)*($C$5-INT($C$5))+VLOOKUP(INT($C$5),Tablas!$G$9:$O$124,9,0)*(INT($C$5)+1-$C$5)))</f>
        <v>#N/A</v>
      </c>
      <c r="G889" s="97" t="e">
        <f ca="1">IF($C$4="Hombre",(+VLOOKUP(INT(D889)+1,Tablas!$G$9:$K$1240,5,0)*(D889-INT(D889))+VLOOKUP(INT(D889),Tablas!$G$9:$K$1240,5,0)*(INT(D889)+1-D889)),+VLOOKUP(INT(D889)+1,Tablas!$G$9:$O$1240,9,0)*(D889-INT(D889))+VLOOKUP(INT(D889),Tablas!$G$9:$O$1240,9,0)*(INT(D889)+1-D889))</f>
        <v>#N/A</v>
      </c>
      <c r="H889" s="105">
        <f t="shared" ca="1" si="108"/>
        <v>1</v>
      </c>
      <c r="I889" s="106">
        <f t="shared" ca="1" si="109"/>
        <v>0</v>
      </c>
      <c r="J889" s="106">
        <f t="shared" ca="1" si="113"/>
        <v>0</v>
      </c>
      <c r="K889" s="105" t="e">
        <f t="shared" ca="1" si="110"/>
        <v>#N/A</v>
      </c>
      <c r="L889" s="75"/>
    </row>
    <row r="890" spans="2:12">
      <c r="B890" s="101">
        <f t="shared" ca="1" si="111"/>
        <v>79352</v>
      </c>
      <c r="C890" s="101">
        <f t="shared" ca="1" si="112"/>
        <v>79381</v>
      </c>
      <c r="D890" s="102">
        <f t="shared" ca="1" si="107"/>
        <v>139.82751540041068</v>
      </c>
      <c r="E890" s="103">
        <f t="shared" ca="1" si="114"/>
        <v>0.33813817823979814</v>
      </c>
      <c r="F890" s="104" t="e">
        <f ca="1">IF($C$4="Hombre",(+VLOOKUP(INT(D890)+1,Tablas!$G$9:$K$1240,5,0)*(D890-INT(D890))+VLOOKUP(INT(D890),Tablas!$G$9:$K$1240,5,0)*(INT(D890)+1-D890))/(VLOOKUP(INT($C$5)+1,Tablas!$G$9:$K$1240,5,0)*($C$5-INT($C$5))+VLOOKUP(INT($C$5),Tablas!$G$9:$K$124,5,0)*(INT($C$5)+1-$C$5)),(+VLOOKUP(INT(D890)+1,Tablas!$G$9:$O$1240,9,0)*(D890-INT(D890))+VLOOKUP(INT(D890),Tablas!$G$9:$O$1240,9,0)*(INT(D890)+1-D890))/(VLOOKUP(INT($C$5)+1,Tablas!$G$9:$O$1240,9,0)*($C$5-INT($C$5))+VLOOKUP(INT($C$5),Tablas!$G$9:$O$124,9,0)*(INT($C$5)+1-$C$5)))</f>
        <v>#N/A</v>
      </c>
      <c r="G890" s="97" t="e">
        <f ca="1">IF($C$4="Hombre",(+VLOOKUP(INT(D890)+1,Tablas!$G$9:$K$1240,5,0)*(D890-INT(D890))+VLOOKUP(INT(D890),Tablas!$G$9:$K$1240,5,0)*(INT(D890)+1-D890)),+VLOOKUP(INT(D890)+1,Tablas!$G$9:$O$1240,9,0)*(D890-INT(D890))+VLOOKUP(INT(D890),Tablas!$G$9:$O$1240,9,0)*(INT(D890)+1-D890))</f>
        <v>#N/A</v>
      </c>
      <c r="H890" s="105">
        <f t="shared" ca="1" si="108"/>
        <v>1</v>
      </c>
      <c r="I890" s="106">
        <f t="shared" ca="1" si="109"/>
        <v>0</v>
      </c>
      <c r="J890" s="106">
        <f t="shared" ca="1" si="113"/>
        <v>0</v>
      </c>
      <c r="K890" s="105" t="e">
        <f t="shared" ca="1" si="110"/>
        <v>#N/A</v>
      </c>
      <c r="L890" s="75"/>
    </row>
    <row r="891" spans="2:12">
      <c r="B891" s="101">
        <f t="shared" ca="1" si="111"/>
        <v>79382</v>
      </c>
      <c r="C891" s="101">
        <f t="shared" ca="1" si="112"/>
        <v>79412</v>
      </c>
      <c r="D891" s="102">
        <f t="shared" ca="1" si="107"/>
        <v>139.91238877481177</v>
      </c>
      <c r="E891" s="103">
        <f t="shared" ca="1" si="114"/>
        <v>0.33771116087520797</v>
      </c>
      <c r="F891" s="104" t="e">
        <f ca="1">IF($C$4="Hombre",(+VLOOKUP(INT(D891)+1,Tablas!$G$9:$K$1240,5,0)*(D891-INT(D891))+VLOOKUP(INT(D891),Tablas!$G$9:$K$1240,5,0)*(INT(D891)+1-D891))/(VLOOKUP(INT($C$5)+1,Tablas!$G$9:$K$1240,5,0)*($C$5-INT($C$5))+VLOOKUP(INT($C$5),Tablas!$G$9:$K$124,5,0)*(INT($C$5)+1-$C$5)),(+VLOOKUP(INT(D891)+1,Tablas!$G$9:$O$1240,9,0)*(D891-INT(D891))+VLOOKUP(INT(D891),Tablas!$G$9:$O$1240,9,0)*(INT(D891)+1-D891))/(VLOOKUP(INT($C$5)+1,Tablas!$G$9:$O$1240,9,0)*($C$5-INT($C$5))+VLOOKUP(INT($C$5),Tablas!$G$9:$O$124,9,0)*(INT($C$5)+1-$C$5)))</f>
        <v>#N/A</v>
      </c>
      <c r="G891" s="97" t="e">
        <f ca="1">IF($C$4="Hombre",(+VLOOKUP(INT(D891)+1,Tablas!$G$9:$K$1240,5,0)*(D891-INT(D891))+VLOOKUP(INT(D891),Tablas!$G$9:$K$1240,5,0)*(INT(D891)+1-D891)),+VLOOKUP(INT(D891)+1,Tablas!$G$9:$O$1240,9,0)*(D891-INT(D891))+VLOOKUP(INT(D891),Tablas!$G$9:$O$1240,9,0)*(INT(D891)+1-D891))</f>
        <v>#N/A</v>
      </c>
      <c r="H891" s="105">
        <f t="shared" ca="1" si="108"/>
        <v>1</v>
      </c>
      <c r="I891" s="106">
        <f t="shared" ca="1" si="109"/>
        <v>0</v>
      </c>
      <c r="J891" s="106">
        <f t="shared" ca="1" si="113"/>
        <v>0</v>
      </c>
      <c r="K891" s="105" t="e">
        <f t="shared" ca="1" si="110"/>
        <v>#N/A</v>
      </c>
      <c r="L891" s="75"/>
    </row>
    <row r="892" spans="2:12">
      <c r="B892" s="101">
        <f t="shared" ca="1" si="111"/>
        <v>79413</v>
      </c>
      <c r="C892" s="101">
        <f t="shared" ca="1" si="112"/>
        <v>79442</v>
      </c>
      <c r="D892" s="102">
        <f t="shared" ca="1" si="107"/>
        <v>139.99452429842574</v>
      </c>
      <c r="E892" s="103">
        <f t="shared" ca="1" si="114"/>
        <v>0.3372984317170461</v>
      </c>
      <c r="F892" s="104" t="e">
        <f ca="1">IF($C$4="Hombre",(+VLOOKUP(INT(D892)+1,Tablas!$G$9:$K$1240,5,0)*(D892-INT(D892))+VLOOKUP(INT(D892),Tablas!$G$9:$K$1240,5,0)*(INT(D892)+1-D892))/(VLOOKUP(INT($C$5)+1,Tablas!$G$9:$K$1240,5,0)*($C$5-INT($C$5))+VLOOKUP(INT($C$5),Tablas!$G$9:$K$124,5,0)*(INT($C$5)+1-$C$5)),(+VLOOKUP(INT(D892)+1,Tablas!$G$9:$O$1240,9,0)*(D892-INT(D892))+VLOOKUP(INT(D892),Tablas!$G$9:$O$1240,9,0)*(INT(D892)+1-D892))/(VLOOKUP(INT($C$5)+1,Tablas!$G$9:$O$1240,9,0)*($C$5-INT($C$5))+VLOOKUP(INT($C$5),Tablas!$G$9:$O$124,9,0)*(INT($C$5)+1-$C$5)))</f>
        <v>#N/A</v>
      </c>
      <c r="G892" s="97" t="e">
        <f ca="1">IF($C$4="Hombre",(+VLOOKUP(INT(D892)+1,Tablas!$G$9:$K$1240,5,0)*(D892-INT(D892))+VLOOKUP(INT(D892),Tablas!$G$9:$K$1240,5,0)*(INT(D892)+1-D892)),+VLOOKUP(INT(D892)+1,Tablas!$G$9:$O$1240,9,0)*(D892-INT(D892))+VLOOKUP(INT(D892),Tablas!$G$9:$O$1240,9,0)*(INT(D892)+1-D892))</f>
        <v>#N/A</v>
      </c>
      <c r="H892" s="105">
        <f t="shared" ca="1" si="108"/>
        <v>1</v>
      </c>
      <c r="I892" s="106">
        <f t="shared" ca="1" si="109"/>
        <v>0</v>
      </c>
      <c r="J892" s="106">
        <f t="shared" ca="1" si="113"/>
        <v>0</v>
      </c>
      <c r="K892" s="105" t="e">
        <f t="shared" ca="1" si="110"/>
        <v>#N/A</v>
      </c>
      <c r="L892" s="75"/>
    </row>
    <row r="893" spans="2:12">
      <c r="B893" s="101">
        <f t="shared" ca="1" si="111"/>
        <v>79443</v>
      </c>
      <c r="C893" s="101">
        <f t="shared" ca="1" si="112"/>
        <v>79473</v>
      </c>
      <c r="D893" s="102">
        <f t="shared" ca="1" si="107"/>
        <v>140.07939767282684</v>
      </c>
      <c r="E893" s="103">
        <f t="shared" ca="1" si="114"/>
        <v>0.33687247482527488</v>
      </c>
      <c r="F893" s="104" t="e">
        <f ca="1">IF($C$4="Hombre",(+VLOOKUP(INT(D893)+1,Tablas!$G$9:$K$1240,5,0)*(D893-INT(D893))+VLOOKUP(INT(D893),Tablas!$G$9:$K$1240,5,0)*(INT(D893)+1-D893))/(VLOOKUP(INT($C$5)+1,Tablas!$G$9:$K$1240,5,0)*($C$5-INT($C$5))+VLOOKUP(INT($C$5),Tablas!$G$9:$K$124,5,0)*(INT($C$5)+1-$C$5)),(+VLOOKUP(INT(D893)+1,Tablas!$G$9:$O$1240,9,0)*(D893-INT(D893))+VLOOKUP(INT(D893),Tablas!$G$9:$O$1240,9,0)*(INT(D893)+1-D893))/(VLOOKUP(INT($C$5)+1,Tablas!$G$9:$O$1240,9,0)*($C$5-INT($C$5))+VLOOKUP(INT($C$5),Tablas!$G$9:$O$124,9,0)*(INT($C$5)+1-$C$5)))</f>
        <v>#N/A</v>
      </c>
      <c r="G893" s="97" t="e">
        <f ca="1">IF($C$4="Hombre",(+VLOOKUP(INT(D893)+1,Tablas!$G$9:$K$1240,5,0)*(D893-INT(D893))+VLOOKUP(INT(D893),Tablas!$G$9:$K$1240,5,0)*(INT(D893)+1-D893)),+VLOOKUP(INT(D893)+1,Tablas!$G$9:$O$1240,9,0)*(D893-INT(D893))+VLOOKUP(INT(D893),Tablas!$G$9:$O$1240,9,0)*(INT(D893)+1-D893))</f>
        <v>#N/A</v>
      </c>
      <c r="H893" s="105">
        <f t="shared" ca="1" si="108"/>
        <v>1</v>
      </c>
      <c r="I893" s="106">
        <f t="shared" ca="1" si="109"/>
        <v>0</v>
      </c>
      <c r="J893" s="106">
        <f t="shared" ca="1" si="113"/>
        <v>0</v>
      </c>
      <c r="K893" s="105" t="e">
        <f t="shared" ca="1" si="110"/>
        <v>#N/A</v>
      </c>
      <c r="L893" s="75"/>
    </row>
    <row r="894" spans="2:12">
      <c r="B894" s="101">
        <f t="shared" ca="1" si="111"/>
        <v>79474</v>
      </c>
      <c r="C894" s="101">
        <f t="shared" ca="1" si="112"/>
        <v>79504</v>
      </c>
      <c r="D894" s="102">
        <f t="shared" ca="1" si="107"/>
        <v>140.16427104722791</v>
      </c>
      <c r="E894" s="103">
        <f t="shared" ca="1" si="114"/>
        <v>0.33644705585261825</v>
      </c>
      <c r="F894" s="104" t="e">
        <f ca="1">IF($C$4="Hombre",(+VLOOKUP(INT(D894)+1,Tablas!$G$9:$K$1240,5,0)*(D894-INT(D894))+VLOOKUP(INT(D894),Tablas!$G$9:$K$1240,5,0)*(INT(D894)+1-D894))/(VLOOKUP(INT($C$5)+1,Tablas!$G$9:$K$1240,5,0)*($C$5-INT($C$5))+VLOOKUP(INT($C$5),Tablas!$G$9:$K$124,5,0)*(INT($C$5)+1-$C$5)),(+VLOOKUP(INT(D894)+1,Tablas!$G$9:$O$1240,9,0)*(D894-INT(D894))+VLOOKUP(INT(D894),Tablas!$G$9:$O$1240,9,0)*(INT(D894)+1-D894))/(VLOOKUP(INT($C$5)+1,Tablas!$G$9:$O$1240,9,0)*($C$5-INT($C$5))+VLOOKUP(INT($C$5),Tablas!$G$9:$O$124,9,0)*(INT($C$5)+1-$C$5)))</f>
        <v>#N/A</v>
      </c>
      <c r="G894" s="97" t="e">
        <f ca="1">IF($C$4="Hombre",(+VLOOKUP(INT(D894)+1,Tablas!$G$9:$K$1240,5,0)*(D894-INT(D894))+VLOOKUP(INT(D894),Tablas!$G$9:$K$1240,5,0)*(INT(D894)+1-D894)),+VLOOKUP(INT(D894)+1,Tablas!$G$9:$O$1240,9,0)*(D894-INT(D894))+VLOOKUP(INT(D894),Tablas!$G$9:$O$1240,9,0)*(INT(D894)+1-D894))</f>
        <v>#N/A</v>
      </c>
      <c r="H894" s="105">
        <f t="shared" ca="1" si="108"/>
        <v>1</v>
      </c>
      <c r="I894" s="106">
        <f t="shared" ca="1" si="109"/>
        <v>0</v>
      </c>
      <c r="J894" s="106">
        <f t="shared" ca="1" si="113"/>
        <v>0</v>
      </c>
      <c r="K894" s="105" t="e">
        <f t="shared" ca="1" si="110"/>
        <v>#N/A</v>
      </c>
      <c r="L894" s="75"/>
    </row>
    <row r="895" spans="2:12">
      <c r="B895" s="101">
        <f t="shared" ca="1" si="111"/>
        <v>79505</v>
      </c>
      <c r="C895" s="101">
        <f t="shared" ca="1" si="112"/>
        <v>79534</v>
      </c>
      <c r="D895" s="102">
        <f t="shared" ca="1" si="107"/>
        <v>140.24640657084188</v>
      </c>
      <c r="E895" s="103">
        <f t="shared" ca="1" si="114"/>
        <v>0.33603587160342663</v>
      </c>
      <c r="F895" s="104" t="e">
        <f ca="1">IF($C$4="Hombre",(+VLOOKUP(INT(D895)+1,Tablas!$G$9:$K$1240,5,0)*(D895-INT(D895))+VLOOKUP(INT(D895),Tablas!$G$9:$K$1240,5,0)*(INT(D895)+1-D895))/(VLOOKUP(INT($C$5)+1,Tablas!$G$9:$K$1240,5,0)*($C$5-INT($C$5))+VLOOKUP(INT($C$5),Tablas!$G$9:$K$124,5,0)*(INT($C$5)+1-$C$5)),(+VLOOKUP(INT(D895)+1,Tablas!$G$9:$O$1240,9,0)*(D895-INT(D895))+VLOOKUP(INT(D895),Tablas!$G$9:$O$1240,9,0)*(INT(D895)+1-D895))/(VLOOKUP(INT($C$5)+1,Tablas!$G$9:$O$1240,9,0)*($C$5-INT($C$5))+VLOOKUP(INT($C$5),Tablas!$G$9:$O$124,9,0)*(INT($C$5)+1-$C$5)))</f>
        <v>#N/A</v>
      </c>
      <c r="G895" s="97" t="e">
        <f ca="1">IF($C$4="Hombre",(+VLOOKUP(INT(D895)+1,Tablas!$G$9:$K$1240,5,0)*(D895-INT(D895))+VLOOKUP(INT(D895),Tablas!$G$9:$K$1240,5,0)*(INT(D895)+1-D895)),+VLOOKUP(INT(D895)+1,Tablas!$G$9:$O$1240,9,0)*(D895-INT(D895))+VLOOKUP(INT(D895),Tablas!$G$9:$O$1240,9,0)*(INT(D895)+1-D895))</f>
        <v>#N/A</v>
      </c>
      <c r="H895" s="105">
        <f t="shared" ca="1" si="108"/>
        <v>1</v>
      </c>
      <c r="I895" s="106">
        <f t="shared" ca="1" si="109"/>
        <v>0</v>
      </c>
      <c r="J895" s="106">
        <f t="shared" ca="1" si="113"/>
        <v>0</v>
      </c>
      <c r="K895" s="105" t="e">
        <f t="shared" ca="1" si="110"/>
        <v>#N/A</v>
      </c>
      <c r="L895" s="75"/>
    </row>
    <row r="896" spans="2:12">
      <c r="B896" s="101">
        <f t="shared" ca="1" si="111"/>
        <v>79535</v>
      </c>
      <c r="C896" s="101">
        <f t="shared" ca="1" si="112"/>
        <v>79565</v>
      </c>
      <c r="D896" s="102">
        <f t="shared" ca="1" si="107"/>
        <v>140.33127994524298</v>
      </c>
      <c r="E896" s="103">
        <f t="shared" ca="1" si="114"/>
        <v>0.33561150913407511</v>
      </c>
      <c r="F896" s="104" t="e">
        <f ca="1">IF($C$4="Hombre",(+VLOOKUP(INT(D896)+1,Tablas!$G$9:$K$1240,5,0)*(D896-INT(D896))+VLOOKUP(INT(D896),Tablas!$G$9:$K$1240,5,0)*(INT(D896)+1-D896))/(VLOOKUP(INT($C$5)+1,Tablas!$G$9:$K$1240,5,0)*($C$5-INT($C$5))+VLOOKUP(INT($C$5),Tablas!$G$9:$K$124,5,0)*(INT($C$5)+1-$C$5)),(+VLOOKUP(INT(D896)+1,Tablas!$G$9:$O$1240,9,0)*(D896-INT(D896))+VLOOKUP(INT(D896),Tablas!$G$9:$O$1240,9,0)*(INT(D896)+1-D896))/(VLOOKUP(INT($C$5)+1,Tablas!$G$9:$O$1240,9,0)*($C$5-INT($C$5))+VLOOKUP(INT($C$5),Tablas!$G$9:$O$124,9,0)*(INT($C$5)+1-$C$5)))</f>
        <v>#N/A</v>
      </c>
      <c r="G896" s="97" t="e">
        <f ca="1">IF($C$4="Hombre",(+VLOOKUP(INT(D896)+1,Tablas!$G$9:$K$1240,5,0)*(D896-INT(D896))+VLOOKUP(INT(D896),Tablas!$G$9:$K$1240,5,0)*(INT(D896)+1-D896)),+VLOOKUP(INT(D896)+1,Tablas!$G$9:$O$1240,9,0)*(D896-INT(D896))+VLOOKUP(INT(D896),Tablas!$G$9:$O$1240,9,0)*(INT(D896)+1-D896))</f>
        <v>#N/A</v>
      </c>
      <c r="H896" s="105">
        <f t="shared" ca="1" si="108"/>
        <v>1</v>
      </c>
      <c r="I896" s="106">
        <f t="shared" ca="1" si="109"/>
        <v>0</v>
      </c>
      <c r="J896" s="106">
        <f t="shared" ca="1" si="113"/>
        <v>0</v>
      </c>
      <c r="K896" s="105" t="e">
        <f t="shared" ca="1" si="110"/>
        <v>#N/A</v>
      </c>
      <c r="L896" s="75"/>
    </row>
    <row r="897" spans="2:12">
      <c r="B897" s="101">
        <f t="shared" ca="1" si="111"/>
        <v>79566</v>
      </c>
      <c r="C897" s="101">
        <f t="shared" ca="1" si="112"/>
        <v>79595</v>
      </c>
      <c r="D897" s="102">
        <f t="shared" ca="1" si="107"/>
        <v>140.41341546885695</v>
      </c>
      <c r="E897" s="103">
        <f t="shared" ca="1" si="114"/>
        <v>0.33520134603708013</v>
      </c>
      <c r="F897" s="104" t="e">
        <f ca="1">IF($C$4="Hombre",(+VLOOKUP(INT(D897)+1,Tablas!$G$9:$K$1240,5,0)*(D897-INT(D897))+VLOOKUP(INT(D897),Tablas!$G$9:$K$1240,5,0)*(INT(D897)+1-D897))/(VLOOKUP(INT($C$5)+1,Tablas!$G$9:$K$1240,5,0)*($C$5-INT($C$5))+VLOOKUP(INT($C$5),Tablas!$G$9:$K$124,5,0)*(INT($C$5)+1-$C$5)),(+VLOOKUP(INT(D897)+1,Tablas!$G$9:$O$1240,9,0)*(D897-INT(D897))+VLOOKUP(INT(D897),Tablas!$G$9:$O$1240,9,0)*(INT(D897)+1-D897))/(VLOOKUP(INT($C$5)+1,Tablas!$G$9:$O$1240,9,0)*($C$5-INT($C$5))+VLOOKUP(INT($C$5),Tablas!$G$9:$O$124,9,0)*(INT($C$5)+1-$C$5)))</f>
        <v>#N/A</v>
      </c>
      <c r="G897" s="97" t="e">
        <f ca="1">IF($C$4="Hombre",(+VLOOKUP(INT(D897)+1,Tablas!$G$9:$K$1240,5,0)*(D897-INT(D897))+VLOOKUP(INT(D897),Tablas!$G$9:$K$1240,5,0)*(INT(D897)+1-D897)),+VLOOKUP(INT(D897)+1,Tablas!$G$9:$O$1240,9,0)*(D897-INT(D897))+VLOOKUP(INT(D897),Tablas!$G$9:$O$1240,9,0)*(INT(D897)+1-D897))</f>
        <v>#N/A</v>
      </c>
      <c r="H897" s="105">
        <f t="shared" ca="1" si="108"/>
        <v>1</v>
      </c>
      <c r="I897" s="106">
        <f t="shared" ca="1" si="109"/>
        <v>0</v>
      </c>
      <c r="J897" s="106">
        <f t="shared" ca="1" si="113"/>
        <v>0</v>
      </c>
      <c r="K897" s="105" t="e">
        <f t="shared" ca="1" si="110"/>
        <v>#N/A</v>
      </c>
      <c r="L897" s="75"/>
    </row>
    <row r="898" spans="2:12">
      <c r="B898" s="101">
        <f t="shared" ca="1" si="111"/>
        <v>79596</v>
      </c>
      <c r="C898" s="101">
        <f t="shared" ca="1" si="112"/>
        <v>79626</v>
      </c>
      <c r="D898" s="102">
        <f t="shared" ca="1" si="107"/>
        <v>140.49828884325805</v>
      </c>
      <c r="E898" s="103">
        <f t="shared" ca="1" si="114"/>
        <v>0.33477803744726953</v>
      </c>
      <c r="F898" s="104" t="e">
        <f ca="1">IF($C$4="Hombre",(+VLOOKUP(INT(D898)+1,Tablas!$G$9:$K$1240,5,0)*(D898-INT(D898))+VLOOKUP(INT(D898),Tablas!$G$9:$K$1240,5,0)*(INT(D898)+1-D898))/(VLOOKUP(INT($C$5)+1,Tablas!$G$9:$K$1240,5,0)*($C$5-INT($C$5))+VLOOKUP(INT($C$5),Tablas!$G$9:$K$124,5,0)*(INT($C$5)+1-$C$5)),(+VLOOKUP(INT(D898)+1,Tablas!$G$9:$O$1240,9,0)*(D898-INT(D898))+VLOOKUP(INT(D898),Tablas!$G$9:$O$1240,9,0)*(INT(D898)+1-D898))/(VLOOKUP(INT($C$5)+1,Tablas!$G$9:$O$1240,9,0)*($C$5-INT($C$5))+VLOOKUP(INT($C$5),Tablas!$G$9:$O$124,9,0)*(INT($C$5)+1-$C$5)))</f>
        <v>#N/A</v>
      </c>
      <c r="G898" s="97" t="e">
        <f ca="1">IF($C$4="Hombre",(+VLOOKUP(INT(D898)+1,Tablas!$G$9:$K$1240,5,0)*(D898-INT(D898))+VLOOKUP(INT(D898),Tablas!$G$9:$K$1240,5,0)*(INT(D898)+1-D898)),+VLOOKUP(INT(D898)+1,Tablas!$G$9:$O$1240,9,0)*(D898-INT(D898))+VLOOKUP(INT(D898),Tablas!$G$9:$O$1240,9,0)*(INT(D898)+1-D898))</f>
        <v>#N/A</v>
      </c>
      <c r="H898" s="105">
        <f t="shared" ca="1" si="108"/>
        <v>1</v>
      </c>
      <c r="I898" s="106">
        <f t="shared" ca="1" si="109"/>
        <v>0</v>
      </c>
      <c r="J898" s="106">
        <f t="shared" ca="1" si="113"/>
        <v>0</v>
      </c>
      <c r="K898" s="105" t="e">
        <f t="shared" ca="1" si="110"/>
        <v>#N/A</v>
      </c>
      <c r="L898" s="75"/>
    </row>
    <row r="899" spans="2:12">
      <c r="B899" s="101">
        <f t="shared" ca="1" si="111"/>
        <v>79627</v>
      </c>
      <c r="C899" s="101">
        <f t="shared" ca="1" si="112"/>
        <v>79657</v>
      </c>
      <c r="D899" s="102">
        <f t="shared" ca="1" si="107"/>
        <v>140.58316221765915</v>
      </c>
      <c r="E899" s="103">
        <f t="shared" ca="1" si="114"/>
        <v>0.33435526343216854</v>
      </c>
      <c r="F899" s="104" t="e">
        <f ca="1">IF($C$4="Hombre",(+VLOOKUP(INT(D899)+1,Tablas!$G$9:$K$1240,5,0)*(D899-INT(D899))+VLOOKUP(INT(D899),Tablas!$G$9:$K$1240,5,0)*(INT(D899)+1-D899))/(VLOOKUP(INT($C$5)+1,Tablas!$G$9:$K$1240,5,0)*($C$5-INT($C$5))+VLOOKUP(INT($C$5),Tablas!$G$9:$K$124,5,0)*(INT($C$5)+1-$C$5)),(+VLOOKUP(INT(D899)+1,Tablas!$G$9:$O$1240,9,0)*(D899-INT(D899))+VLOOKUP(INT(D899),Tablas!$G$9:$O$1240,9,0)*(INT(D899)+1-D899))/(VLOOKUP(INT($C$5)+1,Tablas!$G$9:$O$1240,9,0)*($C$5-INT($C$5))+VLOOKUP(INT($C$5),Tablas!$G$9:$O$124,9,0)*(INT($C$5)+1-$C$5)))</f>
        <v>#N/A</v>
      </c>
      <c r="G899" s="97" t="e">
        <f ca="1">IF($C$4="Hombre",(+VLOOKUP(INT(D899)+1,Tablas!$G$9:$K$1240,5,0)*(D899-INT(D899))+VLOOKUP(INT(D899),Tablas!$G$9:$K$1240,5,0)*(INT(D899)+1-D899)),+VLOOKUP(INT(D899)+1,Tablas!$G$9:$O$1240,9,0)*(D899-INT(D899))+VLOOKUP(INT(D899),Tablas!$G$9:$O$1240,9,0)*(INT(D899)+1-D899))</f>
        <v>#N/A</v>
      </c>
      <c r="H899" s="105">
        <f t="shared" ca="1" si="108"/>
        <v>1</v>
      </c>
      <c r="I899" s="106">
        <f t="shared" ca="1" si="109"/>
        <v>0</v>
      </c>
      <c r="J899" s="106">
        <f t="shared" ca="1" si="113"/>
        <v>0</v>
      </c>
      <c r="K899" s="105" t="e">
        <f t="shared" ca="1" si="110"/>
        <v>#N/A</v>
      </c>
      <c r="L899" s="75"/>
    </row>
    <row r="900" spans="2:12">
      <c r="B900" s="101">
        <f t="shared" ca="1" si="111"/>
        <v>79658</v>
      </c>
      <c r="C900" s="101">
        <f t="shared" ca="1" si="112"/>
        <v>79685</v>
      </c>
      <c r="D900" s="102">
        <f t="shared" ca="1" si="107"/>
        <v>140.65982203969884</v>
      </c>
      <c r="E900" s="103">
        <f t="shared" ca="1" si="114"/>
        <v>0.33397386194824752</v>
      </c>
      <c r="F900" s="104" t="e">
        <f ca="1">IF($C$4="Hombre",(+VLOOKUP(INT(D900)+1,Tablas!$G$9:$K$1240,5,0)*(D900-INT(D900))+VLOOKUP(INT(D900),Tablas!$G$9:$K$1240,5,0)*(INT(D900)+1-D900))/(VLOOKUP(INT($C$5)+1,Tablas!$G$9:$K$1240,5,0)*($C$5-INT($C$5))+VLOOKUP(INT($C$5),Tablas!$G$9:$K$124,5,0)*(INT($C$5)+1-$C$5)),(+VLOOKUP(INT(D900)+1,Tablas!$G$9:$O$1240,9,0)*(D900-INT(D900))+VLOOKUP(INT(D900),Tablas!$G$9:$O$1240,9,0)*(INT(D900)+1-D900))/(VLOOKUP(INT($C$5)+1,Tablas!$G$9:$O$1240,9,0)*($C$5-INT($C$5))+VLOOKUP(INT($C$5),Tablas!$G$9:$O$124,9,0)*(INT($C$5)+1-$C$5)))</f>
        <v>#N/A</v>
      </c>
      <c r="G900" s="97" t="e">
        <f ca="1">IF($C$4="Hombre",(+VLOOKUP(INT(D900)+1,Tablas!$G$9:$K$1240,5,0)*(D900-INT(D900))+VLOOKUP(INT(D900),Tablas!$G$9:$K$1240,5,0)*(INT(D900)+1-D900)),+VLOOKUP(INT(D900)+1,Tablas!$G$9:$O$1240,9,0)*(D900-INT(D900))+VLOOKUP(INT(D900),Tablas!$G$9:$O$1240,9,0)*(INT(D900)+1-D900))</f>
        <v>#N/A</v>
      </c>
      <c r="H900" s="105">
        <f t="shared" ca="1" si="108"/>
        <v>1</v>
      </c>
      <c r="I900" s="106">
        <f t="shared" ca="1" si="109"/>
        <v>0</v>
      </c>
      <c r="J900" s="106">
        <f t="shared" ca="1" si="113"/>
        <v>0</v>
      </c>
      <c r="K900" s="105" t="e">
        <f t="shared" ca="1" si="110"/>
        <v>#N/A</v>
      </c>
      <c r="L900" s="75"/>
    </row>
    <row r="901" spans="2:12">
      <c r="B901" s="101">
        <f t="shared" ca="1" si="111"/>
        <v>79686</v>
      </c>
      <c r="C901" s="101">
        <f t="shared" ca="1" si="112"/>
        <v>79716</v>
      </c>
      <c r="D901" s="102">
        <f t="shared" ca="1" si="107"/>
        <v>140.74469541409994</v>
      </c>
      <c r="E901" s="103">
        <f t="shared" ca="1" si="114"/>
        <v>0.3335521034851438</v>
      </c>
      <c r="F901" s="104" t="e">
        <f ca="1">IF($C$4="Hombre",(+VLOOKUP(INT(D901)+1,Tablas!$G$9:$K$1240,5,0)*(D901-INT(D901))+VLOOKUP(INT(D901),Tablas!$G$9:$K$1240,5,0)*(INT(D901)+1-D901))/(VLOOKUP(INT($C$5)+1,Tablas!$G$9:$K$1240,5,0)*($C$5-INT($C$5))+VLOOKUP(INT($C$5),Tablas!$G$9:$K$124,5,0)*(INT($C$5)+1-$C$5)),(+VLOOKUP(INT(D901)+1,Tablas!$G$9:$O$1240,9,0)*(D901-INT(D901))+VLOOKUP(INT(D901),Tablas!$G$9:$O$1240,9,0)*(INT(D901)+1-D901))/(VLOOKUP(INT($C$5)+1,Tablas!$G$9:$O$1240,9,0)*($C$5-INT($C$5))+VLOOKUP(INT($C$5),Tablas!$G$9:$O$124,9,0)*(INT($C$5)+1-$C$5)))</f>
        <v>#N/A</v>
      </c>
      <c r="G901" s="97" t="e">
        <f ca="1">IF($C$4="Hombre",(+VLOOKUP(INT(D901)+1,Tablas!$G$9:$K$1240,5,0)*(D901-INT(D901))+VLOOKUP(INT(D901),Tablas!$G$9:$K$1240,5,0)*(INT(D901)+1-D901)),+VLOOKUP(INT(D901)+1,Tablas!$G$9:$O$1240,9,0)*(D901-INT(D901))+VLOOKUP(INT(D901),Tablas!$G$9:$O$1240,9,0)*(INT(D901)+1-D901))</f>
        <v>#N/A</v>
      </c>
      <c r="H901" s="105">
        <f t="shared" ca="1" si="108"/>
        <v>1</v>
      </c>
      <c r="I901" s="106">
        <f t="shared" ca="1" si="109"/>
        <v>0</v>
      </c>
      <c r="J901" s="106">
        <f t="shared" ca="1" si="113"/>
        <v>0</v>
      </c>
      <c r="K901" s="105" t="e">
        <f t="shared" ca="1" si="110"/>
        <v>#N/A</v>
      </c>
      <c r="L901" s="75"/>
    </row>
    <row r="902" spans="2:12">
      <c r="B902" s="101">
        <f t="shared" ca="1" si="111"/>
        <v>79717</v>
      </c>
      <c r="C902" s="101">
        <f t="shared" ca="1" si="112"/>
        <v>79746</v>
      </c>
      <c r="D902" s="102">
        <f t="shared" ca="1" si="107"/>
        <v>140.82683093771391</v>
      </c>
      <c r="E902" s="103">
        <f t="shared" ca="1" si="114"/>
        <v>0.33314445726309483</v>
      </c>
      <c r="F902" s="104" t="e">
        <f ca="1">IF($C$4="Hombre",(+VLOOKUP(INT(D902)+1,Tablas!$G$9:$K$1240,5,0)*(D902-INT(D902))+VLOOKUP(INT(D902),Tablas!$G$9:$K$1240,5,0)*(INT(D902)+1-D902))/(VLOOKUP(INT($C$5)+1,Tablas!$G$9:$K$1240,5,0)*($C$5-INT($C$5))+VLOOKUP(INT($C$5),Tablas!$G$9:$K$124,5,0)*(INT($C$5)+1-$C$5)),(+VLOOKUP(INT(D902)+1,Tablas!$G$9:$O$1240,9,0)*(D902-INT(D902))+VLOOKUP(INT(D902),Tablas!$G$9:$O$1240,9,0)*(INT(D902)+1-D902))/(VLOOKUP(INT($C$5)+1,Tablas!$G$9:$O$1240,9,0)*($C$5-INT($C$5))+VLOOKUP(INT($C$5),Tablas!$G$9:$O$124,9,0)*(INT($C$5)+1-$C$5)))</f>
        <v>#N/A</v>
      </c>
      <c r="G902" s="97" t="e">
        <f ca="1">IF($C$4="Hombre",(+VLOOKUP(INT(D902)+1,Tablas!$G$9:$K$1240,5,0)*(D902-INT(D902))+VLOOKUP(INT(D902),Tablas!$G$9:$K$1240,5,0)*(INT(D902)+1-D902)),+VLOOKUP(INT(D902)+1,Tablas!$G$9:$O$1240,9,0)*(D902-INT(D902))+VLOOKUP(INT(D902),Tablas!$G$9:$O$1240,9,0)*(INT(D902)+1-D902))</f>
        <v>#N/A</v>
      </c>
      <c r="H902" s="105">
        <f t="shared" ca="1" si="108"/>
        <v>1</v>
      </c>
      <c r="I902" s="106">
        <f t="shared" ca="1" si="109"/>
        <v>0</v>
      </c>
      <c r="J902" s="106">
        <f t="shared" ca="1" si="113"/>
        <v>0</v>
      </c>
      <c r="K902" s="105" t="e">
        <f t="shared" ca="1" si="110"/>
        <v>#N/A</v>
      </c>
      <c r="L902" s="75"/>
    </row>
    <row r="903" spans="2:12">
      <c r="B903" s="101">
        <f t="shared" ca="1" si="111"/>
        <v>79747</v>
      </c>
      <c r="C903" s="101">
        <f t="shared" ca="1" si="112"/>
        <v>79777</v>
      </c>
      <c r="D903" s="102">
        <f t="shared" ca="1" si="107"/>
        <v>140.91170431211498</v>
      </c>
      <c r="E903" s="103">
        <f t="shared" ca="1" si="114"/>
        <v>0.33272374621263379</v>
      </c>
      <c r="F903" s="104" t="e">
        <f ca="1">IF($C$4="Hombre",(+VLOOKUP(INT(D903)+1,Tablas!$G$9:$K$1240,5,0)*(D903-INT(D903))+VLOOKUP(INT(D903),Tablas!$G$9:$K$1240,5,0)*(INT(D903)+1-D903))/(VLOOKUP(INT($C$5)+1,Tablas!$G$9:$K$1240,5,0)*($C$5-INT($C$5))+VLOOKUP(INT($C$5),Tablas!$G$9:$K$124,5,0)*(INT($C$5)+1-$C$5)),(+VLOOKUP(INT(D903)+1,Tablas!$G$9:$O$1240,9,0)*(D903-INT(D903))+VLOOKUP(INT(D903),Tablas!$G$9:$O$1240,9,0)*(INT(D903)+1-D903))/(VLOOKUP(INT($C$5)+1,Tablas!$G$9:$O$1240,9,0)*($C$5-INT($C$5))+VLOOKUP(INT($C$5),Tablas!$G$9:$O$124,9,0)*(INT($C$5)+1-$C$5)))</f>
        <v>#N/A</v>
      </c>
      <c r="G903" s="97" t="e">
        <f ca="1">IF($C$4="Hombre",(+VLOOKUP(INT(D903)+1,Tablas!$G$9:$K$1240,5,0)*(D903-INT(D903))+VLOOKUP(INT(D903),Tablas!$G$9:$K$1240,5,0)*(INT(D903)+1-D903)),+VLOOKUP(INT(D903)+1,Tablas!$G$9:$O$1240,9,0)*(D903-INT(D903))+VLOOKUP(INT(D903),Tablas!$G$9:$O$1240,9,0)*(INT(D903)+1-D903))</f>
        <v>#N/A</v>
      </c>
      <c r="H903" s="105">
        <f t="shared" ca="1" si="108"/>
        <v>1</v>
      </c>
      <c r="I903" s="106">
        <f t="shared" ca="1" si="109"/>
        <v>0</v>
      </c>
      <c r="J903" s="106">
        <f t="shared" ca="1" si="113"/>
        <v>0</v>
      </c>
      <c r="K903" s="105" t="e">
        <f t="shared" ca="1" si="110"/>
        <v>#N/A</v>
      </c>
      <c r="L903" s="75"/>
    </row>
    <row r="904" spans="2:12">
      <c r="B904" s="101">
        <f t="shared" ca="1" si="111"/>
        <v>79778</v>
      </c>
      <c r="C904" s="101">
        <f t="shared" ca="1" si="112"/>
        <v>79807</v>
      </c>
      <c r="D904" s="102">
        <f t="shared" ca="1" si="107"/>
        <v>140.99383983572895</v>
      </c>
      <c r="E904" s="103">
        <f t="shared" ca="1" si="114"/>
        <v>0.33231711235629657</v>
      </c>
      <c r="F904" s="104" t="e">
        <f ca="1">IF($C$4="Hombre",(+VLOOKUP(INT(D904)+1,Tablas!$G$9:$K$1240,5,0)*(D904-INT(D904))+VLOOKUP(INT(D904),Tablas!$G$9:$K$1240,5,0)*(INT(D904)+1-D904))/(VLOOKUP(INT($C$5)+1,Tablas!$G$9:$K$1240,5,0)*($C$5-INT($C$5))+VLOOKUP(INT($C$5),Tablas!$G$9:$K$124,5,0)*(INT($C$5)+1-$C$5)),(+VLOOKUP(INT(D904)+1,Tablas!$G$9:$O$1240,9,0)*(D904-INT(D904))+VLOOKUP(INT(D904),Tablas!$G$9:$O$1240,9,0)*(INT(D904)+1-D904))/(VLOOKUP(INT($C$5)+1,Tablas!$G$9:$O$1240,9,0)*($C$5-INT($C$5))+VLOOKUP(INT($C$5),Tablas!$G$9:$O$124,9,0)*(INT($C$5)+1-$C$5)))</f>
        <v>#N/A</v>
      </c>
      <c r="G904" s="97" t="e">
        <f ca="1">IF($C$4="Hombre",(+VLOOKUP(INT(D904)+1,Tablas!$G$9:$K$1240,5,0)*(D904-INT(D904))+VLOOKUP(INT(D904),Tablas!$G$9:$K$1240,5,0)*(INT(D904)+1-D904)),+VLOOKUP(INT(D904)+1,Tablas!$G$9:$O$1240,9,0)*(D904-INT(D904))+VLOOKUP(INT(D904),Tablas!$G$9:$O$1240,9,0)*(INT(D904)+1-D904))</f>
        <v>#N/A</v>
      </c>
      <c r="H904" s="105">
        <f t="shared" ca="1" si="108"/>
        <v>1</v>
      </c>
      <c r="I904" s="106">
        <f t="shared" ca="1" si="109"/>
        <v>0</v>
      </c>
      <c r="J904" s="106">
        <f t="shared" ca="1" si="113"/>
        <v>0</v>
      </c>
      <c r="K904" s="105" t="e">
        <f t="shared" ca="1" si="110"/>
        <v>#N/A</v>
      </c>
      <c r="L904" s="75"/>
    </row>
    <row r="905" spans="2:12">
      <c r="B905" s="101">
        <f t="shared" ca="1" si="111"/>
        <v>79808</v>
      </c>
      <c r="C905" s="101">
        <f t="shared" ca="1" si="112"/>
        <v>79838</v>
      </c>
      <c r="D905" s="102">
        <f t="shared" ca="1" si="107"/>
        <v>141.07871321013005</v>
      </c>
      <c r="E905" s="103">
        <f t="shared" ca="1" si="114"/>
        <v>0.33189744611728955</v>
      </c>
      <c r="F905" s="104" t="e">
        <f ca="1">IF($C$4="Hombre",(+VLOOKUP(INT(D905)+1,Tablas!$G$9:$K$1240,5,0)*(D905-INT(D905))+VLOOKUP(INT(D905),Tablas!$G$9:$K$1240,5,0)*(INT(D905)+1-D905))/(VLOOKUP(INT($C$5)+1,Tablas!$G$9:$K$1240,5,0)*($C$5-INT($C$5))+VLOOKUP(INT($C$5),Tablas!$G$9:$K$124,5,0)*(INT($C$5)+1-$C$5)),(+VLOOKUP(INT(D905)+1,Tablas!$G$9:$O$1240,9,0)*(D905-INT(D905))+VLOOKUP(INT(D905),Tablas!$G$9:$O$1240,9,0)*(INT(D905)+1-D905))/(VLOOKUP(INT($C$5)+1,Tablas!$G$9:$O$1240,9,0)*($C$5-INT($C$5))+VLOOKUP(INT($C$5),Tablas!$G$9:$O$124,9,0)*(INT($C$5)+1-$C$5)))</f>
        <v>#N/A</v>
      </c>
      <c r="G905" s="97" t="e">
        <f ca="1">IF($C$4="Hombre",(+VLOOKUP(INT(D905)+1,Tablas!$G$9:$K$1240,5,0)*(D905-INT(D905))+VLOOKUP(INT(D905),Tablas!$G$9:$K$1240,5,0)*(INT(D905)+1-D905)),+VLOOKUP(INT(D905)+1,Tablas!$G$9:$O$1240,9,0)*(D905-INT(D905))+VLOOKUP(INT(D905),Tablas!$G$9:$O$1240,9,0)*(INT(D905)+1-D905))</f>
        <v>#N/A</v>
      </c>
      <c r="H905" s="105">
        <f t="shared" ca="1" si="108"/>
        <v>1</v>
      </c>
      <c r="I905" s="106">
        <f t="shared" ca="1" si="109"/>
        <v>0</v>
      </c>
      <c r="J905" s="106">
        <f t="shared" ca="1" si="113"/>
        <v>0</v>
      </c>
      <c r="K905" s="105" t="e">
        <f t="shared" ca="1" si="110"/>
        <v>#N/A</v>
      </c>
      <c r="L905" s="75"/>
    </row>
    <row r="906" spans="2:12">
      <c r="B906" s="101">
        <f t="shared" ca="1" si="111"/>
        <v>79839</v>
      </c>
      <c r="C906" s="101">
        <f t="shared" ca="1" si="112"/>
        <v>79869</v>
      </c>
      <c r="D906" s="102">
        <f t="shared" ca="1" si="107"/>
        <v>141.16358658453115</v>
      </c>
      <c r="E906" s="103">
        <f t="shared" ca="1" si="114"/>
        <v>0.33147830985325405</v>
      </c>
      <c r="F906" s="104" t="e">
        <f ca="1">IF($C$4="Hombre",(+VLOOKUP(INT(D906)+1,Tablas!$G$9:$K$1240,5,0)*(D906-INT(D906))+VLOOKUP(INT(D906),Tablas!$G$9:$K$1240,5,0)*(INT(D906)+1-D906))/(VLOOKUP(INT($C$5)+1,Tablas!$G$9:$K$1240,5,0)*($C$5-INT($C$5))+VLOOKUP(INT($C$5),Tablas!$G$9:$K$124,5,0)*(INT($C$5)+1-$C$5)),(+VLOOKUP(INT(D906)+1,Tablas!$G$9:$O$1240,9,0)*(D906-INT(D906))+VLOOKUP(INT(D906),Tablas!$G$9:$O$1240,9,0)*(INT(D906)+1-D906))/(VLOOKUP(INT($C$5)+1,Tablas!$G$9:$O$1240,9,0)*($C$5-INT($C$5))+VLOOKUP(INT($C$5),Tablas!$G$9:$O$124,9,0)*(INT($C$5)+1-$C$5)))</f>
        <v>#N/A</v>
      </c>
      <c r="G906" s="97" t="e">
        <f ca="1">IF($C$4="Hombre",(+VLOOKUP(INT(D906)+1,Tablas!$G$9:$K$1240,5,0)*(D906-INT(D906))+VLOOKUP(INT(D906),Tablas!$G$9:$K$1240,5,0)*(INT(D906)+1-D906)),+VLOOKUP(INT(D906)+1,Tablas!$G$9:$O$1240,9,0)*(D906-INT(D906))+VLOOKUP(INT(D906),Tablas!$G$9:$O$1240,9,0)*(INT(D906)+1-D906))</f>
        <v>#N/A</v>
      </c>
      <c r="H906" s="105">
        <f t="shared" ca="1" si="108"/>
        <v>1</v>
      </c>
      <c r="I906" s="106">
        <f t="shared" ca="1" si="109"/>
        <v>0</v>
      </c>
      <c r="J906" s="106">
        <f t="shared" ca="1" si="113"/>
        <v>0</v>
      </c>
      <c r="K906" s="105" t="e">
        <f t="shared" ca="1" si="110"/>
        <v>#N/A</v>
      </c>
      <c r="L906" s="75"/>
    </row>
    <row r="907" spans="2:12">
      <c r="B907" s="101">
        <f t="shared" ca="1" si="111"/>
        <v>79870</v>
      </c>
      <c r="C907" s="101">
        <f t="shared" ca="1" si="112"/>
        <v>79899</v>
      </c>
      <c r="D907" s="102">
        <f t="shared" ca="1" si="107"/>
        <v>141.24572210814512</v>
      </c>
      <c r="E907" s="103">
        <f t="shared" ca="1" si="114"/>
        <v>0.33107319809023122</v>
      </c>
      <c r="F907" s="104" t="e">
        <f ca="1">IF($C$4="Hombre",(+VLOOKUP(INT(D907)+1,Tablas!$G$9:$K$1240,5,0)*(D907-INT(D907))+VLOOKUP(INT(D907),Tablas!$G$9:$K$1240,5,0)*(INT(D907)+1-D907))/(VLOOKUP(INT($C$5)+1,Tablas!$G$9:$K$1240,5,0)*($C$5-INT($C$5))+VLOOKUP(INT($C$5),Tablas!$G$9:$K$124,5,0)*(INT($C$5)+1-$C$5)),(+VLOOKUP(INT(D907)+1,Tablas!$G$9:$O$1240,9,0)*(D907-INT(D907))+VLOOKUP(INT(D907),Tablas!$G$9:$O$1240,9,0)*(INT(D907)+1-D907))/(VLOOKUP(INT($C$5)+1,Tablas!$G$9:$O$1240,9,0)*($C$5-INT($C$5))+VLOOKUP(INT($C$5),Tablas!$G$9:$O$124,9,0)*(INT($C$5)+1-$C$5)))</f>
        <v>#N/A</v>
      </c>
      <c r="G907" s="97" t="e">
        <f ca="1">IF($C$4="Hombre",(+VLOOKUP(INT(D907)+1,Tablas!$G$9:$K$1240,5,0)*(D907-INT(D907))+VLOOKUP(INT(D907),Tablas!$G$9:$K$1240,5,0)*(INT(D907)+1-D907)),+VLOOKUP(INT(D907)+1,Tablas!$G$9:$O$1240,9,0)*(D907-INT(D907))+VLOOKUP(INT(D907),Tablas!$G$9:$O$1240,9,0)*(INT(D907)+1-D907))</f>
        <v>#N/A</v>
      </c>
      <c r="H907" s="105">
        <f t="shared" ca="1" si="108"/>
        <v>1</v>
      </c>
      <c r="I907" s="106">
        <f t="shared" ca="1" si="109"/>
        <v>0</v>
      </c>
      <c r="J907" s="106">
        <f t="shared" ca="1" si="113"/>
        <v>0</v>
      </c>
      <c r="K907" s="105" t="e">
        <f t="shared" ca="1" si="110"/>
        <v>#N/A</v>
      </c>
      <c r="L907" s="75"/>
    </row>
    <row r="908" spans="2:12">
      <c r="B908" s="101">
        <f t="shared" ca="1" si="111"/>
        <v>79900</v>
      </c>
      <c r="C908" s="101">
        <f t="shared" ca="1" si="112"/>
        <v>79930</v>
      </c>
      <c r="D908" s="102">
        <f t="shared" ca="1" si="107"/>
        <v>141.33059548254622</v>
      </c>
      <c r="E908" s="103">
        <f t="shared" ca="1" si="114"/>
        <v>0.33065510272675924</v>
      </c>
      <c r="F908" s="104" t="e">
        <f ca="1">IF($C$4="Hombre",(+VLOOKUP(INT(D908)+1,Tablas!$G$9:$K$1240,5,0)*(D908-INT(D908))+VLOOKUP(INT(D908),Tablas!$G$9:$K$1240,5,0)*(INT(D908)+1-D908))/(VLOOKUP(INT($C$5)+1,Tablas!$G$9:$K$1240,5,0)*($C$5-INT($C$5))+VLOOKUP(INT($C$5),Tablas!$G$9:$K$124,5,0)*(INT($C$5)+1-$C$5)),(+VLOOKUP(INT(D908)+1,Tablas!$G$9:$O$1240,9,0)*(D908-INT(D908))+VLOOKUP(INT(D908),Tablas!$G$9:$O$1240,9,0)*(INT(D908)+1-D908))/(VLOOKUP(INT($C$5)+1,Tablas!$G$9:$O$1240,9,0)*($C$5-INT($C$5))+VLOOKUP(INT($C$5),Tablas!$G$9:$O$124,9,0)*(INT($C$5)+1-$C$5)))</f>
        <v>#N/A</v>
      </c>
      <c r="G908" s="97" t="e">
        <f ca="1">IF($C$4="Hombre",(+VLOOKUP(INT(D908)+1,Tablas!$G$9:$K$1240,5,0)*(D908-INT(D908))+VLOOKUP(INT(D908),Tablas!$G$9:$K$1240,5,0)*(INT(D908)+1-D908)),+VLOOKUP(INT(D908)+1,Tablas!$G$9:$O$1240,9,0)*(D908-INT(D908))+VLOOKUP(INT(D908),Tablas!$G$9:$O$1240,9,0)*(INT(D908)+1-D908))</f>
        <v>#N/A</v>
      </c>
      <c r="H908" s="105">
        <f t="shared" ca="1" si="108"/>
        <v>1</v>
      </c>
      <c r="I908" s="106">
        <f t="shared" ca="1" si="109"/>
        <v>0</v>
      </c>
      <c r="J908" s="106">
        <f t="shared" ca="1" si="113"/>
        <v>0</v>
      </c>
      <c r="K908" s="105" t="e">
        <f t="shared" ca="1" si="110"/>
        <v>#N/A</v>
      </c>
      <c r="L908" s="75"/>
    </row>
    <row r="909" spans="2:12">
      <c r="B909" s="101">
        <f t="shared" ca="1" si="111"/>
        <v>79931</v>
      </c>
      <c r="C909" s="101">
        <f t="shared" ca="1" si="112"/>
        <v>79960</v>
      </c>
      <c r="D909" s="102">
        <f t="shared" ca="1" si="107"/>
        <v>141.41273100616016</v>
      </c>
      <c r="E909" s="103">
        <f t="shared" ca="1" si="114"/>
        <v>0.33025099703526645</v>
      </c>
      <c r="F909" s="104" t="e">
        <f ca="1">IF($C$4="Hombre",(+VLOOKUP(INT(D909)+1,Tablas!$G$9:$K$1240,5,0)*(D909-INT(D909))+VLOOKUP(INT(D909),Tablas!$G$9:$K$1240,5,0)*(INT(D909)+1-D909))/(VLOOKUP(INT($C$5)+1,Tablas!$G$9:$K$1240,5,0)*($C$5-INT($C$5))+VLOOKUP(INT($C$5),Tablas!$G$9:$K$124,5,0)*(INT($C$5)+1-$C$5)),(+VLOOKUP(INT(D909)+1,Tablas!$G$9:$O$1240,9,0)*(D909-INT(D909))+VLOOKUP(INT(D909),Tablas!$G$9:$O$1240,9,0)*(INT(D909)+1-D909))/(VLOOKUP(INT($C$5)+1,Tablas!$G$9:$O$1240,9,0)*($C$5-INT($C$5))+VLOOKUP(INT($C$5),Tablas!$G$9:$O$124,9,0)*(INT($C$5)+1-$C$5)))</f>
        <v>#N/A</v>
      </c>
      <c r="G909" s="97" t="e">
        <f ca="1">IF($C$4="Hombre",(+VLOOKUP(INT(D909)+1,Tablas!$G$9:$K$1240,5,0)*(D909-INT(D909))+VLOOKUP(INT(D909),Tablas!$G$9:$K$1240,5,0)*(INT(D909)+1-D909)),+VLOOKUP(INT(D909)+1,Tablas!$G$9:$O$1240,9,0)*(D909-INT(D909))+VLOOKUP(INT(D909),Tablas!$G$9:$O$1240,9,0)*(INT(D909)+1-D909))</f>
        <v>#N/A</v>
      </c>
      <c r="H909" s="105">
        <f t="shared" ca="1" si="108"/>
        <v>1</v>
      </c>
      <c r="I909" s="106">
        <f t="shared" ca="1" si="109"/>
        <v>0</v>
      </c>
      <c r="J909" s="106">
        <f t="shared" ca="1" si="113"/>
        <v>0</v>
      </c>
      <c r="K909" s="105" t="e">
        <f t="shared" ca="1" si="110"/>
        <v>#N/A</v>
      </c>
      <c r="L909" s="75"/>
    </row>
    <row r="910" spans="2:12">
      <c r="B910" s="101">
        <f t="shared" ca="1" si="111"/>
        <v>79961</v>
      </c>
      <c r="C910" s="101">
        <f t="shared" ca="1" si="112"/>
        <v>79991</v>
      </c>
      <c r="D910" s="102">
        <f t="shared" ca="1" si="107"/>
        <v>141.49760438056126</v>
      </c>
      <c r="E910" s="103">
        <f t="shared" ca="1" si="114"/>
        <v>0.32983393998734195</v>
      </c>
      <c r="F910" s="104" t="e">
        <f ca="1">IF($C$4="Hombre",(+VLOOKUP(INT(D910)+1,Tablas!$G$9:$K$1240,5,0)*(D910-INT(D910))+VLOOKUP(INT(D910),Tablas!$G$9:$K$1240,5,0)*(INT(D910)+1-D910))/(VLOOKUP(INT($C$5)+1,Tablas!$G$9:$K$1240,5,0)*($C$5-INT($C$5))+VLOOKUP(INT($C$5),Tablas!$G$9:$K$124,5,0)*(INT($C$5)+1-$C$5)),(+VLOOKUP(INT(D910)+1,Tablas!$G$9:$O$1240,9,0)*(D910-INT(D910))+VLOOKUP(INT(D910),Tablas!$G$9:$O$1240,9,0)*(INT(D910)+1-D910))/(VLOOKUP(INT($C$5)+1,Tablas!$G$9:$O$1240,9,0)*($C$5-INT($C$5))+VLOOKUP(INT($C$5),Tablas!$G$9:$O$124,9,0)*(INT($C$5)+1-$C$5)))</f>
        <v>#N/A</v>
      </c>
      <c r="G910" s="97" t="e">
        <f ca="1">IF($C$4="Hombre",(+VLOOKUP(INT(D910)+1,Tablas!$G$9:$K$1240,5,0)*(D910-INT(D910))+VLOOKUP(INT(D910),Tablas!$G$9:$K$1240,5,0)*(INT(D910)+1-D910)),+VLOOKUP(INT(D910)+1,Tablas!$G$9:$O$1240,9,0)*(D910-INT(D910))+VLOOKUP(INT(D910),Tablas!$G$9:$O$1240,9,0)*(INT(D910)+1-D910))</f>
        <v>#N/A</v>
      </c>
      <c r="H910" s="105">
        <f t="shared" ca="1" si="108"/>
        <v>1</v>
      </c>
      <c r="I910" s="106">
        <f t="shared" ca="1" si="109"/>
        <v>0</v>
      </c>
      <c r="J910" s="106">
        <f t="shared" ca="1" si="113"/>
        <v>0</v>
      </c>
      <c r="K910" s="105" t="e">
        <f t="shared" ca="1" si="110"/>
        <v>#N/A</v>
      </c>
      <c r="L910" s="75"/>
    </row>
    <row r="911" spans="2:12">
      <c r="B911" s="101">
        <f t="shared" ca="1" si="111"/>
        <v>79992</v>
      </c>
      <c r="C911" s="101">
        <f t="shared" ca="1" si="112"/>
        <v>80022</v>
      </c>
      <c r="D911" s="102">
        <f t="shared" ca="1" si="107"/>
        <v>141.58247775496235</v>
      </c>
      <c r="E911" s="103">
        <f t="shared" ca="1" si="114"/>
        <v>0.32941740961937538</v>
      </c>
      <c r="F911" s="104" t="e">
        <f ca="1">IF($C$4="Hombre",(+VLOOKUP(INT(D911)+1,Tablas!$G$9:$K$1240,5,0)*(D911-INT(D911))+VLOOKUP(INT(D911),Tablas!$G$9:$K$1240,5,0)*(INT(D911)+1-D911))/(VLOOKUP(INT($C$5)+1,Tablas!$G$9:$K$1240,5,0)*($C$5-INT($C$5))+VLOOKUP(INT($C$5),Tablas!$G$9:$K$124,5,0)*(INT($C$5)+1-$C$5)),(+VLOOKUP(INT(D911)+1,Tablas!$G$9:$O$1240,9,0)*(D911-INT(D911))+VLOOKUP(INT(D911),Tablas!$G$9:$O$1240,9,0)*(INT(D911)+1-D911))/(VLOOKUP(INT($C$5)+1,Tablas!$G$9:$O$1240,9,0)*($C$5-INT($C$5))+VLOOKUP(INT($C$5),Tablas!$G$9:$O$124,9,0)*(INT($C$5)+1-$C$5)))</f>
        <v>#N/A</v>
      </c>
      <c r="G911" s="97" t="e">
        <f ca="1">IF($C$4="Hombre",(+VLOOKUP(INT(D911)+1,Tablas!$G$9:$K$1240,5,0)*(D911-INT(D911))+VLOOKUP(INT(D911),Tablas!$G$9:$K$1240,5,0)*(INT(D911)+1-D911)),+VLOOKUP(INT(D911)+1,Tablas!$G$9:$O$1240,9,0)*(D911-INT(D911))+VLOOKUP(INT(D911),Tablas!$G$9:$O$1240,9,0)*(INT(D911)+1-D911))</f>
        <v>#N/A</v>
      </c>
      <c r="H911" s="105">
        <f t="shared" ca="1" si="108"/>
        <v>1</v>
      </c>
      <c r="I911" s="106">
        <f t="shared" ca="1" si="109"/>
        <v>0</v>
      </c>
      <c r="J911" s="106">
        <f t="shared" ca="1" si="113"/>
        <v>0</v>
      </c>
      <c r="K911" s="105" t="e">
        <f t="shared" ca="1" si="110"/>
        <v>#N/A</v>
      </c>
      <c r="L911" s="75"/>
    </row>
    <row r="912" spans="2:12">
      <c r="B912" s="101">
        <f t="shared" ca="1" si="111"/>
        <v>80023</v>
      </c>
      <c r="C912" s="101">
        <f t="shared" ca="1" si="112"/>
        <v>80050</v>
      </c>
      <c r="D912" s="102">
        <f t="shared" ca="1" si="107"/>
        <v>141.65913757700204</v>
      </c>
      <c r="E912" s="103">
        <f t="shared" ca="1" si="114"/>
        <v>0.3290416407812583</v>
      </c>
      <c r="F912" s="104" t="e">
        <f ca="1">IF($C$4="Hombre",(+VLOOKUP(INT(D912)+1,Tablas!$G$9:$K$1240,5,0)*(D912-INT(D912))+VLOOKUP(INT(D912),Tablas!$G$9:$K$1240,5,0)*(INT(D912)+1-D912))/(VLOOKUP(INT($C$5)+1,Tablas!$G$9:$K$1240,5,0)*($C$5-INT($C$5))+VLOOKUP(INT($C$5),Tablas!$G$9:$K$124,5,0)*(INT($C$5)+1-$C$5)),(+VLOOKUP(INT(D912)+1,Tablas!$G$9:$O$1240,9,0)*(D912-INT(D912))+VLOOKUP(INT(D912),Tablas!$G$9:$O$1240,9,0)*(INT(D912)+1-D912))/(VLOOKUP(INT($C$5)+1,Tablas!$G$9:$O$1240,9,0)*($C$5-INT($C$5))+VLOOKUP(INT($C$5),Tablas!$G$9:$O$124,9,0)*(INT($C$5)+1-$C$5)))</f>
        <v>#N/A</v>
      </c>
      <c r="G912" s="97" t="e">
        <f ca="1">IF($C$4="Hombre",(+VLOOKUP(INT(D912)+1,Tablas!$G$9:$K$1240,5,0)*(D912-INT(D912))+VLOOKUP(INT(D912),Tablas!$G$9:$K$1240,5,0)*(INT(D912)+1-D912)),+VLOOKUP(INT(D912)+1,Tablas!$G$9:$O$1240,9,0)*(D912-INT(D912))+VLOOKUP(INT(D912),Tablas!$G$9:$O$1240,9,0)*(INT(D912)+1-D912))</f>
        <v>#N/A</v>
      </c>
      <c r="H912" s="105">
        <f t="shared" ca="1" si="108"/>
        <v>1</v>
      </c>
      <c r="I912" s="106">
        <f t="shared" ca="1" si="109"/>
        <v>0</v>
      </c>
      <c r="J912" s="106">
        <f t="shared" ca="1" si="113"/>
        <v>0</v>
      </c>
      <c r="K912" s="105" t="e">
        <f t="shared" ca="1" si="110"/>
        <v>#N/A</v>
      </c>
      <c r="L912" s="75"/>
    </row>
    <row r="913" spans="2:12">
      <c r="B913" s="101">
        <f t="shared" ca="1" si="111"/>
        <v>80051</v>
      </c>
      <c r="C913" s="101">
        <f t="shared" ca="1" si="112"/>
        <v>80081</v>
      </c>
      <c r="D913" s="102">
        <f t="shared" ca="1" si="107"/>
        <v>141.74401095140314</v>
      </c>
      <c r="E913" s="103">
        <f t="shared" ca="1" si="114"/>
        <v>0.32862611096732769</v>
      </c>
      <c r="F913" s="104" t="e">
        <f ca="1">IF($C$4="Hombre",(+VLOOKUP(INT(D913)+1,Tablas!$G$9:$K$1240,5,0)*(D913-INT(D913))+VLOOKUP(INT(D913),Tablas!$G$9:$K$1240,5,0)*(INT(D913)+1-D913))/(VLOOKUP(INT($C$5)+1,Tablas!$G$9:$K$1240,5,0)*($C$5-INT($C$5))+VLOOKUP(INT($C$5),Tablas!$G$9:$K$124,5,0)*(INT($C$5)+1-$C$5)),(+VLOOKUP(INT(D913)+1,Tablas!$G$9:$O$1240,9,0)*(D913-INT(D913))+VLOOKUP(INT(D913),Tablas!$G$9:$O$1240,9,0)*(INT(D913)+1-D913))/(VLOOKUP(INT($C$5)+1,Tablas!$G$9:$O$1240,9,0)*($C$5-INT($C$5))+VLOOKUP(INT($C$5),Tablas!$G$9:$O$124,9,0)*(INT($C$5)+1-$C$5)))</f>
        <v>#N/A</v>
      </c>
      <c r="G913" s="97" t="e">
        <f ca="1">IF($C$4="Hombre",(+VLOOKUP(INT(D913)+1,Tablas!$G$9:$K$1240,5,0)*(D913-INT(D913))+VLOOKUP(INT(D913),Tablas!$G$9:$K$1240,5,0)*(INT(D913)+1-D913)),+VLOOKUP(INT(D913)+1,Tablas!$G$9:$O$1240,9,0)*(D913-INT(D913))+VLOOKUP(INT(D913),Tablas!$G$9:$O$1240,9,0)*(INT(D913)+1-D913))</f>
        <v>#N/A</v>
      </c>
      <c r="H913" s="105">
        <f t="shared" ca="1" si="108"/>
        <v>1</v>
      </c>
      <c r="I913" s="106">
        <f t="shared" ca="1" si="109"/>
        <v>0</v>
      </c>
      <c r="J913" s="106">
        <f t="shared" ca="1" si="113"/>
        <v>0</v>
      </c>
      <c r="K913" s="105" t="e">
        <f t="shared" ca="1" si="110"/>
        <v>#N/A</v>
      </c>
      <c r="L913" s="75"/>
    </row>
    <row r="914" spans="2:12">
      <c r="B914" s="101">
        <f t="shared" ca="1" si="111"/>
        <v>80082</v>
      </c>
      <c r="C914" s="101">
        <f t="shared" ca="1" si="112"/>
        <v>80111</v>
      </c>
      <c r="D914" s="102">
        <f t="shared" ref="D914:D977" ca="1" si="115">-_xlfn.DAYS($C$3,C914)/365.25</f>
        <v>141.82614647501711</v>
      </c>
      <c r="E914" s="103">
        <f t="shared" ca="1" si="114"/>
        <v>0.32822448498085438</v>
      </c>
      <c r="F914" s="104" t="e">
        <f ca="1">IF($C$4="Hombre",(+VLOOKUP(INT(D914)+1,Tablas!$G$9:$K$1240,5,0)*(D914-INT(D914))+VLOOKUP(INT(D914),Tablas!$G$9:$K$1240,5,0)*(INT(D914)+1-D914))/(VLOOKUP(INT($C$5)+1,Tablas!$G$9:$K$1240,5,0)*($C$5-INT($C$5))+VLOOKUP(INT($C$5),Tablas!$G$9:$K$124,5,0)*(INT($C$5)+1-$C$5)),(+VLOOKUP(INT(D914)+1,Tablas!$G$9:$O$1240,9,0)*(D914-INT(D914))+VLOOKUP(INT(D914),Tablas!$G$9:$O$1240,9,0)*(INT(D914)+1-D914))/(VLOOKUP(INT($C$5)+1,Tablas!$G$9:$O$1240,9,0)*($C$5-INT($C$5))+VLOOKUP(INT($C$5),Tablas!$G$9:$O$124,9,0)*(INT($C$5)+1-$C$5)))</f>
        <v>#N/A</v>
      </c>
      <c r="G914" s="97" t="e">
        <f ca="1">IF($C$4="Hombre",(+VLOOKUP(INT(D914)+1,Tablas!$G$9:$K$1240,5,0)*(D914-INT(D914))+VLOOKUP(INT(D914),Tablas!$G$9:$K$1240,5,0)*(INT(D914)+1-D914)),+VLOOKUP(INT(D914)+1,Tablas!$G$9:$O$1240,9,0)*(D914-INT(D914))+VLOOKUP(INT(D914),Tablas!$G$9:$O$1240,9,0)*(INT(D914)+1-D914))</f>
        <v>#N/A</v>
      </c>
      <c r="H914" s="105">
        <f t="shared" ref="H914:H977" ca="1" si="116">+IF(MONTH(B914)=1,H913*(1+$C$9),H913)</f>
        <v>1</v>
      </c>
      <c r="I914" s="106">
        <f t="shared" ref="I914:I977" ca="1" si="117">IF(B914&lt;$C$10,0,IF(B914&lt;$C$11,$C$8/12*E914*F914*H914,0))</f>
        <v>0</v>
      </c>
      <c r="J914" s="106">
        <f t="shared" ca="1" si="113"/>
        <v>0</v>
      </c>
      <c r="K914" s="105" t="e">
        <f t="shared" ref="K914:K977" ca="1" si="118">G914/$G$15</f>
        <v>#N/A</v>
      </c>
      <c r="L914" s="75"/>
    </row>
    <row r="915" spans="2:12">
      <c r="B915" s="101">
        <f t="shared" ref="B915:B978" ca="1" si="119">+DATE(YEAR(B914),MONTH(B914)+1,DAY(B914))</f>
        <v>80112</v>
      </c>
      <c r="C915" s="101">
        <f t="shared" ref="C915:C978" ca="1" si="120">+B916-1</f>
        <v>80142</v>
      </c>
      <c r="D915" s="102">
        <f t="shared" ca="1" si="115"/>
        <v>141.91101984941821</v>
      </c>
      <c r="E915" s="103">
        <f t="shared" ca="1" si="114"/>
        <v>0.32780998711107801</v>
      </c>
      <c r="F915" s="104" t="e">
        <f ca="1">IF($C$4="Hombre",(+VLOOKUP(INT(D915)+1,Tablas!$G$9:$K$1240,5,0)*(D915-INT(D915))+VLOOKUP(INT(D915),Tablas!$G$9:$K$1240,5,0)*(INT(D915)+1-D915))/(VLOOKUP(INT($C$5)+1,Tablas!$G$9:$K$1240,5,0)*($C$5-INT($C$5))+VLOOKUP(INT($C$5),Tablas!$G$9:$K$124,5,0)*(INT($C$5)+1-$C$5)),(+VLOOKUP(INT(D915)+1,Tablas!$G$9:$O$1240,9,0)*(D915-INT(D915))+VLOOKUP(INT(D915),Tablas!$G$9:$O$1240,9,0)*(INT(D915)+1-D915))/(VLOOKUP(INT($C$5)+1,Tablas!$G$9:$O$1240,9,0)*($C$5-INT($C$5))+VLOOKUP(INT($C$5),Tablas!$G$9:$O$124,9,0)*(INT($C$5)+1-$C$5)))</f>
        <v>#N/A</v>
      </c>
      <c r="G915" s="97" t="e">
        <f ca="1">IF($C$4="Hombre",(+VLOOKUP(INT(D915)+1,Tablas!$G$9:$K$1240,5,0)*(D915-INT(D915))+VLOOKUP(INT(D915),Tablas!$G$9:$K$1240,5,0)*(INT(D915)+1-D915)),+VLOOKUP(INT(D915)+1,Tablas!$G$9:$O$1240,9,0)*(D915-INT(D915))+VLOOKUP(INT(D915),Tablas!$G$9:$O$1240,9,0)*(INT(D915)+1-D915))</f>
        <v>#N/A</v>
      </c>
      <c r="H915" s="105">
        <f t="shared" ca="1" si="116"/>
        <v>1</v>
      </c>
      <c r="I915" s="106">
        <f t="shared" ca="1" si="117"/>
        <v>0</v>
      </c>
      <c r="J915" s="106">
        <f t="shared" ref="J915:J978" ca="1" si="121">I915*12/14+IF(OR(MONTH(C915)=6,MONTH(C915)=12),I915*12/14,0)</f>
        <v>0</v>
      </c>
      <c r="K915" s="105" t="e">
        <f t="shared" ca="1" si="118"/>
        <v>#N/A</v>
      </c>
      <c r="L915" s="75"/>
    </row>
    <row r="916" spans="2:12">
      <c r="B916" s="101">
        <f t="shared" ca="1" si="119"/>
        <v>80143</v>
      </c>
      <c r="C916" s="101">
        <f t="shared" ca="1" si="120"/>
        <v>80172</v>
      </c>
      <c r="D916" s="102">
        <f t="shared" ca="1" si="115"/>
        <v>141.99315537303218</v>
      </c>
      <c r="E916" s="103">
        <f t="shared" ca="1" si="114"/>
        <v>0.327409358539411</v>
      </c>
      <c r="F916" s="104" t="e">
        <f ca="1">IF($C$4="Hombre",(+VLOOKUP(INT(D916)+1,Tablas!$G$9:$K$1240,5,0)*(D916-INT(D916))+VLOOKUP(INT(D916),Tablas!$G$9:$K$1240,5,0)*(INT(D916)+1-D916))/(VLOOKUP(INT($C$5)+1,Tablas!$G$9:$K$1240,5,0)*($C$5-INT($C$5))+VLOOKUP(INT($C$5),Tablas!$G$9:$K$124,5,0)*(INT($C$5)+1-$C$5)),(+VLOOKUP(INT(D916)+1,Tablas!$G$9:$O$1240,9,0)*(D916-INT(D916))+VLOOKUP(INT(D916),Tablas!$G$9:$O$1240,9,0)*(INT(D916)+1-D916))/(VLOOKUP(INT($C$5)+1,Tablas!$G$9:$O$1240,9,0)*($C$5-INT($C$5))+VLOOKUP(INT($C$5),Tablas!$G$9:$O$124,9,0)*(INT($C$5)+1-$C$5)))</f>
        <v>#N/A</v>
      </c>
      <c r="G916" s="97" t="e">
        <f ca="1">IF($C$4="Hombre",(+VLOOKUP(INT(D916)+1,Tablas!$G$9:$K$1240,5,0)*(D916-INT(D916))+VLOOKUP(INT(D916),Tablas!$G$9:$K$1240,5,0)*(INT(D916)+1-D916)),+VLOOKUP(INT(D916)+1,Tablas!$G$9:$O$1240,9,0)*(D916-INT(D916))+VLOOKUP(INT(D916),Tablas!$G$9:$O$1240,9,0)*(INT(D916)+1-D916))</f>
        <v>#N/A</v>
      </c>
      <c r="H916" s="105">
        <f t="shared" ca="1" si="116"/>
        <v>1</v>
      </c>
      <c r="I916" s="106">
        <f t="shared" ca="1" si="117"/>
        <v>0</v>
      </c>
      <c r="J916" s="106">
        <f t="shared" ca="1" si="121"/>
        <v>0</v>
      </c>
      <c r="K916" s="105" t="e">
        <f t="shared" ca="1" si="118"/>
        <v>#N/A</v>
      </c>
      <c r="L916" s="75"/>
    </row>
    <row r="917" spans="2:12">
      <c r="B917" s="101">
        <f t="shared" ca="1" si="119"/>
        <v>80173</v>
      </c>
      <c r="C917" s="101">
        <f t="shared" ca="1" si="120"/>
        <v>80203</v>
      </c>
      <c r="D917" s="102">
        <f t="shared" ca="1" si="115"/>
        <v>142.07802874743325</v>
      </c>
      <c r="E917" s="103">
        <f t="shared" ca="1" si="114"/>
        <v>0.32699589005101559</v>
      </c>
      <c r="F917" s="104" t="e">
        <f ca="1">IF($C$4="Hombre",(+VLOOKUP(INT(D917)+1,Tablas!$G$9:$K$1240,5,0)*(D917-INT(D917))+VLOOKUP(INT(D917),Tablas!$G$9:$K$1240,5,0)*(INT(D917)+1-D917))/(VLOOKUP(INT($C$5)+1,Tablas!$G$9:$K$1240,5,0)*($C$5-INT($C$5))+VLOOKUP(INT($C$5),Tablas!$G$9:$K$124,5,0)*(INT($C$5)+1-$C$5)),(+VLOOKUP(INT(D917)+1,Tablas!$G$9:$O$1240,9,0)*(D917-INT(D917))+VLOOKUP(INT(D917),Tablas!$G$9:$O$1240,9,0)*(INT(D917)+1-D917))/(VLOOKUP(INT($C$5)+1,Tablas!$G$9:$O$1240,9,0)*($C$5-INT($C$5))+VLOOKUP(INT($C$5),Tablas!$G$9:$O$124,9,0)*(INT($C$5)+1-$C$5)))</f>
        <v>#N/A</v>
      </c>
      <c r="G917" s="97" t="e">
        <f ca="1">IF($C$4="Hombre",(+VLOOKUP(INT(D917)+1,Tablas!$G$9:$K$1240,5,0)*(D917-INT(D917))+VLOOKUP(INT(D917),Tablas!$G$9:$K$1240,5,0)*(INT(D917)+1-D917)),+VLOOKUP(INT(D917)+1,Tablas!$G$9:$O$1240,9,0)*(D917-INT(D917))+VLOOKUP(INT(D917),Tablas!$G$9:$O$1240,9,0)*(INT(D917)+1-D917))</f>
        <v>#N/A</v>
      </c>
      <c r="H917" s="105">
        <f t="shared" ca="1" si="116"/>
        <v>1</v>
      </c>
      <c r="I917" s="106">
        <f t="shared" ca="1" si="117"/>
        <v>0</v>
      </c>
      <c r="J917" s="106">
        <f t="shared" ca="1" si="121"/>
        <v>0</v>
      </c>
      <c r="K917" s="105" t="e">
        <f t="shared" ca="1" si="118"/>
        <v>#N/A</v>
      </c>
      <c r="L917" s="75"/>
    </row>
    <row r="918" spans="2:12">
      <c r="B918" s="101">
        <f t="shared" ca="1" si="119"/>
        <v>80204</v>
      </c>
      <c r="C918" s="101">
        <f t="shared" ca="1" si="120"/>
        <v>80234</v>
      </c>
      <c r="D918" s="102">
        <f t="shared" ca="1" si="115"/>
        <v>142.16290212183435</v>
      </c>
      <c r="E918" s="103">
        <f t="shared" ca="1" si="114"/>
        <v>0.32658294371077018</v>
      </c>
      <c r="F918" s="104" t="e">
        <f ca="1">IF($C$4="Hombre",(+VLOOKUP(INT(D918)+1,Tablas!$G$9:$K$1240,5,0)*(D918-INT(D918))+VLOOKUP(INT(D918),Tablas!$G$9:$K$1240,5,0)*(INT(D918)+1-D918))/(VLOOKUP(INT($C$5)+1,Tablas!$G$9:$K$1240,5,0)*($C$5-INT($C$5))+VLOOKUP(INT($C$5),Tablas!$G$9:$K$124,5,0)*(INT($C$5)+1-$C$5)),(+VLOOKUP(INT(D918)+1,Tablas!$G$9:$O$1240,9,0)*(D918-INT(D918))+VLOOKUP(INT(D918),Tablas!$G$9:$O$1240,9,0)*(INT(D918)+1-D918))/(VLOOKUP(INT($C$5)+1,Tablas!$G$9:$O$1240,9,0)*($C$5-INT($C$5))+VLOOKUP(INT($C$5),Tablas!$G$9:$O$124,9,0)*(INT($C$5)+1-$C$5)))</f>
        <v>#N/A</v>
      </c>
      <c r="G918" s="97" t="e">
        <f ca="1">IF($C$4="Hombre",(+VLOOKUP(INT(D918)+1,Tablas!$G$9:$K$1240,5,0)*(D918-INT(D918))+VLOOKUP(INT(D918),Tablas!$G$9:$K$1240,5,0)*(INT(D918)+1-D918)),+VLOOKUP(INT(D918)+1,Tablas!$G$9:$O$1240,9,0)*(D918-INT(D918))+VLOOKUP(INT(D918),Tablas!$G$9:$O$1240,9,0)*(INT(D918)+1-D918))</f>
        <v>#N/A</v>
      </c>
      <c r="H918" s="105">
        <f t="shared" ca="1" si="116"/>
        <v>1</v>
      </c>
      <c r="I918" s="106">
        <f t="shared" ca="1" si="117"/>
        <v>0</v>
      </c>
      <c r="J918" s="106">
        <f t="shared" ca="1" si="121"/>
        <v>0</v>
      </c>
      <c r="K918" s="105" t="e">
        <f t="shared" ca="1" si="118"/>
        <v>#N/A</v>
      </c>
      <c r="L918" s="75"/>
    </row>
    <row r="919" spans="2:12">
      <c r="B919" s="101">
        <f t="shared" ca="1" si="119"/>
        <v>80235</v>
      </c>
      <c r="C919" s="101">
        <f t="shared" ca="1" si="120"/>
        <v>80264</v>
      </c>
      <c r="D919" s="102">
        <f t="shared" ca="1" si="115"/>
        <v>142.24503764544832</v>
      </c>
      <c r="E919" s="103">
        <f t="shared" ca="1" si="114"/>
        <v>0.32618381475370978</v>
      </c>
      <c r="F919" s="104" t="e">
        <f ca="1">IF($C$4="Hombre",(+VLOOKUP(INT(D919)+1,Tablas!$G$9:$K$1240,5,0)*(D919-INT(D919))+VLOOKUP(INT(D919),Tablas!$G$9:$K$1240,5,0)*(INT(D919)+1-D919))/(VLOOKUP(INT($C$5)+1,Tablas!$G$9:$K$1240,5,0)*($C$5-INT($C$5))+VLOOKUP(INT($C$5),Tablas!$G$9:$K$124,5,0)*(INT($C$5)+1-$C$5)),(+VLOOKUP(INT(D919)+1,Tablas!$G$9:$O$1240,9,0)*(D919-INT(D919))+VLOOKUP(INT(D919),Tablas!$G$9:$O$1240,9,0)*(INT(D919)+1-D919))/(VLOOKUP(INT($C$5)+1,Tablas!$G$9:$O$1240,9,0)*($C$5-INT($C$5))+VLOOKUP(INT($C$5),Tablas!$G$9:$O$124,9,0)*(INT($C$5)+1-$C$5)))</f>
        <v>#N/A</v>
      </c>
      <c r="G919" s="97" t="e">
        <f ca="1">IF($C$4="Hombre",(+VLOOKUP(INT(D919)+1,Tablas!$G$9:$K$1240,5,0)*(D919-INT(D919))+VLOOKUP(INT(D919),Tablas!$G$9:$K$1240,5,0)*(INT(D919)+1-D919)),+VLOOKUP(INT(D919)+1,Tablas!$G$9:$O$1240,9,0)*(D919-INT(D919))+VLOOKUP(INT(D919),Tablas!$G$9:$O$1240,9,0)*(INT(D919)+1-D919))</f>
        <v>#N/A</v>
      </c>
      <c r="H919" s="105">
        <f t="shared" ca="1" si="116"/>
        <v>1</v>
      </c>
      <c r="I919" s="106">
        <f t="shared" ca="1" si="117"/>
        <v>0</v>
      </c>
      <c r="J919" s="106">
        <f t="shared" ca="1" si="121"/>
        <v>0</v>
      </c>
      <c r="K919" s="105" t="e">
        <f t="shared" ca="1" si="118"/>
        <v>#N/A</v>
      </c>
      <c r="L919" s="75"/>
    </row>
    <row r="920" spans="2:12">
      <c r="B920" s="101">
        <f t="shared" ca="1" si="119"/>
        <v>80265</v>
      </c>
      <c r="C920" s="101">
        <f t="shared" ca="1" si="120"/>
        <v>80295</v>
      </c>
      <c r="D920" s="102">
        <f t="shared" ca="1" si="115"/>
        <v>142.32991101984942</v>
      </c>
      <c r="E920" s="103">
        <f t="shared" ref="E920:E983" ca="1" si="122">IF($D$17+40&lt;=D920,(1+$D$7)^-(D920-$C$5),(1+$C$7)^-(D920-$C$5))</f>
        <v>0.32577189394171174</v>
      </c>
      <c r="F920" s="104" t="e">
        <f ca="1">IF($C$4="Hombre",(+VLOOKUP(INT(D920)+1,Tablas!$G$9:$K$1240,5,0)*(D920-INT(D920))+VLOOKUP(INT(D920),Tablas!$G$9:$K$1240,5,0)*(INT(D920)+1-D920))/(VLOOKUP(INT($C$5)+1,Tablas!$G$9:$K$1240,5,0)*($C$5-INT($C$5))+VLOOKUP(INT($C$5),Tablas!$G$9:$K$124,5,0)*(INT($C$5)+1-$C$5)),(+VLOOKUP(INT(D920)+1,Tablas!$G$9:$O$1240,9,0)*(D920-INT(D920))+VLOOKUP(INT(D920),Tablas!$G$9:$O$1240,9,0)*(INT(D920)+1-D920))/(VLOOKUP(INT($C$5)+1,Tablas!$G$9:$O$1240,9,0)*($C$5-INT($C$5))+VLOOKUP(INT($C$5),Tablas!$G$9:$O$124,9,0)*(INT($C$5)+1-$C$5)))</f>
        <v>#N/A</v>
      </c>
      <c r="G920" s="97" t="e">
        <f ca="1">IF($C$4="Hombre",(+VLOOKUP(INT(D920)+1,Tablas!$G$9:$K$1240,5,0)*(D920-INT(D920))+VLOOKUP(INT(D920),Tablas!$G$9:$K$1240,5,0)*(INT(D920)+1-D920)),+VLOOKUP(INT(D920)+1,Tablas!$G$9:$O$1240,9,0)*(D920-INT(D920))+VLOOKUP(INT(D920),Tablas!$G$9:$O$1240,9,0)*(INT(D920)+1-D920))</f>
        <v>#N/A</v>
      </c>
      <c r="H920" s="105">
        <f t="shared" ca="1" si="116"/>
        <v>1</v>
      </c>
      <c r="I920" s="106">
        <f t="shared" ca="1" si="117"/>
        <v>0</v>
      </c>
      <c r="J920" s="106">
        <f t="shared" ca="1" si="121"/>
        <v>0</v>
      </c>
      <c r="K920" s="105" t="e">
        <f t="shared" ca="1" si="118"/>
        <v>#N/A</v>
      </c>
      <c r="L920" s="75"/>
    </row>
    <row r="921" spans="2:12">
      <c r="B921" s="101">
        <f t="shared" ca="1" si="119"/>
        <v>80296</v>
      </c>
      <c r="C921" s="101">
        <f t="shared" ca="1" si="120"/>
        <v>80325</v>
      </c>
      <c r="D921" s="102">
        <f t="shared" ca="1" si="115"/>
        <v>142.41204654346339</v>
      </c>
      <c r="E921" s="103">
        <f t="shared" ca="1" si="122"/>
        <v>0.32537375619823017</v>
      </c>
      <c r="F921" s="104" t="e">
        <f ca="1">IF($C$4="Hombre",(+VLOOKUP(INT(D921)+1,Tablas!$G$9:$K$1240,5,0)*(D921-INT(D921))+VLOOKUP(INT(D921),Tablas!$G$9:$K$1240,5,0)*(INT(D921)+1-D921))/(VLOOKUP(INT($C$5)+1,Tablas!$G$9:$K$1240,5,0)*($C$5-INT($C$5))+VLOOKUP(INT($C$5),Tablas!$G$9:$K$124,5,0)*(INT($C$5)+1-$C$5)),(+VLOOKUP(INT(D921)+1,Tablas!$G$9:$O$1240,9,0)*(D921-INT(D921))+VLOOKUP(INT(D921),Tablas!$G$9:$O$1240,9,0)*(INT(D921)+1-D921))/(VLOOKUP(INT($C$5)+1,Tablas!$G$9:$O$1240,9,0)*($C$5-INT($C$5))+VLOOKUP(INT($C$5),Tablas!$G$9:$O$124,9,0)*(INT($C$5)+1-$C$5)))</f>
        <v>#N/A</v>
      </c>
      <c r="G921" s="97" t="e">
        <f ca="1">IF($C$4="Hombre",(+VLOOKUP(INT(D921)+1,Tablas!$G$9:$K$1240,5,0)*(D921-INT(D921))+VLOOKUP(INT(D921),Tablas!$G$9:$K$1240,5,0)*(INT(D921)+1-D921)),+VLOOKUP(INT(D921)+1,Tablas!$G$9:$O$1240,9,0)*(D921-INT(D921))+VLOOKUP(INT(D921),Tablas!$G$9:$O$1240,9,0)*(INT(D921)+1-D921))</f>
        <v>#N/A</v>
      </c>
      <c r="H921" s="105">
        <f t="shared" ca="1" si="116"/>
        <v>1</v>
      </c>
      <c r="I921" s="106">
        <f t="shared" ca="1" si="117"/>
        <v>0</v>
      </c>
      <c r="J921" s="106">
        <f t="shared" ca="1" si="121"/>
        <v>0</v>
      </c>
      <c r="K921" s="105" t="e">
        <f t="shared" ca="1" si="118"/>
        <v>#N/A</v>
      </c>
      <c r="L921" s="75"/>
    </row>
    <row r="922" spans="2:12">
      <c r="B922" s="101">
        <f t="shared" ca="1" si="119"/>
        <v>80326</v>
      </c>
      <c r="C922" s="101">
        <f t="shared" ca="1" si="120"/>
        <v>80356</v>
      </c>
      <c r="D922" s="102">
        <f t="shared" ca="1" si="115"/>
        <v>142.49691991786449</v>
      </c>
      <c r="E922" s="103">
        <f t="shared" ca="1" si="122"/>
        <v>0.32496285836763972</v>
      </c>
      <c r="F922" s="104" t="e">
        <f ca="1">IF($C$4="Hombre",(+VLOOKUP(INT(D922)+1,Tablas!$G$9:$K$1240,5,0)*(D922-INT(D922))+VLOOKUP(INT(D922),Tablas!$G$9:$K$1240,5,0)*(INT(D922)+1-D922))/(VLOOKUP(INT($C$5)+1,Tablas!$G$9:$K$1240,5,0)*($C$5-INT($C$5))+VLOOKUP(INT($C$5),Tablas!$G$9:$K$124,5,0)*(INT($C$5)+1-$C$5)),(+VLOOKUP(INT(D922)+1,Tablas!$G$9:$O$1240,9,0)*(D922-INT(D922))+VLOOKUP(INT(D922),Tablas!$G$9:$O$1240,9,0)*(INT(D922)+1-D922))/(VLOOKUP(INT($C$5)+1,Tablas!$G$9:$O$1240,9,0)*($C$5-INT($C$5))+VLOOKUP(INT($C$5),Tablas!$G$9:$O$124,9,0)*(INT($C$5)+1-$C$5)))</f>
        <v>#N/A</v>
      </c>
      <c r="G922" s="97" t="e">
        <f ca="1">IF($C$4="Hombre",(+VLOOKUP(INT(D922)+1,Tablas!$G$9:$K$1240,5,0)*(D922-INT(D922))+VLOOKUP(INT(D922),Tablas!$G$9:$K$1240,5,0)*(INT(D922)+1-D922)),+VLOOKUP(INT(D922)+1,Tablas!$G$9:$O$1240,9,0)*(D922-INT(D922))+VLOOKUP(INT(D922),Tablas!$G$9:$O$1240,9,0)*(INT(D922)+1-D922))</f>
        <v>#N/A</v>
      </c>
      <c r="H922" s="105">
        <f t="shared" ca="1" si="116"/>
        <v>1</v>
      </c>
      <c r="I922" s="106">
        <f t="shared" ca="1" si="117"/>
        <v>0</v>
      </c>
      <c r="J922" s="106">
        <f t="shared" ca="1" si="121"/>
        <v>0</v>
      </c>
      <c r="K922" s="105" t="e">
        <f t="shared" ca="1" si="118"/>
        <v>#N/A</v>
      </c>
      <c r="L922" s="75"/>
    </row>
    <row r="923" spans="2:12">
      <c r="B923" s="101">
        <f t="shared" ca="1" si="119"/>
        <v>80357</v>
      </c>
      <c r="C923" s="101">
        <f t="shared" ca="1" si="120"/>
        <v>80387</v>
      </c>
      <c r="D923" s="102">
        <f t="shared" ca="1" si="115"/>
        <v>142.58179329226556</v>
      </c>
      <c r="E923" s="103">
        <f t="shared" ca="1" si="122"/>
        <v>0.32455247943884757</v>
      </c>
      <c r="F923" s="104" t="e">
        <f ca="1">IF($C$4="Hombre",(+VLOOKUP(INT(D923)+1,Tablas!$G$9:$K$1240,5,0)*(D923-INT(D923))+VLOOKUP(INT(D923),Tablas!$G$9:$K$1240,5,0)*(INT(D923)+1-D923))/(VLOOKUP(INT($C$5)+1,Tablas!$G$9:$K$1240,5,0)*($C$5-INT($C$5))+VLOOKUP(INT($C$5),Tablas!$G$9:$K$124,5,0)*(INT($C$5)+1-$C$5)),(+VLOOKUP(INT(D923)+1,Tablas!$G$9:$O$1240,9,0)*(D923-INT(D923))+VLOOKUP(INT(D923),Tablas!$G$9:$O$1240,9,0)*(INT(D923)+1-D923))/(VLOOKUP(INT($C$5)+1,Tablas!$G$9:$O$1240,9,0)*($C$5-INT($C$5))+VLOOKUP(INT($C$5),Tablas!$G$9:$O$124,9,0)*(INT($C$5)+1-$C$5)))</f>
        <v>#N/A</v>
      </c>
      <c r="G923" s="97" t="e">
        <f ca="1">IF($C$4="Hombre",(+VLOOKUP(INT(D923)+1,Tablas!$G$9:$K$1240,5,0)*(D923-INT(D923))+VLOOKUP(INT(D923),Tablas!$G$9:$K$1240,5,0)*(INT(D923)+1-D923)),+VLOOKUP(INT(D923)+1,Tablas!$G$9:$O$1240,9,0)*(D923-INT(D923))+VLOOKUP(INT(D923),Tablas!$G$9:$O$1240,9,0)*(INT(D923)+1-D923))</f>
        <v>#N/A</v>
      </c>
      <c r="H923" s="105">
        <f t="shared" ca="1" si="116"/>
        <v>1</v>
      </c>
      <c r="I923" s="106">
        <f t="shared" ca="1" si="117"/>
        <v>0</v>
      </c>
      <c r="J923" s="106">
        <f t="shared" ca="1" si="121"/>
        <v>0</v>
      </c>
      <c r="K923" s="105" t="e">
        <f t="shared" ca="1" si="118"/>
        <v>#N/A</v>
      </c>
      <c r="L923" s="75"/>
    </row>
    <row r="924" spans="2:12">
      <c r="B924" s="101">
        <f t="shared" ca="1" si="119"/>
        <v>80388</v>
      </c>
      <c r="C924" s="101">
        <f t="shared" ca="1" si="120"/>
        <v>80416</v>
      </c>
      <c r="D924" s="102">
        <f t="shared" ca="1" si="115"/>
        <v>142.6611909650924</v>
      </c>
      <c r="E924" s="103">
        <f t="shared" ca="1" si="122"/>
        <v>0.32416904575489641</v>
      </c>
      <c r="F924" s="104" t="e">
        <f ca="1">IF($C$4="Hombre",(+VLOOKUP(INT(D924)+1,Tablas!$G$9:$K$1240,5,0)*(D924-INT(D924))+VLOOKUP(INT(D924),Tablas!$G$9:$K$1240,5,0)*(INT(D924)+1-D924))/(VLOOKUP(INT($C$5)+1,Tablas!$G$9:$K$1240,5,0)*($C$5-INT($C$5))+VLOOKUP(INT($C$5),Tablas!$G$9:$K$124,5,0)*(INT($C$5)+1-$C$5)),(+VLOOKUP(INT(D924)+1,Tablas!$G$9:$O$1240,9,0)*(D924-INT(D924))+VLOOKUP(INT(D924),Tablas!$G$9:$O$1240,9,0)*(INT(D924)+1-D924))/(VLOOKUP(INT($C$5)+1,Tablas!$G$9:$O$1240,9,0)*($C$5-INT($C$5))+VLOOKUP(INT($C$5),Tablas!$G$9:$O$124,9,0)*(INT($C$5)+1-$C$5)))</f>
        <v>#N/A</v>
      </c>
      <c r="G924" s="97" t="e">
        <f ca="1">IF($C$4="Hombre",(+VLOOKUP(INT(D924)+1,Tablas!$G$9:$K$1240,5,0)*(D924-INT(D924))+VLOOKUP(INT(D924),Tablas!$G$9:$K$1240,5,0)*(INT(D924)+1-D924)),+VLOOKUP(INT(D924)+1,Tablas!$G$9:$O$1240,9,0)*(D924-INT(D924))+VLOOKUP(INT(D924),Tablas!$G$9:$O$1240,9,0)*(INT(D924)+1-D924))</f>
        <v>#N/A</v>
      </c>
      <c r="H924" s="105">
        <f t="shared" ca="1" si="116"/>
        <v>1</v>
      </c>
      <c r="I924" s="106">
        <f t="shared" ca="1" si="117"/>
        <v>0</v>
      </c>
      <c r="J924" s="106">
        <f t="shared" ca="1" si="121"/>
        <v>0</v>
      </c>
      <c r="K924" s="105" t="e">
        <f t="shared" ca="1" si="118"/>
        <v>#N/A</v>
      </c>
      <c r="L924" s="75"/>
    </row>
    <row r="925" spans="2:12">
      <c r="B925" s="101">
        <f t="shared" ca="1" si="119"/>
        <v>80417</v>
      </c>
      <c r="C925" s="101">
        <f t="shared" ca="1" si="120"/>
        <v>80447</v>
      </c>
      <c r="D925" s="102">
        <f t="shared" ca="1" si="115"/>
        <v>142.7460643394935</v>
      </c>
      <c r="E925" s="103">
        <f t="shared" ca="1" si="122"/>
        <v>0.32375966929134375</v>
      </c>
      <c r="F925" s="104" t="e">
        <f ca="1">IF($C$4="Hombre",(+VLOOKUP(INT(D925)+1,Tablas!$G$9:$K$1240,5,0)*(D925-INT(D925))+VLOOKUP(INT(D925),Tablas!$G$9:$K$1240,5,0)*(INT(D925)+1-D925))/(VLOOKUP(INT($C$5)+1,Tablas!$G$9:$K$1240,5,0)*($C$5-INT($C$5))+VLOOKUP(INT($C$5),Tablas!$G$9:$K$124,5,0)*(INT($C$5)+1-$C$5)),(+VLOOKUP(INT(D925)+1,Tablas!$G$9:$O$1240,9,0)*(D925-INT(D925))+VLOOKUP(INT(D925),Tablas!$G$9:$O$1240,9,0)*(INT(D925)+1-D925))/(VLOOKUP(INT($C$5)+1,Tablas!$G$9:$O$1240,9,0)*($C$5-INT($C$5))+VLOOKUP(INT($C$5),Tablas!$G$9:$O$124,9,0)*(INT($C$5)+1-$C$5)))</f>
        <v>#N/A</v>
      </c>
      <c r="G925" s="97" t="e">
        <f ca="1">IF($C$4="Hombre",(+VLOOKUP(INT(D925)+1,Tablas!$G$9:$K$1240,5,0)*(D925-INT(D925))+VLOOKUP(INT(D925),Tablas!$G$9:$K$1240,5,0)*(INT(D925)+1-D925)),+VLOOKUP(INT(D925)+1,Tablas!$G$9:$O$1240,9,0)*(D925-INT(D925))+VLOOKUP(INT(D925),Tablas!$G$9:$O$1240,9,0)*(INT(D925)+1-D925))</f>
        <v>#N/A</v>
      </c>
      <c r="H925" s="105">
        <f t="shared" ca="1" si="116"/>
        <v>1</v>
      </c>
      <c r="I925" s="106">
        <f t="shared" ca="1" si="117"/>
        <v>0</v>
      </c>
      <c r="J925" s="106">
        <f t="shared" ca="1" si="121"/>
        <v>0</v>
      </c>
      <c r="K925" s="105" t="e">
        <f t="shared" ca="1" si="118"/>
        <v>#N/A</v>
      </c>
      <c r="L925" s="75"/>
    </row>
    <row r="926" spans="2:12">
      <c r="B926" s="101">
        <f t="shared" ca="1" si="119"/>
        <v>80448</v>
      </c>
      <c r="C926" s="101">
        <f t="shared" ca="1" si="120"/>
        <v>80477</v>
      </c>
      <c r="D926" s="102">
        <f t="shared" ca="1" si="115"/>
        <v>142.82819986310747</v>
      </c>
      <c r="E926" s="103">
        <f t="shared" ca="1" si="122"/>
        <v>0.32336399076118477</v>
      </c>
      <c r="F926" s="104" t="e">
        <f ca="1">IF($C$4="Hombre",(+VLOOKUP(INT(D926)+1,Tablas!$G$9:$K$1240,5,0)*(D926-INT(D926))+VLOOKUP(INT(D926),Tablas!$G$9:$K$1240,5,0)*(INT(D926)+1-D926))/(VLOOKUP(INT($C$5)+1,Tablas!$G$9:$K$1240,5,0)*($C$5-INT($C$5))+VLOOKUP(INT($C$5),Tablas!$G$9:$K$124,5,0)*(INT($C$5)+1-$C$5)),(+VLOOKUP(INT(D926)+1,Tablas!$G$9:$O$1240,9,0)*(D926-INT(D926))+VLOOKUP(INT(D926),Tablas!$G$9:$O$1240,9,0)*(INT(D926)+1-D926))/(VLOOKUP(INT($C$5)+1,Tablas!$G$9:$O$1240,9,0)*($C$5-INT($C$5))+VLOOKUP(INT($C$5),Tablas!$G$9:$O$124,9,0)*(INT($C$5)+1-$C$5)))</f>
        <v>#N/A</v>
      </c>
      <c r="G926" s="97" t="e">
        <f ca="1">IF($C$4="Hombre",(+VLOOKUP(INT(D926)+1,Tablas!$G$9:$K$1240,5,0)*(D926-INT(D926))+VLOOKUP(INT(D926),Tablas!$G$9:$K$1240,5,0)*(INT(D926)+1-D926)),+VLOOKUP(INT(D926)+1,Tablas!$G$9:$O$1240,9,0)*(D926-INT(D926))+VLOOKUP(INT(D926),Tablas!$G$9:$O$1240,9,0)*(INT(D926)+1-D926))</f>
        <v>#N/A</v>
      </c>
      <c r="H926" s="105">
        <f t="shared" ca="1" si="116"/>
        <v>1</v>
      </c>
      <c r="I926" s="106">
        <f t="shared" ca="1" si="117"/>
        <v>0</v>
      </c>
      <c r="J926" s="106">
        <f t="shared" ca="1" si="121"/>
        <v>0</v>
      </c>
      <c r="K926" s="105" t="e">
        <f t="shared" ca="1" si="118"/>
        <v>#N/A</v>
      </c>
      <c r="L926" s="75"/>
    </row>
    <row r="927" spans="2:12">
      <c r="B927" s="101">
        <f t="shared" ca="1" si="119"/>
        <v>80478</v>
      </c>
      <c r="C927" s="101">
        <f t="shared" ca="1" si="120"/>
        <v>80508</v>
      </c>
      <c r="D927" s="102">
        <f t="shared" ca="1" si="115"/>
        <v>142.91307323750857</v>
      </c>
      <c r="E927" s="103">
        <f t="shared" ca="1" si="122"/>
        <v>0.32295563096029806</v>
      </c>
      <c r="F927" s="104" t="e">
        <f ca="1">IF($C$4="Hombre",(+VLOOKUP(INT(D927)+1,Tablas!$G$9:$K$1240,5,0)*(D927-INT(D927))+VLOOKUP(INT(D927),Tablas!$G$9:$K$1240,5,0)*(INT(D927)+1-D927))/(VLOOKUP(INT($C$5)+1,Tablas!$G$9:$K$1240,5,0)*($C$5-INT($C$5))+VLOOKUP(INT($C$5),Tablas!$G$9:$K$124,5,0)*(INT($C$5)+1-$C$5)),(+VLOOKUP(INT(D927)+1,Tablas!$G$9:$O$1240,9,0)*(D927-INT(D927))+VLOOKUP(INT(D927),Tablas!$G$9:$O$1240,9,0)*(INT(D927)+1-D927))/(VLOOKUP(INT($C$5)+1,Tablas!$G$9:$O$1240,9,0)*($C$5-INT($C$5))+VLOOKUP(INT($C$5),Tablas!$G$9:$O$124,9,0)*(INT($C$5)+1-$C$5)))</f>
        <v>#N/A</v>
      </c>
      <c r="G927" s="97" t="e">
        <f ca="1">IF($C$4="Hombre",(+VLOOKUP(INT(D927)+1,Tablas!$G$9:$K$1240,5,0)*(D927-INT(D927))+VLOOKUP(INT(D927),Tablas!$G$9:$K$1240,5,0)*(INT(D927)+1-D927)),+VLOOKUP(INT(D927)+1,Tablas!$G$9:$O$1240,9,0)*(D927-INT(D927))+VLOOKUP(INT(D927),Tablas!$G$9:$O$1240,9,0)*(INT(D927)+1-D927))</f>
        <v>#N/A</v>
      </c>
      <c r="H927" s="105">
        <f t="shared" ca="1" si="116"/>
        <v>1</v>
      </c>
      <c r="I927" s="106">
        <f t="shared" ca="1" si="117"/>
        <v>0</v>
      </c>
      <c r="J927" s="106">
        <f t="shared" ca="1" si="121"/>
        <v>0</v>
      </c>
      <c r="K927" s="105" t="e">
        <f t="shared" ca="1" si="118"/>
        <v>#N/A</v>
      </c>
      <c r="L927" s="75"/>
    </row>
    <row r="928" spans="2:12">
      <c r="B928" s="101">
        <f t="shared" ca="1" si="119"/>
        <v>80509</v>
      </c>
      <c r="C928" s="101">
        <f t="shared" ca="1" si="120"/>
        <v>80538</v>
      </c>
      <c r="D928" s="102">
        <f t="shared" ca="1" si="115"/>
        <v>142.99520876112251</v>
      </c>
      <c r="E928" s="103">
        <f t="shared" ca="1" si="122"/>
        <v>0.32256093507478339</v>
      </c>
      <c r="F928" s="104" t="e">
        <f ca="1">IF($C$4="Hombre",(+VLOOKUP(INT(D928)+1,Tablas!$G$9:$K$1240,5,0)*(D928-INT(D928))+VLOOKUP(INT(D928),Tablas!$G$9:$K$1240,5,0)*(INT(D928)+1-D928))/(VLOOKUP(INT($C$5)+1,Tablas!$G$9:$K$1240,5,0)*($C$5-INT($C$5))+VLOOKUP(INT($C$5),Tablas!$G$9:$K$124,5,0)*(INT($C$5)+1-$C$5)),(+VLOOKUP(INT(D928)+1,Tablas!$G$9:$O$1240,9,0)*(D928-INT(D928))+VLOOKUP(INT(D928),Tablas!$G$9:$O$1240,9,0)*(INT(D928)+1-D928))/(VLOOKUP(INT($C$5)+1,Tablas!$G$9:$O$1240,9,0)*($C$5-INT($C$5))+VLOOKUP(INT($C$5),Tablas!$G$9:$O$124,9,0)*(INT($C$5)+1-$C$5)))</f>
        <v>#N/A</v>
      </c>
      <c r="G928" s="97" t="e">
        <f ca="1">IF($C$4="Hombre",(+VLOOKUP(INT(D928)+1,Tablas!$G$9:$K$1240,5,0)*(D928-INT(D928))+VLOOKUP(INT(D928),Tablas!$G$9:$K$1240,5,0)*(INT(D928)+1-D928)),+VLOOKUP(INT(D928)+1,Tablas!$G$9:$O$1240,9,0)*(D928-INT(D928))+VLOOKUP(INT(D928),Tablas!$G$9:$O$1240,9,0)*(INT(D928)+1-D928))</f>
        <v>#N/A</v>
      </c>
      <c r="H928" s="105">
        <f t="shared" ca="1" si="116"/>
        <v>1</v>
      </c>
      <c r="I928" s="106">
        <f t="shared" ca="1" si="117"/>
        <v>0</v>
      </c>
      <c r="J928" s="106">
        <f t="shared" ca="1" si="121"/>
        <v>0</v>
      </c>
      <c r="K928" s="105" t="e">
        <f t="shared" ca="1" si="118"/>
        <v>#N/A</v>
      </c>
      <c r="L928" s="75"/>
    </row>
    <row r="929" spans="2:12">
      <c r="B929" s="101">
        <f t="shared" ca="1" si="119"/>
        <v>80539</v>
      </c>
      <c r="C929" s="101">
        <f t="shared" ca="1" si="120"/>
        <v>80569</v>
      </c>
      <c r="D929" s="102">
        <f t="shared" ca="1" si="115"/>
        <v>143.08008213552361</v>
      </c>
      <c r="E929" s="103">
        <f t="shared" ca="1" si="122"/>
        <v>0.32215358941174005</v>
      </c>
      <c r="F929" s="104" t="e">
        <f ca="1">IF($C$4="Hombre",(+VLOOKUP(INT(D929)+1,Tablas!$G$9:$K$1240,5,0)*(D929-INT(D929))+VLOOKUP(INT(D929),Tablas!$G$9:$K$1240,5,0)*(INT(D929)+1-D929))/(VLOOKUP(INT($C$5)+1,Tablas!$G$9:$K$1240,5,0)*($C$5-INT($C$5))+VLOOKUP(INT($C$5),Tablas!$G$9:$K$124,5,0)*(INT($C$5)+1-$C$5)),(+VLOOKUP(INT(D929)+1,Tablas!$G$9:$O$1240,9,0)*(D929-INT(D929))+VLOOKUP(INT(D929),Tablas!$G$9:$O$1240,9,0)*(INT(D929)+1-D929))/(VLOOKUP(INT($C$5)+1,Tablas!$G$9:$O$1240,9,0)*($C$5-INT($C$5))+VLOOKUP(INT($C$5),Tablas!$G$9:$O$124,9,0)*(INT($C$5)+1-$C$5)))</f>
        <v>#N/A</v>
      </c>
      <c r="G929" s="97" t="e">
        <f ca="1">IF($C$4="Hombre",(+VLOOKUP(INT(D929)+1,Tablas!$G$9:$K$1240,5,0)*(D929-INT(D929))+VLOOKUP(INT(D929),Tablas!$G$9:$K$1240,5,0)*(INT(D929)+1-D929)),+VLOOKUP(INT(D929)+1,Tablas!$G$9:$O$1240,9,0)*(D929-INT(D929))+VLOOKUP(INT(D929),Tablas!$G$9:$O$1240,9,0)*(INT(D929)+1-D929))</f>
        <v>#N/A</v>
      </c>
      <c r="H929" s="105">
        <f t="shared" ca="1" si="116"/>
        <v>1</v>
      </c>
      <c r="I929" s="106">
        <f t="shared" ca="1" si="117"/>
        <v>0</v>
      </c>
      <c r="J929" s="106">
        <f t="shared" ca="1" si="121"/>
        <v>0</v>
      </c>
      <c r="K929" s="105" t="e">
        <f t="shared" ca="1" si="118"/>
        <v>#N/A</v>
      </c>
      <c r="L929" s="75"/>
    </row>
    <row r="930" spans="2:12">
      <c r="B930" s="101">
        <f t="shared" ca="1" si="119"/>
        <v>80570</v>
      </c>
      <c r="C930" s="101">
        <f t="shared" ca="1" si="120"/>
        <v>80600</v>
      </c>
      <c r="D930" s="102">
        <f t="shared" ca="1" si="115"/>
        <v>143.16495550992471</v>
      </c>
      <c r="E930" s="103">
        <f t="shared" ca="1" si="122"/>
        <v>0.32174675816464471</v>
      </c>
      <c r="F930" s="104" t="e">
        <f ca="1">IF($C$4="Hombre",(+VLOOKUP(INT(D930)+1,Tablas!$G$9:$K$1240,5,0)*(D930-INT(D930))+VLOOKUP(INT(D930),Tablas!$G$9:$K$1240,5,0)*(INT(D930)+1-D930))/(VLOOKUP(INT($C$5)+1,Tablas!$G$9:$K$1240,5,0)*($C$5-INT($C$5))+VLOOKUP(INT($C$5),Tablas!$G$9:$K$124,5,0)*(INT($C$5)+1-$C$5)),(+VLOOKUP(INT(D930)+1,Tablas!$G$9:$O$1240,9,0)*(D930-INT(D930))+VLOOKUP(INT(D930),Tablas!$G$9:$O$1240,9,0)*(INT(D930)+1-D930))/(VLOOKUP(INT($C$5)+1,Tablas!$G$9:$O$1240,9,0)*($C$5-INT($C$5))+VLOOKUP(INT($C$5),Tablas!$G$9:$O$124,9,0)*(INT($C$5)+1-$C$5)))</f>
        <v>#N/A</v>
      </c>
      <c r="G930" s="97" t="e">
        <f ca="1">IF($C$4="Hombre",(+VLOOKUP(INT(D930)+1,Tablas!$G$9:$K$1240,5,0)*(D930-INT(D930))+VLOOKUP(INT(D930),Tablas!$G$9:$K$1240,5,0)*(INT(D930)+1-D930)),+VLOOKUP(INT(D930)+1,Tablas!$G$9:$O$1240,9,0)*(D930-INT(D930))+VLOOKUP(INT(D930),Tablas!$G$9:$O$1240,9,0)*(INT(D930)+1-D930))</f>
        <v>#N/A</v>
      </c>
      <c r="H930" s="105">
        <f t="shared" ca="1" si="116"/>
        <v>1</v>
      </c>
      <c r="I930" s="106">
        <f t="shared" ca="1" si="117"/>
        <v>0</v>
      </c>
      <c r="J930" s="106">
        <f t="shared" ca="1" si="121"/>
        <v>0</v>
      </c>
      <c r="K930" s="105" t="e">
        <f t="shared" ca="1" si="118"/>
        <v>#N/A</v>
      </c>
      <c r="L930" s="75"/>
    </row>
    <row r="931" spans="2:12">
      <c r="B931" s="101">
        <f t="shared" ca="1" si="119"/>
        <v>80601</v>
      </c>
      <c r="C931" s="101">
        <f t="shared" ca="1" si="120"/>
        <v>80630</v>
      </c>
      <c r="D931" s="102">
        <f t="shared" ca="1" si="115"/>
        <v>143.24709103353868</v>
      </c>
      <c r="E931" s="103">
        <f t="shared" ca="1" si="122"/>
        <v>0.32135353968677605</v>
      </c>
      <c r="F931" s="104" t="e">
        <f ca="1">IF($C$4="Hombre",(+VLOOKUP(INT(D931)+1,Tablas!$G$9:$K$1240,5,0)*(D931-INT(D931))+VLOOKUP(INT(D931),Tablas!$G$9:$K$1240,5,0)*(INT(D931)+1-D931))/(VLOOKUP(INT($C$5)+1,Tablas!$G$9:$K$1240,5,0)*($C$5-INT($C$5))+VLOOKUP(INT($C$5),Tablas!$G$9:$K$124,5,0)*(INT($C$5)+1-$C$5)),(+VLOOKUP(INT(D931)+1,Tablas!$G$9:$O$1240,9,0)*(D931-INT(D931))+VLOOKUP(INT(D931),Tablas!$G$9:$O$1240,9,0)*(INT(D931)+1-D931))/(VLOOKUP(INT($C$5)+1,Tablas!$G$9:$O$1240,9,0)*($C$5-INT($C$5))+VLOOKUP(INT($C$5),Tablas!$G$9:$O$124,9,0)*(INT($C$5)+1-$C$5)))</f>
        <v>#N/A</v>
      </c>
      <c r="G931" s="97" t="e">
        <f ca="1">IF($C$4="Hombre",(+VLOOKUP(INT(D931)+1,Tablas!$G$9:$K$1240,5,0)*(D931-INT(D931))+VLOOKUP(INT(D931),Tablas!$G$9:$K$1240,5,0)*(INT(D931)+1-D931)),+VLOOKUP(INT(D931)+1,Tablas!$G$9:$O$1240,9,0)*(D931-INT(D931))+VLOOKUP(INT(D931),Tablas!$G$9:$O$1240,9,0)*(INT(D931)+1-D931))</f>
        <v>#N/A</v>
      </c>
      <c r="H931" s="105">
        <f t="shared" ca="1" si="116"/>
        <v>1</v>
      </c>
      <c r="I931" s="106">
        <f t="shared" ca="1" si="117"/>
        <v>0</v>
      </c>
      <c r="J931" s="106">
        <f t="shared" ca="1" si="121"/>
        <v>0</v>
      </c>
      <c r="K931" s="105" t="e">
        <f t="shared" ca="1" si="118"/>
        <v>#N/A</v>
      </c>
      <c r="L931" s="75"/>
    </row>
    <row r="932" spans="2:12">
      <c r="B932" s="101">
        <f t="shared" ca="1" si="119"/>
        <v>80631</v>
      </c>
      <c r="C932" s="101">
        <f t="shared" ca="1" si="120"/>
        <v>80661</v>
      </c>
      <c r="D932" s="102">
        <f t="shared" ca="1" si="115"/>
        <v>143.33196440793978</v>
      </c>
      <c r="E932" s="103">
        <f t="shared" ca="1" si="122"/>
        <v>0.3209477187814494</v>
      </c>
      <c r="F932" s="104" t="e">
        <f ca="1">IF($C$4="Hombre",(+VLOOKUP(INT(D932)+1,Tablas!$G$9:$K$1240,5,0)*(D932-INT(D932))+VLOOKUP(INT(D932),Tablas!$G$9:$K$1240,5,0)*(INT(D932)+1-D932))/(VLOOKUP(INT($C$5)+1,Tablas!$G$9:$K$1240,5,0)*($C$5-INT($C$5))+VLOOKUP(INT($C$5),Tablas!$G$9:$K$124,5,0)*(INT($C$5)+1-$C$5)),(+VLOOKUP(INT(D932)+1,Tablas!$G$9:$O$1240,9,0)*(D932-INT(D932))+VLOOKUP(INT(D932),Tablas!$G$9:$O$1240,9,0)*(INT(D932)+1-D932))/(VLOOKUP(INT($C$5)+1,Tablas!$G$9:$O$1240,9,0)*($C$5-INT($C$5))+VLOOKUP(INT($C$5),Tablas!$G$9:$O$124,9,0)*(INT($C$5)+1-$C$5)))</f>
        <v>#N/A</v>
      </c>
      <c r="G932" s="97" t="e">
        <f ca="1">IF($C$4="Hombre",(+VLOOKUP(INT(D932)+1,Tablas!$G$9:$K$1240,5,0)*(D932-INT(D932))+VLOOKUP(INT(D932),Tablas!$G$9:$K$1240,5,0)*(INT(D932)+1-D932)),+VLOOKUP(INT(D932)+1,Tablas!$G$9:$O$1240,9,0)*(D932-INT(D932))+VLOOKUP(INT(D932),Tablas!$G$9:$O$1240,9,0)*(INT(D932)+1-D932))</f>
        <v>#N/A</v>
      </c>
      <c r="H932" s="105">
        <f t="shared" ca="1" si="116"/>
        <v>1</v>
      </c>
      <c r="I932" s="106">
        <f t="shared" ca="1" si="117"/>
        <v>0</v>
      </c>
      <c r="J932" s="106">
        <f t="shared" ca="1" si="121"/>
        <v>0</v>
      </c>
      <c r="K932" s="105" t="e">
        <f t="shared" ca="1" si="118"/>
        <v>#N/A</v>
      </c>
      <c r="L932" s="75"/>
    </row>
    <row r="933" spans="2:12">
      <c r="B933" s="101">
        <f t="shared" ca="1" si="119"/>
        <v>80662</v>
      </c>
      <c r="C933" s="101">
        <f t="shared" ca="1" si="120"/>
        <v>80691</v>
      </c>
      <c r="D933" s="102">
        <f t="shared" ca="1" si="115"/>
        <v>143.41409993155372</v>
      </c>
      <c r="E933" s="103">
        <f t="shared" ca="1" si="122"/>
        <v>0.32055547683882807</v>
      </c>
      <c r="F933" s="104" t="e">
        <f ca="1">IF($C$4="Hombre",(+VLOOKUP(INT(D933)+1,Tablas!$G$9:$K$1240,5,0)*(D933-INT(D933))+VLOOKUP(INT(D933),Tablas!$G$9:$K$1240,5,0)*(INT(D933)+1-D933))/(VLOOKUP(INT($C$5)+1,Tablas!$G$9:$K$1240,5,0)*($C$5-INT($C$5))+VLOOKUP(INT($C$5),Tablas!$G$9:$K$124,5,0)*(INT($C$5)+1-$C$5)),(+VLOOKUP(INT(D933)+1,Tablas!$G$9:$O$1240,9,0)*(D933-INT(D933))+VLOOKUP(INT(D933),Tablas!$G$9:$O$1240,9,0)*(INT(D933)+1-D933))/(VLOOKUP(INT($C$5)+1,Tablas!$G$9:$O$1240,9,0)*($C$5-INT($C$5))+VLOOKUP(INT($C$5),Tablas!$G$9:$O$124,9,0)*(INT($C$5)+1-$C$5)))</f>
        <v>#N/A</v>
      </c>
      <c r="G933" s="97" t="e">
        <f ca="1">IF($C$4="Hombre",(+VLOOKUP(INT(D933)+1,Tablas!$G$9:$K$1240,5,0)*(D933-INT(D933))+VLOOKUP(INT(D933),Tablas!$G$9:$K$1240,5,0)*(INT(D933)+1-D933)),+VLOOKUP(INT(D933)+1,Tablas!$G$9:$O$1240,9,0)*(D933-INT(D933))+VLOOKUP(INT(D933),Tablas!$G$9:$O$1240,9,0)*(INT(D933)+1-D933))</f>
        <v>#N/A</v>
      </c>
      <c r="H933" s="105">
        <f t="shared" ca="1" si="116"/>
        <v>1</v>
      </c>
      <c r="I933" s="106">
        <f t="shared" ca="1" si="117"/>
        <v>0</v>
      </c>
      <c r="J933" s="106">
        <f t="shared" ca="1" si="121"/>
        <v>0</v>
      </c>
      <c r="K933" s="105" t="e">
        <f t="shared" ca="1" si="118"/>
        <v>#N/A</v>
      </c>
      <c r="L933" s="75"/>
    </row>
    <row r="934" spans="2:12">
      <c r="B934" s="101">
        <f t="shared" ca="1" si="119"/>
        <v>80692</v>
      </c>
      <c r="C934" s="101">
        <f t="shared" ca="1" si="120"/>
        <v>80722</v>
      </c>
      <c r="D934" s="102">
        <f t="shared" ca="1" si="115"/>
        <v>143.49897330595482</v>
      </c>
      <c r="E934" s="103">
        <f t="shared" ca="1" si="122"/>
        <v>0.3201506637661452</v>
      </c>
      <c r="F934" s="104" t="e">
        <f ca="1">IF($C$4="Hombre",(+VLOOKUP(INT(D934)+1,Tablas!$G$9:$K$1240,5,0)*(D934-INT(D934))+VLOOKUP(INT(D934),Tablas!$G$9:$K$1240,5,0)*(INT(D934)+1-D934))/(VLOOKUP(INT($C$5)+1,Tablas!$G$9:$K$1240,5,0)*($C$5-INT($C$5))+VLOOKUP(INT($C$5),Tablas!$G$9:$K$124,5,0)*(INT($C$5)+1-$C$5)),(+VLOOKUP(INT(D934)+1,Tablas!$G$9:$O$1240,9,0)*(D934-INT(D934))+VLOOKUP(INT(D934),Tablas!$G$9:$O$1240,9,0)*(INT(D934)+1-D934))/(VLOOKUP(INT($C$5)+1,Tablas!$G$9:$O$1240,9,0)*($C$5-INT($C$5))+VLOOKUP(INT($C$5),Tablas!$G$9:$O$124,9,0)*(INT($C$5)+1-$C$5)))</f>
        <v>#N/A</v>
      </c>
      <c r="G934" s="97" t="e">
        <f ca="1">IF($C$4="Hombre",(+VLOOKUP(INT(D934)+1,Tablas!$G$9:$K$1240,5,0)*(D934-INT(D934))+VLOOKUP(INT(D934),Tablas!$G$9:$K$1240,5,0)*(INT(D934)+1-D934)),+VLOOKUP(INT(D934)+1,Tablas!$G$9:$O$1240,9,0)*(D934-INT(D934))+VLOOKUP(INT(D934),Tablas!$G$9:$O$1240,9,0)*(INT(D934)+1-D934))</f>
        <v>#N/A</v>
      </c>
      <c r="H934" s="105">
        <f t="shared" ca="1" si="116"/>
        <v>1</v>
      </c>
      <c r="I934" s="106">
        <f t="shared" ca="1" si="117"/>
        <v>0</v>
      </c>
      <c r="J934" s="106">
        <f t="shared" ca="1" si="121"/>
        <v>0</v>
      </c>
      <c r="K934" s="105" t="e">
        <f t="shared" ca="1" si="118"/>
        <v>#N/A</v>
      </c>
      <c r="L934" s="75"/>
    </row>
    <row r="935" spans="2:12">
      <c r="B935" s="101">
        <f t="shared" ca="1" si="119"/>
        <v>80723</v>
      </c>
      <c r="C935" s="101">
        <f t="shared" ca="1" si="120"/>
        <v>80753</v>
      </c>
      <c r="D935" s="102">
        <f t="shared" ca="1" si="115"/>
        <v>143.58384668035592</v>
      </c>
      <c r="E935" s="103">
        <f t="shared" ca="1" si="122"/>
        <v>0.31974636191113187</v>
      </c>
      <c r="F935" s="104" t="e">
        <f ca="1">IF($C$4="Hombre",(+VLOOKUP(INT(D935)+1,Tablas!$G$9:$K$1240,5,0)*(D935-INT(D935))+VLOOKUP(INT(D935),Tablas!$G$9:$K$1240,5,0)*(INT(D935)+1-D935))/(VLOOKUP(INT($C$5)+1,Tablas!$G$9:$K$1240,5,0)*($C$5-INT($C$5))+VLOOKUP(INT($C$5),Tablas!$G$9:$K$124,5,0)*(INT($C$5)+1-$C$5)),(+VLOOKUP(INT(D935)+1,Tablas!$G$9:$O$1240,9,0)*(D935-INT(D935))+VLOOKUP(INT(D935),Tablas!$G$9:$O$1240,9,0)*(INT(D935)+1-D935))/(VLOOKUP(INT($C$5)+1,Tablas!$G$9:$O$1240,9,0)*($C$5-INT($C$5))+VLOOKUP(INT($C$5),Tablas!$G$9:$O$124,9,0)*(INT($C$5)+1-$C$5)))</f>
        <v>#N/A</v>
      </c>
      <c r="G935" s="97" t="e">
        <f ca="1">IF($C$4="Hombre",(+VLOOKUP(INT(D935)+1,Tablas!$G$9:$K$1240,5,0)*(D935-INT(D935))+VLOOKUP(INT(D935),Tablas!$G$9:$K$1240,5,0)*(INT(D935)+1-D935)),+VLOOKUP(INT(D935)+1,Tablas!$G$9:$O$1240,9,0)*(D935-INT(D935))+VLOOKUP(INT(D935),Tablas!$G$9:$O$1240,9,0)*(INT(D935)+1-D935))</f>
        <v>#N/A</v>
      </c>
      <c r="H935" s="105">
        <f t="shared" ca="1" si="116"/>
        <v>1</v>
      </c>
      <c r="I935" s="106">
        <f t="shared" ca="1" si="117"/>
        <v>0</v>
      </c>
      <c r="J935" s="106">
        <f t="shared" ca="1" si="121"/>
        <v>0</v>
      </c>
      <c r="K935" s="105" t="e">
        <f t="shared" ca="1" si="118"/>
        <v>#N/A</v>
      </c>
      <c r="L935" s="75"/>
    </row>
    <row r="936" spans="2:12">
      <c r="B936" s="101">
        <f t="shared" ca="1" si="119"/>
        <v>80754</v>
      </c>
      <c r="C936" s="101">
        <f t="shared" ca="1" si="120"/>
        <v>80781</v>
      </c>
      <c r="D936" s="102">
        <f t="shared" ca="1" si="115"/>
        <v>143.66050650239561</v>
      </c>
      <c r="E936" s="103">
        <f t="shared" ca="1" si="122"/>
        <v>0.31938162490756444</v>
      </c>
      <c r="F936" s="104" t="e">
        <f ca="1">IF($C$4="Hombre",(+VLOOKUP(INT(D936)+1,Tablas!$G$9:$K$1240,5,0)*(D936-INT(D936))+VLOOKUP(INT(D936),Tablas!$G$9:$K$1240,5,0)*(INT(D936)+1-D936))/(VLOOKUP(INT($C$5)+1,Tablas!$G$9:$K$1240,5,0)*($C$5-INT($C$5))+VLOOKUP(INT($C$5),Tablas!$G$9:$K$124,5,0)*(INT($C$5)+1-$C$5)),(+VLOOKUP(INT(D936)+1,Tablas!$G$9:$O$1240,9,0)*(D936-INT(D936))+VLOOKUP(INT(D936),Tablas!$G$9:$O$1240,9,0)*(INT(D936)+1-D936))/(VLOOKUP(INT($C$5)+1,Tablas!$G$9:$O$1240,9,0)*($C$5-INT($C$5))+VLOOKUP(INT($C$5),Tablas!$G$9:$O$124,9,0)*(INT($C$5)+1-$C$5)))</f>
        <v>#N/A</v>
      </c>
      <c r="G936" s="97" t="e">
        <f ca="1">IF($C$4="Hombre",(+VLOOKUP(INT(D936)+1,Tablas!$G$9:$K$1240,5,0)*(D936-INT(D936))+VLOOKUP(INT(D936),Tablas!$G$9:$K$1240,5,0)*(INT(D936)+1-D936)),+VLOOKUP(INT(D936)+1,Tablas!$G$9:$O$1240,9,0)*(D936-INT(D936))+VLOOKUP(INT(D936),Tablas!$G$9:$O$1240,9,0)*(INT(D936)+1-D936))</f>
        <v>#N/A</v>
      </c>
      <c r="H936" s="105">
        <f t="shared" ca="1" si="116"/>
        <v>1</v>
      </c>
      <c r="I936" s="106">
        <f t="shared" ca="1" si="117"/>
        <v>0</v>
      </c>
      <c r="J936" s="106">
        <f t="shared" ca="1" si="121"/>
        <v>0</v>
      </c>
      <c r="K936" s="105" t="e">
        <f t="shared" ca="1" si="118"/>
        <v>#N/A</v>
      </c>
      <c r="L936" s="75"/>
    </row>
    <row r="937" spans="2:12">
      <c r="B937" s="101">
        <f t="shared" ca="1" si="119"/>
        <v>80782</v>
      </c>
      <c r="C937" s="101">
        <f t="shared" ca="1" si="120"/>
        <v>80812</v>
      </c>
      <c r="D937" s="102">
        <f t="shared" ca="1" si="115"/>
        <v>143.7453798767967</v>
      </c>
      <c r="E937" s="103">
        <f t="shared" ca="1" si="122"/>
        <v>0.31897829423228702</v>
      </c>
      <c r="F937" s="104" t="e">
        <f ca="1">IF($C$4="Hombre",(+VLOOKUP(INT(D937)+1,Tablas!$G$9:$K$1240,5,0)*(D937-INT(D937))+VLOOKUP(INT(D937),Tablas!$G$9:$K$1240,5,0)*(INT(D937)+1-D937))/(VLOOKUP(INT($C$5)+1,Tablas!$G$9:$K$1240,5,0)*($C$5-INT($C$5))+VLOOKUP(INT($C$5),Tablas!$G$9:$K$124,5,0)*(INT($C$5)+1-$C$5)),(+VLOOKUP(INT(D937)+1,Tablas!$G$9:$O$1240,9,0)*(D937-INT(D937))+VLOOKUP(INT(D937),Tablas!$G$9:$O$1240,9,0)*(INT(D937)+1-D937))/(VLOOKUP(INT($C$5)+1,Tablas!$G$9:$O$1240,9,0)*($C$5-INT($C$5))+VLOOKUP(INT($C$5),Tablas!$G$9:$O$124,9,0)*(INT($C$5)+1-$C$5)))</f>
        <v>#N/A</v>
      </c>
      <c r="G937" s="97" t="e">
        <f ca="1">IF($C$4="Hombre",(+VLOOKUP(INT(D937)+1,Tablas!$G$9:$K$1240,5,0)*(D937-INT(D937))+VLOOKUP(INT(D937),Tablas!$G$9:$K$1240,5,0)*(INT(D937)+1-D937)),+VLOOKUP(INT(D937)+1,Tablas!$G$9:$O$1240,9,0)*(D937-INT(D937))+VLOOKUP(INT(D937),Tablas!$G$9:$O$1240,9,0)*(INT(D937)+1-D937))</f>
        <v>#N/A</v>
      </c>
      <c r="H937" s="105">
        <f t="shared" ca="1" si="116"/>
        <v>1</v>
      </c>
      <c r="I937" s="106">
        <f t="shared" ca="1" si="117"/>
        <v>0</v>
      </c>
      <c r="J937" s="106">
        <f t="shared" ca="1" si="121"/>
        <v>0</v>
      </c>
      <c r="K937" s="105" t="e">
        <f t="shared" ca="1" si="118"/>
        <v>#N/A</v>
      </c>
      <c r="L937" s="75"/>
    </row>
    <row r="938" spans="2:12">
      <c r="B938" s="101">
        <f t="shared" ca="1" si="119"/>
        <v>80813</v>
      </c>
      <c r="C938" s="101">
        <f t="shared" ca="1" si="120"/>
        <v>80842</v>
      </c>
      <c r="D938" s="102">
        <f t="shared" ca="1" si="115"/>
        <v>143.82751540041068</v>
      </c>
      <c r="E938" s="103">
        <f t="shared" ca="1" si="122"/>
        <v>0.31858845919541939</v>
      </c>
      <c r="F938" s="104" t="e">
        <f ca="1">IF($C$4="Hombre",(+VLOOKUP(INT(D938)+1,Tablas!$G$9:$K$1240,5,0)*(D938-INT(D938))+VLOOKUP(INT(D938),Tablas!$G$9:$K$1240,5,0)*(INT(D938)+1-D938))/(VLOOKUP(INT($C$5)+1,Tablas!$G$9:$K$1240,5,0)*($C$5-INT($C$5))+VLOOKUP(INT($C$5),Tablas!$G$9:$K$124,5,0)*(INT($C$5)+1-$C$5)),(+VLOOKUP(INT(D938)+1,Tablas!$G$9:$O$1240,9,0)*(D938-INT(D938))+VLOOKUP(INT(D938),Tablas!$G$9:$O$1240,9,0)*(INT(D938)+1-D938))/(VLOOKUP(INT($C$5)+1,Tablas!$G$9:$O$1240,9,0)*($C$5-INT($C$5))+VLOOKUP(INT($C$5),Tablas!$G$9:$O$124,9,0)*(INT($C$5)+1-$C$5)))</f>
        <v>#N/A</v>
      </c>
      <c r="G938" s="97" t="e">
        <f ca="1">IF($C$4="Hombre",(+VLOOKUP(INT(D938)+1,Tablas!$G$9:$K$1240,5,0)*(D938-INT(D938))+VLOOKUP(INT(D938),Tablas!$G$9:$K$1240,5,0)*(INT(D938)+1-D938)),+VLOOKUP(INT(D938)+1,Tablas!$G$9:$O$1240,9,0)*(D938-INT(D938))+VLOOKUP(INT(D938),Tablas!$G$9:$O$1240,9,0)*(INT(D938)+1-D938))</f>
        <v>#N/A</v>
      </c>
      <c r="H938" s="105">
        <f t="shared" ca="1" si="116"/>
        <v>1</v>
      </c>
      <c r="I938" s="106">
        <f t="shared" ca="1" si="117"/>
        <v>0</v>
      </c>
      <c r="J938" s="106">
        <f t="shared" ca="1" si="121"/>
        <v>0</v>
      </c>
      <c r="K938" s="105" t="e">
        <f t="shared" ca="1" si="118"/>
        <v>#N/A</v>
      </c>
      <c r="L938" s="75"/>
    </row>
    <row r="939" spans="2:12">
      <c r="B939" s="101">
        <f t="shared" ca="1" si="119"/>
        <v>80843</v>
      </c>
      <c r="C939" s="101">
        <f t="shared" ca="1" si="120"/>
        <v>80873</v>
      </c>
      <c r="D939" s="102">
        <f t="shared" ca="1" si="115"/>
        <v>143.91238877481177</v>
      </c>
      <c r="E939" s="103">
        <f t="shared" ca="1" si="122"/>
        <v>0.31818613016844394</v>
      </c>
      <c r="F939" s="104" t="e">
        <f ca="1">IF($C$4="Hombre",(+VLOOKUP(INT(D939)+1,Tablas!$G$9:$K$1240,5,0)*(D939-INT(D939))+VLOOKUP(INT(D939),Tablas!$G$9:$K$1240,5,0)*(INT(D939)+1-D939))/(VLOOKUP(INT($C$5)+1,Tablas!$G$9:$K$1240,5,0)*($C$5-INT($C$5))+VLOOKUP(INT($C$5),Tablas!$G$9:$K$124,5,0)*(INT($C$5)+1-$C$5)),(+VLOOKUP(INT(D939)+1,Tablas!$G$9:$O$1240,9,0)*(D939-INT(D939))+VLOOKUP(INT(D939),Tablas!$G$9:$O$1240,9,0)*(INT(D939)+1-D939))/(VLOOKUP(INT($C$5)+1,Tablas!$G$9:$O$1240,9,0)*($C$5-INT($C$5))+VLOOKUP(INT($C$5),Tablas!$G$9:$O$124,9,0)*(INT($C$5)+1-$C$5)))</f>
        <v>#N/A</v>
      </c>
      <c r="G939" s="97" t="e">
        <f ca="1">IF($C$4="Hombre",(+VLOOKUP(INT(D939)+1,Tablas!$G$9:$K$1240,5,0)*(D939-INT(D939))+VLOOKUP(INT(D939),Tablas!$G$9:$K$1240,5,0)*(INT(D939)+1-D939)),+VLOOKUP(INT(D939)+1,Tablas!$G$9:$O$1240,9,0)*(D939-INT(D939))+VLOOKUP(INT(D939),Tablas!$G$9:$O$1240,9,0)*(INT(D939)+1-D939))</f>
        <v>#N/A</v>
      </c>
      <c r="H939" s="105">
        <f t="shared" ca="1" si="116"/>
        <v>1</v>
      </c>
      <c r="I939" s="106">
        <f t="shared" ca="1" si="117"/>
        <v>0</v>
      </c>
      <c r="J939" s="106">
        <f t="shared" ca="1" si="121"/>
        <v>0</v>
      </c>
      <c r="K939" s="105" t="e">
        <f t="shared" ca="1" si="118"/>
        <v>#N/A</v>
      </c>
      <c r="L939" s="75"/>
    </row>
    <row r="940" spans="2:12">
      <c r="B940" s="101">
        <f t="shared" ca="1" si="119"/>
        <v>80874</v>
      </c>
      <c r="C940" s="101">
        <f t="shared" ca="1" si="120"/>
        <v>80903</v>
      </c>
      <c r="D940" s="102">
        <f t="shared" ca="1" si="115"/>
        <v>143.99452429842574</v>
      </c>
      <c r="E940" s="103">
        <f t="shared" ca="1" si="122"/>
        <v>0.31779726326424429</v>
      </c>
      <c r="F940" s="104" t="e">
        <f ca="1">IF($C$4="Hombre",(+VLOOKUP(INT(D940)+1,Tablas!$G$9:$K$1240,5,0)*(D940-INT(D940))+VLOOKUP(INT(D940),Tablas!$G$9:$K$1240,5,0)*(INT(D940)+1-D940))/(VLOOKUP(INT($C$5)+1,Tablas!$G$9:$K$1240,5,0)*($C$5-INT($C$5))+VLOOKUP(INT($C$5),Tablas!$G$9:$K$124,5,0)*(INT($C$5)+1-$C$5)),(+VLOOKUP(INT(D940)+1,Tablas!$G$9:$O$1240,9,0)*(D940-INT(D940))+VLOOKUP(INT(D940),Tablas!$G$9:$O$1240,9,0)*(INT(D940)+1-D940))/(VLOOKUP(INT($C$5)+1,Tablas!$G$9:$O$1240,9,0)*($C$5-INT($C$5))+VLOOKUP(INT($C$5),Tablas!$G$9:$O$124,9,0)*(INT($C$5)+1-$C$5)))</f>
        <v>#N/A</v>
      </c>
      <c r="G940" s="97" t="e">
        <f ca="1">IF($C$4="Hombre",(+VLOOKUP(INT(D940)+1,Tablas!$G$9:$K$1240,5,0)*(D940-INT(D940))+VLOOKUP(INT(D940),Tablas!$G$9:$K$1240,5,0)*(INT(D940)+1-D940)),+VLOOKUP(INT(D940)+1,Tablas!$G$9:$O$1240,9,0)*(D940-INT(D940))+VLOOKUP(INT(D940),Tablas!$G$9:$O$1240,9,0)*(INT(D940)+1-D940))</f>
        <v>#N/A</v>
      </c>
      <c r="H940" s="105">
        <f t="shared" ca="1" si="116"/>
        <v>1</v>
      </c>
      <c r="I940" s="106">
        <f t="shared" ca="1" si="117"/>
        <v>0</v>
      </c>
      <c r="J940" s="106">
        <f t="shared" ca="1" si="121"/>
        <v>0</v>
      </c>
      <c r="K940" s="105" t="e">
        <f t="shared" ca="1" si="118"/>
        <v>#N/A</v>
      </c>
      <c r="L940" s="75"/>
    </row>
    <row r="941" spans="2:12">
      <c r="B941" s="101">
        <f t="shared" ca="1" si="119"/>
        <v>80904</v>
      </c>
      <c r="C941" s="101">
        <f t="shared" ca="1" si="120"/>
        <v>80934</v>
      </c>
      <c r="D941" s="102">
        <f t="shared" ca="1" si="115"/>
        <v>144.07939767282684</v>
      </c>
      <c r="E941" s="103">
        <f t="shared" ca="1" si="122"/>
        <v>0.31739593339803551</v>
      </c>
      <c r="F941" s="104" t="e">
        <f ca="1">IF($C$4="Hombre",(+VLOOKUP(INT(D941)+1,Tablas!$G$9:$K$1240,5,0)*(D941-INT(D941))+VLOOKUP(INT(D941),Tablas!$G$9:$K$1240,5,0)*(INT(D941)+1-D941))/(VLOOKUP(INT($C$5)+1,Tablas!$G$9:$K$1240,5,0)*($C$5-INT($C$5))+VLOOKUP(INT($C$5),Tablas!$G$9:$K$124,5,0)*(INT($C$5)+1-$C$5)),(+VLOOKUP(INT(D941)+1,Tablas!$G$9:$O$1240,9,0)*(D941-INT(D941))+VLOOKUP(INT(D941),Tablas!$G$9:$O$1240,9,0)*(INT(D941)+1-D941))/(VLOOKUP(INT($C$5)+1,Tablas!$G$9:$O$1240,9,0)*($C$5-INT($C$5))+VLOOKUP(INT($C$5),Tablas!$G$9:$O$124,9,0)*(INT($C$5)+1-$C$5)))</f>
        <v>#N/A</v>
      </c>
      <c r="G941" s="97" t="e">
        <f ca="1">IF($C$4="Hombre",(+VLOOKUP(INT(D941)+1,Tablas!$G$9:$K$1240,5,0)*(D941-INT(D941))+VLOOKUP(INT(D941),Tablas!$G$9:$K$1240,5,0)*(INT(D941)+1-D941)),+VLOOKUP(INT(D941)+1,Tablas!$G$9:$O$1240,9,0)*(D941-INT(D941))+VLOOKUP(INT(D941),Tablas!$G$9:$O$1240,9,0)*(INT(D941)+1-D941))</f>
        <v>#N/A</v>
      </c>
      <c r="H941" s="105">
        <f t="shared" ca="1" si="116"/>
        <v>1</v>
      </c>
      <c r="I941" s="106">
        <f t="shared" ca="1" si="117"/>
        <v>0</v>
      </c>
      <c r="J941" s="106">
        <f t="shared" ca="1" si="121"/>
        <v>0</v>
      </c>
      <c r="K941" s="105" t="e">
        <f t="shared" ca="1" si="118"/>
        <v>#N/A</v>
      </c>
      <c r="L941" s="75"/>
    </row>
    <row r="942" spans="2:12">
      <c r="B942" s="101">
        <f t="shared" ca="1" si="119"/>
        <v>80935</v>
      </c>
      <c r="C942" s="101">
        <f t="shared" ca="1" si="120"/>
        <v>80965</v>
      </c>
      <c r="D942" s="102">
        <f t="shared" ca="1" si="115"/>
        <v>144.16427104722791</v>
      </c>
      <c r="E942" s="103">
        <f t="shared" ca="1" si="122"/>
        <v>0.31699511035073358</v>
      </c>
      <c r="F942" s="104" t="e">
        <f ca="1">IF($C$4="Hombre",(+VLOOKUP(INT(D942)+1,Tablas!$G$9:$K$1240,5,0)*(D942-INT(D942))+VLOOKUP(INT(D942),Tablas!$G$9:$K$1240,5,0)*(INT(D942)+1-D942))/(VLOOKUP(INT($C$5)+1,Tablas!$G$9:$K$1240,5,0)*($C$5-INT($C$5))+VLOOKUP(INT($C$5),Tablas!$G$9:$K$124,5,0)*(INT($C$5)+1-$C$5)),(+VLOOKUP(INT(D942)+1,Tablas!$G$9:$O$1240,9,0)*(D942-INT(D942))+VLOOKUP(INT(D942),Tablas!$G$9:$O$1240,9,0)*(INT(D942)+1-D942))/(VLOOKUP(INT($C$5)+1,Tablas!$G$9:$O$1240,9,0)*($C$5-INT($C$5))+VLOOKUP(INT($C$5),Tablas!$G$9:$O$124,9,0)*(INT($C$5)+1-$C$5)))</f>
        <v>#N/A</v>
      </c>
      <c r="G942" s="97" t="e">
        <f ca="1">IF($C$4="Hombre",(+VLOOKUP(INT(D942)+1,Tablas!$G$9:$K$1240,5,0)*(D942-INT(D942))+VLOOKUP(INT(D942),Tablas!$G$9:$K$1240,5,0)*(INT(D942)+1-D942)),+VLOOKUP(INT(D942)+1,Tablas!$G$9:$O$1240,9,0)*(D942-INT(D942))+VLOOKUP(INT(D942),Tablas!$G$9:$O$1240,9,0)*(INT(D942)+1-D942))</f>
        <v>#N/A</v>
      </c>
      <c r="H942" s="105">
        <f t="shared" ca="1" si="116"/>
        <v>1</v>
      </c>
      <c r="I942" s="106">
        <f t="shared" ca="1" si="117"/>
        <v>0</v>
      </c>
      <c r="J942" s="106">
        <f t="shared" ca="1" si="121"/>
        <v>0</v>
      </c>
      <c r="K942" s="105" t="e">
        <f t="shared" ca="1" si="118"/>
        <v>#N/A</v>
      </c>
      <c r="L942" s="75"/>
    </row>
    <row r="943" spans="2:12">
      <c r="B943" s="101">
        <f t="shared" ca="1" si="119"/>
        <v>80966</v>
      </c>
      <c r="C943" s="101">
        <f t="shared" ca="1" si="120"/>
        <v>80995</v>
      </c>
      <c r="D943" s="102">
        <f t="shared" ca="1" si="115"/>
        <v>144.24640657084188</v>
      </c>
      <c r="E943" s="103">
        <f t="shared" ca="1" si="122"/>
        <v>0.31660769903540303</v>
      </c>
      <c r="F943" s="104" t="e">
        <f ca="1">IF($C$4="Hombre",(+VLOOKUP(INT(D943)+1,Tablas!$G$9:$K$1240,5,0)*(D943-INT(D943))+VLOOKUP(INT(D943),Tablas!$G$9:$K$1240,5,0)*(INT(D943)+1-D943))/(VLOOKUP(INT($C$5)+1,Tablas!$G$9:$K$1240,5,0)*($C$5-INT($C$5))+VLOOKUP(INT($C$5),Tablas!$G$9:$K$124,5,0)*(INT($C$5)+1-$C$5)),(+VLOOKUP(INT(D943)+1,Tablas!$G$9:$O$1240,9,0)*(D943-INT(D943))+VLOOKUP(INT(D943),Tablas!$G$9:$O$1240,9,0)*(INT(D943)+1-D943))/(VLOOKUP(INT($C$5)+1,Tablas!$G$9:$O$1240,9,0)*($C$5-INT($C$5))+VLOOKUP(INT($C$5),Tablas!$G$9:$O$124,9,0)*(INT($C$5)+1-$C$5)))</f>
        <v>#N/A</v>
      </c>
      <c r="G943" s="97" t="e">
        <f ca="1">IF($C$4="Hombre",(+VLOOKUP(INT(D943)+1,Tablas!$G$9:$K$1240,5,0)*(D943-INT(D943))+VLOOKUP(INT(D943),Tablas!$G$9:$K$1240,5,0)*(INT(D943)+1-D943)),+VLOOKUP(INT(D943)+1,Tablas!$G$9:$O$1240,9,0)*(D943-INT(D943))+VLOOKUP(INT(D943),Tablas!$G$9:$O$1240,9,0)*(INT(D943)+1-D943))</f>
        <v>#N/A</v>
      </c>
      <c r="H943" s="105">
        <f t="shared" ca="1" si="116"/>
        <v>1</v>
      </c>
      <c r="I943" s="106">
        <f t="shared" ca="1" si="117"/>
        <v>0</v>
      </c>
      <c r="J943" s="106">
        <f t="shared" ca="1" si="121"/>
        <v>0</v>
      </c>
      <c r="K943" s="105" t="e">
        <f t="shared" ca="1" si="118"/>
        <v>#N/A</v>
      </c>
      <c r="L943" s="75"/>
    </row>
    <row r="944" spans="2:12">
      <c r="B944" s="101">
        <f t="shared" ca="1" si="119"/>
        <v>80996</v>
      </c>
      <c r="C944" s="101">
        <f t="shared" ca="1" si="120"/>
        <v>81026</v>
      </c>
      <c r="D944" s="102">
        <f t="shared" ca="1" si="115"/>
        <v>144.33127994524298</v>
      </c>
      <c r="E944" s="103">
        <f t="shared" ca="1" si="122"/>
        <v>0.31620787140885454</v>
      </c>
      <c r="F944" s="104" t="e">
        <f ca="1">IF($C$4="Hombre",(+VLOOKUP(INT(D944)+1,Tablas!$G$9:$K$1240,5,0)*(D944-INT(D944))+VLOOKUP(INT(D944),Tablas!$G$9:$K$1240,5,0)*(INT(D944)+1-D944))/(VLOOKUP(INT($C$5)+1,Tablas!$G$9:$K$1240,5,0)*($C$5-INT($C$5))+VLOOKUP(INT($C$5),Tablas!$G$9:$K$124,5,0)*(INT($C$5)+1-$C$5)),(+VLOOKUP(INT(D944)+1,Tablas!$G$9:$O$1240,9,0)*(D944-INT(D944))+VLOOKUP(INT(D944),Tablas!$G$9:$O$1240,9,0)*(INT(D944)+1-D944))/(VLOOKUP(INT($C$5)+1,Tablas!$G$9:$O$1240,9,0)*($C$5-INT($C$5))+VLOOKUP(INT($C$5),Tablas!$G$9:$O$124,9,0)*(INT($C$5)+1-$C$5)))</f>
        <v>#N/A</v>
      </c>
      <c r="G944" s="97" t="e">
        <f ca="1">IF($C$4="Hombre",(+VLOOKUP(INT(D944)+1,Tablas!$G$9:$K$1240,5,0)*(D944-INT(D944))+VLOOKUP(INT(D944),Tablas!$G$9:$K$1240,5,0)*(INT(D944)+1-D944)),+VLOOKUP(INT(D944)+1,Tablas!$G$9:$O$1240,9,0)*(D944-INT(D944))+VLOOKUP(INT(D944),Tablas!$G$9:$O$1240,9,0)*(INT(D944)+1-D944))</f>
        <v>#N/A</v>
      </c>
      <c r="H944" s="105">
        <f t="shared" ca="1" si="116"/>
        <v>1</v>
      </c>
      <c r="I944" s="106">
        <f t="shared" ca="1" si="117"/>
        <v>0</v>
      </c>
      <c r="J944" s="106">
        <f t="shared" ca="1" si="121"/>
        <v>0</v>
      </c>
      <c r="K944" s="105" t="e">
        <f t="shared" ca="1" si="118"/>
        <v>#N/A</v>
      </c>
      <c r="L944" s="75"/>
    </row>
    <row r="945" spans="2:12">
      <c r="B945" s="101">
        <f t="shared" ca="1" si="119"/>
        <v>81027</v>
      </c>
      <c r="C945" s="101">
        <f t="shared" ca="1" si="120"/>
        <v>81056</v>
      </c>
      <c r="D945" s="102">
        <f t="shared" ca="1" si="115"/>
        <v>144.41341546885695</v>
      </c>
      <c r="E945" s="103">
        <f t="shared" ca="1" si="122"/>
        <v>0.31582142220702031</v>
      </c>
      <c r="F945" s="104" t="e">
        <f ca="1">IF($C$4="Hombre",(+VLOOKUP(INT(D945)+1,Tablas!$G$9:$K$1240,5,0)*(D945-INT(D945))+VLOOKUP(INT(D945),Tablas!$G$9:$K$1240,5,0)*(INT(D945)+1-D945))/(VLOOKUP(INT($C$5)+1,Tablas!$G$9:$K$1240,5,0)*($C$5-INT($C$5))+VLOOKUP(INT($C$5),Tablas!$G$9:$K$124,5,0)*(INT($C$5)+1-$C$5)),(+VLOOKUP(INT(D945)+1,Tablas!$G$9:$O$1240,9,0)*(D945-INT(D945))+VLOOKUP(INT(D945),Tablas!$G$9:$O$1240,9,0)*(INT(D945)+1-D945))/(VLOOKUP(INT($C$5)+1,Tablas!$G$9:$O$1240,9,0)*($C$5-INT($C$5))+VLOOKUP(INT($C$5),Tablas!$G$9:$O$124,9,0)*(INT($C$5)+1-$C$5)))</f>
        <v>#N/A</v>
      </c>
      <c r="G945" s="97" t="e">
        <f ca="1">IF($C$4="Hombre",(+VLOOKUP(INT(D945)+1,Tablas!$G$9:$K$1240,5,0)*(D945-INT(D945))+VLOOKUP(INT(D945),Tablas!$G$9:$K$1240,5,0)*(INT(D945)+1-D945)),+VLOOKUP(INT(D945)+1,Tablas!$G$9:$O$1240,9,0)*(D945-INT(D945))+VLOOKUP(INT(D945),Tablas!$G$9:$O$1240,9,0)*(INT(D945)+1-D945))</f>
        <v>#N/A</v>
      </c>
      <c r="H945" s="105">
        <f t="shared" ca="1" si="116"/>
        <v>1</v>
      </c>
      <c r="I945" s="106">
        <f t="shared" ca="1" si="117"/>
        <v>0</v>
      </c>
      <c r="J945" s="106">
        <f t="shared" ca="1" si="121"/>
        <v>0</v>
      </c>
      <c r="K945" s="105" t="e">
        <f t="shared" ca="1" si="118"/>
        <v>#N/A</v>
      </c>
      <c r="L945" s="75"/>
    </row>
    <row r="946" spans="2:12">
      <c r="B946" s="101">
        <f t="shared" ca="1" si="119"/>
        <v>81057</v>
      </c>
      <c r="C946" s="101">
        <f t="shared" ca="1" si="120"/>
        <v>81087</v>
      </c>
      <c r="D946" s="102">
        <f t="shared" ca="1" si="115"/>
        <v>144.49828884325805</v>
      </c>
      <c r="E946" s="103">
        <f t="shared" ca="1" si="122"/>
        <v>0.31542258752915581</v>
      </c>
      <c r="F946" s="104" t="e">
        <f ca="1">IF($C$4="Hombre",(+VLOOKUP(INT(D946)+1,Tablas!$G$9:$K$1240,5,0)*(D946-INT(D946))+VLOOKUP(INT(D946),Tablas!$G$9:$K$1240,5,0)*(INT(D946)+1-D946))/(VLOOKUP(INT($C$5)+1,Tablas!$G$9:$K$1240,5,0)*($C$5-INT($C$5))+VLOOKUP(INT($C$5),Tablas!$G$9:$K$124,5,0)*(INT($C$5)+1-$C$5)),(+VLOOKUP(INT(D946)+1,Tablas!$G$9:$O$1240,9,0)*(D946-INT(D946))+VLOOKUP(INT(D946),Tablas!$G$9:$O$1240,9,0)*(INT(D946)+1-D946))/(VLOOKUP(INT($C$5)+1,Tablas!$G$9:$O$1240,9,0)*($C$5-INT($C$5))+VLOOKUP(INT($C$5),Tablas!$G$9:$O$124,9,0)*(INT($C$5)+1-$C$5)))</f>
        <v>#N/A</v>
      </c>
      <c r="G946" s="97" t="e">
        <f ca="1">IF($C$4="Hombre",(+VLOOKUP(INT(D946)+1,Tablas!$G$9:$K$1240,5,0)*(D946-INT(D946))+VLOOKUP(INT(D946),Tablas!$G$9:$K$1240,5,0)*(INT(D946)+1-D946)),+VLOOKUP(INT(D946)+1,Tablas!$G$9:$O$1240,9,0)*(D946-INT(D946))+VLOOKUP(INT(D946),Tablas!$G$9:$O$1240,9,0)*(INT(D946)+1-D946))</f>
        <v>#N/A</v>
      </c>
      <c r="H946" s="105">
        <f t="shared" ca="1" si="116"/>
        <v>1</v>
      </c>
      <c r="I946" s="106">
        <f t="shared" ca="1" si="117"/>
        <v>0</v>
      </c>
      <c r="J946" s="106">
        <f t="shared" ca="1" si="121"/>
        <v>0</v>
      </c>
      <c r="K946" s="105" t="e">
        <f t="shared" ca="1" si="118"/>
        <v>#N/A</v>
      </c>
      <c r="L946" s="75"/>
    </row>
    <row r="947" spans="2:12">
      <c r="B947" s="101">
        <f t="shared" ca="1" si="119"/>
        <v>81088</v>
      </c>
      <c r="C947" s="101">
        <f t="shared" ca="1" si="120"/>
        <v>81118</v>
      </c>
      <c r="D947" s="102">
        <f t="shared" ca="1" si="115"/>
        <v>144.58316221765915</v>
      </c>
      <c r="E947" s="103">
        <f t="shared" ca="1" si="122"/>
        <v>0.31502425651915267</v>
      </c>
      <c r="F947" s="104" t="e">
        <f ca="1">IF($C$4="Hombre",(+VLOOKUP(INT(D947)+1,Tablas!$G$9:$K$1240,5,0)*(D947-INT(D947))+VLOOKUP(INT(D947),Tablas!$G$9:$K$1240,5,0)*(INT(D947)+1-D947))/(VLOOKUP(INT($C$5)+1,Tablas!$G$9:$K$1240,5,0)*($C$5-INT($C$5))+VLOOKUP(INT($C$5),Tablas!$G$9:$K$124,5,0)*(INT($C$5)+1-$C$5)),(+VLOOKUP(INT(D947)+1,Tablas!$G$9:$O$1240,9,0)*(D947-INT(D947))+VLOOKUP(INT(D947),Tablas!$G$9:$O$1240,9,0)*(INT(D947)+1-D947))/(VLOOKUP(INT($C$5)+1,Tablas!$G$9:$O$1240,9,0)*($C$5-INT($C$5))+VLOOKUP(INT($C$5),Tablas!$G$9:$O$124,9,0)*(INT($C$5)+1-$C$5)))</f>
        <v>#N/A</v>
      </c>
      <c r="G947" s="97" t="e">
        <f ca="1">IF($C$4="Hombre",(+VLOOKUP(INT(D947)+1,Tablas!$G$9:$K$1240,5,0)*(D947-INT(D947))+VLOOKUP(INT(D947),Tablas!$G$9:$K$1240,5,0)*(INT(D947)+1-D947)),+VLOOKUP(INT(D947)+1,Tablas!$G$9:$O$1240,9,0)*(D947-INT(D947))+VLOOKUP(INT(D947),Tablas!$G$9:$O$1240,9,0)*(INT(D947)+1-D947))</f>
        <v>#N/A</v>
      </c>
      <c r="H947" s="105">
        <f t="shared" ca="1" si="116"/>
        <v>1</v>
      </c>
      <c r="I947" s="106">
        <f t="shared" ca="1" si="117"/>
        <v>0</v>
      </c>
      <c r="J947" s="106">
        <f t="shared" ca="1" si="121"/>
        <v>0</v>
      </c>
      <c r="K947" s="105" t="e">
        <f t="shared" ca="1" si="118"/>
        <v>#N/A</v>
      </c>
      <c r="L947" s="75"/>
    </row>
    <row r="948" spans="2:12">
      <c r="B948" s="101">
        <f t="shared" ca="1" si="119"/>
        <v>81119</v>
      </c>
      <c r="C948" s="101">
        <f t="shared" ca="1" si="120"/>
        <v>81146</v>
      </c>
      <c r="D948" s="102">
        <f t="shared" ca="1" si="115"/>
        <v>144.65982203969884</v>
      </c>
      <c r="E948" s="103">
        <f t="shared" ca="1" si="122"/>
        <v>0.31466490605559433</v>
      </c>
      <c r="F948" s="104" t="e">
        <f ca="1">IF($C$4="Hombre",(+VLOOKUP(INT(D948)+1,Tablas!$G$9:$K$1240,5,0)*(D948-INT(D948))+VLOOKUP(INT(D948),Tablas!$G$9:$K$1240,5,0)*(INT(D948)+1-D948))/(VLOOKUP(INT($C$5)+1,Tablas!$G$9:$K$1240,5,0)*($C$5-INT($C$5))+VLOOKUP(INT($C$5),Tablas!$G$9:$K$124,5,0)*(INT($C$5)+1-$C$5)),(+VLOOKUP(INT(D948)+1,Tablas!$G$9:$O$1240,9,0)*(D948-INT(D948))+VLOOKUP(INT(D948),Tablas!$G$9:$O$1240,9,0)*(INT(D948)+1-D948))/(VLOOKUP(INT($C$5)+1,Tablas!$G$9:$O$1240,9,0)*($C$5-INT($C$5))+VLOOKUP(INT($C$5),Tablas!$G$9:$O$124,9,0)*(INT($C$5)+1-$C$5)))</f>
        <v>#N/A</v>
      </c>
      <c r="G948" s="97" t="e">
        <f ca="1">IF($C$4="Hombre",(+VLOOKUP(INT(D948)+1,Tablas!$G$9:$K$1240,5,0)*(D948-INT(D948))+VLOOKUP(INT(D948),Tablas!$G$9:$K$1240,5,0)*(INT(D948)+1-D948)),+VLOOKUP(INT(D948)+1,Tablas!$G$9:$O$1240,9,0)*(D948-INT(D948))+VLOOKUP(INT(D948),Tablas!$G$9:$O$1240,9,0)*(INT(D948)+1-D948))</f>
        <v>#N/A</v>
      </c>
      <c r="H948" s="105">
        <f t="shared" ca="1" si="116"/>
        <v>1</v>
      </c>
      <c r="I948" s="106">
        <f t="shared" ca="1" si="117"/>
        <v>0</v>
      </c>
      <c r="J948" s="106">
        <f t="shared" ca="1" si="121"/>
        <v>0</v>
      </c>
      <c r="K948" s="105" t="e">
        <f t="shared" ca="1" si="118"/>
        <v>#N/A</v>
      </c>
      <c r="L948" s="75"/>
    </row>
    <row r="949" spans="2:12">
      <c r="B949" s="101">
        <f t="shared" ca="1" si="119"/>
        <v>81147</v>
      </c>
      <c r="C949" s="101">
        <f t="shared" ca="1" si="120"/>
        <v>81177</v>
      </c>
      <c r="D949" s="102">
        <f t="shared" ca="1" si="115"/>
        <v>144.74469541409994</v>
      </c>
      <c r="E949" s="103">
        <f t="shared" ca="1" si="122"/>
        <v>0.31426753188266804</v>
      </c>
      <c r="F949" s="104" t="e">
        <f ca="1">IF($C$4="Hombre",(+VLOOKUP(INT(D949)+1,Tablas!$G$9:$K$1240,5,0)*(D949-INT(D949))+VLOOKUP(INT(D949),Tablas!$G$9:$K$1240,5,0)*(INT(D949)+1-D949))/(VLOOKUP(INT($C$5)+1,Tablas!$G$9:$K$1240,5,0)*($C$5-INT($C$5))+VLOOKUP(INT($C$5),Tablas!$G$9:$K$124,5,0)*(INT($C$5)+1-$C$5)),(+VLOOKUP(INT(D949)+1,Tablas!$G$9:$O$1240,9,0)*(D949-INT(D949))+VLOOKUP(INT(D949),Tablas!$G$9:$O$1240,9,0)*(INT(D949)+1-D949))/(VLOOKUP(INT($C$5)+1,Tablas!$G$9:$O$1240,9,0)*($C$5-INT($C$5))+VLOOKUP(INT($C$5),Tablas!$G$9:$O$124,9,0)*(INT($C$5)+1-$C$5)))</f>
        <v>#N/A</v>
      </c>
      <c r="G949" s="97" t="e">
        <f ca="1">IF($C$4="Hombre",(+VLOOKUP(INT(D949)+1,Tablas!$G$9:$K$1240,5,0)*(D949-INT(D949))+VLOOKUP(INT(D949),Tablas!$G$9:$K$1240,5,0)*(INT(D949)+1-D949)),+VLOOKUP(INT(D949)+1,Tablas!$G$9:$O$1240,9,0)*(D949-INT(D949))+VLOOKUP(INT(D949),Tablas!$G$9:$O$1240,9,0)*(INT(D949)+1-D949))</f>
        <v>#N/A</v>
      </c>
      <c r="H949" s="105">
        <f t="shared" ca="1" si="116"/>
        <v>1</v>
      </c>
      <c r="I949" s="106">
        <f t="shared" ca="1" si="117"/>
        <v>0</v>
      </c>
      <c r="J949" s="106">
        <f t="shared" ca="1" si="121"/>
        <v>0</v>
      </c>
      <c r="K949" s="105" t="e">
        <f t="shared" ca="1" si="118"/>
        <v>#N/A</v>
      </c>
      <c r="L949" s="75"/>
    </row>
    <row r="950" spans="2:12">
      <c r="B950" s="101">
        <f t="shared" ca="1" si="119"/>
        <v>81178</v>
      </c>
      <c r="C950" s="101">
        <f t="shared" ca="1" si="120"/>
        <v>81207</v>
      </c>
      <c r="D950" s="102">
        <f t="shared" ca="1" si="115"/>
        <v>144.82683093771391</v>
      </c>
      <c r="E950" s="103">
        <f t="shared" ca="1" si="122"/>
        <v>0.31388345404071755</v>
      </c>
      <c r="F950" s="104" t="e">
        <f ca="1">IF($C$4="Hombre",(+VLOOKUP(INT(D950)+1,Tablas!$G$9:$K$1240,5,0)*(D950-INT(D950))+VLOOKUP(INT(D950),Tablas!$G$9:$K$1240,5,0)*(INT(D950)+1-D950))/(VLOOKUP(INT($C$5)+1,Tablas!$G$9:$K$1240,5,0)*($C$5-INT($C$5))+VLOOKUP(INT($C$5),Tablas!$G$9:$K$124,5,0)*(INT($C$5)+1-$C$5)),(+VLOOKUP(INT(D950)+1,Tablas!$G$9:$O$1240,9,0)*(D950-INT(D950))+VLOOKUP(INT(D950),Tablas!$G$9:$O$1240,9,0)*(INT(D950)+1-D950))/(VLOOKUP(INT($C$5)+1,Tablas!$G$9:$O$1240,9,0)*($C$5-INT($C$5))+VLOOKUP(INT($C$5),Tablas!$G$9:$O$124,9,0)*(INT($C$5)+1-$C$5)))</f>
        <v>#N/A</v>
      </c>
      <c r="G950" s="97" t="e">
        <f ca="1">IF($C$4="Hombre",(+VLOOKUP(INT(D950)+1,Tablas!$G$9:$K$1240,5,0)*(D950-INT(D950))+VLOOKUP(INT(D950),Tablas!$G$9:$K$1240,5,0)*(INT(D950)+1-D950)),+VLOOKUP(INT(D950)+1,Tablas!$G$9:$O$1240,9,0)*(D950-INT(D950))+VLOOKUP(INT(D950),Tablas!$G$9:$O$1240,9,0)*(INT(D950)+1-D950))</f>
        <v>#N/A</v>
      </c>
      <c r="H950" s="105">
        <f t="shared" ca="1" si="116"/>
        <v>1</v>
      </c>
      <c r="I950" s="106">
        <f t="shared" ca="1" si="117"/>
        <v>0</v>
      </c>
      <c r="J950" s="106">
        <f t="shared" ca="1" si="121"/>
        <v>0</v>
      </c>
      <c r="K950" s="105" t="e">
        <f t="shared" ca="1" si="118"/>
        <v>#N/A</v>
      </c>
      <c r="L950" s="75"/>
    </row>
    <row r="951" spans="2:12">
      <c r="B951" s="101">
        <f t="shared" ca="1" si="119"/>
        <v>81208</v>
      </c>
      <c r="C951" s="101">
        <f t="shared" ca="1" si="120"/>
        <v>81238</v>
      </c>
      <c r="D951" s="102">
        <f t="shared" ca="1" si="115"/>
        <v>144.91170431211498</v>
      </c>
      <c r="E951" s="103">
        <f t="shared" ca="1" si="122"/>
        <v>0.31348706672346582</v>
      </c>
      <c r="F951" s="104" t="e">
        <f ca="1">IF($C$4="Hombre",(+VLOOKUP(INT(D951)+1,Tablas!$G$9:$K$1240,5,0)*(D951-INT(D951))+VLOOKUP(INT(D951),Tablas!$G$9:$K$1240,5,0)*(INT(D951)+1-D951))/(VLOOKUP(INT($C$5)+1,Tablas!$G$9:$K$1240,5,0)*($C$5-INT($C$5))+VLOOKUP(INT($C$5),Tablas!$G$9:$K$124,5,0)*(INT($C$5)+1-$C$5)),(+VLOOKUP(INT(D951)+1,Tablas!$G$9:$O$1240,9,0)*(D951-INT(D951))+VLOOKUP(INT(D951),Tablas!$G$9:$O$1240,9,0)*(INT(D951)+1-D951))/(VLOOKUP(INT($C$5)+1,Tablas!$G$9:$O$1240,9,0)*($C$5-INT($C$5))+VLOOKUP(INT($C$5),Tablas!$G$9:$O$124,9,0)*(INT($C$5)+1-$C$5)))</f>
        <v>#N/A</v>
      </c>
      <c r="G951" s="97" t="e">
        <f ca="1">IF($C$4="Hombre",(+VLOOKUP(INT(D951)+1,Tablas!$G$9:$K$1240,5,0)*(D951-INT(D951))+VLOOKUP(INT(D951),Tablas!$G$9:$K$1240,5,0)*(INT(D951)+1-D951)),+VLOOKUP(INT(D951)+1,Tablas!$G$9:$O$1240,9,0)*(D951-INT(D951))+VLOOKUP(INT(D951),Tablas!$G$9:$O$1240,9,0)*(INT(D951)+1-D951))</f>
        <v>#N/A</v>
      </c>
      <c r="H951" s="105">
        <f t="shared" ca="1" si="116"/>
        <v>1</v>
      </c>
      <c r="I951" s="106">
        <f t="shared" ca="1" si="117"/>
        <v>0</v>
      </c>
      <c r="J951" s="106">
        <f t="shared" ca="1" si="121"/>
        <v>0</v>
      </c>
      <c r="K951" s="105" t="e">
        <f t="shared" ca="1" si="118"/>
        <v>#N/A</v>
      </c>
      <c r="L951" s="75"/>
    </row>
    <row r="952" spans="2:12">
      <c r="B952" s="101">
        <f t="shared" ca="1" si="119"/>
        <v>81239</v>
      </c>
      <c r="C952" s="101">
        <f t="shared" ca="1" si="120"/>
        <v>81268</v>
      </c>
      <c r="D952" s="102">
        <f t="shared" ca="1" si="115"/>
        <v>144.99383983572895</v>
      </c>
      <c r="E952" s="103">
        <f t="shared" ca="1" si="122"/>
        <v>0.31310394271652414</v>
      </c>
      <c r="F952" s="104" t="e">
        <f ca="1">IF($C$4="Hombre",(+VLOOKUP(INT(D952)+1,Tablas!$G$9:$K$1240,5,0)*(D952-INT(D952))+VLOOKUP(INT(D952),Tablas!$G$9:$K$1240,5,0)*(INT(D952)+1-D952))/(VLOOKUP(INT($C$5)+1,Tablas!$G$9:$K$1240,5,0)*($C$5-INT($C$5))+VLOOKUP(INT($C$5),Tablas!$G$9:$K$124,5,0)*(INT($C$5)+1-$C$5)),(+VLOOKUP(INT(D952)+1,Tablas!$G$9:$O$1240,9,0)*(D952-INT(D952))+VLOOKUP(INT(D952),Tablas!$G$9:$O$1240,9,0)*(INT(D952)+1-D952))/(VLOOKUP(INT($C$5)+1,Tablas!$G$9:$O$1240,9,0)*($C$5-INT($C$5))+VLOOKUP(INT($C$5),Tablas!$G$9:$O$124,9,0)*(INT($C$5)+1-$C$5)))</f>
        <v>#N/A</v>
      </c>
      <c r="G952" s="97" t="e">
        <f ca="1">IF($C$4="Hombre",(+VLOOKUP(INT(D952)+1,Tablas!$G$9:$K$1240,5,0)*(D952-INT(D952))+VLOOKUP(INT(D952),Tablas!$G$9:$K$1240,5,0)*(INT(D952)+1-D952)),+VLOOKUP(INT(D952)+1,Tablas!$G$9:$O$1240,9,0)*(D952-INT(D952))+VLOOKUP(INT(D952),Tablas!$G$9:$O$1240,9,0)*(INT(D952)+1-D952))</f>
        <v>#N/A</v>
      </c>
      <c r="H952" s="105">
        <f t="shared" ca="1" si="116"/>
        <v>1</v>
      </c>
      <c r="I952" s="106">
        <f t="shared" ca="1" si="117"/>
        <v>0</v>
      </c>
      <c r="J952" s="106">
        <f t="shared" ca="1" si="121"/>
        <v>0</v>
      </c>
      <c r="K952" s="105" t="e">
        <f t="shared" ca="1" si="118"/>
        <v>#N/A</v>
      </c>
      <c r="L952" s="75"/>
    </row>
    <row r="953" spans="2:12">
      <c r="B953" s="101">
        <f t="shared" ca="1" si="119"/>
        <v>81269</v>
      </c>
      <c r="C953" s="101">
        <f t="shared" ca="1" si="120"/>
        <v>81299</v>
      </c>
      <c r="D953" s="102">
        <f t="shared" ca="1" si="115"/>
        <v>145.07871321013005</v>
      </c>
      <c r="E953" s="103">
        <f t="shared" ca="1" si="122"/>
        <v>0.31270853980414798</v>
      </c>
      <c r="F953" s="104" t="e">
        <f ca="1">IF($C$4="Hombre",(+VLOOKUP(INT(D953)+1,Tablas!$G$9:$K$1240,5,0)*(D953-INT(D953))+VLOOKUP(INT(D953),Tablas!$G$9:$K$1240,5,0)*(INT(D953)+1-D953))/(VLOOKUP(INT($C$5)+1,Tablas!$G$9:$K$1240,5,0)*($C$5-INT($C$5))+VLOOKUP(INT($C$5),Tablas!$G$9:$K$124,5,0)*(INT($C$5)+1-$C$5)),(+VLOOKUP(INT(D953)+1,Tablas!$G$9:$O$1240,9,0)*(D953-INT(D953))+VLOOKUP(INT(D953),Tablas!$G$9:$O$1240,9,0)*(INT(D953)+1-D953))/(VLOOKUP(INT($C$5)+1,Tablas!$G$9:$O$1240,9,0)*($C$5-INT($C$5))+VLOOKUP(INT($C$5),Tablas!$G$9:$O$124,9,0)*(INT($C$5)+1-$C$5)))</f>
        <v>#N/A</v>
      </c>
      <c r="G953" s="97" t="e">
        <f ca="1">IF($C$4="Hombre",(+VLOOKUP(INT(D953)+1,Tablas!$G$9:$K$1240,5,0)*(D953-INT(D953))+VLOOKUP(INT(D953),Tablas!$G$9:$K$1240,5,0)*(INT(D953)+1-D953)),+VLOOKUP(INT(D953)+1,Tablas!$G$9:$O$1240,9,0)*(D953-INT(D953))+VLOOKUP(INT(D953),Tablas!$G$9:$O$1240,9,0)*(INT(D953)+1-D953))</f>
        <v>#N/A</v>
      </c>
      <c r="H953" s="105">
        <f t="shared" ca="1" si="116"/>
        <v>1</v>
      </c>
      <c r="I953" s="106">
        <f t="shared" ca="1" si="117"/>
        <v>0</v>
      </c>
      <c r="J953" s="106">
        <f t="shared" ca="1" si="121"/>
        <v>0</v>
      </c>
      <c r="K953" s="105" t="e">
        <f t="shared" ca="1" si="118"/>
        <v>#N/A</v>
      </c>
      <c r="L953" s="75"/>
    </row>
    <row r="954" spans="2:12">
      <c r="B954" s="101">
        <f t="shared" ca="1" si="119"/>
        <v>81300</v>
      </c>
      <c r="C954" s="101">
        <f t="shared" ca="1" si="120"/>
        <v>81330</v>
      </c>
      <c r="D954" s="102">
        <f t="shared" ca="1" si="115"/>
        <v>145.16358658453115</v>
      </c>
      <c r="E954" s="103">
        <f t="shared" ca="1" si="122"/>
        <v>0.31231363622583247</v>
      </c>
      <c r="F954" s="104" t="e">
        <f ca="1">IF($C$4="Hombre",(+VLOOKUP(INT(D954)+1,Tablas!$G$9:$K$1240,5,0)*(D954-INT(D954))+VLOOKUP(INT(D954),Tablas!$G$9:$K$1240,5,0)*(INT(D954)+1-D954))/(VLOOKUP(INT($C$5)+1,Tablas!$G$9:$K$1240,5,0)*($C$5-INT($C$5))+VLOOKUP(INT($C$5),Tablas!$G$9:$K$124,5,0)*(INT($C$5)+1-$C$5)),(+VLOOKUP(INT(D954)+1,Tablas!$G$9:$O$1240,9,0)*(D954-INT(D954))+VLOOKUP(INT(D954),Tablas!$G$9:$O$1240,9,0)*(INT(D954)+1-D954))/(VLOOKUP(INT($C$5)+1,Tablas!$G$9:$O$1240,9,0)*($C$5-INT($C$5))+VLOOKUP(INT($C$5),Tablas!$G$9:$O$124,9,0)*(INT($C$5)+1-$C$5)))</f>
        <v>#N/A</v>
      </c>
      <c r="G954" s="97" t="e">
        <f ca="1">IF($C$4="Hombre",(+VLOOKUP(INT(D954)+1,Tablas!$G$9:$K$1240,5,0)*(D954-INT(D954))+VLOOKUP(INT(D954),Tablas!$G$9:$K$1240,5,0)*(INT(D954)+1-D954)),+VLOOKUP(INT(D954)+1,Tablas!$G$9:$O$1240,9,0)*(D954-INT(D954))+VLOOKUP(INT(D954),Tablas!$G$9:$O$1240,9,0)*(INT(D954)+1-D954))</f>
        <v>#N/A</v>
      </c>
      <c r="H954" s="105">
        <f t="shared" ca="1" si="116"/>
        <v>1</v>
      </c>
      <c r="I954" s="106">
        <f t="shared" ca="1" si="117"/>
        <v>0</v>
      </c>
      <c r="J954" s="106">
        <f t="shared" ca="1" si="121"/>
        <v>0</v>
      </c>
      <c r="K954" s="105" t="e">
        <f t="shared" ca="1" si="118"/>
        <v>#N/A</v>
      </c>
      <c r="L954" s="75"/>
    </row>
    <row r="955" spans="2:12">
      <c r="B955" s="101">
        <f t="shared" ca="1" si="119"/>
        <v>81331</v>
      </c>
      <c r="C955" s="101">
        <f t="shared" ca="1" si="120"/>
        <v>81360</v>
      </c>
      <c r="D955" s="102">
        <f t="shared" ca="1" si="115"/>
        <v>145.24572210814512</v>
      </c>
      <c r="E955" s="103">
        <f t="shared" ca="1" si="122"/>
        <v>0.31193194631120869</v>
      </c>
      <c r="F955" s="104" t="e">
        <f ca="1">IF($C$4="Hombre",(+VLOOKUP(INT(D955)+1,Tablas!$G$9:$K$1240,5,0)*(D955-INT(D955))+VLOOKUP(INT(D955),Tablas!$G$9:$K$1240,5,0)*(INT(D955)+1-D955))/(VLOOKUP(INT($C$5)+1,Tablas!$G$9:$K$1240,5,0)*($C$5-INT($C$5))+VLOOKUP(INT($C$5),Tablas!$G$9:$K$124,5,0)*(INT($C$5)+1-$C$5)),(+VLOOKUP(INT(D955)+1,Tablas!$G$9:$O$1240,9,0)*(D955-INT(D955))+VLOOKUP(INT(D955),Tablas!$G$9:$O$1240,9,0)*(INT(D955)+1-D955))/(VLOOKUP(INT($C$5)+1,Tablas!$G$9:$O$1240,9,0)*($C$5-INT($C$5))+VLOOKUP(INT($C$5),Tablas!$G$9:$O$124,9,0)*(INT($C$5)+1-$C$5)))</f>
        <v>#N/A</v>
      </c>
      <c r="G955" s="97" t="e">
        <f ca="1">IF($C$4="Hombre",(+VLOOKUP(INT(D955)+1,Tablas!$G$9:$K$1240,5,0)*(D955-INT(D955))+VLOOKUP(INT(D955),Tablas!$G$9:$K$1240,5,0)*(INT(D955)+1-D955)),+VLOOKUP(INT(D955)+1,Tablas!$G$9:$O$1240,9,0)*(D955-INT(D955))+VLOOKUP(INT(D955),Tablas!$G$9:$O$1240,9,0)*(INT(D955)+1-D955))</f>
        <v>#N/A</v>
      </c>
      <c r="H955" s="105">
        <f t="shared" ca="1" si="116"/>
        <v>1</v>
      </c>
      <c r="I955" s="106">
        <f t="shared" ca="1" si="117"/>
        <v>0</v>
      </c>
      <c r="J955" s="106">
        <f t="shared" ca="1" si="121"/>
        <v>0</v>
      </c>
      <c r="K955" s="105" t="e">
        <f t="shared" ca="1" si="118"/>
        <v>#N/A</v>
      </c>
      <c r="L955" s="75"/>
    </row>
    <row r="956" spans="2:12">
      <c r="B956" s="101">
        <f t="shared" ca="1" si="119"/>
        <v>81361</v>
      </c>
      <c r="C956" s="101">
        <f t="shared" ca="1" si="120"/>
        <v>81391</v>
      </c>
      <c r="D956" s="102">
        <f t="shared" ca="1" si="115"/>
        <v>145.33059548254622</v>
      </c>
      <c r="E956" s="103">
        <f t="shared" ca="1" si="122"/>
        <v>0.31153802345298942</v>
      </c>
      <c r="F956" s="104" t="e">
        <f ca="1">IF($C$4="Hombre",(+VLOOKUP(INT(D956)+1,Tablas!$G$9:$K$1240,5,0)*(D956-INT(D956))+VLOOKUP(INT(D956),Tablas!$G$9:$K$1240,5,0)*(INT(D956)+1-D956))/(VLOOKUP(INT($C$5)+1,Tablas!$G$9:$K$1240,5,0)*($C$5-INT($C$5))+VLOOKUP(INT($C$5),Tablas!$G$9:$K$124,5,0)*(INT($C$5)+1-$C$5)),(+VLOOKUP(INT(D956)+1,Tablas!$G$9:$O$1240,9,0)*(D956-INT(D956))+VLOOKUP(INT(D956),Tablas!$G$9:$O$1240,9,0)*(INT(D956)+1-D956))/(VLOOKUP(INT($C$5)+1,Tablas!$G$9:$O$1240,9,0)*($C$5-INT($C$5))+VLOOKUP(INT($C$5),Tablas!$G$9:$O$124,9,0)*(INT($C$5)+1-$C$5)))</f>
        <v>#N/A</v>
      </c>
      <c r="G956" s="97" t="e">
        <f ca="1">IF($C$4="Hombre",(+VLOOKUP(INT(D956)+1,Tablas!$G$9:$K$1240,5,0)*(D956-INT(D956))+VLOOKUP(INT(D956),Tablas!$G$9:$K$1240,5,0)*(INT(D956)+1-D956)),+VLOOKUP(INT(D956)+1,Tablas!$G$9:$O$1240,9,0)*(D956-INT(D956))+VLOOKUP(INT(D956),Tablas!$G$9:$O$1240,9,0)*(INT(D956)+1-D956))</f>
        <v>#N/A</v>
      </c>
      <c r="H956" s="105">
        <f t="shared" ca="1" si="116"/>
        <v>1</v>
      </c>
      <c r="I956" s="106">
        <f t="shared" ca="1" si="117"/>
        <v>0</v>
      </c>
      <c r="J956" s="106">
        <f t="shared" ca="1" si="121"/>
        <v>0</v>
      </c>
      <c r="K956" s="105" t="e">
        <f t="shared" ca="1" si="118"/>
        <v>#N/A</v>
      </c>
      <c r="L956" s="75"/>
    </row>
    <row r="957" spans="2:12">
      <c r="B957" s="101">
        <f t="shared" ca="1" si="119"/>
        <v>81392</v>
      </c>
      <c r="C957" s="101">
        <f t="shared" ca="1" si="120"/>
        <v>81421</v>
      </c>
      <c r="D957" s="102">
        <f t="shared" ca="1" si="115"/>
        <v>145.41273100616016</v>
      </c>
      <c r="E957" s="103">
        <f t="shared" ca="1" si="122"/>
        <v>0.31115728144309579</v>
      </c>
      <c r="F957" s="104" t="e">
        <f ca="1">IF($C$4="Hombre",(+VLOOKUP(INT(D957)+1,Tablas!$G$9:$K$1240,5,0)*(D957-INT(D957))+VLOOKUP(INT(D957),Tablas!$G$9:$K$1240,5,0)*(INT(D957)+1-D957))/(VLOOKUP(INT($C$5)+1,Tablas!$G$9:$K$1240,5,0)*($C$5-INT($C$5))+VLOOKUP(INT($C$5),Tablas!$G$9:$K$124,5,0)*(INT($C$5)+1-$C$5)),(+VLOOKUP(INT(D957)+1,Tablas!$G$9:$O$1240,9,0)*(D957-INT(D957))+VLOOKUP(INT(D957),Tablas!$G$9:$O$1240,9,0)*(INT(D957)+1-D957))/(VLOOKUP(INT($C$5)+1,Tablas!$G$9:$O$1240,9,0)*($C$5-INT($C$5))+VLOOKUP(INT($C$5),Tablas!$G$9:$O$124,9,0)*(INT($C$5)+1-$C$5)))</f>
        <v>#N/A</v>
      </c>
      <c r="G957" s="97" t="e">
        <f ca="1">IF($C$4="Hombre",(+VLOOKUP(INT(D957)+1,Tablas!$G$9:$K$1240,5,0)*(D957-INT(D957))+VLOOKUP(INT(D957),Tablas!$G$9:$K$1240,5,0)*(INT(D957)+1-D957)),+VLOOKUP(INT(D957)+1,Tablas!$G$9:$O$1240,9,0)*(D957-INT(D957))+VLOOKUP(INT(D957),Tablas!$G$9:$O$1240,9,0)*(INT(D957)+1-D957))</f>
        <v>#N/A</v>
      </c>
      <c r="H957" s="105">
        <f t="shared" ca="1" si="116"/>
        <v>1</v>
      </c>
      <c r="I957" s="106">
        <f t="shared" ca="1" si="117"/>
        <v>0</v>
      </c>
      <c r="J957" s="106">
        <f t="shared" ca="1" si="121"/>
        <v>0</v>
      </c>
      <c r="K957" s="105" t="e">
        <f t="shared" ca="1" si="118"/>
        <v>#N/A</v>
      </c>
      <c r="L957" s="75"/>
    </row>
    <row r="958" spans="2:12">
      <c r="B958" s="101">
        <f t="shared" ca="1" si="119"/>
        <v>81422</v>
      </c>
      <c r="C958" s="101">
        <f t="shared" ca="1" si="120"/>
        <v>81452</v>
      </c>
      <c r="D958" s="102">
        <f t="shared" ca="1" si="115"/>
        <v>145.49760438056126</v>
      </c>
      <c r="E958" s="103">
        <f t="shared" ca="1" si="122"/>
        <v>0.31076433686941141</v>
      </c>
      <c r="F958" s="104" t="e">
        <f ca="1">IF($C$4="Hombre",(+VLOOKUP(INT(D958)+1,Tablas!$G$9:$K$1240,5,0)*(D958-INT(D958))+VLOOKUP(INT(D958),Tablas!$G$9:$K$1240,5,0)*(INT(D958)+1-D958))/(VLOOKUP(INT($C$5)+1,Tablas!$G$9:$K$1240,5,0)*($C$5-INT($C$5))+VLOOKUP(INT($C$5),Tablas!$G$9:$K$124,5,0)*(INT($C$5)+1-$C$5)),(+VLOOKUP(INT(D958)+1,Tablas!$G$9:$O$1240,9,0)*(D958-INT(D958))+VLOOKUP(INT(D958),Tablas!$G$9:$O$1240,9,0)*(INT(D958)+1-D958))/(VLOOKUP(INT($C$5)+1,Tablas!$G$9:$O$1240,9,0)*($C$5-INT($C$5))+VLOOKUP(INT($C$5),Tablas!$G$9:$O$124,9,0)*(INT($C$5)+1-$C$5)))</f>
        <v>#N/A</v>
      </c>
      <c r="G958" s="97" t="e">
        <f ca="1">IF($C$4="Hombre",(+VLOOKUP(INT(D958)+1,Tablas!$G$9:$K$1240,5,0)*(D958-INT(D958))+VLOOKUP(INT(D958),Tablas!$G$9:$K$1240,5,0)*(INT(D958)+1-D958)),+VLOOKUP(INT(D958)+1,Tablas!$G$9:$O$1240,9,0)*(D958-INT(D958))+VLOOKUP(INT(D958),Tablas!$G$9:$O$1240,9,0)*(INT(D958)+1-D958))</f>
        <v>#N/A</v>
      </c>
      <c r="H958" s="105">
        <f t="shared" ca="1" si="116"/>
        <v>1</v>
      </c>
      <c r="I958" s="106">
        <f t="shared" ca="1" si="117"/>
        <v>0</v>
      </c>
      <c r="J958" s="106">
        <f t="shared" ca="1" si="121"/>
        <v>0</v>
      </c>
      <c r="K958" s="105" t="e">
        <f t="shared" ca="1" si="118"/>
        <v>#N/A</v>
      </c>
      <c r="L958" s="75"/>
    </row>
    <row r="959" spans="2:12">
      <c r="B959" s="101">
        <f t="shared" ca="1" si="119"/>
        <v>81453</v>
      </c>
      <c r="C959" s="101">
        <f t="shared" ca="1" si="120"/>
        <v>81483</v>
      </c>
      <c r="D959" s="102">
        <f t="shared" ca="1" si="115"/>
        <v>145.58247775496235</v>
      </c>
      <c r="E959" s="103">
        <f t="shared" ca="1" si="122"/>
        <v>0.31037188852527775</v>
      </c>
      <c r="F959" s="104" t="e">
        <f ca="1">IF($C$4="Hombre",(+VLOOKUP(INT(D959)+1,Tablas!$G$9:$K$1240,5,0)*(D959-INT(D959))+VLOOKUP(INT(D959),Tablas!$G$9:$K$1240,5,0)*(INT(D959)+1-D959))/(VLOOKUP(INT($C$5)+1,Tablas!$G$9:$K$1240,5,0)*($C$5-INT($C$5))+VLOOKUP(INT($C$5),Tablas!$G$9:$K$124,5,0)*(INT($C$5)+1-$C$5)),(+VLOOKUP(INT(D959)+1,Tablas!$G$9:$O$1240,9,0)*(D959-INT(D959))+VLOOKUP(INT(D959),Tablas!$G$9:$O$1240,9,0)*(INT(D959)+1-D959))/(VLOOKUP(INT($C$5)+1,Tablas!$G$9:$O$1240,9,0)*($C$5-INT($C$5))+VLOOKUP(INT($C$5),Tablas!$G$9:$O$124,9,0)*(INT($C$5)+1-$C$5)))</f>
        <v>#N/A</v>
      </c>
      <c r="G959" s="97" t="e">
        <f ca="1">IF($C$4="Hombre",(+VLOOKUP(INT(D959)+1,Tablas!$G$9:$K$1240,5,0)*(D959-INT(D959))+VLOOKUP(INT(D959),Tablas!$G$9:$K$1240,5,0)*(INT(D959)+1-D959)),+VLOOKUP(INT(D959)+1,Tablas!$G$9:$O$1240,9,0)*(D959-INT(D959))+VLOOKUP(INT(D959),Tablas!$G$9:$O$1240,9,0)*(INT(D959)+1-D959))</f>
        <v>#N/A</v>
      </c>
      <c r="H959" s="105">
        <f t="shared" ca="1" si="116"/>
        <v>1</v>
      </c>
      <c r="I959" s="106">
        <f t="shared" ca="1" si="117"/>
        <v>0</v>
      </c>
      <c r="J959" s="106">
        <f t="shared" ca="1" si="121"/>
        <v>0</v>
      </c>
      <c r="K959" s="105" t="e">
        <f t="shared" ca="1" si="118"/>
        <v>#N/A</v>
      </c>
      <c r="L959" s="75"/>
    </row>
    <row r="960" spans="2:12">
      <c r="B960" s="101">
        <f t="shared" ca="1" si="119"/>
        <v>81484</v>
      </c>
      <c r="C960" s="101">
        <f t="shared" ca="1" si="120"/>
        <v>81511</v>
      </c>
      <c r="D960" s="102">
        <f t="shared" ca="1" si="115"/>
        <v>145.65913757700204</v>
      </c>
      <c r="E960" s="103">
        <f t="shared" ca="1" si="122"/>
        <v>0.31001784505177071</v>
      </c>
      <c r="F960" s="104" t="e">
        <f ca="1">IF($C$4="Hombre",(+VLOOKUP(INT(D960)+1,Tablas!$G$9:$K$1240,5,0)*(D960-INT(D960))+VLOOKUP(INT(D960),Tablas!$G$9:$K$1240,5,0)*(INT(D960)+1-D960))/(VLOOKUP(INT($C$5)+1,Tablas!$G$9:$K$1240,5,0)*($C$5-INT($C$5))+VLOOKUP(INT($C$5),Tablas!$G$9:$K$124,5,0)*(INT($C$5)+1-$C$5)),(+VLOOKUP(INT(D960)+1,Tablas!$G$9:$O$1240,9,0)*(D960-INT(D960))+VLOOKUP(INT(D960),Tablas!$G$9:$O$1240,9,0)*(INT(D960)+1-D960))/(VLOOKUP(INT($C$5)+1,Tablas!$G$9:$O$1240,9,0)*($C$5-INT($C$5))+VLOOKUP(INT($C$5),Tablas!$G$9:$O$124,9,0)*(INT($C$5)+1-$C$5)))</f>
        <v>#N/A</v>
      </c>
      <c r="G960" s="97" t="e">
        <f ca="1">IF($C$4="Hombre",(+VLOOKUP(INT(D960)+1,Tablas!$G$9:$K$1240,5,0)*(D960-INT(D960))+VLOOKUP(INT(D960),Tablas!$G$9:$K$1240,5,0)*(INT(D960)+1-D960)),+VLOOKUP(INT(D960)+1,Tablas!$G$9:$O$1240,9,0)*(D960-INT(D960))+VLOOKUP(INT(D960),Tablas!$G$9:$O$1240,9,0)*(INT(D960)+1-D960))</f>
        <v>#N/A</v>
      </c>
      <c r="H960" s="105">
        <f t="shared" ca="1" si="116"/>
        <v>1</v>
      </c>
      <c r="I960" s="106">
        <f t="shared" ca="1" si="117"/>
        <v>0</v>
      </c>
      <c r="J960" s="106">
        <f t="shared" ca="1" si="121"/>
        <v>0</v>
      </c>
      <c r="K960" s="105" t="e">
        <f t="shared" ca="1" si="118"/>
        <v>#N/A</v>
      </c>
      <c r="L960" s="75"/>
    </row>
    <row r="961" spans="2:12">
      <c r="B961" s="101">
        <f t="shared" ca="1" si="119"/>
        <v>81512</v>
      </c>
      <c r="C961" s="101">
        <f t="shared" ca="1" si="120"/>
        <v>81542</v>
      </c>
      <c r="D961" s="102">
        <f t="shared" ca="1" si="115"/>
        <v>145.74401095140314</v>
      </c>
      <c r="E961" s="103">
        <f t="shared" ca="1" si="122"/>
        <v>0.3096263394138713</v>
      </c>
      <c r="F961" s="104" t="e">
        <f ca="1">IF($C$4="Hombre",(+VLOOKUP(INT(D961)+1,Tablas!$G$9:$K$1240,5,0)*(D961-INT(D961))+VLOOKUP(INT(D961),Tablas!$G$9:$K$1240,5,0)*(INT(D961)+1-D961))/(VLOOKUP(INT($C$5)+1,Tablas!$G$9:$K$1240,5,0)*($C$5-INT($C$5))+VLOOKUP(INT($C$5),Tablas!$G$9:$K$124,5,0)*(INT($C$5)+1-$C$5)),(+VLOOKUP(INT(D961)+1,Tablas!$G$9:$O$1240,9,0)*(D961-INT(D961))+VLOOKUP(INT(D961),Tablas!$G$9:$O$1240,9,0)*(INT(D961)+1-D961))/(VLOOKUP(INT($C$5)+1,Tablas!$G$9:$O$1240,9,0)*($C$5-INT($C$5))+VLOOKUP(INT($C$5),Tablas!$G$9:$O$124,9,0)*(INT($C$5)+1-$C$5)))</f>
        <v>#N/A</v>
      </c>
      <c r="G961" s="97" t="e">
        <f ca="1">IF($C$4="Hombre",(+VLOOKUP(INT(D961)+1,Tablas!$G$9:$K$1240,5,0)*(D961-INT(D961))+VLOOKUP(INT(D961),Tablas!$G$9:$K$1240,5,0)*(INT(D961)+1-D961)),+VLOOKUP(INT(D961)+1,Tablas!$G$9:$O$1240,9,0)*(D961-INT(D961))+VLOOKUP(INT(D961),Tablas!$G$9:$O$1240,9,0)*(INT(D961)+1-D961))</f>
        <v>#N/A</v>
      </c>
      <c r="H961" s="105">
        <f t="shared" ca="1" si="116"/>
        <v>1</v>
      </c>
      <c r="I961" s="106">
        <f t="shared" ca="1" si="117"/>
        <v>0</v>
      </c>
      <c r="J961" s="106">
        <f t="shared" ca="1" si="121"/>
        <v>0</v>
      </c>
      <c r="K961" s="105" t="e">
        <f t="shared" ca="1" si="118"/>
        <v>#N/A</v>
      </c>
      <c r="L961" s="75"/>
    </row>
    <row r="962" spans="2:12">
      <c r="B962" s="101">
        <f t="shared" ca="1" si="119"/>
        <v>81543</v>
      </c>
      <c r="C962" s="101">
        <f t="shared" ca="1" si="120"/>
        <v>81572</v>
      </c>
      <c r="D962" s="102">
        <f t="shared" ca="1" si="115"/>
        <v>145.82614647501711</v>
      </c>
      <c r="E962" s="103">
        <f t="shared" ca="1" si="122"/>
        <v>0.30924793374294274</v>
      </c>
      <c r="F962" s="104" t="e">
        <f ca="1">IF($C$4="Hombre",(+VLOOKUP(INT(D962)+1,Tablas!$G$9:$K$1240,5,0)*(D962-INT(D962))+VLOOKUP(INT(D962),Tablas!$G$9:$K$1240,5,0)*(INT(D962)+1-D962))/(VLOOKUP(INT($C$5)+1,Tablas!$G$9:$K$1240,5,0)*($C$5-INT($C$5))+VLOOKUP(INT($C$5),Tablas!$G$9:$K$124,5,0)*(INT($C$5)+1-$C$5)),(+VLOOKUP(INT(D962)+1,Tablas!$G$9:$O$1240,9,0)*(D962-INT(D962))+VLOOKUP(INT(D962),Tablas!$G$9:$O$1240,9,0)*(INT(D962)+1-D962))/(VLOOKUP(INT($C$5)+1,Tablas!$G$9:$O$1240,9,0)*($C$5-INT($C$5))+VLOOKUP(INT($C$5),Tablas!$G$9:$O$124,9,0)*(INT($C$5)+1-$C$5)))</f>
        <v>#N/A</v>
      </c>
      <c r="G962" s="97" t="e">
        <f ca="1">IF($C$4="Hombre",(+VLOOKUP(INT(D962)+1,Tablas!$G$9:$K$1240,5,0)*(D962-INT(D962))+VLOOKUP(INT(D962),Tablas!$G$9:$K$1240,5,0)*(INT(D962)+1-D962)),+VLOOKUP(INT(D962)+1,Tablas!$G$9:$O$1240,9,0)*(D962-INT(D962))+VLOOKUP(INT(D962),Tablas!$G$9:$O$1240,9,0)*(INT(D962)+1-D962))</f>
        <v>#N/A</v>
      </c>
      <c r="H962" s="105">
        <f t="shared" ca="1" si="116"/>
        <v>1</v>
      </c>
      <c r="I962" s="106">
        <f t="shared" ca="1" si="117"/>
        <v>0</v>
      </c>
      <c r="J962" s="106">
        <f t="shared" ca="1" si="121"/>
        <v>0</v>
      </c>
      <c r="K962" s="105" t="e">
        <f t="shared" ca="1" si="118"/>
        <v>#N/A</v>
      </c>
      <c r="L962" s="75"/>
    </row>
    <row r="963" spans="2:12">
      <c r="B963" s="101">
        <f t="shared" ca="1" si="119"/>
        <v>81573</v>
      </c>
      <c r="C963" s="101">
        <f t="shared" ca="1" si="120"/>
        <v>81603</v>
      </c>
      <c r="D963" s="102">
        <f t="shared" ca="1" si="115"/>
        <v>145.91101984941821</v>
      </c>
      <c r="E963" s="103">
        <f t="shared" ca="1" si="122"/>
        <v>0.30885740038655202</v>
      </c>
      <c r="F963" s="104" t="e">
        <f ca="1">IF($C$4="Hombre",(+VLOOKUP(INT(D963)+1,Tablas!$G$9:$K$1240,5,0)*(D963-INT(D963))+VLOOKUP(INT(D963),Tablas!$G$9:$K$1240,5,0)*(INT(D963)+1-D963))/(VLOOKUP(INT($C$5)+1,Tablas!$G$9:$K$1240,5,0)*($C$5-INT($C$5))+VLOOKUP(INT($C$5),Tablas!$G$9:$K$124,5,0)*(INT($C$5)+1-$C$5)),(+VLOOKUP(INT(D963)+1,Tablas!$G$9:$O$1240,9,0)*(D963-INT(D963))+VLOOKUP(INT(D963),Tablas!$G$9:$O$1240,9,0)*(INT(D963)+1-D963))/(VLOOKUP(INT($C$5)+1,Tablas!$G$9:$O$1240,9,0)*($C$5-INT($C$5))+VLOOKUP(INT($C$5),Tablas!$G$9:$O$124,9,0)*(INT($C$5)+1-$C$5)))</f>
        <v>#N/A</v>
      </c>
      <c r="G963" s="97" t="e">
        <f ca="1">IF($C$4="Hombre",(+VLOOKUP(INT(D963)+1,Tablas!$G$9:$K$1240,5,0)*(D963-INT(D963))+VLOOKUP(INT(D963),Tablas!$G$9:$K$1240,5,0)*(INT(D963)+1-D963)),+VLOOKUP(INT(D963)+1,Tablas!$G$9:$O$1240,9,0)*(D963-INT(D963))+VLOOKUP(INT(D963),Tablas!$G$9:$O$1240,9,0)*(INT(D963)+1-D963))</f>
        <v>#N/A</v>
      </c>
      <c r="H963" s="105">
        <f t="shared" ca="1" si="116"/>
        <v>1</v>
      </c>
      <c r="I963" s="106">
        <f t="shared" ca="1" si="117"/>
        <v>0</v>
      </c>
      <c r="J963" s="106">
        <f t="shared" ca="1" si="121"/>
        <v>0</v>
      </c>
      <c r="K963" s="105" t="e">
        <f t="shared" ca="1" si="118"/>
        <v>#N/A</v>
      </c>
      <c r="L963" s="75"/>
    </row>
    <row r="964" spans="2:12">
      <c r="B964" s="101">
        <f t="shared" ca="1" si="119"/>
        <v>81604</v>
      </c>
      <c r="C964" s="101">
        <f t="shared" ca="1" si="120"/>
        <v>81633</v>
      </c>
      <c r="D964" s="102">
        <f t="shared" ca="1" si="115"/>
        <v>145.99315537303218</v>
      </c>
      <c r="E964" s="103">
        <f t="shared" ca="1" si="122"/>
        <v>0.30847993446412514</v>
      </c>
      <c r="F964" s="104" t="e">
        <f ca="1">IF($C$4="Hombre",(+VLOOKUP(INT(D964)+1,Tablas!$G$9:$K$1240,5,0)*(D964-INT(D964))+VLOOKUP(INT(D964),Tablas!$G$9:$K$1240,5,0)*(INT(D964)+1-D964))/(VLOOKUP(INT($C$5)+1,Tablas!$G$9:$K$1240,5,0)*($C$5-INT($C$5))+VLOOKUP(INT($C$5),Tablas!$G$9:$K$124,5,0)*(INT($C$5)+1-$C$5)),(+VLOOKUP(INT(D964)+1,Tablas!$G$9:$O$1240,9,0)*(D964-INT(D964))+VLOOKUP(INT(D964),Tablas!$G$9:$O$1240,9,0)*(INT(D964)+1-D964))/(VLOOKUP(INT($C$5)+1,Tablas!$G$9:$O$1240,9,0)*($C$5-INT($C$5))+VLOOKUP(INT($C$5),Tablas!$G$9:$O$124,9,0)*(INT($C$5)+1-$C$5)))</f>
        <v>#N/A</v>
      </c>
      <c r="G964" s="97" t="e">
        <f ca="1">IF($C$4="Hombre",(+VLOOKUP(INT(D964)+1,Tablas!$G$9:$K$1240,5,0)*(D964-INT(D964))+VLOOKUP(INT(D964),Tablas!$G$9:$K$1240,5,0)*(INT(D964)+1-D964)),+VLOOKUP(INT(D964)+1,Tablas!$G$9:$O$1240,9,0)*(D964-INT(D964))+VLOOKUP(INT(D964),Tablas!$G$9:$O$1240,9,0)*(INT(D964)+1-D964))</f>
        <v>#N/A</v>
      </c>
      <c r="H964" s="105">
        <f t="shared" ca="1" si="116"/>
        <v>1</v>
      </c>
      <c r="I964" s="106">
        <f t="shared" ca="1" si="117"/>
        <v>0</v>
      </c>
      <c r="J964" s="106">
        <f t="shared" ca="1" si="121"/>
        <v>0</v>
      </c>
      <c r="K964" s="105" t="e">
        <f t="shared" ca="1" si="118"/>
        <v>#N/A</v>
      </c>
      <c r="L964" s="75"/>
    </row>
    <row r="965" spans="2:12">
      <c r="B965" s="101">
        <f t="shared" ca="1" si="119"/>
        <v>81634</v>
      </c>
      <c r="C965" s="101">
        <f t="shared" ca="1" si="120"/>
        <v>81664</v>
      </c>
      <c r="D965" s="102">
        <f t="shared" ca="1" si="115"/>
        <v>146.07802874743325</v>
      </c>
      <c r="E965" s="103">
        <f t="shared" ca="1" si="122"/>
        <v>0.30809037097463843</v>
      </c>
      <c r="F965" s="104" t="e">
        <f ca="1">IF($C$4="Hombre",(+VLOOKUP(INT(D965)+1,Tablas!$G$9:$K$1240,5,0)*(D965-INT(D965))+VLOOKUP(INT(D965),Tablas!$G$9:$K$1240,5,0)*(INT(D965)+1-D965))/(VLOOKUP(INT($C$5)+1,Tablas!$G$9:$K$1240,5,0)*($C$5-INT($C$5))+VLOOKUP(INT($C$5),Tablas!$G$9:$K$124,5,0)*(INT($C$5)+1-$C$5)),(+VLOOKUP(INT(D965)+1,Tablas!$G$9:$O$1240,9,0)*(D965-INT(D965))+VLOOKUP(INT(D965),Tablas!$G$9:$O$1240,9,0)*(INT(D965)+1-D965))/(VLOOKUP(INT($C$5)+1,Tablas!$G$9:$O$1240,9,0)*($C$5-INT($C$5))+VLOOKUP(INT($C$5),Tablas!$G$9:$O$124,9,0)*(INT($C$5)+1-$C$5)))</f>
        <v>#N/A</v>
      </c>
      <c r="G965" s="97" t="e">
        <f ca="1">IF($C$4="Hombre",(+VLOOKUP(INT(D965)+1,Tablas!$G$9:$K$1240,5,0)*(D965-INT(D965))+VLOOKUP(INT(D965),Tablas!$G$9:$K$1240,5,0)*(INT(D965)+1-D965)),+VLOOKUP(INT(D965)+1,Tablas!$G$9:$O$1240,9,0)*(D965-INT(D965))+VLOOKUP(INT(D965),Tablas!$G$9:$O$1240,9,0)*(INT(D965)+1-D965))</f>
        <v>#N/A</v>
      </c>
      <c r="H965" s="105">
        <f t="shared" ca="1" si="116"/>
        <v>1</v>
      </c>
      <c r="I965" s="106">
        <f t="shared" ca="1" si="117"/>
        <v>0</v>
      </c>
      <c r="J965" s="106">
        <f t="shared" ca="1" si="121"/>
        <v>0</v>
      </c>
      <c r="K965" s="105" t="e">
        <f t="shared" ca="1" si="118"/>
        <v>#N/A</v>
      </c>
      <c r="L965" s="75"/>
    </row>
    <row r="966" spans="2:12">
      <c r="B966" s="101">
        <f t="shared" ca="1" si="119"/>
        <v>81665</v>
      </c>
      <c r="C966" s="101">
        <f t="shared" ca="1" si="120"/>
        <v>81695</v>
      </c>
      <c r="D966" s="102">
        <f t="shared" ca="1" si="115"/>
        <v>146.16290212183435</v>
      </c>
      <c r="E966" s="103">
        <f t="shared" ca="1" si="122"/>
        <v>0.3077012994449046</v>
      </c>
      <c r="F966" s="104" t="e">
        <f ca="1">IF($C$4="Hombre",(+VLOOKUP(INT(D966)+1,Tablas!$G$9:$K$1240,5,0)*(D966-INT(D966))+VLOOKUP(INT(D966),Tablas!$G$9:$K$1240,5,0)*(INT(D966)+1-D966))/(VLOOKUP(INT($C$5)+1,Tablas!$G$9:$K$1240,5,0)*($C$5-INT($C$5))+VLOOKUP(INT($C$5),Tablas!$G$9:$K$124,5,0)*(INT($C$5)+1-$C$5)),(+VLOOKUP(INT(D966)+1,Tablas!$G$9:$O$1240,9,0)*(D966-INT(D966))+VLOOKUP(INT(D966),Tablas!$G$9:$O$1240,9,0)*(INT(D966)+1-D966))/(VLOOKUP(INT($C$5)+1,Tablas!$G$9:$O$1240,9,0)*($C$5-INT($C$5))+VLOOKUP(INT($C$5),Tablas!$G$9:$O$124,9,0)*(INT($C$5)+1-$C$5)))</f>
        <v>#N/A</v>
      </c>
      <c r="G966" s="97" t="e">
        <f ca="1">IF($C$4="Hombre",(+VLOOKUP(INT(D966)+1,Tablas!$G$9:$K$1240,5,0)*(D966-INT(D966))+VLOOKUP(INT(D966),Tablas!$G$9:$K$1240,5,0)*(INT(D966)+1-D966)),+VLOOKUP(INT(D966)+1,Tablas!$G$9:$O$1240,9,0)*(D966-INT(D966))+VLOOKUP(INT(D966),Tablas!$G$9:$O$1240,9,0)*(INT(D966)+1-D966))</f>
        <v>#N/A</v>
      </c>
      <c r="H966" s="105">
        <f t="shared" ca="1" si="116"/>
        <v>1</v>
      </c>
      <c r="I966" s="106">
        <f t="shared" ca="1" si="117"/>
        <v>0</v>
      </c>
      <c r="J966" s="106">
        <f t="shared" ca="1" si="121"/>
        <v>0</v>
      </c>
      <c r="K966" s="105" t="e">
        <f t="shared" ca="1" si="118"/>
        <v>#N/A</v>
      </c>
      <c r="L966" s="75"/>
    </row>
    <row r="967" spans="2:12">
      <c r="B967" s="101">
        <f t="shared" ca="1" si="119"/>
        <v>81696</v>
      </c>
      <c r="C967" s="101">
        <f t="shared" ca="1" si="120"/>
        <v>81725</v>
      </c>
      <c r="D967" s="102">
        <f t="shared" ca="1" si="115"/>
        <v>146.24503764544832</v>
      </c>
      <c r="E967" s="103">
        <f t="shared" ca="1" si="122"/>
        <v>0.30732524643571152</v>
      </c>
      <c r="F967" s="104" t="e">
        <f ca="1">IF($C$4="Hombre",(+VLOOKUP(INT(D967)+1,Tablas!$G$9:$K$1240,5,0)*(D967-INT(D967))+VLOOKUP(INT(D967),Tablas!$G$9:$K$1240,5,0)*(INT(D967)+1-D967))/(VLOOKUP(INT($C$5)+1,Tablas!$G$9:$K$1240,5,0)*($C$5-INT($C$5))+VLOOKUP(INT($C$5),Tablas!$G$9:$K$124,5,0)*(INT($C$5)+1-$C$5)),(+VLOOKUP(INT(D967)+1,Tablas!$G$9:$O$1240,9,0)*(D967-INT(D967))+VLOOKUP(INT(D967),Tablas!$G$9:$O$1240,9,0)*(INT(D967)+1-D967))/(VLOOKUP(INT($C$5)+1,Tablas!$G$9:$O$1240,9,0)*($C$5-INT($C$5))+VLOOKUP(INT($C$5),Tablas!$G$9:$O$124,9,0)*(INT($C$5)+1-$C$5)))</f>
        <v>#N/A</v>
      </c>
      <c r="G967" s="97" t="e">
        <f ca="1">IF($C$4="Hombre",(+VLOOKUP(INT(D967)+1,Tablas!$G$9:$K$1240,5,0)*(D967-INT(D967))+VLOOKUP(INT(D967),Tablas!$G$9:$K$1240,5,0)*(INT(D967)+1-D967)),+VLOOKUP(INT(D967)+1,Tablas!$G$9:$O$1240,9,0)*(D967-INT(D967))+VLOOKUP(INT(D967),Tablas!$G$9:$O$1240,9,0)*(INT(D967)+1-D967))</f>
        <v>#N/A</v>
      </c>
      <c r="H967" s="105">
        <f t="shared" ca="1" si="116"/>
        <v>1</v>
      </c>
      <c r="I967" s="106">
        <f t="shared" ca="1" si="117"/>
        <v>0</v>
      </c>
      <c r="J967" s="106">
        <f t="shared" ca="1" si="121"/>
        <v>0</v>
      </c>
      <c r="K967" s="105" t="e">
        <f t="shared" ca="1" si="118"/>
        <v>#N/A</v>
      </c>
      <c r="L967" s="75"/>
    </row>
    <row r="968" spans="2:12">
      <c r="B968" s="101">
        <f t="shared" ca="1" si="119"/>
        <v>81726</v>
      </c>
      <c r="C968" s="101">
        <f t="shared" ca="1" si="120"/>
        <v>81756</v>
      </c>
      <c r="D968" s="102">
        <f t="shared" ca="1" si="115"/>
        <v>146.32991101984942</v>
      </c>
      <c r="E968" s="103">
        <f t="shared" ca="1" si="122"/>
        <v>0.30693714114252008</v>
      </c>
      <c r="F968" s="104" t="e">
        <f ca="1">IF($C$4="Hombre",(+VLOOKUP(INT(D968)+1,Tablas!$G$9:$K$1240,5,0)*(D968-INT(D968))+VLOOKUP(INT(D968),Tablas!$G$9:$K$1240,5,0)*(INT(D968)+1-D968))/(VLOOKUP(INT($C$5)+1,Tablas!$G$9:$K$1240,5,0)*($C$5-INT($C$5))+VLOOKUP(INT($C$5),Tablas!$G$9:$K$124,5,0)*(INT($C$5)+1-$C$5)),(+VLOOKUP(INT(D968)+1,Tablas!$G$9:$O$1240,9,0)*(D968-INT(D968))+VLOOKUP(INT(D968),Tablas!$G$9:$O$1240,9,0)*(INT(D968)+1-D968))/(VLOOKUP(INT($C$5)+1,Tablas!$G$9:$O$1240,9,0)*($C$5-INT($C$5))+VLOOKUP(INT($C$5),Tablas!$G$9:$O$124,9,0)*(INT($C$5)+1-$C$5)))</f>
        <v>#N/A</v>
      </c>
      <c r="G968" s="97" t="e">
        <f ca="1">IF($C$4="Hombre",(+VLOOKUP(INT(D968)+1,Tablas!$G$9:$K$1240,5,0)*(D968-INT(D968))+VLOOKUP(INT(D968),Tablas!$G$9:$K$1240,5,0)*(INT(D968)+1-D968)),+VLOOKUP(INT(D968)+1,Tablas!$G$9:$O$1240,9,0)*(D968-INT(D968))+VLOOKUP(INT(D968),Tablas!$G$9:$O$1240,9,0)*(INT(D968)+1-D968))</f>
        <v>#N/A</v>
      </c>
      <c r="H968" s="105">
        <f t="shared" ca="1" si="116"/>
        <v>1</v>
      </c>
      <c r="I968" s="106">
        <f t="shared" ca="1" si="117"/>
        <v>0</v>
      </c>
      <c r="J968" s="106">
        <f t="shared" ca="1" si="121"/>
        <v>0</v>
      </c>
      <c r="K968" s="105" t="e">
        <f t="shared" ca="1" si="118"/>
        <v>#N/A</v>
      </c>
      <c r="L968" s="75"/>
    </row>
    <row r="969" spans="2:12">
      <c r="B969" s="101">
        <f t="shared" ca="1" si="119"/>
        <v>81757</v>
      </c>
      <c r="C969" s="101">
        <f t="shared" ca="1" si="120"/>
        <v>81786</v>
      </c>
      <c r="D969" s="102">
        <f t="shared" ca="1" si="115"/>
        <v>146.41204654346339</v>
      </c>
      <c r="E969" s="103">
        <f t="shared" ca="1" si="122"/>
        <v>0.30656202203912986</v>
      </c>
      <c r="F969" s="104" t="e">
        <f ca="1">IF($C$4="Hombre",(+VLOOKUP(INT(D969)+1,Tablas!$G$9:$K$1240,5,0)*(D969-INT(D969))+VLOOKUP(INT(D969),Tablas!$G$9:$K$1240,5,0)*(INT(D969)+1-D969))/(VLOOKUP(INT($C$5)+1,Tablas!$G$9:$K$1240,5,0)*($C$5-INT($C$5))+VLOOKUP(INT($C$5),Tablas!$G$9:$K$124,5,0)*(INT($C$5)+1-$C$5)),(+VLOOKUP(INT(D969)+1,Tablas!$G$9:$O$1240,9,0)*(D969-INT(D969))+VLOOKUP(INT(D969),Tablas!$G$9:$O$1240,9,0)*(INT(D969)+1-D969))/(VLOOKUP(INT($C$5)+1,Tablas!$G$9:$O$1240,9,0)*($C$5-INT($C$5))+VLOOKUP(INT($C$5),Tablas!$G$9:$O$124,9,0)*(INT($C$5)+1-$C$5)))</f>
        <v>#N/A</v>
      </c>
      <c r="G969" s="97" t="e">
        <f ca="1">IF($C$4="Hombre",(+VLOOKUP(INT(D969)+1,Tablas!$G$9:$K$1240,5,0)*(D969-INT(D969))+VLOOKUP(INT(D969),Tablas!$G$9:$K$1240,5,0)*(INT(D969)+1-D969)),+VLOOKUP(INT(D969)+1,Tablas!$G$9:$O$1240,9,0)*(D969-INT(D969))+VLOOKUP(INT(D969),Tablas!$G$9:$O$1240,9,0)*(INT(D969)+1-D969))</f>
        <v>#N/A</v>
      </c>
      <c r="H969" s="105">
        <f t="shared" ca="1" si="116"/>
        <v>1</v>
      </c>
      <c r="I969" s="106">
        <f t="shared" ca="1" si="117"/>
        <v>0</v>
      </c>
      <c r="J969" s="106">
        <f t="shared" ca="1" si="121"/>
        <v>0</v>
      </c>
      <c r="K969" s="105" t="e">
        <f t="shared" ca="1" si="118"/>
        <v>#N/A</v>
      </c>
      <c r="L969" s="75"/>
    </row>
    <row r="970" spans="2:12">
      <c r="B970" s="101">
        <f t="shared" ca="1" si="119"/>
        <v>81787</v>
      </c>
      <c r="C970" s="101">
        <f t="shared" ca="1" si="120"/>
        <v>81817</v>
      </c>
      <c r="D970" s="102">
        <f t="shared" ca="1" si="115"/>
        <v>146.49691991786449</v>
      </c>
      <c r="E970" s="103">
        <f t="shared" ca="1" si="122"/>
        <v>0.30617488058288844</v>
      </c>
      <c r="F970" s="104" t="e">
        <f ca="1">IF($C$4="Hombre",(+VLOOKUP(INT(D970)+1,Tablas!$G$9:$K$1240,5,0)*(D970-INT(D970))+VLOOKUP(INT(D970),Tablas!$G$9:$K$1240,5,0)*(INT(D970)+1-D970))/(VLOOKUP(INT($C$5)+1,Tablas!$G$9:$K$1240,5,0)*($C$5-INT($C$5))+VLOOKUP(INT($C$5),Tablas!$G$9:$K$124,5,0)*(INT($C$5)+1-$C$5)),(+VLOOKUP(INT(D970)+1,Tablas!$G$9:$O$1240,9,0)*(D970-INT(D970))+VLOOKUP(INT(D970),Tablas!$G$9:$O$1240,9,0)*(INT(D970)+1-D970))/(VLOOKUP(INT($C$5)+1,Tablas!$G$9:$O$1240,9,0)*($C$5-INT($C$5))+VLOOKUP(INT($C$5),Tablas!$G$9:$O$124,9,0)*(INT($C$5)+1-$C$5)))</f>
        <v>#N/A</v>
      </c>
      <c r="G970" s="97" t="e">
        <f ca="1">IF($C$4="Hombre",(+VLOOKUP(INT(D970)+1,Tablas!$G$9:$K$1240,5,0)*(D970-INT(D970))+VLOOKUP(INT(D970),Tablas!$G$9:$K$1240,5,0)*(INT(D970)+1-D970)),+VLOOKUP(INT(D970)+1,Tablas!$G$9:$O$1240,9,0)*(D970-INT(D970))+VLOOKUP(INT(D970),Tablas!$G$9:$O$1240,9,0)*(INT(D970)+1-D970))</f>
        <v>#N/A</v>
      </c>
      <c r="H970" s="105">
        <f t="shared" ca="1" si="116"/>
        <v>1</v>
      </c>
      <c r="I970" s="106">
        <f t="shared" ca="1" si="117"/>
        <v>0</v>
      </c>
      <c r="J970" s="106">
        <f t="shared" ca="1" si="121"/>
        <v>0</v>
      </c>
      <c r="K970" s="105" t="e">
        <f t="shared" ca="1" si="118"/>
        <v>#N/A</v>
      </c>
      <c r="L970" s="75"/>
    </row>
    <row r="971" spans="2:12">
      <c r="B971" s="101">
        <f t="shared" ca="1" si="119"/>
        <v>81818</v>
      </c>
      <c r="C971" s="101">
        <f t="shared" ca="1" si="120"/>
        <v>81848</v>
      </c>
      <c r="D971" s="102">
        <f t="shared" ca="1" si="115"/>
        <v>146.58179329226556</v>
      </c>
      <c r="E971" s="103">
        <f t="shared" ca="1" si="122"/>
        <v>0.30578822802773853</v>
      </c>
      <c r="F971" s="104" t="e">
        <f ca="1">IF($C$4="Hombre",(+VLOOKUP(INT(D971)+1,Tablas!$G$9:$K$1240,5,0)*(D971-INT(D971))+VLOOKUP(INT(D971),Tablas!$G$9:$K$1240,5,0)*(INT(D971)+1-D971))/(VLOOKUP(INT($C$5)+1,Tablas!$G$9:$K$1240,5,0)*($C$5-INT($C$5))+VLOOKUP(INT($C$5),Tablas!$G$9:$K$124,5,0)*(INT($C$5)+1-$C$5)),(+VLOOKUP(INT(D971)+1,Tablas!$G$9:$O$1240,9,0)*(D971-INT(D971))+VLOOKUP(INT(D971),Tablas!$G$9:$O$1240,9,0)*(INT(D971)+1-D971))/(VLOOKUP(INT($C$5)+1,Tablas!$G$9:$O$1240,9,0)*($C$5-INT($C$5))+VLOOKUP(INT($C$5),Tablas!$G$9:$O$124,9,0)*(INT($C$5)+1-$C$5)))</f>
        <v>#N/A</v>
      </c>
      <c r="G971" s="97" t="e">
        <f ca="1">IF($C$4="Hombre",(+VLOOKUP(INT(D971)+1,Tablas!$G$9:$K$1240,5,0)*(D971-INT(D971))+VLOOKUP(INT(D971),Tablas!$G$9:$K$1240,5,0)*(INT(D971)+1-D971)),+VLOOKUP(INT(D971)+1,Tablas!$G$9:$O$1240,9,0)*(D971-INT(D971))+VLOOKUP(INT(D971),Tablas!$G$9:$O$1240,9,0)*(INT(D971)+1-D971))</f>
        <v>#N/A</v>
      </c>
      <c r="H971" s="105">
        <f t="shared" ca="1" si="116"/>
        <v>1</v>
      </c>
      <c r="I971" s="106">
        <f t="shared" ca="1" si="117"/>
        <v>0</v>
      </c>
      <c r="J971" s="106">
        <f t="shared" ca="1" si="121"/>
        <v>0</v>
      </c>
      <c r="K971" s="105" t="e">
        <f t="shared" ca="1" si="118"/>
        <v>#N/A</v>
      </c>
      <c r="L971" s="75"/>
    </row>
    <row r="972" spans="2:12">
      <c r="B972" s="101">
        <f t="shared" ca="1" si="119"/>
        <v>81849</v>
      </c>
      <c r="C972" s="101">
        <f t="shared" ca="1" si="120"/>
        <v>81877</v>
      </c>
      <c r="D972" s="102">
        <f t="shared" ca="1" si="115"/>
        <v>146.6611909650924</v>
      </c>
      <c r="E972" s="103">
        <f t="shared" ca="1" si="122"/>
        <v>0.30542696285735899</v>
      </c>
      <c r="F972" s="104" t="e">
        <f ca="1">IF($C$4="Hombre",(+VLOOKUP(INT(D972)+1,Tablas!$G$9:$K$1240,5,0)*(D972-INT(D972))+VLOOKUP(INT(D972),Tablas!$G$9:$K$1240,5,0)*(INT(D972)+1-D972))/(VLOOKUP(INT($C$5)+1,Tablas!$G$9:$K$1240,5,0)*($C$5-INT($C$5))+VLOOKUP(INT($C$5),Tablas!$G$9:$K$124,5,0)*(INT($C$5)+1-$C$5)),(+VLOOKUP(INT(D972)+1,Tablas!$G$9:$O$1240,9,0)*(D972-INT(D972))+VLOOKUP(INT(D972),Tablas!$G$9:$O$1240,9,0)*(INT(D972)+1-D972))/(VLOOKUP(INT($C$5)+1,Tablas!$G$9:$O$1240,9,0)*($C$5-INT($C$5))+VLOOKUP(INT($C$5),Tablas!$G$9:$O$124,9,0)*(INT($C$5)+1-$C$5)))</f>
        <v>#N/A</v>
      </c>
      <c r="G972" s="97" t="e">
        <f ca="1">IF($C$4="Hombre",(+VLOOKUP(INT(D972)+1,Tablas!$G$9:$K$1240,5,0)*(D972-INT(D972))+VLOOKUP(INT(D972),Tablas!$G$9:$K$1240,5,0)*(INT(D972)+1-D972)),+VLOOKUP(INT(D972)+1,Tablas!$G$9:$O$1240,9,0)*(D972-INT(D972))+VLOOKUP(INT(D972),Tablas!$G$9:$O$1240,9,0)*(INT(D972)+1-D972))</f>
        <v>#N/A</v>
      </c>
      <c r="H972" s="105">
        <f t="shared" ca="1" si="116"/>
        <v>1</v>
      </c>
      <c r="I972" s="106">
        <f t="shared" ca="1" si="117"/>
        <v>0</v>
      </c>
      <c r="J972" s="106">
        <f t="shared" ca="1" si="121"/>
        <v>0</v>
      </c>
      <c r="K972" s="105" t="e">
        <f t="shared" ca="1" si="118"/>
        <v>#N/A</v>
      </c>
      <c r="L972" s="75"/>
    </row>
    <row r="973" spans="2:12">
      <c r="B973" s="101">
        <f t="shared" ca="1" si="119"/>
        <v>81878</v>
      </c>
      <c r="C973" s="101">
        <f t="shared" ca="1" si="120"/>
        <v>81908</v>
      </c>
      <c r="D973" s="102">
        <f t="shared" ca="1" si="115"/>
        <v>146.7460643394935</v>
      </c>
      <c r="E973" s="103">
        <f t="shared" ca="1" si="122"/>
        <v>0.30504125480914912</v>
      </c>
      <c r="F973" s="104" t="e">
        <f ca="1">IF($C$4="Hombre",(+VLOOKUP(INT(D973)+1,Tablas!$G$9:$K$1240,5,0)*(D973-INT(D973))+VLOOKUP(INT(D973),Tablas!$G$9:$K$1240,5,0)*(INT(D973)+1-D973))/(VLOOKUP(INT($C$5)+1,Tablas!$G$9:$K$1240,5,0)*($C$5-INT($C$5))+VLOOKUP(INT($C$5),Tablas!$G$9:$K$124,5,0)*(INT($C$5)+1-$C$5)),(+VLOOKUP(INT(D973)+1,Tablas!$G$9:$O$1240,9,0)*(D973-INT(D973))+VLOOKUP(INT(D973),Tablas!$G$9:$O$1240,9,0)*(INT(D973)+1-D973))/(VLOOKUP(INT($C$5)+1,Tablas!$G$9:$O$1240,9,0)*($C$5-INT($C$5))+VLOOKUP(INT($C$5),Tablas!$G$9:$O$124,9,0)*(INT($C$5)+1-$C$5)))</f>
        <v>#N/A</v>
      </c>
      <c r="G973" s="97" t="e">
        <f ca="1">IF($C$4="Hombre",(+VLOOKUP(INT(D973)+1,Tablas!$G$9:$K$1240,5,0)*(D973-INT(D973))+VLOOKUP(INT(D973),Tablas!$G$9:$K$1240,5,0)*(INT(D973)+1-D973)),+VLOOKUP(INT(D973)+1,Tablas!$G$9:$O$1240,9,0)*(D973-INT(D973))+VLOOKUP(INT(D973),Tablas!$G$9:$O$1240,9,0)*(INT(D973)+1-D973))</f>
        <v>#N/A</v>
      </c>
      <c r="H973" s="105">
        <f t="shared" ca="1" si="116"/>
        <v>1</v>
      </c>
      <c r="I973" s="106">
        <f t="shared" ca="1" si="117"/>
        <v>0</v>
      </c>
      <c r="J973" s="106">
        <f t="shared" ca="1" si="121"/>
        <v>0</v>
      </c>
      <c r="K973" s="105" t="e">
        <f t="shared" ca="1" si="118"/>
        <v>#N/A</v>
      </c>
      <c r="L973" s="75"/>
    </row>
    <row r="974" spans="2:12">
      <c r="B974" s="101">
        <f t="shared" ca="1" si="119"/>
        <v>81909</v>
      </c>
      <c r="C974" s="101">
        <f t="shared" ca="1" si="120"/>
        <v>81938</v>
      </c>
      <c r="D974" s="102">
        <f t="shared" ca="1" si="115"/>
        <v>146.82819986310747</v>
      </c>
      <c r="E974" s="103">
        <f t="shared" ca="1" si="122"/>
        <v>0.30466845273777032</v>
      </c>
      <c r="F974" s="104" t="e">
        <f ca="1">IF($C$4="Hombre",(+VLOOKUP(INT(D974)+1,Tablas!$G$9:$K$1240,5,0)*(D974-INT(D974))+VLOOKUP(INT(D974),Tablas!$G$9:$K$1240,5,0)*(INT(D974)+1-D974))/(VLOOKUP(INT($C$5)+1,Tablas!$G$9:$K$1240,5,0)*($C$5-INT($C$5))+VLOOKUP(INT($C$5),Tablas!$G$9:$K$124,5,0)*(INT($C$5)+1-$C$5)),(+VLOOKUP(INT(D974)+1,Tablas!$G$9:$O$1240,9,0)*(D974-INT(D974))+VLOOKUP(INT(D974),Tablas!$G$9:$O$1240,9,0)*(INT(D974)+1-D974))/(VLOOKUP(INT($C$5)+1,Tablas!$G$9:$O$1240,9,0)*($C$5-INT($C$5))+VLOOKUP(INT($C$5),Tablas!$G$9:$O$124,9,0)*(INT($C$5)+1-$C$5)))</f>
        <v>#N/A</v>
      </c>
      <c r="G974" s="97" t="e">
        <f ca="1">IF($C$4="Hombre",(+VLOOKUP(INT(D974)+1,Tablas!$G$9:$K$1240,5,0)*(D974-INT(D974))+VLOOKUP(INT(D974),Tablas!$G$9:$K$1240,5,0)*(INT(D974)+1-D974)),+VLOOKUP(INT(D974)+1,Tablas!$G$9:$O$1240,9,0)*(D974-INT(D974))+VLOOKUP(INT(D974),Tablas!$G$9:$O$1240,9,0)*(INT(D974)+1-D974))</f>
        <v>#N/A</v>
      </c>
      <c r="H974" s="105">
        <f t="shared" ca="1" si="116"/>
        <v>1</v>
      </c>
      <c r="I974" s="106">
        <f t="shared" ca="1" si="117"/>
        <v>0</v>
      </c>
      <c r="J974" s="106">
        <f t="shared" ca="1" si="121"/>
        <v>0</v>
      </c>
      <c r="K974" s="105" t="e">
        <f t="shared" ca="1" si="118"/>
        <v>#N/A</v>
      </c>
      <c r="L974" s="75"/>
    </row>
    <row r="975" spans="2:12">
      <c r="B975" s="101">
        <f t="shared" ca="1" si="119"/>
        <v>81939</v>
      </c>
      <c r="C975" s="101">
        <f t="shared" ca="1" si="120"/>
        <v>81969</v>
      </c>
      <c r="D975" s="102">
        <f t="shared" ca="1" si="115"/>
        <v>146.91307323750857</v>
      </c>
      <c r="E975" s="103">
        <f t="shared" ca="1" si="122"/>
        <v>0.3042837025730919</v>
      </c>
      <c r="F975" s="104" t="e">
        <f ca="1">IF($C$4="Hombre",(+VLOOKUP(INT(D975)+1,Tablas!$G$9:$K$1240,5,0)*(D975-INT(D975))+VLOOKUP(INT(D975),Tablas!$G$9:$K$1240,5,0)*(INT(D975)+1-D975))/(VLOOKUP(INT($C$5)+1,Tablas!$G$9:$K$1240,5,0)*($C$5-INT($C$5))+VLOOKUP(INT($C$5),Tablas!$G$9:$K$124,5,0)*(INT($C$5)+1-$C$5)),(+VLOOKUP(INT(D975)+1,Tablas!$G$9:$O$1240,9,0)*(D975-INT(D975))+VLOOKUP(INT(D975),Tablas!$G$9:$O$1240,9,0)*(INT(D975)+1-D975))/(VLOOKUP(INT($C$5)+1,Tablas!$G$9:$O$1240,9,0)*($C$5-INT($C$5))+VLOOKUP(INT($C$5),Tablas!$G$9:$O$124,9,0)*(INT($C$5)+1-$C$5)))</f>
        <v>#N/A</v>
      </c>
      <c r="G975" s="97" t="e">
        <f ca="1">IF($C$4="Hombre",(+VLOOKUP(INT(D975)+1,Tablas!$G$9:$K$1240,5,0)*(D975-INT(D975))+VLOOKUP(INT(D975),Tablas!$G$9:$K$1240,5,0)*(INT(D975)+1-D975)),+VLOOKUP(INT(D975)+1,Tablas!$G$9:$O$1240,9,0)*(D975-INT(D975))+VLOOKUP(INT(D975),Tablas!$G$9:$O$1240,9,0)*(INT(D975)+1-D975))</f>
        <v>#N/A</v>
      </c>
      <c r="H975" s="105">
        <f t="shared" ca="1" si="116"/>
        <v>1</v>
      </c>
      <c r="I975" s="106">
        <f t="shared" ca="1" si="117"/>
        <v>0</v>
      </c>
      <c r="J975" s="106">
        <f t="shared" ca="1" si="121"/>
        <v>0</v>
      </c>
      <c r="K975" s="105" t="e">
        <f t="shared" ca="1" si="118"/>
        <v>#N/A</v>
      </c>
      <c r="L975" s="75"/>
    </row>
    <row r="976" spans="2:12">
      <c r="B976" s="101">
        <f t="shared" ca="1" si="119"/>
        <v>81970</v>
      </c>
      <c r="C976" s="101">
        <f t="shared" ca="1" si="120"/>
        <v>81999</v>
      </c>
      <c r="D976" s="102">
        <f t="shared" ca="1" si="115"/>
        <v>146.99520876112251</v>
      </c>
      <c r="E976" s="103">
        <f t="shared" ca="1" si="122"/>
        <v>0.30391182633400082</v>
      </c>
      <c r="F976" s="104" t="e">
        <f ca="1">IF($C$4="Hombre",(+VLOOKUP(INT(D976)+1,Tablas!$G$9:$K$1240,5,0)*(D976-INT(D976))+VLOOKUP(INT(D976),Tablas!$G$9:$K$1240,5,0)*(INT(D976)+1-D976))/(VLOOKUP(INT($C$5)+1,Tablas!$G$9:$K$1240,5,0)*($C$5-INT($C$5))+VLOOKUP(INT($C$5),Tablas!$G$9:$K$124,5,0)*(INT($C$5)+1-$C$5)),(+VLOOKUP(INT(D976)+1,Tablas!$G$9:$O$1240,9,0)*(D976-INT(D976))+VLOOKUP(INT(D976),Tablas!$G$9:$O$1240,9,0)*(INT(D976)+1-D976))/(VLOOKUP(INT($C$5)+1,Tablas!$G$9:$O$1240,9,0)*($C$5-INT($C$5))+VLOOKUP(INT($C$5),Tablas!$G$9:$O$124,9,0)*(INT($C$5)+1-$C$5)))</f>
        <v>#N/A</v>
      </c>
      <c r="G976" s="97" t="e">
        <f ca="1">IF($C$4="Hombre",(+VLOOKUP(INT(D976)+1,Tablas!$G$9:$K$1240,5,0)*(D976-INT(D976))+VLOOKUP(INT(D976),Tablas!$G$9:$K$1240,5,0)*(INT(D976)+1-D976)),+VLOOKUP(INT(D976)+1,Tablas!$G$9:$O$1240,9,0)*(D976-INT(D976))+VLOOKUP(INT(D976),Tablas!$G$9:$O$1240,9,0)*(INT(D976)+1-D976))</f>
        <v>#N/A</v>
      </c>
      <c r="H976" s="105">
        <f t="shared" ca="1" si="116"/>
        <v>1</v>
      </c>
      <c r="I976" s="106">
        <f t="shared" ca="1" si="117"/>
        <v>0</v>
      </c>
      <c r="J976" s="106">
        <f t="shared" ca="1" si="121"/>
        <v>0</v>
      </c>
      <c r="K976" s="105" t="e">
        <f t="shared" ca="1" si="118"/>
        <v>#N/A</v>
      </c>
      <c r="L976" s="75"/>
    </row>
    <row r="977" spans="2:12">
      <c r="B977" s="101">
        <f t="shared" ca="1" si="119"/>
        <v>82000</v>
      </c>
      <c r="C977" s="101">
        <f t="shared" ca="1" si="120"/>
        <v>82030</v>
      </c>
      <c r="D977" s="102">
        <f t="shared" ca="1" si="115"/>
        <v>147.08008213552361</v>
      </c>
      <c r="E977" s="103">
        <f t="shared" ca="1" si="122"/>
        <v>0.30352803167400572</v>
      </c>
      <c r="F977" s="104" t="e">
        <f ca="1">IF($C$4="Hombre",(+VLOOKUP(INT(D977)+1,Tablas!$G$9:$K$1240,5,0)*(D977-INT(D977))+VLOOKUP(INT(D977),Tablas!$G$9:$K$1240,5,0)*(INT(D977)+1-D977))/(VLOOKUP(INT($C$5)+1,Tablas!$G$9:$K$1240,5,0)*($C$5-INT($C$5))+VLOOKUP(INT($C$5),Tablas!$G$9:$K$124,5,0)*(INT($C$5)+1-$C$5)),(+VLOOKUP(INT(D977)+1,Tablas!$G$9:$O$1240,9,0)*(D977-INT(D977))+VLOOKUP(INT(D977),Tablas!$G$9:$O$1240,9,0)*(INT(D977)+1-D977))/(VLOOKUP(INT($C$5)+1,Tablas!$G$9:$O$1240,9,0)*($C$5-INT($C$5))+VLOOKUP(INT($C$5),Tablas!$G$9:$O$124,9,0)*(INT($C$5)+1-$C$5)))</f>
        <v>#N/A</v>
      </c>
      <c r="G977" s="97" t="e">
        <f ca="1">IF($C$4="Hombre",(+VLOOKUP(INT(D977)+1,Tablas!$G$9:$K$1240,5,0)*(D977-INT(D977))+VLOOKUP(INT(D977),Tablas!$G$9:$K$1240,5,0)*(INT(D977)+1-D977)),+VLOOKUP(INT(D977)+1,Tablas!$G$9:$O$1240,9,0)*(D977-INT(D977))+VLOOKUP(INT(D977),Tablas!$G$9:$O$1240,9,0)*(INT(D977)+1-D977))</f>
        <v>#N/A</v>
      </c>
      <c r="H977" s="105">
        <f t="shared" ca="1" si="116"/>
        <v>1</v>
      </c>
      <c r="I977" s="106">
        <f t="shared" ca="1" si="117"/>
        <v>0</v>
      </c>
      <c r="J977" s="106">
        <f t="shared" ca="1" si="121"/>
        <v>0</v>
      </c>
      <c r="K977" s="105" t="e">
        <f t="shared" ca="1" si="118"/>
        <v>#N/A</v>
      </c>
      <c r="L977" s="75"/>
    </row>
    <row r="978" spans="2:12">
      <c r="B978" s="101">
        <f t="shared" ca="1" si="119"/>
        <v>82031</v>
      </c>
      <c r="C978" s="101">
        <f t="shared" ca="1" si="120"/>
        <v>82061</v>
      </c>
      <c r="D978" s="102">
        <f t="shared" ref="D978:D1041" ca="1" si="123">-_xlfn.DAYS($C$3,C978)/365.25</f>
        <v>147.16495550992471</v>
      </c>
      <c r="E978" s="103">
        <f t="shared" ca="1" si="122"/>
        <v>0.30314472168860457</v>
      </c>
      <c r="F978" s="104" t="e">
        <f ca="1">IF($C$4="Hombre",(+VLOOKUP(INT(D978)+1,Tablas!$G$9:$K$1240,5,0)*(D978-INT(D978))+VLOOKUP(INT(D978),Tablas!$G$9:$K$1240,5,0)*(INT(D978)+1-D978))/(VLOOKUP(INT($C$5)+1,Tablas!$G$9:$K$1240,5,0)*($C$5-INT($C$5))+VLOOKUP(INT($C$5),Tablas!$G$9:$K$124,5,0)*(INT($C$5)+1-$C$5)),(+VLOOKUP(INT(D978)+1,Tablas!$G$9:$O$1240,9,0)*(D978-INT(D978))+VLOOKUP(INT(D978),Tablas!$G$9:$O$1240,9,0)*(INT(D978)+1-D978))/(VLOOKUP(INT($C$5)+1,Tablas!$G$9:$O$1240,9,0)*($C$5-INT($C$5))+VLOOKUP(INT($C$5),Tablas!$G$9:$O$124,9,0)*(INT($C$5)+1-$C$5)))</f>
        <v>#N/A</v>
      </c>
      <c r="G978" s="97" t="e">
        <f ca="1">IF($C$4="Hombre",(+VLOOKUP(INT(D978)+1,Tablas!$G$9:$K$1240,5,0)*(D978-INT(D978))+VLOOKUP(INT(D978),Tablas!$G$9:$K$1240,5,0)*(INT(D978)+1-D978)),+VLOOKUP(INT(D978)+1,Tablas!$G$9:$O$1240,9,0)*(D978-INT(D978))+VLOOKUP(INT(D978),Tablas!$G$9:$O$1240,9,0)*(INT(D978)+1-D978))</f>
        <v>#N/A</v>
      </c>
      <c r="H978" s="105">
        <f t="shared" ref="H978:H1041" ca="1" si="124">+IF(MONTH(B978)=1,H977*(1+$C$9),H977)</f>
        <v>1</v>
      </c>
      <c r="I978" s="106">
        <f t="shared" ref="I978:I1041" ca="1" si="125">IF(B978&lt;$C$10,0,IF(B978&lt;$C$11,$C$8/12*E978*F978*H978,0))</f>
        <v>0</v>
      </c>
      <c r="J978" s="106">
        <f t="shared" ca="1" si="121"/>
        <v>0</v>
      </c>
      <c r="K978" s="105" t="e">
        <f t="shared" ref="K978:K1041" ca="1" si="126">G978/$G$15</f>
        <v>#N/A</v>
      </c>
      <c r="L978" s="75"/>
    </row>
    <row r="979" spans="2:12">
      <c r="B979" s="101">
        <f t="shared" ref="B979:B1042" ca="1" si="127">+DATE(YEAR(B978),MONTH(B978)+1,DAY(B978))</f>
        <v>82062</v>
      </c>
      <c r="C979" s="101">
        <f t="shared" ref="C979:C1042" ca="1" si="128">+B980-1</f>
        <v>82091</v>
      </c>
      <c r="D979" s="102">
        <f t="shared" ca="1" si="123"/>
        <v>147.24709103353868</v>
      </c>
      <c r="E979" s="103">
        <f t="shared" ca="1" si="122"/>
        <v>0.30277423743969939</v>
      </c>
      <c r="F979" s="104" t="e">
        <f ca="1">IF($C$4="Hombre",(+VLOOKUP(INT(D979)+1,Tablas!$G$9:$K$1240,5,0)*(D979-INT(D979))+VLOOKUP(INT(D979),Tablas!$G$9:$K$1240,5,0)*(INT(D979)+1-D979))/(VLOOKUP(INT($C$5)+1,Tablas!$G$9:$K$1240,5,0)*($C$5-INT($C$5))+VLOOKUP(INT($C$5),Tablas!$G$9:$K$124,5,0)*(INT($C$5)+1-$C$5)),(+VLOOKUP(INT(D979)+1,Tablas!$G$9:$O$1240,9,0)*(D979-INT(D979))+VLOOKUP(INT(D979),Tablas!$G$9:$O$1240,9,0)*(INT(D979)+1-D979))/(VLOOKUP(INT($C$5)+1,Tablas!$G$9:$O$1240,9,0)*($C$5-INT($C$5))+VLOOKUP(INT($C$5),Tablas!$G$9:$O$124,9,0)*(INT($C$5)+1-$C$5)))</f>
        <v>#N/A</v>
      </c>
      <c r="G979" s="97" t="e">
        <f ca="1">IF($C$4="Hombre",(+VLOOKUP(INT(D979)+1,Tablas!$G$9:$K$1240,5,0)*(D979-INT(D979))+VLOOKUP(INT(D979),Tablas!$G$9:$K$1240,5,0)*(INT(D979)+1-D979)),+VLOOKUP(INT(D979)+1,Tablas!$G$9:$O$1240,9,0)*(D979-INT(D979))+VLOOKUP(INT(D979),Tablas!$G$9:$O$1240,9,0)*(INT(D979)+1-D979))</f>
        <v>#N/A</v>
      </c>
      <c r="H979" s="105">
        <f t="shared" ca="1" si="124"/>
        <v>1</v>
      </c>
      <c r="I979" s="106">
        <f t="shared" ca="1" si="125"/>
        <v>0</v>
      </c>
      <c r="J979" s="106">
        <f t="shared" ref="J979:J1042" ca="1" si="129">I979*12/14+IF(OR(MONTH(C979)=6,MONTH(C979)=12),I979*12/14,0)</f>
        <v>0</v>
      </c>
      <c r="K979" s="105" t="e">
        <f t="shared" ca="1" si="126"/>
        <v>#N/A</v>
      </c>
      <c r="L979" s="75"/>
    </row>
    <row r="980" spans="2:12">
      <c r="B980" s="101">
        <f t="shared" ca="1" si="127"/>
        <v>82092</v>
      </c>
      <c r="C980" s="101">
        <f t="shared" ca="1" si="128"/>
        <v>82122</v>
      </c>
      <c r="D980" s="102">
        <f t="shared" ca="1" si="123"/>
        <v>147.33196440793978</v>
      </c>
      <c r="E980" s="103">
        <f t="shared" ca="1" si="122"/>
        <v>0.30239187938238005</v>
      </c>
      <c r="F980" s="104" t="e">
        <f ca="1">IF($C$4="Hombre",(+VLOOKUP(INT(D980)+1,Tablas!$G$9:$K$1240,5,0)*(D980-INT(D980))+VLOOKUP(INT(D980),Tablas!$G$9:$K$1240,5,0)*(INT(D980)+1-D980))/(VLOOKUP(INT($C$5)+1,Tablas!$G$9:$K$1240,5,0)*($C$5-INT($C$5))+VLOOKUP(INT($C$5),Tablas!$G$9:$K$124,5,0)*(INT($C$5)+1-$C$5)),(+VLOOKUP(INT(D980)+1,Tablas!$G$9:$O$1240,9,0)*(D980-INT(D980))+VLOOKUP(INT(D980),Tablas!$G$9:$O$1240,9,0)*(INT(D980)+1-D980))/(VLOOKUP(INT($C$5)+1,Tablas!$G$9:$O$1240,9,0)*($C$5-INT($C$5))+VLOOKUP(INT($C$5),Tablas!$G$9:$O$124,9,0)*(INT($C$5)+1-$C$5)))</f>
        <v>#N/A</v>
      </c>
      <c r="G980" s="97" t="e">
        <f ca="1">IF($C$4="Hombre",(+VLOOKUP(INT(D980)+1,Tablas!$G$9:$K$1240,5,0)*(D980-INT(D980))+VLOOKUP(INT(D980),Tablas!$G$9:$K$1240,5,0)*(INT(D980)+1-D980)),+VLOOKUP(INT(D980)+1,Tablas!$G$9:$O$1240,9,0)*(D980-INT(D980))+VLOOKUP(INT(D980),Tablas!$G$9:$O$1240,9,0)*(INT(D980)+1-D980))</f>
        <v>#N/A</v>
      </c>
      <c r="H980" s="105">
        <f t="shared" ca="1" si="124"/>
        <v>1</v>
      </c>
      <c r="I980" s="106">
        <f t="shared" ca="1" si="125"/>
        <v>0</v>
      </c>
      <c r="J980" s="106">
        <f t="shared" ca="1" si="129"/>
        <v>0</v>
      </c>
      <c r="K980" s="105" t="e">
        <f t="shared" ca="1" si="126"/>
        <v>#N/A</v>
      </c>
      <c r="L980" s="75"/>
    </row>
    <row r="981" spans="2:12">
      <c r="B981" s="101">
        <f t="shared" ca="1" si="127"/>
        <v>82123</v>
      </c>
      <c r="C981" s="101">
        <f t="shared" ca="1" si="128"/>
        <v>82152</v>
      </c>
      <c r="D981" s="102">
        <f t="shared" ca="1" si="123"/>
        <v>147.41409993155372</v>
      </c>
      <c r="E981" s="103">
        <f t="shared" ca="1" si="122"/>
        <v>0.30202231520958511</v>
      </c>
      <c r="F981" s="104" t="e">
        <f ca="1">IF($C$4="Hombre",(+VLOOKUP(INT(D981)+1,Tablas!$G$9:$K$1240,5,0)*(D981-INT(D981))+VLOOKUP(INT(D981),Tablas!$G$9:$K$1240,5,0)*(INT(D981)+1-D981))/(VLOOKUP(INT($C$5)+1,Tablas!$G$9:$K$1240,5,0)*($C$5-INT($C$5))+VLOOKUP(INT($C$5),Tablas!$G$9:$K$124,5,0)*(INT($C$5)+1-$C$5)),(+VLOOKUP(INT(D981)+1,Tablas!$G$9:$O$1240,9,0)*(D981-INT(D981))+VLOOKUP(INT(D981),Tablas!$G$9:$O$1240,9,0)*(INT(D981)+1-D981))/(VLOOKUP(INT($C$5)+1,Tablas!$G$9:$O$1240,9,0)*($C$5-INT($C$5))+VLOOKUP(INT($C$5),Tablas!$G$9:$O$124,9,0)*(INT($C$5)+1-$C$5)))</f>
        <v>#N/A</v>
      </c>
      <c r="G981" s="97" t="e">
        <f ca="1">IF($C$4="Hombre",(+VLOOKUP(INT(D981)+1,Tablas!$G$9:$K$1240,5,0)*(D981-INT(D981))+VLOOKUP(INT(D981),Tablas!$G$9:$K$1240,5,0)*(INT(D981)+1-D981)),+VLOOKUP(INT(D981)+1,Tablas!$G$9:$O$1240,9,0)*(D981-INT(D981))+VLOOKUP(INT(D981),Tablas!$G$9:$O$1240,9,0)*(INT(D981)+1-D981))</f>
        <v>#N/A</v>
      </c>
      <c r="H981" s="105">
        <f t="shared" ca="1" si="124"/>
        <v>1</v>
      </c>
      <c r="I981" s="106">
        <f t="shared" ca="1" si="125"/>
        <v>0</v>
      </c>
      <c r="J981" s="106">
        <f t="shared" ca="1" si="129"/>
        <v>0</v>
      </c>
      <c r="K981" s="105" t="e">
        <f t="shared" ca="1" si="126"/>
        <v>#N/A</v>
      </c>
      <c r="L981" s="75"/>
    </row>
    <row r="982" spans="2:12">
      <c r="B982" s="101">
        <f t="shared" ca="1" si="127"/>
        <v>82153</v>
      </c>
      <c r="C982" s="101">
        <f t="shared" ca="1" si="128"/>
        <v>82183</v>
      </c>
      <c r="D982" s="102">
        <f t="shared" ca="1" si="123"/>
        <v>147.49897330595482</v>
      </c>
      <c r="E982" s="103">
        <f t="shared" ca="1" si="122"/>
        <v>0.3016409067162894</v>
      </c>
      <c r="F982" s="104" t="e">
        <f ca="1">IF($C$4="Hombre",(+VLOOKUP(INT(D982)+1,Tablas!$G$9:$K$1240,5,0)*(D982-INT(D982))+VLOOKUP(INT(D982),Tablas!$G$9:$K$1240,5,0)*(INT(D982)+1-D982))/(VLOOKUP(INT($C$5)+1,Tablas!$G$9:$K$1240,5,0)*($C$5-INT($C$5))+VLOOKUP(INT($C$5),Tablas!$G$9:$K$124,5,0)*(INT($C$5)+1-$C$5)),(+VLOOKUP(INT(D982)+1,Tablas!$G$9:$O$1240,9,0)*(D982-INT(D982))+VLOOKUP(INT(D982),Tablas!$G$9:$O$1240,9,0)*(INT(D982)+1-D982))/(VLOOKUP(INT($C$5)+1,Tablas!$G$9:$O$1240,9,0)*($C$5-INT($C$5))+VLOOKUP(INT($C$5),Tablas!$G$9:$O$124,9,0)*(INT($C$5)+1-$C$5)))</f>
        <v>#N/A</v>
      </c>
      <c r="G982" s="97" t="e">
        <f ca="1">IF($C$4="Hombre",(+VLOOKUP(INT(D982)+1,Tablas!$G$9:$K$1240,5,0)*(D982-INT(D982))+VLOOKUP(INT(D982),Tablas!$G$9:$K$1240,5,0)*(INT(D982)+1-D982)),+VLOOKUP(INT(D982)+1,Tablas!$G$9:$O$1240,9,0)*(D982-INT(D982))+VLOOKUP(INT(D982),Tablas!$G$9:$O$1240,9,0)*(INT(D982)+1-D982))</f>
        <v>#N/A</v>
      </c>
      <c r="H982" s="105">
        <f t="shared" ca="1" si="124"/>
        <v>1</v>
      </c>
      <c r="I982" s="106">
        <f t="shared" ca="1" si="125"/>
        <v>0</v>
      </c>
      <c r="J982" s="106">
        <f t="shared" ca="1" si="129"/>
        <v>0</v>
      </c>
      <c r="K982" s="105" t="e">
        <f t="shared" ca="1" si="126"/>
        <v>#N/A</v>
      </c>
      <c r="L982" s="75"/>
    </row>
    <row r="983" spans="2:12">
      <c r="B983" s="101">
        <f t="shared" ca="1" si="127"/>
        <v>82184</v>
      </c>
      <c r="C983" s="101">
        <f t="shared" ca="1" si="128"/>
        <v>82214</v>
      </c>
      <c r="D983" s="102">
        <f t="shared" ca="1" si="123"/>
        <v>147.58384668035592</v>
      </c>
      <c r="E983" s="103">
        <f t="shared" ca="1" si="122"/>
        <v>0.30125997988422015</v>
      </c>
      <c r="F983" s="104" t="e">
        <f ca="1">IF($C$4="Hombre",(+VLOOKUP(INT(D983)+1,Tablas!$G$9:$K$1240,5,0)*(D983-INT(D983))+VLOOKUP(INT(D983),Tablas!$G$9:$K$1240,5,0)*(INT(D983)+1-D983))/(VLOOKUP(INT($C$5)+1,Tablas!$G$9:$K$1240,5,0)*($C$5-INT($C$5))+VLOOKUP(INT($C$5),Tablas!$G$9:$K$124,5,0)*(INT($C$5)+1-$C$5)),(+VLOOKUP(INT(D983)+1,Tablas!$G$9:$O$1240,9,0)*(D983-INT(D983))+VLOOKUP(INT(D983),Tablas!$G$9:$O$1240,9,0)*(INT(D983)+1-D983))/(VLOOKUP(INT($C$5)+1,Tablas!$G$9:$O$1240,9,0)*($C$5-INT($C$5))+VLOOKUP(INT($C$5),Tablas!$G$9:$O$124,9,0)*(INT($C$5)+1-$C$5)))</f>
        <v>#N/A</v>
      </c>
      <c r="G983" s="97" t="e">
        <f ca="1">IF($C$4="Hombre",(+VLOOKUP(INT(D983)+1,Tablas!$G$9:$K$1240,5,0)*(D983-INT(D983))+VLOOKUP(INT(D983),Tablas!$G$9:$K$1240,5,0)*(INT(D983)+1-D983)),+VLOOKUP(INT(D983)+1,Tablas!$G$9:$O$1240,9,0)*(D983-INT(D983))+VLOOKUP(INT(D983),Tablas!$G$9:$O$1240,9,0)*(INT(D983)+1-D983))</f>
        <v>#N/A</v>
      </c>
      <c r="H983" s="105">
        <f t="shared" ca="1" si="124"/>
        <v>1</v>
      </c>
      <c r="I983" s="106">
        <f t="shared" ca="1" si="125"/>
        <v>0</v>
      </c>
      <c r="J983" s="106">
        <f t="shared" ca="1" si="129"/>
        <v>0</v>
      </c>
      <c r="K983" s="105" t="e">
        <f t="shared" ca="1" si="126"/>
        <v>#N/A</v>
      </c>
      <c r="L983" s="75"/>
    </row>
    <row r="984" spans="2:12">
      <c r="B984" s="101">
        <f t="shared" ca="1" si="127"/>
        <v>82215</v>
      </c>
      <c r="C984" s="101">
        <f t="shared" ca="1" si="128"/>
        <v>82242</v>
      </c>
      <c r="D984" s="102">
        <f t="shared" ca="1" si="123"/>
        <v>147.66050650239561</v>
      </c>
      <c r="E984" s="103">
        <f t="shared" ref="E984:E1047" ca="1" si="130">IF($D$17+40&lt;=D984,(1+$D$7)^-(D984-$C$5),(1+$C$7)^-(D984-$C$5))</f>
        <v>0.30091633043125693</v>
      </c>
      <c r="F984" s="104" t="e">
        <f ca="1">IF($C$4="Hombre",(+VLOOKUP(INT(D984)+1,Tablas!$G$9:$K$1240,5,0)*(D984-INT(D984))+VLOOKUP(INT(D984),Tablas!$G$9:$K$1240,5,0)*(INT(D984)+1-D984))/(VLOOKUP(INT($C$5)+1,Tablas!$G$9:$K$1240,5,0)*($C$5-INT($C$5))+VLOOKUP(INT($C$5),Tablas!$G$9:$K$124,5,0)*(INT($C$5)+1-$C$5)),(+VLOOKUP(INT(D984)+1,Tablas!$G$9:$O$1240,9,0)*(D984-INT(D984))+VLOOKUP(INT(D984),Tablas!$G$9:$O$1240,9,0)*(INT(D984)+1-D984))/(VLOOKUP(INT($C$5)+1,Tablas!$G$9:$O$1240,9,0)*($C$5-INT($C$5))+VLOOKUP(INT($C$5),Tablas!$G$9:$O$124,9,0)*(INT($C$5)+1-$C$5)))</f>
        <v>#N/A</v>
      </c>
      <c r="G984" s="97" t="e">
        <f ca="1">IF($C$4="Hombre",(+VLOOKUP(INT(D984)+1,Tablas!$G$9:$K$1240,5,0)*(D984-INT(D984))+VLOOKUP(INT(D984),Tablas!$G$9:$K$1240,5,0)*(INT(D984)+1-D984)),+VLOOKUP(INT(D984)+1,Tablas!$G$9:$O$1240,9,0)*(D984-INT(D984))+VLOOKUP(INT(D984),Tablas!$G$9:$O$1240,9,0)*(INT(D984)+1-D984))</f>
        <v>#N/A</v>
      </c>
      <c r="H984" s="105">
        <f t="shared" ca="1" si="124"/>
        <v>1</v>
      </c>
      <c r="I984" s="106">
        <f t="shared" ca="1" si="125"/>
        <v>0</v>
      </c>
      <c r="J984" s="106">
        <f t="shared" ca="1" si="129"/>
        <v>0</v>
      </c>
      <c r="K984" s="105" t="e">
        <f t="shared" ca="1" si="126"/>
        <v>#N/A</v>
      </c>
      <c r="L984" s="75"/>
    </row>
    <row r="985" spans="2:12">
      <c r="B985" s="101">
        <f t="shared" ca="1" si="127"/>
        <v>82243</v>
      </c>
      <c r="C985" s="101">
        <f t="shared" ca="1" si="128"/>
        <v>82273</v>
      </c>
      <c r="D985" s="102">
        <f t="shared" ca="1" si="123"/>
        <v>147.7453798767967</v>
      </c>
      <c r="E985" s="103">
        <f t="shared" ca="1" si="130"/>
        <v>0.3005363186294196</v>
      </c>
      <c r="F985" s="104" t="e">
        <f ca="1">IF($C$4="Hombre",(+VLOOKUP(INT(D985)+1,Tablas!$G$9:$K$1240,5,0)*(D985-INT(D985))+VLOOKUP(INT(D985),Tablas!$G$9:$K$1240,5,0)*(INT(D985)+1-D985))/(VLOOKUP(INT($C$5)+1,Tablas!$G$9:$K$1240,5,0)*($C$5-INT($C$5))+VLOOKUP(INT($C$5),Tablas!$G$9:$K$124,5,0)*(INT($C$5)+1-$C$5)),(+VLOOKUP(INT(D985)+1,Tablas!$G$9:$O$1240,9,0)*(D985-INT(D985))+VLOOKUP(INT(D985),Tablas!$G$9:$O$1240,9,0)*(INT(D985)+1-D985))/(VLOOKUP(INT($C$5)+1,Tablas!$G$9:$O$1240,9,0)*($C$5-INT($C$5))+VLOOKUP(INT($C$5),Tablas!$G$9:$O$124,9,0)*(INT($C$5)+1-$C$5)))</f>
        <v>#N/A</v>
      </c>
      <c r="G985" s="97" t="e">
        <f ca="1">IF($C$4="Hombre",(+VLOOKUP(INT(D985)+1,Tablas!$G$9:$K$1240,5,0)*(D985-INT(D985))+VLOOKUP(INT(D985),Tablas!$G$9:$K$1240,5,0)*(INT(D985)+1-D985)),+VLOOKUP(INT(D985)+1,Tablas!$G$9:$O$1240,9,0)*(D985-INT(D985))+VLOOKUP(INT(D985),Tablas!$G$9:$O$1240,9,0)*(INT(D985)+1-D985))</f>
        <v>#N/A</v>
      </c>
      <c r="H985" s="105">
        <f t="shared" ca="1" si="124"/>
        <v>1</v>
      </c>
      <c r="I985" s="106">
        <f t="shared" ca="1" si="125"/>
        <v>0</v>
      </c>
      <c r="J985" s="106">
        <f t="shared" ca="1" si="129"/>
        <v>0</v>
      </c>
      <c r="K985" s="105" t="e">
        <f t="shared" ca="1" si="126"/>
        <v>#N/A</v>
      </c>
      <c r="L985" s="75"/>
    </row>
    <row r="986" spans="2:12">
      <c r="B986" s="101">
        <f t="shared" ca="1" si="127"/>
        <v>82274</v>
      </c>
      <c r="C986" s="101">
        <f t="shared" ca="1" si="128"/>
        <v>82303</v>
      </c>
      <c r="D986" s="102">
        <f t="shared" ca="1" si="123"/>
        <v>147.82751540041068</v>
      </c>
      <c r="E986" s="103">
        <f t="shared" ca="1" si="130"/>
        <v>0.3001690222052697</v>
      </c>
      <c r="F986" s="104" t="e">
        <f ca="1">IF($C$4="Hombre",(+VLOOKUP(INT(D986)+1,Tablas!$G$9:$K$1240,5,0)*(D986-INT(D986))+VLOOKUP(INT(D986),Tablas!$G$9:$K$1240,5,0)*(INT(D986)+1-D986))/(VLOOKUP(INT($C$5)+1,Tablas!$G$9:$K$1240,5,0)*($C$5-INT($C$5))+VLOOKUP(INT($C$5),Tablas!$G$9:$K$124,5,0)*(INT($C$5)+1-$C$5)),(+VLOOKUP(INT(D986)+1,Tablas!$G$9:$O$1240,9,0)*(D986-INT(D986))+VLOOKUP(INT(D986),Tablas!$G$9:$O$1240,9,0)*(INT(D986)+1-D986))/(VLOOKUP(INT($C$5)+1,Tablas!$G$9:$O$1240,9,0)*($C$5-INT($C$5))+VLOOKUP(INT($C$5),Tablas!$G$9:$O$124,9,0)*(INT($C$5)+1-$C$5)))</f>
        <v>#N/A</v>
      </c>
      <c r="G986" s="97" t="e">
        <f ca="1">IF($C$4="Hombre",(+VLOOKUP(INT(D986)+1,Tablas!$G$9:$K$1240,5,0)*(D986-INT(D986))+VLOOKUP(INT(D986),Tablas!$G$9:$K$1240,5,0)*(INT(D986)+1-D986)),+VLOOKUP(INT(D986)+1,Tablas!$G$9:$O$1240,9,0)*(D986-INT(D986))+VLOOKUP(INT(D986),Tablas!$G$9:$O$1240,9,0)*(INT(D986)+1-D986))</f>
        <v>#N/A</v>
      </c>
      <c r="H986" s="105">
        <f t="shared" ca="1" si="124"/>
        <v>1</v>
      </c>
      <c r="I986" s="106">
        <f t="shared" ca="1" si="125"/>
        <v>0</v>
      </c>
      <c r="J986" s="106">
        <f t="shared" ca="1" si="129"/>
        <v>0</v>
      </c>
      <c r="K986" s="105" t="e">
        <f t="shared" ca="1" si="126"/>
        <v>#N/A</v>
      </c>
      <c r="L986" s="75"/>
    </row>
    <row r="987" spans="2:12">
      <c r="B987" s="101">
        <f t="shared" ca="1" si="127"/>
        <v>82304</v>
      </c>
      <c r="C987" s="101">
        <f t="shared" ca="1" si="128"/>
        <v>82334</v>
      </c>
      <c r="D987" s="102">
        <f t="shared" ca="1" si="123"/>
        <v>147.91238877481177</v>
      </c>
      <c r="E987" s="103">
        <f t="shared" ca="1" si="130"/>
        <v>0.29978995414066684</v>
      </c>
      <c r="F987" s="104" t="e">
        <f ca="1">IF($C$4="Hombre",(+VLOOKUP(INT(D987)+1,Tablas!$G$9:$K$1240,5,0)*(D987-INT(D987))+VLOOKUP(INT(D987),Tablas!$G$9:$K$1240,5,0)*(INT(D987)+1-D987))/(VLOOKUP(INT($C$5)+1,Tablas!$G$9:$K$1240,5,0)*($C$5-INT($C$5))+VLOOKUP(INT($C$5),Tablas!$G$9:$K$124,5,0)*(INT($C$5)+1-$C$5)),(+VLOOKUP(INT(D987)+1,Tablas!$G$9:$O$1240,9,0)*(D987-INT(D987))+VLOOKUP(INT(D987),Tablas!$G$9:$O$1240,9,0)*(INT(D987)+1-D987))/(VLOOKUP(INT($C$5)+1,Tablas!$G$9:$O$1240,9,0)*($C$5-INT($C$5))+VLOOKUP(INT($C$5),Tablas!$G$9:$O$124,9,0)*(INT($C$5)+1-$C$5)))</f>
        <v>#N/A</v>
      </c>
      <c r="G987" s="97" t="e">
        <f ca="1">IF($C$4="Hombre",(+VLOOKUP(INT(D987)+1,Tablas!$G$9:$K$1240,5,0)*(D987-INT(D987))+VLOOKUP(INT(D987),Tablas!$G$9:$K$1240,5,0)*(INT(D987)+1-D987)),+VLOOKUP(INT(D987)+1,Tablas!$G$9:$O$1240,9,0)*(D987-INT(D987))+VLOOKUP(INT(D987),Tablas!$G$9:$O$1240,9,0)*(INT(D987)+1-D987))</f>
        <v>#N/A</v>
      </c>
      <c r="H987" s="105">
        <f t="shared" ca="1" si="124"/>
        <v>1</v>
      </c>
      <c r="I987" s="106">
        <f t="shared" ca="1" si="125"/>
        <v>0</v>
      </c>
      <c r="J987" s="106">
        <f t="shared" ca="1" si="129"/>
        <v>0</v>
      </c>
      <c r="K987" s="105" t="e">
        <f t="shared" ca="1" si="126"/>
        <v>#N/A</v>
      </c>
      <c r="L987" s="75"/>
    </row>
    <row r="988" spans="2:12">
      <c r="B988" s="101">
        <f t="shared" ca="1" si="127"/>
        <v>82335</v>
      </c>
      <c r="C988" s="101">
        <f t="shared" ca="1" si="128"/>
        <v>82364</v>
      </c>
      <c r="D988" s="102">
        <f t="shared" ca="1" si="123"/>
        <v>147.99452429842574</v>
      </c>
      <c r="E988" s="103">
        <f t="shared" ca="1" si="130"/>
        <v>0.29942356987584956</v>
      </c>
      <c r="F988" s="104" t="e">
        <f ca="1">IF($C$4="Hombre",(+VLOOKUP(INT(D988)+1,Tablas!$G$9:$K$1240,5,0)*(D988-INT(D988))+VLOOKUP(INT(D988),Tablas!$G$9:$K$1240,5,0)*(INT(D988)+1-D988))/(VLOOKUP(INT($C$5)+1,Tablas!$G$9:$K$1240,5,0)*($C$5-INT($C$5))+VLOOKUP(INT($C$5),Tablas!$G$9:$K$124,5,0)*(INT($C$5)+1-$C$5)),(+VLOOKUP(INT(D988)+1,Tablas!$G$9:$O$1240,9,0)*(D988-INT(D988))+VLOOKUP(INT(D988),Tablas!$G$9:$O$1240,9,0)*(INT(D988)+1-D988))/(VLOOKUP(INT($C$5)+1,Tablas!$G$9:$O$1240,9,0)*($C$5-INT($C$5))+VLOOKUP(INT($C$5),Tablas!$G$9:$O$124,9,0)*(INT($C$5)+1-$C$5)))</f>
        <v>#N/A</v>
      </c>
      <c r="G988" s="97" t="e">
        <f ca="1">IF($C$4="Hombre",(+VLOOKUP(INT(D988)+1,Tablas!$G$9:$K$1240,5,0)*(D988-INT(D988))+VLOOKUP(INT(D988),Tablas!$G$9:$K$1240,5,0)*(INT(D988)+1-D988)),+VLOOKUP(INT(D988)+1,Tablas!$G$9:$O$1240,9,0)*(D988-INT(D988))+VLOOKUP(INT(D988),Tablas!$G$9:$O$1240,9,0)*(INT(D988)+1-D988))</f>
        <v>#N/A</v>
      </c>
      <c r="H988" s="105">
        <f t="shared" ca="1" si="124"/>
        <v>1</v>
      </c>
      <c r="I988" s="106">
        <f t="shared" ca="1" si="125"/>
        <v>0</v>
      </c>
      <c r="J988" s="106">
        <f t="shared" ca="1" si="129"/>
        <v>0</v>
      </c>
      <c r="K988" s="105" t="e">
        <f t="shared" ca="1" si="126"/>
        <v>#N/A</v>
      </c>
      <c r="L988" s="75"/>
    </row>
    <row r="989" spans="2:12">
      <c r="B989" s="101">
        <f t="shared" ca="1" si="127"/>
        <v>82365</v>
      </c>
      <c r="C989" s="101">
        <f t="shared" ca="1" si="128"/>
        <v>82395</v>
      </c>
      <c r="D989" s="102">
        <f t="shared" ca="1" si="123"/>
        <v>148.07939767282684</v>
      </c>
      <c r="E989" s="103">
        <f t="shared" ca="1" si="130"/>
        <v>0.29904544320476451</v>
      </c>
      <c r="F989" s="104" t="e">
        <f ca="1">IF($C$4="Hombre",(+VLOOKUP(INT(D989)+1,Tablas!$G$9:$K$1240,5,0)*(D989-INT(D989))+VLOOKUP(INT(D989),Tablas!$G$9:$K$1240,5,0)*(INT(D989)+1-D989))/(VLOOKUP(INT($C$5)+1,Tablas!$G$9:$K$1240,5,0)*($C$5-INT($C$5))+VLOOKUP(INT($C$5),Tablas!$G$9:$K$124,5,0)*(INT($C$5)+1-$C$5)),(+VLOOKUP(INT(D989)+1,Tablas!$G$9:$O$1240,9,0)*(D989-INT(D989))+VLOOKUP(INT(D989),Tablas!$G$9:$O$1240,9,0)*(INT(D989)+1-D989))/(VLOOKUP(INT($C$5)+1,Tablas!$G$9:$O$1240,9,0)*($C$5-INT($C$5))+VLOOKUP(INT($C$5),Tablas!$G$9:$O$124,9,0)*(INT($C$5)+1-$C$5)))</f>
        <v>#N/A</v>
      </c>
      <c r="G989" s="97" t="e">
        <f ca="1">IF($C$4="Hombre",(+VLOOKUP(INT(D989)+1,Tablas!$G$9:$K$1240,5,0)*(D989-INT(D989))+VLOOKUP(INT(D989),Tablas!$G$9:$K$1240,5,0)*(INT(D989)+1-D989)),+VLOOKUP(INT(D989)+1,Tablas!$G$9:$O$1240,9,0)*(D989-INT(D989))+VLOOKUP(INT(D989),Tablas!$G$9:$O$1240,9,0)*(INT(D989)+1-D989))</f>
        <v>#N/A</v>
      </c>
      <c r="H989" s="105">
        <f t="shared" ca="1" si="124"/>
        <v>1</v>
      </c>
      <c r="I989" s="106">
        <f t="shared" ca="1" si="125"/>
        <v>0</v>
      </c>
      <c r="J989" s="106">
        <f t="shared" ca="1" si="129"/>
        <v>0</v>
      </c>
      <c r="K989" s="105" t="e">
        <f t="shared" ca="1" si="126"/>
        <v>#N/A</v>
      </c>
      <c r="L989" s="75"/>
    </row>
    <row r="990" spans="2:12">
      <c r="B990" s="101">
        <f t="shared" ca="1" si="127"/>
        <v>82396</v>
      </c>
      <c r="C990" s="101">
        <f t="shared" ca="1" si="128"/>
        <v>82426</v>
      </c>
      <c r="D990" s="102">
        <f t="shared" ca="1" si="123"/>
        <v>148.16427104722791</v>
      </c>
      <c r="E990" s="103">
        <f t="shared" ca="1" si="130"/>
        <v>0.29866779405046118</v>
      </c>
      <c r="F990" s="104" t="e">
        <f ca="1">IF($C$4="Hombre",(+VLOOKUP(INT(D990)+1,Tablas!$G$9:$K$1240,5,0)*(D990-INT(D990))+VLOOKUP(INT(D990),Tablas!$G$9:$K$1240,5,0)*(INT(D990)+1-D990))/(VLOOKUP(INT($C$5)+1,Tablas!$G$9:$K$1240,5,0)*($C$5-INT($C$5))+VLOOKUP(INT($C$5),Tablas!$G$9:$K$124,5,0)*(INT($C$5)+1-$C$5)),(+VLOOKUP(INT(D990)+1,Tablas!$G$9:$O$1240,9,0)*(D990-INT(D990))+VLOOKUP(INT(D990),Tablas!$G$9:$O$1240,9,0)*(INT(D990)+1-D990))/(VLOOKUP(INT($C$5)+1,Tablas!$G$9:$O$1240,9,0)*($C$5-INT($C$5))+VLOOKUP(INT($C$5),Tablas!$G$9:$O$124,9,0)*(INT($C$5)+1-$C$5)))</f>
        <v>#N/A</v>
      </c>
      <c r="G990" s="97" t="e">
        <f ca="1">IF($C$4="Hombre",(+VLOOKUP(INT(D990)+1,Tablas!$G$9:$K$1240,5,0)*(D990-INT(D990))+VLOOKUP(INT(D990),Tablas!$G$9:$K$1240,5,0)*(INT(D990)+1-D990)),+VLOOKUP(INT(D990)+1,Tablas!$G$9:$O$1240,9,0)*(D990-INT(D990))+VLOOKUP(INT(D990),Tablas!$G$9:$O$1240,9,0)*(INT(D990)+1-D990))</f>
        <v>#N/A</v>
      </c>
      <c r="H990" s="105">
        <f t="shared" ca="1" si="124"/>
        <v>1</v>
      </c>
      <c r="I990" s="106">
        <f t="shared" ca="1" si="125"/>
        <v>0</v>
      </c>
      <c r="J990" s="106">
        <f t="shared" ca="1" si="129"/>
        <v>0</v>
      </c>
      <c r="K990" s="105" t="e">
        <f t="shared" ca="1" si="126"/>
        <v>#N/A</v>
      </c>
      <c r="L990" s="75"/>
    </row>
    <row r="991" spans="2:12">
      <c r="B991" s="101">
        <f t="shared" ca="1" si="127"/>
        <v>82427</v>
      </c>
      <c r="C991" s="101">
        <f t="shared" ca="1" si="128"/>
        <v>82456</v>
      </c>
      <c r="D991" s="102">
        <f t="shared" ca="1" si="123"/>
        <v>148.24640657084188</v>
      </c>
      <c r="E991" s="103">
        <f t="shared" ca="1" si="130"/>
        <v>0.29830278121852205</v>
      </c>
      <c r="F991" s="104" t="e">
        <f ca="1">IF($C$4="Hombre",(+VLOOKUP(INT(D991)+1,Tablas!$G$9:$K$1240,5,0)*(D991-INT(D991))+VLOOKUP(INT(D991),Tablas!$G$9:$K$1240,5,0)*(INT(D991)+1-D991))/(VLOOKUP(INT($C$5)+1,Tablas!$G$9:$K$1240,5,0)*($C$5-INT($C$5))+VLOOKUP(INT($C$5),Tablas!$G$9:$K$124,5,0)*(INT($C$5)+1-$C$5)),(+VLOOKUP(INT(D991)+1,Tablas!$G$9:$O$1240,9,0)*(D991-INT(D991))+VLOOKUP(INT(D991),Tablas!$G$9:$O$1240,9,0)*(INT(D991)+1-D991))/(VLOOKUP(INT($C$5)+1,Tablas!$G$9:$O$1240,9,0)*($C$5-INT($C$5))+VLOOKUP(INT($C$5),Tablas!$G$9:$O$124,9,0)*(INT($C$5)+1-$C$5)))</f>
        <v>#N/A</v>
      </c>
      <c r="G991" s="97" t="e">
        <f ca="1">IF($C$4="Hombre",(+VLOOKUP(INT(D991)+1,Tablas!$G$9:$K$1240,5,0)*(D991-INT(D991))+VLOOKUP(INT(D991),Tablas!$G$9:$K$1240,5,0)*(INT(D991)+1-D991)),+VLOOKUP(INT(D991)+1,Tablas!$G$9:$O$1240,9,0)*(D991-INT(D991))+VLOOKUP(INT(D991),Tablas!$G$9:$O$1240,9,0)*(INT(D991)+1-D991))</f>
        <v>#N/A</v>
      </c>
      <c r="H991" s="105">
        <f t="shared" ca="1" si="124"/>
        <v>1</v>
      </c>
      <c r="I991" s="106">
        <f t="shared" ca="1" si="125"/>
        <v>0</v>
      </c>
      <c r="J991" s="106">
        <f t="shared" ca="1" si="129"/>
        <v>0</v>
      </c>
      <c r="K991" s="105" t="e">
        <f t="shared" ca="1" si="126"/>
        <v>#N/A</v>
      </c>
      <c r="L991" s="75"/>
    </row>
    <row r="992" spans="2:12">
      <c r="B992" s="101">
        <f t="shared" ca="1" si="127"/>
        <v>82457</v>
      </c>
      <c r="C992" s="101">
        <f t="shared" ca="1" si="128"/>
        <v>82487</v>
      </c>
      <c r="D992" s="102">
        <f t="shared" ca="1" si="123"/>
        <v>148.33127994524298</v>
      </c>
      <c r="E992" s="103">
        <f t="shared" ca="1" si="130"/>
        <v>0.29792606993395515</v>
      </c>
      <c r="F992" s="104" t="e">
        <f ca="1">IF($C$4="Hombre",(+VLOOKUP(INT(D992)+1,Tablas!$G$9:$K$1240,5,0)*(D992-INT(D992))+VLOOKUP(INT(D992),Tablas!$G$9:$K$1240,5,0)*(INT(D992)+1-D992))/(VLOOKUP(INT($C$5)+1,Tablas!$G$9:$K$1240,5,0)*($C$5-INT($C$5))+VLOOKUP(INT($C$5),Tablas!$G$9:$K$124,5,0)*(INT($C$5)+1-$C$5)),(+VLOOKUP(INT(D992)+1,Tablas!$G$9:$O$1240,9,0)*(D992-INT(D992))+VLOOKUP(INT(D992),Tablas!$G$9:$O$1240,9,0)*(INT(D992)+1-D992))/(VLOOKUP(INT($C$5)+1,Tablas!$G$9:$O$1240,9,0)*($C$5-INT($C$5))+VLOOKUP(INT($C$5),Tablas!$G$9:$O$124,9,0)*(INT($C$5)+1-$C$5)))</f>
        <v>#N/A</v>
      </c>
      <c r="G992" s="97" t="e">
        <f ca="1">IF($C$4="Hombre",(+VLOOKUP(INT(D992)+1,Tablas!$G$9:$K$1240,5,0)*(D992-INT(D992))+VLOOKUP(INT(D992),Tablas!$G$9:$K$1240,5,0)*(INT(D992)+1-D992)),+VLOOKUP(INT(D992)+1,Tablas!$G$9:$O$1240,9,0)*(D992-INT(D992))+VLOOKUP(INT(D992),Tablas!$G$9:$O$1240,9,0)*(INT(D992)+1-D992))</f>
        <v>#N/A</v>
      </c>
      <c r="H992" s="105">
        <f t="shared" ca="1" si="124"/>
        <v>1</v>
      </c>
      <c r="I992" s="106">
        <f t="shared" ca="1" si="125"/>
        <v>0</v>
      </c>
      <c r="J992" s="106">
        <f t="shared" ca="1" si="129"/>
        <v>0</v>
      </c>
      <c r="K992" s="105" t="e">
        <f t="shared" ca="1" si="126"/>
        <v>#N/A</v>
      </c>
      <c r="L992" s="75"/>
    </row>
    <row r="993" spans="2:12">
      <c r="B993" s="101">
        <f t="shared" ca="1" si="127"/>
        <v>82488</v>
      </c>
      <c r="C993" s="101">
        <f t="shared" ca="1" si="128"/>
        <v>82517</v>
      </c>
      <c r="D993" s="102">
        <f t="shared" ca="1" si="123"/>
        <v>148.41341546885695</v>
      </c>
      <c r="E993" s="103">
        <f t="shared" ca="1" si="130"/>
        <v>0.29756196359018</v>
      </c>
      <c r="F993" s="104" t="e">
        <f ca="1">IF($C$4="Hombre",(+VLOOKUP(INT(D993)+1,Tablas!$G$9:$K$1240,5,0)*(D993-INT(D993))+VLOOKUP(INT(D993),Tablas!$G$9:$K$1240,5,0)*(INT(D993)+1-D993))/(VLOOKUP(INT($C$5)+1,Tablas!$G$9:$K$1240,5,0)*($C$5-INT($C$5))+VLOOKUP(INT($C$5),Tablas!$G$9:$K$124,5,0)*(INT($C$5)+1-$C$5)),(+VLOOKUP(INT(D993)+1,Tablas!$G$9:$O$1240,9,0)*(D993-INT(D993))+VLOOKUP(INT(D993),Tablas!$G$9:$O$1240,9,0)*(INT(D993)+1-D993))/(VLOOKUP(INT($C$5)+1,Tablas!$G$9:$O$1240,9,0)*($C$5-INT($C$5))+VLOOKUP(INT($C$5),Tablas!$G$9:$O$124,9,0)*(INT($C$5)+1-$C$5)))</f>
        <v>#N/A</v>
      </c>
      <c r="G993" s="97" t="e">
        <f ca="1">IF($C$4="Hombre",(+VLOOKUP(INT(D993)+1,Tablas!$G$9:$K$1240,5,0)*(D993-INT(D993))+VLOOKUP(INT(D993),Tablas!$G$9:$K$1240,5,0)*(INT(D993)+1-D993)),+VLOOKUP(INT(D993)+1,Tablas!$G$9:$O$1240,9,0)*(D993-INT(D993))+VLOOKUP(INT(D993),Tablas!$G$9:$O$1240,9,0)*(INT(D993)+1-D993))</f>
        <v>#N/A</v>
      </c>
      <c r="H993" s="105">
        <f t="shared" ca="1" si="124"/>
        <v>1</v>
      </c>
      <c r="I993" s="106">
        <f t="shared" ca="1" si="125"/>
        <v>0</v>
      </c>
      <c r="J993" s="106">
        <f t="shared" ca="1" si="129"/>
        <v>0</v>
      </c>
      <c r="K993" s="105" t="e">
        <f t="shared" ca="1" si="126"/>
        <v>#N/A</v>
      </c>
      <c r="L993" s="75"/>
    </row>
    <row r="994" spans="2:12">
      <c r="B994" s="101">
        <f t="shared" ca="1" si="127"/>
        <v>82518</v>
      </c>
      <c r="C994" s="101">
        <f t="shared" ca="1" si="128"/>
        <v>82548</v>
      </c>
      <c r="D994" s="102">
        <f t="shared" ca="1" si="123"/>
        <v>148.49828884325805</v>
      </c>
      <c r="E994" s="103">
        <f t="shared" ca="1" si="130"/>
        <v>0.2971861878462046</v>
      </c>
      <c r="F994" s="104" t="e">
        <f ca="1">IF($C$4="Hombre",(+VLOOKUP(INT(D994)+1,Tablas!$G$9:$K$1240,5,0)*(D994-INT(D994))+VLOOKUP(INT(D994),Tablas!$G$9:$K$1240,5,0)*(INT(D994)+1-D994))/(VLOOKUP(INT($C$5)+1,Tablas!$G$9:$K$1240,5,0)*($C$5-INT($C$5))+VLOOKUP(INT($C$5),Tablas!$G$9:$K$124,5,0)*(INT($C$5)+1-$C$5)),(+VLOOKUP(INT(D994)+1,Tablas!$G$9:$O$1240,9,0)*(D994-INT(D994))+VLOOKUP(INT(D994),Tablas!$G$9:$O$1240,9,0)*(INT(D994)+1-D994))/(VLOOKUP(INT($C$5)+1,Tablas!$G$9:$O$1240,9,0)*($C$5-INT($C$5))+VLOOKUP(INT($C$5),Tablas!$G$9:$O$124,9,0)*(INT($C$5)+1-$C$5)))</f>
        <v>#N/A</v>
      </c>
      <c r="G994" s="97" t="e">
        <f ca="1">IF($C$4="Hombre",(+VLOOKUP(INT(D994)+1,Tablas!$G$9:$K$1240,5,0)*(D994-INT(D994))+VLOOKUP(INT(D994),Tablas!$G$9:$K$1240,5,0)*(INT(D994)+1-D994)),+VLOOKUP(INT(D994)+1,Tablas!$G$9:$O$1240,9,0)*(D994-INT(D994))+VLOOKUP(INT(D994),Tablas!$G$9:$O$1240,9,0)*(INT(D994)+1-D994))</f>
        <v>#N/A</v>
      </c>
      <c r="H994" s="105">
        <f t="shared" ca="1" si="124"/>
        <v>1</v>
      </c>
      <c r="I994" s="106">
        <f t="shared" ca="1" si="125"/>
        <v>0</v>
      </c>
      <c r="J994" s="106">
        <f t="shared" ca="1" si="129"/>
        <v>0</v>
      </c>
      <c r="K994" s="105" t="e">
        <f t="shared" ca="1" si="126"/>
        <v>#N/A</v>
      </c>
      <c r="L994" s="75"/>
    </row>
    <row r="995" spans="2:12">
      <c r="B995" s="101">
        <f t="shared" ca="1" si="127"/>
        <v>82549</v>
      </c>
      <c r="C995" s="101">
        <f t="shared" ca="1" si="128"/>
        <v>82579</v>
      </c>
      <c r="D995" s="102">
        <f t="shared" ca="1" si="123"/>
        <v>148.58316221765915</v>
      </c>
      <c r="E995" s="103">
        <f t="shared" ca="1" si="130"/>
        <v>0.29681088665014543</v>
      </c>
      <c r="F995" s="104" t="e">
        <f ca="1">IF($C$4="Hombre",(+VLOOKUP(INT(D995)+1,Tablas!$G$9:$K$1240,5,0)*(D995-INT(D995))+VLOOKUP(INT(D995),Tablas!$G$9:$K$1240,5,0)*(INT(D995)+1-D995))/(VLOOKUP(INT($C$5)+1,Tablas!$G$9:$K$1240,5,0)*($C$5-INT($C$5))+VLOOKUP(INT($C$5),Tablas!$G$9:$K$124,5,0)*(INT($C$5)+1-$C$5)),(+VLOOKUP(INT(D995)+1,Tablas!$G$9:$O$1240,9,0)*(D995-INT(D995))+VLOOKUP(INT(D995),Tablas!$G$9:$O$1240,9,0)*(INT(D995)+1-D995))/(VLOOKUP(INT($C$5)+1,Tablas!$G$9:$O$1240,9,0)*($C$5-INT($C$5))+VLOOKUP(INT($C$5),Tablas!$G$9:$O$124,9,0)*(INT($C$5)+1-$C$5)))</f>
        <v>#N/A</v>
      </c>
      <c r="G995" s="97" t="e">
        <f ca="1">IF($C$4="Hombre",(+VLOOKUP(INT(D995)+1,Tablas!$G$9:$K$1240,5,0)*(D995-INT(D995))+VLOOKUP(INT(D995),Tablas!$G$9:$K$1240,5,0)*(INT(D995)+1-D995)),+VLOOKUP(INT(D995)+1,Tablas!$G$9:$O$1240,9,0)*(D995-INT(D995))+VLOOKUP(INT(D995),Tablas!$G$9:$O$1240,9,0)*(INT(D995)+1-D995))</f>
        <v>#N/A</v>
      </c>
      <c r="H995" s="105">
        <f t="shared" ca="1" si="124"/>
        <v>1</v>
      </c>
      <c r="I995" s="106">
        <f t="shared" ca="1" si="125"/>
        <v>0</v>
      </c>
      <c r="J995" s="106">
        <f t="shared" ca="1" si="129"/>
        <v>0</v>
      </c>
      <c r="K995" s="105" t="e">
        <f t="shared" ca="1" si="126"/>
        <v>#N/A</v>
      </c>
      <c r="L995" s="75"/>
    </row>
    <row r="996" spans="2:12">
      <c r="B996" s="101">
        <f t="shared" ca="1" si="127"/>
        <v>82580</v>
      </c>
      <c r="C996" s="101">
        <f t="shared" ca="1" si="128"/>
        <v>82607</v>
      </c>
      <c r="D996" s="102">
        <f t="shared" ca="1" si="123"/>
        <v>148.65982203969884</v>
      </c>
      <c r="E996" s="103">
        <f t="shared" ca="1" si="130"/>
        <v>0.29647231231023458</v>
      </c>
      <c r="F996" s="104" t="e">
        <f ca="1">IF($C$4="Hombre",(+VLOOKUP(INT(D996)+1,Tablas!$G$9:$K$1240,5,0)*(D996-INT(D996))+VLOOKUP(INT(D996),Tablas!$G$9:$K$1240,5,0)*(INT(D996)+1-D996))/(VLOOKUP(INT($C$5)+1,Tablas!$G$9:$K$1240,5,0)*($C$5-INT($C$5))+VLOOKUP(INT($C$5),Tablas!$G$9:$K$124,5,0)*(INT($C$5)+1-$C$5)),(+VLOOKUP(INT(D996)+1,Tablas!$G$9:$O$1240,9,0)*(D996-INT(D996))+VLOOKUP(INT(D996),Tablas!$G$9:$O$1240,9,0)*(INT(D996)+1-D996))/(VLOOKUP(INT($C$5)+1,Tablas!$G$9:$O$1240,9,0)*($C$5-INT($C$5))+VLOOKUP(INT($C$5),Tablas!$G$9:$O$124,9,0)*(INT($C$5)+1-$C$5)))</f>
        <v>#N/A</v>
      </c>
      <c r="G996" s="97" t="e">
        <f ca="1">IF($C$4="Hombre",(+VLOOKUP(INT(D996)+1,Tablas!$G$9:$K$1240,5,0)*(D996-INT(D996))+VLOOKUP(INT(D996),Tablas!$G$9:$K$1240,5,0)*(INT(D996)+1-D996)),+VLOOKUP(INT(D996)+1,Tablas!$G$9:$O$1240,9,0)*(D996-INT(D996))+VLOOKUP(INT(D996),Tablas!$G$9:$O$1240,9,0)*(INT(D996)+1-D996))</f>
        <v>#N/A</v>
      </c>
      <c r="H996" s="105">
        <f t="shared" ca="1" si="124"/>
        <v>1</v>
      </c>
      <c r="I996" s="106">
        <f t="shared" ca="1" si="125"/>
        <v>0</v>
      </c>
      <c r="J996" s="106">
        <f t="shared" ca="1" si="129"/>
        <v>0</v>
      </c>
      <c r="K996" s="105" t="e">
        <f t="shared" ca="1" si="126"/>
        <v>#N/A</v>
      </c>
      <c r="L996" s="75"/>
    </row>
    <row r="997" spans="2:12">
      <c r="B997" s="101">
        <f t="shared" ca="1" si="127"/>
        <v>82608</v>
      </c>
      <c r="C997" s="101">
        <f t="shared" ca="1" si="128"/>
        <v>82638</v>
      </c>
      <c r="D997" s="102">
        <f t="shared" ca="1" si="123"/>
        <v>148.74469541409994</v>
      </c>
      <c r="E997" s="103">
        <f t="shared" ca="1" si="130"/>
        <v>0.29609791263098018</v>
      </c>
      <c r="F997" s="104" t="e">
        <f ca="1">IF($C$4="Hombre",(+VLOOKUP(INT(D997)+1,Tablas!$G$9:$K$1240,5,0)*(D997-INT(D997))+VLOOKUP(INT(D997),Tablas!$G$9:$K$1240,5,0)*(INT(D997)+1-D997))/(VLOOKUP(INT($C$5)+1,Tablas!$G$9:$K$1240,5,0)*($C$5-INT($C$5))+VLOOKUP(INT($C$5),Tablas!$G$9:$K$124,5,0)*(INT($C$5)+1-$C$5)),(+VLOOKUP(INT(D997)+1,Tablas!$G$9:$O$1240,9,0)*(D997-INT(D997))+VLOOKUP(INT(D997),Tablas!$G$9:$O$1240,9,0)*(INT(D997)+1-D997))/(VLOOKUP(INT($C$5)+1,Tablas!$G$9:$O$1240,9,0)*($C$5-INT($C$5))+VLOOKUP(INT($C$5),Tablas!$G$9:$O$124,9,0)*(INT($C$5)+1-$C$5)))</f>
        <v>#N/A</v>
      </c>
      <c r="G997" s="97" t="e">
        <f ca="1">IF($C$4="Hombre",(+VLOOKUP(INT(D997)+1,Tablas!$G$9:$K$1240,5,0)*(D997-INT(D997))+VLOOKUP(INT(D997),Tablas!$G$9:$K$1240,5,0)*(INT(D997)+1-D997)),+VLOOKUP(INT(D997)+1,Tablas!$G$9:$O$1240,9,0)*(D997-INT(D997))+VLOOKUP(INT(D997),Tablas!$G$9:$O$1240,9,0)*(INT(D997)+1-D997))</f>
        <v>#N/A</v>
      </c>
      <c r="H997" s="105">
        <f t="shared" ca="1" si="124"/>
        <v>1</v>
      </c>
      <c r="I997" s="106">
        <f t="shared" ca="1" si="125"/>
        <v>0</v>
      </c>
      <c r="J997" s="106">
        <f t="shared" ca="1" si="129"/>
        <v>0</v>
      </c>
      <c r="K997" s="105" t="e">
        <f t="shared" ca="1" si="126"/>
        <v>#N/A</v>
      </c>
      <c r="L997" s="75"/>
    </row>
    <row r="998" spans="2:12">
      <c r="B998" s="101">
        <f t="shared" ca="1" si="127"/>
        <v>82639</v>
      </c>
      <c r="C998" s="101">
        <f t="shared" ca="1" si="128"/>
        <v>82668</v>
      </c>
      <c r="D998" s="102">
        <f t="shared" ca="1" si="123"/>
        <v>148.82683093771391</v>
      </c>
      <c r="E998" s="103">
        <f t="shared" ca="1" si="130"/>
        <v>0.29573604054509189</v>
      </c>
      <c r="F998" s="104" t="e">
        <f ca="1">IF($C$4="Hombre",(+VLOOKUP(INT(D998)+1,Tablas!$G$9:$K$1240,5,0)*(D998-INT(D998))+VLOOKUP(INT(D998),Tablas!$G$9:$K$1240,5,0)*(INT(D998)+1-D998))/(VLOOKUP(INT($C$5)+1,Tablas!$G$9:$K$1240,5,0)*($C$5-INT($C$5))+VLOOKUP(INT($C$5),Tablas!$G$9:$K$124,5,0)*(INT($C$5)+1-$C$5)),(+VLOOKUP(INT(D998)+1,Tablas!$G$9:$O$1240,9,0)*(D998-INT(D998))+VLOOKUP(INT(D998),Tablas!$G$9:$O$1240,9,0)*(INT(D998)+1-D998))/(VLOOKUP(INT($C$5)+1,Tablas!$G$9:$O$1240,9,0)*($C$5-INT($C$5))+VLOOKUP(INT($C$5),Tablas!$G$9:$O$124,9,0)*(INT($C$5)+1-$C$5)))</f>
        <v>#N/A</v>
      </c>
      <c r="G998" s="97" t="e">
        <f ca="1">IF($C$4="Hombre",(+VLOOKUP(INT(D998)+1,Tablas!$G$9:$K$1240,5,0)*(D998-INT(D998))+VLOOKUP(INT(D998),Tablas!$G$9:$K$1240,5,0)*(INT(D998)+1-D998)),+VLOOKUP(INT(D998)+1,Tablas!$G$9:$O$1240,9,0)*(D998-INT(D998))+VLOOKUP(INT(D998),Tablas!$G$9:$O$1240,9,0)*(INT(D998)+1-D998))</f>
        <v>#N/A</v>
      </c>
      <c r="H998" s="105">
        <f t="shared" ca="1" si="124"/>
        <v>1</v>
      </c>
      <c r="I998" s="106">
        <f t="shared" ca="1" si="125"/>
        <v>0</v>
      </c>
      <c r="J998" s="106">
        <f t="shared" ca="1" si="129"/>
        <v>0</v>
      </c>
      <c r="K998" s="105" t="e">
        <f t="shared" ca="1" si="126"/>
        <v>#N/A</v>
      </c>
      <c r="L998" s="75"/>
    </row>
    <row r="999" spans="2:12">
      <c r="B999" s="101">
        <f t="shared" ca="1" si="127"/>
        <v>82669</v>
      </c>
      <c r="C999" s="101">
        <f t="shared" ca="1" si="128"/>
        <v>82699</v>
      </c>
      <c r="D999" s="102">
        <f t="shared" ca="1" si="123"/>
        <v>148.91170431211498</v>
      </c>
      <c r="E999" s="103">
        <f t="shared" ca="1" si="130"/>
        <v>0.2953625706656916</v>
      </c>
      <c r="F999" s="104" t="e">
        <f ca="1">IF($C$4="Hombre",(+VLOOKUP(INT(D999)+1,Tablas!$G$9:$K$1240,5,0)*(D999-INT(D999))+VLOOKUP(INT(D999),Tablas!$G$9:$K$1240,5,0)*(INT(D999)+1-D999))/(VLOOKUP(INT($C$5)+1,Tablas!$G$9:$K$1240,5,0)*($C$5-INT($C$5))+VLOOKUP(INT($C$5),Tablas!$G$9:$K$124,5,0)*(INT($C$5)+1-$C$5)),(+VLOOKUP(INT(D999)+1,Tablas!$G$9:$O$1240,9,0)*(D999-INT(D999))+VLOOKUP(INT(D999),Tablas!$G$9:$O$1240,9,0)*(INT(D999)+1-D999))/(VLOOKUP(INT($C$5)+1,Tablas!$G$9:$O$1240,9,0)*($C$5-INT($C$5))+VLOOKUP(INT($C$5),Tablas!$G$9:$O$124,9,0)*(INT($C$5)+1-$C$5)))</f>
        <v>#N/A</v>
      </c>
      <c r="G999" s="97" t="e">
        <f ca="1">IF($C$4="Hombre",(+VLOOKUP(INT(D999)+1,Tablas!$G$9:$K$1240,5,0)*(D999-INT(D999))+VLOOKUP(INT(D999),Tablas!$G$9:$K$1240,5,0)*(INT(D999)+1-D999)),+VLOOKUP(INT(D999)+1,Tablas!$G$9:$O$1240,9,0)*(D999-INT(D999))+VLOOKUP(INT(D999),Tablas!$G$9:$O$1240,9,0)*(INT(D999)+1-D999))</f>
        <v>#N/A</v>
      </c>
      <c r="H999" s="105">
        <f t="shared" ca="1" si="124"/>
        <v>1</v>
      </c>
      <c r="I999" s="106">
        <f t="shared" ca="1" si="125"/>
        <v>0</v>
      </c>
      <c r="J999" s="106">
        <f t="shared" ca="1" si="129"/>
        <v>0</v>
      </c>
      <c r="K999" s="105" t="e">
        <f t="shared" ca="1" si="126"/>
        <v>#N/A</v>
      </c>
      <c r="L999" s="75"/>
    </row>
    <row r="1000" spans="2:12">
      <c r="B1000" s="101">
        <f t="shared" ca="1" si="127"/>
        <v>82700</v>
      </c>
      <c r="C1000" s="101">
        <f t="shared" ca="1" si="128"/>
        <v>82729</v>
      </c>
      <c r="D1000" s="102">
        <f t="shared" ca="1" si="123"/>
        <v>148.99383983572895</v>
      </c>
      <c r="E1000" s="103">
        <f t="shared" ca="1" si="130"/>
        <v>0.29500159726810699</v>
      </c>
      <c r="F1000" s="104" t="e">
        <f ca="1">IF($C$4="Hombre",(+VLOOKUP(INT(D1000)+1,Tablas!$G$9:$K$1240,5,0)*(D1000-INT(D1000))+VLOOKUP(INT(D1000),Tablas!$G$9:$K$1240,5,0)*(INT(D1000)+1-D1000))/(VLOOKUP(INT($C$5)+1,Tablas!$G$9:$K$1240,5,0)*($C$5-INT($C$5))+VLOOKUP(INT($C$5),Tablas!$G$9:$K$124,5,0)*(INT($C$5)+1-$C$5)),(+VLOOKUP(INT(D1000)+1,Tablas!$G$9:$O$1240,9,0)*(D1000-INT(D1000))+VLOOKUP(INT(D1000),Tablas!$G$9:$O$1240,9,0)*(INT(D1000)+1-D1000))/(VLOOKUP(INT($C$5)+1,Tablas!$G$9:$O$1240,9,0)*($C$5-INT($C$5))+VLOOKUP(INT($C$5),Tablas!$G$9:$O$124,9,0)*(INT($C$5)+1-$C$5)))</f>
        <v>#N/A</v>
      </c>
      <c r="G1000" s="97" t="e">
        <f ca="1">IF($C$4="Hombre",(+VLOOKUP(INT(D1000)+1,Tablas!$G$9:$K$1240,5,0)*(D1000-INT(D1000))+VLOOKUP(INT(D1000),Tablas!$G$9:$K$1240,5,0)*(INT(D1000)+1-D1000)),+VLOOKUP(INT(D1000)+1,Tablas!$G$9:$O$1240,9,0)*(D1000-INT(D1000))+VLOOKUP(INT(D1000),Tablas!$G$9:$O$1240,9,0)*(INT(D1000)+1-D1000))</f>
        <v>#N/A</v>
      </c>
      <c r="H1000" s="105">
        <f t="shared" ca="1" si="124"/>
        <v>1</v>
      </c>
      <c r="I1000" s="106">
        <f t="shared" ca="1" si="125"/>
        <v>0</v>
      </c>
      <c r="J1000" s="106">
        <f t="shared" ca="1" si="129"/>
        <v>0</v>
      </c>
      <c r="K1000" s="105" t="e">
        <f t="shared" ca="1" si="126"/>
        <v>#N/A</v>
      </c>
      <c r="L1000" s="75"/>
    </row>
    <row r="1001" spans="2:12">
      <c r="B1001" s="101">
        <f t="shared" ca="1" si="127"/>
        <v>82730</v>
      </c>
      <c r="C1001" s="101">
        <f t="shared" ca="1" si="128"/>
        <v>82760</v>
      </c>
      <c r="D1001" s="102">
        <f t="shared" ca="1" si="123"/>
        <v>149.07871321013005</v>
      </c>
      <c r="E1001" s="103">
        <f t="shared" ca="1" si="130"/>
        <v>0.29462905487945668</v>
      </c>
      <c r="F1001" s="104" t="e">
        <f ca="1">IF($C$4="Hombre",(+VLOOKUP(INT(D1001)+1,Tablas!$G$9:$K$1240,5,0)*(D1001-INT(D1001))+VLOOKUP(INT(D1001),Tablas!$G$9:$K$1240,5,0)*(INT(D1001)+1-D1001))/(VLOOKUP(INT($C$5)+1,Tablas!$G$9:$K$1240,5,0)*($C$5-INT($C$5))+VLOOKUP(INT($C$5),Tablas!$G$9:$K$124,5,0)*(INT($C$5)+1-$C$5)),(+VLOOKUP(INT(D1001)+1,Tablas!$G$9:$O$1240,9,0)*(D1001-INT(D1001))+VLOOKUP(INT(D1001),Tablas!$G$9:$O$1240,9,0)*(INT(D1001)+1-D1001))/(VLOOKUP(INT($C$5)+1,Tablas!$G$9:$O$1240,9,0)*($C$5-INT($C$5))+VLOOKUP(INT($C$5),Tablas!$G$9:$O$124,9,0)*(INT($C$5)+1-$C$5)))</f>
        <v>#N/A</v>
      </c>
      <c r="G1001" s="97" t="e">
        <f ca="1">IF($C$4="Hombre",(+VLOOKUP(INT(D1001)+1,Tablas!$G$9:$K$1240,5,0)*(D1001-INT(D1001))+VLOOKUP(INT(D1001),Tablas!$G$9:$K$1240,5,0)*(INT(D1001)+1-D1001)),+VLOOKUP(INT(D1001)+1,Tablas!$G$9:$O$1240,9,0)*(D1001-INT(D1001))+VLOOKUP(INT(D1001),Tablas!$G$9:$O$1240,9,0)*(INT(D1001)+1-D1001))</f>
        <v>#N/A</v>
      </c>
      <c r="H1001" s="105">
        <f t="shared" ca="1" si="124"/>
        <v>1</v>
      </c>
      <c r="I1001" s="106">
        <f t="shared" ca="1" si="125"/>
        <v>0</v>
      </c>
      <c r="J1001" s="106">
        <f t="shared" ca="1" si="129"/>
        <v>0</v>
      </c>
      <c r="K1001" s="105" t="e">
        <f t="shared" ca="1" si="126"/>
        <v>#N/A</v>
      </c>
      <c r="L1001" s="75"/>
    </row>
    <row r="1002" spans="2:12">
      <c r="B1002" s="101">
        <f t="shared" ca="1" si="127"/>
        <v>82761</v>
      </c>
      <c r="C1002" s="101">
        <f t="shared" ca="1" si="128"/>
        <v>82791</v>
      </c>
      <c r="D1002" s="102">
        <f t="shared" ca="1" si="123"/>
        <v>149.16358658453115</v>
      </c>
      <c r="E1002" s="103">
        <f t="shared" ca="1" si="130"/>
        <v>0.29425698295548397</v>
      </c>
      <c r="F1002" s="104" t="e">
        <f ca="1">IF($C$4="Hombre",(+VLOOKUP(INT(D1002)+1,Tablas!$G$9:$K$1240,5,0)*(D1002-INT(D1002))+VLOOKUP(INT(D1002),Tablas!$G$9:$K$1240,5,0)*(INT(D1002)+1-D1002))/(VLOOKUP(INT($C$5)+1,Tablas!$G$9:$K$1240,5,0)*($C$5-INT($C$5))+VLOOKUP(INT($C$5),Tablas!$G$9:$K$124,5,0)*(INT($C$5)+1-$C$5)),(+VLOOKUP(INT(D1002)+1,Tablas!$G$9:$O$1240,9,0)*(D1002-INT(D1002))+VLOOKUP(INT(D1002),Tablas!$G$9:$O$1240,9,0)*(INT(D1002)+1-D1002))/(VLOOKUP(INT($C$5)+1,Tablas!$G$9:$O$1240,9,0)*($C$5-INT($C$5))+VLOOKUP(INT($C$5),Tablas!$G$9:$O$124,9,0)*(INT($C$5)+1-$C$5)))</f>
        <v>#N/A</v>
      </c>
      <c r="G1002" s="97" t="e">
        <f ca="1">IF($C$4="Hombre",(+VLOOKUP(INT(D1002)+1,Tablas!$G$9:$K$1240,5,0)*(D1002-INT(D1002))+VLOOKUP(INT(D1002),Tablas!$G$9:$K$1240,5,0)*(INT(D1002)+1-D1002)),+VLOOKUP(INT(D1002)+1,Tablas!$G$9:$O$1240,9,0)*(D1002-INT(D1002))+VLOOKUP(INT(D1002),Tablas!$G$9:$O$1240,9,0)*(INT(D1002)+1-D1002))</f>
        <v>#N/A</v>
      </c>
      <c r="H1002" s="105">
        <f t="shared" ca="1" si="124"/>
        <v>1</v>
      </c>
      <c r="I1002" s="106">
        <f t="shared" ca="1" si="125"/>
        <v>0</v>
      </c>
      <c r="J1002" s="106">
        <f t="shared" ca="1" si="129"/>
        <v>0</v>
      </c>
      <c r="K1002" s="105" t="e">
        <f t="shared" ca="1" si="126"/>
        <v>#N/A</v>
      </c>
      <c r="L1002" s="75"/>
    </row>
    <row r="1003" spans="2:12">
      <c r="B1003" s="101">
        <f t="shared" ca="1" si="127"/>
        <v>82792</v>
      </c>
      <c r="C1003" s="101">
        <f t="shared" ca="1" si="128"/>
        <v>82821</v>
      </c>
      <c r="D1003" s="102">
        <f t="shared" ca="1" si="123"/>
        <v>149.24572210814512</v>
      </c>
      <c r="E1003" s="103">
        <f t="shared" ca="1" si="130"/>
        <v>0.29389736073706596</v>
      </c>
      <c r="F1003" s="104" t="e">
        <f ca="1">IF($C$4="Hombre",(+VLOOKUP(INT(D1003)+1,Tablas!$G$9:$K$1240,5,0)*(D1003-INT(D1003))+VLOOKUP(INT(D1003),Tablas!$G$9:$K$1240,5,0)*(INT(D1003)+1-D1003))/(VLOOKUP(INT($C$5)+1,Tablas!$G$9:$K$1240,5,0)*($C$5-INT($C$5))+VLOOKUP(INT($C$5),Tablas!$G$9:$K$124,5,0)*(INT($C$5)+1-$C$5)),(+VLOOKUP(INT(D1003)+1,Tablas!$G$9:$O$1240,9,0)*(D1003-INT(D1003))+VLOOKUP(INT(D1003),Tablas!$G$9:$O$1240,9,0)*(INT(D1003)+1-D1003))/(VLOOKUP(INT($C$5)+1,Tablas!$G$9:$O$1240,9,0)*($C$5-INT($C$5))+VLOOKUP(INT($C$5),Tablas!$G$9:$O$124,9,0)*(INT($C$5)+1-$C$5)))</f>
        <v>#N/A</v>
      </c>
      <c r="G1003" s="97" t="e">
        <f ca="1">IF($C$4="Hombre",(+VLOOKUP(INT(D1003)+1,Tablas!$G$9:$K$1240,5,0)*(D1003-INT(D1003))+VLOOKUP(INT(D1003),Tablas!$G$9:$K$1240,5,0)*(INT(D1003)+1-D1003)),+VLOOKUP(INT(D1003)+1,Tablas!$G$9:$O$1240,9,0)*(D1003-INT(D1003))+VLOOKUP(INT(D1003),Tablas!$G$9:$O$1240,9,0)*(INT(D1003)+1-D1003))</f>
        <v>#N/A</v>
      </c>
      <c r="H1003" s="105">
        <f t="shared" ca="1" si="124"/>
        <v>1</v>
      </c>
      <c r="I1003" s="106">
        <f t="shared" ca="1" si="125"/>
        <v>0</v>
      </c>
      <c r="J1003" s="106">
        <f t="shared" ca="1" si="129"/>
        <v>0</v>
      </c>
      <c r="K1003" s="105" t="e">
        <f t="shared" ca="1" si="126"/>
        <v>#N/A</v>
      </c>
      <c r="L1003" s="75"/>
    </row>
    <row r="1004" spans="2:12">
      <c r="B1004" s="101">
        <f t="shared" ca="1" si="127"/>
        <v>82822</v>
      </c>
      <c r="C1004" s="101">
        <f t="shared" ca="1" si="128"/>
        <v>82852</v>
      </c>
      <c r="D1004" s="102">
        <f t="shared" ca="1" si="123"/>
        <v>149.33059548254622</v>
      </c>
      <c r="E1004" s="103">
        <f t="shared" ca="1" si="130"/>
        <v>0.29352621283210228</v>
      </c>
      <c r="F1004" s="104" t="e">
        <f ca="1">IF($C$4="Hombre",(+VLOOKUP(INT(D1004)+1,Tablas!$G$9:$K$1240,5,0)*(D1004-INT(D1004))+VLOOKUP(INT(D1004),Tablas!$G$9:$K$1240,5,0)*(INT(D1004)+1-D1004))/(VLOOKUP(INT($C$5)+1,Tablas!$G$9:$K$1240,5,0)*($C$5-INT($C$5))+VLOOKUP(INT($C$5),Tablas!$G$9:$K$124,5,0)*(INT($C$5)+1-$C$5)),(+VLOOKUP(INT(D1004)+1,Tablas!$G$9:$O$1240,9,0)*(D1004-INT(D1004))+VLOOKUP(INT(D1004),Tablas!$G$9:$O$1240,9,0)*(INT(D1004)+1-D1004))/(VLOOKUP(INT($C$5)+1,Tablas!$G$9:$O$1240,9,0)*($C$5-INT($C$5))+VLOOKUP(INT($C$5),Tablas!$G$9:$O$124,9,0)*(INT($C$5)+1-$C$5)))</f>
        <v>#N/A</v>
      </c>
      <c r="G1004" s="97" t="e">
        <f ca="1">IF($C$4="Hombre",(+VLOOKUP(INT(D1004)+1,Tablas!$G$9:$K$1240,5,0)*(D1004-INT(D1004))+VLOOKUP(INT(D1004),Tablas!$G$9:$K$1240,5,0)*(INT(D1004)+1-D1004)),+VLOOKUP(INT(D1004)+1,Tablas!$G$9:$O$1240,9,0)*(D1004-INT(D1004))+VLOOKUP(INT(D1004),Tablas!$G$9:$O$1240,9,0)*(INT(D1004)+1-D1004))</f>
        <v>#N/A</v>
      </c>
      <c r="H1004" s="105">
        <f t="shared" ca="1" si="124"/>
        <v>1</v>
      </c>
      <c r="I1004" s="106">
        <f t="shared" ca="1" si="125"/>
        <v>0</v>
      </c>
      <c r="J1004" s="106">
        <f t="shared" ca="1" si="129"/>
        <v>0</v>
      </c>
      <c r="K1004" s="105" t="e">
        <f t="shared" ca="1" si="126"/>
        <v>#N/A</v>
      </c>
      <c r="L1004" s="75"/>
    </row>
    <row r="1005" spans="2:12">
      <c r="B1005" s="101">
        <f t="shared" ca="1" si="127"/>
        <v>82853</v>
      </c>
      <c r="C1005" s="101">
        <f t="shared" ca="1" si="128"/>
        <v>82882</v>
      </c>
      <c r="D1005" s="102">
        <f t="shared" ca="1" si="123"/>
        <v>149.41273100616016</v>
      </c>
      <c r="E1005" s="103">
        <f t="shared" ca="1" si="130"/>
        <v>0.29316748371457291</v>
      </c>
      <c r="F1005" s="104" t="e">
        <f ca="1">IF($C$4="Hombre",(+VLOOKUP(INT(D1005)+1,Tablas!$G$9:$K$1240,5,0)*(D1005-INT(D1005))+VLOOKUP(INT(D1005),Tablas!$G$9:$K$1240,5,0)*(INT(D1005)+1-D1005))/(VLOOKUP(INT($C$5)+1,Tablas!$G$9:$K$1240,5,0)*($C$5-INT($C$5))+VLOOKUP(INT($C$5),Tablas!$G$9:$K$124,5,0)*(INT($C$5)+1-$C$5)),(+VLOOKUP(INT(D1005)+1,Tablas!$G$9:$O$1240,9,0)*(D1005-INT(D1005))+VLOOKUP(INT(D1005),Tablas!$G$9:$O$1240,9,0)*(INT(D1005)+1-D1005))/(VLOOKUP(INT($C$5)+1,Tablas!$G$9:$O$1240,9,0)*($C$5-INT($C$5))+VLOOKUP(INT($C$5),Tablas!$G$9:$O$124,9,0)*(INT($C$5)+1-$C$5)))</f>
        <v>#N/A</v>
      </c>
      <c r="G1005" s="97" t="e">
        <f ca="1">IF($C$4="Hombre",(+VLOOKUP(INT(D1005)+1,Tablas!$G$9:$K$1240,5,0)*(D1005-INT(D1005))+VLOOKUP(INT(D1005),Tablas!$G$9:$K$1240,5,0)*(INT(D1005)+1-D1005)),+VLOOKUP(INT(D1005)+1,Tablas!$G$9:$O$1240,9,0)*(D1005-INT(D1005))+VLOOKUP(INT(D1005),Tablas!$G$9:$O$1240,9,0)*(INT(D1005)+1-D1005))</f>
        <v>#N/A</v>
      </c>
      <c r="H1005" s="105">
        <f t="shared" ca="1" si="124"/>
        <v>1</v>
      </c>
      <c r="I1005" s="106">
        <f t="shared" ca="1" si="125"/>
        <v>0</v>
      </c>
      <c r="J1005" s="106">
        <f t="shared" ca="1" si="129"/>
        <v>0</v>
      </c>
      <c r="K1005" s="105" t="e">
        <f t="shared" ca="1" si="126"/>
        <v>#N/A</v>
      </c>
      <c r="L1005" s="75"/>
    </row>
    <row r="1006" spans="2:12">
      <c r="B1006" s="101">
        <f t="shared" ca="1" si="127"/>
        <v>82883</v>
      </c>
      <c r="C1006" s="101">
        <f t="shared" ca="1" si="128"/>
        <v>82913</v>
      </c>
      <c r="D1006" s="102">
        <f t="shared" ca="1" si="123"/>
        <v>149.49760438056126</v>
      </c>
      <c r="E1006" s="103">
        <f t="shared" ca="1" si="130"/>
        <v>0.29279725753387065</v>
      </c>
      <c r="F1006" s="104" t="e">
        <f ca="1">IF($C$4="Hombre",(+VLOOKUP(INT(D1006)+1,Tablas!$G$9:$K$1240,5,0)*(D1006-INT(D1006))+VLOOKUP(INT(D1006),Tablas!$G$9:$K$1240,5,0)*(INT(D1006)+1-D1006))/(VLOOKUP(INT($C$5)+1,Tablas!$G$9:$K$1240,5,0)*($C$5-INT($C$5))+VLOOKUP(INT($C$5),Tablas!$G$9:$K$124,5,0)*(INT($C$5)+1-$C$5)),(+VLOOKUP(INT(D1006)+1,Tablas!$G$9:$O$1240,9,0)*(D1006-INT(D1006))+VLOOKUP(INT(D1006),Tablas!$G$9:$O$1240,9,0)*(INT(D1006)+1-D1006))/(VLOOKUP(INT($C$5)+1,Tablas!$G$9:$O$1240,9,0)*($C$5-INT($C$5))+VLOOKUP(INT($C$5),Tablas!$G$9:$O$124,9,0)*(INT($C$5)+1-$C$5)))</f>
        <v>#N/A</v>
      </c>
      <c r="G1006" s="97" t="e">
        <f ca="1">IF($C$4="Hombre",(+VLOOKUP(INT(D1006)+1,Tablas!$G$9:$K$1240,5,0)*(D1006-INT(D1006))+VLOOKUP(INT(D1006),Tablas!$G$9:$K$1240,5,0)*(INT(D1006)+1-D1006)),+VLOOKUP(INT(D1006)+1,Tablas!$G$9:$O$1240,9,0)*(D1006-INT(D1006))+VLOOKUP(INT(D1006),Tablas!$G$9:$O$1240,9,0)*(INT(D1006)+1-D1006))</f>
        <v>#N/A</v>
      </c>
      <c r="H1006" s="105">
        <f t="shared" ca="1" si="124"/>
        <v>1</v>
      </c>
      <c r="I1006" s="106">
        <f t="shared" ca="1" si="125"/>
        <v>0</v>
      </c>
      <c r="J1006" s="106">
        <f t="shared" ca="1" si="129"/>
        <v>0</v>
      </c>
      <c r="K1006" s="105" t="e">
        <f t="shared" ca="1" si="126"/>
        <v>#N/A</v>
      </c>
      <c r="L1006" s="75"/>
    </row>
    <row r="1007" spans="2:12">
      <c r="B1007" s="101">
        <f t="shared" ca="1" si="127"/>
        <v>82914</v>
      </c>
      <c r="C1007" s="101">
        <f t="shared" ca="1" si="128"/>
        <v>82944</v>
      </c>
      <c r="D1007" s="102">
        <f t="shared" ca="1" si="123"/>
        <v>149.58247775496235</v>
      </c>
      <c r="E1007" s="103">
        <f t="shared" ca="1" si="130"/>
        <v>0.29242749889282582</v>
      </c>
      <c r="F1007" s="104" t="e">
        <f ca="1">IF($C$4="Hombre",(+VLOOKUP(INT(D1007)+1,Tablas!$G$9:$K$1240,5,0)*(D1007-INT(D1007))+VLOOKUP(INT(D1007),Tablas!$G$9:$K$1240,5,0)*(INT(D1007)+1-D1007))/(VLOOKUP(INT($C$5)+1,Tablas!$G$9:$K$1240,5,0)*($C$5-INT($C$5))+VLOOKUP(INT($C$5),Tablas!$G$9:$K$124,5,0)*(INT($C$5)+1-$C$5)),(+VLOOKUP(INT(D1007)+1,Tablas!$G$9:$O$1240,9,0)*(D1007-INT(D1007))+VLOOKUP(INT(D1007),Tablas!$G$9:$O$1240,9,0)*(INT(D1007)+1-D1007))/(VLOOKUP(INT($C$5)+1,Tablas!$G$9:$O$1240,9,0)*($C$5-INT($C$5))+VLOOKUP(INT($C$5),Tablas!$G$9:$O$124,9,0)*(INT($C$5)+1-$C$5)))</f>
        <v>#N/A</v>
      </c>
      <c r="G1007" s="97" t="e">
        <f ca="1">IF($C$4="Hombre",(+VLOOKUP(INT(D1007)+1,Tablas!$G$9:$K$1240,5,0)*(D1007-INT(D1007))+VLOOKUP(INT(D1007),Tablas!$G$9:$K$1240,5,0)*(INT(D1007)+1-D1007)),+VLOOKUP(INT(D1007)+1,Tablas!$G$9:$O$1240,9,0)*(D1007-INT(D1007))+VLOOKUP(INT(D1007),Tablas!$G$9:$O$1240,9,0)*(INT(D1007)+1-D1007))</f>
        <v>#N/A</v>
      </c>
      <c r="H1007" s="105">
        <f t="shared" ca="1" si="124"/>
        <v>1</v>
      </c>
      <c r="I1007" s="106">
        <f t="shared" ca="1" si="125"/>
        <v>0</v>
      </c>
      <c r="J1007" s="106">
        <f t="shared" ca="1" si="129"/>
        <v>0</v>
      </c>
      <c r="K1007" s="105" t="e">
        <f t="shared" ca="1" si="126"/>
        <v>#N/A</v>
      </c>
      <c r="L1007" s="75"/>
    </row>
    <row r="1008" spans="2:12">
      <c r="B1008" s="101">
        <f t="shared" ca="1" si="127"/>
        <v>82945</v>
      </c>
      <c r="C1008" s="101">
        <f t="shared" ca="1" si="128"/>
        <v>82972</v>
      </c>
      <c r="D1008" s="102">
        <f t="shared" ca="1" si="123"/>
        <v>149.65913757700204</v>
      </c>
      <c r="E1008" s="103">
        <f t="shared" ca="1" si="130"/>
        <v>0.29209392471525153</v>
      </c>
      <c r="F1008" s="104" t="e">
        <f ca="1">IF($C$4="Hombre",(+VLOOKUP(INT(D1008)+1,Tablas!$G$9:$K$1240,5,0)*(D1008-INT(D1008))+VLOOKUP(INT(D1008),Tablas!$G$9:$K$1240,5,0)*(INT(D1008)+1-D1008))/(VLOOKUP(INT($C$5)+1,Tablas!$G$9:$K$1240,5,0)*($C$5-INT($C$5))+VLOOKUP(INT($C$5),Tablas!$G$9:$K$124,5,0)*(INT($C$5)+1-$C$5)),(+VLOOKUP(INT(D1008)+1,Tablas!$G$9:$O$1240,9,0)*(D1008-INT(D1008))+VLOOKUP(INT(D1008),Tablas!$G$9:$O$1240,9,0)*(INT(D1008)+1-D1008))/(VLOOKUP(INT($C$5)+1,Tablas!$G$9:$O$1240,9,0)*($C$5-INT($C$5))+VLOOKUP(INT($C$5),Tablas!$G$9:$O$124,9,0)*(INT($C$5)+1-$C$5)))</f>
        <v>#N/A</v>
      </c>
      <c r="G1008" s="97" t="e">
        <f ca="1">IF($C$4="Hombre",(+VLOOKUP(INT(D1008)+1,Tablas!$G$9:$K$1240,5,0)*(D1008-INT(D1008))+VLOOKUP(INT(D1008),Tablas!$G$9:$K$1240,5,0)*(INT(D1008)+1-D1008)),+VLOOKUP(INT(D1008)+1,Tablas!$G$9:$O$1240,9,0)*(D1008-INT(D1008))+VLOOKUP(INT(D1008),Tablas!$G$9:$O$1240,9,0)*(INT(D1008)+1-D1008))</f>
        <v>#N/A</v>
      </c>
      <c r="H1008" s="105">
        <f t="shared" ca="1" si="124"/>
        <v>1</v>
      </c>
      <c r="I1008" s="106">
        <f t="shared" ca="1" si="125"/>
        <v>0</v>
      </c>
      <c r="J1008" s="106">
        <f t="shared" ca="1" si="129"/>
        <v>0</v>
      </c>
      <c r="K1008" s="105" t="e">
        <f t="shared" ca="1" si="126"/>
        <v>#N/A</v>
      </c>
      <c r="L1008" s="75"/>
    </row>
    <row r="1009" spans="2:12">
      <c r="B1009" s="101">
        <f t="shared" ca="1" si="127"/>
        <v>82973</v>
      </c>
      <c r="C1009" s="101">
        <f t="shared" ca="1" si="128"/>
        <v>83003</v>
      </c>
      <c r="D1009" s="102">
        <f t="shared" ca="1" si="123"/>
        <v>149.74401095140314</v>
      </c>
      <c r="E1009" s="103">
        <f t="shared" ca="1" si="130"/>
        <v>0.29172505427715439</v>
      </c>
      <c r="F1009" s="104" t="e">
        <f ca="1">IF($C$4="Hombre",(+VLOOKUP(INT(D1009)+1,Tablas!$G$9:$K$1240,5,0)*(D1009-INT(D1009))+VLOOKUP(INT(D1009),Tablas!$G$9:$K$1240,5,0)*(INT(D1009)+1-D1009))/(VLOOKUP(INT($C$5)+1,Tablas!$G$9:$K$1240,5,0)*($C$5-INT($C$5))+VLOOKUP(INT($C$5),Tablas!$G$9:$K$124,5,0)*(INT($C$5)+1-$C$5)),(+VLOOKUP(INT(D1009)+1,Tablas!$G$9:$O$1240,9,0)*(D1009-INT(D1009))+VLOOKUP(INT(D1009),Tablas!$G$9:$O$1240,9,0)*(INT(D1009)+1-D1009))/(VLOOKUP(INT($C$5)+1,Tablas!$G$9:$O$1240,9,0)*($C$5-INT($C$5))+VLOOKUP(INT($C$5),Tablas!$G$9:$O$124,9,0)*(INT($C$5)+1-$C$5)))</f>
        <v>#N/A</v>
      </c>
      <c r="G1009" s="97" t="e">
        <f ca="1">IF($C$4="Hombre",(+VLOOKUP(INT(D1009)+1,Tablas!$G$9:$K$1240,5,0)*(D1009-INT(D1009))+VLOOKUP(INT(D1009),Tablas!$G$9:$K$1240,5,0)*(INT(D1009)+1-D1009)),+VLOOKUP(INT(D1009)+1,Tablas!$G$9:$O$1240,9,0)*(D1009-INT(D1009))+VLOOKUP(INT(D1009),Tablas!$G$9:$O$1240,9,0)*(INT(D1009)+1-D1009))</f>
        <v>#N/A</v>
      </c>
      <c r="H1009" s="105">
        <f t="shared" ca="1" si="124"/>
        <v>1</v>
      </c>
      <c r="I1009" s="106">
        <f t="shared" ca="1" si="125"/>
        <v>0</v>
      </c>
      <c r="J1009" s="106">
        <f t="shared" ca="1" si="129"/>
        <v>0</v>
      </c>
      <c r="K1009" s="105" t="e">
        <f t="shared" ca="1" si="126"/>
        <v>#N/A</v>
      </c>
      <c r="L1009" s="75"/>
    </row>
    <row r="1010" spans="2:12">
      <c r="B1010" s="101">
        <f t="shared" ca="1" si="127"/>
        <v>83004</v>
      </c>
      <c r="C1010" s="101">
        <f t="shared" ca="1" si="128"/>
        <v>83033</v>
      </c>
      <c r="D1010" s="102">
        <f t="shared" ca="1" si="123"/>
        <v>149.82614647501711</v>
      </c>
      <c r="E1010" s="103">
        <f t="shared" ca="1" si="130"/>
        <v>0.29136852642135447</v>
      </c>
      <c r="F1010" s="104" t="e">
        <f ca="1">IF($C$4="Hombre",(+VLOOKUP(INT(D1010)+1,Tablas!$G$9:$K$1240,5,0)*(D1010-INT(D1010))+VLOOKUP(INT(D1010),Tablas!$G$9:$K$1240,5,0)*(INT(D1010)+1-D1010))/(VLOOKUP(INT($C$5)+1,Tablas!$G$9:$K$1240,5,0)*($C$5-INT($C$5))+VLOOKUP(INT($C$5),Tablas!$G$9:$K$124,5,0)*(INT($C$5)+1-$C$5)),(+VLOOKUP(INT(D1010)+1,Tablas!$G$9:$O$1240,9,0)*(D1010-INT(D1010))+VLOOKUP(INT(D1010),Tablas!$G$9:$O$1240,9,0)*(INT(D1010)+1-D1010))/(VLOOKUP(INT($C$5)+1,Tablas!$G$9:$O$1240,9,0)*($C$5-INT($C$5))+VLOOKUP(INT($C$5),Tablas!$G$9:$O$124,9,0)*(INT($C$5)+1-$C$5)))</f>
        <v>#N/A</v>
      </c>
      <c r="G1010" s="97" t="e">
        <f ca="1">IF($C$4="Hombre",(+VLOOKUP(INT(D1010)+1,Tablas!$G$9:$K$1240,5,0)*(D1010-INT(D1010))+VLOOKUP(INT(D1010),Tablas!$G$9:$K$1240,5,0)*(INT(D1010)+1-D1010)),+VLOOKUP(INT(D1010)+1,Tablas!$G$9:$O$1240,9,0)*(D1010-INT(D1010))+VLOOKUP(INT(D1010),Tablas!$G$9:$O$1240,9,0)*(INT(D1010)+1-D1010))</f>
        <v>#N/A</v>
      </c>
      <c r="H1010" s="105">
        <f t="shared" ca="1" si="124"/>
        <v>1</v>
      </c>
      <c r="I1010" s="106">
        <f t="shared" ca="1" si="125"/>
        <v>0</v>
      </c>
      <c r="J1010" s="106">
        <f t="shared" ca="1" si="129"/>
        <v>0</v>
      </c>
      <c r="K1010" s="105" t="e">
        <f t="shared" ca="1" si="126"/>
        <v>#N/A</v>
      </c>
      <c r="L1010" s="75"/>
    </row>
    <row r="1011" spans="2:12">
      <c r="B1011" s="101">
        <f t="shared" ca="1" si="127"/>
        <v>83034</v>
      </c>
      <c r="C1011" s="101">
        <f t="shared" ca="1" si="128"/>
        <v>83064</v>
      </c>
      <c r="D1011" s="102">
        <f t="shared" ca="1" si="123"/>
        <v>149.91101984941821</v>
      </c>
      <c r="E1011" s="103">
        <f t="shared" ca="1" si="130"/>
        <v>0.2910005720515621</v>
      </c>
      <c r="F1011" s="104" t="e">
        <f ca="1">IF($C$4="Hombre",(+VLOOKUP(INT(D1011)+1,Tablas!$G$9:$K$1240,5,0)*(D1011-INT(D1011))+VLOOKUP(INT(D1011),Tablas!$G$9:$K$1240,5,0)*(INT(D1011)+1-D1011))/(VLOOKUP(INT($C$5)+1,Tablas!$G$9:$K$1240,5,0)*($C$5-INT($C$5))+VLOOKUP(INT($C$5),Tablas!$G$9:$K$124,5,0)*(INT($C$5)+1-$C$5)),(+VLOOKUP(INT(D1011)+1,Tablas!$G$9:$O$1240,9,0)*(D1011-INT(D1011))+VLOOKUP(INT(D1011),Tablas!$G$9:$O$1240,9,0)*(INT(D1011)+1-D1011))/(VLOOKUP(INT($C$5)+1,Tablas!$G$9:$O$1240,9,0)*($C$5-INT($C$5))+VLOOKUP(INT($C$5),Tablas!$G$9:$O$124,9,0)*(INT($C$5)+1-$C$5)))</f>
        <v>#N/A</v>
      </c>
      <c r="G1011" s="97" t="e">
        <f ca="1">IF($C$4="Hombre",(+VLOOKUP(INT(D1011)+1,Tablas!$G$9:$K$1240,5,0)*(D1011-INT(D1011))+VLOOKUP(INT(D1011),Tablas!$G$9:$K$1240,5,0)*(INT(D1011)+1-D1011)),+VLOOKUP(INT(D1011)+1,Tablas!$G$9:$O$1240,9,0)*(D1011-INT(D1011))+VLOOKUP(INT(D1011),Tablas!$G$9:$O$1240,9,0)*(INT(D1011)+1-D1011))</f>
        <v>#N/A</v>
      </c>
      <c r="H1011" s="105">
        <f t="shared" ca="1" si="124"/>
        <v>1</v>
      </c>
      <c r="I1011" s="106">
        <f t="shared" ca="1" si="125"/>
        <v>0</v>
      </c>
      <c r="J1011" s="106">
        <f t="shared" ca="1" si="129"/>
        <v>0</v>
      </c>
      <c r="K1011" s="105" t="e">
        <f t="shared" ca="1" si="126"/>
        <v>#N/A</v>
      </c>
      <c r="L1011" s="75"/>
    </row>
    <row r="1012" spans="2:12">
      <c r="B1012" s="101">
        <f t="shared" ca="1" si="127"/>
        <v>83065</v>
      </c>
      <c r="C1012" s="101">
        <f t="shared" ca="1" si="128"/>
        <v>83094</v>
      </c>
      <c r="D1012" s="102">
        <f t="shared" ca="1" si="123"/>
        <v>149.99315537303218</v>
      </c>
      <c r="E1012" s="103">
        <f t="shared" ca="1" si="130"/>
        <v>0.29064492961198091</v>
      </c>
      <c r="F1012" s="104" t="e">
        <f ca="1">IF($C$4="Hombre",(+VLOOKUP(INT(D1012)+1,Tablas!$G$9:$K$1240,5,0)*(D1012-INT(D1012))+VLOOKUP(INT(D1012),Tablas!$G$9:$K$1240,5,0)*(INT(D1012)+1-D1012))/(VLOOKUP(INT($C$5)+1,Tablas!$G$9:$K$1240,5,0)*($C$5-INT($C$5))+VLOOKUP(INT($C$5),Tablas!$G$9:$K$124,5,0)*(INT($C$5)+1-$C$5)),(+VLOOKUP(INT(D1012)+1,Tablas!$G$9:$O$1240,9,0)*(D1012-INT(D1012))+VLOOKUP(INT(D1012),Tablas!$G$9:$O$1240,9,0)*(INT(D1012)+1-D1012))/(VLOOKUP(INT($C$5)+1,Tablas!$G$9:$O$1240,9,0)*($C$5-INT($C$5))+VLOOKUP(INT($C$5),Tablas!$G$9:$O$124,9,0)*(INT($C$5)+1-$C$5)))</f>
        <v>#N/A</v>
      </c>
      <c r="G1012" s="97" t="e">
        <f ca="1">IF($C$4="Hombre",(+VLOOKUP(INT(D1012)+1,Tablas!$G$9:$K$1240,5,0)*(D1012-INT(D1012))+VLOOKUP(INT(D1012),Tablas!$G$9:$K$1240,5,0)*(INT(D1012)+1-D1012)),+VLOOKUP(INT(D1012)+1,Tablas!$G$9:$O$1240,9,0)*(D1012-INT(D1012))+VLOOKUP(INT(D1012),Tablas!$G$9:$O$1240,9,0)*(INT(D1012)+1-D1012))</f>
        <v>#N/A</v>
      </c>
      <c r="H1012" s="105">
        <f t="shared" ca="1" si="124"/>
        <v>1</v>
      </c>
      <c r="I1012" s="106">
        <f t="shared" ca="1" si="125"/>
        <v>0</v>
      </c>
      <c r="J1012" s="106">
        <f t="shared" ca="1" si="129"/>
        <v>0</v>
      </c>
      <c r="K1012" s="105" t="e">
        <f t="shared" ca="1" si="126"/>
        <v>#N/A</v>
      </c>
      <c r="L1012" s="75"/>
    </row>
    <row r="1013" spans="2:12">
      <c r="B1013" s="101">
        <f t="shared" ca="1" si="127"/>
        <v>83095</v>
      </c>
      <c r="C1013" s="101">
        <f t="shared" ca="1" si="128"/>
        <v>83125</v>
      </c>
      <c r="D1013" s="102">
        <f t="shared" ca="1" si="123"/>
        <v>150.07802874743325</v>
      </c>
      <c r="E1013" s="103">
        <f t="shared" ca="1" si="130"/>
        <v>0.29027788903549107</v>
      </c>
      <c r="F1013" s="104" t="e">
        <f ca="1">IF($C$4="Hombre",(+VLOOKUP(INT(D1013)+1,Tablas!$G$9:$K$1240,5,0)*(D1013-INT(D1013))+VLOOKUP(INT(D1013),Tablas!$G$9:$K$1240,5,0)*(INT(D1013)+1-D1013))/(VLOOKUP(INT($C$5)+1,Tablas!$G$9:$K$1240,5,0)*($C$5-INT($C$5))+VLOOKUP(INT($C$5),Tablas!$G$9:$K$124,5,0)*(INT($C$5)+1-$C$5)),(+VLOOKUP(INT(D1013)+1,Tablas!$G$9:$O$1240,9,0)*(D1013-INT(D1013))+VLOOKUP(INT(D1013),Tablas!$G$9:$O$1240,9,0)*(INT(D1013)+1-D1013))/(VLOOKUP(INT($C$5)+1,Tablas!$G$9:$O$1240,9,0)*($C$5-INT($C$5))+VLOOKUP(INT($C$5),Tablas!$G$9:$O$124,9,0)*(INT($C$5)+1-$C$5)))</f>
        <v>#N/A</v>
      </c>
      <c r="G1013" s="97" t="e">
        <f ca="1">IF($C$4="Hombre",(+VLOOKUP(INT(D1013)+1,Tablas!$G$9:$K$1240,5,0)*(D1013-INT(D1013))+VLOOKUP(INT(D1013),Tablas!$G$9:$K$1240,5,0)*(INT(D1013)+1-D1013)),+VLOOKUP(INT(D1013)+1,Tablas!$G$9:$O$1240,9,0)*(D1013-INT(D1013))+VLOOKUP(INT(D1013),Tablas!$G$9:$O$1240,9,0)*(INT(D1013)+1-D1013))</f>
        <v>#N/A</v>
      </c>
      <c r="H1013" s="105">
        <f t="shared" ca="1" si="124"/>
        <v>1</v>
      </c>
      <c r="I1013" s="106">
        <f t="shared" ca="1" si="125"/>
        <v>0</v>
      </c>
      <c r="J1013" s="106">
        <f t="shared" ca="1" si="129"/>
        <v>0</v>
      </c>
      <c r="K1013" s="105" t="e">
        <f t="shared" ca="1" si="126"/>
        <v>#N/A</v>
      </c>
      <c r="L1013" s="75"/>
    </row>
    <row r="1014" spans="2:12">
      <c r="B1014" s="101">
        <f t="shared" ca="1" si="127"/>
        <v>83126</v>
      </c>
      <c r="C1014" s="101">
        <f t="shared" ca="1" si="128"/>
        <v>83156</v>
      </c>
      <c r="D1014" s="102">
        <f t="shared" ca="1" si="123"/>
        <v>150.16290212183435</v>
      </c>
      <c r="E1014" s="103">
        <f t="shared" ca="1" si="130"/>
        <v>0.28991131197572229</v>
      </c>
      <c r="F1014" s="104" t="e">
        <f ca="1">IF($C$4="Hombre",(+VLOOKUP(INT(D1014)+1,Tablas!$G$9:$K$1240,5,0)*(D1014-INT(D1014))+VLOOKUP(INT(D1014),Tablas!$G$9:$K$1240,5,0)*(INT(D1014)+1-D1014))/(VLOOKUP(INT($C$5)+1,Tablas!$G$9:$K$1240,5,0)*($C$5-INT($C$5))+VLOOKUP(INT($C$5),Tablas!$G$9:$K$124,5,0)*(INT($C$5)+1-$C$5)),(+VLOOKUP(INT(D1014)+1,Tablas!$G$9:$O$1240,9,0)*(D1014-INT(D1014))+VLOOKUP(INT(D1014),Tablas!$G$9:$O$1240,9,0)*(INT(D1014)+1-D1014))/(VLOOKUP(INT($C$5)+1,Tablas!$G$9:$O$1240,9,0)*($C$5-INT($C$5))+VLOOKUP(INT($C$5),Tablas!$G$9:$O$124,9,0)*(INT($C$5)+1-$C$5)))</f>
        <v>#N/A</v>
      </c>
      <c r="G1014" s="97" t="e">
        <f ca="1">IF($C$4="Hombre",(+VLOOKUP(INT(D1014)+1,Tablas!$G$9:$K$1240,5,0)*(D1014-INT(D1014))+VLOOKUP(INT(D1014),Tablas!$G$9:$K$1240,5,0)*(INT(D1014)+1-D1014)),+VLOOKUP(INT(D1014)+1,Tablas!$G$9:$O$1240,9,0)*(D1014-INT(D1014))+VLOOKUP(INT(D1014),Tablas!$G$9:$O$1240,9,0)*(INT(D1014)+1-D1014))</f>
        <v>#N/A</v>
      </c>
      <c r="H1014" s="105">
        <f t="shared" ca="1" si="124"/>
        <v>1</v>
      </c>
      <c r="I1014" s="106">
        <f t="shared" ca="1" si="125"/>
        <v>0</v>
      </c>
      <c r="J1014" s="106">
        <f t="shared" ca="1" si="129"/>
        <v>0</v>
      </c>
      <c r="K1014" s="105" t="e">
        <f t="shared" ca="1" si="126"/>
        <v>#N/A</v>
      </c>
      <c r="L1014" s="75"/>
    </row>
    <row r="1015" spans="2:12">
      <c r="B1015" s="101">
        <f t="shared" ca="1" si="127"/>
        <v>83157</v>
      </c>
      <c r="C1015" s="101">
        <f t="shared" ca="1" si="128"/>
        <v>83186</v>
      </c>
      <c r="D1015" s="102">
        <f t="shared" ca="1" si="123"/>
        <v>150.24503764544832</v>
      </c>
      <c r="E1015" s="103">
        <f t="shared" ca="1" si="130"/>
        <v>0.28955700076070873</v>
      </c>
      <c r="F1015" s="104" t="e">
        <f ca="1">IF($C$4="Hombre",(+VLOOKUP(INT(D1015)+1,Tablas!$G$9:$K$1240,5,0)*(D1015-INT(D1015))+VLOOKUP(INT(D1015),Tablas!$G$9:$K$1240,5,0)*(INT(D1015)+1-D1015))/(VLOOKUP(INT($C$5)+1,Tablas!$G$9:$K$1240,5,0)*($C$5-INT($C$5))+VLOOKUP(INT($C$5),Tablas!$G$9:$K$124,5,0)*(INT($C$5)+1-$C$5)),(+VLOOKUP(INT(D1015)+1,Tablas!$G$9:$O$1240,9,0)*(D1015-INT(D1015))+VLOOKUP(INT(D1015),Tablas!$G$9:$O$1240,9,0)*(INT(D1015)+1-D1015))/(VLOOKUP(INT($C$5)+1,Tablas!$G$9:$O$1240,9,0)*($C$5-INT($C$5))+VLOOKUP(INT($C$5),Tablas!$G$9:$O$124,9,0)*(INT($C$5)+1-$C$5)))</f>
        <v>#N/A</v>
      </c>
      <c r="G1015" s="97" t="e">
        <f ca="1">IF($C$4="Hombre",(+VLOOKUP(INT(D1015)+1,Tablas!$G$9:$K$1240,5,0)*(D1015-INT(D1015))+VLOOKUP(INT(D1015),Tablas!$G$9:$K$1240,5,0)*(INT(D1015)+1-D1015)),+VLOOKUP(INT(D1015)+1,Tablas!$G$9:$O$1240,9,0)*(D1015-INT(D1015))+VLOOKUP(INT(D1015),Tablas!$G$9:$O$1240,9,0)*(INT(D1015)+1-D1015))</f>
        <v>#N/A</v>
      </c>
      <c r="H1015" s="105">
        <f t="shared" ca="1" si="124"/>
        <v>1</v>
      </c>
      <c r="I1015" s="106">
        <f t="shared" ca="1" si="125"/>
        <v>0</v>
      </c>
      <c r="J1015" s="106">
        <f t="shared" ca="1" si="129"/>
        <v>0</v>
      </c>
      <c r="K1015" s="105" t="e">
        <f t="shared" ca="1" si="126"/>
        <v>#N/A</v>
      </c>
      <c r="L1015" s="75"/>
    </row>
    <row r="1016" spans="2:12">
      <c r="B1016" s="101">
        <f t="shared" ca="1" si="127"/>
        <v>83187</v>
      </c>
      <c r="C1016" s="101">
        <f t="shared" ca="1" si="128"/>
        <v>83217</v>
      </c>
      <c r="D1016" s="102">
        <f t="shared" ca="1" si="123"/>
        <v>150.32991101984942</v>
      </c>
      <c r="E1016" s="103">
        <f t="shared" ca="1" si="130"/>
        <v>0.2891913340737729</v>
      </c>
      <c r="F1016" s="104" t="e">
        <f ca="1">IF($C$4="Hombre",(+VLOOKUP(INT(D1016)+1,Tablas!$G$9:$K$1240,5,0)*(D1016-INT(D1016))+VLOOKUP(INT(D1016),Tablas!$G$9:$K$1240,5,0)*(INT(D1016)+1-D1016))/(VLOOKUP(INT($C$5)+1,Tablas!$G$9:$K$1240,5,0)*($C$5-INT($C$5))+VLOOKUP(INT($C$5),Tablas!$G$9:$K$124,5,0)*(INT($C$5)+1-$C$5)),(+VLOOKUP(INT(D1016)+1,Tablas!$G$9:$O$1240,9,0)*(D1016-INT(D1016))+VLOOKUP(INT(D1016),Tablas!$G$9:$O$1240,9,0)*(INT(D1016)+1-D1016))/(VLOOKUP(INT($C$5)+1,Tablas!$G$9:$O$1240,9,0)*($C$5-INT($C$5))+VLOOKUP(INT($C$5),Tablas!$G$9:$O$124,9,0)*(INT($C$5)+1-$C$5)))</f>
        <v>#N/A</v>
      </c>
      <c r="G1016" s="97" t="e">
        <f ca="1">IF($C$4="Hombre",(+VLOOKUP(INT(D1016)+1,Tablas!$G$9:$K$1240,5,0)*(D1016-INT(D1016))+VLOOKUP(INT(D1016),Tablas!$G$9:$K$1240,5,0)*(INT(D1016)+1-D1016)),+VLOOKUP(INT(D1016)+1,Tablas!$G$9:$O$1240,9,0)*(D1016-INT(D1016))+VLOOKUP(INT(D1016),Tablas!$G$9:$O$1240,9,0)*(INT(D1016)+1-D1016))</f>
        <v>#N/A</v>
      </c>
      <c r="H1016" s="105">
        <f t="shared" ca="1" si="124"/>
        <v>1</v>
      </c>
      <c r="I1016" s="106">
        <f t="shared" ca="1" si="125"/>
        <v>0</v>
      </c>
      <c r="J1016" s="106">
        <f t="shared" ca="1" si="129"/>
        <v>0</v>
      </c>
      <c r="K1016" s="105" t="e">
        <f t="shared" ca="1" si="126"/>
        <v>#N/A</v>
      </c>
      <c r="L1016" s="75"/>
    </row>
    <row r="1017" spans="2:12">
      <c r="B1017" s="101">
        <f t="shared" ca="1" si="127"/>
        <v>83218</v>
      </c>
      <c r="C1017" s="101">
        <f t="shared" ca="1" si="128"/>
        <v>83247</v>
      </c>
      <c r="D1017" s="102">
        <f t="shared" ca="1" si="123"/>
        <v>150.41204654346339</v>
      </c>
      <c r="E1017" s="103">
        <f t="shared" ca="1" si="130"/>
        <v>0.28883790277007937</v>
      </c>
      <c r="F1017" s="104" t="e">
        <f ca="1">IF($C$4="Hombre",(+VLOOKUP(INT(D1017)+1,Tablas!$G$9:$K$1240,5,0)*(D1017-INT(D1017))+VLOOKUP(INT(D1017),Tablas!$G$9:$K$1240,5,0)*(INT(D1017)+1-D1017))/(VLOOKUP(INT($C$5)+1,Tablas!$G$9:$K$1240,5,0)*($C$5-INT($C$5))+VLOOKUP(INT($C$5),Tablas!$G$9:$K$124,5,0)*(INT($C$5)+1-$C$5)),(+VLOOKUP(INT(D1017)+1,Tablas!$G$9:$O$1240,9,0)*(D1017-INT(D1017))+VLOOKUP(INT(D1017),Tablas!$G$9:$O$1240,9,0)*(INT(D1017)+1-D1017))/(VLOOKUP(INT($C$5)+1,Tablas!$G$9:$O$1240,9,0)*($C$5-INT($C$5))+VLOOKUP(INT($C$5),Tablas!$G$9:$O$124,9,0)*(INT($C$5)+1-$C$5)))</f>
        <v>#N/A</v>
      </c>
      <c r="G1017" s="97" t="e">
        <f ca="1">IF($C$4="Hombre",(+VLOOKUP(INT(D1017)+1,Tablas!$G$9:$K$1240,5,0)*(D1017-INT(D1017))+VLOOKUP(INT(D1017),Tablas!$G$9:$K$1240,5,0)*(INT(D1017)+1-D1017)),+VLOOKUP(INT(D1017)+1,Tablas!$G$9:$O$1240,9,0)*(D1017-INT(D1017))+VLOOKUP(INT(D1017),Tablas!$G$9:$O$1240,9,0)*(INT(D1017)+1-D1017))</f>
        <v>#N/A</v>
      </c>
      <c r="H1017" s="105">
        <f t="shared" ca="1" si="124"/>
        <v>1</v>
      </c>
      <c r="I1017" s="106">
        <f t="shared" ca="1" si="125"/>
        <v>0</v>
      </c>
      <c r="J1017" s="106">
        <f t="shared" ca="1" si="129"/>
        <v>0</v>
      </c>
      <c r="K1017" s="105" t="e">
        <f t="shared" ca="1" si="126"/>
        <v>#N/A</v>
      </c>
      <c r="L1017" s="75"/>
    </row>
    <row r="1018" spans="2:12">
      <c r="B1018" s="101">
        <f t="shared" ca="1" si="127"/>
        <v>83248</v>
      </c>
      <c r="C1018" s="101">
        <f t="shared" ca="1" si="128"/>
        <v>83278</v>
      </c>
      <c r="D1018" s="102">
        <f t="shared" ca="1" si="123"/>
        <v>150.49691991786449</v>
      </c>
      <c r="E1018" s="103">
        <f t="shared" ca="1" si="130"/>
        <v>0.28847314419511844</v>
      </c>
      <c r="F1018" s="104" t="e">
        <f ca="1">IF($C$4="Hombre",(+VLOOKUP(INT(D1018)+1,Tablas!$G$9:$K$1240,5,0)*(D1018-INT(D1018))+VLOOKUP(INT(D1018),Tablas!$G$9:$K$1240,5,0)*(INT(D1018)+1-D1018))/(VLOOKUP(INT($C$5)+1,Tablas!$G$9:$K$1240,5,0)*($C$5-INT($C$5))+VLOOKUP(INT($C$5),Tablas!$G$9:$K$124,5,0)*(INT($C$5)+1-$C$5)),(+VLOOKUP(INT(D1018)+1,Tablas!$G$9:$O$1240,9,0)*(D1018-INT(D1018))+VLOOKUP(INT(D1018),Tablas!$G$9:$O$1240,9,0)*(INT(D1018)+1-D1018))/(VLOOKUP(INT($C$5)+1,Tablas!$G$9:$O$1240,9,0)*($C$5-INT($C$5))+VLOOKUP(INT($C$5),Tablas!$G$9:$O$124,9,0)*(INT($C$5)+1-$C$5)))</f>
        <v>#N/A</v>
      </c>
      <c r="G1018" s="97" t="e">
        <f ca="1">IF($C$4="Hombre",(+VLOOKUP(INT(D1018)+1,Tablas!$G$9:$K$1240,5,0)*(D1018-INT(D1018))+VLOOKUP(INT(D1018),Tablas!$G$9:$K$1240,5,0)*(INT(D1018)+1-D1018)),+VLOOKUP(INT(D1018)+1,Tablas!$G$9:$O$1240,9,0)*(D1018-INT(D1018))+VLOOKUP(INT(D1018),Tablas!$G$9:$O$1240,9,0)*(INT(D1018)+1-D1018))</f>
        <v>#N/A</v>
      </c>
      <c r="H1018" s="105">
        <f t="shared" ca="1" si="124"/>
        <v>1</v>
      </c>
      <c r="I1018" s="106">
        <f t="shared" ca="1" si="125"/>
        <v>0</v>
      </c>
      <c r="J1018" s="106">
        <f t="shared" ca="1" si="129"/>
        <v>0</v>
      </c>
      <c r="K1018" s="105" t="e">
        <f t="shared" ca="1" si="126"/>
        <v>#N/A</v>
      </c>
      <c r="L1018" s="75"/>
    </row>
    <row r="1019" spans="2:12">
      <c r="B1019" s="101">
        <f t="shared" ca="1" si="127"/>
        <v>83279</v>
      </c>
      <c r="C1019" s="101">
        <f t="shared" ca="1" si="128"/>
        <v>83309</v>
      </c>
      <c r="D1019" s="102">
        <f t="shared" ca="1" si="123"/>
        <v>150.58179329226556</v>
      </c>
      <c r="E1019" s="103">
        <f t="shared" ca="1" si="130"/>
        <v>0.28810884625505617</v>
      </c>
      <c r="F1019" s="104" t="e">
        <f ca="1">IF($C$4="Hombre",(+VLOOKUP(INT(D1019)+1,Tablas!$G$9:$K$1240,5,0)*(D1019-INT(D1019))+VLOOKUP(INT(D1019),Tablas!$G$9:$K$1240,5,0)*(INT(D1019)+1-D1019))/(VLOOKUP(INT($C$5)+1,Tablas!$G$9:$K$1240,5,0)*($C$5-INT($C$5))+VLOOKUP(INT($C$5),Tablas!$G$9:$K$124,5,0)*(INT($C$5)+1-$C$5)),(+VLOOKUP(INT(D1019)+1,Tablas!$G$9:$O$1240,9,0)*(D1019-INT(D1019))+VLOOKUP(INT(D1019),Tablas!$G$9:$O$1240,9,0)*(INT(D1019)+1-D1019))/(VLOOKUP(INT($C$5)+1,Tablas!$G$9:$O$1240,9,0)*($C$5-INT($C$5))+VLOOKUP(INT($C$5),Tablas!$G$9:$O$124,9,0)*(INT($C$5)+1-$C$5)))</f>
        <v>#N/A</v>
      </c>
      <c r="G1019" s="97" t="e">
        <f ca="1">IF($C$4="Hombre",(+VLOOKUP(INT(D1019)+1,Tablas!$G$9:$K$1240,5,0)*(D1019-INT(D1019))+VLOOKUP(INT(D1019),Tablas!$G$9:$K$1240,5,0)*(INT(D1019)+1-D1019)),+VLOOKUP(INT(D1019)+1,Tablas!$G$9:$O$1240,9,0)*(D1019-INT(D1019))+VLOOKUP(INT(D1019),Tablas!$G$9:$O$1240,9,0)*(INT(D1019)+1-D1019))</f>
        <v>#N/A</v>
      </c>
      <c r="H1019" s="105">
        <f t="shared" ca="1" si="124"/>
        <v>1</v>
      </c>
      <c r="I1019" s="106">
        <f t="shared" ca="1" si="125"/>
        <v>0</v>
      </c>
      <c r="J1019" s="106">
        <f t="shared" ca="1" si="129"/>
        <v>0</v>
      </c>
      <c r="K1019" s="105" t="e">
        <f t="shared" ca="1" si="126"/>
        <v>#N/A</v>
      </c>
      <c r="L1019" s="75"/>
    </row>
    <row r="1020" spans="2:12">
      <c r="B1020" s="101">
        <f t="shared" ca="1" si="127"/>
        <v>83310</v>
      </c>
      <c r="C1020" s="101">
        <f t="shared" ca="1" si="128"/>
        <v>83338</v>
      </c>
      <c r="D1020" s="102">
        <f t="shared" ca="1" si="123"/>
        <v>150.6611909650924</v>
      </c>
      <c r="E1020" s="103">
        <f t="shared" ca="1" si="130"/>
        <v>0.28776846790857269</v>
      </c>
      <c r="F1020" s="104" t="e">
        <f ca="1">IF($C$4="Hombre",(+VLOOKUP(INT(D1020)+1,Tablas!$G$9:$K$1240,5,0)*(D1020-INT(D1020))+VLOOKUP(INT(D1020),Tablas!$G$9:$K$1240,5,0)*(INT(D1020)+1-D1020))/(VLOOKUP(INT($C$5)+1,Tablas!$G$9:$K$1240,5,0)*($C$5-INT($C$5))+VLOOKUP(INT($C$5),Tablas!$G$9:$K$124,5,0)*(INT($C$5)+1-$C$5)),(+VLOOKUP(INT(D1020)+1,Tablas!$G$9:$O$1240,9,0)*(D1020-INT(D1020))+VLOOKUP(INT(D1020),Tablas!$G$9:$O$1240,9,0)*(INT(D1020)+1-D1020))/(VLOOKUP(INT($C$5)+1,Tablas!$G$9:$O$1240,9,0)*($C$5-INT($C$5))+VLOOKUP(INT($C$5),Tablas!$G$9:$O$124,9,0)*(INT($C$5)+1-$C$5)))</f>
        <v>#N/A</v>
      </c>
      <c r="G1020" s="97" t="e">
        <f ca="1">IF($C$4="Hombre",(+VLOOKUP(INT(D1020)+1,Tablas!$G$9:$K$1240,5,0)*(D1020-INT(D1020))+VLOOKUP(INT(D1020),Tablas!$G$9:$K$1240,5,0)*(INT(D1020)+1-D1020)),+VLOOKUP(INT(D1020)+1,Tablas!$G$9:$O$1240,9,0)*(D1020-INT(D1020))+VLOOKUP(INT(D1020),Tablas!$G$9:$O$1240,9,0)*(INT(D1020)+1-D1020))</f>
        <v>#N/A</v>
      </c>
      <c r="H1020" s="105">
        <f t="shared" ca="1" si="124"/>
        <v>1</v>
      </c>
      <c r="I1020" s="106">
        <f t="shared" ca="1" si="125"/>
        <v>0</v>
      </c>
      <c r="J1020" s="106">
        <f t="shared" ca="1" si="129"/>
        <v>0</v>
      </c>
      <c r="K1020" s="105" t="e">
        <f t="shared" ca="1" si="126"/>
        <v>#N/A</v>
      </c>
      <c r="L1020" s="75"/>
    </row>
    <row r="1021" spans="2:12">
      <c r="B1021" s="101">
        <f t="shared" ca="1" si="127"/>
        <v>83339</v>
      </c>
      <c r="C1021" s="101">
        <f t="shared" ca="1" si="128"/>
        <v>83369</v>
      </c>
      <c r="D1021" s="102">
        <f t="shared" ca="1" si="123"/>
        <v>150.7460643394935</v>
      </c>
      <c r="E1021" s="103">
        <f t="shared" ca="1" si="130"/>
        <v>0.2874050598680547</v>
      </c>
      <c r="F1021" s="104" t="e">
        <f ca="1">IF($C$4="Hombre",(+VLOOKUP(INT(D1021)+1,Tablas!$G$9:$K$1240,5,0)*(D1021-INT(D1021))+VLOOKUP(INT(D1021),Tablas!$G$9:$K$1240,5,0)*(INT(D1021)+1-D1021))/(VLOOKUP(INT($C$5)+1,Tablas!$G$9:$K$1240,5,0)*($C$5-INT($C$5))+VLOOKUP(INT($C$5),Tablas!$G$9:$K$124,5,0)*(INT($C$5)+1-$C$5)),(+VLOOKUP(INT(D1021)+1,Tablas!$G$9:$O$1240,9,0)*(D1021-INT(D1021))+VLOOKUP(INT(D1021),Tablas!$G$9:$O$1240,9,0)*(INT(D1021)+1-D1021))/(VLOOKUP(INT($C$5)+1,Tablas!$G$9:$O$1240,9,0)*($C$5-INT($C$5))+VLOOKUP(INT($C$5),Tablas!$G$9:$O$124,9,0)*(INT($C$5)+1-$C$5)))</f>
        <v>#N/A</v>
      </c>
      <c r="G1021" s="97" t="e">
        <f ca="1">IF($C$4="Hombre",(+VLOOKUP(INT(D1021)+1,Tablas!$G$9:$K$1240,5,0)*(D1021-INT(D1021))+VLOOKUP(INT(D1021),Tablas!$G$9:$K$1240,5,0)*(INT(D1021)+1-D1021)),+VLOOKUP(INT(D1021)+1,Tablas!$G$9:$O$1240,9,0)*(D1021-INT(D1021))+VLOOKUP(INT(D1021),Tablas!$G$9:$O$1240,9,0)*(INT(D1021)+1-D1021))</f>
        <v>#N/A</v>
      </c>
      <c r="H1021" s="105">
        <f t="shared" ca="1" si="124"/>
        <v>1</v>
      </c>
      <c r="I1021" s="106">
        <f t="shared" ca="1" si="125"/>
        <v>0</v>
      </c>
      <c r="J1021" s="106">
        <f t="shared" ca="1" si="129"/>
        <v>0</v>
      </c>
      <c r="K1021" s="105" t="e">
        <f t="shared" ca="1" si="126"/>
        <v>#N/A</v>
      </c>
      <c r="L1021" s="75"/>
    </row>
    <row r="1022" spans="2:12">
      <c r="B1022" s="101">
        <f t="shared" ca="1" si="127"/>
        <v>83370</v>
      </c>
      <c r="C1022" s="101">
        <f t="shared" ca="1" si="128"/>
        <v>83399</v>
      </c>
      <c r="D1022" s="102">
        <f t="shared" ca="1" si="123"/>
        <v>150.82819986310747</v>
      </c>
      <c r="E1022" s="103">
        <f t="shared" ca="1" si="130"/>
        <v>0.2870538116353834</v>
      </c>
      <c r="F1022" s="104" t="e">
        <f ca="1">IF($C$4="Hombre",(+VLOOKUP(INT(D1022)+1,Tablas!$G$9:$K$1240,5,0)*(D1022-INT(D1022))+VLOOKUP(INT(D1022),Tablas!$G$9:$K$1240,5,0)*(INT(D1022)+1-D1022))/(VLOOKUP(INT($C$5)+1,Tablas!$G$9:$K$1240,5,0)*($C$5-INT($C$5))+VLOOKUP(INT($C$5),Tablas!$G$9:$K$124,5,0)*(INT($C$5)+1-$C$5)),(+VLOOKUP(INT(D1022)+1,Tablas!$G$9:$O$1240,9,0)*(D1022-INT(D1022))+VLOOKUP(INT(D1022),Tablas!$G$9:$O$1240,9,0)*(INT(D1022)+1-D1022))/(VLOOKUP(INT($C$5)+1,Tablas!$G$9:$O$1240,9,0)*($C$5-INT($C$5))+VLOOKUP(INT($C$5),Tablas!$G$9:$O$124,9,0)*(INT($C$5)+1-$C$5)))</f>
        <v>#N/A</v>
      </c>
      <c r="G1022" s="97" t="e">
        <f ca="1">IF($C$4="Hombre",(+VLOOKUP(INT(D1022)+1,Tablas!$G$9:$K$1240,5,0)*(D1022-INT(D1022))+VLOOKUP(INT(D1022),Tablas!$G$9:$K$1240,5,0)*(INT(D1022)+1-D1022)),+VLOOKUP(INT(D1022)+1,Tablas!$G$9:$O$1240,9,0)*(D1022-INT(D1022))+VLOOKUP(INT(D1022),Tablas!$G$9:$O$1240,9,0)*(INT(D1022)+1-D1022))</f>
        <v>#N/A</v>
      </c>
      <c r="H1022" s="105">
        <f t="shared" ca="1" si="124"/>
        <v>1</v>
      </c>
      <c r="I1022" s="106">
        <f t="shared" ca="1" si="125"/>
        <v>0</v>
      </c>
      <c r="J1022" s="106">
        <f t="shared" ca="1" si="129"/>
        <v>0</v>
      </c>
      <c r="K1022" s="105" t="e">
        <f t="shared" ca="1" si="126"/>
        <v>#N/A</v>
      </c>
      <c r="L1022" s="75"/>
    </row>
    <row r="1023" spans="2:12">
      <c r="B1023" s="101">
        <f t="shared" ca="1" si="127"/>
        <v>83400</v>
      </c>
      <c r="C1023" s="101">
        <f t="shared" ca="1" si="128"/>
        <v>83430</v>
      </c>
      <c r="D1023" s="102">
        <f t="shared" ca="1" si="123"/>
        <v>150.91307323750857</v>
      </c>
      <c r="E1023" s="103">
        <f t="shared" ca="1" si="130"/>
        <v>0.28669130609762317</v>
      </c>
      <c r="F1023" s="104" t="e">
        <f ca="1">IF($C$4="Hombre",(+VLOOKUP(INT(D1023)+1,Tablas!$G$9:$K$1240,5,0)*(D1023-INT(D1023))+VLOOKUP(INT(D1023),Tablas!$G$9:$K$1240,5,0)*(INT(D1023)+1-D1023))/(VLOOKUP(INT($C$5)+1,Tablas!$G$9:$K$1240,5,0)*($C$5-INT($C$5))+VLOOKUP(INT($C$5),Tablas!$G$9:$K$124,5,0)*(INT($C$5)+1-$C$5)),(+VLOOKUP(INT(D1023)+1,Tablas!$G$9:$O$1240,9,0)*(D1023-INT(D1023))+VLOOKUP(INT(D1023),Tablas!$G$9:$O$1240,9,0)*(INT(D1023)+1-D1023))/(VLOOKUP(INT($C$5)+1,Tablas!$G$9:$O$1240,9,0)*($C$5-INT($C$5))+VLOOKUP(INT($C$5),Tablas!$G$9:$O$124,9,0)*(INT($C$5)+1-$C$5)))</f>
        <v>#N/A</v>
      </c>
      <c r="G1023" s="97" t="e">
        <f ca="1">IF($C$4="Hombre",(+VLOOKUP(INT(D1023)+1,Tablas!$G$9:$K$1240,5,0)*(D1023-INT(D1023))+VLOOKUP(INT(D1023),Tablas!$G$9:$K$1240,5,0)*(INT(D1023)+1-D1023)),+VLOOKUP(INT(D1023)+1,Tablas!$G$9:$O$1240,9,0)*(D1023-INT(D1023))+VLOOKUP(INT(D1023),Tablas!$G$9:$O$1240,9,0)*(INT(D1023)+1-D1023))</f>
        <v>#N/A</v>
      </c>
      <c r="H1023" s="105">
        <f t="shared" ca="1" si="124"/>
        <v>1</v>
      </c>
      <c r="I1023" s="106">
        <f t="shared" ca="1" si="125"/>
        <v>0</v>
      </c>
      <c r="J1023" s="106">
        <f t="shared" ca="1" si="129"/>
        <v>0</v>
      </c>
      <c r="K1023" s="105" t="e">
        <f t="shared" ca="1" si="126"/>
        <v>#N/A</v>
      </c>
      <c r="L1023" s="75"/>
    </row>
    <row r="1024" spans="2:12">
      <c r="B1024" s="101">
        <f t="shared" ca="1" si="127"/>
        <v>83431</v>
      </c>
      <c r="C1024" s="101">
        <f t="shared" ca="1" si="128"/>
        <v>83460</v>
      </c>
      <c r="D1024" s="102">
        <f t="shared" ca="1" si="123"/>
        <v>150.99520876112251</v>
      </c>
      <c r="E1024" s="103">
        <f t="shared" ca="1" si="130"/>
        <v>0.28634093016953321</v>
      </c>
      <c r="F1024" s="104" t="e">
        <f ca="1">IF($C$4="Hombre",(+VLOOKUP(INT(D1024)+1,Tablas!$G$9:$K$1240,5,0)*(D1024-INT(D1024))+VLOOKUP(INT(D1024),Tablas!$G$9:$K$1240,5,0)*(INT(D1024)+1-D1024))/(VLOOKUP(INT($C$5)+1,Tablas!$G$9:$K$1240,5,0)*($C$5-INT($C$5))+VLOOKUP(INT($C$5),Tablas!$G$9:$K$124,5,0)*(INT($C$5)+1-$C$5)),(+VLOOKUP(INT(D1024)+1,Tablas!$G$9:$O$1240,9,0)*(D1024-INT(D1024))+VLOOKUP(INT(D1024),Tablas!$G$9:$O$1240,9,0)*(INT(D1024)+1-D1024))/(VLOOKUP(INT($C$5)+1,Tablas!$G$9:$O$1240,9,0)*($C$5-INT($C$5))+VLOOKUP(INT($C$5),Tablas!$G$9:$O$124,9,0)*(INT($C$5)+1-$C$5)))</f>
        <v>#N/A</v>
      </c>
      <c r="G1024" s="97" t="e">
        <f ca="1">IF($C$4="Hombre",(+VLOOKUP(INT(D1024)+1,Tablas!$G$9:$K$1240,5,0)*(D1024-INT(D1024))+VLOOKUP(INT(D1024),Tablas!$G$9:$K$1240,5,0)*(INT(D1024)+1-D1024)),+VLOOKUP(INT(D1024)+1,Tablas!$G$9:$O$1240,9,0)*(D1024-INT(D1024))+VLOOKUP(INT(D1024),Tablas!$G$9:$O$1240,9,0)*(INT(D1024)+1-D1024))</f>
        <v>#N/A</v>
      </c>
      <c r="H1024" s="105">
        <f t="shared" ca="1" si="124"/>
        <v>1</v>
      </c>
      <c r="I1024" s="106">
        <f t="shared" ca="1" si="125"/>
        <v>0</v>
      </c>
      <c r="J1024" s="106">
        <f t="shared" ca="1" si="129"/>
        <v>0</v>
      </c>
      <c r="K1024" s="105" t="e">
        <f t="shared" ca="1" si="126"/>
        <v>#N/A</v>
      </c>
      <c r="L1024" s="75"/>
    </row>
    <row r="1025" spans="2:12">
      <c r="B1025" s="101">
        <f t="shared" ca="1" si="127"/>
        <v>83461</v>
      </c>
      <c r="C1025" s="101">
        <f t="shared" ca="1" si="128"/>
        <v>83491</v>
      </c>
      <c r="D1025" s="102">
        <f t="shared" ca="1" si="123"/>
        <v>151.08008213552361</v>
      </c>
      <c r="E1025" s="103">
        <f t="shared" ca="1" si="130"/>
        <v>0.28597932489321753</v>
      </c>
      <c r="F1025" s="104" t="e">
        <f ca="1">IF($C$4="Hombre",(+VLOOKUP(INT(D1025)+1,Tablas!$G$9:$K$1240,5,0)*(D1025-INT(D1025))+VLOOKUP(INT(D1025),Tablas!$G$9:$K$1240,5,0)*(INT(D1025)+1-D1025))/(VLOOKUP(INT($C$5)+1,Tablas!$G$9:$K$1240,5,0)*($C$5-INT($C$5))+VLOOKUP(INT($C$5),Tablas!$G$9:$K$124,5,0)*(INT($C$5)+1-$C$5)),(+VLOOKUP(INT(D1025)+1,Tablas!$G$9:$O$1240,9,0)*(D1025-INT(D1025))+VLOOKUP(INT(D1025),Tablas!$G$9:$O$1240,9,0)*(INT(D1025)+1-D1025))/(VLOOKUP(INT($C$5)+1,Tablas!$G$9:$O$1240,9,0)*($C$5-INT($C$5))+VLOOKUP(INT($C$5),Tablas!$G$9:$O$124,9,0)*(INT($C$5)+1-$C$5)))</f>
        <v>#N/A</v>
      </c>
      <c r="G1025" s="97" t="e">
        <f ca="1">IF($C$4="Hombre",(+VLOOKUP(INT(D1025)+1,Tablas!$G$9:$K$1240,5,0)*(D1025-INT(D1025))+VLOOKUP(INT(D1025),Tablas!$G$9:$K$1240,5,0)*(INT(D1025)+1-D1025)),+VLOOKUP(INT(D1025)+1,Tablas!$G$9:$O$1240,9,0)*(D1025-INT(D1025))+VLOOKUP(INT(D1025),Tablas!$G$9:$O$1240,9,0)*(INT(D1025)+1-D1025))</f>
        <v>#N/A</v>
      </c>
      <c r="H1025" s="105">
        <f t="shared" ca="1" si="124"/>
        <v>1</v>
      </c>
      <c r="I1025" s="106">
        <f t="shared" ca="1" si="125"/>
        <v>0</v>
      </c>
      <c r="J1025" s="106">
        <f t="shared" ca="1" si="129"/>
        <v>0</v>
      </c>
      <c r="K1025" s="105" t="e">
        <f t="shared" ca="1" si="126"/>
        <v>#N/A</v>
      </c>
      <c r="L1025" s="75"/>
    </row>
    <row r="1026" spans="2:12">
      <c r="B1026" s="101">
        <f t="shared" ca="1" si="127"/>
        <v>83492</v>
      </c>
      <c r="C1026" s="101">
        <f t="shared" ca="1" si="128"/>
        <v>83522</v>
      </c>
      <c r="D1026" s="102">
        <f t="shared" ca="1" si="123"/>
        <v>151.16495550992471</v>
      </c>
      <c r="E1026" s="103">
        <f t="shared" ca="1" si="130"/>
        <v>0.28561817626966118</v>
      </c>
      <c r="F1026" s="104" t="e">
        <f ca="1">IF($C$4="Hombre",(+VLOOKUP(INT(D1026)+1,Tablas!$G$9:$K$1240,5,0)*(D1026-INT(D1026))+VLOOKUP(INT(D1026),Tablas!$G$9:$K$1240,5,0)*(INT(D1026)+1-D1026))/(VLOOKUP(INT($C$5)+1,Tablas!$G$9:$K$1240,5,0)*($C$5-INT($C$5))+VLOOKUP(INT($C$5),Tablas!$G$9:$K$124,5,0)*(INT($C$5)+1-$C$5)),(+VLOOKUP(INT(D1026)+1,Tablas!$G$9:$O$1240,9,0)*(D1026-INT(D1026))+VLOOKUP(INT(D1026),Tablas!$G$9:$O$1240,9,0)*(INT(D1026)+1-D1026))/(VLOOKUP(INT($C$5)+1,Tablas!$G$9:$O$1240,9,0)*($C$5-INT($C$5))+VLOOKUP(INT($C$5),Tablas!$G$9:$O$124,9,0)*(INT($C$5)+1-$C$5)))</f>
        <v>#N/A</v>
      </c>
      <c r="G1026" s="97" t="e">
        <f ca="1">IF($C$4="Hombre",(+VLOOKUP(INT(D1026)+1,Tablas!$G$9:$K$1240,5,0)*(D1026-INT(D1026))+VLOOKUP(INT(D1026),Tablas!$G$9:$K$1240,5,0)*(INT(D1026)+1-D1026)),+VLOOKUP(INT(D1026)+1,Tablas!$G$9:$O$1240,9,0)*(D1026-INT(D1026))+VLOOKUP(INT(D1026),Tablas!$G$9:$O$1240,9,0)*(INT(D1026)+1-D1026))</f>
        <v>#N/A</v>
      </c>
      <c r="H1026" s="105">
        <f t="shared" ca="1" si="124"/>
        <v>1</v>
      </c>
      <c r="I1026" s="106">
        <f t="shared" ca="1" si="125"/>
        <v>0</v>
      </c>
      <c r="J1026" s="106">
        <f t="shared" ca="1" si="129"/>
        <v>0</v>
      </c>
      <c r="K1026" s="105" t="e">
        <f t="shared" ca="1" si="126"/>
        <v>#N/A</v>
      </c>
      <c r="L1026" s="75"/>
    </row>
    <row r="1027" spans="2:12">
      <c r="B1027" s="101">
        <f t="shared" ca="1" si="127"/>
        <v>83523</v>
      </c>
      <c r="C1027" s="101">
        <f t="shared" ca="1" si="128"/>
        <v>83552</v>
      </c>
      <c r="D1027" s="102">
        <f t="shared" ca="1" si="123"/>
        <v>151.24709103353868</v>
      </c>
      <c r="E1027" s="103">
        <f t="shared" ca="1" si="130"/>
        <v>0.28526911185277309</v>
      </c>
      <c r="F1027" s="104" t="e">
        <f ca="1">IF($C$4="Hombre",(+VLOOKUP(INT(D1027)+1,Tablas!$G$9:$K$1240,5,0)*(D1027-INT(D1027))+VLOOKUP(INT(D1027),Tablas!$G$9:$K$1240,5,0)*(INT(D1027)+1-D1027))/(VLOOKUP(INT($C$5)+1,Tablas!$G$9:$K$1240,5,0)*($C$5-INT($C$5))+VLOOKUP(INT($C$5),Tablas!$G$9:$K$124,5,0)*(INT($C$5)+1-$C$5)),(+VLOOKUP(INT(D1027)+1,Tablas!$G$9:$O$1240,9,0)*(D1027-INT(D1027))+VLOOKUP(INT(D1027),Tablas!$G$9:$O$1240,9,0)*(INT(D1027)+1-D1027))/(VLOOKUP(INT($C$5)+1,Tablas!$G$9:$O$1240,9,0)*($C$5-INT($C$5))+VLOOKUP(INT($C$5),Tablas!$G$9:$O$124,9,0)*(INT($C$5)+1-$C$5)))</f>
        <v>#N/A</v>
      </c>
      <c r="G1027" s="97" t="e">
        <f ca="1">IF($C$4="Hombre",(+VLOOKUP(INT(D1027)+1,Tablas!$G$9:$K$1240,5,0)*(D1027-INT(D1027))+VLOOKUP(INT(D1027),Tablas!$G$9:$K$1240,5,0)*(INT(D1027)+1-D1027)),+VLOOKUP(INT(D1027)+1,Tablas!$G$9:$O$1240,9,0)*(D1027-INT(D1027))+VLOOKUP(INT(D1027),Tablas!$G$9:$O$1240,9,0)*(INT(D1027)+1-D1027))</f>
        <v>#N/A</v>
      </c>
      <c r="H1027" s="105">
        <f t="shared" ca="1" si="124"/>
        <v>1</v>
      </c>
      <c r="I1027" s="106">
        <f t="shared" ca="1" si="125"/>
        <v>0</v>
      </c>
      <c r="J1027" s="106">
        <f t="shared" ca="1" si="129"/>
        <v>0</v>
      </c>
      <c r="K1027" s="105" t="e">
        <f t="shared" ca="1" si="126"/>
        <v>#N/A</v>
      </c>
      <c r="L1027" s="75"/>
    </row>
    <row r="1028" spans="2:12">
      <c r="B1028" s="101">
        <f t="shared" ca="1" si="127"/>
        <v>83553</v>
      </c>
      <c r="C1028" s="101">
        <f t="shared" ca="1" si="128"/>
        <v>83583</v>
      </c>
      <c r="D1028" s="102">
        <f t="shared" ca="1" si="123"/>
        <v>151.33196440793978</v>
      </c>
      <c r="E1028" s="103">
        <f t="shared" ca="1" si="130"/>
        <v>0.28490886012084371</v>
      </c>
      <c r="F1028" s="104" t="e">
        <f ca="1">IF($C$4="Hombre",(+VLOOKUP(INT(D1028)+1,Tablas!$G$9:$K$1240,5,0)*(D1028-INT(D1028))+VLOOKUP(INT(D1028),Tablas!$G$9:$K$1240,5,0)*(INT(D1028)+1-D1028))/(VLOOKUP(INT($C$5)+1,Tablas!$G$9:$K$1240,5,0)*($C$5-INT($C$5))+VLOOKUP(INT($C$5),Tablas!$G$9:$K$124,5,0)*(INT($C$5)+1-$C$5)),(+VLOOKUP(INT(D1028)+1,Tablas!$G$9:$O$1240,9,0)*(D1028-INT(D1028))+VLOOKUP(INT(D1028),Tablas!$G$9:$O$1240,9,0)*(INT(D1028)+1-D1028))/(VLOOKUP(INT($C$5)+1,Tablas!$G$9:$O$1240,9,0)*($C$5-INT($C$5))+VLOOKUP(INT($C$5),Tablas!$G$9:$O$124,9,0)*(INT($C$5)+1-$C$5)))</f>
        <v>#N/A</v>
      </c>
      <c r="G1028" s="97" t="e">
        <f ca="1">IF($C$4="Hombre",(+VLOOKUP(INT(D1028)+1,Tablas!$G$9:$K$1240,5,0)*(D1028-INT(D1028))+VLOOKUP(INT(D1028),Tablas!$G$9:$K$1240,5,0)*(INT(D1028)+1-D1028)),+VLOOKUP(INT(D1028)+1,Tablas!$G$9:$O$1240,9,0)*(D1028-INT(D1028))+VLOOKUP(INT(D1028),Tablas!$G$9:$O$1240,9,0)*(INT(D1028)+1-D1028))</f>
        <v>#N/A</v>
      </c>
      <c r="H1028" s="105">
        <f t="shared" ca="1" si="124"/>
        <v>1</v>
      </c>
      <c r="I1028" s="106">
        <f t="shared" ca="1" si="125"/>
        <v>0</v>
      </c>
      <c r="J1028" s="106">
        <f t="shared" ca="1" si="129"/>
        <v>0</v>
      </c>
      <c r="K1028" s="105" t="e">
        <f t="shared" ca="1" si="126"/>
        <v>#N/A</v>
      </c>
      <c r="L1028" s="75"/>
    </row>
    <row r="1029" spans="2:12">
      <c r="B1029" s="101">
        <f t="shared" ca="1" si="127"/>
        <v>83584</v>
      </c>
      <c r="C1029" s="101">
        <f t="shared" ca="1" si="128"/>
        <v>83613</v>
      </c>
      <c r="D1029" s="102">
        <f t="shared" ca="1" si="123"/>
        <v>151.41409993155372</v>
      </c>
      <c r="E1029" s="103">
        <f t="shared" ca="1" si="130"/>
        <v>0.28456066258515744</v>
      </c>
      <c r="F1029" s="104" t="e">
        <f ca="1">IF($C$4="Hombre",(+VLOOKUP(INT(D1029)+1,Tablas!$G$9:$K$1240,5,0)*(D1029-INT(D1029))+VLOOKUP(INT(D1029),Tablas!$G$9:$K$1240,5,0)*(INT(D1029)+1-D1029))/(VLOOKUP(INT($C$5)+1,Tablas!$G$9:$K$1240,5,0)*($C$5-INT($C$5))+VLOOKUP(INT($C$5),Tablas!$G$9:$K$124,5,0)*(INT($C$5)+1-$C$5)),(+VLOOKUP(INT(D1029)+1,Tablas!$G$9:$O$1240,9,0)*(D1029-INT(D1029))+VLOOKUP(INT(D1029),Tablas!$G$9:$O$1240,9,0)*(INT(D1029)+1-D1029))/(VLOOKUP(INT($C$5)+1,Tablas!$G$9:$O$1240,9,0)*($C$5-INT($C$5))+VLOOKUP(INT($C$5),Tablas!$G$9:$O$124,9,0)*(INT($C$5)+1-$C$5)))</f>
        <v>#N/A</v>
      </c>
      <c r="G1029" s="97" t="e">
        <f ca="1">IF($C$4="Hombre",(+VLOOKUP(INT(D1029)+1,Tablas!$G$9:$K$1240,5,0)*(D1029-INT(D1029))+VLOOKUP(INT(D1029),Tablas!$G$9:$K$1240,5,0)*(INT(D1029)+1-D1029)),+VLOOKUP(INT(D1029)+1,Tablas!$G$9:$O$1240,9,0)*(D1029-INT(D1029))+VLOOKUP(INT(D1029),Tablas!$G$9:$O$1240,9,0)*(INT(D1029)+1-D1029))</f>
        <v>#N/A</v>
      </c>
      <c r="H1029" s="105">
        <f t="shared" ca="1" si="124"/>
        <v>1</v>
      </c>
      <c r="I1029" s="106">
        <f t="shared" ca="1" si="125"/>
        <v>0</v>
      </c>
      <c r="J1029" s="106">
        <f t="shared" ca="1" si="129"/>
        <v>0</v>
      </c>
      <c r="K1029" s="105" t="e">
        <f t="shared" ca="1" si="126"/>
        <v>#N/A</v>
      </c>
      <c r="L1029" s="75"/>
    </row>
    <row r="1030" spans="2:12">
      <c r="B1030" s="101">
        <f t="shared" ca="1" si="127"/>
        <v>83614</v>
      </c>
      <c r="C1030" s="101">
        <f t="shared" ca="1" si="128"/>
        <v>83644</v>
      </c>
      <c r="D1030" s="102">
        <f t="shared" ca="1" si="123"/>
        <v>151.49897330595482</v>
      </c>
      <c r="E1030" s="103">
        <f t="shared" ca="1" si="130"/>
        <v>0.28420130551747674</v>
      </c>
      <c r="F1030" s="104" t="e">
        <f ca="1">IF($C$4="Hombre",(+VLOOKUP(INT(D1030)+1,Tablas!$G$9:$K$1240,5,0)*(D1030-INT(D1030))+VLOOKUP(INT(D1030),Tablas!$G$9:$K$1240,5,0)*(INT(D1030)+1-D1030))/(VLOOKUP(INT($C$5)+1,Tablas!$G$9:$K$1240,5,0)*($C$5-INT($C$5))+VLOOKUP(INT($C$5),Tablas!$G$9:$K$124,5,0)*(INT($C$5)+1-$C$5)),(+VLOOKUP(INT(D1030)+1,Tablas!$G$9:$O$1240,9,0)*(D1030-INT(D1030))+VLOOKUP(INT(D1030),Tablas!$G$9:$O$1240,9,0)*(INT(D1030)+1-D1030))/(VLOOKUP(INT($C$5)+1,Tablas!$G$9:$O$1240,9,0)*($C$5-INT($C$5))+VLOOKUP(INT($C$5),Tablas!$G$9:$O$124,9,0)*(INT($C$5)+1-$C$5)))</f>
        <v>#N/A</v>
      </c>
      <c r="G1030" s="97" t="e">
        <f ca="1">IF($C$4="Hombre",(+VLOOKUP(INT(D1030)+1,Tablas!$G$9:$K$1240,5,0)*(D1030-INT(D1030))+VLOOKUP(INT(D1030),Tablas!$G$9:$K$1240,5,0)*(INT(D1030)+1-D1030)),+VLOOKUP(INT(D1030)+1,Tablas!$G$9:$O$1240,9,0)*(D1030-INT(D1030))+VLOOKUP(INT(D1030),Tablas!$G$9:$O$1240,9,0)*(INT(D1030)+1-D1030))</f>
        <v>#N/A</v>
      </c>
      <c r="H1030" s="105">
        <f t="shared" ca="1" si="124"/>
        <v>1</v>
      </c>
      <c r="I1030" s="106">
        <f t="shared" ca="1" si="125"/>
        <v>0</v>
      </c>
      <c r="J1030" s="106">
        <f t="shared" ca="1" si="129"/>
        <v>0</v>
      </c>
      <c r="K1030" s="105" t="e">
        <f t="shared" ca="1" si="126"/>
        <v>#N/A</v>
      </c>
      <c r="L1030" s="75"/>
    </row>
    <row r="1031" spans="2:12">
      <c r="B1031" s="101">
        <f t="shared" ca="1" si="127"/>
        <v>83645</v>
      </c>
      <c r="C1031" s="101">
        <f t="shared" ca="1" si="128"/>
        <v>83675</v>
      </c>
      <c r="D1031" s="102">
        <f t="shared" ca="1" si="123"/>
        <v>151.58384668035592</v>
      </c>
      <c r="E1031" s="103">
        <f t="shared" ca="1" si="130"/>
        <v>0.28384240226340801</v>
      </c>
      <c r="F1031" s="104" t="e">
        <f ca="1">IF($C$4="Hombre",(+VLOOKUP(INT(D1031)+1,Tablas!$G$9:$K$1240,5,0)*(D1031-INT(D1031))+VLOOKUP(INT(D1031),Tablas!$G$9:$K$1240,5,0)*(INT(D1031)+1-D1031))/(VLOOKUP(INT($C$5)+1,Tablas!$G$9:$K$1240,5,0)*($C$5-INT($C$5))+VLOOKUP(INT($C$5),Tablas!$G$9:$K$124,5,0)*(INT($C$5)+1-$C$5)),(+VLOOKUP(INT(D1031)+1,Tablas!$G$9:$O$1240,9,0)*(D1031-INT(D1031))+VLOOKUP(INT(D1031),Tablas!$G$9:$O$1240,9,0)*(INT(D1031)+1-D1031))/(VLOOKUP(INT($C$5)+1,Tablas!$G$9:$O$1240,9,0)*($C$5-INT($C$5))+VLOOKUP(INT($C$5),Tablas!$G$9:$O$124,9,0)*(INT($C$5)+1-$C$5)))</f>
        <v>#N/A</v>
      </c>
      <c r="G1031" s="97" t="e">
        <f ca="1">IF($C$4="Hombre",(+VLOOKUP(INT(D1031)+1,Tablas!$G$9:$K$1240,5,0)*(D1031-INT(D1031))+VLOOKUP(INT(D1031),Tablas!$G$9:$K$1240,5,0)*(INT(D1031)+1-D1031)),+VLOOKUP(INT(D1031)+1,Tablas!$G$9:$O$1240,9,0)*(D1031-INT(D1031))+VLOOKUP(INT(D1031),Tablas!$G$9:$O$1240,9,0)*(INT(D1031)+1-D1031))</f>
        <v>#N/A</v>
      </c>
      <c r="H1031" s="105">
        <f t="shared" ca="1" si="124"/>
        <v>1</v>
      </c>
      <c r="I1031" s="106">
        <f t="shared" ca="1" si="125"/>
        <v>0</v>
      </c>
      <c r="J1031" s="106">
        <f t="shared" ca="1" si="129"/>
        <v>0</v>
      </c>
      <c r="K1031" s="105" t="e">
        <f t="shared" ca="1" si="126"/>
        <v>#N/A</v>
      </c>
      <c r="L1031" s="75"/>
    </row>
    <row r="1032" spans="2:12">
      <c r="B1032" s="101">
        <f t="shared" ca="1" si="127"/>
        <v>83676</v>
      </c>
      <c r="C1032" s="101">
        <f t="shared" ca="1" si="128"/>
        <v>83703</v>
      </c>
      <c r="D1032" s="102">
        <f t="shared" ca="1" si="123"/>
        <v>151.66050650239561</v>
      </c>
      <c r="E1032" s="103">
        <f t="shared" ca="1" si="130"/>
        <v>0.28351862116807941</v>
      </c>
      <c r="F1032" s="104" t="e">
        <f ca="1">IF($C$4="Hombre",(+VLOOKUP(INT(D1032)+1,Tablas!$G$9:$K$1240,5,0)*(D1032-INT(D1032))+VLOOKUP(INT(D1032),Tablas!$G$9:$K$1240,5,0)*(INT(D1032)+1-D1032))/(VLOOKUP(INT($C$5)+1,Tablas!$G$9:$K$1240,5,0)*($C$5-INT($C$5))+VLOOKUP(INT($C$5),Tablas!$G$9:$K$124,5,0)*(INT($C$5)+1-$C$5)),(+VLOOKUP(INT(D1032)+1,Tablas!$G$9:$O$1240,9,0)*(D1032-INT(D1032))+VLOOKUP(INT(D1032),Tablas!$G$9:$O$1240,9,0)*(INT(D1032)+1-D1032))/(VLOOKUP(INT($C$5)+1,Tablas!$G$9:$O$1240,9,0)*($C$5-INT($C$5))+VLOOKUP(INT($C$5),Tablas!$G$9:$O$124,9,0)*(INT($C$5)+1-$C$5)))</f>
        <v>#N/A</v>
      </c>
      <c r="G1032" s="97" t="e">
        <f ca="1">IF($C$4="Hombre",(+VLOOKUP(INT(D1032)+1,Tablas!$G$9:$K$1240,5,0)*(D1032-INT(D1032))+VLOOKUP(INT(D1032),Tablas!$G$9:$K$1240,5,0)*(INT(D1032)+1-D1032)),+VLOOKUP(INT(D1032)+1,Tablas!$G$9:$O$1240,9,0)*(D1032-INT(D1032))+VLOOKUP(INT(D1032),Tablas!$G$9:$O$1240,9,0)*(INT(D1032)+1-D1032))</f>
        <v>#N/A</v>
      </c>
      <c r="H1032" s="105">
        <f t="shared" ca="1" si="124"/>
        <v>1</v>
      </c>
      <c r="I1032" s="106">
        <f t="shared" ca="1" si="125"/>
        <v>0</v>
      </c>
      <c r="J1032" s="106">
        <f t="shared" ca="1" si="129"/>
        <v>0</v>
      </c>
      <c r="K1032" s="105" t="e">
        <f t="shared" ca="1" si="126"/>
        <v>#N/A</v>
      </c>
      <c r="L1032" s="75"/>
    </row>
    <row r="1033" spans="2:12">
      <c r="B1033" s="101">
        <f t="shared" ca="1" si="127"/>
        <v>83704</v>
      </c>
      <c r="C1033" s="101">
        <f t="shared" ca="1" si="128"/>
        <v>83734</v>
      </c>
      <c r="D1033" s="102">
        <f t="shared" ca="1" si="123"/>
        <v>151.7453798767967</v>
      </c>
      <c r="E1033" s="103">
        <f t="shared" ca="1" si="130"/>
        <v>0.28316058004106542</v>
      </c>
      <c r="F1033" s="104" t="e">
        <f ca="1">IF($C$4="Hombre",(+VLOOKUP(INT(D1033)+1,Tablas!$G$9:$K$1240,5,0)*(D1033-INT(D1033))+VLOOKUP(INT(D1033),Tablas!$G$9:$K$1240,5,0)*(INT(D1033)+1-D1033))/(VLOOKUP(INT($C$5)+1,Tablas!$G$9:$K$1240,5,0)*($C$5-INT($C$5))+VLOOKUP(INT($C$5),Tablas!$G$9:$K$124,5,0)*(INT($C$5)+1-$C$5)),(+VLOOKUP(INT(D1033)+1,Tablas!$G$9:$O$1240,9,0)*(D1033-INT(D1033))+VLOOKUP(INT(D1033),Tablas!$G$9:$O$1240,9,0)*(INT(D1033)+1-D1033))/(VLOOKUP(INT($C$5)+1,Tablas!$G$9:$O$1240,9,0)*($C$5-INT($C$5))+VLOOKUP(INT($C$5),Tablas!$G$9:$O$124,9,0)*(INT($C$5)+1-$C$5)))</f>
        <v>#N/A</v>
      </c>
      <c r="G1033" s="97" t="e">
        <f ca="1">IF($C$4="Hombre",(+VLOOKUP(INT(D1033)+1,Tablas!$G$9:$K$1240,5,0)*(D1033-INT(D1033))+VLOOKUP(INT(D1033),Tablas!$G$9:$K$1240,5,0)*(INT(D1033)+1-D1033)),+VLOOKUP(INT(D1033)+1,Tablas!$G$9:$O$1240,9,0)*(D1033-INT(D1033))+VLOOKUP(INT(D1033),Tablas!$G$9:$O$1240,9,0)*(INT(D1033)+1-D1033))</f>
        <v>#N/A</v>
      </c>
      <c r="H1033" s="105">
        <f t="shared" ca="1" si="124"/>
        <v>1</v>
      </c>
      <c r="I1033" s="106">
        <f t="shared" ca="1" si="125"/>
        <v>0</v>
      </c>
      <c r="J1033" s="106">
        <f t="shared" ca="1" si="129"/>
        <v>0</v>
      </c>
      <c r="K1033" s="105" t="e">
        <f t="shared" ca="1" si="126"/>
        <v>#N/A</v>
      </c>
      <c r="L1033" s="75"/>
    </row>
    <row r="1034" spans="2:12">
      <c r="B1034" s="101">
        <f t="shared" ca="1" si="127"/>
        <v>83735</v>
      </c>
      <c r="C1034" s="101">
        <f t="shared" ca="1" si="128"/>
        <v>83764</v>
      </c>
      <c r="D1034" s="102">
        <f t="shared" ca="1" si="123"/>
        <v>151.82751540041068</v>
      </c>
      <c r="E1034" s="103">
        <f t="shared" ca="1" si="130"/>
        <v>0.28281451914239064</v>
      </c>
      <c r="F1034" s="104" t="e">
        <f ca="1">IF($C$4="Hombre",(+VLOOKUP(INT(D1034)+1,Tablas!$G$9:$K$1240,5,0)*(D1034-INT(D1034))+VLOOKUP(INT(D1034),Tablas!$G$9:$K$1240,5,0)*(INT(D1034)+1-D1034))/(VLOOKUP(INT($C$5)+1,Tablas!$G$9:$K$1240,5,0)*($C$5-INT($C$5))+VLOOKUP(INT($C$5),Tablas!$G$9:$K$124,5,0)*(INT($C$5)+1-$C$5)),(+VLOOKUP(INT(D1034)+1,Tablas!$G$9:$O$1240,9,0)*(D1034-INT(D1034))+VLOOKUP(INT(D1034),Tablas!$G$9:$O$1240,9,0)*(INT(D1034)+1-D1034))/(VLOOKUP(INT($C$5)+1,Tablas!$G$9:$O$1240,9,0)*($C$5-INT($C$5))+VLOOKUP(INT($C$5),Tablas!$G$9:$O$124,9,0)*(INT($C$5)+1-$C$5)))</f>
        <v>#N/A</v>
      </c>
      <c r="G1034" s="97" t="e">
        <f ca="1">IF($C$4="Hombre",(+VLOOKUP(INT(D1034)+1,Tablas!$G$9:$K$1240,5,0)*(D1034-INT(D1034))+VLOOKUP(INT(D1034),Tablas!$G$9:$K$1240,5,0)*(INT(D1034)+1-D1034)),+VLOOKUP(INT(D1034)+1,Tablas!$G$9:$O$1240,9,0)*(D1034-INT(D1034))+VLOOKUP(INT(D1034),Tablas!$G$9:$O$1240,9,0)*(INT(D1034)+1-D1034))</f>
        <v>#N/A</v>
      </c>
      <c r="H1034" s="105">
        <f t="shared" ca="1" si="124"/>
        <v>1</v>
      </c>
      <c r="I1034" s="106">
        <f t="shared" ca="1" si="125"/>
        <v>0</v>
      </c>
      <c r="J1034" s="106">
        <f t="shared" ca="1" si="129"/>
        <v>0</v>
      </c>
      <c r="K1034" s="105" t="e">
        <f t="shared" ca="1" si="126"/>
        <v>#N/A</v>
      </c>
      <c r="L1034" s="75"/>
    </row>
    <row r="1035" spans="2:12">
      <c r="B1035" s="101">
        <f t="shared" ca="1" si="127"/>
        <v>83765</v>
      </c>
      <c r="C1035" s="101">
        <f t="shared" ca="1" si="128"/>
        <v>83795</v>
      </c>
      <c r="D1035" s="102">
        <f t="shared" ca="1" si="123"/>
        <v>151.91238877481177</v>
      </c>
      <c r="E1035" s="103">
        <f t="shared" ca="1" si="130"/>
        <v>0.28245736718971659</v>
      </c>
      <c r="F1035" s="104" t="e">
        <f ca="1">IF($C$4="Hombre",(+VLOOKUP(INT(D1035)+1,Tablas!$G$9:$K$1240,5,0)*(D1035-INT(D1035))+VLOOKUP(INT(D1035),Tablas!$G$9:$K$1240,5,0)*(INT(D1035)+1-D1035))/(VLOOKUP(INT($C$5)+1,Tablas!$G$9:$K$1240,5,0)*($C$5-INT($C$5))+VLOOKUP(INT($C$5),Tablas!$G$9:$K$124,5,0)*(INT($C$5)+1-$C$5)),(+VLOOKUP(INT(D1035)+1,Tablas!$G$9:$O$1240,9,0)*(D1035-INT(D1035))+VLOOKUP(INT(D1035),Tablas!$G$9:$O$1240,9,0)*(INT(D1035)+1-D1035))/(VLOOKUP(INT($C$5)+1,Tablas!$G$9:$O$1240,9,0)*($C$5-INT($C$5))+VLOOKUP(INT($C$5),Tablas!$G$9:$O$124,9,0)*(INT($C$5)+1-$C$5)))</f>
        <v>#N/A</v>
      </c>
      <c r="G1035" s="97" t="e">
        <f ca="1">IF($C$4="Hombre",(+VLOOKUP(INT(D1035)+1,Tablas!$G$9:$K$1240,5,0)*(D1035-INT(D1035))+VLOOKUP(INT(D1035),Tablas!$G$9:$K$1240,5,0)*(INT(D1035)+1-D1035)),+VLOOKUP(INT(D1035)+1,Tablas!$G$9:$O$1240,9,0)*(D1035-INT(D1035))+VLOOKUP(INT(D1035),Tablas!$G$9:$O$1240,9,0)*(INT(D1035)+1-D1035))</f>
        <v>#N/A</v>
      </c>
      <c r="H1035" s="105">
        <f t="shared" ca="1" si="124"/>
        <v>1</v>
      </c>
      <c r="I1035" s="106">
        <f t="shared" ca="1" si="125"/>
        <v>0</v>
      </c>
      <c r="J1035" s="106">
        <f t="shared" ca="1" si="129"/>
        <v>0</v>
      </c>
      <c r="K1035" s="105" t="e">
        <f t="shared" ca="1" si="126"/>
        <v>#N/A</v>
      </c>
      <c r="L1035" s="75"/>
    </row>
    <row r="1036" spans="2:12">
      <c r="B1036" s="101">
        <f t="shared" ca="1" si="127"/>
        <v>83796</v>
      </c>
      <c r="C1036" s="101">
        <f t="shared" ca="1" si="128"/>
        <v>83825</v>
      </c>
      <c r="D1036" s="102">
        <f t="shared" ca="1" si="123"/>
        <v>151.99452429842574</v>
      </c>
      <c r="E1036" s="103">
        <f t="shared" ca="1" si="130"/>
        <v>0.28211216571318054</v>
      </c>
      <c r="F1036" s="104" t="e">
        <f ca="1">IF($C$4="Hombre",(+VLOOKUP(INT(D1036)+1,Tablas!$G$9:$K$1240,5,0)*(D1036-INT(D1036))+VLOOKUP(INT(D1036),Tablas!$G$9:$K$1240,5,0)*(INT(D1036)+1-D1036))/(VLOOKUP(INT($C$5)+1,Tablas!$G$9:$K$1240,5,0)*($C$5-INT($C$5))+VLOOKUP(INT($C$5),Tablas!$G$9:$K$124,5,0)*(INT($C$5)+1-$C$5)),(+VLOOKUP(INT(D1036)+1,Tablas!$G$9:$O$1240,9,0)*(D1036-INT(D1036))+VLOOKUP(INT(D1036),Tablas!$G$9:$O$1240,9,0)*(INT(D1036)+1-D1036))/(VLOOKUP(INT($C$5)+1,Tablas!$G$9:$O$1240,9,0)*($C$5-INT($C$5))+VLOOKUP(INT($C$5),Tablas!$G$9:$O$124,9,0)*(INT($C$5)+1-$C$5)))</f>
        <v>#N/A</v>
      </c>
      <c r="G1036" s="97" t="e">
        <f ca="1">IF($C$4="Hombre",(+VLOOKUP(INT(D1036)+1,Tablas!$G$9:$K$1240,5,0)*(D1036-INT(D1036))+VLOOKUP(INT(D1036),Tablas!$G$9:$K$1240,5,0)*(INT(D1036)+1-D1036)),+VLOOKUP(INT(D1036)+1,Tablas!$G$9:$O$1240,9,0)*(D1036-INT(D1036))+VLOOKUP(INT(D1036),Tablas!$G$9:$O$1240,9,0)*(INT(D1036)+1-D1036))</f>
        <v>#N/A</v>
      </c>
      <c r="H1036" s="105">
        <f t="shared" ca="1" si="124"/>
        <v>1</v>
      </c>
      <c r="I1036" s="106">
        <f t="shared" ca="1" si="125"/>
        <v>0</v>
      </c>
      <c r="J1036" s="106">
        <f t="shared" ca="1" si="129"/>
        <v>0</v>
      </c>
      <c r="K1036" s="105" t="e">
        <f t="shared" ca="1" si="126"/>
        <v>#N/A</v>
      </c>
      <c r="L1036" s="75"/>
    </row>
    <row r="1037" spans="2:12">
      <c r="B1037" s="101">
        <f t="shared" ca="1" si="127"/>
        <v>83826</v>
      </c>
      <c r="C1037" s="101">
        <f t="shared" ca="1" si="128"/>
        <v>83856</v>
      </c>
      <c r="D1037" s="102">
        <f t="shared" ca="1" si="123"/>
        <v>152.07939767282684</v>
      </c>
      <c r="E1037" s="103">
        <f t="shared" ca="1" si="130"/>
        <v>0.28175590072663342</v>
      </c>
      <c r="F1037" s="104" t="e">
        <f ca="1">IF($C$4="Hombre",(+VLOOKUP(INT(D1037)+1,Tablas!$G$9:$K$1240,5,0)*(D1037-INT(D1037))+VLOOKUP(INT(D1037),Tablas!$G$9:$K$1240,5,0)*(INT(D1037)+1-D1037))/(VLOOKUP(INT($C$5)+1,Tablas!$G$9:$K$1240,5,0)*($C$5-INT($C$5))+VLOOKUP(INT($C$5),Tablas!$G$9:$K$124,5,0)*(INT($C$5)+1-$C$5)),(+VLOOKUP(INT(D1037)+1,Tablas!$G$9:$O$1240,9,0)*(D1037-INT(D1037))+VLOOKUP(INT(D1037),Tablas!$G$9:$O$1240,9,0)*(INT(D1037)+1-D1037))/(VLOOKUP(INT($C$5)+1,Tablas!$G$9:$O$1240,9,0)*($C$5-INT($C$5))+VLOOKUP(INT($C$5),Tablas!$G$9:$O$124,9,0)*(INT($C$5)+1-$C$5)))</f>
        <v>#N/A</v>
      </c>
      <c r="G1037" s="97" t="e">
        <f ca="1">IF($C$4="Hombre",(+VLOOKUP(INT(D1037)+1,Tablas!$G$9:$K$1240,5,0)*(D1037-INT(D1037))+VLOOKUP(INT(D1037),Tablas!$G$9:$K$1240,5,0)*(INT(D1037)+1-D1037)),+VLOOKUP(INT(D1037)+1,Tablas!$G$9:$O$1240,9,0)*(D1037-INT(D1037))+VLOOKUP(INT(D1037),Tablas!$G$9:$O$1240,9,0)*(INT(D1037)+1-D1037))</f>
        <v>#N/A</v>
      </c>
      <c r="H1037" s="105">
        <f t="shared" ca="1" si="124"/>
        <v>1</v>
      </c>
      <c r="I1037" s="106">
        <f t="shared" ca="1" si="125"/>
        <v>0</v>
      </c>
      <c r="J1037" s="106">
        <f t="shared" ca="1" si="129"/>
        <v>0</v>
      </c>
      <c r="K1037" s="105" t="e">
        <f t="shared" ca="1" si="126"/>
        <v>#N/A</v>
      </c>
      <c r="L1037" s="75"/>
    </row>
    <row r="1038" spans="2:12">
      <c r="B1038" s="101">
        <f t="shared" ca="1" si="127"/>
        <v>83857</v>
      </c>
      <c r="C1038" s="101">
        <f t="shared" ca="1" si="128"/>
        <v>83887</v>
      </c>
      <c r="D1038" s="102">
        <f t="shared" ca="1" si="123"/>
        <v>152.16427104722791</v>
      </c>
      <c r="E1038" s="103">
        <f t="shared" ca="1" si="130"/>
        <v>0.28140008564886765</v>
      </c>
      <c r="F1038" s="104" t="e">
        <f ca="1">IF($C$4="Hombre",(+VLOOKUP(INT(D1038)+1,Tablas!$G$9:$K$1240,5,0)*(D1038-INT(D1038))+VLOOKUP(INT(D1038),Tablas!$G$9:$K$1240,5,0)*(INT(D1038)+1-D1038))/(VLOOKUP(INT($C$5)+1,Tablas!$G$9:$K$1240,5,0)*($C$5-INT($C$5))+VLOOKUP(INT($C$5),Tablas!$G$9:$K$124,5,0)*(INT($C$5)+1-$C$5)),(+VLOOKUP(INT(D1038)+1,Tablas!$G$9:$O$1240,9,0)*(D1038-INT(D1038))+VLOOKUP(INT(D1038),Tablas!$G$9:$O$1240,9,0)*(INT(D1038)+1-D1038))/(VLOOKUP(INT($C$5)+1,Tablas!$G$9:$O$1240,9,0)*($C$5-INT($C$5))+VLOOKUP(INT($C$5),Tablas!$G$9:$O$124,9,0)*(INT($C$5)+1-$C$5)))</f>
        <v>#N/A</v>
      </c>
      <c r="G1038" s="97" t="e">
        <f ca="1">IF($C$4="Hombre",(+VLOOKUP(INT(D1038)+1,Tablas!$G$9:$K$1240,5,0)*(D1038-INT(D1038))+VLOOKUP(INT(D1038),Tablas!$G$9:$K$1240,5,0)*(INT(D1038)+1-D1038)),+VLOOKUP(INT(D1038)+1,Tablas!$G$9:$O$1240,9,0)*(D1038-INT(D1038))+VLOOKUP(INT(D1038),Tablas!$G$9:$O$1240,9,0)*(INT(D1038)+1-D1038))</f>
        <v>#N/A</v>
      </c>
      <c r="H1038" s="105">
        <f t="shared" ca="1" si="124"/>
        <v>1</v>
      </c>
      <c r="I1038" s="106">
        <f t="shared" ca="1" si="125"/>
        <v>0</v>
      </c>
      <c r="J1038" s="106">
        <f t="shared" ca="1" si="129"/>
        <v>0</v>
      </c>
      <c r="K1038" s="105" t="e">
        <f t="shared" ca="1" si="126"/>
        <v>#N/A</v>
      </c>
      <c r="L1038" s="75"/>
    </row>
    <row r="1039" spans="2:12">
      <c r="B1039" s="101">
        <f t="shared" ca="1" si="127"/>
        <v>83888</v>
      </c>
      <c r="C1039" s="101">
        <f t="shared" ca="1" si="128"/>
        <v>83917</v>
      </c>
      <c r="D1039" s="102">
        <f t="shared" ca="1" si="123"/>
        <v>152.24640657084188</v>
      </c>
      <c r="E1039" s="103">
        <f t="shared" ca="1" si="130"/>
        <v>0.28105617631476232</v>
      </c>
      <c r="F1039" s="104" t="e">
        <f ca="1">IF($C$4="Hombre",(+VLOOKUP(INT(D1039)+1,Tablas!$G$9:$K$1240,5,0)*(D1039-INT(D1039))+VLOOKUP(INT(D1039),Tablas!$G$9:$K$1240,5,0)*(INT(D1039)+1-D1039))/(VLOOKUP(INT($C$5)+1,Tablas!$G$9:$K$1240,5,0)*($C$5-INT($C$5))+VLOOKUP(INT($C$5),Tablas!$G$9:$K$124,5,0)*(INT($C$5)+1-$C$5)),(+VLOOKUP(INT(D1039)+1,Tablas!$G$9:$O$1240,9,0)*(D1039-INT(D1039))+VLOOKUP(INT(D1039),Tablas!$G$9:$O$1240,9,0)*(INT(D1039)+1-D1039))/(VLOOKUP(INT($C$5)+1,Tablas!$G$9:$O$1240,9,0)*($C$5-INT($C$5))+VLOOKUP(INT($C$5),Tablas!$G$9:$O$124,9,0)*(INT($C$5)+1-$C$5)))</f>
        <v>#N/A</v>
      </c>
      <c r="G1039" s="97" t="e">
        <f ca="1">IF($C$4="Hombre",(+VLOOKUP(INT(D1039)+1,Tablas!$G$9:$K$1240,5,0)*(D1039-INT(D1039))+VLOOKUP(INT(D1039),Tablas!$G$9:$K$1240,5,0)*(INT(D1039)+1-D1039)),+VLOOKUP(INT(D1039)+1,Tablas!$G$9:$O$1240,9,0)*(D1039-INT(D1039))+VLOOKUP(INT(D1039),Tablas!$G$9:$O$1240,9,0)*(INT(D1039)+1-D1039))</f>
        <v>#N/A</v>
      </c>
      <c r="H1039" s="105">
        <f t="shared" ca="1" si="124"/>
        <v>1</v>
      </c>
      <c r="I1039" s="106">
        <f t="shared" ca="1" si="125"/>
        <v>0</v>
      </c>
      <c r="J1039" s="106">
        <f t="shared" ca="1" si="129"/>
        <v>0</v>
      </c>
      <c r="K1039" s="105" t="e">
        <f t="shared" ca="1" si="126"/>
        <v>#N/A</v>
      </c>
      <c r="L1039" s="75"/>
    </row>
    <row r="1040" spans="2:12">
      <c r="B1040" s="101">
        <f t="shared" ca="1" si="127"/>
        <v>83918</v>
      </c>
      <c r="C1040" s="101">
        <f t="shared" ca="1" si="128"/>
        <v>83948</v>
      </c>
      <c r="D1040" s="102">
        <f t="shared" ca="1" si="123"/>
        <v>152.33127994524298</v>
      </c>
      <c r="E1040" s="103">
        <f t="shared" ca="1" si="130"/>
        <v>0.28070124488307235</v>
      </c>
      <c r="F1040" s="104" t="e">
        <f ca="1">IF($C$4="Hombre",(+VLOOKUP(INT(D1040)+1,Tablas!$G$9:$K$1240,5,0)*(D1040-INT(D1040))+VLOOKUP(INT(D1040),Tablas!$G$9:$K$1240,5,0)*(INT(D1040)+1-D1040))/(VLOOKUP(INT($C$5)+1,Tablas!$G$9:$K$1240,5,0)*($C$5-INT($C$5))+VLOOKUP(INT($C$5),Tablas!$G$9:$K$124,5,0)*(INT($C$5)+1-$C$5)),(+VLOOKUP(INT(D1040)+1,Tablas!$G$9:$O$1240,9,0)*(D1040-INT(D1040))+VLOOKUP(INT(D1040),Tablas!$G$9:$O$1240,9,0)*(INT(D1040)+1-D1040))/(VLOOKUP(INT($C$5)+1,Tablas!$G$9:$O$1240,9,0)*($C$5-INT($C$5))+VLOOKUP(INT($C$5),Tablas!$G$9:$O$124,9,0)*(INT($C$5)+1-$C$5)))</f>
        <v>#N/A</v>
      </c>
      <c r="G1040" s="97" t="e">
        <f ca="1">IF($C$4="Hombre",(+VLOOKUP(INT(D1040)+1,Tablas!$G$9:$K$1240,5,0)*(D1040-INT(D1040))+VLOOKUP(INT(D1040),Tablas!$G$9:$K$1240,5,0)*(INT(D1040)+1-D1040)),+VLOOKUP(INT(D1040)+1,Tablas!$G$9:$O$1240,9,0)*(D1040-INT(D1040))+VLOOKUP(INT(D1040),Tablas!$G$9:$O$1240,9,0)*(INT(D1040)+1-D1040))</f>
        <v>#N/A</v>
      </c>
      <c r="H1040" s="105">
        <f t="shared" ca="1" si="124"/>
        <v>1</v>
      </c>
      <c r="I1040" s="106">
        <f t="shared" ca="1" si="125"/>
        <v>0</v>
      </c>
      <c r="J1040" s="106">
        <f t="shared" ca="1" si="129"/>
        <v>0</v>
      </c>
      <c r="K1040" s="105" t="e">
        <f t="shared" ca="1" si="126"/>
        <v>#N/A</v>
      </c>
      <c r="L1040" s="75"/>
    </row>
    <row r="1041" spans="2:12">
      <c r="B1041" s="101">
        <f t="shared" ca="1" si="127"/>
        <v>83949</v>
      </c>
      <c r="C1041" s="101">
        <f t="shared" ca="1" si="128"/>
        <v>83978</v>
      </c>
      <c r="D1041" s="102">
        <f t="shared" ca="1" si="123"/>
        <v>152.41341546885695</v>
      </c>
      <c r="E1041" s="103">
        <f t="shared" ca="1" si="130"/>
        <v>0.28035818962782005</v>
      </c>
      <c r="F1041" s="104" t="e">
        <f ca="1">IF($C$4="Hombre",(+VLOOKUP(INT(D1041)+1,Tablas!$G$9:$K$1240,5,0)*(D1041-INT(D1041))+VLOOKUP(INT(D1041),Tablas!$G$9:$K$1240,5,0)*(INT(D1041)+1-D1041))/(VLOOKUP(INT($C$5)+1,Tablas!$G$9:$K$1240,5,0)*($C$5-INT($C$5))+VLOOKUP(INT($C$5),Tablas!$G$9:$K$124,5,0)*(INT($C$5)+1-$C$5)),(+VLOOKUP(INT(D1041)+1,Tablas!$G$9:$O$1240,9,0)*(D1041-INT(D1041))+VLOOKUP(INT(D1041),Tablas!$G$9:$O$1240,9,0)*(INT(D1041)+1-D1041))/(VLOOKUP(INT($C$5)+1,Tablas!$G$9:$O$1240,9,0)*($C$5-INT($C$5))+VLOOKUP(INT($C$5),Tablas!$G$9:$O$124,9,0)*(INT($C$5)+1-$C$5)))</f>
        <v>#N/A</v>
      </c>
      <c r="G1041" s="97" t="e">
        <f ca="1">IF($C$4="Hombre",(+VLOOKUP(INT(D1041)+1,Tablas!$G$9:$K$1240,5,0)*(D1041-INT(D1041))+VLOOKUP(INT(D1041),Tablas!$G$9:$K$1240,5,0)*(INT(D1041)+1-D1041)),+VLOOKUP(INT(D1041)+1,Tablas!$G$9:$O$1240,9,0)*(D1041-INT(D1041))+VLOOKUP(INT(D1041),Tablas!$G$9:$O$1240,9,0)*(INT(D1041)+1-D1041))</f>
        <v>#N/A</v>
      </c>
      <c r="H1041" s="105">
        <f t="shared" ca="1" si="124"/>
        <v>1</v>
      </c>
      <c r="I1041" s="106">
        <f t="shared" ca="1" si="125"/>
        <v>0</v>
      </c>
      <c r="J1041" s="106">
        <f t="shared" ca="1" si="129"/>
        <v>0</v>
      </c>
      <c r="K1041" s="105" t="e">
        <f t="shared" ca="1" si="126"/>
        <v>#N/A</v>
      </c>
      <c r="L1041" s="75"/>
    </row>
    <row r="1042" spans="2:12">
      <c r="B1042" s="101">
        <f t="shared" ca="1" si="127"/>
        <v>83979</v>
      </c>
      <c r="C1042" s="101">
        <f t="shared" ca="1" si="128"/>
        <v>84009</v>
      </c>
      <c r="D1042" s="102">
        <f t="shared" ref="D1042:D1105" ca="1" si="131">-_xlfn.DAYS($C$3,C1042)/365.25</f>
        <v>152.49828884325805</v>
      </c>
      <c r="E1042" s="103">
        <f t="shared" ca="1" si="130"/>
        <v>0.28000413964772214</v>
      </c>
      <c r="F1042" s="104" t="e">
        <f ca="1">IF($C$4="Hombre",(+VLOOKUP(INT(D1042)+1,Tablas!$G$9:$K$1240,5,0)*(D1042-INT(D1042))+VLOOKUP(INT(D1042),Tablas!$G$9:$K$1240,5,0)*(INT(D1042)+1-D1042))/(VLOOKUP(INT($C$5)+1,Tablas!$G$9:$K$1240,5,0)*($C$5-INT($C$5))+VLOOKUP(INT($C$5),Tablas!$G$9:$K$124,5,0)*(INT($C$5)+1-$C$5)),(+VLOOKUP(INT(D1042)+1,Tablas!$G$9:$O$1240,9,0)*(D1042-INT(D1042))+VLOOKUP(INT(D1042),Tablas!$G$9:$O$1240,9,0)*(INT(D1042)+1-D1042))/(VLOOKUP(INT($C$5)+1,Tablas!$G$9:$O$1240,9,0)*($C$5-INT($C$5))+VLOOKUP(INT($C$5),Tablas!$G$9:$O$124,9,0)*(INT($C$5)+1-$C$5)))</f>
        <v>#N/A</v>
      </c>
      <c r="G1042" s="97" t="e">
        <f ca="1">IF($C$4="Hombre",(+VLOOKUP(INT(D1042)+1,Tablas!$G$9:$K$1240,5,0)*(D1042-INT(D1042))+VLOOKUP(INT(D1042),Tablas!$G$9:$K$1240,5,0)*(INT(D1042)+1-D1042)),+VLOOKUP(INT(D1042)+1,Tablas!$G$9:$O$1240,9,0)*(D1042-INT(D1042))+VLOOKUP(INT(D1042),Tablas!$G$9:$O$1240,9,0)*(INT(D1042)+1-D1042))</f>
        <v>#N/A</v>
      </c>
      <c r="H1042" s="105">
        <f t="shared" ref="H1042:H1105" ca="1" si="132">+IF(MONTH(B1042)=1,H1041*(1+$C$9),H1041)</f>
        <v>1</v>
      </c>
      <c r="I1042" s="106">
        <f t="shared" ref="I1042:I1105" ca="1" si="133">IF(B1042&lt;$C$10,0,IF(B1042&lt;$C$11,$C$8/12*E1042*F1042*H1042,0))</f>
        <v>0</v>
      </c>
      <c r="J1042" s="106">
        <f t="shared" ca="1" si="129"/>
        <v>0</v>
      </c>
      <c r="K1042" s="105" t="e">
        <f t="shared" ref="K1042:K1105" ca="1" si="134">G1042/$G$15</f>
        <v>#N/A</v>
      </c>
      <c r="L1042" s="75"/>
    </row>
    <row r="1043" spans="2:12">
      <c r="B1043" s="101">
        <f t="shared" ref="B1043:B1106" ca="1" si="135">+DATE(YEAR(B1042),MONTH(B1042)+1,DAY(B1042))</f>
        <v>84010</v>
      </c>
      <c r="C1043" s="101">
        <f t="shared" ref="C1043:C1106" ca="1" si="136">+B1044-1</f>
        <v>84040</v>
      </c>
      <c r="D1043" s="102">
        <f t="shared" ca="1" si="131"/>
        <v>152.58316221765915</v>
      </c>
      <c r="E1043" s="103">
        <f t="shared" ca="1" si="130"/>
        <v>0.27965053677918744</v>
      </c>
      <c r="F1043" s="104" t="e">
        <f ca="1">IF($C$4="Hombre",(+VLOOKUP(INT(D1043)+1,Tablas!$G$9:$K$1240,5,0)*(D1043-INT(D1043))+VLOOKUP(INT(D1043),Tablas!$G$9:$K$1240,5,0)*(INT(D1043)+1-D1043))/(VLOOKUP(INT($C$5)+1,Tablas!$G$9:$K$1240,5,0)*($C$5-INT($C$5))+VLOOKUP(INT($C$5),Tablas!$G$9:$K$124,5,0)*(INT($C$5)+1-$C$5)),(+VLOOKUP(INT(D1043)+1,Tablas!$G$9:$O$1240,9,0)*(D1043-INT(D1043))+VLOOKUP(INT(D1043),Tablas!$G$9:$O$1240,9,0)*(INT(D1043)+1-D1043))/(VLOOKUP(INT($C$5)+1,Tablas!$G$9:$O$1240,9,0)*($C$5-INT($C$5))+VLOOKUP(INT($C$5),Tablas!$G$9:$O$124,9,0)*(INT($C$5)+1-$C$5)))</f>
        <v>#N/A</v>
      </c>
      <c r="G1043" s="97" t="e">
        <f ca="1">IF($C$4="Hombre",(+VLOOKUP(INT(D1043)+1,Tablas!$G$9:$K$1240,5,0)*(D1043-INT(D1043))+VLOOKUP(INT(D1043),Tablas!$G$9:$K$1240,5,0)*(INT(D1043)+1-D1043)),+VLOOKUP(INT(D1043)+1,Tablas!$G$9:$O$1240,9,0)*(D1043-INT(D1043))+VLOOKUP(INT(D1043),Tablas!$G$9:$O$1240,9,0)*(INT(D1043)+1-D1043))</f>
        <v>#N/A</v>
      </c>
      <c r="H1043" s="105">
        <f t="shared" ca="1" si="132"/>
        <v>1</v>
      </c>
      <c r="I1043" s="106">
        <f t="shared" ca="1" si="133"/>
        <v>0</v>
      </c>
      <c r="J1043" s="106">
        <f t="shared" ref="J1043:J1106" ca="1" si="137">I1043*12/14+IF(OR(MONTH(C1043)=6,MONTH(C1043)=12),I1043*12/14,0)</f>
        <v>0</v>
      </c>
      <c r="K1043" s="105" t="e">
        <f t="shared" ca="1" si="134"/>
        <v>#N/A</v>
      </c>
      <c r="L1043" s="75"/>
    </row>
    <row r="1044" spans="2:12">
      <c r="B1044" s="101">
        <f t="shared" ca="1" si="135"/>
        <v>84041</v>
      </c>
      <c r="C1044" s="101">
        <f t="shared" ca="1" si="136"/>
        <v>84068</v>
      </c>
      <c r="D1044" s="102">
        <f t="shared" ca="1" si="131"/>
        <v>152.65982203969884</v>
      </c>
      <c r="E1044" s="103">
        <f t="shared" ca="1" si="130"/>
        <v>0.27933153737534366</v>
      </c>
      <c r="F1044" s="104" t="e">
        <f ca="1">IF($C$4="Hombre",(+VLOOKUP(INT(D1044)+1,Tablas!$G$9:$K$1240,5,0)*(D1044-INT(D1044))+VLOOKUP(INT(D1044),Tablas!$G$9:$K$1240,5,0)*(INT(D1044)+1-D1044))/(VLOOKUP(INT($C$5)+1,Tablas!$G$9:$K$1240,5,0)*($C$5-INT($C$5))+VLOOKUP(INT($C$5),Tablas!$G$9:$K$124,5,0)*(INT($C$5)+1-$C$5)),(+VLOOKUP(INT(D1044)+1,Tablas!$G$9:$O$1240,9,0)*(D1044-INT(D1044))+VLOOKUP(INT(D1044),Tablas!$G$9:$O$1240,9,0)*(INT(D1044)+1-D1044))/(VLOOKUP(INT($C$5)+1,Tablas!$G$9:$O$1240,9,0)*($C$5-INT($C$5))+VLOOKUP(INT($C$5),Tablas!$G$9:$O$124,9,0)*(INT($C$5)+1-$C$5)))</f>
        <v>#N/A</v>
      </c>
      <c r="G1044" s="97" t="e">
        <f ca="1">IF($C$4="Hombre",(+VLOOKUP(INT(D1044)+1,Tablas!$G$9:$K$1240,5,0)*(D1044-INT(D1044))+VLOOKUP(INT(D1044),Tablas!$G$9:$K$1240,5,0)*(INT(D1044)+1-D1044)),+VLOOKUP(INT(D1044)+1,Tablas!$G$9:$O$1240,9,0)*(D1044-INT(D1044))+VLOOKUP(INT(D1044),Tablas!$G$9:$O$1240,9,0)*(INT(D1044)+1-D1044))</f>
        <v>#N/A</v>
      </c>
      <c r="H1044" s="105">
        <f t="shared" ca="1" si="132"/>
        <v>1</v>
      </c>
      <c r="I1044" s="106">
        <f t="shared" ca="1" si="133"/>
        <v>0</v>
      </c>
      <c r="J1044" s="106">
        <f t="shared" ca="1" si="137"/>
        <v>0</v>
      </c>
      <c r="K1044" s="105" t="e">
        <f t="shared" ca="1" si="134"/>
        <v>#N/A</v>
      </c>
      <c r="L1044" s="75"/>
    </row>
    <row r="1045" spans="2:12">
      <c r="B1045" s="101">
        <f t="shared" ca="1" si="135"/>
        <v>84069</v>
      </c>
      <c r="C1045" s="101">
        <f t="shared" ca="1" si="136"/>
        <v>84099</v>
      </c>
      <c r="D1045" s="102">
        <f t="shared" ca="1" si="131"/>
        <v>152.74469541409994</v>
      </c>
      <c r="E1045" s="103">
        <f t="shared" ca="1" si="130"/>
        <v>0.27897878390172576</v>
      </c>
      <c r="F1045" s="104" t="e">
        <f ca="1">IF($C$4="Hombre",(+VLOOKUP(INT(D1045)+1,Tablas!$G$9:$K$1240,5,0)*(D1045-INT(D1045))+VLOOKUP(INT(D1045),Tablas!$G$9:$K$1240,5,0)*(INT(D1045)+1-D1045))/(VLOOKUP(INT($C$5)+1,Tablas!$G$9:$K$1240,5,0)*($C$5-INT($C$5))+VLOOKUP(INT($C$5),Tablas!$G$9:$K$124,5,0)*(INT($C$5)+1-$C$5)),(+VLOOKUP(INT(D1045)+1,Tablas!$G$9:$O$1240,9,0)*(D1045-INT(D1045))+VLOOKUP(INT(D1045),Tablas!$G$9:$O$1240,9,0)*(INT(D1045)+1-D1045))/(VLOOKUP(INT($C$5)+1,Tablas!$G$9:$O$1240,9,0)*($C$5-INT($C$5))+VLOOKUP(INT($C$5),Tablas!$G$9:$O$124,9,0)*(INT($C$5)+1-$C$5)))</f>
        <v>#N/A</v>
      </c>
      <c r="G1045" s="97" t="e">
        <f ca="1">IF($C$4="Hombre",(+VLOOKUP(INT(D1045)+1,Tablas!$G$9:$K$1240,5,0)*(D1045-INT(D1045))+VLOOKUP(INT(D1045),Tablas!$G$9:$K$1240,5,0)*(INT(D1045)+1-D1045)),+VLOOKUP(INT(D1045)+1,Tablas!$G$9:$O$1240,9,0)*(D1045-INT(D1045))+VLOOKUP(INT(D1045),Tablas!$G$9:$O$1240,9,0)*(INT(D1045)+1-D1045))</f>
        <v>#N/A</v>
      </c>
      <c r="H1045" s="105">
        <f t="shared" ca="1" si="132"/>
        <v>1</v>
      </c>
      <c r="I1045" s="106">
        <f t="shared" ca="1" si="133"/>
        <v>0</v>
      </c>
      <c r="J1045" s="106">
        <f t="shared" ca="1" si="137"/>
        <v>0</v>
      </c>
      <c r="K1045" s="105" t="e">
        <f t="shared" ca="1" si="134"/>
        <v>#N/A</v>
      </c>
      <c r="L1045" s="75"/>
    </row>
    <row r="1046" spans="2:12">
      <c r="B1046" s="101">
        <f t="shared" ca="1" si="135"/>
        <v>84100</v>
      </c>
      <c r="C1046" s="101">
        <f t="shared" ca="1" si="136"/>
        <v>84129</v>
      </c>
      <c r="D1046" s="102">
        <f t="shared" ca="1" si="131"/>
        <v>152.82683093771391</v>
      </c>
      <c r="E1046" s="103">
        <f t="shared" ca="1" si="130"/>
        <v>0.27863783372902085</v>
      </c>
      <c r="F1046" s="104" t="e">
        <f ca="1">IF($C$4="Hombre",(+VLOOKUP(INT(D1046)+1,Tablas!$G$9:$K$1240,5,0)*(D1046-INT(D1046))+VLOOKUP(INT(D1046),Tablas!$G$9:$K$1240,5,0)*(INT(D1046)+1-D1046))/(VLOOKUP(INT($C$5)+1,Tablas!$G$9:$K$1240,5,0)*($C$5-INT($C$5))+VLOOKUP(INT($C$5),Tablas!$G$9:$K$124,5,0)*(INT($C$5)+1-$C$5)),(+VLOOKUP(INT(D1046)+1,Tablas!$G$9:$O$1240,9,0)*(D1046-INT(D1046))+VLOOKUP(INT(D1046),Tablas!$G$9:$O$1240,9,0)*(INT(D1046)+1-D1046))/(VLOOKUP(INT($C$5)+1,Tablas!$G$9:$O$1240,9,0)*($C$5-INT($C$5))+VLOOKUP(INT($C$5),Tablas!$G$9:$O$124,9,0)*(INT($C$5)+1-$C$5)))</f>
        <v>#N/A</v>
      </c>
      <c r="G1046" s="97" t="e">
        <f ca="1">IF($C$4="Hombre",(+VLOOKUP(INT(D1046)+1,Tablas!$G$9:$K$1240,5,0)*(D1046-INT(D1046))+VLOOKUP(INT(D1046),Tablas!$G$9:$K$1240,5,0)*(INT(D1046)+1-D1046)),+VLOOKUP(INT(D1046)+1,Tablas!$G$9:$O$1240,9,0)*(D1046-INT(D1046))+VLOOKUP(INT(D1046),Tablas!$G$9:$O$1240,9,0)*(INT(D1046)+1-D1046))</f>
        <v>#N/A</v>
      </c>
      <c r="H1046" s="105">
        <f t="shared" ca="1" si="132"/>
        <v>1</v>
      </c>
      <c r="I1046" s="106">
        <f t="shared" ca="1" si="133"/>
        <v>0</v>
      </c>
      <c r="J1046" s="106">
        <f t="shared" ca="1" si="137"/>
        <v>0</v>
      </c>
      <c r="K1046" s="105" t="e">
        <f t="shared" ca="1" si="134"/>
        <v>#N/A</v>
      </c>
      <c r="L1046" s="75"/>
    </row>
    <row r="1047" spans="2:12">
      <c r="B1047" s="101">
        <f t="shared" ca="1" si="135"/>
        <v>84130</v>
      </c>
      <c r="C1047" s="101">
        <f t="shared" ca="1" si="136"/>
        <v>84160</v>
      </c>
      <c r="D1047" s="102">
        <f t="shared" ca="1" si="131"/>
        <v>152.91170431211498</v>
      </c>
      <c r="E1047" s="103">
        <f t="shared" ca="1" si="130"/>
        <v>0.27828595629816288</v>
      </c>
      <c r="F1047" s="104" t="e">
        <f ca="1">IF($C$4="Hombre",(+VLOOKUP(INT(D1047)+1,Tablas!$G$9:$K$1240,5,0)*(D1047-INT(D1047))+VLOOKUP(INT(D1047),Tablas!$G$9:$K$1240,5,0)*(INT(D1047)+1-D1047))/(VLOOKUP(INT($C$5)+1,Tablas!$G$9:$K$1240,5,0)*($C$5-INT($C$5))+VLOOKUP(INT($C$5),Tablas!$G$9:$K$124,5,0)*(INT($C$5)+1-$C$5)),(+VLOOKUP(INT(D1047)+1,Tablas!$G$9:$O$1240,9,0)*(D1047-INT(D1047))+VLOOKUP(INT(D1047),Tablas!$G$9:$O$1240,9,0)*(INT(D1047)+1-D1047))/(VLOOKUP(INT($C$5)+1,Tablas!$G$9:$O$1240,9,0)*($C$5-INT($C$5))+VLOOKUP(INT($C$5),Tablas!$G$9:$O$124,9,0)*(INT($C$5)+1-$C$5)))</f>
        <v>#N/A</v>
      </c>
      <c r="G1047" s="97" t="e">
        <f ca="1">IF($C$4="Hombre",(+VLOOKUP(INT(D1047)+1,Tablas!$G$9:$K$1240,5,0)*(D1047-INT(D1047))+VLOOKUP(INT(D1047),Tablas!$G$9:$K$1240,5,0)*(INT(D1047)+1-D1047)),+VLOOKUP(INT(D1047)+1,Tablas!$G$9:$O$1240,9,0)*(D1047-INT(D1047))+VLOOKUP(INT(D1047),Tablas!$G$9:$O$1240,9,0)*(INT(D1047)+1-D1047))</f>
        <v>#N/A</v>
      </c>
      <c r="H1047" s="105">
        <f t="shared" ca="1" si="132"/>
        <v>1</v>
      </c>
      <c r="I1047" s="106">
        <f t="shared" ca="1" si="133"/>
        <v>0</v>
      </c>
      <c r="J1047" s="106">
        <f t="shared" ca="1" si="137"/>
        <v>0</v>
      </c>
      <c r="K1047" s="105" t="e">
        <f t="shared" ca="1" si="134"/>
        <v>#N/A</v>
      </c>
      <c r="L1047" s="75"/>
    </row>
    <row r="1048" spans="2:12">
      <c r="B1048" s="101">
        <f t="shared" ca="1" si="135"/>
        <v>84161</v>
      </c>
      <c r="C1048" s="101">
        <f t="shared" ca="1" si="136"/>
        <v>84190</v>
      </c>
      <c r="D1048" s="102">
        <f t="shared" ca="1" si="131"/>
        <v>152.99383983572895</v>
      </c>
      <c r="E1048" s="103">
        <f t="shared" ref="E1048:E1111" ca="1" si="138">IF($D$17+40&lt;=D1048,(1+$D$7)^-(D1048-$C$5),(1+$C$7)^-(D1048-$C$5))</f>
        <v>0.27794585285540557</v>
      </c>
      <c r="F1048" s="104" t="e">
        <f ca="1">IF($C$4="Hombre",(+VLOOKUP(INT(D1048)+1,Tablas!$G$9:$K$1240,5,0)*(D1048-INT(D1048))+VLOOKUP(INT(D1048),Tablas!$G$9:$K$1240,5,0)*(INT(D1048)+1-D1048))/(VLOOKUP(INT($C$5)+1,Tablas!$G$9:$K$1240,5,0)*($C$5-INT($C$5))+VLOOKUP(INT($C$5),Tablas!$G$9:$K$124,5,0)*(INT($C$5)+1-$C$5)),(+VLOOKUP(INT(D1048)+1,Tablas!$G$9:$O$1240,9,0)*(D1048-INT(D1048))+VLOOKUP(INT(D1048),Tablas!$G$9:$O$1240,9,0)*(INT(D1048)+1-D1048))/(VLOOKUP(INT($C$5)+1,Tablas!$G$9:$O$1240,9,0)*($C$5-INT($C$5))+VLOOKUP(INT($C$5),Tablas!$G$9:$O$124,9,0)*(INT($C$5)+1-$C$5)))</f>
        <v>#N/A</v>
      </c>
      <c r="G1048" s="97" t="e">
        <f ca="1">IF($C$4="Hombre",(+VLOOKUP(INT(D1048)+1,Tablas!$G$9:$K$1240,5,0)*(D1048-INT(D1048))+VLOOKUP(INT(D1048),Tablas!$G$9:$K$1240,5,0)*(INT(D1048)+1-D1048)),+VLOOKUP(INT(D1048)+1,Tablas!$G$9:$O$1240,9,0)*(D1048-INT(D1048))+VLOOKUP(INT(D1048),Tablas!$G$9:$O$1240,9,0)*(INT(D1048)+1-D1048))</f>
        <v>#N/A</v>
      </c>
      <c r="H1048" s="105">
        <f t="shared" ca="1" si="132"/>
        <v>1</v>
      </c>
      <c r="I1048" s="106">
        <f t="shared" ca="1" si="133"/>
        <v>0</v>
      </c>
      <c r="J1048" s="106">
        <f t="shared" ca="1" si="137"/>
        <v>0</v>
      </c>
      <c r="K1048" s="105" t="e">
        <f t="shared" ca="1" si="134"/>
        <v>#N/A</v>
      </c>
      <c r="L1048" s="75"/>
    </row>
    <row r="1049" spans="2:12">
      <c r="B1049" s="101">
        <f t="shared" ca="1" si="135"/>
        <v>84191</v>
      </c>
      <c r="C1049" s="101">
        <f t="shared" ca="1" si="136"/>
        <v>84221</v>
      </c>
      <c r="D1049" s="102">
        <f t="shared" ca="1" si="131"/>
        <v>153.07871321013005</v>
      </c>
      <c r="E1049" s="103">
        <f t="shared" ca="1" si="138"/>
        <v>0.27759484929170591</v>
      </c>
      <c r="F1049" s="104" t="e">
        <f ca="1">IF($C$4="Hombre",(+VLOOKUP(INT(D1049)+1,Tablas!$G$9:$K$1240,5,0)*(D1049-INT(D1049))+VLOOKUP(INT(D1049),Tablas!$G$9:$K$1240,5,0)*(INT(D1049)+1-D1049))/(VLOOKUP(INT($C$5)+1,Tablas!$G$9:$K$1240,5,0)*($C$5-INT($C$5))+VLOOKUP(INT($C$5),Tablas!$G$9:$K$124,5,0)*(INT($C$5)+1-$C$5)),(+VLOOKUP(INT(D1049)+1,Tablas!$G$9:$O$1240,9,0)*(D1049-INT(D1049))+VLOOKUP(INT(D1049),Tablas!$G$9:$O$1240,9,0)*(INT(D1049)+1-D1049))/(VLOOKUP(INT($C$5)+1,Tablas!$G$9:$O$1240,9,0)*($C$5-INT($C$5))+VLOOKUP(INT($C$5),Tablas!$G$9:$O$124,9,0)*(INT($C$5)+1-$C$5)))</f>
        <v>#N/A</v>
      </c>
      <c r="G1049" s="97" t="e">
        <f ca="1">IF($C$4="Hombre",(+VLOOKUP(INT(D1049)+1,Tablas!$G$9:$K$1240,5,0)*(D1049-INT(D1049))+VLOOKUP(INT(D1049),Tablas!$G$9:$K$1240,5,0)*(INT(D1049)+1-D1049)),+VLOOKUP(INT(D1049)+1,Tablas!$G$9:$O$1240,9,0)*(D1049-INT(D1049))+VLOOKUP(INT(D1049),Tablas!$G$9:$O$1240,9,0)*(INT(D1049)+1-D1049))</f>
        <v>#N/A</v>
      </c>
      <c r="H1049" s="105">
        <f t="shared" ca="1" si="132"/>
        <v>1</v>
      </c>
      <c r="I1049" s="106">
        <f t="shared" ca="1" si="133"/>
        <v>0</v>
      </c>
      <c r="J1049" s="106">
        <f t="shared" ca="1" si="137"/>
        <v>0</v>
      </c>
      <c r="K1049" s="105" t="e">
        <f t="shared" ca="1" si="134"/>
        <v>#N/A</v>
      </c>
      <c r="L1049" s="75"/>
    </row>
    <row r="1050" spans="2:12">
      <c r="B1050" s="101">
        <f t="shared" ca="1" si="135"/>
        <v>84222</v>
      </c>
      <c r="C1050" s="101">
        <f t="shared" ca="1" si="136"/>
        <v>84252</v>
      </c>
      <c r="D1050" s="102">
        <f t="shared" ca="1" si="131"/>
        <v>153.16358658453115</v>
      </c>
      <c r="E1050" s="103">
        <f t="shared" ca="1" si="138"/>
        <v>0.27724428899240644</v>
      </c>
      <c r="F1050" s="104" t="e">
        <f ca="1">IF($C$4="Hombre",(+VLOOKUP(INT(D1050)+1,Tablas!$G$9:$K$1240,5,0)*(D1050-INT(D1050))+VLOOKUP(INT(D1050),Tablas!$G$9:$K$1240,5,0)*(INT(D1050)+1-D1050))/(VLOOKUP(INT($C$5)+1,Tablas!$G$9:$K$1240,5,0)*($C$5-INT($C$5))+VLOOKUP(INT($C$5),Tablas!$G$9:$K$124,5,0)*(INT($C$5)+1-$C$5)),(+VLOOKUP(INT(D1050)+1,Tablas!$G$9:$O$1240,9,0)*(D1050-INT(D1050))+VLOOKUP(INT(D1050),Tablas!$G$9:$O$1240,9,0)*(INT(D1050)+1-D1050))/(VLOOKUP(INT($C$5)+1,Tablas!$G$9:$O$1240,9,0)*($C$5-INT($C$5))+VLOOKUP(INT($C$5),Tablas!$G$9:$O$124,9,0)*(INT($C$5)+1-$C$5)))</f>
        <v>#N/A</v>
      </c>
      <c r="G1050" s="97" t="e">
        <f ca="1">IF($C$4="Hombre",(+VLOOKUP(INT(D1050)+1,Tablas!$G$9:$K$1240,5,0)*(D1050-INT(D1050))+VLOOKUP(INT(D1050),Tablas!$G$9:$K$1240,5,0)*(INT(D1050)+1-D1050)),+VLOOKUP(INT(D1050)+1,Tablas!$G$9:$O$1240,9,0)*(D1050-INT(D1050))+VLOOKUP(INT(D1050),Tablas!$G$9:$O$1240,9,0)*(INT(D1050)+1-D1050))</f>
        <v>#N/A</v>
      </c>
      <c r="H1050" s="105">
        <f t="shared" ca="1" si="132"/>
        <v>1</v>
      </c>
      <c r="I1050" s="106">
        <f t="shared" ca="1" si="133"/>
        <v>0</v>
      </c>
      <c r="J1050" s="106">
        <f t="shared" ca="1" si="137"/>
        <v>0</v>
      </c>
      <c r="K1050" s="105" t="e">
        <f t="shared" ca="1" si="134"/>
        <v>#N/A</v>
      </c>
      <c r="L1050" s="75"/>
    </row>
    <row r="1051" spans="2:12">
      <c r="B1051" s="101">
        <f t="shared" ca="1" si="135"/>
        <v>84253</v>
      </c>
      <c r="C1051" s="101">
        <f t="shared" ca="1" si="136"/>
        <v>84282</v>
      </c>
      <c r="D1051" s="102">
        <f t="shared" ca="1" si="131"/>
        <v>153.24572210814512</v>
      </c>
      <c r="E1051" s="103">
        <f t="shared" ca="1" si="138"/>
        <v>0.27690545860935223</v>
      </c>
      <c r="F1051" s="104" t="e">
        <f ca="1">IF($C$4="Hombre",(+VLOOKUP(INT(D1051)+1,Tablas!$G$9:$K$1240,5,0)*(D1051-INT(D1051))+VLOOKUP(INT(D1051),Tablas!$G$9:$K$1240,5,0)*(INT(D1051)+1-D1051))/(VLOOKUP(INT($C$5)+1,Tablas!$G$9:$K$1240,5,0)*($C$5-INT($C$5))+VLOOKUP(INT($C$5),Tablas!$G$9:$K$124,5,0)*(INT($C$5)+1-$C$5)),(+VLOOKUP(INT(D1051)+1,Tablas!$G$9:$O$1240,9,0)*(D1051-INT(D1051))+VLOOKUP(INT(D1051),Tablas!$G$9:$O$1240,9,0)*(INT(D1051)+1-D1051))/(VLOOKUP(INT($C$5)+1,Tablas!$G$9:$O$1240,9,0)*($C$5-INT($C$5))+VLOOKUP(INT($C$5),Tablas!$G$9:$O$124,9,0)*(INT($C$5)+1-$C$5)))</f>
        <v>#N/A</v>
      </c>
      <c r="G1051" s="97" t="e">
        <f ca="1">IF($C$4="Hombre",(+VLOOKUP(INT(D1051)+1,Tablas!$G$9:$K$1240,5,0)*(D1051-INT(D1051))+VLOOKUP(INT(D1051),Tablas!$G$9:$K$1240,5,0)*(INT(D1051)+1-D1051)),+VLOOKUP(INT(D1051)+1,Tablas!$G$9:$O$1240,9,0)*(D1051-INT(D1051))+VLOOKUP(INT(D1051),Tablas!$G$9:$O$1240,9,0)*(INT(D1051)+1-D1051))</f>
        <v>#N/A</v>
      </c>
      <c r="H1051" s="105">
        <f t="shared" ca="1" si="132"/>
        <v>1</v>
      </c>
      <c r="I1051" s="106">
        <f t="shared" ca="1" si="133"/>
        <v>0</v>
      </c>
      <c r="J1051" s="106">
        <f t="shared" ca="1" si="137"/>
        <v>0</v>
      </c>
      <c r="K1051" s="105" t="e">
        <f t="shared" ca="1" si="134"/>
        <v>#N/A</v>
      </c>
      <c r="L1051" s="75"/>
    </row>
    <row r="1052" spans="2:12">
      <c r="B1052" s="101">
        <f t="shared" ca="1" si="135"/>
        <v>84283</v>
      </c>
      <c r="C1052" s="101">
        <f t="shared" ca="1" si="136"/>
        <v>84313</v>
      </c>
      <c r="D1052" s="102">
        <f t="shared" ca="1" si="131"/>
        <v>153.33059548254622</v>
      </c>
      <c r="E1052" s="103">
        <f t="shared" ca="1" si="138"/>
        <v>0.27655576890619149</v>
      </c>
      <c r="F1052" s="104" t="e">
        <f ca="1">IF($C$4="Hombre",(+VLOOKUP(INT(D1052)+1,Tablas!$G$9:$K$1240,5,0)*(D1052-INT(D1052))+VLOOKUP(INT(D1052),Tablas!$G$9:$K$1240,5,0)*(INT(D1052)+1-D1052))/(VLOOKUP(INT($C$5)+1,Tablas!$G$9:$K$1240,5,0)*($C$5-INT($C$5))+VLOOKUP(INT($C$5),Tablas!$G$9:$K$124,5,0)*(INT($C$5)+1-$C$5)),(+VLOOKUP(INT(D1052)+1,Tablas!$G$9:$O$1240,9,0)*(D1052-INT(D1052))+VLOOKUP(INT(D1052),Tablas!$G$9:$O$1240,9,0)*(INT(D1052)+1-D1052))/(VLOOKUP(INT($C$5)+1,Tablas!$G$9:$O$1240,9,0)*($C$5-INT($C$5))+VLOOKUP(INT($C$5),Tablas!$G$9:$O$124,9,0)*(INT($C$5)+1-$C$5)))</f>
        <v>#N/A</v>
      </c>
      <c r="G1052" s="97" t="e">
        <f ca="1">IF($C$4="Hombre",(+VLOOKUP(INT(D1052)+1,Tablas!$G$9:$K$1240,5,0)*(D1052-INT(D1052))+VLOOKUP(INT(D1052),Tablas!$G$9:$K$1240,5,0)*(INT(D1052)+1-D1052)),+VLOOKUP(INT(D1052)+1,Tablas!$G$9:$O$1240,9,0)*(D1052-INT(D1052))+VLOOKUP(INT(D1052),Tablas!$G$9:$O$1240,9,0)*(INT(D1052)+1-D1052))</f>
        <v>#N/A</v>
      </c>
      <c r="H1052" s="105">
        <f t="shared" ca="1" si="132"/>
        <v>1</v>
      </c>
      <c r="I1052" s="106">
        <f t="shared" ca="1" si="133"/>
        <v>0</v>
      </c>
      <c r="J1052" s="106">
        <f t="shared" ca="1" si="137"/>
        <v>0</v>
      </c>
      <c r="K1052" s="105" t="e">
        <f t="shared" ca="1" si="134"/>
        <v>#N/A</v>
      </c>
      <c r="L1052" s="75"/>
    </row>
    <row r="1053" spans="2:12">
      <c r="B1053" s="101">
        <f t="shared" ca="1" si="135"/>
        <v>84314</v>
      </c>
      <c r="C1053" s="101">
        <f t="shared" ca="1" si="136"/>
        <v>84343</v>
      </c>
      <c r="D1053" s="102">
        <f t="shared" ca="1" si="131"/>
        <v>153.41273100616016</v>
      </c>
      <c r="E1053" s="103">
        <f t="shared" ca="1" si="138"/>
        <v>0.27621777998871061</v>
      </c>
      <c r="F1053" s="104" t="e">
        <f ca="1">IF($C$4="Hombre",(+VLOOKUP(INT(D1053)+1,Tablas!$G$9:$K$1240,5,0)*(D1053-INT(D1053))+VLOOKUP(INT(D1053),Tablas!$G$9:$K$1240,5,0)*(INT(D1053)+1-D1053))/(VLOOKUP(INT($C$5)+1,Tablas!$G$9:$K$1240,5,0)*($C$5-INT($C$5))+VLOOKUP(INT($C$5),Tablas!$G$9:$K$124,5,0)*(INT($C$5)+1-$C$5)),(+VLOOKUP(INT(D1053)+1,Tablas!$G$9:$O$1240,9,0)*(D1053-INT(D1053))+VLOOKUP(INT(D1053),Tablas!$G$9:$O$1240,9,0)*(INT(D1053)+1-D1053))/(VLOOKUP(INT($C$5)+1,Tablas!$G$9:$O$1240,9,0)*($C$5-INT($C$5))+VLOOKUP(INT($C$5),Tablas!$G$9:$O$124,9,0)*(INT($C$5)+1-$C$5)))</f>
        <v>#N/A</v>
      </c>
      <c r="G1053" s="97" t="e">
        <f ca="1">IF($C$4="Hombre",(+VLOOKUP(INT(D1053)+1,Tablas!$G$9:$K$1240,5,0)*(D1053-INT(D1053))+VLOOKUP(INT(D1053),Tablas!$G$9:$K$1240,5,0)*(INT(D1053)+1-D1053)),+VLOOKUP(INT(D1053)+1,Tablas!$G$9:$O$1240,9,0)*(D1053-INT(D1053))+VLOOKUP(INT(D1053),Tablas!$G$9:$O$1240,9,0)*(INT(D1053)+1-D1053))</f>
        <v>#N/A</v>
      </c>
      <c r="H1053" s="105">
        <f t="shared" ca="1" si="132"/>
        <v>1</v>
      </c>
      <c r="I1053" s="106">
        <f t="shared" ca="1" si="133"/>
        <v>0</v>
      </c>
      <c r="J1053" s="106">
        <f t="shared" ca="1" si="137"/>
        <v>0</v>
      </c>
      <c r="K1053" s="105" t="e">
        <f t="shared" ca="1" si="134"/>
        <v>#N/A</v>
      </c>
      <c r="L1053" s="75"/>
    </row>
    <row r="1054" spans="2:12">
      <c r="B1054" s="101">
        <f t="shared" ca="1" si="135"/>
        <v>84344</v>
      </c>
      <c r="C1054" s="101">
        <f t="shared" ca="1" si="136"/>
        <v>84374</v>
      </c>
      <c r="D1054" s="102">
        <f t="shared" ca="1" si="131"/>
        <v>153.49760438056126</v>
      </c>
      <c r="E1054" s="103">
        <f t="shared" ca="1" si="138"/>
        <v>0.2758689587196137</v>
      </c>
      <c r="F1054" s="104" t="e">
        <f ca="1">IF($C$4="Hombre",(+VLOOKUP(INT(D1054)+1,Tablas!$G$9:$K$1240,5,0)*(D1054-INT(D1054))+VLOOKUP(INT(D1054),Tablas!$G$9:$K$1240,5,0)*(INT(D1054)+1-D1054))/(VLOOKUP(INT($C$5)+1,Tablas!$G$9:$K$1240,5,0)*($C$5-INT($C$5))+VLOOKUP(INT($C$5),Tablas!$G$9:$K$124,5,0)*(INT($C$5)+1-$C$5)),(+VLOOKUP(INT(D1054)+1,Tablas!$G$9:$O$1240,9,0)*(D1054-INT(D1054))+VLOOKUP(INT(D1054),Tablas!$G$9:$O$1240,9,0)*(INT(D1054)+1-D1054))/(VLOOKUP(INT($C$5)+1,Tablas!$G$9:$O$1240,9,0)*($C$5-INT($C$5))+VLOOKUP(INT($C$5),Tablas!$G$9:$O$124,9,0)*(INT($C$5)+1-$C$5)))</f>
        <v>#N/A</v>
      </c>
      <c r="G1054" s="97" t="e">
        <f ca="1">IF($C$4="Hombre",(+VLOOKUP(INT(D1054)+1,Tablas!$G$9:$K$1240,5,0)*(D1054-INT(D1054))+VLOOKUP(INT(D1054),Tablas!$G$9:$K$1240,5,0)*(INT(D1054)+1-D1054)),+VLOOKUP(INT(D1054)+1,Tablas!$G$9:$O$1240,9,0)*(D1054-INT(D1054))+VLOOKUP(INT(D1054),Tablas!$G$9:$O$1240,9,0)*(INT(D1054)+1-D1054))</f>
        <v>#N/A</v>
      </c>
      <c r="H1054" s="105">
        <f t="shared" ca="1" si="132"/>
        <v>1</v>
      </c>
      <c r="I1054" s="106">
        <f t="shared" ca="1" si="133"/>
        <v>0</v>
      </c>
      <c r="J1054" s="106">
        <f t="shared" ca="1" si="137"/>
        <v>0</v>
      </c>
      <c r="K1054" s="105" t="e">
        <f t="shared" ca="1" si="134"/>
        <v>#N/A</v>
      </c>
      <c r="L1054" s="75"/>
    </row>
    <row r="1055" spans="2:12">
      <c r="B1055" s="101">
        <f t="shared" ca="1" si="135"/>
        <v>84375</v>
      </c>
      <c r="C1055" s="101">
        <f t="shared" ca="1" si="136"/>
        <v>84405</v>
      </c>
      <c r="D1055" s="102">
        <f t="shared" ca="1" si="131"/>
        <v>153.58247775496235</v>
      </c>
      <c r="E1055" s="103">
        <f t="shared" ca="1" si="138"/>
        <v>0.27552057795900903</v>
      </c>
      <c r="F1055" s="104" t="e">
        <f ca="1">IF($C$4="Hombre",(+VLOOKUP(INT(D1055)+1,Tablas!$G$9:$K$1240,5,0)*(D1055-INT(D1055))+VLOOKUP(INT(D1055),Tablas!$G$9:$K$1240,5,0)*(INT(D1055)+1-D1055))/(VLOOKUP(INT($C$5)+1,Tablas!$G$9:$K$1240,5,0)*($C$5-INT($C$5))+VLOOKUP(INT($C$5),Tablas!$G$9:$K$124,5,0)*(INT($C$5)+1-$C$5)),(+VLOOKUP(INT(D1055)+1,Tablas!$G$9:$O$1240,9,0)*(D1055-INT(D1055))+VLOOKUP(INT(D1055),Tablas!$G$9:$O$1240,9,0)*(INT(D1055)+1-D1055))/(VLOOKUP(INT($C$5)+1,Tablas!$G$9:$O$1240,9,0)*($C$5-INT($C$5))+VLOOKUP(INT($C$5),Tablas!$G$9:$O$124,9,0)*(INT($C$5)+1-$C$5)))</f>
        <v>#N/A</v>
      </c>
      <c r="G1055" s="97" t="e">
        <f ca="1">IF($C$4="Hombre",(+VLOOKUP(INT(D1055)+1,Tablas!$G$9:$K$1240,5,0)*(D1055-INT(D1055))+VLOOKUP(INT(D1055),Tablas!$G$9:$K$1240,5,0)*(INT(D1055)+1-D1055)),+VLOOKUP(INT(D1055)+1,Tablas!$G$9:$O$1240,9,0)*(D1055-INT(D1055))+VLOOKUP(INT(D1055),Tablas!$G$9:$O$1240,9,0)*(INT(D1055)+1-D1055))</f>
        <v>#N/A</v>
      </c>
      <c r="H1055" s="105">
        <f t="shared" ca="1" si="132"/>
        <v>1</v>
      </c>
      <c r="I1055" s="106">
        <f t="shared" ca="1" si="133"/>
        <v>0</v>
      </c>
      <c r="J1055" s="106">
        <f t="shared" ca="1" si="137"/>
        <v>0</v>
      </c>
      <c r="K1055" s="105" t="e">
        <f t="shared" ca="1" si="134"/>
        <v>#N/A</v>
      </c>
      <c r="L1055" s="75"/>
    </row>
    <row r="1056" spans="2:12">
      <c r="B1056" s="101">
        <f t="shared" ca="1" si="135"/>
        <v>84406</v>
      </c>
      <c r="C1056" s="101">
        <f t="shared" ca="1" si="136"/>
        <v>84433</v>
      </c>
      <c r="D1056" s="102">
        <f t="shared" ca="1" si="131"/>
        <v>153.65913757700204</v>
      </c>
      <c r="E1056" s="103">
        <f t="shared" ca="1" si="138"/>
        <v>0.27520628962926763</v>
      </c>
      <c r="F1056" s="104" t="e">
        <f ca="1">IF($C$4="Hombre",(+VLOOKUP(INT(D1056)+1,Tablas!$G$9:$K$1240,5,0)*(D1056-INT(D1056))+VLOOKUP(INT(D1056),Tablas!$G$9:$K$1240,5,0)*(INT(D1056)+1-D1056))/(VLOOKUP(INT($C$5)+1,Tablas!$G$9:$K$1240,5,0)*($C$5-INT($C$5))+VLOOKUP(INT($C$5),Tablas!$G$9:$K$124,5,0)*(INT($C$5)+1-$C$5)),(+VLOOKUP(INT(D1056)+1,Tablas!$G$9:$O$1240,9,0)*(D1056-INT(D1056))+VLOOKUP(INT(D1056),Tablas!$G$9:$O$1240,9,0)*(INT(D1056)+1-D1056))/(VLOOKUP(INT($C$5)+1,Tablas!$G$9:$O$1240,9,0)*($C$5-INT($C$5))+VLOOKUP(INT($C$5),Tablas!$G$9:$O$124,9,0)*(INT($C$5)+1-$C$5)))</f>
        <v>#N/A</v>
      </c>
      <c r="G1056" s="97" t="e">
        <f ca="1">IF($C$4="Hombre",(+VLOOKUP(INT(D1056)+1,Tablas!$G$9:$K$1240,5,0)*(D1056-INT(D1056))+VLOOKUP(INT(D1056),Tablas!$G$9:$K$1240,5,0)*(INT(D1056)+1-D1056)),+VLOOKUP(INT(D1056)+1,Tablas!$G$9:$O$1240,9,0)*(D1056-INT(D1056))+VLOOKUP(INT(D1056),Tablas!$G$9:$O$1240,9,0)*(INT(D1056)+1-D1056))</f>
        <v>#N/A</v>
      </c>
      <c r="H1056" s="105">
        <f t="shared" ca="1" si="132"/>
        <v>1</v>
      </c>
      <c r="I1056" s="106">
        <f t="shared" ca="1" si="133"/>
        <v>0</v>
      </c>
      <c r="J1056" s="106">
        <f t="shared" ca="1" si="137"/>
        <v>0</v>
      </c>
      <c r="K1056" s="105" t="e">
        <f t="shared" ca="1" si="134"/>
        <v>#N/A</v>
      </c>
      <c r="L1056" s="75"/>
    </row>
    <row r="1057" spans="2:12">
      <c r="B1057" s="101">
        <f t="shared" ca="1" si="135"/>
        <v>84434</v>
      </c>
      <c r="C1057" s="101">
        <f t="shared" ca="1" si="136"/>
        <v>84464</v>
      </c>
      <c r="D1057" s="102">
        <f t="shared" ca="1" si="131"/>
        <v>153.74401095140314</v>
      </c>
      <c r="E1057" s="103">
        <f t="shared" ca="1" si="138"/>
        <v>0.27485874571947355</v>
      </c>
      <c r="F1057" s="104" t="e">
        <f ca="1">IF($C$4="Hombre",(+VLOOKUP(INT(D1057)+1,Tablas!$G$9:$K$1240,5,0)*(D1057-INT(D1057))+VLOOKUP(INT(D1057),Tablas!$G$9:$K$1240,5,0)*(INT(D1057)+1-D1057))/(VLOOKUP(INT($C$5)+1,Tablas!$G$9:$K$1240,5,0)*($C$5-INT($C$5))+VLOOKUP(INT($C$5),Tablas!$G$9:$K$124,5,0)*(INT($C$5)+1-$C$5)),(+VLOOKUP(INT(D1057)+1,Tablas!$G$9:$O$1240,9,0)*(D1057-INT(D1057))+VLOOKUP(INT(D1057),Tablas!$G$9:$O$1240,9,0)*(INT(D1057)+1-D1057))/(VLOOKUP(INT($C$5)+1,Tablas!$G$9:$O$1240,9,0)*($C$5-INT($C$5))+VLOOKUP(INT($C$5),Tablas!$G$9:$O$124,9,0)*(INT($C$5)+1-$C$5)))</f>
        <v>#N/A</v>
      </c>
      <c r="G1057" s="97" t="e">
        <f ca="1">IF($C$4="Hombre",(+VLOOKUP(INT(D1057)+1,Tablas!$G$9:$K$1240,5,0)*(D1057-INT(D1057))+VLOOKUP(INT(D1057),Tablas!$G$9:$K$1240,5,0)*(INT(D1057)+1-D1057)),+VLOOKUP(INT(D1057)+1,Tablas!$G$9:$O$1240,9,0)*(D1057-INT(D1057))+VLOOKUP(INT(D1057),Tablas!$G$9:$O$1240,9,0)*(INT(D1057)+1-D1057))</f>
        <v>#N/A</v>
      </c>
      <c r="H1057" s="105">
        <f t="shared" ca="1" si="132"/>
        <v>1</v>
      </c>
      <c r="I1057" s="106">
        <f t="shared" ca="1" si="133"/>
        <v>0</v>
      </c>
      <c r="J1057" s="106">
        <f t="shared" ca="1" si="137"/>
        <v>0</v>
      </c>
      <c r="K1057" s="105" t="e">
        <f t="shared" ca="1" si="134"/>
        <v>#N/A</v>
      </c>
      <c r="L1057" s="75"/>
    </row>
    <row r="1058" spans="2:12">
      <c r="B1058" s="101">
        <f t="shared" ca="1" si="135"/>
        <v>84465</v>
      </c>
      <c r="C1058" s="101">
        <f t="shared" ca="1" si="136"/>
        <v>84494</v>
      </c>
      <c r="D1058" s="102">
        <f t="shared" ca="1" si="131"/>
        <v>153.82614647501711</v>
      </c>
      <c r="E1058" s="103">
        <f t="shared" ca="1" si="138"/>
        <v>0.27452283079608097</v>
      </c>
      <c r="F1058" s="104" t="e">
        <f ca="1">IF($C$4="Hombre",(+VLOOKUP(INT(D1058)+1,Tablas!$G$9:$K$1240,5,0)*(D1058-INT(D1058))+VLOOKUP(INT(D1058),Tablas!$G$9:$K$1240,5,0)*(INT(D1058)+1-D1058))/(VLOOKUP(INT($C$5)+1,Tablas!$G$9:$K$1240,5,0)*($C$5-INT($C$5))+VLOOKUP(INT($C$5),Tablas!$G$9:$K$124,5,0)*(INT($C$5)+1-$C$5)),(+VLOOKUP(INT(D1058)+1,Tablas!$G$9:$O$1240,9,0)*(D1058-INT(D1058))+VLOOKUP(INT(D1058),Tablas!$G$9:$O$1240,9,0)*(INT(D1058)+1-D1058))/(VLOOKUP(INT($C$5)+1,Tablas!$G$9:$O$1240,9,0)*($C$5-INT($C$5))+VLOOKUP(INT($C$5),Tablas!$G$9:$O$124,9,0)*(INT($C$5)+1-$C$5)))</f>
        <v>#N/A</v>
      </c>
      <c r="G1058" s="97" t="e">
        <f ca="1">IF($C$4="Hombre",(+VLOOKUP(INT(D1058)+1,Tablas!$G$9:$K$1240,5,0)*(D1058-INT(D1058))+VLOOKUP(INT(D1058),Tablas!$G$9:$K$1240,5,0)*(INT(D1058)+1-D1058)),+VLOOKUP(INT(D1058)+1,Tablas!$G$9:$O$1240,9,0)*(D1058-INT(D1058))+VLOOKUP(INT(D1058),Tablas!$G$9:$O$1240,9,0)*(INT(D1058)+1-D1058))</f>
        <v>#N/A</v>
      </c>
      <c r="H1058" s="105">
        <f t="shared" ca="1" si="132"/>
        <v>1</v>
      </c>
      <c r="I1058" s="106">
        <f t="shared" ca="1" si="133"/>
        <v>0</v>
      </c>
      <c r="J1058" s="106">
        <f t="shared" ca="1" si="137"/>
        <v>0</v>
      </c>
      <c r="K1058" s="105" t="e">
        <f t="shared" ca="1" si="134"/>
        <v>#N/A</v>
      </c>
      <c r="L1058" s="75"/>
    </row>
    <row r="1059" spans="2:12">
      <c r="B1059" s="101">
        <f t="shared" ca="1" si="135"/>
        <v>84495</v>
      </c>
      <c r="C1059" s="101">
        <f t="shared" ca="1" si="136"/>
        <v>84525</v>
      </c>
      <c r="D1059" s="102">
        <f t="shared" ca="1" si="131"/>
        <v>153.91101984941821</v>
      </c>
      <c r="E1059" s="103">
        <f t="shared" ca="1" si="138"/>
        <v>0.2741761499913975</v>
      </c>
      <c r="F1059" s="104" t="e">
        <f ca="1">IF($C$4="Hombre",(+VLOOKUP(INT(D1059)+1,Tablas!$G$9:$K$1240,5,0)*(D1059-INT(D1059))+VLOOKUP(INT(D1059),Tablas!$G$9:$K$1240,5,0)*(INT(D1059)+1-D1059))/(VLOOKUP(INT($C$5)+1,Tablas!$G$9:$K$1240,5,0)*($C$5-INT($C$5))+VLOOKUP(INT($C$5),Tablas!$G$9:$K$124,5,0)*(INT($C$5)+1-$C$5)),(+VLOOKUP(INT(D1059)+1,Tablas!$G$9:$O$1240,9,0)*(D1059-INT(D1059))+VLOOKUP(INT(D1059),Tablas!$G$9:$O$1240,9,0)*(INT(D1059)+1-D1059))/(VLOOKUP(INT($C$5)+1,Tablas!$G$9:$O$1240,9,0)*($C$5-INT($C$5))+VLOOKUP(INT($C$5),Tablas!$G$9:$O$124,9,0)*(INT($C$5)+1-$C$5)))</f>
        <v>#N/A</v>
      </c>
      <c r="G1059" s="97" t="e">
        <f ca="1">IF($C$4="Hombre",(+VLOOKUP(INT(D1059)+1,Tablas!$G$9:$K$1240,5,0)*(D1059-INT(D1059))+VLOOKUP(INT(D1059),Tablas!$G$9:$K$1240,5,0)*(INT(D1059)+1-D1059)),+VLOOKUP(INT(D1059)+1,Tablas!$G$9:$O$1240,9,0)*(D1059-INT(D1059))+VLOOKUP(INT(D1059),Tablas!$G$9:$O$1240,9,0)*(INT(D1059)+1-D1059))</f>
        <v>#N/A</v>
      </c>
      <c r="H1059" s="105">
        <f t="shared" ca="1" si="132"/>
        <v>1</v>
      </c>
      <c r="I1059" s="106">
        <f t="shared" ca="1" si="133"/>
        <v>0</v>
      </c>
      <c r="J1059" s="106">
        <f t="shared" ca="1" si="137"/>
        <v>0</v>
      </c>
      <c r="K1059" s="105" t="e">
        <f t="shared" ca="1" si="134"/>
        <v>#N/A</v>
      </c>
      <c r="L1059" s="75"/>
    </row>
    <row r="1060" spans="2:12">
      <c r="B1060" s="101">
        <f t="shared" ca="1" si="135"/>
        <v>84526</v>
      </c>
      <c r="C1060" s="101">
        <f t="shared" ca="1" si="136"/>
        <v>84555</v>
      </c>
      <c r="D1060" s="102">
        <f t="shared" ca="1" si="131"/>
        <v>153.99315537303218</v>
      </c>
      <c r="E1060" s="103">
        <f t="shared" ca="1" si="138"/>
        <v>0.2738410692932034</v>
      </c>
      <c r="F1060" s="104" t="e">
        <f ca="1">IF($C$4="Hombre",(+VLOOKUP(INT(D1060)+1,Tablas!$G$9:$K$1240,5,0)*(D1060-INT(D1060))+VLOOKUP(INT(D1060),Tablas!$G$9:$K$1240,5,0)*(INT(D1060)+1-D1060))/(VLOOKUP(INT($C$5)+1,Tablas!$G$9:$K$1240,5,0)*($C$5-INT($C$5))+VLOOKUP(INT($C$5),Tablas!$G$9:$K$124,5,0)*(INT($C$5)+1-$C$5)),(+VLOOKUP(INT(D1060)+1,Tablas!$G$9:$O$1240,9,0)*(D1060-INT(D1060))+VLOOKUP(INT(D1060),Tablas!$G$9:$O$1240,9,0)*(INT(D1060)+1-D1060))/(VLOOKUP(INT($C$5)+1,Tablas!$G$9:$O$1240,9,0)*($C$5-INT($C$5))+VLOOKUP(INT($C$5),Tablas!$G$9:$O$124,9,0)*(INT($C$5)+1-$C$5)))</f>
        <v>#N/A</v>
      </c>
      <c r="G1060" s="97" t="e">
        <f ca="1">IF($C$4="Hombre",(+VLOOKUP(INT(D1060)+1,Tablas!$G$9:$K$1240,5,0)*(D1060-INT(D1060))+VLOOKUP(INT(D1060),Tablas!$G$9:$K$1240,5,0)*(INT(D1060)+1-D1060)),+VLOOKUP(INT(D1060)+1,Tablas!$G$9:$O$1240,9,0)*(D1060-INT(D1060))+VLOOKUP(INT(D1060),Tablas!$G$9:$O$1240,9,0)*(INT(D1060)+1-D1060))</f>
        <v>#N/A</v>
      </c>
      <c r="H1060" s="105">
        <f t="shared" ca="1" si="132"/>
        <v>1</v>
      </c>
      <c r="I1060" s="106">
        <f t="shared" ca="1" si="133"/>
        <v>0</v>
      </c>
      <c r="J1060" s="106">
        <f t="shared" ca="1" si="137"/>
        <v>0</v>
      </c>
      <c r="K1060" s="105" t="e">
        <f t="shared" ca="1" si="134"/>
        <v>#N/A</v>
      </c>
      <c r="L1060" s="75"/>
    </row>
    <row r="1061" spans="2:12">
      <c r="B1061" s="101">
        <f t="shared" ca="1" si="135"/>
        <v>84556</v>
      </c>
      <c r="C1061" s="101">
        <f t="shared" ca="1" si="136"/>
        <v>84586</v>
      </c>
      <c r="D1061" s="102">
        <f t="shared" ca="1" si="131"/>
        <v>154.07802874743325</v>
      </c>
      <c r="E1061" s="103">
        <f t="shared" ca="1" si="138"/>
        <v>0.27349524945015929</v>
      </c>
      <c r="F1061" s="104" t="e">
        <f ca="1">IF($C$4="Hombre",(+VLOOKUP(INT(D1061)+1,Tablas!$G$9:$K$1240,5,0)*(D1061-INT(D1061))+VLOOKUP(INT(D1061),Tablas!$G$9:$K$1240,5,0)*(INT(D1061)+1-D1061))/(VLOOKUP(INT($C$5)+1,Tablas!$G$9:$K$1240,5,0)*($C$5-INT($C$5))+VLOOKUP(INT($C$5),Tablas!$G$9:$K$124,5,0)*(INT($C$5)+1-$C$5)),(+VLOOKUP(INT(D1061)+1,Tablas!$G$9:$O$1240,9,0)*(D1061-INT(D1061))+VLOOKUP(INT(D1061),Tablas!$G$9:$O$1240,9,0)*(INT(D1061)+1-D1061))/(VLOOKUP(INT($C$5)+1,Tablas!$G$9:$O$1240,9,0)*($C$5-INT($C$5))+VLOOKUP(INT($C$5),Tablas!$G$9:$O$124,9,0)*(INT($C$5)+1-$C$5)))</f>
        <v>#N/A</v>
      </c>
      <c r="G1061" s="97" t="e">
        <f ca="1">IF($C$4="Hombre",(+VLOOKUP(INT(D1061)+1,Tablas!$G$9:$K$1240,5,0)*(D1061-INT(D1061))+VLOOKUP(INT(D1061),Tablas!$G$9:$K$1240,5,0)*(INT(D1061)+1-D1061)),+VLOOKUP(INT(D1061)+1,Tablas!$G$9:$O$1240,9,0)*(D1061-INT(D1061))+VLOOKUP(INT(D1061),Tablas!$G$9:$O$1240,9,0)*(INT(D1061)+1-D1061))</f>
        <v>#N/A</v>
      </c>
      <c r="H1061" s="105">
        <f t="shared" ca="1" si="132"/>
        <v>1</v>
      </c>
      <c r="I1061" s="106">
        <f t="shared" ca="1" si="133"/>
        <v>0</v>
      </c>
      <c r="J1061" s="106">
        <f t="shared" ca="1" si="137"/>
        <v>0</v>
      </c>
      <c r="K1061" s="105" t="e">
        <f t="shared" ca="1" si="134"/>
        <v>#N/A</v>
      </c>
      <c r="L1061" s="75"/>
    </row>
    <row r="1062" spans="2:12">
      <c r="B1062" s="101">
        <f t="shared" ca="1" si="135"/>
        <v>84587</v>
      </c>
      <c r="C1062" s="101">
        <f t="shared" ca="1" si="136"/>
        <v>84617</v>
      </c>
      <c r="D1062" s="102">
        <f t="shared" ca="1" si="131"/>
        <v>154.16290212183435</v>
      </c>
      <c r="E1062" s="103">
        <f t="shared" ca="1" si="138"/>
        <v>0.27314986632526034</v>
      </c>
      <c r="F1062" s="104" t="e">
        <f ca="1">IF($C$4="Hombre",(+VLOOKUP(INT(D1062)+1,Tablas!$G$9:$K$1240,5,0)*(D1062-INT(D1062))+VLOOKUP(INT(D1062),Tablas!$G$9:$K$1240,5,0)*(INT(D1062)+1-D1062))/(VLOOKUP(INT($C$5)+1,Tablas!$G$9:$K$1240,5,0)*($C$5-INT($C$5))+VLOOKUP(INT($C$5),Tablas!$G$9:$K$124,5,0)*(INT($C$5)+1-$C$5)),(+VLOOKUP(INT(D1062)+1,Tablas!$G$9:$O$1240,9,0)*(D1062-INT(D1062))+VLOOKUP(INT(D1062),Tablas!$G$9:$O$1240,9,0)*(INT(D1062)+1-D1062))/(VLOOKUP(INT($C$5)+1,Tablas!$G$9:$O$1240,9,0)*($C$5-INT($C$5))+VLOOKUP(INT($C$5),Tablas!$G$9:$O$124,9,0)*(INT($C$5)+1-$C$5)))</f>
        <v>#N/A</v>
      </c>
      <c r="G1062" s="97" t="e">
        <f ca="1">IF($C$4="Hombre",(+VLOOKUP(INT(D1062)+1,Tablas!$G$9:$K$1240,5,0)*(D1062-INT(D1062))+VLOOKUP(INT(D1062),Tablas!$G$9:$K$1240,5,0)*(INT(D1062)+1-D1062)),+VLOOKUP(INT(D1062)+1,Tablas!$G$9:$O$1240,9,0)*(D1062-INT(D1062))+VLOOKUP(INT(D1062),Tablas!$G$9:$O$1240,9,0)*(INT(D1062)+1-D1062))</f>
        <v>#N/A</v>
      </c>
      <c r="H1062" s="105">
        <f t="shared" ca="1" si="132"/>
        <v>1</v>
      </c>
      <c r="I1062" s="106">
        <f t="shared" ca="1" si="133"/>
        <v>0</v>
      </c>
      <c r="J1062" s="106">
        <f t="shared" ca="1" si="137"/>
        <v>0</v>
      </c>
      <c r="K1062" s="105" t="e">
        <f t="shared" ca="1" si="134"/>
        <v>#N/A</v>
      </c>
      <c r="L1062" s="75"/>
    </row>
    <row r="1063" spans="2:12">
      <c r="B1063" s="101">
        <f t="shared" ca="1" si="135"/>
        <v>84618</v>
      </c>
      <c r="C1063" s="101">
        <f t="shared" ca="1" si="136"/>
        <v>84647</v>
      </c>
      <c r="D1063" s="102">
        <f t="shared" ca="1" si="131"/>
        <v>154.24503764544832</v>
      </c>
      <c r="E1063" s="103">
        <f t="shared" ca="1" si="138"/>
        <v>0.27281603988586078</v>
      </c>
      <c r="F1063" s="104" t="e">
        <f ca="1">IF($C$4="Hombre",(+VLOOKUP(INT(D1063)+1,Tablas!$G$9:$K$1240,5,0)*(D1063-INT(D1063))+VLOOKUP(INT(D1063),Tablas!$G$9:$K$1240,5,0)*(INT(D1063)+1-D1063))/(VLOOKUP(INT($C$5)+1,Tablas!$G$9:$K$1240,5,0)*($C$5-INT($C$5))+VLOOKUP(INT($C$5),Tablas!$G$9:$K$124,5,0)*(INT($C$5)+1-$C$5)),(+VLOOKUP(INT(D1063)+1,Tablas!$G$9:$O$1240,9,0)*(D1063-INT(D1063))+VLOOKUP(INT(D1063),Tablas!$G$9:$O$1240,9,0)*(INT(D1063)+1-D1063))/(VLOOKUP(INT($C$5)+1,Tablas!$G$9:$O$1240,9,0)*($C$5-INT($C$5))+VLOOKUP(INT($C$5),Tablas!$G$9:$O$124,9,0)*(INT($C$5)+1-$C$5)))</f>
        <v>#N/A</v>
      </c>
      <c r="G1063" s="97" t="e">
        <f ca="1">IF($C$4="Hombre",(+VLOOKUP(INT(D1063)+1,Tablas!$G$9:$K$1240,5,0)*(D1063-INT(D1063))+VLOOKUP(INT(D1063),Tablas!$G$9:$K$1240,5,0)*(INT(D1063)+1-D1063)),+VLOOKUP(INT(D1063)+1,Tablas!$G$9:$O$1240,9,0)*(D1063-INT(D1063))+VLOOKUP(INT(D1063),Tablas!$G$9:$O$1240,9,0)*(INT(D1063)+1-D1063))</f>
        <v>#N/A</v>
      </c>
      <c r="H1063" s="105">
        <f t="shared" ca="1" si="132"/>
        <v>1</v>
      </c>
      <c r="I1063" s="106">
        <f t="shared" ca="1" si="133"/>
        <v>0</v>
      </c>
      <c r="J1063" s="106">
        <f t="shared" ca="1" si="137"/>
        <v>0</v>
      </c>
      <c r="K1063" s="105" t="e">
        <f t="shared" ca="1" si="134"/>
        <v>#N/A</v>
      </c>
      <c r="L1063" s="75"/>
    </row>
    <row r="1064" spans="2:12">
      <c r="B1064" s="101">
        <f t="shared" ca="1" si="135"/>
        <v>84648</v>
      </c>
      <c r="C1064" s="101">
        <f t="shared" ca="1" si="136"/>
        <v>84678</v>
      </c>
      <c r="D1064" s="102">
        <f t="shared" ca="1" si="131"/>
        <v>154.32991101984942</v>
      </c>
      <c r="E1064" s="103">
        <f t="shared" ca="1" si="138"/>
        <v>0.27247151449988866</v>
      </c>
      <c r="F1064" s="104" t="e">
        <f ca="1">IF($C$4="Hombre",(+VLOOKUP(INT(D1064)+1,Tablas!$G$9:$K$1240,5,0)*(D1064-INT(D1064))+VLOOKUP(INT(D1064),Tablas!$G$9:$K$1240,5,0)*(INT(D1064)+1-D1064))/(VLOOKUP(INT($C$5)+1,Tablas!$G$9:$K$1240,5,0)*($C$5-INT($C$5))+VLOOKUP(INT($C$5),Tablas!$G$9:$K$124,5,0)*(INT($C$5)+1-$C$5)),(+VLOOKUP(INT(D1064)+1,Tablas!$G$9:$O$1240,9,0)*(D1064-INT(D1064))+VLOOKUP(INT(D1064),Tablas!$G$9:$O$1240,9,0)*(INT(D1064)+1-D1064))/(VLOOKUP(INT($C$5)+1,Tablas!$G$9:$O$1240,9,0)*($C$5-INT($C$5))+VLOOKUP(INT($C$5),Tablas!$G$9:$O$124,9,0)*(INT($C$5)+1-$C$5)))</f>
        <v>#N/A</v>
      </c>
      <c r="G1064" s="97" t="e">
        <f ca="1">IF($C$4="Hombre",(+VLOOKUP(INT(D1064)+1,Tablas!$G$9:$K$1240,5,0)*(D1064-INT(D1064))+VLOOKUP(INT(D1064),Tablas!$G$9:$K$1240,5,0)*(INT(D1064)+1-D1064)),+VLOOKUP(INT(D1064)+1,Tablas!$G$9:$O$1240,9,0)*(D1064-INT(D1064))+VLOOKUP(INT(D1064),Tablas!$G$9:$O$1240,9,0)*(INT(D1064)+1-D1064))</f>
        <v>#N/A</v>
      </c>
      <c r="H1064" s="105">
        <f t="shared" ca="1" si="132"/>
        <v>1</v>
      </c>
      <c r="I1064" s="106">
        <f t="shared" ca="1" si="133"/>
        <v>0</v>
      </c>
      <c r="J1064" s="106">
        <f t="shared" ca="1" si="137"/>
        <v>0</v>
      </c>
      <c r="K1064" s="105" t="e">
        <f t="shared" ca="1" si="134"/>
        <v>#N/A</v>
      </c>
      <c r="L1064" s="75"/>
    </row>
    <row r="1065" spans="2:12">
      <c r="B1065" s="101">
        <f t="shared" ca="1" si="135"/>
        <v>84679</v>
      </c>
      <c r="C1065" s="101">
        <f t="shared" ca="1" si="136"/>
        <v>84708</v>
      </c>
      <c r="D1065" s="102">
        <f t="shared" ca="1" si="131"/>
        <v>154.41204654346339</v>
      </c>
      <c r="E1065" s="103">
        <f t="shared" ca="1" si="138"/>
        <v>0.27213851709905895</v>
      </c>
      <c r="F1065" s="104" t="e">
        <f ca="1">IF($C$4="Hombre",(+VLOOKUP(INT(D1065)+1,Tablas!$G$9:$K$1240,5,0)*(D1065-INT(D1065))+VLOOKUP(INT(D1065),Tablas!$G$9:$K$1240,5,0)*(INT(D1065)+1-D1065))/(VLOOKUP(INT($C$5)+1,Tablas!$G$9:$K$1240,5,0)*($C$5-INT($C$5))+VLOOKUP(INT($C$5),Tablas!$G$9:$K$124,5,0)*(INT($C$5)+1-$C$5)),(+VLOOKUP(INT(D1065)+1,Tablas!$G$9:$O$1240,9,0)*(D1065-INT(D1065))+VLOOKUP(INT(D1065),Tablas!$G$9:$O$1240,9,0)*(INT(D1065)+1-D1065))/(VLOOKUP(INT($C$5)+1,Tablas!$G$9:$O$1240,9,0)*($C$5-INT($C$5))+VLOOKUP(INT($C$5),Tablas!$G$9:$O$124,9,0)*(INT($C$5)+1-$C$5)))</f>
        <v>#N/A</v>
      </c>
      <c r="G1065" s="97" t="e">
        <f ca="1">IF($C$4="Hombre",(+VLOOKUP(INT(D1065)+1,Tablas!$G$9:$K$1240,5,0)*(D1065-INT(D1065))+VLOOKUP(INT(D1065),Tablas!$G$9:$K$1240,5,0)*(INT(D1065)+1-D1065)),+VLOOKUP(INT(D1065)+1,Tablas!$G$9:$O$1240,9,0)*(D1065-INT(D1065))+VLOOKUP(INT(D1065),Tablas!$G$9:$O$1240,9,0)*(INT(D1065)+1-D1065))</f>
        <v>#N/A</v>
      </c>
      <c r="H1065" s="105">
        <f t="shared" ca="1" si="132"/>
        <v>1</v>
      </c>
      <c r="I1065" s="106">
        <f t="shared" ca="1" si="133"/>
        <v>0</v>
      </c>
      <c r="J1065" s="106">
        <f t="shared" ca="1" si="137"/>
        <v>0</v>
      </c>
      <c r="K1065" s="105" t="e">
        <f t="shared" ca="1" si="134"/>
        <v>#N/A</v>
      </c>
      <c r="L1065" s="75"/>
    </row>
    <row r="1066" spans="2:12">
      <c r="B1066" s="101">
        <f t="shared" ca="1" si="135"/>
        <v>84709</v>
      </c>
      <c r="C1066" s="101">
        <f t="shared" ca="1" si="136"/>
        <v>84739</v>
      </c>
      <c r="D1066" s="102">
        <f t="shared" ca="1" si="131"/>
        <v>154.49691991786449</v>
      </c>
      <c r="E1066" s="103">
        <f t="shared" ca="1" si="138"/>
        <v>0.27179484732186898</v>
      </c>
      <c r="F1066" s="104" t="e">
        <f ca="1">IF($C$4="Hombre",(+VLOOKUP(INT(D1066)+1,Tablas!$G$9:$K$1240,5,0)*(D1066-INT(D1066))+VLOOKUP(INT(D1066),Tablas!$G$9:$K$1240,5,0)*(INT(D1066)+1-D1066))/(VLOOKUP(INT($C$5)+1,Tablas!$G$9:$K$1240,5,0)*($C$5-INT($C$5))+VLOOKUP(INT($C$5),Tablas!$G$9:$K$124,5,0)*(INT($C$5)+1-$C$5)),(+VLOOKUP(INT(D1066)+1,Tablas!$G$9:$O$1240,9,0)*(D1066-INT(D1066))+VLOOKUP(INT(D1066),Tablas!$G$9:$O$1240,9,0)*(INT(D1066)+1-D1066))/(VLOOKUP(INT($C$5)+1,Tablas!$G$9:$O$1240,9,0)*($C$5-INT($C$5))+VLOOKUP(INT($C$5),Tablas!$G$9:$O$124,9,0)*(INT($C$5)+1-$C$5)))</f>
        <v>#N/A</v>
      </c>
      <c r="G1066" s="97" t="e">
        <f ca="1">IF($C$4="Hombre",(+VLOOKUP(INT(D1066)+1,Tablas!$G$9:$K$1240,5,0)*(D1066-INT(D1066))+VLOOKUP(INT(D1066),Tablas!$G$9:$K$1240,5,0)*(INT(D1066)+1-D1066)),+VLOOKUP(INT(D1066)+1,Tablas!$G$9:$O$1240,9,0)*(D1066-INT(D1066))+VLOOKUP(INT(D1066),Tablas!$G$9:$O$1240,9,0)*(INT(D1066)+1-D1066))</f>
        <v>#N/A</v>
      </c>
      <c r="H1066" s="105">
        <f t="shared" ca="1" si="132"/>
        <v>1</v>
      </c>
      <c r="I1066" s="106">
        <f t="shared" ca="1" si="133"/>
        <v>0</v>
      </c>
      <c r="J1066" s="106">
        <f t="shared" ca="1" si="137"/>
        <v>0</v>
      </c>
      <c r="K1066" s="105" t="e">
        <f t="shared" ca="1" si="134"/>
        <v>#N/A</v>
      </c>
      <c r="L1066" s="75"/>
    </row>
    <row r="1067" spans="2:12">
      <c r="B1067" s="101">
        <f t="shared" ca="1" si="135"/>
        <v>84740</v>
      </c>
      <c r="C1067" s="101">
        <f t="shared" ca="1" si="136"/>
        <v>84770</v>
      </c>
      <c r="D1067" s="102">
        <f t="shared" ca="1" si="131"/>
        <v>154.58179329226556</v>
      </c>
      <c r="E1067" s="103">
        <f t="shared" ca="1" si="138"/>
        <v>0.27145161154761627</v>
      </c>
      <c r="F1067" s="104" t="e">
        <f ca="1">IF($C$4="Hombre",(+VLOOKUP(INT(D1067)+1,Tablas!$G$9:$K$1240,5,0)*(D1067-INT(D1067))+VLOOKUP(INT(D1067),Tablas!$G$9:$K$1240,5,0)*(INT(D1067)+1-D1067))/(VLOOKUP(INT($C$5)+1,Tablas!$G$9:$K$1240,5,0)*($C$5-INT($C$5))+VLOOKUP(INT($C$5),Tablas!$G$9:$K$124,5,0)*(INT($C$5)+1-$C$5)),(+VLOOKUP(INT(D1067)+1,Tablas!$G$9:$O$1240,9,0)*(D1067-INT(D1067))+VLOOKUP(INT(D1067),Tablas!$G$9:$O$1240,9,0)*(INT(D1067)+1-D1067))/(VLOOKUP(INT($C$5)+1,Tablas!$G$9:$O$1240,9,0)*($C$5-INT($C$5))+VLOOKUP(INT($C$5),Tablas!$G$9:$O$124,9,0)*(INT($C$5)+1-$C$5)))</f>
        <v>#N/A</v>
      </c>
      <c r="G1067" s="97" t="e">
        <f ca="1">IF($C$4="Hombre",(+VLOOKUP(INT(D1067)+1,Tablas!$G$9:$K$1240,5,0)*(D1067-INT(D1067))+VLOOKUP(INT(D1067),Tablas!$G$9:$K$1240,5,0)*(INT(D1067)+1-D1067)),+VLOOKUP(INT(D1067)+1,Tablas!$G$9:$O$1240,9,0)*(D1067-INT(D1067))+VLOOKUP(INT(D1067),Tablas!$G$9:$O$1240,9,0)*(INT(D1067)+1-D1067))</f>
        <v>#N/A</v>
      </c>
      <c r="H1067" s="105">
        <f t="shared" ca="1" si="132"/>
        <v>1</v>
      </c>
      <c r="I1067" s="106">
        <f t="shared" ca="1" si="133"/>
        <v>0</v>
      </c>
      <c r="J1067" s="106">
        <f t="shared" ca="1" si="137"/>
        <v>0</v>
      </c>
      <c r="K1067" s="105" t="e">
        <f t="shared" ca="1" si="134"/>
        <v>#N/A</v>
      </c>
      <c r="L1067" s="75"/>
    </row>
    <row r="1068" spans="2:12">
      <c r="B1068" s="101">
        <f t="shared" ca="1" si="135"/>
        <v>84771</v>
      </c>
      <c r="C1068" s="101">
        <f t="shared" ca="1" si="136"/>
        <v>84799</v>
      </c>
      <c r="D1068" s="102">
        <f t="shared" ca="1" si="131"/>
        <v>154.6611909650924</v>
      </c>
      <c r="E1068" s="103">
        <f t="shared" ca="1" si="138"/>
        <v>0.27113091243722853</v>
      </c>
      <c r="F1068" s="104" t="e">
        <f ca="1">IF($C$4="Hombre",(+VLOOKUP(INT(D1068)+1,Tablas!$G$9:$K$1240,5,0)*(D1068-INT(D1068))+VLOOKUP(INT(D1068),Tablas!$G$9:$K$1240,5,0)*(INT(D1068)+1-D1068))/(VLOOKUP(INT($C$5)+1,Tablas!$G$9:$K$1240,5,0)*($C$5-INT($C$5))+VLOOKUP(INT($C$5),Tablas!$G$9:$K$124,5,0)*(INT($C$5)+1-$C$5)),(+VLOOKUP(INT(D1068)+1,Tablas!$G$9:$O$1240,9,0)*(D1068-INT(D1068))+VLOOKUP(INT(D1068),Tablas!$G$9:$O$1240,9,0)*(INT(D1068)+1-D1068))/(VLOOKUP(INT($C$5)+1,Tablas!$G$9:$O$1240,9,0)*($C$5-INT($C$5))+VLOOKUP(INT($C$5),Tablas!$G$9:$O$124,9,0)*(INT($C$5)+1-$C$5)))</f>
        <v>#N/A</v>
      </c>
      <c r="G1068" s="97" t="e">
        <f ca="1">IF($C$4="Hombre",(+VLOOKUP(INT(D1068)+1,Tablas!$G$9:$K$1240,5,0)*(D1068-INT(D1068))+VLOOKUP(INT(D1068),Tablas!$G$9:$K$1240,5,0)*(INT(D1068)+1-D1068)),+VLOOKUP(INT(D1068)+1,Tablas!$G$9:$O$1240,9,0)*(D1068-INT(D1068))+VLOOKUP(INT(D1068),Tablas!$G$9:$O$1240,9,0)*(INT(D1068)+1-D1068))</f>
        <v>#N/A</v>
      </c>
      <c r="H1068" s="105">
        <f t="shared" ca="1" si="132"/>
        <v>1</v>
      </c>
      <c r="I1068" s="106">
        <f t="shared" ca="1" si="133"/>
        <v>0</v>
      </c>
      <c r="J1068" s="106">
        <f t="shared" ca="1" si="137"/>
        <v>0</v>
      </c>
      <c r="K1068" s="105" t="e">
        <f t="shared" ca="1" si="134"/>
        <v>#N/A</v>
      </c>
      <c r="L1068" s="75"/>
    </row>
    <row r="1069" spans="2:12">
      <c r="B1069" s="101">
        <f t="shared" ca="1" si="135"/>
        <v>84800</v>
      </c>
      <c r="C1069" s="101">
        <f t="shared" ca="1" si="136"/>
        <v>84830</v>
      </c>
      <c r="D1069" s="102">
        <f t="shared" ca="1" si="131"/>
        <v>154.7460643394935</v>
      </c>
      <c r="E1069" s="103">
        <f t="shared" ca="1" si="138"/>
        <v>0.27078851511229302</v>
      </c>
      <c r="F1069" s="104" t="e">
        <f ca="1">IF($C$4="Hombre",(+VLOOKUP(INT(D1069)+1,Tablas!$G$9:$K$1240,5,0)*(D1069-INT(D1069))+VLOOKUP(INT(D1069),Tablas!$G$9:$K$1240,5,0)*(INT(D1069)+1-D1069))/(VLOOKUP(INT($C$5)+1,Tablas!$G$9:$K$1240,5,0)*($C$5-INT($C$5))+VLOOKUP(INT($C$5),Tablas!$G$9:$K$124,5,0)*(INT($C$5)+1-$C$5)),(+VLOOKUP(INT(D1069)+1,Tablas!$G$9:$O$1240,9,0)*(D1069-INT(D1069))+VLOOKUP(INT(D1069),Tablas!$G$9:$O$1240,9,0)*(INT(D1069)+1-D1069))/(VLOOKUP(INT($C$5)+1,Tablas!$G$9:$O$1240,9,0)*($C$5-INT($C$5))+VLOOKUP(INT($C$5),Tablas!$G$9:$O$124,9,0)*(INT($C$5)+1-$C$5)))</f>
        <v>#N/A</v>
      </c>
      <c r="G1069" s="97" t="e">
        <f ca="1">IF($C$4="Hombre",(+VLOOKUP(INT(D1069)+1,Tablas!$G$9:$K$1240,5,0)*(D1069-INT(D1069))+VLOOKUP(INT(D1069),Tablas!$G$9:$K$1240,5,0)*(INT(D1069)+1-D1069)),+VLOOKUP(INT(D1069)+1,Tablas!$G$9:$O$1240,9,0)*(D1069-INT(D1069))+VLOOKUP(INT(D1069),Tablas!$G$9:$O$1240,9,0)*(INT(D1069)+1-D1069))</f>
        <v>#N/A</v>
      </c>
      <c r="H1069" s="105">
        <f t="shared" ca="1" si="132"/>
        <v>1</v>
      </c>
      <c r="I1069" s="106">
        <f t="shared" ca="1" si="133"/>
        <v>0</v>
      </c>
      <c r="J1069" s="106">
        <f t="shared" ca="1" si="137"/>
        <v>0</v>
      </c>
      <c r="K1069" s="105" t="e">
        <f t="shared" ca="1" si="134"/>
        <v>#N/A</v>
      </c>
      <c r="L1069" s="75"/>
    </row>
    <row r="1070" spans="2:12">
      <c r="B1070" s="101">
        <f t="shared" ca="1" si="135"/>
        <v>84831</v>
      </c>
      <c r="C1070" s="101">
        <f t="shared" ca="1" si="136"/>
        <v>84860</v>
      </c>
      <c r="D1070" s="102">
        <f t="shared" ca="1" si="131"/>
        <v>154.82819986310747</v>
      </c>
      <c r="E1070" s="103">
        <f t="shared" ca="1" si="138"/>
        <v>0.270457574566554</v>
      </c>
      <c r="F1070" s="104" t="e">
        <f ca="1">IF($C$4="Hombre",(+VLOOKUP(INT(D1070)+1,Tablas!$G$9:$K$1240,5,0)*(D1070-INT(D1070))+VLOOKUP(INT(D1070),Tablas!$G$9:$K$1240,5,0)*(INT(D1070)+1-D1070))/(VLOOKUP(INT($C$5)+1,Tablas!$G$9:$K$1240,5,0)*($C$5-INT($C$5))+VLOOKUP(INT($C$5),Tablas!$G$9:$K$124,5,0)*(INT($C$5)+1-$C$5)),(+VLOOKUP(INT(D1070)+1,Tablas!$G$9:$O$1240,9,0)*(D1070-INT(D1070))+VLOOKUP(INT(D1070),Tablas!$G$9:$O$1240,9,0)*(INT(D1070)+1-D1070))/(VLOOKUP(INT($C$5)+1,Tablas!$G$9:$O$1240,9,0)*($C$5-INT($C$5))+VLOOKUP(INT($C$5),Tablas!$G$9:$O$124,9,0)*(INT($C$5)+1-$C$5)))</f>
        <v>#N/A</v>
      </c>
      <c r="G1070" s="97" t="e">
        <f ca="1">IF($C$4="Hombre",(+VLOOKUP(INT(D1070)+1,Tablas!$G$9:$K$1240,5,0)*(D1070-INT(D1070))+VLOOKUP(INT(D1070),Tablas!$G$9:$K$1240,5,0)*(INT(D1070)+1-D1070)),+VLOOKUP(INT(D1070)+1,Tablas!$G$9:$O$1240,9,0)*(D1070-INT(D1070))+VLOOKUP(INT(D1070),Tablas!$G$9:$O$1240,9,0)*(INT(D1070)+1-D1070))</f>
        <v>#N/A</v>
      </c>
      <c r="H1070" s="105">
        <f t="shared" ca="1" si="132"/>
        <v>1</v>
      </c>
      <c r="I1070" s="106">
        <f t="shared" ca="1" si="133"/>
        <v>0</v>
      </c>
      <c r="J1070" s="106">
        <f t="shared" ca="1" si="137"/>
        <v>0</v>
      </c>
      <c r="K1070" s="105" t="e">
        <f t="shared" ca="1" si="134"/>
        <v>#N/A</v>
      </c>
      <c r="L1070" s="75"/>
    </row>
    <row r="1071" spans="2:12">
      <c r="B1071" s="101">
        <f t="shared" ca="1" si="135"/>
        <v>84861</v>
      </c>
      <c r="C1071" s="101">
        <f t="shared" ca="1" si="136"/>
        <v>84891</v>
      </c>
      <c r="D1071" s="102">
        <f t="shared" ca="1" si="131"/>
        <v>154.91307323750857</v>
      </c>
      <c r="E1071" s="103">
        <f t="shared" ca="1" si="138"/>
        <v>0.2701160275654847</v>
      </c>
      <c r="F1071" s="104" t="e">
        <f ca="1">IF($C$4="Hombre",(+VLOOKUP(INT(D1071)+1,Tablas!$G$9:$K$1240,5,0)*(D1071-INT(D1071))+VLOOKUP(INT(D1071),Tablas!$G$9:$K$1240,5,0)*(INT(D1071)+1-D1071))/(VLOOKUP(INT($C$5)+1,Tablas!$G$9:$K$1240,5,0)*($C$5-INT($C$5))+VLOOKUP(INT($C$5),Tablas!$G$9:$K$124,5,0)*(INT($C$5)+1-$C$5)),(+VLOOKUP(INT(D1071)+1,Tablas!$G$9:$O$1240,9,0)*(D1071-INT(D1071))+VLOOKUP(INT(D1071),Tablas!$G$9:$O$1240,9,0)*(INT(D1071)+1-D1071))/(VLOOKUP(INT($C$5)+1,Tablas!$G$9:$O$1240,9,0)*($C$5-INT($C$5))+VLOOKUP(INT($C$5),Tablas!$G$9:$O$124,9,0)*(INT($C$5)+1-$C$5)))</f>
        <v>#N/A</v>
      </c>
      <c r="G1071" s="97" t="e">
        <f ca="1">IF($C$4="Hombre",(+VLOOKUP(INT(D1071)+1,Tablas!$G$9:$K$1240,5,0)*(D1071-INT(D1071))+VLOOKUP(INT(D1071),Tablas!$G$9:$K$1240,5,0)*(INT(D1071)+1-D1071)),+VLOOKUP(INT(D1071)+1,Tablas!$G$9:$O$1240,9,0)*(D1071-INT(D1071))+VLOOKUP(INT(D1071),Tablas!$G$9:$O$1240,9,0)*(INT(D1071)+1-D1071))</f>
        <v>#N/A</v>
      </c>
      <c r="H1071" s="105">
        <f t="shared" ca="1" si="132"/>
        <v>1</v>
      </c>
      <c r="I1071" s="106">
        <f t="shared" ca="1" si="133"/>
        <v>0</v>
      </c>
      <c r="J1071" s="106">
        <f t="shared" ca="1" si="137"/>
        <v>0</v>
      </c>
      <c r="K1071" s="105" t="e">
        <f t="shared" ca="1" si="134"/>
        <v>#N/A</v>
      </c>
      <c r="L1071" s="75"/>
    </row>
    <row r="1072" spans="2:12">
      <c r="B1072" s="101">
        <f t="shared" ca="1" si="135"/>
        <v>84892</v>
      </c>
      <c r="C1072" s="101">
        <f t="shared" ca="1" si="136"/>
        <v>84921</v>
      </c>
      <c r="D1072" s="102">
        <f t="shared" ca="1" si="131"/>
        <v>154.99520876112251</v>
      </c>
      <c r="E1072" s="103">
        <f t="shared" ca="1" si="138"/>
        <v>0.26978590889136639</v>
      </c>
      <c r="F1072" s="104" t="e">
        <f ca="1">IF($C$4="Hombre",(+VLOOKUP(INT(D1072)+1,Tablas!$G$9:$K$1240,5,0)*(D1072-INT(D1072))+VLOOKUP(INT(D1072),Tablas!$G$9:$K$1240,5,0)*(INT(D1072)+1-D1072))/(VLOOKUP(INT($C$5)+1,Tablas!$G$9:$K$1240,5,0)*($C$5-INT($C$5))+VLOOKUP(INT($C$5),Tablas!$G$9:$K$124,5,0)*(INT($C$5)+1-$C$5)),(+VLOOKUP(INT(D1072)+1,Tablas!$G$9:$O$1240,9,0)*(D1072-INT(D1072))+VLOOKUP(INT(D1072),Tablas!$G$9:$O$1240,9,0)*(INT(D1072)+1-D1072))/(VLOOKUP(INT($C$5)+1,Tablas!$G$9:$O$1240,9,0)*($C$5-INT($C$5))+VLOOKUP(INT($C$5),Tablas!$G$9:$O$124,9,0)*(INT($C$5)+1-$C$5)))</f>
        <v>#N/A</v>
      </c>
      <c r="G1072" s="97" t="e">
        <f ca="1">IF($C$4="Hombre",(+VLOOKUP(INT(D1072)+1,Tablas!$G$9:$K$1240,5,0)*(D1072-INT(D1072))+VLOOKUP(INT(D1072),Tablas!$G$9:$K$1240,5,0)*(INT(D1072)+1-D1072)),+VLOOKUP(INT(D1072)+1,Tablas!$G$9:$O$1240,9,0)*(D1072-INT(D1072))+VLOOKUP(INT(D1072),Tablas!$G$9:$O$1240,9,0)*(INT(D1072)+1-D1072))</f>
        <v>#N/A</v>
      </c>
      <c r="H1072" s="105">
        <f t="shared" ca="1" si="132"/>
        <v>1</v>
      </c>
      <c r="I1072" s="106">
        <f t="shared" ca="1" si="133"/>
        <v>0</v>
      </c>
      <c r="J1072" s="106">
        <f t="shared" ca="1" si="137"/>
        <v>0</v>
      </c>
      <c r="K1072" s="105" t="e">
        <f t="shared" ca="1" si="134"/>
        <v>#N/A</v>
      </c>
      <c r="L1072" s="75"/>
    </row>
    <row r="1073" spans="2:12">
      <c r="B1073" s="101">
        <f t="shared" ca="1" si="135"/>
        <v>84922</v>
      </c>
      <c r="C1073" s="101">
        <f t="shared" ca="1" si="136"/>
        <v>84952</v>
      </c>
      <c r="D1073" s="102">
        <f t="shared" ca="1" si="131"/>
        <v>155.08008213552361</v>
      </c>
      <c r="E1073" s="103">
        <f t="shared" ca="1" si="138"/>
        <v>0.26944521010243322</v>
      </c>
      <c r="F1073" s="104" t="e">
        <f ca="1">IF($C$4="Hombre",(+VLOOKUP(INT(D1073)+1,Tablas!$G$9:$K$1240,5,0)*(D1073-INT(D1073))+VLOOKUP(INT(D1073),Tablas!$G$9:$K$1240,5,0)*(INT(D1073)+1-D1073))/(VLOOKUP(INT($C$5)+1,Tablas!$G$9:$K$1240,5,0)*($C$5-INT($C$5))+VLOOKUP(INT($C$5),Tablas!$G$9:$K$124,5,0)*(INT($C$5)+1-$C$5)),(+VLOOKUP(INT(D1073)+1,Tablas!$G$9:$O$1240,9,0)*(D1073-INT(D1073))+VLOOKUP(INT(D1073),Tablas!$G$9:$O$1240,9,0)*(INT(D1073)+1-D1073))/(VLOOKUP(INT($C$5)+1,Tablas!$G$9:$O$1240,9,0)*($C$5-INT($C$5))+VLOOKUP(INT($C$5),Tablas!$G$9:$O$124,9,0)*(INT($C$5)+1-$C$5)))</f>
        <v>#N/A</v>
      </c>
      <c r="G1073" s="97" t="e">
        <f ca="1">IF($C$4="Hombre",(+VLOOKUP(INT(D1073)+1,Tablas!$G$9:$K$1240,5,0)*(D1073-INT(D1073))+VLOOKUP(INT(D1073),Tablas!$G$9:$K$1240,5,0)*(INT(D1073)+1-D1073)),+VLOOKUP(INT(D1073)+1,Tablas!$G$9:$O$1240,9,0)*(D1073-INT(D1073))+VLOOKUP(INT(D1073),Tablas!$G$9:$O$1240,9,0)*(INT(D1073)+1-D1073))</f>
        <v>#N/A</v>
      </c>
      <c r="H1073" s="105">
        <f t="shared" ca="1" si="132"/>
        <v>1</v>
      </c>
      <c r="I1073" s="106">
        <f t="shared" ca="1" si="133"/>
        <v>0</v>
      </c>
      <c r="J1073" s="106">
        <f t="shared" ca="1" si="137"/>
        <v>0</v>
      </c>
      <c r="K1073" s="105" t="e">
        <f t="shared" ca="1" si="134"/>
        <v>#N/A</v>
      </c>
      <c r="L1073" s="75"/>
    </row>
    <row r="1074" spans="2:12">
      <c r="B1074" s="101">
        <f t="shared" ca="1" si="135"/>
        <v>84953</v>
      </c>
      <c r="C1074" s="101">
        <f t="shared" ca="1" si="136"/>
        <v>84983</v>
      </c>
      <c r="D1074" s="102">
        <f t="shared" ca="1" si="131"/>
        <v>155.16495550992471</v>
      </c>
      <c r="E1074" s="103">
        <f t="shared" ca="1" si="138"/>
        <v>0.26910494156452863</v>
      </c>
      <c r="F1074" s="104" t="e">
        <f ca="1">IF($C$4="Hombre",(+VLOOKUP(INT(D1074)+1,Tablas!$G$9:$K$1240,5,0)*(D1074-INT(D1074))+VLOOKUP(INT(D1074),Tablas!$G$9:$K$1240,5,0)*(INT(D1074)+1-D1074))/(VLOOKUP(INT($C$5)+1,Tablas!$G$9:$K$1240,5,0)*($C$5-INT($C$5))+VLOOKUP(INT($C$5),Tablas!$G$9:$K$124,5,0)*(INT($C$5)+1-$C$5)),(+VLOOKUP(INT(D1074)+1,Tablas!$G$9:$O$1240,9,0)*(D1074-INT(D1074))+VLOOKUP(INT(D1074),Tablas!$G$9:$O$1240,9,0)*(INT(D1074)+1-D1074))/(VLOOKUP(INT($C$5)+1,Tablas!$G$9:$O$1240,9,0)*($C$5-INT($C$5))+VLOOKUP(INT($C$5),Tablas!$G$9:$O$124,9,0)*(INT($C$5)+1-$C$5)))</f>
        <v>#N/A</v>
      </c>
      <c r="G1074" s="97" t="e">
        <f ca="1">IF($C$4="Hombre",(+VLOOKUP(INT(D1074)+1,Tablas!$G$9:$K$1240,5,0)*(D1074-INT(D1074))+VLOOKUP(INT(D1074),Tablas!$G$9:$K$1240,5,0)*(INT(D1074)+1-D1074)),+VLOOKUP(INT(D1074)+1,Tablas!$G$9:$O$1240,9,0)*(D1074-INT(D1074))+VLOOKUP(INT(D1074),Tablas!$G$9:$O$1240,9,0)*(INT(D1074)+1-D1074))</f>
        <v>#N/A</v>
      </c>
      <c r="H1074" s="105">
        <f t="shared" ca="1" si="132"/>
        <v>1</v>
      </c>
      <c r="I1074" s="106">
        <f t="shared" ca="1" si="133"/>
        <v>0</v>
      </c>
      <c r="J1074" s="106">
        <f t="shared" ca="1" si="137"/>
        <v>0</v>
      </c>
      <c r="K1074" s="105" t="e">
        <f t="shared" ca="1" si="134"/>
        <v>#N/A</v>
      </c>
      <c r="L1074" s="75"/>
    </row>
    <row r="1075" spans="2:12">
      <c r="B1075" s="101">
        <f t="shared" ca="1" si="135"/>
        <v>84984</v>
      </c>
      <c r="C1075" s="101">
        <f t="shared" ca="1" si="136"/>
        <v>85013</v>
      </c>
      <c r="D1075" s="102">
        <f t="shared" ca="1" si="131"/>
        <v>155.24709103353868</v>
      </c>
      <c r="E1075" s="103">
        <f t="shared" ca="1" si="138"/>
        <v>0.26877605857558245</v>
      </c>
      <c r="F1075" s="104" t="e">
        <f ca="1">IF($C$4="Hombre",(+VLOOKUP(INT(D1075)+1,Tablas!$G$9:$K$1240,5,0)*(D1075-INT(D1075))+VLOOKUP(INT(D1075),Tablas!$G$9:$K$1240,5,0)*(INT(D1075)+1-D1075))/(VLOOKUP(INT($C$5)+1,Tablas!$G$9:$K$1240,5,0)*($C$5-INT($C$5))+VLOOKUP(INT($C$5),Tablas!$G$9:$K$124,5,0)*(INT($C$5)+1-$C$5)),(+VLOOKUP(INT(D1075)+1,Tablas!$G$9:$O$1240,9,0)*(D1075-INT(D1075))+VLOOKUP(INT(D1075),Tablas!$G$9:$O$1240,9,0)*(INT(D1075)+1-D1075))/(VLOOKUP(INT($C$5)+1,Tablas!$G$9:$O$1240,9,0)*($C$5-INT($C$5))+VLOOKUP(INT($C$5),Tablas!$G$9:$O$124,9,0)*(INT($C$5)+1-$C$5)))</f>
        <v>#N/A</v>
      </c>
      <c r="G1075" s="97" t="e">
        <f ca="1">IF($C$4="Hombre",(+VLOOKUP(INT(D1075)+1,Tablas!$G$9:$K$1240,5,0)*(D1075-INT(D1075))+VLOOKUP(INT(D1075),Tablas!$G$9:$K$1240,5,0)*(INT(D1075)+1-D1075)),+VLOOKUP(INT(D1075)+1,Tablas!$G$9:$O$1240,9,0)*(D1075-INT(D1075))+VLOOKUP(INT(D1075),Tablas!$G$9:$O$1240,9,0)*(INT(D1075)+1-D1075))</f>
        <v>#N/A</v>
      </c>
      <c r="H1075" s="105">
        <f t="shared" ca="1" si="132"/>
        <v>1</v>
      </c>
      <c r="I1075" s="106">
        <f t="shared" ca="1" si="133"/>
        <v>0</v>
      </c>
      <c r="J1075" s="106">
        <f t="shared" ca="1" si="137"/>
        <v>0</v>
      </c>
      <c r="K1075" s="105" t="e">
        <f t="shared" ca="1" si="134"/>
        <v>#N/A</v>
      </c>
      <c r="L1075" s="75"/>
    </row>
    <row r="1076" spans="2:12">
      <c r="B1076" s="101">
        <f t="shared" ca="1" si="135"/>
        <v>85014</v>
      </c>
      <c r="C1076" s="101">
        <f t="shared" ca="1" si="136"/>
        <v>85044</v>
      </c>
      <c r="D1076" s="102">
        <f t="shared" ca="1" si="131"/>
        <v>155.33196440793978</v>
      </c>
      <c r="E1076" s="103">
        <f t="shared" ca="1" si="138"/>
        <v>0.26843663507482513</v>
      </c>
      <c r="F1076" s="104" t="e">
        <f ca="1">IF($C$4="Hombre",(+VLOOKUP(INT(D1076)+1,Tablas!$G$9:$K$1240,5,0)*(D1076-INT(D1076))+VLOOKUP(INT(D1076),Tablas!$G$9:$K$1240,5,0)*(INT(D1076)+1-D1076))/(VLOOKUP(INT($C$5)+1,Tablas!$G$9:$K$1240,5,0)*($C$5-INT($C$5))+VLOOKUP(INT($C$5),Tablas!$G$9:$K$124,5,0)*(INT($C$5)+1-$C$5)),(+VLOOKUP(INT(D1076)+1,Tablas!$G$9:$O$1240,9,0)*(D1076-INT(D1076))+VLOOKUP(INT(D1076),Tablas!$G$9:$O$1240,9,0)*(INT(D1076)+1-D1076))/(VLOOKUP(INT($C$5)+1,Tablas!$G$9:$O$1240,9,0)*($C$5-INT($C$5))+VLOOKUP(INT($C$5),Tablas!$G$9:$O$124,9,0)*(INT($C$5)+1-$C$5)))</f>
        <v>#N/A</v>
      </c>
      <c r="G1076" s="97" t="e">
        <f ca="1">IF($C$4="Hombre",(+VLOOKUP(INT(D1076)+1,Tablas!$G$9:$K$1240,5,0)*(D1076-INT(D1076))+VLOOKUP(INT(D1076),Tablas!$G$9:$K$1240,5,0)*(INT(D1076)+1-D1076)),+VLOOKUP(INT(D1076)+1,Tablas!$G$9:$O$1240,9,0)*(D1076-INT(D1076))+VLOOKUP(INT(D1076),Tablas!$G$9:$O$1240,9,0)*(INT(D1076)+1-D1076))</f>
        <v>#N/A</v>
      </c>
      <c r="H1076" s="105">
        <f t="shared" ca="1" si="132"/>
        <v>1</v>
      </c>
      <c r="I1076" s="106">
        <f t="shared" ca="1" si="133"/>
        <v>0</v>
      </c>
      <c r="J1076" s="106">
        <f t="shared" ca="1" si="137"/>
        <v>0</v>
      </c>
      <c r="K1076" s="105" t="e">
        <f t="shared" ca="1" si="134"/>
        <v>#N/A</v>
      </c>
      <c r="L1076" s="75"/>
    </row>
    <row r="1077" spans="2:12">
      <c r="B1077" s="101">
        <f t="shared" ca="1" si="135"/>
        <v>85045</v>
      </c>
      <c r="C1077" s="101">
        <f t="shared" ca="1" si="136"/>
        <v>85074</v>
      </c>
      <c r="D1077" s="102">
        <f t="shared" ca="1" si="131"/>
        <v>155.41409993155372</v>
      </c>
      <c r="E1077" s="103">
        <f t="shared" ca="1" si="138"/>
        <v>0.26810856884767686</v>
      </c>
      <c r="F1077" s="104" t="e">
        <f ca="1">IF($C$4="Hombre",(+VLOOKUP(INT(D1077)+1,Tablas!$G$9:$K$1240,5,0)*(D1077-INT(D1077))+VLOOKUP(INT(D1077),Tablas!$G$9:$K$1240,5,0)*(INT(D1077)+1-D1077))/(VLOOKUP(INT($C$5)+1,Tablas!$G$9:$K$1240,5,0)*($C$5-INT($C$5))+VLOOKUP(INT($C$5),Tablas!$G$9:$K$124,5,0)*(INT($C$5)+1-$C$5)),(+VLOOKUP(INT(D1077)+1,Tablas!$G$9:$O$1240,9,0)*(D1077-INT(D1077))+VLOOKUP(INT(D1077),Tablas!$G$9:$O$1240,9,0)*(INT(D1077)+1-D1077))/(VLOOKUP(INT($C$5)+1,Tablas!$G$9:$O$1240,9,0)*($C$5-INT($C$5))+VLOOKUP(INT($C$5),Tablas!$G$9:$O$124,9,0)*(INT($C$5)+1-$C$5)))</f>
        <v>#N/A</v>
      </c>
      <c r="G1077" s="97" t="e">
        <f ca="1">IF($C$4="Hombre",(+VLOOKUP(INT(D1077)+1,Tablas!$G$9:$K$1240,5,0)*(D1077-INT(D1077))+VLOOKUP(INT(D1077),Tablas!$G$9:$K$1240,5,0)*(INT(D1077)+1-D1077)),+VLOOKUP(INT(D1077)+1,Tablas!$G$9:$O$1240,9,0)*(D1077-INT(D1077))+VLOOKUP(INT(D1077),Tablas!$G$9:$O$1240,9,0)*(INT(D1077)+1-D1077))</f>
        <v>#N/A</v>
      </c>
      <c r="H1077" s="105">
        <f t="shared" ca="1" si="132"/>
        <v>1</v>
      </c>
      <c r="I1077" s="106">
        <f t="shared" ca="1" si="133"/>
        <v>0</v>
      </c>
      <c r="J1077" s="106">
        <f t="shared" ca="1" si="137"/>
        <v>0</v>
      </c>
      <c r="K1077" s="105" t="e">
        <f t="shared" ca="1" si="134"/>
        <v>#N/A</v>
      </c>
      <c r="L1077" s="75"/>
    </row>
    <row r="1078" spans="2:12">
      <c r="B1078" s="101">
        <f t="shared" ca="1" si="135"/>
        <v>85075</v>
      </c>
      <c r="C1078" s="101">
        <f t="shared" ca="1" si="136"/>
        <v>85105</v>
      </c>
      <c r="D1078" s="102">
        <f t="shared" ca="1" si="131"/>
        <v>155.49897330595482</v>
      </c>
      <c r="E1078" s="103">
        <f t="shared" ca="1" si="138"/>
        <v>0.267769988285466</v>
      </c>
      <c r="F1078" s="104" t="e">
        <f ca="1">IF($C$4="Hombre",(+VLOOKUP(INT(D1078)+1,Tablas!$G$9:$K$1240,5,0)*(D1078-INT(D1078))+VLOOKUP(INT(D1078),Tablas!$G$9:$K$1240,5,0)*(INT(D1078)+1-D1078))/(VLOOKUP(INT($C$5)+1,Tablas!$G$9:$K$1240,5,0)*($C$5-INT($C$5))+VLOOKUP(INT($C$5),Tablas!$G$9:$K$124,5,0)*(INT($C$5)+1-$C$5)),(+VLOOKUP(INT(D1078)+1,Tablas!$G$9:$O$1240,9,0)*(D1078-INT(D1078))+VLOOKUP(INT(D1078),Tablas!$G$9:$O$1240,9,0)*(INT(D1078)+1-D1078))/(VLOOKUP(INT($C$5)+1,Tablas!$G$9:$O$1240,9,0)*($C$5-INT($C$5))+VLOOKUP(INT($C$5),Tablas!$G$9:$O$124,9,0)*(INT($C$5)+1-$C$5)))</f>
        <v>#N/A</v>
      </c>
      <c r="G1078" s="97" t="e">
        <f ca="1">IF($C$4="Hombre",(+VLOOKUP(INT(D1078)+1,Tablas!$G$9:$K$1240,5,0)*(D1078-INT(D1078))+VLOOKUP(INT(D1078),Tablas!$G$9:$K$1240,5,0)*(INT(D1078)+1-D1078)),+VLOOKUP(INT(D1078)+1,Tablas!$G$9:$O$1240,9,0)*(D1078-INT(D1078))+VLOOKUP(INT(D1078),Tablas!$G$9:$O$1240,9,0)*(INT(D1078)+1-D1078))</f>
        <v>#N/A</v>
      </c>
      <c r="H1078" s="105">
        <f t="shared" ca="1" si="132"/>
        <v>1</v>
      </c>
      <c r="I1078" s="106">
        <f t="shared" ca="1" si="133"/>
        <v>0</v>
      </c>
      <c r="J1078" s="106">
        <f t="shared" ca="1" si="137"/>
        <v>0</v>
      </c>
      <c r="K1078" s="105" t="e">
        <f t="shared" ca="1" si="134"/>
        <v>#N/A</v>
      </c>
      <c r="L1078" s="75"/>
    </row>
    <row r="1079" spans="2:12">
      <c r="B1079" s="101">
        <f t="shared" ca="1" si="135"/>
        <v>85106</v>
      </c>
      <c r="C1079" s="101">
        <f t="shared" ca="1" si="136"/>
        <v>85136</v>
      </c>
      <c r="D1079" s="102">
        <f t="shared" ca="1" si="131"/>
        <v>155.58384668035592</v>
      </c>
      <c r="E1079" s="103">
        <f t="shared" ca="1" si="138"/>
        <v>0.26743183529928383</v>
      </c>
      <c r="F1079" s="104" t="e">
        <f ca="1">IF($C$4="Hombre",(+VLOOKUP(INT(D1079)+1,Tablas!$G$9:$K$1240,5,0)*(D1079-INT(D1079))+VLOOKUP(INT(D1079),Tablas!$G$9:$K$1240,5,0)*(INT(D1079)+1-D1079))/(VLOOKUP(INT($C$5)+1,Tablas!$G$9:$K$1240,5,0)*($C$5-INT($C$5))+VLOOKUP(INT($C$5),Tablas!$G$9:$K$124,5,0)*(INT($C$5)+1-$C$5)),(+VLOOKUP(INT(D1079)+1,Tablas!$G$9:$O$1240,9,0)*(D1079-INT(D1079))+VLOOKUP(INT(D1079),Tablas!$G$9:$O$1240,9,0)*(INT(D1079)+1-D1079))/(VLOOKUP(INT($C$5)+1,Tablas!$G$9:$O$1240,9,0)*($C$5-INT($C$5))+VLOOKUP(INT($C$5),Tablas!$G$9:$O$124,9,0)*(INT($C$5)+1-$C$5)))</f>
        <v>#N/A</v>
      </c>
      <c r="G1079" s="97" t="e">
        <f ca="1">IF($C$4="Hombre",(+VLOOKUP(INT(D1079)+1,Tablas!$G$9:$K$1240,5,0)*(D1079-INT(D1079))+VLOOKUP(INT(D1079),Tablas!$G$9:$K$1240,5,0)*(INT(D1079)+1-D1079)),+VLOOKUP(INT(D1079)+1,Tablas!$G$9:$O$1240,9,0)*(D1079-INT(D1079))+VLOOKUP(INT(D1079),Tablas!$G$9:$O$1240,9,0)*(INT(D1079)+1-D1079))</f>
        <v>#N/A</v>
      </c>
      <c r="H1079" s="105">
        <f t="shared" ca="1" si="132"/>
        <v>1</v>
      </c>
      <c r="I1079" s="106">
        <f t="shared" ca="1" si="133"/>
        <v>0</v>
      </c>
      <c r="J1079" s="106">
        <f t="shared" ca="1" si="137"/>
        <v>0</v>
      </c>
      <c r="K1079" s="105" t="e">
        <f t="shared" ca="1" si="134"/>
        <v>#N/A</v>
      </c>
      <c r="L1079" s="75"/>
    </row>
    <row r="1080" spans="2:12">
      <c r="B1080" s="101">
        <f t="shared" ca="1" si="135"/>
        <v>85137</v>
      </c>
      <c r="C1080" s="101">
        <f t="shared" ca="1" si="136"/>
        <v>85164</v>
      </c>
      <c r="D1080" s="102">
        <f t="shared" ca="1" si="131"/>
        <v>155.66050650239561</v>
      </c>
      <c r="E1080" s="103">
        <f t="shared" ca="1" si="138"/>
        <v>0.26712677385720024</v>
      </c>
      <c r="F1080" s="104" t="e">
        <f ca="1">IF($C$4="Hombre",(+VLOOKUP(INT(D1080)+1,Tablas!$G$9:$K$1240,5,0)*(D1080-INT(D1080))+VLOOKUP(INT(D1080),Tablas!$G$9:$K$1240,5,0)*(INT(D1080)+1-D1080))/(VLOOKUP(INT($C$5)+1,Tablas!$G$9:$K$1240,5,0)*($C$5-INT($C$5))+VLOOKUP(INT($C$5),Tablas!$G$9:$K$124,5,0)*(INT($C$5)+1-$C$5)),(+VLOOKUP(INT(D1080)+1,Tablas!$G$9:$O$1240,9,0)*(D1080-INT(D1080))+VLOOKUP(INT(D1080),Tablas!$G$9:$O$1240,9,0)*(INT(D1080)+1-D1080))/(VLOOKUP(INT($C$5)+1,Tablas!$G$9:$O$1240,9,0)*($C$5-INT($C$5))+VLOOKUP(INT($C$5),Tablas!$G$9:$O$124,9,0)*(INT($C$5)+1-$C$5)))</f>
        <v>#N/A</v>
      </c>
      <c r="G1080" s="97" t="e">
        <f ca="1">IF($C$4="Hombre",(+VLOOKUP(INT(D1080)+1,Tablas!$G$9:$K$1240,5,0)*(D1080-INT(D1080))+VLOOKUP(INT(D1080),Tablas!$G$9:$K$1240,5,0)*(INT(D1080)+1-D1080)),+VLOOKUP(INT(D1080)+1,Tablas!$G$9:$O$1240,9,0)*(D1080-INT(D1080))+VLOOKUP(INT(D1080),Tablas!$G$9:$O$1240,9,0)*(INT(D1080)+1-D1080))</f>
        <v>#N/A</v>
      </c>
      <c r="H1080" s="105">
        <f t="shared" ca="1" si="132"/>
        <v>1</v>
      </c>
      <c r="I1080" s="106">
        <f t="shared" ca="1" si="133"/>
        <v>0</v>
      </c>
      <c r="J1080" s="106">
        <f t="shared" ca="1" si="137"/>
        <v>0</v>
      </c>
      <c r="K1080" s="105" t="e">
        <f t="shared" ca="1" si="134"/>
        <v>#N/A</v>
      </c>
      <c r="L1080" s="75"/>
    </row>
    <row r="1081" spans="2:12">
      <c r="B1081" s="101">
        <f t="shared" ca="1" si="135"/>
        <v>85165</v>
      </c>
      <c r="C1081" s="101">
        <f t="shared" ca="1" si="136"/>
        <v>85195</v>
      </c>
      <c r="D1081" s="102">
        <f t="shared" ca="1" si="131"/>
        <v>155.7453798767967</v>
      </c>
      <c r="E1081" s="103">
        <f t="shared" ca="1" si="138"/>
        <v>0.26678943315353365</v>
      </c>
      <c r="F1081" s="104" t="e">
        <f ca="1">IF($C$4="Hombre",(+VLOOKUP(INT(D1081)+1,Tablas!$G$9:$K$1240,5,0)*(D1081-INT(D1081))+VLOOKUP(INT(D1081),Tablas!$G$9:$K$1240,5,0)*(INT(D1081)+1-D1081))/(VLOOKUP(INT($C$5)+1,Tablas!$G$9:$K$1240,5,0)*($C$5-INT($C$5))+VLOOKUP(INT($C$5),Tablas!$G$9:$K$124,5,0)*(INT($C$5)+1-$C$5)),(+VLOOKUP(INT(D1081)+1,Tablas!$G$9:$O$1240,9,0)*(D1081-INT(D1081))+VLOOKUP(INT(D1081),Tablas!$G$9:$O$1240,9,0)*(INT(D1081)+1-D1081))/(VLOOKUP(INT($C$5)+1,Tablas!$G$9:$O$1240,9,0)*($C$5-INT($C$5))+VLOOKUP(INT($C$5),Tablas!$G$9:$O$124,9,0)*(INT($C$5)+1-$C$5)))</f>
        <v>#N/A</v>
      </c>
      <c r="G1081" s="97" t="e">
        <f ca="1">IF($C$4="Hombre",(+VLOOKUP(INT(D1081)+1,Tablas!$G$9:$K$1240,5,0)*(D1081-INT(D1081))+VLOOKUP(INT(D1081),Tablas!$G$9:$K$1240,5,0)*(INT(D1081)+1-D1081)),+VLOOKUP(INT(D1081)+1,Tablas!$G$9:$O$1240,9,0)*(D1081-INT(D1081))+VLOOKUP(INT(D1081),Tablas!$G$9:$O$1240,9,0)*(INT(D1081)+1-D1081))</f>
        <v>#N/A</v>
      </c>
      <c r="H1081" s="105">
        <f t="shared" ca="1" si="132"/>
        <v>1</v>
      </c>
      <c r="I1081" s="106">
        <f t="shared" ca="1" si="133"/>
        <v>0</v>
      </c>
      <c r="J1081" s="106">
        <f t="shared" ca="1" si="137"/>
        <v>0</v>
      </c>
      <c r="K1081" s="105" t="e">
        <f t="shared" ca="1" si="134"/>
        <v>#N/A</v>
      </c>
      <c r="L1081" s="75"/>
    </row>
    <row r="1082" spans="2:12">
      <c r="B1082" s="101">
        <f t="shared" ca="1" si="135"/>
        <v>85196</v>
      </c>
      <c r="C1082" s="101">
        <f t="shared" ca="1" si="136"/>
        <v>85225</v>
      </c>
      <c r="D1082" s="102">
        <f t="shared" ca="1" si="131"/>
        <v>155.82751540041068</v>
      </c>
      <c r="E1082" s="103">
        <f t="shared" ca="1" si="138"/>
        <v>0.26646338003208342</v>
      </c>
      <c r="F1082" s="104" t="e">
        <f ca="1">IF($C$4="Hombre",(+VLOOKUP(INT(D1082)+1,Tablas!$G$9:$K$1240,5,0)*(D1082-INT(D1082))+VLOOKUP(INT(D1082),Tablas!$G$9:$K$1240,5,0)*(INT(D1082)+1-D1082))/(VLOOKUP(INT($C$5)+1,Tablas!$G$9:$K$1240,5,0)*($C$5-INT($C$5))+VLOOKUP(INT($C$5),Tablas!$G$9:$K$124,5,0)*(INT($C$5)+1-$C$5)),(+VLOOKUP(INT(D1082)+1,Tablas!$G$9:$O$1240,9,0)*(D1082-INT(D1082))+VLOOKUP(INT(D1082),Tablas!$G$9:$O$1240,9,0)*(INT(D1082)+1-D1082))/(VLOOKUP(INT($C$5)+1,Tablas!$G$9:$O$1240,9,0)*($C$5-INT($C$5))+VLOOKUP(INT($C$5),Tablas!$G$9:$O$124,9,0)*(INT($C$5)+1-$C$5)))</f>
        <v>#N/A</v>
      </c>
      <c r="G1082" s="97" t="e">
        <f ca="1">IF($C$4="Hombre",(+VLOOKUP(INT(D1082)+1,Tablas!$G$9:$K$1240,5,0)*(D1082-INT(D1082))+VLOOKUP(INT(D1082),Tablas!$G$9:$K$1240,5,0)*(INT(D1082)+1-D1082)),+VLOOKUP(INT(D1082)+1,Tablas!$G$9:$O$1240,9,0)*(D1082-INT(D1082))+VLOOKUP(INT(D1082),Tablas!$G$9:$O$1240,9,0)*(INT(D1082)+1-D1082))</f>
        <v>#N/A</v>
      </c>
      <c r="H1082" s="105">
        <f t="shared" ca="1" si="132"/>
        <v>1</v>
      </c>
      <c r="I1082" s="106">
        <f t="shared" ca="1" si="133"/>
        <v>0</v>
      </c>
      <c r="J1082" s="106">
        <f t="shared" ca="1" si="137"/>
        <v>0</v>
      </c>
      <c r="K1082" s="105" t="e">
        <f t="shared" ca="1" si="134"/>
        <v>#N/A</v>
      </c>
      <c r="L1082" s="75"/>
    </row>
    <row r="1083" spans="2:12">
      <c r="B1083" s="101">
        <f t="shared" ca="1" si="135"/>
        <v>85226</v>
      </c>
      <c r="C1083" s="101">
        <f t="shared" ca="1" si="136"/>
        <v>85256</v>
      </c>
      <c r="D1083" s="102">
        <f t="shared" ca="1" si="131"/>
        <v>155.91238877481177</v>
      </c>
      <c r="E1083" s="103">
        <f t="shared" ca="1" si="138"/>
        <v>0.26612687709445776</v>
      </c>
      <c r="F1083" s="104" t="e">
        <f ca="1">IF($C$4="Hombre",(+VLOOKUP(INT(D1083)+1,Tablas!$G$9:$K$1240,5,0)*(D1083-INT(D1083))+VLOOKUP(INT(D1083),Tablas!$G$9:$K$1240,5,0)*(INT(D1083)+1-D1083))/(VLOOKUP(INT($C$5)+1,Tablas!$G$9:$K$1240,5,0)*($C$5-INT($C$5))+VLOOKUP(INT($C$5),Tablas!$G$9:$K$124,5,0)*(INT($C$5)+1-$C$5)),(+VLOOKUP(INT(D1083)+1,Tablas!$G$9:$O$1240,9,0)*(D1083-INT(D1083))+VLOOKUP(INT(D1083),Tablas!$G$9:$O$1240,9,0)*(INT(D1083)+1-D1083))/(VLOOKUP(INT($C$5)+1,Tablas!$G$9:$O$1240,9,0)*($C$5-INT($C$5))+VLOOKUP(INT($C$5),Tablas!$G$9:$O$124,9,0)*(INT($C$5)+1-$C$5)))</f>
        <v>#N/A</v>
      </c>
      <c r="G1083" s="97" t="e">
        <f ca="1">IF($C$4="Hombre",(+VLOOKUP(INT(D1083)+1,Tablas!$G$9:$K$1240,5,0)*(D1083-INT(D1083))+VLOOKUP(INT(D1083),Tablas!$G$9:$K$1240,5,0)*(INT(D1083)+1-D1083)),+VLOOKUP(INT(D1083)+1,Tablas!$G$9:$O$1240,9,0)*(D1083-INT(D1083))+VLOOKUP(INT(D1083),Tablas!$G$9:$O$1240,9,0)*(INT(D1083)+1-D1083))</f>
        <v>#N/A</v>
      </c>
      <c r="H1083" s="105">
        <f t="shared" ca="1" si="132"/>
        <v>1</v>
      </c>
      <c r="I1083" s="106">
        <f t="shared" ca="1" si="133"/>
        <v>0</v>
      </c>
      <c r="J1083" s="106">
        <f t="shared" ca="1" si="137"/>
        <v>0</v>
      </c>
      <c r="K1083" s="105" t="e">
        <f t="shared" ca="1" si="134"/>
        <v>#N/A</v>
      </c>
      <c r="L1083" s="75"/>
    </row>
    <row r="1084" spans="2:12">
      <c r="B1084" s="101">
        <f t="shared" ca="1" si="135"/>
        <v>85257</v>
      </c>
      <c r="C1084" s="101">
        <f t="shared" ca="1" si="136"/>
        <v>85286</v>
      </c>
      <c r="D1084" s="102">
        <f t="shared" ca="1" si="131"/>
        <v>155.99452429842574</v>
      </c>
      <c r="E1084" s="103">
        <f t="shared" ca="1" si="138"/>
        <v>0.26580163370699383</v>
      </c>
      <c r="F1084" s="104" t="e">
        <f ca="1">IF($C$4="Hombre",(+VLOOKUP(INT(D1084)+1,Tablas!$G$9:$K$1240,5,0)*(D1084-INT(D1084))+VLOOKUP(INT(D1084),Tablas!$G$9:$K$1240,5,0)*(INT(D1084)+1-D1084))/(VLOOKUP(INT($C$5)+1,Tablas!$G$9:$K$1240,5,0)*($C$5-INT($C$5))+VLOOKUP(INT($C$5),Tablas!$G$9:$K$124,5,0)*(INT($C$5)+1-$C$5)),(+VLOOKUP(INT(D1084)+1,Tablas!$G$9:$O$1240,9,0)*(D1084-INT(D1084))+VLOOKUP(INT(D1084),Tablas!$G$9:$O$1240,9,0)*(INT(D1084)+1-D1084))/(VLOOKUP(INT($C$5)+1,Tablas!$G$9:$O$1240,9,0)*($C$5-INT($C$5))+VLOOKUP(INT($C$5),Tablas!$G$9:$O$124,9,0)*(INT($C$5)+1-$C$5)))</f>
        <v>#N/A</v>
      </c>
      <c r="G1084" s="97" t="e">
        <f ca="1">IF($C$4="Hombre",(+VLOOKUP(INT(D1084)+1,Tablas!$G$9:$K$1240,5,0)*(D1084-INT(D1084))+VLOOKUP(INT(D1084),Tablas!$G$9:$K$1240,5,0)*(INT(D1084)+1-D1084)),+VLOOKUP(INT(D1084)+1,Tablas!$G$9:$O$1240,9,0)*(D1084-INT(D1084))+VLOOKUP(INT(D1084),Tablas!$G$9:$O$1240,9,0)*(INT(D1084)+1-D1084))</f>
        <v>#N/A</v>
      </c>
      <c r="H1084" s="105">
        <f t="shared" ca="1" si="132"/>
        <v>1</v>
      </c>
      <c r="I1084" s="106">
        <f t="shared" ca="1" si="133"/>
        <v>0</v>
      </c>
      <c r="J1084" s="106">
        <f t="shared" ca="1" si="137"/>
        <v>0</v>
      </c>
      <c r="K1084" s="105" t="e">
        <f t="shared" ca="1" si="134"/>
        <v>#N/A</v>
      </c>
      <c r="L1084" s="75"/>
    </row>
    <row r="1085" spans="2:12">
      <c r="B1085" s="101">
        <f t="shared" ca="1" si="135"/>
        <v>85287</v>
      </c>
      <c r="C1085" s="101">
        <f t="shared" ca="1" si="136"/>
        <v>85317</v>
      </c>
      <c r="D1085" s="102">
        <f t="shared" ca="1" si="131"/>
        <v>156.07939767282684</v>
      </c>
      <c r="E1085" s="103">
        <f t="shared" ca="1" si="138"/>
        <v>0.26546596645486581</v>
      </c>
      <c r="F1085" s="104" t="e">
        <f ca="1">IF($C$4="Hombre",(+VLOOKUP(INT(D1085)+1,Tablas!$G$9:$K$1240,5,0)*(D1085-INT(D1085))+VLOOKUP(INT(D1085),Tablas!$G$9:$K$1240,5,0)*(INT(D1085)+1-D1085))/(VLOOKUP(INT($C$5)+1,Tablas!$G$9:$K$1240,5,0)*($C$5-INT($C$5))+VLOOKUP(INT($C$5),Tablas!$G$9:$K$124,5,0)*(INT($C$5)+1-$C$5)),(+VLOOKUP(INT(D1085)+1,Tablas!$G$9:$O$1240,9,0)*(D1085-INT(D1085))+VLOOKUP(INT(D1085),Tablas!$G$9:$O$1240,9,0)*(INT(D1085)+1-D1085))/(VLOOKUP(INT($C$5)+1,Tablas!$G$9:$O$1240,9,0)*($C$5-INT($C$5))+VLOOKUP(INT($C$5),Tablas!$G$9:$O$124,9,0)*(INT($C$5)+1-$C$5)))</f>
        <v>#N/A</v>
      </c>
      <c r="G1085" s="97" t="e">
        <f ca="1">IF($C$4="Hombre",(+VLOOKUP(INT(D1085)+1,Tablas!$G$9:$K$1240,5,0)*(D1085-INT(D1085))+VLOOKUP(INT(D1085),Tablas!$G$9:$K$1240,5,0)*(INT(D1085)+1-D1085)),+VLOOKUP(INT(D1085)+1,Tablas!$G$9:$O$1240,9,0)*(D1085-INT(D1085))+VLOOKUP(INT(D1085),Tablas!$G$9:$O$1240,9,0)*(INT(D1085)+1-D1085))</f>
        <v>#N/A</v>
      </c>
      <c r="H1085" s="105">
        <f t="shared" ca="1" si="132"/>
        <v>1</v>
      </c>
      <c r="I1085" s="106">
        <f t="shared" ca="1" si="133"/>
        <v>0</v>
      </c>
      <c r="J1085" s="106">
        <f t="shared" ca="1" si="137"/>
        <v>0</v>
      </c>
      <c r="K1085" s="105" t="e">
        <f t="shared" ca="1" si="134"/>
        <v>#N/A</v>
      </c>
      <c r="L1085" s="75"/>
    </row>
    <row r="1086" spans="2:12">
      <c r="B1086" s="101">
        <f t="shared" ca="1" si="135"/>
        <v>85318</v>
      </c>
      <c r="C1086" s="101">
        <f t="shared" ca="1" si="136"/>
        <v>85348</v>
      </c>
      <c r="D1086" s="102">
        <f t="shared" ca="1" si="131"/>
        <v>156.16427104722791</v>
      </c>
      <c r="E1086" s="103">
        <f t="shared" ca="1" si="138"/>
        <v>0.26513072309969671</v>
      </c>
      <c r="F1086" s="104" t="e">
        <f ca="1">IF($C$4="Hombre",(+VLOOKUP(INT(D1086)+1,Tablas!$G$9:$K$1240,5,0)*(D1086-INT(D1086))+VLOOKUP(INT(D1086),Tablas!$G$9:$K$1240,5,0)*(INT(D1086)+1-D1086))/(VLOOKUP(INT($C$5)+1,Tablas!$G$9:$K$1240,5,0)*($C$5-INT($C$5))+VLOOKUP(INT($C$5),Tablas!$G$9:$K$124,5,0)*(INT($C$5)+1-$C$5)),(+VLOOKUP(INT(D1086)+1,Tablas!$G$9:$O$1240,9,0)*(D1086-INT(D1086))+VLOOKUP(INT(D1086),Tablas!$G$9:$O$1240,9,0)*(INT(D1086)+1-D1086))/(VLOOKUP(INT($C$5)+1,Tablas!$G$9:$O$1240,9,0)*($C$5-INT($C$5))+VLOOKUP(INT($C$5),Tablas!$G$9:$O$124,9,0)*(INT($C$5)+1-$C$5)))</f>
        <v>#N/A</v>
      </c>
      <c r="G1086" s="97" t="e">
        <f ca="1">IF($C$4="Hombre",(+VLOOKUP(INT(D1086)+1,Tablas!$G$9:$K$1240,5,0)*(D1086-INT(D1086))+VLOOKUP(INT(D1086),Tablas!$G$9:$K$1240,5,0)*(INT(D1086)+1-D1086)),+VLOOKUP(INT(D1086)+1,Tablas!$G$9:$O$1240,9,0)*(D1086-INT(D1086))+VLOOKUP(INT(D1086),Tablas!$G$9:$O$1240,9,0)*(INT(D1086)+1-D1086))</f>
        <v>#N/A</v>
      </c>
      <c r="H1086" s="105">
        <f t="shared" ca="1" si="132"/>
        <v>1</v>
      </c>
      <c r="I1086" s="106">
        <f t="shared" ca="1" si="133"/>
        <v>0</v>
      </c>
      <c r="J1086" s="106">
        <f t="shared" ca="1" si="137"/>
        <v>0</v>
      </c>
      <c r="K1086" s="105" t="e">
        <f t="shared" ca="1" si="134"/>
        <v>#N/A</v>
      </c>
      <c r="L1086" s="75"/>
    </row>
    <row r="1087" spans="2:12">
      <c r="B1087" s="101">
        <f t="shared" ca="1" si="135"/>
        <v>85349</v>
      </c>
      <c r="C1087" s="101">
        <f t="shared" ca="1" si="136"/>
        <v>85378</v>
      </c>
      <c r="D1087" s="102">
        <f t="shared" ca="1" si="131"/>
        <v>156.24640657084188</v>
      </c>
      <c r="E1087" s="103">
        <f t="shared" ca="1" si="138"/>
        <v>0.26480669714845423</v>
      </c>
      <c r="F1087" s="104" t="e">
        <f ca="1">IF($C$4="Hombre",(+VLOOKUP(INT(D1087)+1,Tablas!$G$9:$K$1240,5,0)*(D1087-INT(D1087))+VLOOKUP(INT(D1087),Tablas!$G$9:$K$1240,5,0)*(INT(D1087)+1-D1087))/(VLOOKUP(INT($C$5)+1,Tablas!$G$9:$K$1240,5,0)*($C$5-INT($C$5))+VLOOKUP(INT($C$5),Tablas!$G$9:$K$124,5,0)*(INT($C$5)+1-$C$5)),(+VLOOKUP(INT(D1087)+1,Tablas!$G$9:$O$1240,9,0)*(D1087-INT(D1087))+VLOOKUP(INT(D1087),Tablas!$G$9:$O$1240,9,0)*(INT(D1087)+1-D1087))/(VLOOKUP(INT($C$5)+1,Tablas!$G$9:$O$1240,9,0)*($C$5-INT($C$5))+VLOOKUP(INT($C$5),Tablas!$G$9:$O$124,9,0)*(INT($C$5)+1-$C$5)))</f>
        <v>#N/A</v>
      </c>
      <c r="G1087" s="97" t="e">
        <f ca="1">IF($C$4="Hombre",(+VLOOKUP(INT(D1087)+1,Tablas!$G$9:$K$1240,5,0)*(D1087-INT(D1087))+VLOOKUP(INT(D1087),Tablas!$G$9:$K$1240,5,0)*(INT(D1087)+1-D1087)),+VLOOKUP(INT(D1087)+1,Tablas!$G$9:$O$1240,9,0)*(D1087-INT(D1087))+VLOOKUP(INT(D1087),Tablas!$G$9:$O$1240,9,0)*(INT(D1087)+1-D1087))</f>
        <v>#N/A</v>
      </c>
      <c r="H1087" s="105">
        <f t="shared" ca="1" si="132"/>
        <v>1</v>
      </c>
      <c r="I1087" s="106">
        <f t="shared" ca="1" si="133"/>
        <v>0</v>
      </c>
      <c r="J1087" s="106">
        <f t="shared" ca="1" si="137"/>
        <v>0</v>
      </c>
      <c r="K1087" s="105" t="e">
        <f t="shared" ca="1" si="134"/>
        <v>#N/A</v>
      </c>
      <c r="L1087" s="75"/>
    </row>
    <row r="1088" spans="2:12">
      <c r="B1088" s="101">
        <f t="shared" ca="1" si="135"/>
        <v>85379</v>
      </c>
      <c r="C1088" s="101">
        <f t="shared" ca="1" si="136"/>
        <v>85409</v>
      </c>
      <c r="D1088" s="102">
        <f t="shared" ca="1" si="131"/>
        <v>156.33127994524298</v>
      </c>
      <c r="E1088" s="103">
        <f t="shared" ca="1" si="138"/>
        <v>0.26447228635068282</v>
      </c>
      <c r="F1088" s="104" t="e">
        <f ca="1">IF($C$4="Hombre",(+VLOOKUP(INT(D1088)+1,Tablas!$G$9:$K$1240,5,0)*(D1088-INT(D1088))+VLOOKUP(INT(D1088),Tablas!$G$9:$K$1240,5,0)*(INT(D1088)+1-D1088))/(VLOOKUP(INT($C$5)+1,Tablas!$G$9:$K$1240,5,0)*($C$5-INT($C$5))+VLOOKUP(INT($C$5),Tablas!$G$9:$K$124,5,0)*(INT($C$5)+1-$C$5)),(+VLOOKUP(INT(D1088)+1,Tablas!$G$9:$O$1240,9,0)*(D1088-INT(D1088))+VLOOKUP(INT(D1088),Tablas!$G$9:$O$1240,9,0)*(INT(D1088)+1-D1088))/(VLOOKUP(INT($C$5)+1,Tablas!$G$9:$O$1240,9,0)*($C$5-INT($C$5))+VLOOKUP(INT($C$5),Tablas!$G$9:$O$124,9,0)*(INT($C$5)+1-$C$5)))</f>
        <v>#N/A</v>
      </c>
      <c r="G1088" s="97" t="e">
        <f ca="1">IF($C$4="Hombre",(+VLOOKUP(INT(D1088)+1,Tablas!$G$9:$K$1240,5,0)*(D1088-INT(D1088))+VLOOKUP(INT(D1088),Tablas!$G$9:$K$1240,5,0)*(INT(D1088)+1-D1088)),+VLOOKUP(INT(D1088)+1,Tablas!$G$9:$O$1240,9,0)*(D1088-INT(D1088))+VLOOKUP(INT(D1088),Tablas!$G$9:$O$1240,9,0)*(INT(D1088)+1-D1088))</f>
        <v>#N/A</v>
      </c>
      <c r="H1088" s="105">
        <f t="shared" ca="1" si="132"/>
        <v>1</v>
      </c>
      <c r="I1088" s="106">
        <f t="shared" ca="1" si="133"/>
        <v>0</v>
      </c>
      <c r="J1088" s="106">
        <f t="shared" ca="1" si="137"/>
        <v>0</v>
      </c>
      <c r="K1088" s="105" t="e">
        <f t="shared" ca="1" si="134"/>
        <v>#N/A</v>
      </c>
      <c r="L1088" s="75"/>
    </row>
    <row r="1089" spans="2:12">
      <c r="B1089" s="101">
        <f t="shared" ca="1" si="135"/>
        <v>85410</v>
      </c>
      <c r="C1089" s="101">
        <f t="shared" ca="1" si="136"/>
        <v>85439</v>
      </c>
      <c r="D1089" s="102">
        <f t="shared" ca="1" si="131"/>
        <v>156.41341546885695</v>
      </c>
      <c r="E1089" s="103">
        <f t="shared" ca="1" si="138"/>
        <v>0.26414906509906716</v>
      </c>
      <c r="F1089" s="104" t="e">
        <f ca="1">IF($C$4="Hombre",(+VLOOKUP(INT(D1089)+1,Tablas!$G$9:$K$1240,5,0)*(D1089-INT(D1089))+VLOOKUP(INT(D1089),Tablas!$G$9:$K$1240,5,0)*(INT(D1089)+1-D1089))/(VLOOKUP(INT($C$5)+1,Tablas!$G$9:$K$1240,5,0)*($C$5-INT($C$5))+VLOOKUP(INT($C$5),Tablas!$G$9:$K$124,5,0)*(INT($C$5)+1-$C$5)),(+VLOOKUP(INT(D1089)+1,Tablas!$G$9:$O$1240,9,0)*(D1089-INT(D1089))+VLOOKUP(INT(D1089),Tablas!$G$9:$O$1240,9,0)*(INT(D1089)+1-D1089))/(VLOOKUP(INT($C$5)+1,Tablas!$G$9:$O$1240,9,0)*($C$5-INT($C$5))+VLOOKUP(INT($C$5),Tablas!$G$9:$O$124,9,0)*(INT($C$5)+1-$C$5)))</f>
        <v>#N/A</v>
      </c>
      <c r="G1089" s="97" t="e">
        <f ca="1">IF($C$4="Hombre",(+VLOOKUP(INT(D1089)+1,Tablas!$G$9:$K$1240,5,0)*(D1089-INT(D1089))+VLOOKUP(INT(D1089),Tablas!$G$9:$K$1240,5,0)*(INT(D1089)+1-D1089)),+VLOOKUP(INT(D1089)+1,Tablas!$G$9:$O$1240,9,0)*(D1089-INT(D1089))+VLOOKUP(INT(D1089),Tablas!$G$9:$O$1240,9,0)*(INT(D1089)+1-D1089))</f>
        <v>#N/A</v>
      </c>
      <c r="H1089" s="105">
        <f t="shared" ca="1" si="132"/>
        <v>1</v>
      </c>
      <c r="I1089" s="106">
        <f t="shared" ca="1" si="133"/>
        <v>0</v>
      </c>
      <c r="J1089" s="106">
        <f t="shared" ca="1" si="137"/>
        <v>0</v>
      </c>
      <c r="K1089" s="105" t="e">
        <f t="shared" ca="1" si="134"/>
        <v>#N/A</v>
      </c>
      <c r="L1089" s="75"/>
    </row>
    <row r="1090" spans="2:12">
      <c r="B1090" s="101">
        <f t="shared" ca="1" si="135"/>
        <v>85440</v>
      </c>
      <c r="C1090" s="101">
        <f t="shared" ca="1" si="136"/>
        <v>85470</v>
      </c>
      <c r="D1090" s="102">
        <f t="shared" ca="1" si="131"/>
        <v>156.49828884325805</v>
      </c>
      <c r="E1090" s="103">
        <f t="shared" ca="1" si="138"/>
        <v>0.26381548479108552</v>
      </c>
      <c r="F1090" s="104" t="e">
        <f ca="1">IF($C$4="Hombre",(+VLOOKUP(INT(D1090)+1,Tablas!$G$9:$K$1240,5,0)*(D1090-INT(D1090))+VLOOKUP(INT(D1090),Tablas!$G$9:$K$1240,5,0)*(INT(D1090)+1-D1090))/(VLOOKUP(INT($C$5)+1,Tablas!$G$9:$K$1240,5,0)*($C$5-INT($C$5))+VLOOKUP(INT($C$5),Tablas!$G$9:$K$124,5,0)*(INT($C$5)+1-$C$5)),(+VLOOKUP(INT(D1090)+1,Tablas!$G$9:$O$1240,9,0)*(D1090-INT(D1090))+VLOOKUP(INT(D1090),Tablas!$G$9:$O$1240,9,0)*(INT(D1090)+1-D1090))/(VLOOKUP(INT($C$5)+1,Tablas!$G$9:$O$1240,9,0)*($C$5-INT($C$5))+VLOOKUP(INT($C$5),Tablas!$G$9:$O$124,9,0)*(INT($C$5)+1-$C$5)))</f>
        <v>#N/A</v>
      </c>
      <c r="G1090" s="97" t="e">
        <f ca="1">IF($C$4="Hombre",(+VLOOKUP(INT(D1090)+1,Tablas!$G$9:$K$1240,5,0)*(D1090-INT(D1090))+VLOOKUP(INT(D1090),Tablas!$G$9:$K$1240,5,0)*(INT(D1090)+1-D1090)),+VLOOKUP(INT(D1090)+1,Tablas!$G$9:$O$1240,9,0)*(D1090-INT(D1090))+VLOOKUP(INT(D1090),Tablas!$G$9:$O$1240,9,0)*(INT(D1090)+1-D1090))</f>
        <v>#N/A</v>
      </c>
      <c r="H1090" s="105">
        <f t="shared" ca="1" si="132"/>
        <v>1</v>
      </c>
      <c r="I1090" s="106">
        <f t="shared" ca="1" si="133"/>
        <v>0</v>
      </c>
      <c r="J1090" s="106">
        <f t="shared" ca="1" si="137"/>
        <v>0</v>
      </c>
      <c r="K1090" s="105" t="e">
        <f t="shared" ca="1" si="134"/>
        <v>#N/A</v>
      </c>
      <c r="L1090" s="75"/>
    </row>
    <row r="1091" spans="2:12">
      <c r="B1091" s="101">
        <f t="shared" ca="1" si="135"/>
        <v>85471</v>
      </c>
      <c r="C1091" s="101">
        <f t="shared" ca="1" si="136"/>
        <v>85501</v>
      </c>
      <c r="D1091" s="102">
        <f t="shared" ca="1" si="131"/>
        <v>156.58316221765915</v>
      </c>
      <c r="E1091" s="103">
        <f t="shared" ca="1" si="138"/>
        <v>0.26348232574456798</v>
      </c>
      <c r="F1091" s="104" t="e">
        <f ca="1">IF($C$4="Hombre",(+VLOOKUP(INT(D1091)+1,Tablas!$G$9:$K$1240,5,0)*(D1091-INT(D1091))+VLOOKUP(INT(D1091),Tablas!$G$9:$K$1240,5,0)*(INT(D1091)+1-D1091))/(VLOOKUP(INT($C$5)+1,Tablas!$G$9:$K$1240,5,0)*($C$5-INT($C$5))+VLOOKUP(INT($C$5),Tablas!$G$9:$K$124,5,0)*(INT($C$5)+1-$C$5)),(+VLOOKUP(INT(D1091)+1,Tablas!$G$9:$O$1240,9,0)*(D1091-INT(D1091))+VLOOKUP(INT(D1091),Tablas!$G$9:$O$1240,9,0)*(INT(D1091)+1-D1091))/(VLOOKUP(INT($C$5)+1,Tablas!$G$9:$O$1240,9,0)*($C$5-INT($C$5))+VLOOKUP(INT($C$5),Tablas!$G$9:$O$124,9,0)*(INT($C$5)+1-$C$5)))</f>
        <v>#N/A</v>
      </c>
      <c r="G1091" s="97" t="e">
        <f ca="1">IF($C$4="Hombre",(+VLOOKUP(INT(D1091)+1,Tablas!$G$9:$K$1240,5,0)*(D1091-INT(D1091))+VLOOKUP(INT(D1091),Tablas!$G$9:$K$1240,5,0)*(INT(D1091)+1-D1091)),+VLOOKUP(INT(D1091)+1,Tablas!$G$9:$O$1240,9,0)*(D1091-INT(D1091))+VLOOKUP(INT(D1091),Tablas!$G$9:$O$1240,9,0)*(INT(D1091)+1-D1091))</f>
        <v>#N/A</v>
      </c>
      <c r="H1091" s="105">
        <f t="shared" ca="1" si="132"/>
        <v>1</v>
      </c>
      <c r="I1091" s="106">
        <f t="shared" ca="1" si="133"/>
        <v>0</v>
      </c>
      <c r="J1091" s="106">
        <f t="shared" ca="1" si="137"/>
        <v>0</v>
      </c>
      <c r="K1091" s="105" t="e">
        <f t="shared" ca="1" si="134"/>
        <v>#N/A</v>
      </c>
      <c r="L1091" s="75"/>
    </row>
    <row r="1092" spans="2:12">
      <c r="B1092" s="101">
        <f t="shared" ca="1" si="135"/>
        <v>85502</v>
      </c>
      <c r="C1092" s="101">
        <f t="shared" ca="1" si="136"/>
        <v>85529</v>
      </c>
      <c r="D1092" s="102">
        <f t="shared" ca="1" si="131"/>
        <v>156.65982203969884</v>
      </c>
      <c r="E1092" s="103">
        <f t="shared" ca="1" si="138"/>
        <v>0.26318176953679556</v>
      </c>
      <c r="F1092" s="104" t="e">
        <f ca="1">IF($C$4="Hombre",(+VLOOKUP(INT(D1092)+1,Tablas!$G$9:$K$1240,5,0)*(D1092-INT(D1092))+VLOOKUP(INT(D1092),Tablas!$G$9:$K$1240,5,0)*(INT(D1092)+1-D1092))/(VLOOKUP(INT($C$5)+1,Tablas!$G$9:$K$1240,5,0)*($C$5-INT($C$5))+VLOOKUP(INT($C$5),Tablas!$G$9:$K$124,5,0)*(INT($C$5)+1-$C$5)),(+VLOOKUP(INT(D1092)+1,Tablas!$G$9:$O$1240,9,0)*(D1092-INT(D1092))+VLOOKUP(INT(D1092),Tablas!$G$9:$O$1240,9,0)*(INT(D1092)+1-D1092))/(VLOOKUP(INT($C$5)+1,Tablas!$G$9:$O$1240,9,0)*($C$5-INT($C$5))+VLOOKUP(INT($C$5),Tablas!$G$9:$O$124,9,0)*(INT($C$5)+1-$C$5)))</f>
        <v>#N/A</v>
      </c>
      <c r="G1092" s="97" t="e">
        <f ca="1">IF($C$4="Hombre",(+VLOOKUP(INT(D1092)+1,Tablas!$G$9:$K$1240,5,0)*(D1092-INT(D1092))+VLOOKUP(INT(D1092),Tablas!$G$9:$K$1240,5,0)*(INT(D1092)+1-D1092)),+VLOOKUP(INT(D1092)+1,Tablas!$G$9:$O$1240,9,0)*(D1092-INT(D1092))+VLOOKUP(INT(D1092),Tablas!$G$9:$O$1240,9,0)*(INT(D1092)+1-D1092))</f>
        <v>#N/A</v>
      </c>
      <c r="H1092" s="105">
        <f t="shared" ca="1" si="132"/>
        <v>1</v>
      </c>
      <c r="I1092" s="106">
        <f t="shared" ca="1" si="133"/>
        <v>0</v>
      </c>
      <c r="J1092" s="106">
        <f t="shared" ca="1" si="137"/>
        <v>0</v>
      </c>
      <c r="K1092" s="105" t="e">
        <f t="shared" ca="1" si="134"/>
        <v>#N/A</v>
      </c>
      <c r="L1092" s="75"/>
    </row>
    <row r="1093" spans="2:12">
      <c r="B1093" s="101">
        <f t="shared" ca="1" si="135"/>
        <v>85530</v>
      </c>
      <c r="C1093" s="101">
        <f t="shared" ca="1" si="136"/>
        <v>85560</v>
      </c>
      <c r="D1093" s="102">
        <f t="shared" ca="1" si="131"/>
        <v>156.74469541409994</v>
      </c>
      <c r="E1093" s="103">
        <f t="shared" ca="1" si="138"/>
        <v>0.26284941077677393</v>
      </c>
      <c r="F1093" s="104" t="e">
        <f ca="1">IF($C$4="Hombre",(+VLOOKUP(INT(D1093)+1,Tablas!$G$9:$K$1240,5,0)*(D1093-INT(D1093))+VLOOKUP(INT(D1093),Tablas!$G$9:$K$1240,5,0)*(INT(D1093)+1-D1093))/(VLOOKUP(INT($C$5)+1,Tablas!$G$9:$K$1240,5,0)*($C$5-INT($C$5))+VLOOKUP(INT($C$5),Tablas!$G$9:$K$124,5,0)*(INT($C$5)+1-$C$5)),(+VLOOKUP(INT(D1093)+1,Tablas!$G$9:$O$1240,9,0)*(D1093-INT(D1093))+VLOOKUP(INT(D1093),Tablas!$G$9:$O$1240,9,0)*(INT(D1093)+1-D1093))/(VLOOKUP(INT($C$5)+1,Tablas!$G$9:$O$1240,9,0)*($C$5-INT($C$5))+VLOOKUP(INT($C$5),Tablas!$G$9:$O$124,9,0)*(INT($C$5)+1-$C$5)))</f>
        <v>#N/A</v>
      </c>
      <c r="G1093" s="97" t="e">
        <f ca="1">IF($C$4="Hombre",(+VLOOKUP(INT(D1093)+1,Tablas!$G$9:$K$1240,5,0)*(D1093-INT(D1093))+VLOOKUP(INT(D1093),Tablas!$G$9:$K$1240,5,0)*(INT(D1093)+1-D1093)),+VLOOKUP(INT(D1093)+1,Tablas!$G$9:$O$1240,9,0)*(D1093-INT(D1093))+VLOOKUP(INT(D1093),Tablas!$G$9:$O$1240,9,0)*(INT(D1093)+1-D1093))</f>
        <v>#N/A</v>
      </c>
      <c r="H1093" s="105">
        <f t="shared" ca="1" si="132"/>
        <v>1</v>
      </c>
      <c r="I1093" s="106">
        <f t="shared" ca="1" si="133"/>
        <v>0</v>
      </c>
      <c r="J1093" s="106">
        <f t="shared" ca="1" si="137"/>
        <v>0</v>
      </c>
      <c r="K1093" s="105" t="e">
        <f t="shared" ca="1" si="134"/>
        <v>#N/A</v>
      </c>
      <c r="L1093" s="75"/>
    </row>
    <row r="1094" spans="2:12">
      <c r="B1094" s="101">
        <f t="shared" ca="1" si="135"/>
        <v>85561</v>
      </c>
      <c r="C1094" s="101">
        <f t="shared" ca="1" si="136"/>
        <v>85590</v>
      </c>
      <c r="D1094" s="102">
        <f t="shared" ca="1" si="131"/>
        <v>156.82683093771391</v>
      </c>
      <c r="E1094" s="103">
        <f t="shared" ca="1" si="138"/>
        <v>0.26252817290073782</v>
      </c>
      <c r="F1094" s="104" t="e">
        <f ca="1">IF($C$4="Hombre",(+VLOOKUP(INT(D1094)+1,Tablas!$G$9:$K$1240,5,0)*(D1094-INT(D1094))+VLOOKUP(INT(D1094),Tablas!$G$9:$K$1240,5,0)*(INT(D1094)+1-D1094))/(VLOOKUP(INT($C$5)+1,Tablas!$G$9:$K$1240,5,0)*($C$5-INT($C$5))+VLOOKUP(INT($C$5),Tablas!$G$9:$K$124,5,0)*(INT($C$5)+1-$C$5)),(+VLOOKUP(INT(D1094)+1,Tablas!$G$9:$O$1240,9,0)*(D1094-INT(D1094))+VLOOKUP(INT(D1094),Tablas!$G$9:$O$1240,9,0)*(INT(D1094)+1-D1094))/(VLOOKUP(INT($C$5)+1,Tablas!$G$9:$O$1240,9,0)*($C$5-INT($C$5))+VLOOKUP(INT($C$5),Tablas!$G$9:$O$124,9,0)*(INT($C$5)+1-$C$5)))</f>
        <v>#N/A</v>
      </c>
      <c r="G1094" s="97" t="e">
        <f ca="1">IF($C$4="Hombre",(+VLOOKUP(INT(D1094)+1,Tablas!$G$9:$K$1240,5,0)*(D1094-INT(D1094))+VLOOKUP(INT(D1094),Tablas!$G$9:$K$1240,5,0)*(INT(D1094)+1-D1094)),+VLOOKUP(INT(D1094)+1,Tablas!$G$9:$O$1240,9,0)*(D1094-INT(D1094))+VLOOKUP(INT(D1094),Tablas!$G$9:$O$1240,9,0)*(INT(D1094)+1-D1094))</f>
        <v>#N/A</v>
      </c>
      <c r="H1094" s="105">
        <f t="shared" ca="1" si="132"/>
        <v>1</v>
      </c>
      <c r="I1094" s="106">
        <f t="shared" ca="1" si="133"/>
        <v>0</v>
      </c>
      <c r="J1094" s="106">
        <f t="shared" ca="1" si="137"/>
        <v>0</v>
      </c>
      <c r="K1094" s="105" t="e">
        <f t="shared" ca="1" si="134"/>
        <v>#N/A</v>
      </c>
      <c r="L1094" s="75"/>
    </row>
    <row r="1095" spans="2:12">
      <c r="B1095" s="101">
        <f t="shared" ca="1" si="135"/>
        <v>85591</v>
      </c>
      <c r="C1095" s="101">
        <f t="shared" ca="1" si="136"/>
        <v>85621</v>
      </c>
      <c r="D1095" s="102">
        <f t="shared" ca="1" si="131"/>
        <v>156.91170431211498</v>
      </c>
      <c r="E1095" s="103">
        <f t="shared" ca="1" si="138"/>
        <v>0.2621966395343896</v>
      </c>
      <c r="F1095" s="104" t="e">
        <f ca="1">IF($C$4="Hombre",(+VLOOKUP(INT(D1095)+1,Tablas!$G$9:$K$1240,5,0)*(D1095-INT(D1095))+VLOOKUP(INT(D1095),Tablas!$G$9:$K$1240,5,0)*(INT(D1095)+1-D1095))/(VLOOKUP(INT($C$5)+1,Tablas!$G$9:$K$1240,5,0)*($C$5-INT($C$5))+VLOOKUP(INT($C$5),Tablas!$G$9:$K$124,5,0)*(INT($C$5)+1-$C$5)),(+VLOOKUP(INT(D1095)+1,Tablas!$G$9:$O$1240,9,0)*(D1095-INT(D1095))+VLOOKUP(INT(D1095),Tablas!$G$9:$O$1240,9,0)*(INT(D1095)+1-D1095))/(VLOOKUP(INT($C$5)+1,Tablas!$G$9:$O$1240,9,0)*($C$5-INT($C$5))+VLOOKUP(INT($C$5),Tablas!$G$9:$O$124,9,0)*(INT($C$5)+1-$C$5)))</f>
        <v>#N/A</v>
      </c>
      <c r="G1095" s="97" t="e">
        <f ca="1">IF($C$4="Hombre",(+VLOOKUP(INT(D1095)+1,Tablas!$G$9:$K$1240,5,0)*(D1095-INT(D1095))+VLOOKUP(INT(D1095),Tablas!$G$9:$K$1240,5,0)*(INT(D1095)+1-D1095)),+VLOOKUP(INT(D1095)+1,Tablas!$G$9:$O$1240,9,0)*(D1095-INT(D1095))+VLOOKUP(INT(D1095),Tablas!$G$9:$O$1240,9,0)*(INT(D1095)+1-D1095))</f>
        <v>#N/A</v>
      </c>
      <c r="H1095" s="105">
        <f t="shared" ca="1" si="132"/>
        <v>1</v>
      </c>
      <c r="I1095" s="106">
        <f t="shared" ca="1" si="133"/>
        <v>0</v>
      </c>
      <c r="J1095" s="106">
        <f t="shared" ca="1" si="137"/>
        <v>0</v>
      </c>
      <c r="K1095" s="105" t="e">
        <f t="shared" ca="1" si="134"/>
        <v>#N/A</v>
      </c>
      <c r="L1095" s="75"/>
    </row>
    <row r="1096" spans="2:12">
      <c r="B1096" s="101">
        <f t="shared" ca="1" si="135"/>
        <v>85622</v>
      </c>
      <c r="C1096" s="101">
        <f t="shared" ca="1" si="136"/>
        <v>85651</v>
      </c>
      <c r="D1096" s="102">
        <f t="shared" ca="1" si="131"/>
        <v>156.99383983572895</v>
      </c>
      <c r="E1096" s="103">
        <f t="shared" ca="1" si="138"/>
        <v>0.26187619943395746</v>
      </c>
      <c r="F1096" s="104" t="e">
        <f ca="1">IF($C$4="Hombre",(+VLOOKUP(INT(D1096)+1,Tablas!$G$9:$K$1240,5,0)*(D1096-INT(D1096))+VLOOKUP(INT(D1096),Tablas!$G$9:$K$1240,5,0)*(INT(D1096)+1-D1096))/(VLOOKUP(INT($C$5)+1,Tablas!$G$9:$K$1240,5,0)*($C$5-INT($C$5))+VLOOKUP(INT($C$5),Tablas!$G$9:$K$124,5,0)*(INT($C$5)+1-$C$5)),(+VLOOKUP(INT(D1096)+1,Tablas!$G$9:$O$1240,9,0)*(D1096-INT(D1096))+VLOOKUP(INT(D1096),Tablas!$G$9:$O$1240,9,0)*(INT(D1096)+1-D1096))/(VLOOKUP(INT($C$5)+1,Tablas!$G$9:$O$1240,9,0)*($C$5-INT($C$5))+VLOOKUP(INT($C$5),Tablas!$G$9:$O$124,9,0)*(INT($C$5)+1-$C$5)))</f>
        <v>#N/A</v>
      </c>
      <c r="G1096" s="97" t="e">
        <f ca="1">IF($C$4="Hombre",(+VLOOKUP(INT(D1096)+1,Tablas!$G$9:$K$1240,5,0)*(D1096-INT(D1096))+VLOOKUP(INT(D1096),Tablas!$G$9:$K$1240,5,0)*(INT(D1096)+1-D1096)),+VLOOKUP(INT(D1096)+1,Tablas!$G$9:$O$1240,9,0)*(D1096-INT(D1096))+VLOOKUP(INT(D1096),Tablas!$G$9:$O$1240,9,0)*(INT(D1096)+1-D1096))</f>
        <v>#N/A</v>
      </c>
      <c r="H1096" s="105">
        <f t="shared" ca="1" si="132"/>
        <v>1</v>
      </c>
      <c r="I1096" s="106">
        <f t="shared" ca="1" si="133"/>
        <v>0</v>
      </c>
      <c r="J1096" s="106">
        <f t="shared" ca="1" si="137"/>
        <v>0</v>
      </c>
      <c r="K1096" s="105" t="e">
        <f t="shared" ca="1" si="134"/>
        <v>#N/A</v>
      </c>
      <c r="L1096" s="75"/>
    </row>
    <row r="1097" spans="2:12">
      <c r="B1097" s="101">
        <f t="shared" ca="1" si="135"/>
        <v>85652</v>
      </c>
      <c r="C1097" s="101">
        <f t="shared" ca="1" si="136"/>
        <v>85682</v>
      </c>
      <c r="D1097" s="102">
        <f t="shared" ca="1" si="131"/>
        <v>157.07871321013005</v>
      </c>
      <c r="E1097" s="103">
        <f t="shared" ca="1" si="138"/>
        <v>0.26154548941146516</v>
      </c>
      <c r="F1097" s="104" t="e">
        <f ca="1">IF($C$4="Hombre",(+VLOOKUP(INT(D1097)+1,Tablas!$G$9:$K$1240,5,0)*(D1097-INT(D1097))+VLOOKUP(INT(D1097),Tablas!$G$9:$K$1240,5,0)*(INT(D1097)+1-D1097))/(VLOOKUP(INT($C$5)+1,Tablas!$G$9:$K$1240,5,0)*($C$5-INT($C$5))+VLOOKUP(INT($C$5),Tablas!$G$9:$K$124,5,0)*(INT($C$5)+1-$C$5)),(+VLOOKUP(INT(D1097)+1,Tablas!$G$9:$O$1240,9,0)*(D1097-INT(D1097))+VLOOKUP(INT(D1097),Tablas!$G$9:$O$1240,9,0)*(INT(D1097)+1-D1097))/(VLOOKUP(INT($C$5)+1,Tablas!$G$9:$O$1240,9,0)*($C$5-INT($C$5))+VLOOKUP(INT($C$5),Tablas!$G$9:$O$124,9,0)*(INT($C$5)+1-$C$5)))</f>
        <v>#N/A</v>
      </c>
      <c r="G1097" s="97" t="e">
        <f ca="1">IF($C$4="Hombre",(+VLOOKUP(INT(D1097)+1,Tablas!$G$9:$K$1240,5,0)*(D1097-INT(D1097))+VLOOKUP(INT(D1097),Tablas!$G$9:$K$1240,5,0)*(INT(D1097)+1-D1097)),+VLOOKUP(INT(D1097)+1,Tablas!$G$9:$O$1240,9,0)*(D1097-INT(D1097))+VLOOKUP(INT(D1097),Tablas!$G$9:$O$1240,9,0)*(INT(D1097)+1-D1097))</f>
        <v>#N/A</v>
      </c>
      <c r="H1097" s="105">
        <f t="shared" ca="1" si="132"/>
        <v>1</v>
      </c>
      <c r="I1097" s="106">
        <f t="shared" ca="1" si="133"/>
        <v>0</v>
      </c>
      <c r="J1097" s="106">
        <f t="shared" ca="1" si="137"/>
        <v>0</v>
      </c>
      <c r="K1097" s="105" t="e">
        <f t="shared" ca="1" si="134"/>
        <v>#N/A</v>
      </c>
      <c r="L1097" s="75"/>
    </row>
    <row r="1098" spans="2:12">
      <c r="B1098" s="101">
        <f t="shared" ca="1" si="135"/>
        <v>85683</v>
      </c>
      <c r="C1098" s="101">
        <f t="shared" ca="1" si="136"/>
        <v>85713</v>
      </c>
      <c r="D1098" s="102">
        <f t="shared" ca="1" si="131"/>
        <v>157.16358658453115</v>
      </c>
      <c r="E1098" s="103">
        <f t="shared" ca="1" si="138"/>
        <v>0.26121519702570062</v>
      </c>
      <c r="F1098" s="104" t="e">
        <f ca="1">IF($C$4="Hombre",(+VLOOKUP(INT(D1098)+1,Tablas!$G$9:$K$1240,5,0)*(D1098-INT(D1098))+VLOOKUP(INT(D1098),Tablas!$G$9:$K$1240,5,0)*(INT(D1098)+1-D1098))/(VLOOKUP(INT($C$5)+1,Tablas!$G$9:$K$1240,5,0)*($C$5-INT($C$5))+VLOOKUP(INT($C$5),Tablas!$G$9:$K$124,5,0)*(INT($C$5)+1-$C$5)),(+VLOOKUP(INT(D1098)+1,Tablas!$G$9:$O$1240,9,0)*(D1098-INT(D1098))+VLOOKUP(INT(D1098),Tablas!$G$9:$O$1240,9,0)*(INT(D1098)+1-D1098))/(VLOOKUP(INT($C$5)+1,Tablas!$G$9:$O$1240,9,0)*($C$5-INT($C$5))+VLOOKUP(INT($C$5),Tablas!$G$9:$O$124,9,0)*(INT($C$5)+1-$C$5)))</f>
        <v>#N/A</v>
      </c>
      <c r="G1098" s="97" t="e">
        <f ca="1">IF($C$4="Hombre",(+VLOOKUP(INT(D1098)+1,Tablas!$G$9:$K$1240,5,0)*(D1098-INT(D1098))+VLOOKUP(INT(D1098),Tablas!$G$9:$K$1240,5,0)*(INT(D1098)+1-D1098)),+VLOOKUP(INT(D1098)+1,Tablas!$G$9:$O$1240,9,0)*(D1098-INT(D1098))+VLOOKUP(INT(D1098),Tablas!$G$9:$O$1240,9,0)*(INT(D1098)+1-D1098))</f>
        <v>#N/A</v>
      </c>
      <c r="H1098" s="105">
        <f t="shared" ca="1" si="132"/>
        <v>1</v>
      </c>
      <c r="I1098" s="106">
        <f t="shared" ca="1" si="133"/>
        <v>0</v>
      </c>
      <c r="J1098" s="106">
        <f t="shared" ca="1" si="137"/>
        <v>0</v>
      </c>
      <c r="K1098" s="105" t="e">
        <f t="shared" ca="1" si="134"/>
        <v>#N/A</v>
      </c>
      <c r="L1098" s="75"/>
    </row>
    <row r="1099" spans="2:12">
      <c r="B1099" s="101">
        <f t="shared" ca="1" si="135"/>
        <v>85714</v>
      </c>
      <c r="C1099" s="101">
        <f t="shared" ca="1" si="136"/>
        <v>85743</v>
      </c>
      <c r="D1099" s="102">
        <f t="shared" ca="1" si="131"/>
        <v>157.24572210814512</v>
      </c>
      <c r="E1099" s="103">
        <f t="shared" ca="1" si="138"/>
        <v>0.26089595638204494</v>
      </c>
      <c r="F1099" s="104" t="e">
        <f ca="1">IF($C$4="Hombre",(+VLOOKUP(INT(D1099)+1,Tablas!$G$9:$K$1240,5,0)*(D1099-INT(D1099))+VLOOKUP(INT(D1099),Tablas!$G$9:$K$1240,5,0)*(INT(D1099)+1-D1099))/(VLOOKUP(INT($C$5)+1,Tablas!$G$9:$K$1240,5,0)*($C$5-INT($C$5))+VLOOKUP(INT($C$5),Tablas!$G$9:$K$124,5,0)*(INT($C$5)+1-$C$5)),(+VLOOKUP(INT(D1099)+1,Tablas!$G$9:$O$1240,9,0)*(D1099-INT(D1099))+VLOOKUP(INT(D1099),Tablas!$G$9:$O$1240,9,0)*(INT(D1099)+1-D1099))/(VLOOKUP(INT($C$5)+1,Tablas!$G$9:$O$1240,9,0)*($C$5-INT($C$5))+VLOOKUP(INT($C$5),Tablas!$G$9:$O$124,9,0)*(INT($C$5)+1-$C$5)))</f>
        <v>#N/A</v>
      </c>
      <c r="G1099" s="97" t="e">
        <f ca="1">IF($C$4="Hombre",(+VLOOKUP(INT(D1099)+1,Tablas!$G$9:$K$1240,5,0)*(D1099-INT(D1099))+VLOOKUP(INT(D1099),Tablas!$G$9:$K$1240,5,0)*(INT(D1099)+1-D1099)),+VLOOKUP(INT(D1099)+1,Tablas!$G$9:$O$1240,9,0)*(D1099-INT(D1099))+VLOOKUP(INT(D1099),Tablas!$G$9:$O$1240,9,0)*(INT(D1099)+1-D1099))</f>
        <v>#N/A</v>
      </c>
      <c r="H1099" s="105">
        <f t="shared" ca="1" si="132"/>
        <v>1</v>
      </c>
      <c r="I1099" s="106">
        <f t="shared" ca="1" si="133"/>
        <v>0</v>
      </c>
      <c r="J1099" s="106">
        <f t="shared" ca="1" si="137"/>
        <v>0</v>
      </c>
      <c r="K1099" s="105" t="e">
        <f t="shared" ca="1" si="134"/>
        <v>#N/A</v>
      </c>
      <c r="L1099" s="75"/>
    </row>
    <row r="1100" spans="2:12">
      <c r="B1100" s="101">
        <f t="shared" ca="1" si="135"/>
        <v>85744</v>
      </c>
      <c r="C1100" s="101">
        <f t="shared" ca="1" si="136"/>
        <v>85774</v>
      </c>
      <c r="D1100" s="102">
        <f t="shared" ca="1" si="131"/>
        <v>157.33059548254622</v>
      </c>
      <c r="E1100" s="103">
        <f t="shared" ca="1" si="138"/>
        <v>0.26056648425823326</v>
      </c>
      <c r="F1100" s="104" t="e">
        <f ca="1">IF($C$4="Hombre",(+VLOOKUP(INT(D1100)+1,Tablas!$G$9:$K$1240,5,0)*(D1100-INT(D1100))+VLOOKUP(INT(D1100),Tablas!$G$9:$K$1240,5,0)*(INT(D1100)+1-D1100))/(VLOOKUP(INT($C$5)+1,Tablas!$G$9:$K$1240,5,0)*($C$5-INT($C$5))+VLOOKUP(INT($C$5),Tablas!$G$9:$K$124,5,0)*(INT($C$5)+1-$C$5)),(+VLOOKUP(INT(D1100)+1,Tablas!$G$9:$O$1240,9,0)*(D1100-INT(D1100))+VLOOKUP(INT(D1100),Tablas!$G$9:$O$1240,9,0)*(INT(D1100)+1-D1100))/(VLOOKUP(INT($C$5)+1,Tablas!$G$9:$O$1240,9,0)*($C$5-INT($C$5))+VLOOKUP(INT($C$5),Tablas!$G$9:$O$124,9,0)*(INT($C$5)+1-$C$5)))</f>
        <v>#N/A</v>
      </c>
      <c r="G1100" s="97" t="e">
        <f ca="1">IF($C$4="Hombre",(+VLOOKUP(INT(D1100)+1,Tablas!$G$9:$K$1240,5,0)*(D1100-INT(D1100))+VLOOKUP(INT(D1100),Tablas!$G$9:$K$1240,5,0)*(INT(D1100)+1-D1100)),+VLOOKUP(INT(D1100)+1,Tablas!$G$9:$O$1240,9,0)*(D1100-INT(D1100))+VLOOKUP(INT(D1100),Tablas!$G$9:$O$1240,9,0)*(INT(D1100)+1-D1100))</f>
        <v>#N/A</v>
      </c>
      <c r="H1100" s="105">
        <f t="shared" ca="1" si="132"/>
        <v>1</v>
      </c>
      <c r="I1100" s="106">
        <f t="shared" ca="1" si="133"/>
        <v>0</v>
      </c>
      <c r="J1100" s="106">
        <f t="shared" ca="1" si="137"/>
        <v>0</v>
      </c>
      <c r="K1100" s="105" t="e">
        <f t="shared" ca="1" si="134"/>
        <v>#N/A</v>
      </c>
      <c r="L1100" s="75"/>
    </row>
    <row r="1101" spans="2:12">
      <c r="B1101" s="101">
        <f t="shared" ca="1" si="135"/>
        <v>85775</v>
      </c>
      <c r="C1101" s="101">
        <f t="shared" ca="1" si="136"/>
        <v>85804</v>
      </c>
      <c r="D1101" s="102">
        <f t="shared" ca="1" si="131"/>
        <v>157.41273100616016</v>
      </c>
      <c r="E1101" s="103">
        <f t="shared" ca="1" si="138"/>
        <v>0.26024803643017108</v>
      </c>
      <c r="F1101" s="104" t="e">
        <f ca="1">IF($C$4="Hombre",(+VLOOKUP(INT(D1101)+1,Tablas!$G$9:$K$1240,5,0)*(D1101-INT(D1101))+VLOOKUP(INT(D1101),Tablas!$G$9:$K$1240,5,0)*(INT(D1101)+1-D1101))/(VLOOKUP(INT($C$5)+1,Tablas!$G$9:$K$1240,5,0)*($C$5-INT($C$5))+VLOOKUP(INT($C$5),Tablas!$G$9:$K$124,5,0)*(INT($C$5)+1-$C$5)),(+VLOOKUP(INT(D1101)+1,Tablas!$G$9:$O$1240,9,0)*(D1101-INT(D1101))+VLOOKUP(INT(D1101),Tablas!$G$9:$O$1240,9,0)*(INT(D1101)+1-D1101))/(VLOOKUP(INT($C$5)+1,Tablas!$G$9:$O$1240,9,0)*($C$5-INT($C$5))+VLOOKUP(INT($C$5),Tablas!$G$9:$O$124,9,0)*(INT($C$5)+1-$C$5)))</f>
        <v>#N/A</v>
      </c>
      <c r="G1101" s="97" t="e">
        <f ca="1">IF($C$4="Hombre",(+VLOOKUP(INT(D1101)+1,Tablas!$G$9:$K$1240,5,0)*(D1101-INT(D1101))+VLOOKUP(INT(D1101),Tablas!$G$9:$K$1240,5,0)*(INT(D1101)+1-D1101)),+VLOOKUP(INT(D1101)+1,Tablas!$G$9:$O$1240,9,0)*(D1101-INT(D1101))+VLOOKUP(INT(D1101),Tablas!$G$9:$O$1240,9,0)*(INT(D1101)+1-D1101))</f>
        <v>#N/A</v>
      </c>
      <c r="H1101" s="105">
        <f t="shared" ca="1" si="132"/>
        <v>1</v>
      </c>
      <c r="I1101" s="106">
        <f t="shared" ca="1" si="133"/>
        <v>0</v>
      </c>
      <c r="J1101" s="106">
        <f t="shared" ca="1" si="137"/>
        <v>0</v>
      </c>
      <c r="K1101" s="105" t="e">
        <f t="shared" ca="1" si="134"/>
        <v>#N/A</v>
      </c>
      <c r="L1101" s="75"/>
    </row>
    <row r="1102" spans="2:12">
      <c r="B1102" s="101">
        <f t="shared" ca="1" si="135"/>
        <v>85805</v>
      </c>
      <c r="C1102" s="101">
        <f t="shared" ca="1" si="136"/>
        <v>85835</v>
      </c>
      <c r="D1102" s="102">
        <f t="shared" ca="1" si="131"/>
        <v>157.49760438056126</v>
      </c>
      <c r="E1102" s="103">
        <f t="shared" ca="1" si="138"/>
        <v>0.25991938253123942</v>
      </c>
      <c r="F1102" s="104" t="e">
        <f ca="1">IF($C$4="Hombre",(+VLOOKUP(INT(D1102)+1,Tablas!$G$9:$K$1240,5,0)*(D1102-INT(D1102))+VLOOKUP(INT(D1102),Tablas!$G$9:$K$1240,5,0)*(INT(D1102)+1-D1102))/(VLOOKUP(INT($C$5)+1,Tablas!$G$9:$K$1240,5,0)*($C$5-INT($C$5))+VLOOKUP(INT($C$5),Tablas!$G$9:$K$124,5,0)*(INT($C$5)+1-$C$5)),(+VLOOKUP(INT(D1102)+1,Tablas!$G$9:$O$1240,9,0)*(D1102-INT(D1102))+VLOOKUP(INT(D1102),Tablas!$G$9:$O$1240,9,0)*(INT(D1102)+1-D1102))/(VLOOKUP(INT($C$5)+1,Tablas!$G$9:$O$1240,9,0)*($C$5-INT($C$5))+VLOOKUP(INT($C$5),Tablas!$G$9:$O$124,9,0)*(INT($C$5)+1-$C$5)))</f>
        <v>#N/A</v>
      </c>
      <c r="G1102" s="97" t="e">
        <f ca="1">IF($C$4="Hombre",(+VLOOKUP(INT(D1102)+1,Tablas!$G$9:$K$1240,5,0)*(D1102-INT(D1102))+VLOOKUP(INT(D1102),Tablas!$G$9:$K$1240,5,0)*(INT(D1102)+1-D1102)),+VLOOKUP(INT(D1102)+1,Tablas!$G$9:$O$1240,9,0)*(D1102-INT(D1102))+VLOOKUP(INT(D1102),Tablas!$G$9:$O$1240,9,0)*(INT(D1102)+1-D1102))</f>
        <v>#N/A</v>
      </c>
      <c r="H1102" s="105">
        <f t="shared" ca="1" si="132"/>
        <v>1</v>
      </c>
      <c r="I1102" s="106">
        <f t="shared" ca="1" si="133"/>
        <v>0</v>
      </c>
      <c r="J1102" s="106">
        <f t="shared" ca="1" si="137"/>
        <v>0</v>
      </c>
      <c r="K1102" s="105" t="e">
        <f t="shared" ca="1" si="134"/>
        <v>#N/A</v>
      </c>
      <c r="L1102" s="75"/>
    </row>
    <row r="1103" spans="2:12">
      <c r="B1103" s="101">
        <f t="shared" ca="1" si="135"/>
        <v>85836</v>
      </c>
      <c r="C1103" s="101">
        <f t="shared" ca="1" si="136"/>
        <v>85866</v>
      </c>
      <c r="D1103" s="102">
        <f t="shared" ca="1" si="131"/>
        <v>157.58247775496235</v>
      </c>
      <c r="E1103" s="103">
        <f t="shared" ca="1" si="138"/>
        <v>0.25959114367246233</v>
      </c>
      <c r="F1103" s="104" t="e">
        <f ca="1">IF($C$4="Hombre",(+VLOOKUP(INT(D1103)+1,Tablas!$G$9:$K$1240,5,0)*(D1103-INT(D1103))+VLOOKUP(INT(D1103),Tablas!$G$9:$K$1240,5,0)*(INT(D1103)+1-D1103))/(VLOOKUP(INT($C$5)+1,Tablas!$G$9:$K$1240,5,0)*($C$5-INT($C$5))+VLOOKUP(INT($C$5),Tablas!$G$9:$K$124,5,0)*(INT($C$5)+1-$C$5)),(+VLOOKUP(INT(D1103)+1,Tablas!$G$9:$O$1240,9,0)*(D1103-INT(D1103))+VLOOKUP(INT(D1103),Tablas!$G$9:$O$1240,9,0)*(INT(D1103)+1-D1103))/(VLOOKUP(INT($C$5)+1,Tablas!$G$9:$O$1240,9,0)*($C$5-INT($C$5))+VLOOKUP(INT($C$5),Tablas!$G$9:$O$124,9,0)*(INT($C$5)+1-$C$5)))</f>
        <v>#N/A</v>
      </c>
      <c r="G1103" s="97" t="e">
        <f ca="1">IF($C$4="Hombre",(+VLOOKUP(INT(D1103)+1,Tablas!$G$9:$K$1240,5,0)*(D1103-INT(D1103))+VLOOKUP(INT(D1103),Tablas!$G$9:$K$1240,5,0)*(INT(D1103)+1-D1103)),+VLOOKUP(INT(D1103)+1,Tablas!$G$9:$O$1240,9,0)*(D1103-INT(D1103))+VLOOKUP(INT(D1103),Tablas!$G$9:$O$1240,9,0)*(INT(D1103)+1-D1103))</f>
        <v>#N/A</v>
      </c>
      <c r="H1103" s="105">
        <f t="shared" ca="1" si="132"/>
        <v>1</v>
      </c>
      <c r="I1103" s="106">
        <f t="shared" ca="1" si="133"/>
        <v>0</v>
      </c>
      <c r="J1103" s="106">
        <f t="shared" ca="1" si="137"/>
        <v>0</v>
      </c>
      <c r="K1103" s="105" t="e">
        <f t="shared" ca="1" si="134"/>
        <v>#N/A</v>
      </c>
      <c r="L1103" s="75"/>
    </row>
    <row r="1104" spans="2:12">
      <c r="B1104" s="101">
        <f t="shared" ca="1" si="135"/>
        <v>85867</v>
      </c>
      <c r="C1104" s="101">
        <f t="shared" ca="1" si="136"/>
        <v>85894</v>
      </c>
      <c r="D1104" s="102">
        <f t="shared" ca="1" si="131"/>
        <v>157.65913757700204</v>
      </c>
      <c r="E1104" s="103">
        <f t="shared" ca="1" si="138"/>
        <v>0.25929502616441685</v>
      </c>
      <c r="F1104" s="104" t="e">
        <f ca="1">IF($C$4="Hombre",(+VLOOKUP(INT(D1104)+1,Tablas!$G$9:$K$1240,5,0)*(D1104-INT(D1104))+VLOOKUP(INT(D1104),Tablas!$G$9:$K$1240,5,0)*(INT(D1104)+1-D1104))/(VLOOKUP(INT($C$5)+1,Tablas!$G$9:$K$1240,5,0)*($C$5-INT($C$5))+VLOOKUP(INT($C$5),Tablas!$G$9:$K$124,5,0)*(INT($C$5)+1-$C$5)),(+VLOOKUP(INT(D1104)+1,Tablas!$G$9:$O$1240,9,0)*(D1104-INT(D1104))+VLOOKUP(INT(D1104),Tablas!$G$9:$O$1240,9,0)*(INT(D1104)+1-D1104))/(VLOOKUP(INT($C$5)+1,Tablas!$G$9:$O$1240,9,0)*($C$5-INT($C$5))+VLOOKUP(INT($C$5),Tablas!$G$9:$O$124,9,0)*(INT($C$5)+1-$C$5)))</f>
        <v>#N/A</v>
      </c>
      <c r="G1104" s="97" t="e">
        <f ca="1">IF($C$4="Hombre",(+VLOOKUP(INT(D1104)+1,Tablas!$G$9:$K$1240,5,0)*(D1104-INT(D1104))+VLOOKUP(INT(D1104),Tablas!$G$9:$K$1240,5,0)*(INT(D1104)+1-D1104)),+VLOOKUP(INT(D1104)+1,Tablas!$G$9:$O$1240,9,0)*(D1104-INT(D1104))+VLOOKUP(INT(D1104),Tablas!$G$9:$O$1240,9,0)*(INT(D1104)+1-D1104))</f>
        <v>#N/A</v>
      </c>
      <c r="H1104" s="105">
        <f t="shared" ca="1" si="132"/>
        <v>1</v>
      </c>
      <c r="I1104" s="106">
        <f t="shared" ca="1" si="133"/>
        <v>0</v>
      </c>
      <c r="J1104" s="106">
        <f t="shared" ca="1" si="137"/>
        <v>0</v>
      </c>
      <c r="K1104" s="105" t="e">
        <f t="shared" ca="1" si="134"/>
        <v>#N/A</v>
      </c>
      <c r="L1104" s="75"/>
    </row>
    <row r="1105" spans="2:12">
      <c r="B1105" s="101">
        <f t="shared" ca="1" si="135"/>
        <v>85895</v>
      </c>
      <c r="C1105" s="101">
        <f t="shared" ca="1" si="136"/>
        <v>85925</v>
      </c>
      <c r="D1105" s="102">
        <f t="shared" ca="1" si="131"/>
        <v>157.74401095140314</v>
      </c>
      <c r="E1105" s="103">
        <f t="shared" ca="1" si="138"/>
        <v>0.25896757577327667</v>
      </c>
      <c r="F1105" s="104" t="e">
        <f ca="1">IF($C$4="Hombre",(+VLOOKUP(INT(D1105)+1,Tablas!$G$9:$K$1240,5,0)*(D1105-INT(D1105))+VLOOKUP(INT(D1105),Tablas!$G$9:$K$1240,5,0)*(INT(D1105)+1-D1105))/(VLOOKUP(INT($C$5)+1,Tablas!$G$9:$K$1240,5,0)*($C$5-INT($C$5))+VLOOKUP(INT($C$5),Tablas!$G$9:$K$124,5,0)*(INT($C$5)+1-$C$5)),(+VLOOKUP(INT(D1105)+1,Tablas!$G$9:$O$1240,9,0)*(D1105-INT(D1105))+VLOOKUP(INT(D1105),Tablas!$G$9:$O$1240,9,0)*(INT(D1105)+1-D1105))/(VLOOKUP(INT($C$5)+1,Tablas!$G$9:$O$1240,9,0)*($C$5-INT($C$5))+VLOOKUP(INT($C$5),Tablas!$G$9:$O$124,9,0)*(INT($C$5)+1-$C$5)))</f>
        <v>#N/A</v>
      </c>
      <c r="G1105" s="97" t="e">
        <f ca="1">IF($C$4="Hombre",(+VLOOKUP(INT(D1105)+1,Tablas!$G$9:$K$1240,5,0)*(D1105-INT(D1105))+VLOOKUP(INT(D1105),Tablas!$G$9:$K$1240,5,0)*(INT(D1105)+1-D1105)),+VLOOKUP(INT(D1105)+1,Tablas!$G$9:$O$1240,9,0)*(D1105-INT(D1105))+VLOOKUP(INT(D1105),Tablas!$G$9:$O$1240,9,0)*(INT(D1105)+1-D1105))</f>
        <v>#N/A</v>
      </c>
      <c r="H1105" s="105">
        <f t="shared" ca="1" si="132"/>
        <v>1</v>
      </c>
      <c r="I1105" s="106">
        <f t="shared" ca="1" si="133"/>
        <v>0</v>
      </c>
      <c r="J1105" s="106">
        <f t="shared" ca="1" si="137"/>
        <v>0</v>
      </c>
      <c r="K1105" s="105" t="e">
        <f t="shared" ca="1" si="134"/>
        <v>#N/A</v>
      </c>
      <c r="L1105" s="75"/>
    </row>
    <row r="1106" spans="2:12">
      <c r="B1106" s="101">
        <f t="shared" ca="1" si="135"/>
        <v>85926</v>
      </c>
      <c r="C1106" s="101">
        <f t="shared" ca="1" si="136"/>
        <v>85955</v>
      </c>
      <c r="D1106" s="102">
        <f t="shared" ref="D1106:D1169" ca="1" si="139">-_xlfn.DAYS($C$3,C1106)/365.25</f>
        <v>157.82614647501711</v>
      </c>
      <c r="E1106" s="103">
        <f t="shared" ca="1" si="138"/>
        <v>0.25865108202973819</v>
      </c>
      <c r="F1106" s="104" t="e">
        <f ca="1">IF($C$4="Hombre",(+VLOOKUP(INT(D1106)+1,Tablas!$G$9:$K$1240,5,0)*(D1106-INT(D1106))+VLOOKUP(INT(D1106),Tablas!$G$9:$K$1240,5,0)*(INT(D1106)+1-D1106))/(VLOOKUP(INT($C$5)+1,Tablas!$G$9:$K$1240,5,0)*($C$5-INT($C$5))+VLOOKUP(INT($C$5),Tablas!$G$9:$K$124,5,0)*(INT($C$5)+1-$C$5)),(+VLOOKUP(INT(D1106)+1,Tablas!$G$9:$O$1240,9,0)*(D1106-INT(D1106))+VLOOKUP(INT(D1106),Tablas!$G$9:$O$1240,9,0)*(INT(D1106)+1-D1106))/(VLOOKUP(INT($C$5)+1,Tablas!$G$9:$O$1240,9,0)*($C$5-INT($C$5))+VLOOKUP(INT($C$5),Tablas!$G$9:$O$124,9,0)*(INT($C$5)+1-$C$5)))</f>
        <v>#N/A</v>
      </c>
      <c r="G1106" s="97" t="e">
        <f ca="1">IF($C$4="Hombre",(+VLOOKUP(INT(D1106)+1,Tablas!$G$9:$K$1240,5,0)*(D1106-INT(D1106))+VLOOKUP(INT(D1106),Tablas!$G$9:$K$1240,5,0)*(INT(D1106)+1-D1106)),+VLOOKUP(INT(D1106)+1,Tablas!$G$9:$O$1240,9,0)*(D1106-INT(D1106))+VLOOKUP(INT(D1106),Tablas!$G$9:$O$1240,9,0)*(INT(D1106)+1-D1106))</f>
        <v>#N/A</v>
      </c>
      <c r="H1106" s="105">
        <f t="shared" ref="H1106:H1169" ca="1" si="140">+IF(MONTH(B1106)=1,H1105*(1+$C$9),H1105)</f>
        <v>1</v>
      </c>
      <c r="I1106" s="106">
        <f t="shared" ref="I1106:I1169" ca="1" si="141">IF(B1106&lt;$C$10,0,IF(B1106&lt;$C$11,$C$8/12*E1106*F1106*H1106,0))</f>
        <v>0</v>
      </c>
      <c r="J1106" s="106">
        <f t="shared" ca="1" si="137"/>
        <v>0</v>
      </c>
      <c r="K1106" s="105" t="e">
        <f t="shared" ref="K1106:K1169" ca="1" si="142">G1106/$G$15</f>
        <v>#N/A</v>
      </c>
      <c r="L1106" s="75"/>
    </row>
    <row r="1107" spans="2:12">
      <c r="B1107" s="101">
        <f t="shared" ref="B1107:B1170" ca="1" si="143">+DATE(YEAR(B1106),MONTH(B1106)+1,DAY(B1106))</f>
        <v>85956</v>
      </c>
      <c r="C1107" s="101">
        <f t="shared" ref="C1107:C1170" ca="1" si="144">+B1108-1</f>
        <v>85986</v>
      </c>
      <c r="D1107" s="102">
        <f t="shared" ca="1" si="139"/>
        <v>157.91101984941821</v>
      </c>
      <c r="E1107" s="103">
        <f t="shared" ca="1" si="138"/>
        <v>0.25832444484262235</v>
      </c>
      <c r="F1107" s="104" t="e">
        <f ca="1">IF($C$4="Hombre",(+VLOOKUP(INT(D1107)+1,Tablas!$G$9:$K$1240,5,0)*(D1107-INT(D1107))+VLOOKUP(INT(D1107),Tablas!$G$9:$K$1240,5,0)*(INT(D1107)+1-D1107))/(VLOOKUP(INT($C$5)+1,Tablas!$G$9:$K$1240,5,0)*($C$5-INT($C$5))+VLOOKUP(INT($C$5),Tablas!$G$9:$K$124,5,0)*(INT($C$5)+1-$C$5)),(+VLOOKUP(INT(D1107)+1,Tablas!$G$9:$O$1240,9,0)*(D1107-INT(D1107))+VLOOKUP(INT(D1107),Tablas!$G$9:$O$1240,9,0)*(INT(D1107)+1-D1107))/(VLOOKUP(INT($C$5)+1,Tablas!$G$9:$O$1240,9,0)*($C$5-INT($C$5))+VLOOKUP(INT($C$5),Tablas!$G$9:$O$124,9,0)*(INT($C$5)+1-$C$5)))</f>
        <v>#N/A</v>
      </c>
      <c r="G1107" s="97" t="e">
        <f ca="1">IF($C$4="Hombre",(+VLOOKUP(INT(D1107)+1,Tablas!$G$9:$K$1240,5,0)*(D1107-INT(D1107))+VLOOKUP(INT(D1107),Tablas!$G$9:$K$1240,5,0)*(INT(D1107)+1-D1107)),+VLOOKUP(INT(D1107)+1,Tablas!$G$9:$O$1240,9,0)*(D1107-INT(D1107))+VLOOKUP(INT(D1107),Tablas!$G$9:$O$1240,9,0)*(INT(D1107)+1-D1107))</f>
        <v>#N/A</v>
      </c>
      <c r="H1107" s="105">
        <f t="shared" ca="1" si="140"/>
        <v>1</v>
      </c>
      <c r="I1107" s="106">
        <f t="shared" ca="1" si="141"/>
        <v>0</v>
      </c>
      <c r="J1107" s="106">
        <f t="shared" ref="J1107:J1170" ca="1" si="145">I1107*12/14+IF(OR(MONTH(C1107)=6,MONTH(C1107)=12),I1107*12/14,0)</f>
        <v>0</v>
      </c>
      <c r="K1107" s="105" t="e">
        <f t="shared" ca="1" si="142"/>
        <v>#N/A</v>
      </c>
      <c r="L1107" s="75"/>
    </row>
    <row r="1108" spans="2:12">
      <c r="B1108" s="101">
        <f t="shared" ca="1" si="143"/>
        <v>85987</v>
      </c>
      <c r="C1108" s="101">
        <f t="shared" ca="1" si="144"/>
        <v>86016</v>
      </c>
      <c r="D1108" s="102">
        <f t="shared" ca="1" si="139"/>
        <v>157.99315537303218</v>
      </c>
      <c r="E1108" s="103">
        <f t="shared" ca="1" si="138"/>
        <v>0.25800873709291039</v>
      </c>
      <c r="F1108" s="104" t="e">
        <f ca="1">IF($C$4="Hombre",(+VLOOKUP(INT(D1108)+1,Tablas!$G$9:$K$1240,5,0)*(D1108-INT(D1108))+VLOOKUP(INT(D1108),Tablas!$G$9:$K$1240,5,0)*(INT(D1108)+1-D1108))/(VLOOKUP(INT($C$5)+1,Tablas!$G$9:$K$1240,5,0)*($C$5-INT($C$5))+VLOOKUP(INT($C$5),Tablas!$G$9:$K$124,5,0)*(INT($C$5)+1-$C$5)),(+VLOOKUP(INT(D1108)+1,Tablas!$G$9:$O$1240,9,0)*(D1108-INT(D1108))+VLOOKUP(INT(D1108),Tablas!$G$9:$O$1240,9,0)*(INT(D1108)+1-D1108))/(VLOOKUP(INT($C$5)+1,Tablas!$G$9:$O$1240,9,0)*($C$5-INT($C$5))+VLOOKUP(INT($C$5),Tablas!$G$9:$O$124,9,0)*(INT($C$5)+1-$C$5)))</f>
        <v>#N/A</v>
      </c>
      <c r="G1108" s="97" t="e">
        <f ca="1">IF($C$4="Hombre",(+VLOOKUP(INT(D1108)+1,Tablas!$G$9:$K$1240,5,0)*(D1108-INT(D1108))+VLOOKUP(INT(D1108),Tablas!$G$9:$K$1240,5,0)*(INT(D1108)+1-D1108)),+VLOOKUP(INT(D1108)+1,Tablas!$G$9:$O$1240,9,0)*(D1108-INT(D1108))+VLOOKUP(INT(D1108),Tablas!$G$9:$O$1240,9,0)*(INT(D1108)+1-D1108))</f>
        <v>#N/A</v>
      </c>
      <c r="H1108" s="105">
        <f t="shared" ca="1" si="140"/>
        <v>1</v>
      </c>
      <c r="I1108" s="106">
        <f t="shared" ca="1" si="141"/>
        <v>0</v>
      </c>
      <c r="J1108" s="106">
        <f t="shared" ca="1" si="145"/>
        <v>0</v>
      </c>
      <c r="K1108" s="105" t="e">
        <f t="shared" ca="1" si="142"/>
        <v>#N/A</v>
      </c>
      <c r="L1108" s="75"/>
    </row>
    <row r="1109" spans="2:12">
      <c r="B1109" s="101">
        <f t="shared" ca="1" si="143"/>
        <v>86017</v>
      </c>
      <c r="C1109" s="101">
        <f t="shared" ca="1" si="144"/>
        <v>86047</v>
      </c>
      <c r="D1109" s="102">
        <f t="shared" ca="1" si="139"/>
        <v>158.07802874743325</v>
      </c>
      <c r="E1109" s="103">
        <f t="shared" ca="1" si="138"/>
        <v>0.25768291109027408</v>
      </c>
      <c r="F1109" s="104" t="e">
        <f ca="1">IF($C$4="Hombre",(+VLOOKUP(INT(D1109)+1,Tablas!$G$9:$K$1240,5,0)*(D1109-INT(D1109))+VLOOKUP(INT(D1109),Tablas!$G$9:$K$1240,5,0)*(INT(D1109)+1-D1109))/(VLOOKUP(INT($C$5)+1,Tablas!$G$9:$K$1240,5,0)*($C$5-INT($C$5))+VLOOKUP(INT($C$5),Tablas!$G$9:$K$124,5,0)*(INT($C$5)+1-$C$5)),(+VLOOKUP(INT(D1109)+1,Tablas!$G$9:$O$1240,9,0)*(D1109-INT(D1109))+VLOOKUP(INT(D1109),Tablas!$G$9:$O$1240,9,0)*(INT(D1109)+1-D1109))/(VLOOKUP(INT($C$5)+1,Tablas!$G$9:$O$1240,9,0)*($C$5-INT($C$5))+VLOOKUP(INT($C$5),Tablas!$G$9:$O$124,9,0)*(INT($C$5)+1-$C$5)))</f>
        <v>#N/A</v>
      </c>
      <c r="G1109" s="97" t="e">
        <f ca="1">IF($C$4="Hombre",(+VLOOKUP(INT(D1109)+1,Tablas!$G$9:$K$1240,5,0)*(D1109-INT(D1109))+VLOOKUP(INT(D1109),Tablas!$G$9:$K$1240,5,0)*(INT(D1109)+1-D1109)),+VLOOKUP(INT(D1109)+1,Tablas!$G$9:$O$1240,9,0)*(D1109-INT(D1109))+VLOOKUP(INT(D1109),Tablas!$G$9:$O$1240,9,0)*(INT(D1109)+1-D1109))</f>
        <v>#N/A</v>
      </c>
      <c r="H1109" s="105">
        <f t="shared" ca="1" si="140"/>
        <v>1</v>
      </c>
      <c r="I1109" s="106">
        <f t="shared" ca="1" si="141"/>
        <v>0</v>
      </c>
      <c r="J1109" s="106">
        <f t="shared" ca="1" si="145"/>
        <v>0</v>
      </c>
      <c r="K1109" s="105" t="e">
        <f t="shared" ca="1" si="142"/>
        <v>#N/A</v>
      </c>
      <c r="L1109" s="75"/>
    </row>
    <row r="1110" spans="2:12">
      <c r="B1110" s="101">
        <f t="shared" ca="1" si="143"/>
        <v>86048</v>
      </c>
      <c r="C1110" s="101">
        <f t="shared" ca="1" si="144"/>
        <v>86078</v>
      </c>
      <c r="D1110" s="102">
        <f t="shared" ca="1" si="139"/>
        <v>158.16290212183435</v>
      </c>
      <c r="E1110" s="103">
        <f t="shared" ca="1" si="138"/>
        <v>0.25735749655658702</v>
      </c>
      <c r="F1110" s="104" t="e">
        <f ca="1">IF($C$4="Hombre",(+VLOOKUP(INT(D1110)+1,Tablas!$G$9:$K$1240,5,0)*(D1110-INT(D1110))+VLOOKUP(INT(D1110),Tablas!$G$9:$K$1240,5,0)*(INT(D1110)+1-D1110))/(VLOOKUP(INT($C$5)+1,Tablas!$G$9:$K$1240,5,0)*($C$5-INT($C$5))+VLOOKUP(INT($C$5),Tablas!$G$9:$K$124,5,0)*(INT($C$5)+1-$C$5)),(+VLOOKUP(INT(D1110)+1,Tablas!$G$9:$O$1240,9,0)*(D1110-INT(D1110))+VLOOKUP(INT(D1110),Tablas!$G$9:$O$1240,9,0)*(INT(D1110)+1-D1110))/(VLOOKUP(INT($C$5)+1,Tablas!$G$9:$O$1240,9,0)*($C$5-INT($C$5))+VLOOKUP(INT($C$5),Tablas!$G$9:$O$124,9,0)*(INT($C$5)+1-$C$5)))</f>
        <v>#N/A</v>
      </c>
      <c r="G1110" s="97" t="e">
        <f ca="1">IF($C$4="Hombre",(+VLOOKUP(INT(D1110)+1,Tablas!$G$9:$K$1240,5,0)*(D1110-INT(D1110))+VLOOKUP(INT(D1110),Tablas!$G$9:$K$1240,5,0)*(INT(D1110)+1-D1110)),+VLOOKUP(INT(D1110)+1,Tablas!$G$9:$O$1240,9,0)*(D1110-INT(D1110))+VLOOKUP(INT(D1110),Tablas!$G$9:$O$1240,9,0)*(INT(D1110)+1-D1110))</f>
        <v>#N/A</v>
      </c>
      <c r="H1110" s="105">
        <f t="shared" ca="1" si="140"/>
        <v>1</v>
      </c>
      <c r="I1110" s="106">
        <f t="shared" ca="1" si="141"/>
        <v>0</v>
      </c>
      <c r="J1110" s="106">
        <f t="shared" ca="1" si="145"/>
        <v>0</v>
      </c>
      <c r="K1110" s="105" t="e">
        <f t="shared" ca="1" si="142"/>
        <v>#N/A</v>
      </c>
      <c r="L1110" s="75"/>
    </row>
    <row r="1111" spans="2:12">
      <c r="B1111" s="101">
        <f t="shared" ca="1" si="143"/>
        <v>86079</v>
      </c>
      <c r="C1111" s="101">
        <f t="shared" ca="1" si="144"/>
        <v>86108</v>
      </c>
      <c r="D1111" s="102">
        <f t="shared" ca="1" si="139"/>
        <v>158.24503764544832</v>
      </c>
      <c r="E1111" s="103">
        <f t="shared" ca="1" si="138"/>
        <v>0.25704297054973202</v>
      </c>
      <c r="F1111" s="104" t="e">
        <f ca="1">IF($C$4="Hombre",(+VLOOKUP(INT(D1111)+1,Tablas!$G$9:$K$1240,5,0)*(D1111-INT(D1111))+VLOOKUP(INT(D1111),Tablas!$G$9:$K$1240,5,0)*(INT(D1111)+1-D1111))/(VLOOKUP(INT($C$5)+1,Tablas!$G$9:$K$1240,5,0)*($C$5-INT($C$5))+VLOOKUP(INT($C$5),Tablas!$G$9:$K$124,5,0)*(INT($C$5)+1-$C$5)),(+VLOOKUP(INT(D1111)+1,Tablas!$G$9:$O$1240,9,0)*(D1111-INT(D1111))+VLOOKUP(INT(D1111),Tablas!$G$9:$O$1240,9,0)*(INT(D1111)+1-D1111))/(VLOOKUP(INT($C$5)+1,Tablas!$G$9:$O$1240,9,0)*($C$5-INT($C$5))+VLOOKUP(INT($C$5),Tablas!$G$9:$O$124,9,0)*(INT($C$5)+1-$C$5)))</f>
        <v>#N/A</v>
      </c>
      <c r="G1111" s="97" t="e">
        <f ca="1">IF($C$4="Hombre",(+VLOOKUP(INT(D1111)+1,Tablas!$G$9:$K$1240,5,0)*(D1111-INT(D1111))+VLOOKUP(INT(D1111),Tablas!$G$9:$K$1240,5,0)*(INT(D1111)+1-D1111)),+VLOOKUP(INT(D1111)+1,Tablas!$G$9:$O$1240,9,0)*(D1111-INT(D1111))+VLOOKUP(INT(D1111),Tablas!$G$9:$O$1240,9,0)*(INT(D1111)+1-D1111))</f>
        <v>#N/A</v>
      </c>
      <c r="H1111" s="105">
        <f t="shared" ca="1" si="140"/>
        <v>1</v>
      </c>
      <c r="I1111" s="106">
        <f t="shared" ca="1" si="141"/>
        <v>0</v>
      </c>
      <c r="J1111" s="106">
        <f t="shared" ca="1" si="145"/>
        <v>0</v>
      </c>
      <c r="K1111" s="105" t="e">
        <f t="shared" ca="1" si="142"/>
        <v>#N/A</v>
      </c>
      <c r="L1111" s="75"/>
    </row>
    <row r="1112" spans="2:12">
      <c r="B1112" s="101">
        <f t="shared" ca="1" si="143"/>
        <v>86109</v>
      </c>
      <c r="C1112" s="101">
        <f t="shared" ca="1" si="144"/>
        <v>86139</v>
      </c>
      <c r="D1112" s="102">
        <f t="shared" ca="1" si="139"/>
        <v>158.32991101984942</v>
      </c>
      <c r="E1112" s="103">
        <f t="shared" ref="E1112:E1175" ca="1" si="146">IF($D$17+40&lt;=D1112,(1+$D$7)^-(D1112-$C$5),(1+$C$7)^-(D1112-$C$5))</f>
        <v>0.25671836416413563</v>
      </c>
      <c r="F1112" s="104" t="e">
        <f ca="1">IF($C$4="Hombre",(+VLOOKUP(INT(D1112)+1,Tablas!$G$9:$K$1240,5,0)*(D1112-INT(D1112))+VLOOKUP(INT(D1112),Tablas!$G$9:$K$1240,5,0)*(INT(D1112)+1-D1112))/(VLOOKUP(INT($C$5)+1,Tablas!$G$9:$K$1240,5,0)*($C$5-INT($C$5))+VLOOKUP(INT($C$5),Tablas!$G$9:$K$124,5,0)*(INT($C$5)+1-$C$5)),(+VLOOKUP(INT(D1112)+1,Tablas!$G$9:$O$1240,9,0)*(D1112-INT(D1112))+VLOOKUP(INT(D1112),Tablas!$G$9:$O$1240,9,0)*(INT(D1112)+1-D1112))/(VLOOKUP(INT($C$5)+1,Tablas!$G$9:$O$1240,9,0)*($C$5-INT($C$5))+VLOOKUP(INT($C$5),Tablas!$G$9:$O$124,9,0)*(INT($C$5)+1-$C$5)))</f>
        <v>#N/A</v>
      </c>
      <c r="G1112" s="97" t="e">
        <f ca="1">IF($C$4="Hombre",(+VLOOKUP(INT(D1112)+1,Tablas!$G$9:$K$1240,5,0)*(D1112-INT(D1112))+VLOOKUP(INT(D1112),Tablas!$G$9:$K$1240,5,0)*(INT(D1112)+1-D1112)),+VLOOKUP(INT(D1112)+1,Tablas!$G$9:$O$1240,9,0)*(D1112-INT(D1112))+VLOOKUP(INT(D1112),Tablas!$G$9:$O$1240,9,0)*(INT(D1112)+1-D1112))</f>
        <v>#N/A</v>
      </c>
      <c r="H1112" s="105">
        <f t="shared" ca="1" si="140"/>
        <v>1</v>
      </c>
      <c r="I1112" s="106">
        <f t="shared" ca="1" si="141"/>
        <v>0</v>
      </c>
      <c r="J1112" s="106">
        <f t="shared" ca="1" si="145"/>
        <v>0</v>
      </c>
      <c r="K1112" s="105" t="e">
        <f t="shared" ca="1" si="142"/>
        <v>#N/A</v>
      </c>
      <c r="L1112" s="75"/>
    </row>
    <row r="1113" spans="2:12">
      <c r="B1113" s="101">
        <f t="shared" ca="1" si="143"/>
        <v>86140</v>
      </c>
      <c r="C1113" s="101">
        <f t="shared" ca="1" si="144"/>
        <v>86169</v>
      </c>
      <c r="D1113" s="102">
        <f t="shared" ca="1" si="139"/>
        <v>158.41204654346339</v>
      </c>
      <c r="E1113" s="103">
        <f t="shared" ca="1" si="146"/>
        <v>0.25640461926434743</v>
      </c>
      <c r="F1113" s="104" t="e">
        <f ca="1">IF($C$4="Hombre",(+VLOOKUP(INT(D1113)+1,Tablas!$G$9:$K$1240,5,0)*(D1113-INT(D1113))+VLOOKUP(INT(D1113),Tablas!$G$9:$K$1240,5,0)*(INT(D1113)+1-D1113))/(VLOOKUP(INT($C$5)+1,Tablas!$G$9:$K$1240,5,0)*($C$5-INT($C$5))+VLOOKUP(INT($C$5),Tablas!$G$9:$K$124,5,0)*(INT($C$5)+1-$C$5)),(+VLOOKUP(INT(D1113)+1,Tablas!$G$9:$O$1240,9,0)*(D1113-INT(D1113))+VLOOKUP(INT(D1113),Tablas!$G$9:$O$1240,9,0)*(INT(D1113)+1-D1113))/(VLOOKUP(INT($C$5)+1,Tablas!$G$9:$O$1240,9,0)*($C$5-INT($C$5))+VLOOKUP(INT($C$5),Tablas!$G$9:$O$124,9,0)*(INT($C$5)+1-$C$5)))</f>
        <v>#N/A</v>
      </c>
      <c r="G1113" s="97" t="e">
        <f ca="1">IF($C$4="Hombre",(+VLOOKUP(INT(D1113)+1,Tablas!$G$9:$K$1240,5,0)*(D1113-INT(D1113))+VLOOKUP(INT(D1113),Tablas!$G$9:$K$1240,5,0)*(INT(D1113)+1-D1113)),+VLOOKUP(INT(D1113)+1,Tablas!$G$9:$O$1240,9,0)*(D1113-INT(D1113))+VLOOKUP(INT(D1113),Tablas!$G$9:$O$1240,9,0)*(INT(D1113)+1-D1113))</f>
        <v>#N/A</v>
      </c>
      <c r="H1113" s="105">
        <f t="shared" ca="1" si="140"/>
        <v>1</v>
      </c>
      <c r="I1113" s="106">
        <f t="shared" ca="1" si="141"/>
        <v>0</v>
      </c>
      <c r="J1113" s="106">
        <f t="shared" ca="1" si="145"/>
        <v>0</v>
      </c>
      <c r="K1113" s="105" t="e">
        <f t="shared" ca="1" si="142"/>
        <v>#N/A</v>
      </c>
      <c r="L1113" s="75"/>
    </row>
    <row r="1114" spans="2:12">
      <c r="B1114" s="101">
        <f t="shared" ca="1" si="143"/>
        <v>86170</v>
      </c>
      <c r="C1114" s="101">
        <f t="shared" ca="1" si="144"/>
        <v>86200</v>
      </c>
      <c r="D1114" s="102">
        <f t="shared" ca="1" si="139"/>
        <v>158.49691991786449</v>
      </c>
      <c r="E1114" s="103">
        <f t="shared" ca="1" si="146"/>
        <v>0.25608081901985286</v>
      </c>
      <c r="F1114" s="104" t="e">
        <f ca="1">IF($C$4="Hombre",(+VLOOKUP(INT(D1114)+1,Tablas!$G$9:$K$1240,5,0)*(D1114-INT(D1114))+VLOOKUP(INT(D1114),Tablas!$G$9:$K$1240,5,0)*(INT(D1114)+1-D1114))/(VLOOKUP(INT($C$5)+1,Tablas!$G$9:$K$1240,5,0)*($C$5-INT($C$5))+VLOOKUP(INT($C$5),Tablas!$G$9:$K$124,5,0)*(INT($C$5)+1-$C$5)),(+VLOOKUP(INT(D1114)+1,Tablas!$G$9:$O$1240,9,0)*(D1114-INT(D1114))+VLOOKUP(INT(D1114),Tablas!$G$9:$O$1240,9,0)*(INT(D1114)+1-D1114))/(VLOOKUP(INT($C$5)+1,Tablas!$G$9:$O$1240,9,0)*($C$5-INT($C$5))+VLOOKUP(INT($C$5),Tablas!$G$9:$O$124,9,0)*(INT($C$5)+1-$C$5)))</f>
        <v>#N/A</v>
      </c>
      <c r="G1114" s="97" t="e">
        <f ca="1">IF($C$4="Hombre",(+VLOOKUP(INT(D1114)+1,Tablas!$G$9:$K$1240,5,0)*(D1114-INT(D1114))+VLOOKUP(INT(D1114),Tablas!$G$9:$K$1240,5,0)*(INT(D1114)+1-D1114)),+VLOOKUP(INT(D1114)+1,Tablas!$G$9:$O$1240,9,0)*(D1114-INT(D1114))+VLOOKUP(INT(D1114),Tablas!$G$9:$O$1240,9,0)*(INT(D1114)+1-D1114))</f>
        <v>#N/A</v>
      </c>
      <c r="H1114" s="105">
        <f t="shared" ca="1" si="140"/>
        <v>1</v>
      </c>
      <c r="I1114" s="106">
        <f t="shared" ca="1" si="141"/>
        <v>0</v>
      </c>
      <c r="J1114" s="106">
        <f t="shared" ca="1" si="145"/>
        <v>0</v>
      </c>
      <c r="K1114" s="105" t="e">
        <f t="shared" ca="1" si="142"/>
        <v>#N/A</v>
      </c>
      <c r="L1114" s="75"/>
    </row>
    <row r="1115" spans="2:12">
      <c r="B1115" s="101">
        <f t="shared" ca="1" si="143"/>
        <v>86201</v>
      </c>
      <c r="C1115" s="101">
        <f t="shared" ca="1" si="144"/>
        <v>86231</v>
      </c>
      <c r="D1115" s="102">
        <f t="shared" ca="1" si="139"/>
        <v>158.58179329226556</v>
      </c>
      <c r="E1115" s="103">
        <f t="shared" ca="1" si="146"/>
        <v>0.25575742768608173</v>
      </c>
      <c r="F1115" s="104" t="e">
        <f ca="1">IF($C$4="Hombre",(+VLOOKUP(INT(D1115)+1,Tablas!$G$9:$K$1240,5,0)*(D1115-INT(D1115))+VLOOKUP(INT(D1115),Tablas!$G$9:$K$1240,5,0)*(INT(D1115)+1-D1115))/(VLOOKUP(INT($C$5)+1,Tablas!$G$9:$K$1240,5,0)*($C$5-INT($C$5))+VLOOKUP(INT($C$5),Tablas!$G$9:$K$124,5,0)*(INT($C$5)+1-$C$5)),(+VLOOKUP(INT(D1115)+1,Tablas!$G$9:$O$1240,9,0)*(D1115-INT(D1115))+VLOOKUP(INT(D1115),Tablas!$G$9:$O$1240,9,0)*(INT(D1115)+1-D1115))/(VLOOKUP(INT($C$5)+1,Tablas!$G$9:$O$1240,9,0)*($C$5-INT($C$5))+VLOOKUP(INT($C$5),Tablas!$G$9:$O$124,9,0)*(INT($C$5)+1-$C$5)))</f>
        <v>#N/A</v>
      </c>
      <c r="G1115" s="97" t="e">
        <f ca="1">IF($C$4="Hombre",(+VLOOKUP(INT(D1115)+1,Tablas!$G$9:$K$1240,5,0)*(D1115-INT(D1115))+VLOOKUP(INT(D1115),Tablas!$G$9:$K$1240,5,0)*(INT(D1115)+1-D1115)),+VLOOKUP(INT(D1115)+1,Tablas!$G$9:$O$1240,9,0)*(D1115-INT(D1115))+VLOOKUP(INT(D1115),Tablas!$G$9:$O$1240,9,0)*(INT(D1115)+1-D1115))</f>
        <v>#N/A</v>
      </c>
      <c r="H1115" s="105">
        <f t="shared" ca="1" si="140"/>
        <v>1</v>
      </c>
      <c r="I1115" s="106">
        <f t="shared" ca="1" si="141"/>
        <v>0</v>
      </c>
      <c r="J1115" s="106">
        <f t="shared" ca="1" si="145"/>
        <v>0</v>
      </c>
      <c r="K1115" s="105" t="e">
        <f t="shared" ca="1" si="142"/>
        <v>#N/A</v>
      </c>
      <c r="L1115" s="75"/>
    </row>
    <row r="1116" spans="2:12">
      <c r="B1116" s="101">
        <f t="shared" ca="1" si="143"/>
        <v>86232</v>
      </c>
      <c r="C1116" s="101">
        <f t="shared" ca="1" si="144"/>
        <v>86260</v>
      </c>
      <c r="D1116" s="102">
        <f t="shared" ca="1" si="139"/>
        <v>158.6611909650924</v>
      </c>
      <c r="E1116" s="103">
        <f t="shared" ca="1" si="146"/>
        <v>0.2554552700416074</v>
      </c>
      <c r="F1116" s="104" t="e">
        <f ca="1">IF($C$4="Hombre",(+VLOOKUP(INT(D1116)+1,Tablas!$G$9:$K$1240,5,0)*(D1116-INT(D1116))+VLOOKUP(INT(D1116),Tablas!$G$9:$K$1240,5,0)*(INT(D1116)+1-D1116))/(VLOOKUP(INT($C$5)+1,Tablas!$G$9:$K$1240,5,0)*($C$5-INT($C$5))+VLOOKUP(INT($C$5),Tablas!$G$9:$K$124,5,0)*(INT($C$5)+1-$C$5)),(+VLOOKUP(INT(D1116)+1,Tablas!$G$9:$O$1240,9,0)*(D1116-INT(D1116))+VLOOKUP(INT(D1116),Tablas!$G$9:$O$1240,9,0)*(INT(D1116)+1-D1116))/(VLOOKUP(INT($C$5)+1,Tablas!$G$9:$O$1240,9,0)*($C$5-INT($C$5))+VLOOKUP(INT($C$5),Tablas!$G$9:$O$124,9,0)*(INT($C$5)+1-$C$5)))</f>
        <v>#N/A</v>
      </c>
      <c r="G1116" s="97" t="e">
        <f ca="1">IF($C$4="Hombre",(+VLOOKUP(INT(D1116)+1,Tablas!$G$9:$K$1240,5,0)*(D1116-INT(D1116))+VLOOKUP(INT(D1116),Tablas!$G$9:$K$1240,5,0)*(INT(D1116)+1-D1116)),+VLOOKUP(INT(D1116)+1,Tablas!$G$9:$O$1240,9,0)*(D1116-INT(D1116))+VLOOKUP(INT(D1116),Tablas!$G$9:$O$1240,9,0)*(INT(D1116)+1-D1116))</f>
        <v>#N/A</v>
      </c>
      <c r="H1116" s="105">
        <f t="shared" ca="1" si="140"/>
        <v>1</v>
      </c>
      <c r="I1116" s="106">
        <f t="shared" ca="1" si="141"/>
        <v>0</v>
      </c>
      <c r="J1116" s="106">
        <f t="shared" ca="1" si="145"/>
        <v>0</v>
      </c>
      <c r="K1116" s="105" t="e">
        <f t="shared" ca="1" si="142"/>
        <v>#N/A</v>
      </c>
      <c r="L1116" s="75"/>
    </row>
    <row r="1117" spans="2:12">
      <c r="B1117" s="101">
        <f t="shared" ca="1" si="143"/>
        <v>86261</v>
      </c>
      <c r="C1117" s="101">
        <f t="shared" ca="1" si="144"/>
        <v>86291</v>
      </c>
      <c r="D1117" s="102">
        <f t="shared" ca="1" si="139"/>
        <v>158.7460643394935</v>
      </c>
      <c r="E1117" s="103">
        <f t="shared" ca="1" si="146"/>
        <v>0.25513266868156081</v>
      </c>
      <c r="F1117" s="104" t="e">
        <f ca="1">IF($C$4="Hombre",(+VLOOKUP(INT(D1117)+1,Tablas!$G$9:$K$1240,5,0)*(D1117-INT(D1117))+VLOOKUP(INT(D1117),Tablas!$G$9:$K$1240,5,0)*(INT(D1117)+1-D1117))/(VLOOKUP(INT($C$5)+1,Tablas!$G$9:$K$1240,5,0)*($C$5-INT($C$5))+VLOOKUP(INT($C$5),Tablas!$G$9:$K$124,5,0)*(INT($C$5)+1-$C$5)),(+VLOOKUP(INT(D1117)+1,Tablas!$G$9:$O$1240,9,0)*(D1117-INT(D1117))+VLOOKUP(INT(D1117),Tablas!$G$9:$O$1240,9,0)*(INT(D1117)+1-D1117))/(VLOOKUP(INT($C$5)+1,Tablas!$G$9:$O$1240,9,0)*($C$5-INT($C$5))+VLOOKUP(INT($C$5),Tablas!$G$9:$O$124,9,0)*(INT($C$5)+1-$C$5)))</f>
        <v>#N/A</v>
      </c>
      <c r="G1117" s="97" t="e">
        <f ca="1">IF($C$4="Hombre",(+VLOOKUP(INT(D1117)+1,Tablas!$G$9:$K$1240,5,0)*(D1117-INT(D1117))+VLOOKUP(INT(D1117),Tablas!$G$9:$K$1240,5,0)*(INT(D1117)+1-D1117)),+VLOOKUP(INT(D1117)+1,Tablas!$G$9:$O$1240,9,0)*(D1117-INT(D1117))+VLOOKUP(INT(D1117),Tablas!$G$9:$O$1240,9,0)*(INT(D1117)+1-D1117))</f>
        <v>#N/A</v>
      </c>
      <c r="H1117" s="105">
        <f t="shared" ca="1" si="140"/>
        <v>1</v>
      </c>
      <c r="I1117" s="106">
        <f t="shared" ca="1" si="141"/>
        <v>0</v>
      </c>
      <c r="J1117" s="106">
        <f t="shared" ca="1" si="145"/>
        <v>0</v>
      </c>
      <c r="K1117" s="105" t="e">
        <f t="shared" ca="1" si="142"/>
        <v>#N/A</v>
      </c>
      <c r="L1117" s="75"/>
    </row>
    <row r="1118" spans="2:12">
      <c r="B1118" s="101">
        <f t="shared" ca="1" si="143"/>
        <v>86292</v>
      </c>
      <c r="C1118" s="101">
        <f t="shared" ca="1" si="144"/>
        <v>86321</v>
      </c>
      <c r="D1118" s="102">
        <f t="shared" ca="1" si="139"/>
        <v>158.82819986310747</v>
      </c>
      <c r="E1118" s="103">
        <f t="shared" ca="1" si="146"/>
        <v>0.25482086171820306</v>
      </c>
      <c r="F1118" s="104" t="e">
        <f ca="1">IF($C$4="Hombre",(+VLOOKUP(INT(D1118)+1,Tablas!$G$9:$K$1240,5,0)*(D1118-INT(D1118))+VLOOKUP(INT(D1118),Tablas!$G$9:$K$1240,5,0)*(INT(D1118)+1-D1118))/(VLOOKUP(INT($C$5)+1,Tablas!$G$9:$K$1240,5,0)*($C$5-INT($C$5))+VLOOKUP(INT($C$5),Tablas!$G$9:$K$124,5,0)*(INT($C$5)+1-$C$5)),(+VLOOKUP(INT(D1118)+1,Tablas!$G$9:$O$1240,9,0)*(D1118-INT(D1118))+VLOOKUP(INT(D1118),Tablas!$G$9:$O$1240,9,0)*(INT(D1118)+1-D1118))/(VLOOKUP(INT($C$5)+1,Tablas!$G$9:$O$1240,9,0)*($C$5-INT($C$5))+VLOOKUP(INT($C$5),Tablas!$G$9:$O$124,9,0)*(INT($C$5)+1-$C$5)))</f>
        <v>#N/A</v>
      </c>
      <c r="G1118" s="97" t="e">
        <f ca="1">IF($C$4="Hombre",(+VLOOKUP(INT(D1118)+1,Tablas!$G$9:$K$1240,5,0)*(D1118-INT(D1118))+VLOOKUP(INT(D1118),Tablas!$G$9:$K$1240,5,0)*(INT(D1118)+1-D1118)),+VLOOKUP(INT(D1118)+1,Tablas!$G$9:$O$1240,9,0)*(D1118-INT(D1118))+VLOOKUP(INT(D1118),Tablas!$G$9:$O$1240,9,0)*(INT(D1118)+1-D1118))</f>
        <v>#N/A</v>
      </c>
      <c r="H1118" s="105">
        <f t="shared" ca="1" si="140"/>
        <v>1</v>
      </c>
      <c r="I1118" s="106">
        <f t="shared" ca="1" si="141"/>
        <v>0</v>
      </c>
      <c r="J1118" s="106">
        <f t="shared" ca="1" si="145"/>
        <v>0</v>
      </c>
      <c r="K1118" s="105" t="e">
        <f t="shared" ca="1" si="142"/>
        <v>#N/A</v>
      </c>
      <c r="L1118" s="75"/>
    </row>
    <row r="1119" spans="2:12">
      <c r="B1119" s="101">
        <f t="shared" ca="1" si="143"/>
        <v>86322</v>
      </c>
      <c r="C1119" s="101">
        <f t="shared" ca="1" si="144"/>
        <v>86352</v>
      </c>
      <c r="D1119" s="102">
        <f t="shared" ca="1" si="139"/>
        <v>158.91307323750857</v>
      </c>
      <c r="E1119" s="103">
        <f t="shared" ca="1" si="146"/>
        <v>0.25449906151989382</v>
      </c>
      <c r="F1119" s="104" t="e">
        <f ca="1">IF($C$4="Hombre",(+VLOOKUP(INT(D1119)+1,Tablas!$G$9:$K$1240,5,0)*(D1119-INT(D1119))+VLOOKUP(INT(D1119),Tablas!$G$9:$K$1240,5,0)*(INT(D1119)+1-D1119))/(VLOOKUP(INT($C$5)+1,Tablas!$G$9:$K$1240,5,0)*($C$5-INT($C$5))+VLOOKUP(INT($C$5),Tablas!$G$9:$K$124,5,0)*(INT($C$5)+1-$C$5)),(+VLOOKUP(INT(D1119)+1,Tablas!$G$9:$O$1240,9,0)*(D1119-INT(D1119))+VLOOKUP(INT(D1119),Tablas!$G$9:$O$1240,9,0)*(INT(D1119)+1-D1119))/(VLOOKUP(INT($C$5)+1,Tablas!$G$9:$O$1240,9,0)*($C$5-INT($C$5))+VLOOKUP(INT($C$5),Tablas!$G$9:$O$124,9,0)*(INT($C$5)+1-$C$5)))</f>
        <v>#N/A</v>
      </c>
      <c r="G1119" s="97" t="e">
        <f ca="1">IF($C$4="Hombre",(+VLOOKUP(INT(D1119)+1,Tablas!$G$9:$K$1240,5,0)*(D1119-INT(D1119))+VLOOKUP(INT(D1119),Tablas!$G$9:$K$1240,5,0)*(INT(D1119)+1-D1119)),+VLOOKUP(INT(D1119)+1,Tablas!$G$9:$O$1240,9,0)*(D1119-INT(D1119))+VLOOKUP(INT(D1119),Tablas!$G$9:$O$1240,9,0)*(INT(D1119)+1-D1119))</f>
        <v>#N/A</v>
      </c>
      <c r="H1119" s="105">
        <f t="shared" ca="1" si="140"/>
        <v>1</v>
      </c>
      <c r="I1119" s="106">
        <f t="shared" ca="1" si="141"/>
        <v>0</v>
      </c>
      <c r="J1119" s="106">
        <f t="shared" ca="1" si="145"/>
        <v>0</v>
      </c>
      <c r="K1119" s="105" t="e">
        <f t="shared" ca="1" si="142"/>
        <v>#N/A</v>
      </c>
      <c r="L1119" s="75"/>
    </row>
    <row r="1120" spans="2:12">
      <c r="B1120" s="101">
        <f t="shared" ca="1" si="143"/>
        <v>86353</v>
      </c>
      <c r="C1120" s="101">
        <f t="shared" ca="1" si="144"/>
        <v>86382</v>
      </c>
      <c r="D1120" s="102">
        <f t="shared" ca="1" si="139"/>
        <v>158.99520876112251</v>
      </c>
      <c r="E1120" s="103">
        <f t="shared" ca="1" si="146"/>
        <v>0.25418802891101638</v>
      </c>
      <c r="F1120" s="104" t="e">
        <f ca="1">IF($C$4="Hombre",(+VLOOKUP(INT(D1120)+1,Tablas!$G$9:$K$1240,5,0)*(D1120-INT(D1120))+VLOOKUP(INT(D1120),Tablas!$G$9:$K$1240,5,0)*(INT(D1120)+1-D1120))/(VLOOKUP(INT($C$5)+1,Tablas!$G$9:$K$1240,5,0)*($C$5-INT($C$5))+VLOOKUP(INT($C$5),Tablas!$G$9:$K$124,5,0)*(INT($C$5)+1-$C$5)),(+VLOOKUP(INT(D1120)+1,Tablas!$G$9:$O$1240,9,0)*(D1120-INT(D1120))+VLOOKUP(INT(D1120),Tablas!$G$9:$O$1240,9,0)*(INT(D1120)+1-D1120))/(VLOOKUP(INT($C$5)+1,Tablas!$G$9:$O$1240,9,0)*($C$5-INT($C$5))+VLOOKUP(INT($C$5),Tablas!$G$9:$O$124,9,0)*(INT($C$5)+1-$C$5)))</f>
        <v>#N/A</v>
      </c>
      <c r="G1120" s="97" t="e">
        <f ca="1">IF($C$4="Hombre",(+VLOOKUP(INT(D1120)+1,Tablas!$G$9:$K$1240,5,0)*(D1120-INT(D1120))+VLOOKUP(INT(D1120),Tablas!$G$9:$K$1240,5,0)*(INT(D1120)+1-D1120)),+VLOOKUP(INT(D1120)+1,Tablas!$G$9:$O$1240,9,0)*(D1120-INT(D1120))+VLOOKUP(INT(D1120),Tablas!$G$9:$O$1240,9,0)*(INT(D1120)+1-D1120))</f>
        <v>#N/A</v>
      </c>
      <c r="H1120" s="105">
        <f t="shared" ca="1" si="140"/>
        <v>1</v>
      </c>
      <c r="I1120" s="106">
        <f t="shared" ca="1" si="141"/>
        <v>0</v>
      </c>
      <c r="J1120" s="106">
        <f t="shared" ca="1" si="145"/>
        <v>0</v>
      </c>
      <c r="K1120" s="105" t="e">
        <f t="shared" ca="1" si="142"/>
        <v>#N/A</v>
      </c>
      <c r="L1120" s="75"/>
    </row>
    <row r="1121" spans="2:12">
      <c r="B1121" s="101">
        <f t="shared" ca="1" si="143"/>
        <v>86383</v>
      </c>
      <c r="C1121" s="101">
        <f t="shared" ca="1" si="144"/>
        <v>86413</v>
      </c>
      <c r="D1121" s="102">
        <f t="shared" ca="1" si="139"/>
        <v>159.08008213552361</v>
      </c>
      <c r="E1121" s="103">
        <f t="shared" ca="1" si="146"/>
        <v>0.25386702788480575</v>
      </c>
      <c r="F1121" s="104" t="e">
        <f ca="1">IF($C$4="Hombre",(+VLOOKUP(INT(D1121)+1,Tablas!$G$9:$K$1240,5,0)*(D1121-INT(D1121))+VLOOKUP(INT(D1121),Tablas!$G$9:$K$1240,5,0)*(INT(D1121)+1-D1121))/(VLOOKUP(INT($C$5)+1,Tablas!$G$9:$K$1240,5,0)*($C$5-INT($C$5))+VLOOKUP(INT($C$5),Tablas!$G$9:$K$124,5,0)*(INT($C$5)+1-$C$5)),(+VLOOKUP(INT(D1121)+1,Tablas!$G$9:$O$1240,9,0)*(D1121-INT(D1121))+VLOOKUP(INT(D1121),Tablas!$G$9:$O$1240,9,0)*(INT(D1121)+1-D1121))/(VLOOKUP(INT($C$5)+1,Tablas!$G$9:$O$1240,9,0)*($C$5-INT($C$5))+VLOOKUP(INT($C$5),Tablas!$G$9:$O$124,9,0)*(INT($C$5)+1-$C$5)))</f>
        <v>#N/A</v>
      </c>
      <c r="G1121" s="97" t="e">
        <f ca="1">IF($C$4="Hombre",(+VLOOKUP(INT(D1121)+1,Tablas!$G$9:$K$1240,5,0)*(D1121-INT(D1121))+VLOOKUP(INT(D1121),Tablas!$G$9:$K$1240,5,0)*(INT(D1121)+1-D1121)),+VLOOKUP(INT(D1121)+1,Tablas!$G$9:$O$1240,9,0)*(D1121-INT(D1121))+VLOOKUP(INT(D1121),Tablas!$G$9:$O$1240,9,0)*(INT(D1121)+1-D1121))</f>
        <v>#N/A</v>
      </c>
      <c r="H1121" s="105">
        <f t="shared" ca="1" si="140"/>
        <v>1</v>
      </c>
      <c r="I1121" s="106">
        <f t="shared" ca="1" si="141"/>
        <v>0</v>
      </c>
      <c r="J1121" s="106">
        <f t="shared" ca="1" si="145"/>
        <v>0</v>
      </c>
      <c r="K1121" s="105" t="e">
        <f t="shared" ca="1" si="142"/>
        <v>#N/A</v>
      </c>
      <c r="L1121" s="75"/>
    </row>
    <row r="1122" spans="2:12">
      <c r="B1122" s="101">
        <f t="shared" ca="1" si="143"/>
        <v>86414</v>
      </c>
      <c r="C1122" s="101">
        <f t="shared" ca="1" si="144"/>
        <v>86444</v>
      </c>
      <c r="D1122" s="102">
        <f t="shared" ca="1" si="139"/>
        <v>159.16495550992471</v>
      </c>
      <c r="E1122" s="103">
        <f t="shared" ca="1" si="146"/>
        <v>0.25354643223432938</v>
      </c>
      <c r="F1122" s="104" t="e">
        <f ca="1">IF($C$4="Hombre",(+VLOOKUP(INT(D1122)+1,Tablas!$G$9:$K$1240,5,0)*(D1122-INT(D1122))+VLOOKUP(INT(D1122),Tablas!$G$9:$K$1240,5,0)*(INT(D1122)+1-D1122))/(VLOOKUP(INT($C$5)+1,Tablas!$G$9:$K$1240,5,0)*($C$5-INT($C$5))+VLOOKUP(INT($C$5),Tablas!$G$9:$K$124,5,0)*(INT($C$5)+1-$C$5)),(+VLOOKUP(INT(D1122)+1,Tablas!$G$9:$O$1240,9,0)*(D1122-INT(D1122))+VLOOKUP(INT(D1122),Tablas!$G$9:$O$1240,9,0)*(INT(D1122)+1-D1122))/(VLOOKUP(INT($C$5)+1,Tablas!$G$9:$O$1240,9,0)*($C$5-INT($C$5))+VLOOKUP(INT($C$5),Tablas!$G$9:$O$124,9,0)*(INT($C$5)+1-$C$5)))</f>
        <v>#N/A</v>
      </c>
      <c r="G1122" s="97" t="e">
        <f ca="1">IF($C$4="Hombre",(+VLOOKUP(INT(D1122)+1,Tablas!$G$9:$K$1240,5,0)*(D1122-INT(D1122))+VLOOKUP(INT(D1122),Tablas!$G$9:$K$1240,5,0)*(INT(D1122)+1-D1122)),+VLOOKUP(INT(D1122)+1,Tablas!$G$9:$O$1240,9,0)*(D1122-INT(D1122))+VLOOKUP(INT(D1122),Tablas!$G$9:$O$1240,9,0)*(INT(D1122)+1-D1122))</f>
        <v>#N/A</v>
      </c>
      <c r="H1122" s="105">
        <f t="shared" ca="1" si="140"/>
        <v>1</v>
      </c>
      <c r="I1122" s="106">
        <f t="shared" ca="1" si="141"/>
        <v>0</v>
      </c>
      <c r="J1122" s="106">
        <f t="shared" ca="1" si="145"/>
        <v>0</v>
      </c>
      <c r="K1122" s="105" t="e">
        <f t="shared" ca="1" si="142"/>
        <v>#N/A</v>
      </c>
      <c r="L1122" s="75"/>
    </row>
    <row r="1123" spans="2:12">
      <c r="B1123" s="101">
        <f t="shared" ca="1" si="143"/>
        <v>86445</v>
      </c>
      <c r="C1123" s="101">
        <f t="shared" ca="1" si="144"/>
        <v>86474</v>
      </c>
      <c r="D1123" s="102">
        <f t="shared" ca="1" si="139"/>
        <v>159.24709103353868</v>
      </c>
      <c r="E1123" s="103">
        <f t="shared" ca="1" si="146"/>
        <v>0.25323656386853471</v>
      </c>
      <c r="F1123" s="104" t="e">
        <f ca="1">IF($C$4="Hombre",(+VLOOKUP(INT(D1123)+1,Tablas!$G$9:$K$1240,5,0)*(D1123-INT(D1123))+VLOOKUP(INT(D1123),Tablas!$G$9:$K$1240,5,0)*(INT(D1123)+1-D1123))/(VLOOKUP(INT($C$5)+1,Tablas!$G$9:$K$1240,5,0)*($C$5-INT($C$5))+VLOOKUP(INT($C$5),Tablas!$G$9:$K$124,5,0)*(INT($C$5)+1-$C$5)),(+VLOOKUP(INT(D1123)+1,Tablas!$G$9:$O$1240,9,0)*(D1123-INT(D1123))+VLOOKUP(INT(D1123),Tablas!$G$9:$O$1240,9,0)*(INT(D1123)+1-D1123))/(VLOOKUP(INT($C$5)+1,Tablas!$G$9:$O$1240,9,0)*($C$5-INT($C$5))+VLOOKUP(INT($C$5),Tablas!$G$9:$O$124,9,0)*(INT($C$5)+1-$C$5)))</f>
        <v>#N/A</v>
      </c>
      <c r="G1123" s="97" t="e">
        <f ca="1">IF($C$4="Hombre",(+VLOOKUP(INT(D1123)+1,Tablas!$G$9:$K$1240,5,0)*(D1123-INT(D1123))+VLOOKUP(INT(D1123),Tablas!$G$9:$K$1240,5,0)*(INT(D1123)+1-D1123)),+VLOOKUP(INT(D1123)+1,Tablas!$G$9:$O$1240,9,0)*(D1123-INT(D1123))+VLOOKUP(INT(D1123),Tablas!$G$9:$O$1240,9,0)*(INT(D1123)+1-D1123))</f>
        <v>#N/A</v>
      </c>
      <c r="H1123" s="105">
        <f t="shared" ca="1" si="140"/>
        <v>1</v>
      </c>
      <c r="I1123" s="106">
        <f t="shared" ca="1" si="141"/>
        <v>0</v>
      </c>
      <c r="J1123" s="106">
        <f t="shared" ca="1" si="145"/>
        <v>0</v>
      </c>
      <c r="K1123" s="105" t="e">
        <f t="shared" ca="1" si="142"/>
        <v>#N/A</v>
      </c>
      <c r="L1123" s="75"/>
    </row>
    <row r="1124" spans="2:12">
      <c r="B1124" s="101">
        <f t="shared" ca="1" si="143"/>
        <v>86475</v>
      </c>
      <c r="C1124" s="101">
        <f t="shared" ca="1" si="144"/>
        <v>86505</v>
      </c>
      <c r="D1124" s="102">
        <f t="shared" ca="1" si="139"/>
        <v>159.33196440793978</v>
      </c>
      <c r="E1124" s="103">
        <f t="shared" ca="1" si="146"/>
        <v>0.2529167643987324</v>
      </c>
      <c r="F1124" s="104" t="e">
        <f ca="1">IF($C$4="Hombre",(+VLOOKUP(INT(D1124)+1,Tablas!$G$9:$K$1240,5,0)*(D1124-INT(D1124))+VLOOKUP(INT(D1124),Tablas!$G$9:$K$1240,5,0)*(INT(D1124)+1-D1124))/(VLOOKUP(INT($C$5)+1,Tablas!$G$9:$K$1240,5,0)*($C$5-INT($C$5))+VLOOKUP(INT($C$5),Tablas!$G$9:$K$124,5,0)*(INT($C$5)+1-$C$5)),(+VLOOKUP(INT(D1124)+1,Tablas!$G$9:$O$1240,9,0)*(D1124-INT(D1124))+VLOOKUP(INT(D1124),Tablas!$G$9:$O$1240,9,0)*(INT(D1124)+1-D1124))/(VLOOKUP(INT($C$5)+1,Tablas!$G$9:$O$1240,9,0)*($C$5-INT($C$5))+VLOOKUP(INT($C$5),Tablas!$G$9:$O$124,9,0)*(INT($C$5)+1-$C$5)))</f>
        <v>#N/A</v>
      </c>
      <c r="G1124" s="97" t="e">
        <f ca="1">IF($C$4="Hombre",(+VLOOKUP(INT(D1124)+1,Tablas!$G$9:$K$1240,5,0)*(D1124-INT(D1124))+VLOOKUP(INT(D1124),Tablas!$G$9:$K$1240,5,0)*(INT(D1124)+1-D1124)),+VLOOKUP(INT(D1124)+1,Tablas!$G$9:$O$1240,9,0)*(D1124-INT(D1124))+VLOOKUP(INT(D1124),Tablas!$G$9:$O$1240,9,0)*(INT(D1124)+1-D1124))</f>
        <v>#N/A</v>
      </c>
      <c r="H1124" s="105">
        <f t="shared" ca="1" si="140"/>
        <v>1</v>
      </c>
      <c r="I1124" s="106">
        <f t="shared" ca="1" si="141"/>
        <v>0</v>
      </c>
      <c r="J1124" s="106">
        <f t="shared" ca="1" si="145"/>
        <v>0</v>
      </c>
      <c r="K1124" s="105" t="e">
        <f t="shared" ca="1" si="142"/>
        <v>#N/A</v>
      </c>
      <c r="L1124" s="75"/>
    </row>
    <row r="1125" spans="2:12">
      <c r="B1125" s="101">
        <f t="shared" ca="1" si="143"/>
        <v>86506</v>
      </c>
      <c r="C1125" s="101">
        <f t="shared" ca="1" si="144"/>
        <v>86535</v>
      </c>
      <c r="D1125" s="102">
        <f t="shared" ca="1" si="139"/>
        <v>159.41409993155372</v>
      </c>
      <c r="E1125" s="103">
        <f t="shared" ca="1" si="146"/>
        <v>0.25260766557302361</v>
      </c>
      <c r="F1125" s="104" t="e">
        <f ca="1">IF($C$4="Hombre",(+VLOOKUP(INT(D1125)+1,Tablas!$G$9:$K$1240,5,0)*(D1125-INT(D1125))+VLOOKUP(INT(D1125),Tablas!$G$9:$K$1240,5,0)*(INT(D1125)+1-D1125))/(VLOOKUP(INT($C$5)+1,Tablas!$G$9:$K$1240,5,0)*($C$5-INT($C$5))+VLOOKUP(INT($C$5),Tablas!$G$9:$K$124,5,0)*(INT($C$5)+1-$C$5)),(+VLOOKUP(INT(D1125)+1,Tablas!$G$9:$O$1240,9,0)*(D1125-INT(D1125))+VLOOKUP(INT(D1125),Tablas!$G$9:$O$1240,9,0)*(INT(D1125)+1-D1125))/(VLOOKUP(INT($C$5)+1,Tablas!$G$9:$O$1240,9,0)*($C$5-INT($C$5))+VLOOKUP(INT($C$5),Tablas!$G$9:$O$124,9,0)*(INT($C$5)+1-$C$5)))</f>
        <v>#N/A</v>
      </c>
      <c r="G1125" s="97" t="e">
        <f ca="1">IF($C$4="Hombre",(+VLOOKUP(INT(D1125)+1,Tablas!$G$9:$K$1240,5,0)*(D1125-INT(D1125))+VLOOKUP(INT(D1125),Tablas!$G$9:$K$1240,5,0)*(INT(D1125)+1-D1125)),+VLOOKUP(INT(D1125)+1,Tablas!$G$9:$O$1240,9,0)*(D1125-INT(D1125))+VLOOKUP(INT(D1125),Tablas!$G$9:$O$1240,9,0)*(INT(D1125)+1-D1125))</f>
        <v>#N/A</v>
      </c>
      <c r="H1125" s="105">
        <f t="shared" ca="1" si="140"/>
        <v>1</v>
      </c>
      <c r="I1125" s="106">
        <f t="shared" ca="1" si="141"/>
        <v>0</v>
      </c>
      <c r="J1125" s="106">
        <f t="shared" ca="1" si="145"/>
        <v>0</v>
      </c>
      <c r="K1125" s="105" t="e">
        <f t="shared" ca="1" si="142"/>
        <v>#N/A</v>
      </c>
      <c r="L1125" s="75"/>
    </row>
    <row r="1126" spans="2:12">
      <c r="B1126" s="101">
        <f t="shared" ca="1" si="143"/>
        <v>86536</v>
      </c>
      <c r="C1126" s="101">
        <f t="shared" ca="1" si="144"/>
        <v>86566</v>
      </c>
      <c r="D1126" s="102">
        <f t="shared" ca="1" si="139"/>
        <v>159.49897330595482</v>
      </c>
      <c r="E1126" s="103">
        <f t="shared" ca="1" si="146"/>
        <v>0.25228866030662694</v>
      </c>
      <c r="F1126" s="104" t="e">
        <f ca="1">IF($C$4="Hombre",(+VLOOKUP(INT(D1126)+1,Tablas!$G$9:$K$1240,5,0)*(D1126-INT(D1126))+VLOOKUP(INT(D1126),Tablas!$G$9:$K$1240,5,0)*(INT(D1126)+1-D1126))/(VLOOKUP(INT($C$5)+1,Tablas!$G$9:$K$1240,5,0)*($C$5-INT($C$5))+VLOOKUP(INT($C$5),Tablas!$G$9:$K$124,5,0)*(INT($C$5)+1-$C$5)),(+VLOOKUP(INT(D1126)+1,Tablas!$G$9:$O$1240,9,0)*(D1126-INT(D1126))+VLOOKUP(INT(D1126),Tablas!$G$9:$O$1240,9,0)*(INT(D1126)+1-D1126))/(VLOOKUP(INT($C$5)+1,Tablas!$G$9:$O$1240,9,0)*($C$5-INT($C$5))+VLOOKUP(INT($C$5),Tablas!$G$9:$O$124,9,0)*(INT($C$5)+1-$C$5)))</f>
        <v>#N/A</v>
      </c>
      <c r="G1126" s="97" t="e">
        <f ca="1">IF($C$4="Hombre",(+VLOOKUP(INT(D1126)+1,Tablas!$G$9:$K$1240,5,0)*(D1126-INT(D1126))+VLOOKUP(INT(D1126),Tablas!$G$9:$K$1240,5,0)*(INT(D1126)+1-D1126)),+VLOOKUP(INT(D1126)+1,Tablas!$G$9:$O$1240,9,0)*(D1126-INT(D1126))+VLOOKUP(INT(D1126),Tablas!$G$9:$O$1240,9,0)*(INT(D1126)+1-D1126))</f>
        <v>#N/A</v>
      </c>
      <c r="H1126" s="105">
        <f t="shared" ca="1" si="140"/>
        <v>1</v>
      </c>
      <c r="I1126" s="106">
        <f t="shared" ca="1" si="141"/>
        <v>0</v>
      </c>
      <c r="J1126" s="106">
        <f t="shared" ca="1" si="145"/>
        <v>0</v>
      </c>
      <c r="K1126" s="105" t="e">
        <f t="shared" ca="1" si="142"/>
        <v>#N/A</v>
      </c>
      <c r="L1126" s="75"/>
    </row>
    <row r="1127" spans="2:12">
      <c r="B1127" s="101">
        <f t="shared" ca="1" si="143"/>
        <v>86567</v>
      </c>
      <c r="C1127" s="101">
        <f t="shared" ca="1" si="144"/>
        <v>86597</v>
      </c>
      <c r="D1127" s="102">
        <f t="shared" ca="1" si="139"/>
        <v>159.58384668035592</v>
      </c>
      <c r="E1127" s="103">
        <f t="shared" ca="1" si="146"/>
        <v>0.25197005789562177</v>
      </c>
      <c r="F1127" s="104" t="e">
        <f ca="1">IF($C$4="Hombre",(+VLOOKUP(INT(D1127)+1,Tablas!$G$9:$K$1240,5,0)*(D1127-INT(D1127))+VLOOKUP(INT(D1127),Tablas!$G$9:$K$1240,5,0)*(INT(D1127)+1-D1127))/(VLOOKUP(INT($C$5)+1,Tablas!$G$9:$K$1240,5,0)*($C$5-INT($C$5))+VLOOKUP(INT($C$5),Tablas!$G$9:$K$124,5,0)*(INT($C$5)+1-$C$5)),(+VLOOKUP(INT(D1127)+1,Tablas!$G$9:$O$1240,9,0)*(D1127-INT(D1127))+VLOOKUP(INT(D1127),Tablas!$G$9:$O$1240,9,0)*(INT(D1127)+1-D1127))/(VLOOKUP(INT($C$5)+1,Tablas!$G$9:$O$1240,9,0)*($C$5-INT($C$5))+VLOOKUP(INT($C$5),Tablas!$G$9:$O$124,9,0)*(INT($C$5)+1-$C$5)))</f>
        <v>#N/A</v>
      </c>
      <c r="G1127" s="97" t="e">
        <f ca="1">IF($C$4="Hombre",(+VLOOKUP(INT(D1127)+1,Tablas!$G$9:$K$1240,5,0)*(D1127-INT(D1127))+VLOOKUP(INT(D1127),Tablas!$G$9:$K$1240,5,0)*(INT(D1127)+1-D1127)),+VLOOKUP(INT(D1127)+1,Tablas!$G$9:$O$1240,9,0)*(D1127-INT(D1127))+VLOOKUP(INT(D1127),Tablas!$G$9:$O$1240,9,0)*(INT(D1127)+1-D1127))</f>
        <v>#N/A</v>
      </c>
      <c r="H1127" s="105">
        <f t="shared" ca="1" si="140"/>
        <v>1</v>
      </c>
      <c r="I1127" s="106">
        <f t="shared" ca="1" si="141"/>
        <v>0</v>
      </c>
      <c r="J1127" s="106">
        <f t="shared" ca="1" si="145"/>
        <v>0</v>
      </c>
      <c r="K1127" s="105" t="e">
        <f t="shared" ca="1" si="142"/>
        <v>#N/A</v>
      </c>
      <c r="L1127" s="75"/>
    </row>
    <row r="1128" spans="2:12">
      <c r="B1128" s="101">
        <f t="shared" ca="1" si="143"/>
        <v>86598</v>
      </c>
      <c r="C1128" s="101">
        <f t="shared" ca="1" si="144"/>
        <v>86625</v>
      </c>
      <c r="D1128" s="102">
        <f t="shared" ca="1" si="139"/>
        <v>159.66050650239561</v>
      </c>
      <c r="E1128" s="103">
        <f t="shared" ca="1" si="146"/>
        <v>0.25168263381562211</v>
      </c>
      <c r="F1128" s="104" t="e">
        <f ca="1">IF($C$4="Hombre",(+VLOOKUP(INT(D1128)+1,Tablas!$G$9:$K$1240,5,0)*(D1128-INT(D1128))+VLOOKUP(INT(D1128),Tablas!$G$9:$K$1240,5,0)*(INT(D1128)+1-D1128))/(VLOOKUP(INT($C$5)+1,Tablas!$G$9:$K$1240,5,0)*($C$5-INT($C$5))+VLOOKUP(INT($C$5),Tablas!$G$9:$K$124,5,0)*(INT($C$5)+1-$C$5)),(+VLOOKUP(INT(D1128)+1,Tablas!$G$9:$O$1240,9,0)*(D1128-INT(D1128))+VLOOKUP(INT(D1128),Tablas!$G$9:$O$1240,9,0)*(INT(D1128)+1-D1128))/(VLOOKUP(INT($C$5)+1,Tablas!$G$9:$O$1240,9,0)*($C$5-INT($C$5))+VLOOKUP(INT($C$5),Tablas!$G$9:$O$124,9,0)*(INT($C$5)+1-$C$5)))</f>
        <v>#N/A</v>
      </c>
      <c r="G1128" s="97" t="e">
        <f ca="1">IF($C$4="Hombre",(+VLOOKUP(INT(D1128)+1,Tablas!$G$9:$K$1240,5,0)*(D1128-INT(D1128))+VLOOKUP(INT(D1128),Tablas!$G$9:$K$1240,5,0)*(INT(D1128)+1-D1128)),+VLOOKUP(INT(D1128)+1,Tablas!$G$9:$O$1240,9,0)*(D1128-INT(D1128))+VLOOKUP(INT(D1128),Tablas!$G$9:$O$1240,9,0)*(INT(D1128)+1-D1128))</f>
        <v>#N/A</v>
      </c>
      <c r="H1128" s="105">
        <f t="shared" ca="1" si="140"/>
        <v>1</v>
      </c>
      <c r="I1128" s="106">
        <f t="shared" ca="1" si="141"/>
        <v>0</v>
      </c>
      <c r="J1128" s="106">
        <f t="shared" ca="1" si="145"/>
        <v>0</v>
      </c>
      <c r="K1128" s="105" t="e">
        <f t="shared" ca="1" si="142"/>
        <v>#N/A</v>
      </c>
      <c r="L1128" s="75"/>
    </row>
    <row r="1129" spans="2:12">
      <c r="B1129" s="101">
        <f t="shared" ca="1" si="143"/>
        <v>86626</v>
      </c>
      <c r="C1129" s="101">
        <f t="shared" ca="1" si="144"/>
        <v>86656</v>
      </c>
      <c r="D1129" s="102">
        <f t="shared" ca="1" si="139"/>
        <v>159.7453798767967</v>
      </c>
      <c r="E1129" s="103">
        <f t="shared" ca="1" si="146"/>
        <v>0.25136479672439355</v>
      </c>
      <c r="F1129" s="104" t="e">
        <f ca="1">IF($C$4="Hombre",(+VLOOKUP(INT(D1129)+1,Tablas!$G$9:$K$1240,5,0)*(D1129-INT(D1129))+VLOOKUP(INT(D1129),Tablas!$G$9:$K$1240,5,0)*(INT(D1129)+1-D1129))/(VLOOKUP(INT($C$5)+1,Tablas!$G$9:$K$1240,5,0)*($C$5-INT($C$5))+VLOOKUP(INT($C$5),Tablas!$G$9:$K$124,5,0)*(INT($C$5)+1-$C$5)),(+VLOOKUP(INT(D1129)+1,Tablas!$G$9:$O$1240,9,0)*(D1129-INT(D1129))+VLOOKUP(INT(D1129),Tablas!$G$9:$O$1240,9,0)*(INT(D1129)+1-D1129))/(VLOOKUP(INT($C$5)+1,Tablas!$G$9:$O$1240,9,0)*($C$5-INT($C$5))+VLOOKUP(INT($C$5),Tablas!$G$9:$O$124,9,0)*(INT($C$5)+1-$C$5)))</f>
        <v>#N/A</v>
      </c>
      <c r="G1129" s="97" t="e">
        <f ca="1">IF($C$4="Hombre",(+VLOOKUP(INT(D1129)+1,Tablas!$G$9:$K$1240,5,0)*(D1129-INT(D1129))+VLOOKUP(INT(D1129),Tablas!$G$9:$K$1240,5,0)*(INT(D1129)+1-D1129)),+VLOOKUP(INT(D1129)+1,Tablas!$G$9:$O$1240,9,0)*(D1129-INT(D1129))+VLOOKUP(INT(D1129),Tablas!$G$9:$O$1240,9,0)*(INT(D1129)+1-D1129))</f>
        <v>#N/A</v>
      </c>
      <c r="H1129" s="105">
        <f t="shared" ca="1" si="140"/>
        <v>1</v>
      </c>
      <c r="I1129" s="106">
        <f t="shared" ca="1" si="141"/>
        <v>0</v>
      </c>
      <c r="J1129" s="106">
        <f t="shared" ca="1" si="145"/>
        <v>0</v>
      </c>
      <c r="K1129" s="105" t="e">
        <f t="shared" ca="1" si="142"/>
        <v>#N/A</v>
      </c>
      <c r="L1129" s="75"/>
    </row>
    <row r="1130" spans="2:12">
      <c r="B1130" s="101">
        <f t="shared" ca="1" si="143"/>
        <v>86657</v>
      </c>
      <c r="C1130" s="101">
        <f t="shared" ca="1" si="144"/>
        <v>86686</v>
      </c>
      <c r="D1130" s="102">
        <f t="shared" ca="1" si="139"/>
        <v>159.82751540041068</v>
      </c>
      <c r="E1130" s="103">
        <f t="shared" ca="1" si="146"/>
        <v>0.25105759461512739</v>
      </c>
      <c r="F1130" s="104" t="e">
        <f ca="1">IF($C$4="Hombre",(+VLOOKUP(INT(D1130)+1,Tablas!$G$9:$K$1240,5,0)*(D1130-INT(D1130))+VLOOKUP(INT(D1130),Tablas!$G$9:$K$1240,5,0)*(INT(D1130)+1-D1130))/(VLOOKUP(INT($C$5)+1,Tablas!$G$9:$K$1240,5,0)*($C$5-INT($C$5))+VLOOKUP(INT($C$5),Tablas!$G$9:$K$124,5,0)*(INT($C$5)+1-$C$5)),(+VLOOKUP(INT(D1130)+1,Tablas!$G$9:$O$1240,9,0)*(D1130-INT(D1130))+VLOOKUP(INT(D1130),Tablas!$G$9:$O$1240,9,0)*(INT(D1130)+1-D1130))/(VLOOKUP(INT($C$5)+1,Tablas!$G$9:$O$1240,9,0)*($C$5-INT($C$5))+VLOOKUP(INT($C$5),Tablas!$G$9:$O$124,9,0)*(INT($C$5)+1-$C$5)))</f>
        <v>#N/A</v>
      </c>
      <c r="G1130" s="97" t="e">
        <f ca="1">IF($C$4="Hombre",(+VLOOKUP(INT(D1130)+1,Tablas!$G$9:$K$1240,5,0)*(D1130-INT(D1130))+VLOOKUP(INT(D1130),Tablas!$G$9:$K$1240,5,0)*(INT(D1130)+1-D1130)),+VLOOKUP(INT(D1130)+1,Tablas!$G$9:$O$1240,9,0)*(D1130-INT(D1130))+VLOOKUP(INT(D1130),Tablas!$G$9:$O$1240,9,0)*(INT(D1130)+1-D1130))</f>
        <v>#N/A</v>
      </c>
      <c r="H1130" s="105">
        <f t="shared" ca="1" si="140"/>
        <v>1</v>
      </c>
      <c r="I1130" s="106">
        <f t="shared" ca="1" si="141"/>
        <v>0</v>
      </c>
      <c r="J1130" s="106">
        <f t="shared" ca="1" si="145"/>
        <v>0</v>
      </c>
      <c r="K1130" s="105" t="e">
        <f t="shared" ca="1" si="142"/>
        <v>#N/A</v>
      </c>
      <c r="L1130" s="75"/>
    </row>
    <row r="1131" spans="2:12">
      <c r="B1131" s="101">
        <f t="shared" ca="1" si="143"/>
        <v>86687</v>
      </c>
      <c r="C1131" s="101">
        <f t="shared" ca="1" si="144"/>
        <v>86717</v>
      </c>
      <c r="D1131" s="102">
        <f t="shared" ca="1" si="139"/>
        <v>159.91238877481177</v>
      </c>
      <c r="E1131" s="103">
        <f t="shared" ca="1" si="146"/>
        <v>0.25074054685385139</v>
      </c>
      <c r="F1131" s="104" t="e">
        <f ca="1">IF($C$4="Hombre",(+VLOOKUP(INT(D1131)+1,Tablas!$G$9:$K$1240,5,0)*(D1131-INT(D1131))+VLOOKUP(INT(D1131),Tablas!$G$9:$K$1240,5,0)*(INT(D1131)+1-D1131))/(VLOOKUP(INT($C$5)+1,Tablas!$G$9:$K$1240,5,0)*($C$5-INT($C$5))+VLOOKUP(INT($C$5),Tablas!$G$9:$K$124,5,0)*(INT($C$5)+1-$C$5)),(+VLOOKUP(INT(D1131)+1,Tablas!$G$9:$O$1240,9,0)*(D1131-INT(D1131))+VLOOKUP(INT(D1131),Tablas!$G$9:$O$1240,9,0)*(INT(D1131)+1-D1131))/(VLOOKUP(INT($C$5)+1,Tablas!$G$9:$O$1240,9,0)*($C$5-INT($C$5))+VLOOKUP(INT($C$5),Tablas!$G$9:$O$124,9,0)*(INT($C$5)+1-$C$5)))</f>
        <v>#N/A</v>
      </c>
      <c r="G1131" s="97" t="e">
        <f ca="1">IF($C$4="Hombre",(+VLOOKUP(INT(D1131)+1,Tablas!$G$9:$K$1240,5,0)*(D1131-INT(D1131))+VLOOKUP(INT(D1131),Tablas!$G$9:$K$1240,5,0)*(INT(D1131)+1-D1131)),+VLOOKUP(INT(D1131)+1,Tablas!$G$9:$O$1240,9,0)*(D1131-INT(D1131))+VLOOKUP(INT(D1131),Tablas!$G$9:$O$1240,9,0)*(INT(D1131)+1-D1131))</f>
        <v>#N/A</v>
      </c>
      <c r="H1131" s="105">
        <f t="shared" ca="1" si="140"/>
        <v>1</v>
      </c>
      <c r="I1131" s="106">
        <f t="shared" ca="1" si="141"/>
        <v>0</v>
      </c>
      <c r="J1131" s="106">
        <f t="shared" ca="1" si="145"/>
        <v>0</v>
      </c>
      <c r="K1131" s="105" t="e">
        <f t="shared" ca="1" si="142"/>
        <v>#N/A</v>
      </c>
      <c r="L1131" s="75"/>
    </row>
    <row r="1132" spans="2:12">
      <c r="B1132" s="101">
        <f t="shared" ca="1" si="143"/>
        <v>86718</v>
      </c>
      <c r="C1132" s="101">
        <f t="shared" ca="1" si="144"/>
        <v>86747</v>
      </c>
      <c r="D1132" s="102">
        <f t="shared" ca="1" si="139"/>
        <v>159.99452429842574</v>
      </c>
      <c r="E1132" s="103">
        <f t="shared" ca="1" si="146"/>
        <v>0.25043410766317781</v>
      </c>
      <c r="F1132" s="104" t="e">
        <f ca="1">IF($C$4="Hombre",(+VLOOKUP(INT(D1132)+1,Tablas!$G$9:$K$1240,5,0)*(D1132-INT(D1132))+VLOOKUP(INT(D1132),Tablas!$G$9:$K$1240,5,0)*(INT(D1132)+1-D1132))/(VLOOKUP(INT($C$5)+1,Tablas!$G$9:$K$1240,5,0)*($C$5-INT($C$5))+VLOOKUP(INT($C$5),Tablas!$G$9:$K$124,5,0)*(INT($C$5)+1-$C$5)),(+VLOOKUP(INT(D1132)+1,Tablas!$G$9:$O$1240,9,0)*(D1132-INT(D1132))+VLOOKUP(INT(D1132),Tablas!$G$9:$O$1240,9,0)*(INT(D1132)+1-D1132))/(VLOOKUP(INT($C$5)+1,Tablas!$G$9:$O$1240,9,0)*($C$5-INT($C$5))+VLOOKUP(INT($C$5),Tablas!$G$9:$O$124,9,0)*(INT($C$5)+1-$C$5)))</f>
        <v>#N/A</v>
      </c>
      <c r="G1132" s="97" t="e">
        <f ca="1">IF($C$4="Hombre",(+VLOOKUP(INT(D1132)+1,Tablas!$G$9:$K$1240,5,0)*(D1132-INT(D1132))+VLOOKUP(INT(D1132),Tablas!$G$9:$K$1240,5,0)*(INT(D1132)+1-D1132)),+VLOOKUP(INT(D1132)+1,Tablas!$G$9:$O$1240,9,0)*(D1132-INT(D1132))+VLOOKUP(INT(D1132),Tablas!$G$9:$O$1240,9,0)*(INT(D1132)+1-D1132))</f>
        <v>#N/A</v>
      </c>
      <c r="H1132" s="105">
        <f t="shared" ca="1" si="140"/>
        <v>1</v>
      </c>
      <c r="I1132" s="106">
        <f t="shared" ca="1" si="141"/>
        <v>0</v>
      </c>
      <c r="J1132" s="106">
        <f t="shared" ca="1" si="145"/>
        <v>0</v>
      </c>
      <c r="K1132" s="105" t="e">
        <f t="shared" ca="1" si="142"/>
        <v>#N/A</v>
      </c>
      <c r="L1132" s="75"/>
    </row>
    <row r="1133" spans="2:12">
      <c r="B1133" s="101">
        <f t="shared" ca="1" si="143"/>
        <v>86748</v>
      </c>
      <c r="C1133" s="101">
        <f t="shared" ca="1" si="144"/>
        <v>86778</v>
      </c>
      <c r="D1133" s="102">
        <f t="shared" ca="1" si="139"/>
        <v>160.07939767282684</v>
      </c>
      <c r="E1133" s="103">
        <f t="shared" ca="1" si="146"/>
        <v>0.25011784727159914</v>
      </c>
      <c r="F1133" s="104" t="e">
        <f ca="1">IF($C$4="Hombre",(+VLOOKUP(INT(D1133)+1,Tablas!$G$9:$K$1240,5,0)*(D1133-INT(D1133))+VLOOKUP(INT(D1133),Tablas!$G$9:$K$1240,5,0)*(INT(D1133)+1-D1133))/(VLOOKUP(INT($C$5)+1,Tablas!$G$9:$K$1240,5,0)*($C$5-INT($C$5))+VLOOKUP(INT($C$5),Tablas!$G$9:$K$124,5,0)*(INT($C$5)+1-$C$5)),(+VLOOKUP(INT(D1133)+1,Tablas!$G$9:$O$1240,9,0)*(D1133-INT(D1133))+VLOOKUP(INT(D1133),Tablas!$G$9:$O$1240,9,0)*(INT(D1133)+1-D1133))/(VLOOKUP(INT($C$5)+1,Tablas!$G$9:$O$1240,9,0)*($C$5-INT($C$5))+VLOOKUP(INT($C$5),Tablas!$G$9:$O$124,9,0)*(INT($C$5)+1-$C$5)))</f>
        <v>#N/A</v>
      </c>
      <c r="G1133" s="97" t="e">
        <f ca="1">IF($C$4="Hombre",(+VLOOKUP(INT(D1133)+1,Tablas!$G$9:$K$1240,5,0)*(D1133-INT(D1133))+VLOOKUP(INT(D1133),Tablas!$G$9:$K$1240,5,0)*(INT(D1133)+1-D1133)),+VLOOKUP(INT(D1133)+1,Tablas!$G$9:$O$1240,9,0)*(D1133-INT(D1133))+VLOOKUP(INT(D1133),Tablas!$G$9:$O$1240,9,0)*(INT(D1133)+1-D1133))</f>
        <v>#N/A</v>
      </c>
      <c r="H1133" s="105">
        <f t="shared" ca="1" si="140"/>
        <v>1</v>
      </c>
      <c r="I1133" s="106">
        <f t="shared" ca="1" si="141"/>
        <v>0</v>
      </c>
      <c r="J1133" s="106">
        <f t="shared" ca="1" si="145"/>
        <v>0</v>
      </c>
      <c r="K1133" s="105" t="e">
        <f t="shared" ca="1" si="142"/>
        <v>#N/A</v>
      </c>
      <c r="L1133" s="75"/>
    </row>
    <row r="1134" spans="2:12">
      <c r="B1134" s="101">
        <f t="shared" ca="1" si="143"/>
        <v>86779</v>
      </c>
      <c r="C1134" s="101">
        <f t="shared" ca="1" si="144"/>
        <v>86809</v>
      </c>
      <c r="D1134" s="102">
        <f t="shared" ca="1" si="139"/>
        <v>160.16427104722791</v>
      </c>
      <c r="E1134" s="103">
        <f t="shared" ca="1" si="146"/>
        <v>0.24980198626905037</v>
      </c>
      <c r="F1134" s="104" t="e">
        <f ca="1">IF($C$4="Hombre",(+VLOOKUP(INT(D1134)+1,Tablas!$G$9:$K$1240,5,0)*(D1134-INT(D1134))+VLOOKUP(INT(D1134),Tablas!$G$9:$K$1240,5,0)*(INT(D1134)+1-D1134))/(VLOOKUP(INT($C$5)+1,Tablas!$G$9:$K$1240,5,0)*($C$5-INT($C$5))+VLOOKUP(INT($C$5),Tablas!$G$9:$K$124,5,0)*(INT($C$5)+1-$C$5)),(+VLOOKUP(INT(D1134)+1,Tablas!$G$9:$O$1240,9,0)*(D1134-INT(D1134))+VLOOKUP(INT(D1134),Tablas!$G$9:$O$1240,9,0)*(INT(D1134)+1-D1134))/(VLOOKUP(INT($C$5)+1,Tablas!$G$9:$O$1240,9,0)*($C$5-INT($C$5))+VLOOKUP(INT($C$5),Tablas!$G$9:$O$124,9,0)*(INT($C$5)+1-$C$5)))</f>
        <v>#N/A</v>
      </c>
      <c r="G1134" s="97" t="e">
        <f ca="1">IF($C$4="Hombre",(+VLOOKUP(INT(D1134)+1,Tablas!$G$9:$K$1240,5,0)*(D1134-INT(D1134))+VLOOKUP(INT(D1134),Tablas!$G$9:$K$1240,5,0)*(INT(D1134)+1-D1134)),+VLOOKUP(INT(D1134)+1,Tablas!$G$9:$O$1240,9,0)*(D1134-INT(D1134))+VLOOKUP(INT(D1134),Tablas!$G$9:$O$1240,9,0)*(INT(D1134)+1-D1134))</f>
        <v>#N/A</v>
      </c>
      <c r="H1134" s="105">
        <f t="shared" ca="1" si="140"/>
        <v>1</v>
      </c>
      <c r="I1134" s="106">
        <f t="shared" ca="1" si="141"/>
        <v>0</v>
      </c>
      <c r="J1134" s="106">
        <f t="shared" ca="1" si="145"/>
        <v>0</v>
      </c>
      <c r="K1134" s="105" t="e">
        <f t="shared" ca="1" si="142"/>
        <v>#N/A</v>
      </c>
      <c r="L1134" s="75"/>
    </row>
    <row r="1135" spans="2:12">
      <c r="B1135" s="101">
        <f t="shared" ca="1" si="143"/>
        <v>86810</v>
      </c>
      <c r="C1135" s="101">
        <f t="shared" ca="1" si="144"/>
        <v>86839</v>
      </c>
      <c r="D1135" s="102">
        <f t="shared" ca="1" si="139"/>
        <v>160.24640657084188</v>
      </c>
      <c r="E1135" s="103">
        <f t="shared" ca="1" si="146"/>
        <v>0.24949669412758607</v>
      </c>
      <c r="F1135" s="104" t="e">
        <f ca="1">IF($C$4="Hombre",(+VLOOKUP(INT(D1135)+1,Tablas!$G$9:$K$1240,5,0)*(D1135-INT(D1135))+VLOOKUP(INT(D1135),Tablas!$G$9:$K$1240,5,0)*(INT(D1135)+1-D1135))/(VLOOKUP(INT($C$5)+1,Tablas!$G$9:$K$1240,5,0)*($C$5-INT($C$5))+VLOOKUP(INT($C$5),Tablas!$G$9:$K$124,5,0)*(INT($C$5)+1-$C$5)),(+VLOOKUP(INT(D1135)+1,Tablas!$G$9:$O$1240,9,0)*(D1135-INT(D1135))+VLOOKUP(INT(D1135),Tablas!$G$9:$O$1240,9,0)*(INT(D1135)+1-D1135))/(VLOOKUP(INT($C$5)+1,Tablas!$G$9:$O$1240,9,0)*($C$5-INT($C$5))+VLOOKUP(INT($C$5),Tablas!$G$9:$O$124,9,0)*(INT($C$5)+1-$C$5)))</f>
        <v>#N/A</v>
      </c>
      <c r="G1135" s="97" t="e">
        <f ca="1">IF($C$4="Hombre",(+VLOOKUP(INT(D1135)+1,Tablas!$G$9:$K$1240,5,0)*(D1135-INT(D1135))+VLOOKUP(INT(D1135),Tablas!$G$9:$K$1240,5,0)*(INT(D1135)+1-D1135)),+VLOOKUP(INT(D1135)+1,Tablas!$G$9:$O$1240,9,0)*(D1135-INT(D1135))+VLOOKUP(INT(D1135),Tablas!$G$9:$O$1240,9,0)*(INT(D1135)+1-D1135))</f>
        <v>#N/A</v>
      </c>
      <c r="H1135" s="105">
        <f t="shared" ca="1" si="140"/>
        <v>1</v>
      </c>
      <c r="I1135" s="106">
        <f t="shared" ca="1" si="141"/>
        <v>0</v>
      </c>
      <c r="J1135" s="106">
        <f t="shared" ca="1" si="145"/>
        <v>0</v>
      </c>
      <c r="K1135" s="105" t="e">
        <f t="shared" ca="1" si="142"/>
        <v>#N/A</v>
      </c>
      <c r="L1135" s="75"/>
    </row>
    <row r="1136" spans="2:12">
      <c r="B1136" s="101">
        <f t="shared" ca="1" si="143"/>
        <v>86840</v>
      </c>
      <c r="C1136" s="101">
        <f t="shared" ca="1" si="144"/>
        <v>86870</v>
      </c>
      <c r="D1136" s="102">
        <f t="shared" ca="1" si="139"/>
        <v>160.33127994524298</v>
      </c>
      <c r="E1136" s="103">
        <f t="shared" ca="1" si="146"/>
        <v>0.24918161754748819</v>
      </c>
      <c r="F1136" s="104" t="e">
        <f ca="1">IF($C$4="Hombre",(+VLOOKUP(INT(D1136)+1,Tablas!$G$9:$K$1240,5,0)*(D1136-INT(D1136))+VLOOKUP(INT(D1136),Tablas!$G$9:$K$1240,5,0)*(INT(D1136)+1-D1136))/(VLOOKUP(INT($C$5)+1,Tablas!$G$9:$K$1240,5,0)*($C$5-INT($C$5))+VLOOKUP(INT($C$5),Tablas!$G$9:$K$124,5,0)*(INT($C$5)+1-$C$5)),(+VLOOKUP(INT(D1136)+1,Tablas!$G$9:$O$1240,9,0)*(D1136-INT(D1136))+VLOOKUP(INT(D1136),Tablas!$G$9:$O$1240,9,0)*(INT(D1136)+1-D1136))/(VLOOKUP(INT($C$5)+1,Tablas!$G$9:$O$1240,9,0)*($C$5-INT($C$5))+VLOOKUP(INT($C$5),Tablas!$G$9:$O$124,9,0)*(INT($C$5)+1-$C$5)))</f>
        <v>#N/A</v>
      </c>
      <c r="G1136" s="97" t="e">
        <f ca="1">IF($C$4="Hombre",(+VLOOKUP(INT(D1136)+1,Tablas!$G$9:$K$1240,5,0)*(D1136-INT(D1136))+VLOOKUP(INT(D1136),Tablas!$G$9:$K$1240,5,0)*(INT(D1136)+1-D1136)),+VLOOKUP(INT(D1136)+1,Tablas!$G$9:$O$1240,9,0)*(D1136-INT(D1136))+VLOOKUP(INT(D1136),Tablas!$G$9:$O$1240,9,0)*(INT(D1136)+1-D1136))</f>
        <v>#N/A</v>
      </c>
      <c r="H1136" s="105">
        <f t="shared" ca="1" si="140"/>
        <v>1</v>
      </c>
      <c r="I1136" s="106">
        <f t="shared" ca="1" si="141"/>
        <v>0</v>
      </c>
      <c r="J1136" s="106">
        <f t="shared" ca="1" si="145"/>
        <v>0</v>
      </c>
      <c r="K1136" s="105" t="e">
        <f t="shared" ca="1" si="142"/>
        <v>#N/A</v>
      </c>
      <c r="L1136" s="75"/>
    </row>
    <row r="1137" spans="2:12">
      <c r="B1137" s="101">
        <f t="shared" ca="1" si="143"/>
        <v>86871</v>
      </c>
      <c r="C1137" s="101">
        <f t="shared" ca="1" si="144"/>
        <v>86900</v>
      </c>
      <c r="D1137" s="102">
        <f t="shared" ca="1" si="139"/>
        <v>160.41341546885695</v>
      </c>
      <c r="E1137" s="103">
        <f t="shared" ca="1" si="146"/>
        <v>0.24887708358132238</v>
      </c>
      <c r="F1137" s="104" t="e">
        <f ca="1">IF($C$4="Hombre",(+VLOOKUP(INT(D1137)+1,Tablas!$G$9:$K$1240,5,0)*(D1137-INT(D1137))+VLOOKUP(INT(D1137),Tablas!$G$9:$K$1240,5,0)*(INT(D1137)+1-D1137))/(VLOOKUP(INT($C$5)+1,Tablas!$G$9:$K$1240,5,0)*($C$5-INT($C$5))+VLOOKUP(INT($C$5),Tablas!$G$9:$K$124,5,0)*(INT($C$5)+1-$C$5)),(+VLOOKUP(INT(D1137)+1,Tablas!$G$9:$O$1240,9,0)*(D1137-INT(D1137))+VLOOKUP(INT(D1137),Tablas!$G$9:$O$1240,9,0)*(INT(D1137)+1-D1137))/(VLOOKUP(INT($C$5)+1,Tablas!$G$9:$O$1240,9,0)*($C$5-INT($C$5))+VLOOKUP(INT($C$5),Tablas!$G$9:$O$124,9,0)*(INT($C$5)+1-$C$5)))</f>
        <v>#N/A</v>
      </c>
      <c r="G1137" s="97" t="e">
        <f ca="1">IF($C$4="Hombre",(+VLOOKUP(INT(D1137)+1,Tablas!$G$9:$K$1240,5,0)*(D1137-INT(D1137))+VLOOKUP(INT(D1137),Tablas!$G$9:$K$1240,5,0)*(INT(D1137)+1-D1137)),+VLOOKUP(INT(D1137)+1,Tablas!$G$9:$O$1240,9,0)*(D1137-INT(D1137))+VLOOKUP(INT(D1137),Tablas!$G$9:$O$1240,9,0)*(INT(D1137)+1-D1137))</f>
        <v>#N/A</v>
      </c>
      <c r="H1137" s="105">
        <f t="shared" ca="1" si="140"/>
        <v>1</v>
      </c>
      <c r="I1137" s="106">
        <f t="shared" ca="1" si="141"/>
        <v>0</v>
      </c>
      <c r="J1137" s="106">
        <f t="shared" ca="1" si="145"/>
        <v>0</v>
      </c>
      <c r="K1137" s="105" t="e">
        <f t="shared" ca="1" si="142"/>
        <v>#N/A</v>
      </c>
      <c r="L1137" s="75"/>
    </row>
    <row r="1138" spans="2:12">
      <c r="B1138" s="101">
        <f t="shared" ca="1" si="143"/>
        <v>86901</v>
      </c>
      <c r="C1138" s="101">
        <f t="shared" ca="1" si="144"/>
        <v>86931</v>
      </c>
      <c r="D1138" s="102">
        <f t="shared" ca="1" si="139"/>
        <v>160.49828884325805</v>
      </c>
      <c r="E1138" s="103">
        <f t="shared" ca="1" si="146"/>
        <v>0.24856278947560803</v>
      </c>
      <c r="F1138" s="104" t="e">
        <f ca="1">IF($C$4="Hombre",(+VLOOKUP(INT(D1138)+1,Tablas!$G$9:$K$1240,5,0)*(D1138-INT(D1138))+VLOOKUP(INT(D1138),Tablas!$G$9:$K$1240,5,0)*(INT(D1138)+1-D1138))/(VLOOKUP(INT($C$5)+1,Tablas!$G$9:$K$1240,5,0)*($C$5-INT($C$5))+VLOOKUP(INT($C$5),Tablas!$G$9:$K$124,5,0)*(INT($C$5)+1-$C$5)),(+VLOOKUP(INT(D1138)+1,Tablas!$G$9:$O$1240,9,0)*(D1138-INT(D1138))+VLOOKUP(INT(D1138),Tablas!$G$9:$O$1240,9,0)*(INT(D1138)+1-D1138))/(VLOOKUP(INT($C$5)+1,Tablas!$G$9:$O$1240,9,0)*($C$5-INT($C$5))+VLOOKUP(INT($C$5),Tablas!$G$9:$O$124,9,0)*(INT($C$5)+1-$C$5)))</f>
        <v>#N/A</v>
      </c>
      <c r="G1138" s="97" t="e">
        <f ca="1">IF($C$4="Hombre",(+VLOOKUP(INT(D1138)+1,Tablas!$G$9:$K$1240,5,0)*(D1138-INT(D1138))+VLOOKUP(INT(D1138),Tablas!$G$9:$K$1240,5,0)*(INT(D1138)+1-D1138)),+VLOOKUP(INT(D1138)+1,Tablas!$G$9:$O$1240,9,0)*(D1138-INT(D1138))+VLOOKUP(INT(D1138),Tablas!$G$9:$O$1240,9,0)*(INT(D1138)+1-D1138))</f>
        <v>#N/A</v>
      </c>
      <c r="H1138" s="105">
        <f t="shared" ca="1" si="140"/>
        <v>1</v>
      </c>
      <c r="I1138" s="106">
        <f t="shared" ca="1" si="141"/>
        <v>0</v>
      </c>
      <c r="J1138" s="106">
        <f t="shared" ca="1" si="145"/>
        <v>0</v>
      </c>
      <c r="K1138" s="105" t="e">
        <f t="shared" ca="1" si="142"/>
        <v>#N/A</v>
      </c>
      <c r="L1138" s="75"/>
    </row>
    <row r="1139" spans="2:12">
      <c r="B1139" s="101">
        <f t="shared" ca="1" si="143"/>
        <v>86932</v>
      </c>
      <c r="C1139" s="101">
        <f t="shared" ca="1" si="144"/>
        <v>86962</v>
      </c>
      <c r="D1139" s="102">
        <f t="shared" ca="1" si="139"/>
        <v>160.58316221765915</v>
      </c>
      <c r="E1139" s="103">
        <f t="shared" ca="1" si="146"/>
        <v>0.2482488922758018</v>
      </c>
      <c r="F1139" s="104" t="e">
        <f ca="1">IF($C$4="Hombre",(+VLOOKUP(INT(D1139)+1,Tablas!$G$9:$K$1240,5,0)*(D1139-INT(D1139))+VLOOKUP(INT(D1139),Tablas!$G$9:$K$1240,5,0)*(INT(D1139)+1-D1139))/(VLOOKUP(INT($C$5)+1,Tablas!$G$9:$K$1240,5,0)*($C$5-INT($C$5))+VLOOKUP(INT($C$5),Tablas!$G$9:$K$124,5,0)*(INT($C$5)+1-$C$5)),(+VLOOKUP(INT(D1139)+1,Tablas!$G$9:$O$1240,9,0)*(D1139-INT(D1139))+VLOOKUP(INT(D1139),Tablas!$G$9:$O$1240,9,0)*(INT(D1139)+1-D1139))/(VLOOKUP(INT($C$5)+1,Tablas!$G$9:$O$1240,9,0)*($C$5-INT($C$5))+VLOOKUP(INT($C$5),Tablas!$G$9:$O$124,9,0)*(INT($C$5)+1-$C$5)))</f>
        <v>#N/A</v>
      </c>
      <c r="G1139" s="97" t="e">
        <f ca="1">IF($C$4="Hombre",(+VLOOKUP(INT(D1139)+1,Tablas!$G$9:$K$1240,5,0)*(D1139-INT(D1139))+VLOOKUP(INT(D1139),Tablas!$G$9:$K$1240,5,0)*(INT(D1139)+1-D1139)),+VLOOKUP(INT(D1139)+1,Tablas!$G$9:$O$1240,9,0)*(D1139-INT(D1139))+VLOOKUP(INT(D1139),Tablas!$G$9:$O$1240,9,0)*(INT(D1139)+1-D1139))</f>
        <v>#N/A</v>
      </c>
      <c r="H1139" s="105">
        <f t="shared" ca="1" si="140"/>
        <v>1</v>
      </c>
      <c r="I1139" s="106">
        <f t="shared" ca="1" si="141"/>
        <v>0</v>
      </c>
      <c r="J1139" s="106">
        <f t="shared" ca="1" si="145"/>
        <v>0</v>
      </c>
      <c r="K1139" s="105" t="e">
        <f t="shared" ca="1" si="142"/>
        <v>#N/A</v>
      </c>
      <c r="L1139" s="75"/>
    </row>
    <row r="1140" spans="2:12">
      <c r="B1140" s="101">
        <f t="shared" ca="1" si="143"/>
        <v>86963</v>
      </c>
      <c r="C1140" s="101">
        <f t="shared" ca="1" si="144"/>
        <v>86990</v>
      </c>
      <c r="D1140" s="102">
        <f t="shared" ca="1" si="139"/>
        <v>160.65982203969884</v>
      </c>
      <c r="E1140" s="103">
        <f t="shared" ca="1" si="146"/>
        <v>0.24796571295652384</v>
      </c>
      <c r="F1140" s="104" t="e">
        <f ca="1">IF($C$4="Hombre",(+VLOOKUP(INT(D1140)+1,Tablas!$G$9:$K$1240,5,0)*(D1140-INT(D1140))+VLOOKUP(INT(D1140),Tablas!$G$9:$K$1240,5,0)*(INT(D1140)+1-D1140))/(VLOOKUP(INT($C$5)+1,Tablas!$G$9:$K$1240,5,0)*($C$5-INT($C$5))+VLOOKUP(INT($C$5),Tablas!$G$9:$K$124,5,0)*(INT($C$5)+1-$C$5)),(+VLOOKUP(INT(D1140)+1,Tablas!$G$9:$O$1240,9,0)*(D1140-INT(D1140))+VLOOKUP(INT(D1140),Tablas!$G$9:$O$1240,9,0)*(INT(D1140)+1-D1140))/(VLOOKUP(INT($C$5)+1,Tablas!$G$9:$O$1240,9,0)*($C$5-INT($C$5))+VLOOKUP(INT($C$5),Tablas!$G$9:$O$124,9,0)*(INT($C$5)+1-$C$5)))</f>
        <v>#N/A</v>
      </c>
      <c r="G1140" s="97" t="e">
        <f ca="1">IF($C$4="Hombre",(+VLOOKUP(INT(D1140)+1,Tablas!$G$9:$K$1240,5,0)*(D1140-INT(D1140))+VLOOKUP(INT(D1140),Tablas!$G$9:$K$1240,5,0)*(INT(D1140)+1-D1140)),+VLOOKUP(INT(D1140)+1,Tablas!$G$9:$O$1240,9,0)*(D1140-INT(D1140))+VLOOKUP(INT(D1140),Tablas!$G$9:$O$1240,9,0)*(INT(D1140)+1-D1140))</f>
        <v>#N/A</v>
      </c>
      <c r="H1140" s="105">
        <f t="shared" ca="1" si="140"/>
        <v>1</v>
      </c>
      <c r="I1140" s="106">
        <f t="shared" ca="1" si="141"/>
        <v>0</v>
      </c>
      <c r="J1140" s="106">
        <f t="shared" ca="1" si="145"/>
        <v>0</v>
      </c>
      <c r="K1140" s="105" t="e">
        <f t="shared" ca="1" si="142"/>
        <v>#N/A</v>
      </c>
      <c r="L1140" s="75"/>
    </row>
    <row r="1141" spans="2:12">
      <c r="B1141" s="101">
        <f t="shared" ca="1" si="143"/>
        <v>86991</v>
      </c>
      <c r="C1141" s="101">
        <f t="shared" ca="1" si="144"/>
        <v>87021</v>
      </c>
      <c r="D1141" s="102">
        <f t="shared" ca="1" si="139"/>
        <v>160.74469541409994</v>
      </c>
      <c r="E1141" s="103">
        <f t="shared" ca="1" si="146"/>
        <v>0.24765256977403372</v>
      </c>
      <c r="F1141" s="104" t="e">
        <f ca="1">IF($C$4="Hombre",(+VLOOKUP(INT(D1141)+1,Tablas!$G$9:$K$1240,5,0)*(D1141-INT(D1141))+VLOOKUP(INT(D1141),Tablas!$G$9:$K$1240,5,0)*(INT(D1141)+1-D1141))/(VLOOKUP(INT($C$5)+1,Tablas!$G$9:$K$1240,5,0)*($C$5-INT($C$5))+VLOOKUP(INT($C$5),Tablas!$G$9:$K$124,5,0)*(INT($C$5)+1-$C$5)),(+VLOOKUP(INT(D1141)+1,Tablas!$G$9:$O$1240,9,0)*(D1141-INT(D1141))+VLOOKUP(INT(D1141),Tablas!$G$9:$O$1240,9,0)*(INT(D1141)+1-D1141))/(VLOOKUP(INT($C$5)+1,Tablas!$G$9:$O$1240,9,0)*($C$5-INT($C$5))+VLOOKUP(INT($C$5),Tablas!$G$9:$O$124,9,0)*(INT($C$5)+1-$C$5)))</f>
        <v>#N/A</v>
      </c>
      <c r="G1141" s="97" t="e">
        <f ca="1">IF($C$4="Hombre",(+VLOOKUP(INT(D1141)+1,Tablas!$G$9:$K$1240,5,0)*(D1141-INT(D1141))+VLOOKUP(INT(D1141),Tablas!$G$9:$K$1240,5,0)*(INT(D1141)+1-D1141)),+VLOOKUP(INT(D1141)+1,Tablas!$G$9:$O$1240,9,0)*(D1141-INT(D1141))+VLOOKUP(INT(D1141),Tablas!$G$9:$O$1240,9,0)*(INT(D1141)+1-D1141))</f>
        <v>#N/A</v>
      </c>
      <c r="H1141" s="105">
        <f t="shared" ca="1" si="140"/>
        <v>1</v>
      </c>
      <c r="I1141" s="106">
        <f t="shared" ca="1" si="141"/>
        <v>0</v>
      </c>
      <c r="J1141" s="106">
        <f t="shared" ca="1" si="145"/>
        <v>0</v>
      </c>
      <c r="K1141" s="105" t="e">
        <f t="shared" ca="1" si="142"/>
        <v>#N/A</v>
      </c>
      <c r="L1141" s="75"/>
    </row>
    <row r="1142" spans="2:12">
      <c r="B1142" s="101">
        <f t="shared" ca="1" si="143"/>
        <v>87022</v>
      </c>
      <c r="C1142" s="101">
        <f t="shared" ca="1" si="144"/>
        <v>87051</v>
      </c>
      <c r="D1142" s="102">
        <f t="shared" ca="1" si="139"/>
        <v>160.82683093771391</v>
      </c>
      <c r="E1142" s="103">
        <f t="shared" ca="1" si="146"/>
        <v>0.24734990451306169</v>
      </c>
      <c r="F1142" s="104" t="e">
        <f ca="1">IF($C$4="Hombre",(+VLOOKUP(INT(D1142)+1,Tablas!$G$9:$K$1240,5,0)*(D1142-INT(D1142))+VLOOKUP(INT(D1142),Tablas!$G$9:$K$1240,5,0)*(INT(D1142)+1-D1142))/(VLOOKUP(INT($C$5)+1,Tablas!$G$9:$K$1240,5,0)*($C$5-INT($C$5))+VLOOKUP(INT($C$5),Tablas!$G$9:$K$124,5,0)*(INT($C$5)+1-$C$5)),(+VLOOKUP(INT(D1142)+1,Tablas!$G$9:$O$1240,9,0)*(D1142-INT(D1142))+VLOOKUP(INT(D1142),Tablas!$G$9:$O$1240,9,0)*(INT(D1142)+1-D1142))/(VLOOKUP(INT($C$5)+1,Tablas!$G$9:$O$1240,9,0)*($C$5-INT($C$5))+VLOOKUP(INT($C$5),Tablas!$G$9:$O$124,9,0)*(INT($C$5)+1-$C$5)))</f>
        <v>#N/A</v>
      </c>
      <c r="G1142" s="97" t="e">
        <f ca="1">IF($C$4="Hombre",(+VLOOKUP(INT(D1142)+1,Tablas!$G$9:$K$1240,5,0)*(D1142-INT(D1142))+VLOOKUP(INT(D1142),Tablas!$G$9:$K$1240,5,0)*(INT(D1142)+1-D1142)),+VLOOKUP(INT(D1142)+1,Tablas!$G$9:$O$1240,9,0)*(D1142-INT(D1142))+VLOOKUP(INT(D1142),Tablas!$G$9:$O$1240,9,0)*(INT(D1142)+1-D1142))</f>
        <v>#N/A</v>
      </c>
      <c r="H1142" s="105">
        <f t="shared" ca="1" si="140"/>
        <v>1</v>
      </c>
      <c r="I1142" s="106">
        <f t="shared" ca="1" si="141"/>
        <v>0</v>
      </c>
      <c r="J1142" s="106">
        <f t="shared" ca="1" si="145"/>
        <v>0</v>
      </c>
      <c r="K1142" s="105" t="e">
        <f t="shared" ca="1" si="142"/>
        <v>#N/A</v>
      </c>
      <c r="L1142" s="75"/>
    </row>
    <row r="1143" spans="2:12">
      <c r="B1143" s="101">
        <f t="shared" ca="1" si="143"/>
        <v>87052</v>
      </c>
      <c r="C1143" s="101">
        <f t="shared" ca="1" si="144"/>
        <v>87082</v>
      </c>
      <c r="D1143" s="102">
        <f t="shared" ca="1" si="139"/>
        <v>160.91170431211498</v>
      </c>
      <c r="E1143" s="103">
        <f t="shared" ca="1" si="146"/>
        <v>0.24703753900347458</v>
      </c>
      <c r="F1143" s="104" t="e">
        <f ca="1">IF($C$4="Hombre",(+VLOOKUP(INT(D1143)+1,Tablas!$G$9:$K$1240,5,0)*(D1143-INT(D1143))+VLOOKUP(INT(D1143),Tablas!$G$9:$K$1240,5,0)*(INT(D1143)+1-D1143))/(VLOOKUP(INT($C$5)+1,Tablas!$G$9:$K$1240,5,0)*($C$5-INT($C$5))+VLOOKUP(INT($C$5),Tablas!$G$9:$K$124,5,0)*(INT($C$5)+1-$C$5)),(+VLOOKUP(INT(D1143)+1,Tablas!$G$9:$O$1240,9,0)*(D1143-INT(D1143))+VLOOKUP(INT(D1143),Tablas!$G$9:$O$1240,9,0)*(INT(D1143)+1-D1143))/(VLOOKUP(INT($C$5)+1,Tablas!$G$9:$O$1240,9,0)*($C$5-INT($C$5))+VLOOKUP(INT($C$5),Tablas!$G$9:$O$124,9,0)*(INT($C$5)+1-$C$5)))</f>
        <v>#N/A</v>
      </c>
      <c r="G1143" s="97" t="e">
        <f ca="1">IF($C$4="Hombre",(+VLOOKUP(INT(D1143)+1,Tablas!$G$9:$K$1240,5,0)*(D1143-INT(D1143))+VLOOKUP(INT(D1143),Tablas!$G$9:$K$1240,5,0)*(INT(D1143)+1-D1143)),+VLOOKUP(INT(D1143)+1,Tablas!$G$9:$O$1240,9,0)*(D1143-INT(D1143))+VLOOKUP(INT(D1143),Tablas!$G$9:$O$1240,9,0)*(INT(D1143)+1-D1143))</f>
        <v>#N/A</v>
      </c>
      <c r="H1143" s="105">
        <f t="shared" ca="1" si="140"/>
        <v>1</v>
      </c>
      <c r="I1143" s="106">
        <f t="shared" ca="1" si="141"/>
        <v>0</v>
      </c>
      <c r="J1143" s="106">
        <f t="shared" ca="1" si="145"/>
        <v>0</v>
      </c>
      <c r="K1143" s="105" t="e">
        <f t="shared" ca="1" si="142"/>
        <v>#N/A</v>
      </c>
      <c r="L1143" s="75"/>
    </row>
    <row r="1144" spans="2:12">
      <c r="B1144" s="101">
        <f t="shared" ca="1" si="143"/>
        <v>87083</v>
      </c>
      <c r="C1144" s="101">
        <f t="shared" ca="1" si="144"/>
        <v>87112</v>
      </c>
      <c r="D1144" s="102">
        <f t="shared" ca="1" si="139"/>
        <v>160.99383983572895</v>
      </c>
      <c r="E1144" s="103">
        <f t="shared" ca="1" si="146"/>
        <v>0.24673562539409591</v>
      </c>
      <c r="F1144" s="104" t="e">
        <f ca="1">IF($C$4="Hombre",(+VLOOKUP(INT(D1144)+1,Tablas!$G$9:$K$1240,5,0)*(D1144-INT(D1144))+VLOOKUP(INT(D1144),Tablas!$G$9:$K$1240,5,0)*(INT(D1144)+1-D1144))/(VLOOKUP(INT($C$5)+1,Tablas!$G$9:$K$1240,5,0)*($C$5-INT($C$5))+VLOOKUP(INT($C$5),Tablas!$G$9:$K$124,5,0)*(INT($C$5)+1-$C$5)),(+VLOOKUP(INT(D1144)+1,Tablas!$G$9:$O$1240,9,0)*(D1144-INT(D1144))+VLOOKUP(INT(D1144),Tablas!$G$9:$O$1240,9,0)*(INT(D1144)+1-D1144))/(VLOOKUP(INT($C$5)+1,Tablas!$G$9:$O$1240,9,0)*($C$5-INT($C$5))+VLOOKUP(INT($C$5),Tablas!$G$9:$O$124,9,0)*(INT($C$5)+1-$C$5)))</f>
        <v>#N/A</v>
      </c>
      <c r="G1144" s="97" t="e">
        <f ca="1">IF($C$4="Hombre",(+VLOOKUP(INT(D1144)+1,Tablas!$G$9:$K$1240,5,0)*(D1144-INT(D1144))+VLOOKUP(INT(D1144),Tablas!$G$9:$K$1240,5,0)*(INT(D1144)+1-D1144)),+VLOOKUP(INT(D1144)+1,Tablas!$G$9:$O$1240,9,0)*(D1144-INT(D1144))+VLOOKUP(INT(D1144),Tablas!$G$9:$O$1240,9,0)*(INT(D1144)+1-D1144))</f>
        <v>#N/A</v>
      </c>
      <c r="H1144" s="105">
        <f t="shared" ca="1" si="140"/>
        <v>1</v>
      </c>
      <c r="I1144" s="106">
        <f t="shared" ca="1" si="141"/>
        <v>0</v>
      </c>
      <c r="J1144" s="106">
        <f t="shared" ca="1" si="145"/>
        <v>0</v>
      </c>
      <c r="K1144" s="105" t="e">
        <f t="shared" ca="1" si="142"/>
        <v>#N/A</v>
      </c>
      <c r="L1144" s="75"/>
    </row>
    <row r="1145" spans="2:12">
      <c r="B1145" s="101">
        <f t="shared" ca="1" si="143"/>
        <v>87113</v>
      </c>
      <c r="C1145" s="101">
        <f t="shared" ca="1" si="144"/>
        <v>87143</v>
      </c>
      <c r="D1145" s="102">
        <f t="shared" ca="1" si="139"/>
        <v>161.07871321013005</v>
      </c>
      <c r="E1145" s="103">
        <f t="shared" ca="1" si="146"/>
        <v>0.24642403562610599</v>
      </c>
      <c r="F1145" s="104" t="e">
        <f ca="1">IF($C$4="Hombre",(+VLOOKUP(INT(D1145)+1,Tablas!$G$9:$K$1240,5,0)*(D1145-INT(D1145))+VLOOKUP(INT(D1145),Tablas!$G$9:$K$1240,5,0)*(INT(D1145)+1-D1145))/(VLOOKUP(INT($C$5)+1,Tablas!$G$9:$K$1240,5,0)*($C$5-INT($C$5))+VLOOKUP(INT($C$5),Tablas!$G$9:$K$124,5,0)*(INT($C$5)+1-$C$5)),(+VLOOKUP(INT(D1145)+1,Tablas!$G$9:$O$1240,9,0)*(D1145-INT(D1145))+VLOOKUP(INT(D1145),Tablas!$G$9:$O$1240,9,0)*(INT(D1145)+1-D1145))/(VLOOKUP(INT($C$5)+1,Tablas!$G$9:$O$1240,9,0)*($C$5-INT($C$5))+VLOOKUP(INT($C$5),Tablas!$G$9:$O$124,9,0)*(INT($C$5)+1-$C$5)))</f>
        <v>#N/A</v>
      </c>
      <c r="G1145" s="97" t="e">
        <f ca="1">IF($C$4="Hombre",(+VLOOKUP(INT(D1145)+1,Tablas!$G$9:$K$1240,5,0)*(D1145-INT(D1145))+VLOOKUP(INT(D1145),Tablas!$G$9:$K$1240,5,0)*(INT(D1145)+1-D1145)),+VLOOKUP(INT(D1145)+1,Tablas!$G$9:$O$1240,9,0)*(D1145-INT(D1145))+VLOOKUP(INT(D1145),Tablas!$G$9:$O$1240,9,0)*(INT(D1145)+1-D1145))</f>
        <v>#N/A</v>
      </c>
      <c r="H1145" s="105">
        <f t="shared" ca="1" si="140"/>
        <v>1</v>
      </c>
      <c r="I1145" s="106">
        <f t="shared" ca="1" si="141"/>
        <v>0</v>
      </c>
      <c r="J1145" s="106">
        <f t="shared" ca="1" si="145"/>
        <v>0</v>
      </c>
      <c r="K1145" s="105" t="e">
        <f t="shared" ca="1" si="142"/>
        <v>#N/A</v>
      </c>
      <c r="L1145" s="75"/>
    </row>
    <row r="1146" spans="2:12">
      <c r="B1146" s="101">
        <f t="shared" ca="1" si="143"/>
        <v>87144</v>
      </c>
      <c r="C1146" s="101">
        <f t="shared" ca="1" si="144"/>
        <v>87174</v>
      </c>
      <c r="D1146" s="102">
        <f t="shared" ca="1" si="139"/>
        <v>161.16358658453115</v>
      </c>
      <c r="E1146" s="103">
        <f t="shared" ca="1" si="146"/>
        <v>0.24611283934885478</v>
      </c>
      <c r="F1146" s="104" t="e">
        <f ca="1">IF($C$4="Hombre",(+VLOOKUP(INT(D1146)+1,Tablas!$G$9:$K$1240,5,0)*(D1146-INT(D1146))+VLOOKUP(INT(D1146),Tablas!$G$9:$K$1240,5,0)*(INT(D1146)+1-D1146))/(VLOOKUP(INT($C$5)+1,Tablas!$G$9:$K$1240,5,0)*($C$5-INT($C$5))+VLOOKUP(INT($C$5),Tablas!$G$9:$K$124,5,0)*(INT($C$5)+1-$C$5)),(+VLOOKUP(INT(D1146)+1,Tablas!$G$9:$O$1240,9,0)*(D1146-INT(D1146))+VLOOKUP(INT(D1146),Tablas!$G$9:$O$1240,9,0)*(INT(D1146)+1-D1146))/(VLOOKUP(INT($C$5)+1,Tablas!$G$9:$O$1240,9,0)*($C$5-INT($C$5))+VLOOKUP(INT($C$5),Tablas!$G$9:$O$124,9,0)*(INT($C$5)+1-$C$5)))</f>
        <v>#N/A</v>
      </c>
      <c r="G1146" s="97" t="e">
        <f ca="1">IF($C$4="Hombre",(+VLOOKUP(INT(D1146)+1,Tablas!$G$9:$K$1240,5,0)*(D1146-INT(D1146))+VLOOKUP(INT(D1146),Tablas!$G$9:$K$1240,5,0)*(INT(D1146)+1-D1146)),+VLOOKUP(INT(D1146)+1,Tablas!$G$9:$O$1240,9,0)*(D1146-INT(D1146))+VLOOKUP(INT(D1146),Tablas!$G$9:$O$1240,9,0)*(INT(D1146)+1-D1146))</f>
        <v>#N/A</v>
      </c>
      <c r="H1146" s="105">
        <f t="shared" ca="1" si="140"/>
        <v>1</v>
      </c>
      <c r="I1146" s="106">
        <f t="shared" ca="1" si="141"/>
        <v>0</v>
      </c>
      <c r="J1146" s="106">
        <f t="shared" ca="1" si="145"/>
        <v>0</v>
      </c>
      <c r="K1146" s="105" t="e">
        <f t="shared" ca="1" si="142"/>
        <v>#N/A</v>
      </c>
      <c r="L1146" s="75"/>
    </row>
    <row r="1147" spans="2:12">
      <c r="B1147" s="101">
        <f t="shared" ca="1" si="143"/>
        <v>87175</v>
      </c>
      <c r="C1147" s="101">
        <f t="shared" ca="1" si="144"/>
        <v>87204</v>
      </c>
      <c r="D1147" s="102">
        <f t="shared" ca="1" si="139"/>
        <v>161.24572210814512</v>
      </c>
      <c r="E1147" s="103">
        <f t="shared" ca="1" si="146"/>
        <v>0.24581205584873581</v>
      </c>
      <c r="F1147" s="104" t="e">
        <f ca="1">IF($C$4="Hombre",(+VLOOKUP(INT(D1147)+1,Tablas!$G$9:$K$1240,5,0)*(D1147-INT(D1147))+VLOOKUP(INT(D1147),Tablas!$G$9:$K$1240,5,0)*(INT(D1147)+1-D1147))/(VLOOKUP(INT($C$5)+1,Tablas!$G$9:$K$1240,5,0)*($C$5-INT($C$5))+VLOOKUP(INT($C$5),Tablas!$G$9:$K$124,5,0)*(INT($C$5)+1-$C$5)),(+VLOOKUP(INT(D1147)+1,Tablas!$G$9:$O$1240,9,0)*(D1147-INT(D1147))+VLOOKUP(INT(D1147),Tablas!$G$9:$O$1240,9,0)*(INT(D1147)+1-D1147))/(VLOOKUP(INT($C$5)+1,Tablas!$G$9:$O$1240,9,0)*($C$5-INT($C$5))+VLOOKUP(INT($C$5),Tablas!$G$9:$O$124,9,0)*(INT($C$5)+1-$C$5)))</f>
        <v>#N/A</v>
      </c>
      <c r="G1147" s="97" t="e">
        <f ca="1">IF($C$4="Hombre",(+VLOOKUP(INT(D1147)+1,Tablas!$G$9:$K$1240,5,0)*(D1147-INT(D1147))+VLOOKUP(INT(D1147),Tablas!$G$9:$K$1240,5,0)*(INT(D1147)+1-D1147)),+VLOOKUP(INT(D1147)+1,Tablas!$G$9:$O$1240,9,0)*(D1147-INT(D1147))+VLOOKUP(INT(D1147),Tablas!$G$9:$O$1240,9,0)*(INT(D1147)+1-D1147))</f>
        <v>#N/A</v>
      </c>
      <c r="H1147" s="105">
        <f t="shared" ca="1" si="140"/>
        <v>1</v>
      </c>
      <c r="I1147" s="106">
        <f t="shared" ca="1" si="141"/>
        <v>0</v>
      </c>
      <c r="J1147" s="106">
        <f t="shared" ca="1" si="145"/>
        <v>0</v>
      </c>
      <c r="K1147" s="105" t="e">
        <f t="shared" ca="1" si="142"/>
        <v>#N/A</v>
      </c>
      <c r="L1147" s="75"/>
    </row>
    <row r="1148" spans="2:12">
      <c r="B1148" s="101">
        <f t="shared" ca="1" si="143"/>
        <v>87205</v>
      </c>
      <c r="C1148" s="101">
        <f t="shared" ca="1" si="144"/>
        <v>87235</v>
      </c>
      <c r="D1148" s="102">
        <f t="shared" ca="1" si="139"/>
        <v>161.33059548254622</v>
      </c>
      <c r="E1148" s="103">
        <f t="shared" ca="1" si="146"/>
        <v>0.24550163240936138</v>
      </c>
      <c r="F1148" s="104" t="e">
        <f ca="1">IF($C$4="Hombre",(+VLOOKUP(INT(D1148)+1,Tablas!$G$9:$K$1240,5,0)*(D1148-INT(D1148))+VLOOKUP(INT(D1148),Tablas!$G$9:$K$1240,5,0)*(INT(D1148)+1-D1148))/(VLOOKUP(INT($C$5)+1,Tablas!$G$9:$K$1240,5,0)*($C$5-INT($C$5))+VLOOKUP(INT($C$5),Tablas!$G$9:$K$124,5,0)*(INT($C$5)+1-$C$5)),(+VLOOKUP(INT(D1148)+1,Tablas!$G$9:$O$1240,9,0)*(D1148-INT(D1148))+VLOOKUP(INT(D1148),Tablas!$G$9:$O$1240,9,0)*(INT(D1148)+1-D1148))/(VLOOKUP(INT($C$5)+1,Tablas!$G$9:$O$1240,9,0)*($C$5-INT($C$5))+VLOOKUP(INT($C$5),Tablas!$G$9:$O$124,9,0)*(INT($C$5)+1-$C$5)))</f>
        <v>#N/A</v>
      </c>
      <c r="G1148" s="97" t="e">
        <f ca="1">IF($C$4="Hombre",(+VLOOKUP(INT(D1148)+1,Tablas!$G$9:$K$1240,5,0)*(D1148-INT(D1148))+VLOOKUP(INT(D1148),Tablas!$G$9:$K$1240,5,0)*(INT(D1148)+1-D1148)),+VLOOKUP(INT(D1148)+1,Tablas!$G$9:$O$1240,9,0)*(D1148-INT(D1148))+VLOOKUP(INT(D1148),Tablas!$G$9:$O$1240,9,0)*(INT(D1148)+1-D1148))</f>
        <v>#N/A</v>
      </c>
      <c r="H1148" s="105">
        <f t="shared" ca="1" si="140"/>
        <v>1</v>
      </c>
      <c r="I1148" s="106">
        <f t="shared" ca="1" si="141"/>
        <v>0</v>
      </c>
      <c r="J1148" s="106">
        <f t="shared" ca="1" si="145"/>
        <v>0</v>
      </c>
      <c r="K1148" s="105" t="e">
        <f t="shared" ca="1" si="142"/>
        <v>#N/A</v>
      </c>
      <c r="L1148" s="75"/>
    </row>
    <row r="1149" spans="2:12">
      <c r="B1149" s="101">
        <f t="shared" ca="1" si="143"/>
        <v>87236</v>
      </c>
      <c r="C1149" s="101">
        <f t="shared" ca="1" si="144"/>
        <v>87265</v>
      </c>
      <c r="D1149" s="102">
        <f t="shared" ca="1" si="139"/>
        <v>161.41273100616016</v>
      </c>
      <c r="E1149" s="103">
        <f t="shared" ca="1" si="146"/>
        <v>0.24520159588759216</v>
      </c>
      <c r="F1149" s="104" t="e">
        <f ca="1">IF($C$4="Hombre",(+VLOOKUP(INT(D1149)+1,Tablas!$G$9:$K$1240,5,0)*(D1149-INT(D1149))+VLOOKUP(INT(D1149),Tablas!$G$9:$K$1240,5,0)*(INT(D1149)+1-D1149))/(VLOOKUP(INT($C$5)+1,Tablas!$G$9:$K$1240,5,0)*($C$5-INT($C$5))+VLOOKUP(INT($C$5),Tablas!$G$9:$K$124,5,0)*(INT($C$5)+1-$C$5)),(+VLOOKUP(INT(D1149)+1,Tablas!$G$9:$O$1240,9,0)*(D1149-INT(D1149))+VLOOKUP(INT(D1149),Tablas!$G$9:$O$1240,9,0)*(INT(D1149)+1-D1149))/(VLOOKUP(INT($C$5)+1,Tablas!$G$9:$O$1240,9,0)*($C$5-INT($C$5))+VLOOKUP(INT($C$5),Tablas!$G$9:$O$124,9,0)*(INT($C$5)+1-$C$5)))</f>
        <v>#N/A</v>
      </c>
      <c r="G1149" s="97" t="e">
        <f ca="1">IF($C$4="Hombre",(+VLOOKUP(INT(D1149)+1,Tablas!$G$9:$K$1240,5,0)*(D1149-INT(D1149))+VLOOKUP(INT(D1149),Tablas!$G$9:$K$1240,5,0)*(INT(D1149)+1-D1149)),+VLOOKUP(INT(D1149)+1,Tablas!$G$9:$O$1240,9,0)*(D1149-INT(D1149))+VLOOKUP(INT(D1149),Tablas!$G$9:$O$1240,9,0)*(INT(D1149)+1-D1149))</f>
        <v>#N/A</v>
      </c>
      <c r="H1149" s="105">
        <f t="shared" ca="1" si="140"/>
        <v>1</v>
      </c>
      <c r="I1149" s="106">
        <f t="shared" ca="1" si="141"/>
        <v>0</v>
      </c>
      <c r="J1149" s="106">
        <f t="shared" ca="1" si="145"/>
        <v>0</v>
      </c>
      <c r="K1149" s="105" t="e">
        <f t="shared" ca="1" si="142"/>
        <v>#N/A</v>
      </c>
      <c r="L1149" s="75"/>
    </row>
    <row r="1150" spans="2:12">
      <c r="B1150" s="101">
        <f t="shared" ca="1" si="143"/>
        <v>87266</v>
      </c>
      <c r="C1150" s="101">
        <f t="shared" ca="1" si="144"/>
        <v>87296</v>
      </c>
      <c r="D1150" s="102">
        <f t="shared" ca="1" si="139"/>
        <v>161.49760438056126</v>
      </c>
      <c r="E1150" s="103">
        <f t="shared" ca="1" si="146"/>
        <v>0.24489194336679648</v>
      </c>
      <c r="F1150" s="104" t="e">
        <f ca="1">IF($C$4="Hombre",(+VLOOKUP(INT(D1150)+1,Tablas!$G$9:$K$1240,5,0)*(D1150-INT(D1150))+VLOOKUP(INT(D1150),Tablas!$G$9:$K$1240,5,0)*(INT(D1150)+1-D1150))/(VLOOKUP(INT($C$5)+1,Tablas!$G$9:$K$1240,5,0)*($C$5-INT($C$5))+VLOOKUP(INT($C$5),Tablas!$G$9:$K$124,5,0)*(INT($C$5)+1-$C$5)),(+VLOOKUP(INT(D1150)+1,Tablas!$G$9:$O$1240,9,0)*(D1150-INT(D1150))+VLOOKUP(INT(D1150),Tablas!$G$9:$O$1240,9,0)*(INT(D1150)+1-D1150))/(VLOOKUP(INT($C$5)+1,Tablas!$G$9:$O$1240,9,0)*($C$5-INT($C$5))+VLOOKUP(INT($C$5),Tablas!$G$9:$O$124,9,0)*(INT($C$5)+1-$C$5)))</f>
        <v>#N/A</v>
      </c>
      <c r="G1150" s="97" t="e">
        <f ca="1">IF($C$4="Hombre",(+VLOOKUP(INT(D1150)+1,Tablas!$G$9:$K$1240,5,0)*(D1150-INT(D1150))+VLOOKUP(INT(D1150),Tablas!$G$9:$K$1240,5,0)*(INT(D1150)+1-D1150)),+VLOOKUP(INT(D1150)+1,Tablas!$G$9:$O$1240,9,0)*(D1150-INT(D1150))+VLOOKUP(INT(D1150),Tablas!$G$9:$O$1240,9,0)*(INT(D1150)+1-D1150))</f>
        <v>#N/A</v>
      </c>
      <c r="H1150" s="105">
        <f t="shared" ca="1" si="140"/>
        <v>1</v>
      </c>
      <c r="I1150" s="106">
        <f t="shared" ca="1" si="141"/>
        <v>0</v>
      </c>
      <c r="J1150" s="106">
        <f t="shared" ca="1" si="145"/>
        <v>0</v>
      </c>
      <c r="K1150" s="105" t="e">
        <f t="shared" ca="1" si="142"/>
        <v>#N/A</v>
      </c>
      <c r="L1150" s="75"/>
    </row>
    <row r="1151" spans="2:12">
      <c r="B1151" s="101">
        <f t="shared" ca="1" si="143"/>
        <v>87297</v>
      </c>
      <c r="C1151" s="101">
        <f t="shared" ca="1" si="144"/>
        <v>87327</v>
      </c>
      <c r="D1151" s="102">
        <f t="shared" ca="1" si="139"/>
        <v>161.58247775496235</v>
      </c>
      <c r="E1151" s="103">
        <f t="shared" ca="1" si="146"/>
        <v>0.24458268189028937</v>
      </c>
      <c r="F1151" s="104" t="e">
        <f ca="1">IF($C$4="Hombre",(+VLOOKUP(INT(D1151)+1,Tablas!$G$9:$K$1240,5,0)*(D1151-INT(D1151))+VLOOKUP(INT(D1151),Tablas!$G$9:$K$1240,5,0)*(INT(D1151)+1-D1151))/(VLOOKUP(INT($C$5)+1,Tablas!$G$9:$K$1240,5,0)*($C$5-INT($C$5))+VLOOKUP(INT($C$5),Tablas!$G$9:$K$124,5,0)*(INT($C$5)+1-$C$5)),(+VLOOKUP(INT(D1151)+1,Tablas!$G$9:$O$1240,9,0)*(D1151-INT(D1151))+VLOOKUP(INT(D1151),Tablas!$G$9:$O$1240,9,0)*(INT(D1151)+1-D1151))/(VLOOKUP(INT($C$5)+1,Tablas!$G$9:$O$1240,9,0)*($C$5-INT($C$5))+VLOOKUP(INT($C$5),Tablas!$G$9:$O$124,9,0)*(INT($C$5)+1-$C$5)))</f>
        <v>#N/A</v>
      </c>
      <c r="G1151" s="97" t="e">
        <f ca="1">IF($C$4="Hombre",(+VLOOKUP(INT(D1151)+1,Tablas!$G$9:$K$1240,5,0)*(D1151-INT(D1151))+VLOOKUP(INT(D1151),Tablas!$G$9:$K$1240,5,0)*(INT(D1151)+1-D1151)),+VLOOKUP(INT(D1151)+1,Tablas!$G$9:$O$1240,9,0)*(D1151-INT(D1151))+VLOOKUP(INT(D1151),Tablas!$G$9:$O$1240,9,0)*(INT(D1151)+1-D1151))</f>
        <v>#N/A</v>
      </c>
      <c r="H1151" s="105">
        <f t="shared" ca="1" si="140"/>
        <v>1</v>
      </c>
      <c r="I1151" s="106">
        <f t="shared" ca="1" si="141"/>
        <v>0</v>
      </c>
      <c r="J1151" s="106">
        <f t="shared" ca="1" si="145"/>
        <v>0</v>
      </c>
      <c r="K1151" s="105" t="e">
        <f t="shared" ca="1" si="142"/>
        <v>#N/A</v>
      </c>
      <c r="L1151" s="75"/>
    </row>
    <row r="1152" spans="2:12">
      <c r="B1152" s="101">
        <f t="shared" ca="1" si="143"/>
        <v>87328</v>
      </c>
      <c r="C1152" s="101">
        <f t="shared" ca="1" si="144"/>
        <v>87355</v>
      </c>
      <c r="D1152" s="102">
        <f t="shared" ca="1" si="139"/>
        <v>161.65913757700204</v>
      </c>
      <c r="E1152" s="103">
        <f t="shared" ca="1" si="146"/>
        <v>0.24430368464389718</v>
      </c>
      <c r="F1152" s="104" t="e">
        <f ca="1">IF($C$4="Hombre",(+VLOOKUP(INT(D1152)+1,Tablas!$G$9:$K$1240,5,0)*(D1152-INT(D1152))+VLOOKUP(INT(D1152),Tablas!$G$9:$K$1240,5,0)*(INT(D1152)+1-D1152))/(VLOOKUP(INT($C$5)+1,Tablas!$G$9:$K$1240,5,0)*($C$5-INT($C$5))+VLOOKUP(INT($C$5),Tablas!$G$9:$K$124,5,0)*(INT($C$5)+1-$C$5)),(+VLOOKUP(INT(D1152)+1,Tablas!$G$9:$O$1240,9,0)*(D1152-INT(D1152))+VLOOKUP(INT(D1152),Tablas!$G$9:$O$1240,9,0)*(INT(D1152)+1-D1152))/(VLOOKUP(INT($C$5)+1,Tablas!$G$9:$O$1240,9,0)*($C$5-INT($C$5))+VLOOKUP(INT($C$5),Tablas!$G$9:$O$124,9,0)*(INT($C$5)+1-$C$5)))</f>
        <v>#N/A</v>
      </c>
      <c r="G1152" s="97" t="e">
        <f ca="1">IF($C$4="Hombre",(+VLOOKUP(INT(D1152)+1,Tablas!$G$9:$K$1240,5,0)*(D1152-INT(D1152))+VLOOKUP(INT(D1152),Tablas!$G$9:$K$1240,5,0)*(INT(D1152)+1-D1152)),+VLOOKUP(INT(D1152)+1,Tablas!$G$9:$O$1240,9,0)*(D1152-INT(D1152))+VLOOKUP(INT(D1152),Tablas!$G$9:$O$1240,9,0)*(INT(D1152)+1-D1152))</f>
        <v>#N/A</v>
      </c>
      <c r="H1152" s="105">
        <f t="shared" ca="1" si="140"/>
        <v>1</v>
      </c>
      <c r="I1152" s="106">
        <f t="shared" ca="1" si="141"/>
        <v>0</v>
      </c>
      <c r="J1152" s="106">
        <f t="shared" ca="1" si="145"/>
        <v>0</v>
      </c>
      <c r="K1152" s="105" t="e">
        <f t="shared" ca="1" si="142"/>
        <v>#N/A</v>
      </c>
      <c r="L1152" s="75"/>
    </row>
    <row r="1153" spans="2:12">
      <c r="B1153" s="101">
        <f t="shared" ca="1" si="143"/>
        <v>87356</v>
      </c>
      <c r="C1153" s="101">
        <f t="shared" ca="1" si="144"/>
        <v>87386</v>
      </c>
      <c r="D1153" s="102">
        <f t="shared" ca="1" si="139"/>
        <v>161.74401095140314</v>
      </c>
      <c r="E1153" s="103">
        <f t="shared" ca="1" si="146"/>
        <v>0.24399516604916363</v>
      </c>
      <c r="F1153" s="104" t="e">
        <f ca="1">IF($C$4="Hombre",(+VLOOKUP(INT(D1153)+1,Tablas!$G$9:$K$1240,5,0)*(D1153-INT(D1153))+VLOOKUP(INT(D1153),Tablas!$G$9:$K$1240,5,0)*(INT(D1153)+1-D1153))/(VLOOKUP(INT($C$5)+1,Tablas!$G$9:$K$1240,5,0)*($C$5-INT($C$5))+VLOOKUP(INT($C$5),Tablas!$G$9:$K$124,5,0)*(INT($C$5)+1-$C$5)),(+VLOOKUP(INT(D1153)+1,Tablas!$G$9:$O$1240,9,0)*(D1153-INT(D1153))+VLOOKUP(INT(D1153),Tablas!$G$9:$O$1240,9,0)*(INT(D1153)+1-D1153))/(VLOOKUP(INT($C$5)+1,Tablas!$G$9:$O$1240,9,0)*($C$5-INT($C$5))+VLOOKUP(INT($C$5),Tablas!$G$9:$O$124,9,0)*(INT($C$5)+1-$C$5)))</f>
        <v>#N/A</v>
      </c>
      <c r="G1153" s="97" t="e">
        <f ca="1">IF($C$4="Hombre",(+VLOOKUP(INT(D1153)+1,Tablas!$G$9:$K$1240,5,0)*(D1153-INT(D1153))+VLOOKUP(INT(D1153),Tablas!$G$9:$K$1240,5,0)*(INT(D1153)+1-D1153)),+VLOOKUP(INT(D1153)+1,Tablas!$G$9:$O$1240,9,0)*(D1153-INT(D1153))+VLOOKUP(INT(D1153),Tablas!$G$9:$O$1240,9,0)*(INT(D1153)+1-D1153))</f>
        <v>#N/A</v>
      </c>
      <c r="H1153" s="105">
        <f t="shared" ca="1" si="140"/>
        <v>1</v>
      </c>
      <c r="I1153" s="106">
        <f t="shared" ca="1" si="141"/>
        <v>0</v>
      </c>
      <c r="J1153" s="106">
        <f t="shared" ca="1" si="145"/>
        <v>0</v>
      </c>
      <c r="K1153" s="105" t="e">
        <f t="shared" ca="1" si="142"/>
        <v>#N/A</v>
      </c>
      <c r="L1153" s="75"/>
    </row>
    <row r="1154" spans="2:12">
      <c r="B1154" s="101">
        <f t="shared" ca="1" si="143"/>
        <v>87387</v>
      </c>
      <c r="C1154" s="101">
        <f t="shared" ca="1" si="144"/>
        <v>87416</v>
      </c>
      <c r="D1154" s="102">
        <f t="shared" ca="1" si="139"/>
        <v>161.82614647501711</v>
      </c>
      <c r="E1154" s="103">
        <f t="shared" ca="1" si="146"/>
        <v>0.24369697063501727</v>
      </c>
      <c r="F1154" s="104" t="e">
        <f ca="1">IF($C$4="Hombre",(+VLOOKUP(INT(D1154)+1,Tablas!$G$9:$K$1240,5,0)*(D1154-INT(D1154))+VLOOKUP(INT(D1154),Tablas!$G$9:$K$1240,5,0)*(INT(D1154)+1-D1154))/(VLOOKUP(INT($C$5)+1,Tablas!$G$9:$K$1240,5,0)*($C$5-INT($C$5))+VLOOKUP(INT($C$5),Tablas!$G$9:$K$124,5,0)*(INT($C$5)+1-$C$5)),(+VLOOKUP(INT(D1154)+1,Tablas!$G$9:$O$1240,9,0)*(D1154-INT(D1154))+VLOOKUP(INT(D1154),Tablas!$G$9:$O$1240,9,0)*(INT(D1154)+1-D1154))/(VLOOKUP(INT($C$5)+1,Tablas!$G$9:$O$1240,9,0)*($C$5-INT($C$5))+VLOOKUP(INT($C$5),Tablas!$G$9:$O$124,9,0)*(INT($C$5)+1-$C$5)))</f>
        <v>#N/A</v>
      </c>
      <c r="G1154" s="97" t="e">
        <f ca="1">IF($C$4="Hombre",(+VLOOKUP(INT(D1154)+1,Tablas!$G$9:$K$1240,5,0)*(D1154-INT(D1154))+VLOOKUP(INT(D1154),Tablas!$G$9:$K$1240,5,0)*(INT(D1154)+1-D1154)),+VLOOKUP(INT(D1154)+1,Tablas!$G$9:$O$1240,9,0)*(D1154-INT(D1154))+VLOOKUP(INT(D1154),Tablas!$G$9:$O$1240,9,0)*(INT(D1154)+1-D1154))</f>
        <v>#N/A</v>
      </c>
      <c r="H1154" s="105">
        <f t="shared" ca="1" si="140"/>
        <v>1</v>
      </c>
      <c r="I1154" s="106">
        <f t="shared" ca="1" si="141"/>
        <v>0</v>
      </c>
      <c r="J1154" s="106">
        <f t="shared" ca="1" si="145"/>
        <v>0</v>
      </c>
      <c r="K1154" s="105" t="e">
        <f t="shared" ca="1" si="142"/>
        <v>#N/A</v>
      </c>
      <c r="L1154" s="75"/>
    </row>
    <row r="1155" spans="2:12">
      <c r="B1155" s="101">
        <f t="shared" ca="1" si="143"/>
        <v>87417</v>
      </c>
      <c r="C1155" s="101">
        <f t="shared" ca="1" si="144"/>
        <v>87447</v>
      </c>
      <c r="D1155" s="102">
        <f t="shared" ca="1" si="139"/>
        <v>161.91101984941821</v>
      </c>
      <c r="E1155" s="103">
        <f t="shared" ca="1" si="146"/>
        <v>0.24338921822829152</v>
      </c>
      <c r="F1155" s="104" t="e">
        <f ca="1">IF($C$4="Hombre",(+VLOOKUP(INT(D1155)+1,Tablas!$G$9:$K$1240,5,0)*(D1155-INT(D1155))+VLOOKUP(INT(D1155),Tablas!$G$9:$K$1240,5,0)*(INT(D1155)+1-D1155))/(VLOOKUP(INT($C$5)+1,Tablas!$G$9:$K$1240,5,0)*($C$5-INT($C$5))+VLOOKUP(INT($C$5),Tablas!$G$9:$K$124,5,0)*(INT($C$5)+1-$C$5)),(+VLOOKUP(INT(D1155)+1,Tablas!$G$9:$O$1240,9,0)*(D1155-INT(D1155))+VLOOKUP(INT(D1155),Tablas!$G$9:$O$1240,9,0)*(INT(D1155)+1-D1155))/(VLOOKUP(INT($C$5)+1,Tablas!$G$9:$O$1240,9,0)*($C$5-INT($C$5))+VLOOKUP(INT($C$5),Tablas!$G$9:$O$124,9,0)*(INT($C$5)+1-$C$5)))</f>
        <v>#N/A</v>
      </c>
      <c r="G1155" s="97" t="e">
        <f ca="1">IF($C$4="Hombre",(+VLOOKUP(INT(D1155)+1,Tablas!$G$9:$K$1240,5,0)*(D1155-INT(D1155))+VLOOKUP(INT(D1155),Tablas!$G$9:$K$1240,5,0)*(INT(D1155)+1-D1155)),+VLOOKUP(INT(D1155)+1,Tablas!$G$9:$O$1240,9,0)*(D1155-INT(D1155))+VLOOKUP(INT(D1155),Tablas!$G$9:$O$1240,9,0)*(INT(D1155)+1-D1155))</f>
        <v>#N/A</v>
      </c>
      <c r="H1155" s="105">
        <f t="shared" ca="1" si="140"/>
        <v>1</v>
      </c>
      <c r="I1155" s="106">
        <f t="shared" ca="1" si="141"/>
        <v>0</v>
      </c>
      <c r="J1155" s="106">
        <f t="shared" ca="1" si="145"/>
        <v>0</v>
      </c>
      <c r="K1155" s="105" t="e">
        <f t="shared" ca="1" si="142"/>
        <v>#N/A</v>
      </c>
      <c r="L1155" s="75"/>
    </row>
    <row r="1156" spans="2:12">
      <c r="B1156" s="101">
        <f t="shared" ca="1" si="143"/>
        <v>87448</v>
      </c>
      <c r="C1156" s="101">
        <f t="shared" ca="1" si="144"/>
        <v>87477</v>
      </c>
      <c r="D1156" s="102">
        <f t="shared" ca="1" si="139"/>
        <v>161.99315537303218</v>
      </c>
      <c r="E1156" s="103">
        <f t="shared" ca="1" si="146"/>
        <v>0.24309176336513361</v>
      </c>
      <c r="F1156" s="104" t="e">
        <f ca="1">IF($C$4="Hombre",(+VLOOKUP(INT(D1156)+1,Tablas!$G$9:$K$1240,5,0)*(D1156-INT(D1156))+VLOOKUP(INT(D1156),Tablas!$G$9:$K$1240,5,0)*(INT(D1156)+1-D1156))/(VLOOKUP(INT($C$5)+1,Tablas!$G$9:$K$1240,5,0)*($C$5-INT($C$5))+VLOOKUP(INT($C$5),Tablas!$G$9:$K$124,5,0)*(INT($C$5)+1-$C$5)),(+VLOOKUP(INT(D1156)+1,Tablas!$G$9:$O$1240,9,0)*(D1156-INT(D1156))+VLOOKUP(INT(D1156),Tablas!$G$9:$O$1240,9,0)*(INT(D1156)+1-D1156))/(VLOOKUP(INT($C$5)+1,Tablas!$G$9:$O$1240,9,0)*($C$5-INT($C$5))+VLOOKUP(INT($C$5),Tablas!$G$9:$O$124,9,0)*(INT($C$5)+1-$C$5)))</f>
        <v>#N/A</v>
      </c>
      <c r="G1156" s="97" t="e">
        <f ca="1">IF($C$4="Hombre",(+VLOOKUP(INT(D1156)+1,Tablas!$G$9:$K$1240,5,0)*(D1156-INT(D1156))+VLOOKUP(INT(D1156),Tablas!$G$9:$K$1240,5,0)*(INT(D1156)+1-D1156)),+VLOOKUP(INT(D1156)+1,Tablas!$G$9:$O$1240,9,0)*(D1156-INT(D1156))+VLOOKUP(INT(D1156),Tablas!$G$9:$O$1240,9,0)*(INT(D1156)+1-D1156))</f>
        <v>#N/A</v>
      </c>
      <c r="H1156" s="105">
        <f t="shared" ca="1" si="140"/>
        <v>1</v>
      </c>
      <c r="I1156" s="106">
        <f t="shared" ca="1" si="141"/>
        <v>0</v>
      </c>
      <c r="J1156" s="106">
        <f t="shared" ca="1" si="145"/>
        <v>0</v>
      </c>
      <c r="K1156" s="105" t="e">
        <f t="shared" ca="1" si="142"/>
        <v>#N/A</v>
      </c>
      <c r="L1156" s="75"/>
    </row>
    <row r="1157" spans="2:12">
      <c r="B1157" s="101">
        <f t="shared" ca="1" si="143"/>
        <v>87478</v>
      </c>
      <c r="C1157" s="101">
        <f t="shared" ca="1" si="144"/>
        <v>87508</v>
      </c>
      <c r="D1157" s="102">
        <f t="shared" ca="1" si="139"/>
        <v>162.07802874743325</v>
      </c>
      <c r="E1157" s="103">
        <f t="shared" ca="1" si="146"/>
        <v>0.24278477524363229</v>
      </c>
      <c r="F1157" s="104" t="e">
        <f ca="1">IF($C$4="Hombre",(+VLOOKUP(INT(D1157)+1,Tablas!$G$9:$K$1240,5,0)*(D1157-INT(D1157))+VLOOKUP(INT(D1157),Tablas!$G$9:$K$1240,5,0)*(INT(D1157)+1-D1157))/(VLOOKUP(INT($C$5)+1,Tablas!$G$9:$K$1240,5,0)*($C$5-INT($C$5))+VLOOKUP(INT($C$5),Tablas!$G$9:$K$124,5,0)*(INT($C$5)+1-$C$5)),(+VLOOKUP(INT(D1157)+1,Tablas!$G$9:$O$1240,9,0)*(D1157-INT(D1157))+VLOOKUP(INT(D1157),Tablas!$G$9:$O$1240,9,0)*(INT(D1157)+1-D1157))/(VLOOKUP(INT($C$5)+1,Tablas!$G$9:$O$1240,9,0)*($C$5-INT($C$5))+VLOOKUP(INT($C$5),Tablas!$G$9:$O$124,9,0)*(INT($C$5)+1-$C$5)))</f>
        <v>#N/A</v>
      </c>
      <c r="G1157" s="97" t="e">
        <f ca="1">IF($C$4="Hombre",(+VLOOKUP(INT(D1157)+1,Tablas!$G$9:$K$1240,5,0)*(D1157-INT(D1157))+VLOOKUP(INT(D1157),Tablas!$G$9:$K$1240,5,0)*(INT(D1157)+1-D1157)),+VLOOKUP(INT(D1157)+1,Tablas!$G$9:$O$1240,9,0)*(D1157-INT(D1157))+VLOOKUP(INT(D1157),Tablas!$G$9:$O$1240,9,0)*(INT(D1157)+1-D1157))</f>
        <v>#N/A</v>
      </c>
      <c r="H1157" s="105">
        <f t="shared" ca="1" si="140"/>
        <v>1</v>
      </c>
      <c r="I1157" s="106">
        <f t="shared" ca="1" si="141"/>
        <v>0</v>
      </c>
      <c r="J1157" s="106">
        <f t="shared" ca="1" si="145"/>
        <v>0</v>
      </c>
      <c r="K1157" s="105" t="e">
        <f t="shared" ca="1" si="142"/>
        <v>#N/A</v>
      </c>
      <c r="L1157" s="75"/>
    </row>
    <row r="1158" spans="2:12">
      <c r="B1158" s="101">
        <f t="shared" ca="1" si="143"/>
        <v>87509</v>
      </c>
      <c r="C1158" s="101">
        <f t="shared" ca="1" si="144"/>
        <v>87539</v>
      </c>
      <c r="D1158" s="102">
        <f t="shared" ca="1" si="139"/>
        <v>162.16290212183435</v>
      </c>
      <c r="E1158" s="103">
        <f t="shared" ca="1" si="146"/>
        <v>0.24247817480168624</v>
      </c>
      <c r="F1158" s="104" t="e">
        <f ca="1">IF($C$4="Hombre",(+VLOOKUP(INT(D1158)+1,Tablas!$G$9:$K$1240,5,0)*(D1158-INT(D1158))+VLOOKUP(INT(D1158),Tablas!$G$9:$K$1240,5,0)*(INT(D1158)+1-D1158))/(VLOOKUP(INT($C$5)+1,Tablas!$G$9:$K$1240,5,0)*($C$5-INT($C$5))+VLOOKUP(INT($C$5),Tablas!$G$9:$K$124,5,0)*(INT($C$5)+1-$C$5)),(+VLOOKUP(INT(D1158)+1,Tablas!$G$9:$O$1240,9,0)*(D1158-INT(D1158))+VLOOKUP(INT(D1158),Tablas!$G$9:$O$1240,9,0)*(INT(D1158)+1-D1158))/(VLOOKUP(INT($C$5)+1,Tablas!$G$9:$O$1240,9,0)*($C$5-INT($C$5))+VLOOKUP(INT($C$5),Tablas!$G$9:$O$124,9,0)*(INT($C$5)+1-$C$5)))</f>
        <v>#N/A</v>
      </c>
      <c r="G1158" s="97" t="e">
        <f ca="1">IF($C$4="Hombre",(+VLOOKUP(INT(D1158)+1,Tablas!$G$9:$K$1240,5,0)*(D1158-INT(D1158))+VLOOKUP(INT(D1158),Tablas!$G$9:$K$1240,5,0)*(INT(D1158)+1-D1158)),+VLOOKUP(INT(D1158)+1,Tablas!$G$9:$O$1240,9,0)*(D1158-INT(D1158))+VLOOKUP(INT(D1158),Tablas!$G$9:$O$1240,9,0)*(INT(D1158)+1-D1158))</f>
        <v>#N/A</v>
      </c>
      <c r="H1158" s="105">
        <f t="shared" ca="1" si="140"/>
        <v>1</v>
      </c>
      <c r="I1158" s="106">
        <f t="shared" ca="1" si="141"/>
        <v>0</v>
      </c>
      <c r="J1158" s="106">
        <f t="shared" ca="1" si="145"/>
        <v>0</v>
      </c>
      <c r="K1158" s="105" t="e">
        <f t="shared" ca="1" si="142"/>
        <v>#N/A</v>
      </c>
      <c r="L1158" s="75"/>
    </row>
    <row r="1159" spans="2:12">
      <c r="B1159" s="101">
        <f t="shared" ca="1" si="143"/>
        <v>87540</v>
      </c>
      <c r="C1159" s="101">
        <f t="shared" ca="1" si="144"/>
        <v>87569</v>
      </c>
      <c r="D1159" s="102">
        <f t="shared" ca="1" si="139"/>
        <v>162.24503764544832</v>
      </c>
      <c r="E1159" s="103">
        <f t="shared" ca="1" si="146"/>
        <v>0.24218183335801241</v>
      </c>
      <c r="F1159" s="104" t="e">
        <f ca="1">IF($C$4="Hombre",(+VLOOKUP(INT(D1159)+1,Tablas!$G$9:$K$1240,5,0)*(D1159-INT(D1159))+VLOOKUP(INT(D1159),Tablas!$G$9:$K$1240,5,0)*(INT(D1159)+1-D1159))/(VLOOKUP(INT($C$5)+1,Tablas!$G$9:$K$1240,5,0)*($C$5-INT($C$5))+VLOOKUP(INT($C$5),Tablas!$G$9:$K$124,5,0)*(INT($C$5)+1-$C$5)),(+VLOOKUP(INT(D1159)+1,Tablas!$G$9:$O$1240,9,0)*(D1159-INT(D1159))+VLOOKUP(INT(D1159),Tablas!$G$9:$O$1240,9,0)*(INT(D1159)+1-D1159))/(VLOOKUP(INT($C$5)+1,Tablas!$G$9:$O$1240,9,0)*($C$5-INT($C$5))+VLOOKUP(INT($C$5),Tablas!$G$9:$O$124,9,0)*(INT($C$5)+1-$C$5)))</f>
        <v>#N/A</v>
      </c>
      <c r="G1159" s="97" t="e">
        <f ca="1">IF($C$4="Hombre",(+VLOOKUP(INT(D1159)+1,Tablas!$G$9:$K$1240,5,0)*(D1159-INT(D1159))+VLOOKUP(INT(D1159),Tablas!$G$9:$K$1240,5,0)*(INT(D1159)+1-D1159)),+VLOOKUP(INT(D1159)+1,Tablas!$G$9:$O$1240,9,0)*(D1159-INT(D1159))+VLOOKUP(INT(D1159),Tablas!$G$9:$O$1240,9,0)*(INT(D1159)+1-D1159))</f>
        <v>#N/A</v>
      </c>
      <c r="H1159" s="105">
        <f t="shared" ca="1" si="140"/>
        <v>1</v>
      </c>
      <c r="I1159" s="106">
        <f t="shared" ca="1" si="141"/>
        <v>0</v>
      </c>
      <c r="J1159" s="106">
        <f t="shared" ca="1" si="145"/>
        <v>0</v>
      </c>
      <c r="K1159" s="105" t="e">
        <f t="shared" ca="1" si="142"/>
        <v>#N/A</v>
      </c>
      <c r="L1159" s="75"/>
    </row>
    <row r="1160" spans="2:12">
      <c r="B1160" s="101">
        <f t="shared" ca="1" si="143"/>
        <v>87570</v>
      </c>
      <c r="C1160" s="101">
        <f t="shared" ca="1" si="144"/>
        <v>87600</v>
      </c>
      <c r="D1160" s="102">
        <f t="shared" ca="1" si="139"/>
        <v>162.32991101984942</v>
      </c>
      <c r="E1160" s="103">
        <f t="shared" ca="1" si="146"/>
        <v>0.24187599434045312</v>
      </c>
      <c r="F1160" s="104" t="e">
        <f ca="1">IF($C$4="Hombre",(+VLOOKUP(INT(D1160)+1,Tablas!$G$9:$K$1240,5,0)*(D1160-INT(D1160))+VLOOKUP(INT(D1160),Tablas!$G$9:$K$1240,5,0)*(INT(D1160)+1-D1160))/(VLOOKUP(INT($C$5)+1,Tablas!$G$9:$K$1240,5,0)*($C$5-INT($C$5))+VLOOKUP(INT($C$5),Tablas!$G$9:$K$124,5,0)*(INT($C$5)+1-$C$5)),(+VLOOKUP(INT(D1160)+1,Tablas!$G$9:$O$1240,9,0)*(D1160-INT(D1160))+VLOOKUP(INT(D1160),Tablas!$G$9:$O$1240,9,0)*(INT(D1160)+1-D1160))/(VLOOKUP(INT($C$5)+1,Tablas!$G$9:$O$1240,9,0)*($C$5-INT($C$5))+VLOOKUP(INT($C$5),Tablas!$G$9:$O$124,9,0)*(INT($C$5)+1-$C$5)))</f>
        <v>#N/A</v>
      </c>
      <c r="G1160" s="97" t="e">
        <f ca="1">IF($C$4="Hombre",(+VLOOKUP(INT(D1160)+1,Tablas!$G$9:$K$1240,5,0)*(D1160-INT(D1160))+VLOOKUP(INT(D1160),Tablas!$G$9:$K$1240,5,0)*(INT(D1160)+1-D1160)),+VLOOKUP(INT(D1160)+1,Tablas!$G$9:$O$1240,9,0)*(D1160-INT(D1160))+VLOOKUP(INT(D1160),Tablas!$G$9:$O$1240,9,0)*(INT(D1160)+1-D1160))</f>
        <v>#N/A</v>
      </c>
      <c r="H1160" s="105">
        <f t="shared" ca="1" si="140"/>
        <v>1</v>
      </c>
      <c r="I1160" s="106">
        <f t="shared" ca="1" si="141"/>
        <v>0</v>
      </c>
      <c r="J1160" s="106">
        <f t="shared" ca="1" si="145"/>
        <v>0</v>
      </c>
      <c r="K1160" s="105" t="e">
        <f t="shared" ca="1" si="142"/>
        <v>#N/A</v>
      </c>
      <c r="L1160" s="75"/>
    </row>
    <row r="1161" spans="2:12">
      <c r="B1161" s="101">
        <f t="shared" ca="1" si="143"/>
        <v>87601</v>
      </c>
      <c r="C1161" s="101">
        <f t="shared" ca="1" si="144"/>
        <v>87630</v>
      </c>
      <c r="D1161" s="102">
        <f t="shared" ca="1" si="139"/>
        <v>162.41204654346339</v>
      </c>
      <c r="E1161" s="103">
        <f t="shared" ca="1" si="146"/>
        <v>0.2415803888435398</v>
      </c>
      <c r="F1161" s="104" t="e">
        <f ca="1">IF($C$4="Hombre",(+VLOOKUP(INT(D1161)+1,Tablas!$G$9:$K$1240,5,0)*(D1161-INT(D1161))+VLOOKUP(INT(D1161),Tablas!$G$9:$K$1240,5,0)*(INT(D1161)+1-D1161))/(VLOOKUP(INT($C$5)+1,Tablas!$G$9:$K$1240,5,0)*($C$5-INT($C$5))+VLOOKUP(INT($C$5),Tablas!$G$9:$K$124,5,0)*(INT($C$5)+1-$C$5)),(+VLOOKUP(INT(D1161)+1,Tablas!$G$9:$O$1240,9,0)*(D1161-INT(D1161))+VLOOKUP(INT(D1161),Tablas!$G$9:$O$1240,9,0)*(INT(D1161)+1-D1161))/(VLOOKUP(INT($C$5)+1,Tablas!$G$9:$O$1240,9,0)*($C$5-INT($C$5))+VLOOKUP(INT($C$5),Tablas!$G$9:$O$124,9,0)*(INT($C$5)+1-$C$5)))</f>
        <v>#N/A</v>
      </c>
      <c r="G1161" s="97" t="e">
        <f ca="1">IF($C$4="Hombre",(+VLOOKUP(INT(D1161)+1,Tablas!$G$9:$K$1240,5,0)*(D1161-INT(D1161))+VLOOKUP(INT(D1161),Tablas!$G$9:$K$1240,5,0)*(INT(D1161)+1-D1161)),+VLOOKUP(INT(D1161)+1,Tablas!$G$9:$O$1240,9,0)*(D1161-INT(D1161))+VLOOKUP(INT(D1161),Tablas!$G$9:$O$1240,9,0)*(INT(D1161)+1-D1161))</f>
        <v>#N/A</v>
      </c>
      <c r="H1161" s="105">
        <f t="shared" ca="1" si="140"/>
        <v>1</v>
      </c>
      <c r="I1161" s="106">
        <f t="shared" ca="1" si="141"/>
        <v>0</v>
      </c>
      <c r="J1161" s="106">
        <f t="shared" ca="1" si="145"/>
        <v>0</v>
      </c>
      <c r="K1161" s="105" t="e">
        <f t="shared" ca="1" si="142"/>
        <v>#N/A</v>
      </c>
      <c r="L1161" s="75"/>
    </row>
    <row r="1162" spans="2:12">
      <c r="B1162" s="101">
        <f t="shared" ca="1" si="143"/>
        <v>87631</v>
      </c>
      <c r="C1162" s="101">
        <f t="shared" ca="1" si="144"/>
        <v>87661</v>
      </c>
      <c r="D1162" s="102">
        <f t="shared" ca="1" si="139"/>
        <v>162.49691991786449</v>
      </c>
      <c r="E1162" s="103">
        <f t="shared" ca="1" si="146"/>
        <v>0.24127530935941402</v>
      </c>
      <c r="F1162" s="104" t="e">
        <f ca="1">IF($C$4="Hombre",(+VLOOKUP(INT(D1162)+1,Tablas!$G$9:$K$1240,5,0)*(D1162-INT(D1162))+VLOOKUP(INT(D1162),Tablas!$G$9:$K$1240,5,0)*(INT(D1162)+1-D1162))/(VLOOKUP(INT($C$5)+1,Tablas!$G$9:$K$1240,5,0)*($C$5-INT($C$5))+VLOOKUP(INT($C$5),Tablas!$G$9:$K$124,5,0)*(INT($C$5)+1-$C$5)),(+VLOOKUP(INT(D1162)+1,Tablas!$G$9:$O$1240,9,0)*(D1162-INT(D1162))+VLOOKUP(INT(D1162),Tablas!$G$9:$O$1240,9,0)*(INT(D1162)+1-D1162))/(VLOOKUP(INT($C$5)+1,Tablas!$G$9:$O$1240,9,0)*($C$5-INT($C$5))+VLOOKUP(INT($C$5),Tablas!$G$9:$O$124,9,0)*(INT($C$5)+1-$C$5)))</f>
        <v>#N/A</v>
      </c>
      <c r="G1162" s="97" t="e">
        <f ca="1">IF($C$4="Hombre",(+VLOOKUP(INT(D1162)+1,Tablas!$G$9:$K$1240,5,0)*(D1162-INT(D1162))+VLOOKUP(INT(D1162),Tablas!$G$9:$K$1240,5,0)*(INT(D1162)+1-D1162)),+VLOOKUP(INT(D1162)+1,Tablas!$G$9:$O$1240,9,0)*(D1162-INT(D1162))+VLOOKUP(INT(D1162),Tablas!$G$9:$O$1240,9,0)*(INT(D1162)+1-D1162))</f>
        <v>#N/A</v>
      </c>
      <c r="H1162" s="105">
        <f t="shared" ca="1" si="140"/>
        <v>1</v>
      </c>
      <c r="I1162" s="106">
        <f t="shared" ca="1" si="141"/>
        <v>0</v>
      </c>
      <c r="J1162" s="106">
        <f t="shared" ca="1" si="145"/>
        <v>0</v>
      </c>
      <c r="K1162" s="105" t="e">
        <f t="shared" ca="1" si="142"/>
        <v>#N/A</v>
      </c>
      <c r="L1162" s="75"/>
    </row>
    <row r="1163" spans="2:12">
      <c r="B1163" s="101">
        <f t="shared" ca="1" si="143"/>
        <v>87662</v>
      </c>
      <c r="C1163" s="101">
        <f t="shared" ca="1" si="144"/>
        <v>87692</v>
      </c>
      <c r="D1163" s="102">
        <f t="shared" ca="1" si="139"/>
        <v>162.58179329226556</v>
      </c>
      <c r="E1163" s="103">
        <f t="shared" ca="1" si="146"/>
        <v>0.24097061514452345</v>
      </c>
      <c r="F1163" s="104" t="e">
        <f ca="1">IF($C$4="Hombre",(+VLOOKUP(INT(D1163)+1,Tablas!$G$9:$K$1240,5,0)*(D1163-INT(D1163))+VLOOKUP(INT(D1163),Tablas!$G$9:$K$1240,5,0)*(INT(D1163)+1-D1163))/(VLOOKUP(INT($C$5)+1,Tablas!$G$9:$K$1240,5,0)*($C$5-INT($C$5))+VLOOKUP(INT($C$5),Tablas!$G$9:$K$124,5,0)*(INT($C$5)+1-$C$5)),(+VLOOKUP(INT(D1163)+1,Tablas!$G$9:$O$1240,9,0)*(D1163-INT(D1163))+VLOOKUP(INT(D1163),Tablas!$G$9:$O$1240,9,0)*(INT(D1163)+1-D1163))/(VLOOKUP(INT($C$5)+1,Tablas!$G$9:$O$1240,9,0)*($C$5-INT($C$5))+VLOOKUP(INT($C$5),Tablas!$G$9:$O$124,9,0)*(INT($C$5)+1-$C$5)))</f>
        <v>#N/A</v>
      </c>
      <c r="G1163" s="97" t="e">
        <f ca="1">IF($C$4="Hombre",(+VLOOKUP(INT(D1163)+1,Tablas!$G$9:$K$1240,5,0)*(D1163-INT(D1163))+VLOOKUP(INT(D1163),Tablas!$G$9:$K$1240,5,0)*(INT(D1163)+1-D1163)),+VLOOKUP(INT(D1163)+1,Tablas!$G$9:$O$1240,9,0)*(D1163-INT(D1163))+VLOOKUP(INT(D1163),Tablas!$G$9:$O$1240,9,0)*(INT(D1163)+1-D1163))</f>
        <v>#N/A</v>
      </c>
      <c r="H1163" s="105">
        <f t="shared" ca="1" si="140"/>
        <v>1</v>
      </c>
      <c r="I1163" s="106">
        <f t="shared" ca="1" si="141"/>
        <v>0</v>
      </c>
      <c r="J1163" s="106">
        <f t="shared" ca="1" si="145"/>
        <v>0</v>
      </c>
      <c r="K1163" s="105" t="e">
        <f t="shared" ca="1" si="142"/>
        <v>#N/A</v>
      </c>
      <c r="L1163" s="75"/>
    </row>
    <row r="1164" spans="2:12">
      <c r="B1164" s="101">
        <f t="shared" ca="1" si="143"/>
        <v>87693</v>
      </c>
      <c r="C1164" s="101">
        <f t="shared" ca="1" si="144"/>
        <v>87721</v>
      </c>
      <c r="D1164" s="102">
        <f t="shared" ca="1" si="139"/>
        <v>162.6611909650924</v>
      </c>
      <c r="E1164" s="103">
        <f t="shared" ca="1" si="146"/>
        <v>0.24068592697683916</v>
      </c>
      <c r="F1164" s="104" t="e">
        <f ca="1">IF($C$4="Hombre",(+VLOOKUP(INT(D1164)+1,Tablas!$G$9:$K$1240,5,0)*(D1164-INT(D1164))+VLOOKUP(INT(D1164),Tablas!$G$9:$K$1240,5,0)*(INT(D1164)+1-D1164))/(VLOOKUP(INT($C$5)+1,Tablas!$G$9:$K$1240,5,0)*($C$5-INT($C$5))+VLOOKUP(INT($C$5),Tablas!$G$9:$K$124,5,0)*(INT($C$5)+1-$C$5)),(+VLOOKUP(INT(D1164)+1,Tablas!$G$9:$O$1240,9,0)*(D1164-INT(D1164))+VLOOKUP(INT(D1164),Tablas!$G$9:$O$1240,9,0)*(INT(D1164)+1-D1164))/(VLOOKUP(INT($C$5)+1,Tablas!$G$9:$O$1240,9,0)*($C$5-INT($C$5))+VLOOKUP(INT($C$5),Tablas!$G$9:$O$124,9,0)*(INT($C$5)+1-$C$5)))</f>
        <v>#N/A</v>
      </c>
      <c r="G1164" s="97" t="e">
        <f ca="1">IF($C$4="Hombre",(+VLOOKUP(INT(D1164)+1,Tablas!$G$9:$K$1240,5,0)*(D1164-INT(D1164))+VLOOKUP(INT(D1164),Tablas!$G$9:$K$1240,5,0)*(INT(D1164)+1-D1164)),+VLOOKUP(INT(D1164)+1,Tablas!$G$9:$O$1240,9,0)*(D1164-INT(D1164))+VLOOKUP(INT(D1164),Tablas!$G$9:$O$1240,9,0)*(INT(D1164)+1-D1164))</f>
        <v>#N/A</v>
      </c>
      <c r="H1164" s="105">
        <f t="shared" ca="1" si="140"/>
        <v>1</v>
      </c>
      <c r="I1164" s="106">
        <f t="shared" ca="1" si="141"/>
        <v>0</v>
      </c>
      <c r="J1164" s="106">
        <f t="shared" ca="1" si="145"/>
        <v>0</v>
      </c>
      <c r="K1164" s="105" t="e">
        <f t="shared" ca="1" si="142"/>
        <v>#N/A</v>
      </c>
      <c r="L1164" s="75"/>
    </row>
    <row r="1165" spans="2:12">
      <c r="B1165" s="101">
        <f t="shared" ca="1" si="143"/>
        <v>87722</v>
      </c>
      <c r="C1165" s="101">
        <f t="shared" ca="1" si="144"/>
        <v>87752</v>
      </c>
      <c r="D1165" s="102">
        <f t="shared" ca="1" si="139"/>
        <v>162.7460643394935</v>
      </c>
      <c r="E1165" s="103">
        <f t="shared" ca="1" si="146"/>
        <v>0.24038197706273423</v>
      </c>
      <c r="F1165" s="104" t="e">
        <f ca="1">IF($C$4="Hombre",(+VLOOKUP(INT(D1165)+1,Tablas!$G$9:$K$1240,5,0)*(D1165-INT(D1165))+VLOOKUP(INT(D1165),Tablas!$G$9:$K$1240,5,0)*(INT(D1165)+1-D1165))/(VLOOKUP(INT($C$5)+1,Tablas!$G$9:$K$1240,5,0)*($C$5-INT($C$5))+VLOOKUP(INT($C$5),Tablas!$G$9:$K$124,5,0)*(INT($C$5)+1-$C$5)),(+VLOOKUP(INT(D1165)+1,Tablas!$G$9:$O$1240,9,0)*(D1165-INT(D1165))+VLOOKUP(INT(D1165),Tablas!$G$9:$O$1240,9,0)*(INT(D1165)+1-D1165))/(VLOOKUP(INT($C$5)+1,Tablas!$G$9:$O$1240,9,0)*($C$5-INT($C$5))+VLOOKUP(INT($C$5),Tablas!$G$9:$O$124,9,0)*(INT($C$5)+1-$C$5)))</f>
        <v>#N/A</v>
      </c>
      <c r="G1165" s="97" t="e">
        <f ca="1">IF($C$4="Hombre",(+VLOOKUP(INT(D1165)+1,Tablas!$G$9:$K$1240,5,0)*(D1165-INT(D1165))+VLOOKUP(INT(D1165),Tablas!$G$9:$K$1240,5,0)*(INT(D1165)+1-D1165)),+VLOOKUP(INT(D1165)+1,Tablas!$G$9:$O$1240,9,0)*(D1165-INT(D1165))+VLOOKUP(INT(D1165),Tablas!$G$9:$O$1240,9,0)*(INT(D1165)+1-D1165))</f>
        <v>#N/A</v>
      </c>
      <c r="H1165" s="105">
        <f t="shared" ca="1" si="140"/>
        <v>1</v>
      </c>
      <c r="I1165" s="106">
        <f t="shared" ca="1" si="141"/>
        <v>0</v>
      </c>
      <c r="J1165" s="106">
        <f t="shared" ca="1" si="145"/>
        <v>0</v>
      </c>
      <c r="K1165" s="105" t="e">
        <f t="shared" ca="1" si="142"/>
        <v>#N/A</v>
      </c>
      <c r="L1165" s="75"/>
    </row>
    <row r="1166" spans="2:12">
      <c r="B1166" s="101">
        <f t="shared" ca="1" si="143"/>
        <v>87753</v>
      </c>
      <c r="C1166" s="101">
        <f t="shared" ca="1" si="144"/>
        <v>87782</v>
      </c>
      <c r="D1166" s="102">
        <f t="shared" ca="1" si="139"/>
        <v>162.82819986310747</v>
      </c>
      <c r="E1166" s="103">
        <f t="shared" ca="1" si="146"/>
        <v>0.24008819745896498</v>
      </c>
      <c r="F1166" s="104" t="e">
        <f ca="1">IF($C$4="Hombre",(+VLOOKUP(INT(D1166)+1,Tablas!$G$9:$K$1240,5,0)*(D1166-INT(D1166))+VLOOKUP(INT(D1166),Tablas!$G$9:$K$1240,5,0)*(INT(D1166)+1-D1166))/(VLOOKUP(INT($C$5)+1,Tablas!$G$9:$K$1240,5,0)*($C$5-INT($C$5))+VLOOKUP(INT($C$5),Tablas!$G$9:$K$124,5,0)*(INT($C$5)+1-$C$5)),(+VLOOKUP(INT(D1166)+1,Tablas!$G$9:$O$1240,9,0)*(D1166-INT(D1166))+VLOOKUP(INT(D1166),Tablas!$G$9:$O$1240,9,0)*(INT(D1166)+1-D1166))/(VLOOKUP(INT($C$5)+1,Tablas!$G$9:$O$1240,9,0)*($C$5-INT($C$5))+VLOOKUP(INT($C$5),Tablas!$G$9:$O$124,9,0)*(INT($C$5)+1-$C$5)))</f>
        <v>#N/A</v>
      </c>
      <c r="G1166" s="97" t="e">
        <f ca="1">IF($C$4="Hombre",(+VLOOKUP(INT(D1166)+1,Tablas!$G$9:$K$1240,5,0)*(D1166-INT(D1166))+VLOOKUP(INT(D1166),Tablas!$G$9:$K$1240,5,0)*(INT(D1166)+1-D1166)),+VLOOKUP(INT(D1166)+1,Tablas!$G$9:$O$1240,9,0)*(D1166-INT(D1166))+VLOOKUP(INT(D1166),Tablas!$G$9:$O$1240,9,0)*(INT(D1166)+1-D1166))</f>
        <v>#N/A</v>
      </c>
      <c r="H1166" s="105">
        <f t="shared" ca="1" si="140"/>
        <v>1</v>
      </c>
      <c r="I1166" s="106">
        <f t="shared" ca="1" si="141"/>
        <v>0</v>
      </c>
      <c r="J1166" s="106">
        <f t="shared" ca="1" si="145"/>
        <v>0</v>
      </c>
      <c r="K1166" s="105" t="e">
        <f t="shared" ca="1" si="142"/>
        <v>#N/A</v>
      </c>
      <c r="L1166" s="75"/>
    </row>
    <row r="1167" spans="2:12">
      <c r="B1167" s="101">
        <f t="shared" ca="1" si="143"/>
        <v>87783</v>
      </c>
      <c r="C1167" s="101">
        <f t="shared" ca="1" si="144"/>
        <v>87813</v>
      </c>
      <c r="D1167" s="102">
        <f t="shared" ca="1" si="139"/>
        <v>162.91307323750857</v>
      </c>
      <c r="E1167" s="103">
        <f t="shared" ca="1" si="146"/>
        <v>0.23978500238681486</v>
      </c>
      <c r="F1167" s="104" t="e">
        <f ca="1">IF($C$4="Hombre",(+VLOOKUP(INT(D1167)+1,Tablas!$G$9:$K$1240,5,0)*(D1167-INT(D1167))+VLOOKUP(INT(D1167),Tablas!$G$9:$K$1240,5,0)*(INT(D1167)+1-D1167))/(VLOOKUP(INT($C$5)+1,Tablas!$G$9:$K$1240,5,0)*($C$5-INT($C$5))+VLOOKUP(INT($C$5),Tablas!$G$9:$K$124,5,0)*(INT($C$5)+1-$C$5)),(+VLOOKUP(INT(D1167)+1,Tablas!$G$9:$O$1240,9,0)*(D1167-INT(D1167))+VLOOKUP(INT(D1167),Tablas!$G$9:$O$1240,9,0)*(INT(D1167)+1-D1167))/(VLOOKUP(INT($C$5)+1,Tablas!$G$9:$O$1240,9,0)*($C$5-INT($C$5))+VLOOKUP(INT($C$5),Tablas!$G$9:$O$124,9,0)*(INT($C$5)+1-$C$5)))</f>
        <v>#N/A</v>
      </c>
      <c r="G1167" s="97" t="e">
        <f ca="1">IF($C$4="Hombre",(+VLOOKUP(INT(D1167)+1,Tablas!$G$9:$K$1240,5,0)*(D1167-INT(D1167))+VLOOKUP(INT(D1167),Tablas!$G$9:$K$1240,5,0)*(INT(D1167)+1-D1167)),+VLOOKUP(INT(D1167)+1,Tablas!$G$9:$O$1240,9,0)*(D1167-INT(D1167))+VLOOKUP(INT(D1167),Tablas!$G$9:$O$1240,9,0)*(INT(D1167)+1-D1167))</f>
        <v>#N/A</v>
      </c>
      <c r="H1167" s="105">
        <f t="shared" ca="1" si="140"/>
        <v>1</v>
      </c>
      <c r="I1167" s="106">
        <f t="shared" ca="1" si="141"/>
        <v>0</v>
      </c>
      <c r="J1167" s="106">
        <f t="shared" ca="1" si="145"/>
        <v>0</v>
      </c>
      <c r="K1167" s="105" t="e">
        <f t="shared" ca="1" si="142"/>
        <v>#N/A</v>
      </c>
      <c r="L1167" s="75"/>
    </row>
    <row r="1168" spans="2:12">
      <c r="B1168" s="101">
        <f t="shared" ca="1" si="143"/>
        <v>87814</v>
      </c>
      <c r="C1168" s="101">
        <f t="shared" ca="1" si="144"/>
        <v>87843</v>
      </c>
      <c r="D1168" s="102">
        <f t="shared" ca="1" si="139"/>
        <v>162.99520876112251</v>
      </c>
      <c r="E1168" s="103">
        <f t="shared" ca="1" si="146"/>
        <v>0.23949195236762558</v>
      </c>
      <c r="F1168" s="104" t="e">
        <f ca="1">IF($C$4="Hombre",(+VLOOKUP(INT(D1168)+1,Tablas!$G$9:$K$1240,5,0)*(D1168-INT(D1168))+VLOOKUP(INT(D1168),Tablas!$G$9:$K$1240,5,0)*(INT(D1168)+1-D1168))/(VLOOKUP(INT($C$5)+1,Tablas!$G$9:$K$1240,5,0)*($C$5-INT($C$5))+VLOOKUP(INT($C$5),Tablas!$G$9:$K$124,5,0)*(INT($C$5)+1-$C$5)),(+VLOOKUP(INT(D1168)+1,Tablas!$G$9:$O$1240,9,0)*(D1168-INT(D1168))+VLOOKUP(INT(D1168),Tablas!$G$9:$O$1240,9,0)*(INT(D1168)+1-D1168))/(VLOOKUP(INT($C$5)+1,Tablas!$G$9:$O$1240,9,0)*($C$5-INT($C$5))+VLOOKUP(INT($C$5),Tablas!$G$9:$O$124,9,0)*(INT($C$5)+1-$C$5)))</f>
        <v>#N/A</v>
      </c>
      <c r="G1168" s="97" t="e">
        <f ca="1">IF($C$4="Hombre",(+VLOOKUP(INT(D1168)+1,Tablas!$G$9:$K$1240,5,0)*(D1168-INT(D1168))+VLOOKUP(INT(D1168),Tablas!$G$9:$K$1240,5,0)*(INT(D1168)+1-D1168)),+VLOOKUP(INT(D1168)+1,Tablas!$G$9:$O$1240,9,0)*(D1168-INT(D1168))+VLOOKUP(INT(D1168),Tablas!$G$9:$O$1240,9,0)*(INT(D1168)+1-D1168))</f>
        <v>#N/A</v>
      </c>
      <c r="H1168" s="105">
        <f t="shared" ca="1" si="140"/>
        <v>1</v>
      </c>
      <c r="I1168" s="106">
        <f t="shared" ca="1" si="141"/>
        <v>0</v>
      </c>
      <c r="J1168" s="106">
        <f t="shared" ca="1" si="145"/>
        <v>0</v>
      </c>
      <c r="K1168" s="105" t="e">
        <f t="shared" ca="1" si="142"/>
        <v>#N/A</v>
      </c>
      <c r="L1168" s="75"/>
    </row>
    <row r="1169" spans="2:12">
      <c r="B1169" s="101">
        <f t="shared" ca="1" si="143"/>
        <v>87844</v>
      </c>
      <c r="C1169" s="101">
        <f t="shared" ca="1" si="144"/>
        <v>87874</v>
      </c>
      <c r="D1169" s="102">
        <f t="shared" ca="1" si="139"/>
        <v>163.08008213552361</v>
      </c>
      <c r="E1169" s="103">
        <f t="shared" ca="1" si="146"/>
        <v>0.23918951026282415</v>
      </c>
      <c r="F1169" s="104" t="e">
        <f ca="1">IF($C$4="Hombre",(+VLOOKUP(INT(D1169)+1,Tablas!$G$9:$K$1240,5,0)*(D1169-INT(D1169))+VLOOKUP(INT(D1169),Tablas!$G$9:$K$1240,5,0)*(INT(D1169)+1-D1169))/(VLOOKUP(INT($C$5)+1,Tablas!$G$9:$K$1240,5,0)*($C$5-INT($C$5))+VLOOKUP(INT($C$5),Tablas!$G$9:$K$124,5,0)*(INT($C$5)+1-$C$5)),(+VLOOKUP(INT(D1169)+1,Tablas!$G$9:$O$1240,9,0)*(D1169-INT(D1169))+VLOOKUP(INT(D1169),Tablas!$G$9:$O$1240,9,0)*(INT(D1169)+1-D1169))/(VLOOKUP(INT($C$5)+1,Tablas!$G$9:$O$1240,9,0)*($C$5-INT($C$5))+VLOOKUP(INT($C$5),Tablas!$G$9:$O$124,9,0)*(INT($C$5)+1-$C$5)))</f>
        <v>#N/A</v>
      </c>
      <c r="G1169" s="97" t="e">
        <f ca="1">IF($C$4="Hombre",(+VLOOKUP(INT(D1169)+1,Tablas!$G$9:$K$1240,5,0)*(D1169-INT(D1169))+VLOOKUP(INT(D1169),Tablas!$G$9:$K$1240,5,0)*(INT(D1169)+1-D1169)),+VLOOKUP(INT(D1169)+1,Tablas!$G$9:$O$1240,9,0)*(D1169-INT(D1169))+VLOOKUP(INT(D1169),Tablas!$G$9:$O$1240,9,0)*(INT(D1169)+1-D1169))</f>
        <v>#N/A</v>
      </c>
      <c r="H1169" s="105">
        <f t="shared" ca="1" si="140"/>
        <v>1</v>
      </c>
      <c r="I1169" s="106">
        <f t="shared" ca="1" si="141"/>
        <v>0</v>
      </c>
      <c r="J1169" s="106">
        <f t="shared" ca="1" si="145"/>
        <v>0</v>
      </c>
      <c r="K1169" s="105" t="e">
        <f t="shared" ca="1" si="142"/>
        <v>#N/A</v>
      </c>
      <c r="L1169" s="75"/>
    </row>
    <row r="1170" spans="2:12">
      <c r="B1170" s="101">
        <f t="shared" ca="1" si="143"/>
        <v>87875</v>
      </c>
      <c r="C1170" s="101">
        <f t="shared" ca="1" si="144"/>
        <v>87905</v>
      </c>
      <c r="D1170" s="102">
        <f t="shared" ref="D1170:D1216" ca="1" si="147">-_xlfn.DAYS($C$3,C1170)/365.25</f>
        <v>163.16495550992471</v>
      </c>
      <c r="E1170" s="103">
        <f t="shared" ca="1" si="146"/>
        <v>0.23888745009664672</v>
      </c>
      <c r="F1170" s="104" t="e">
        <f ca="1">IF($C$4="Hombre",(+VLOOKUP(INT(D1170)+1,Tablas!$G$9:$K$1240,5,0)*(D1170-INT(D1170))+VLOOKUP(INT(D1170),Tablas!$G$9:$K$1240,5,0)*(INT(D1170)+1-D1170))/(VLOOKUP(INT($C$5)+1,Tablas!$G$9:$K$1240,5,0)*($C$5-INT($C$5))+VLOOKUP(INT($C$5),Tablas!$G$9:$K$124,5,0)*(INT($C$5)+1-$C$5)),(+VLOOKUP(INT(D1170)+1,Tablas!$G$9:$O$1240,9,0)*(D1170-INT(D1170))+VLOOKUP(INT(D1170),Tablas!$G$9:$O$1240,9,0)*(INT(D1170)+1-D1170))/(VLOOKUP(INT($C$5)+1,Tablas!$G$9:$O$1240,9,0)*($C$5-INT($C$5))+VLOOKUP(INT($C$5),Tablas!$G$9:$O$124,9,0)*(INT($C$5)+1-$C$5)))</f>
        <v>#N/A</v>
      </c>
      <c r="G1170" s="97" t="e">
        <f ca="1">IF($C$4="Hombre",(+VLOOKUP(INT(D1170)+1,Tablas!$G$9:$K$1240,5,0)*(D1170-INT(D1170))+VLOOKUP(INT(D1170),Tablas!$G$9:$K$1240,5,0)*(INT(D1170)+1-D1170)),+VLOOKUP(INT(D1170)+1,Tablas!$G$9:$O$1240,9,0)*(D1170-INT(D1170))+VLOOKUP(INT(D1170),Tablas!$G$9:$O$1240,9,0)*(INT(D1170)+1-D1170))</f>
        <v>#N/A</v>
      </c>
      <c r="H1170" s="105">
        <f t="shared" ref="H1170:H1216" ca="1" si="148">+IF(MONTH(B1170)=1,H1169*(1+$C$9),H1169)</f>
        <v>1</v>
      </c>
      <c r="I1170" s="106">
        <f t="shared" ref="I1170:I1216" ca="1" si="149">IF(B1170&lt;$C$10,0,IF(B1170&lt;$C$11,$C$8/12*E1170*F1170*H1170,0))</f>
        <v>0</v>
      </c>
      <c r="J1170" s="106">
        <f t="shared" ca="1" si="145"/>
        <v>0</v>
      </c>
      <c r="K1170" s="105" t="e">
        <f t="shared" ref="K1170:K1216" ca="1" si="150">G1170/$G$15</f>
        <v>#N/A</v>
      </c>
      <c r="L1170" s="75"/>
    </row>
    <row r="1171" spans="2:12">
      <c r="B1171" s="101">
        <f t="shared" ref="B1171:B1216" ca="1" si="151">+DATE(YEAR(B1170),MONTH(B1170)+1,DAY(B1170))</f>
        <v>87906</v>
      </c>
      <c r="C1171" s="101">
        <f t="shared" ref="C1171:C1216" ca="1" si="152">+B1172-1</f>
        <v>87935</v>
      </c>
      <c r="D1171" s="102">
        <f t="shared" ca="1" si="147"/>
        <v>163.24709103353868</v>
      </c>
      <c r="E1171" s="103">
        <f t="shared" ca="1" si="146"/>
        <v>0.23859549700893024</v>
      </c>
      <c r="F1171" s="104" t="e">
        <f ca="1">IF($C$4="Hombre",(+VLOOKUP(INT(D1171)+1,Tablas!$G$9:$K$1240,5,0)*(D1171-INT(D1171))+VLOOKUP(INT(D1171),Tablas!$G$9:$K$1240,5,0)*(INT(D1171)+1-D1171))/(VLOOKUP(INT($C$5)+1,Tablas!$G$9:$K$1240,5,0)*($C$5-INT($C$5))+VLOOKUP(INT($C$5),Tablas!$G$9:$K$124,5,0)*(INT($C$5)+1-$C$5)),(+VLOOKUP(INT(D1171)+1,Tablas!$G$9:$O$1240,9,0)*(D1171-INT(D1171))+VLOOKUP(INT(D1171),Tablas!$G$9:$O$1240,9,0)*(INT(D1171)+1-D1171))/(VLOOKUP(INT($C$5)+1,Tablas!$G$9:$O$1240,9,0)*($C$5-INT($C$5))+VLOOKUP(INT($C$5),Tablas!$G$9:$O$124,9,0)*(INT($C$5)+1-$C$5)))</f>
        <v>#N/A</v>
      </c>
      <c r="G1171" s="97" t="e">
        <f ca="1">IF($C$4="Hombre",(+VLOOKUP(INT(D1171)+1,Tablas!$G$9:$K$1240,5,0)*(D1171-INT(D1171))+VLOOKUP(INT(D1171),Tablas!$G$9:$K$1240,5,0)*(INT(D1171)+1-D1171)),+VLOOKUP(INT(D1171)+1,Tablas!$G$9:$O$1240,9,0)*(D1171-INT(D1171))+VLOOKUP(INT(D1171),Tablas!$G$9:$O$1240,9,0)*(INT(D1171)+1-D1171))</f>
        <v>#N/A</v>
      </c>
      <c r="H1171" s="105">
        <f t="shared" ca="1" si="148"/>
        <v>1</v>
      </c>
      <c r="I1171" s="106">
        <f t="shared" ca="1" si="149"/>
        <v>0</v>
      </c>
      <c r="J1171" s="106">
        <f t="shared" ref="J1171:J1216" ca="1" si="153">I1171*12/14+IF(OR(MONTH(C1171)=6,MONTH(C1171)=12),I1171*12/14,0)</f>
        <v>0</v>
      </c>
      <c r="K1171" s="105" t="e">
        <f t="shared" ca="1" si="150"/>
        <v>#N/A</v>
      </c>
      <c r="L1171" s="75"/>
    </row>
    <row r="1172" spans="2:12">
      <c r="B1172" s="101">
        <f t="shared" ca="1" si="151"/>
        <v>87936</v>
      </c>
      <c r="C1172" s="101">
        <f t="shared" ca="1" si="152"/>
        <v>87966</v>
      </c>
      <c r="D1172" s="102">
        <f t="shared" ca="1" si="147"/>
        <v>163.33196440793978</v>
      </c>
      <c r="E1172" s="103">
        <f t="shared" ca="1" si="146"/>
        <v>0.23829418699162852</v>
      </c>
      <c r="F1172" s="104" t="e">
        <f ca="1">IF($C$4="Hombre",(+VLOOKUP(INT(D1172)+1,Tablas!$G$9:$K$1240,5,0)*(D1172-INT(D1172))+VLOOKUP(INT(D1172),Tablas!$G$9:$K$1240,5,0)*(INT(D1172)+1-D1172))/(VLOOKUP(INT($C$5)+1,Tablas!$G$9:$K$1240,5,0)*($C$5-INT($C$5))+VLOOKUP(INT($C$5),Tablas!$G$9:$K$124,5,0)*(INT($C$5)+1-$C$5)),(+VLOOKUP(INT(D1172)+1,Tablas!$G$9:$O$1240,9,0)*(D1172-INT(D1172))+VLOOKUP(INT(D1172),Tablas!$G$9:$O$1240,9,0)*(INT(D1172)+1-D1172))/(VLOOKUP(INT($C$5)+1,Tablas!$G$9:$O$1240,9,0)*($C$5-INT($C$5))+VLOOKUP(INT($C$5),Tablas!$G$9:$O$124,9,0)*(INT($C$5)+1-$C$5)))</f>
        <v>#N/A</v>
      </c>
      <c r="G1172" s="97" t="e">
        <f ca="1">IF($C$4="Hombre",(+VLOOKUP(INT(D1172)+1,Tablas!$G$9:$K$1240,5,0)*(D1172-INT(D1172))+VLOOKUP(INT(D1172),Tablas!$G$9:$K$1240,5,0)*(INT(D1172)+1-D1172)),+VLOOKUP(INT(D1172)+1,Tablas!$G$9:$O$1240,9,0)*(D1172-INT(D1172))+VLOOKUP(INT(D1172),Tablas!$G$9:$O$1240,9,0)*(INT(D1172)+1-D1172))</f>
        <v>#N/A</v>
      </c>
      <c r="H1172" s="105">
        <f t="shared" ca="1" si="148"/>
        <v>1</v>
      </c>
      <c r="I1172" s="106">
        <f t="shared" ca="1" si="149"/>
        <v>0</v>
      </c>
      <c r="J1172" s="106">
        <f t="shared" ca="1" si="153"/>
        <v>0</v>
      </c>
      <c r="K1172" s="105" t="e">
        <f t="shared" ca="1" si="150"/>
        <v>#N/A</v>
      </c>
      <c r="L1172" s="75"/>
    </row>
    <row r="1173" spans="2:12">
      <c r="B1173" s="101">
        <f t="shared" ca="1" si="151"/>
        <v>87967</v>
      </c>
      <c r="C1173" s="101">
        <f t="shared" ca="1" si="152"/>
        <v>87996</v>
      </c>
      <c r="D1173" s="102">
        <f t="shared" ca="1" si="147"/>
        <v>163.41409993155372</v>
      </c>
      <c r="E1173" s="103">
        <f t="shared" ca="1" si="146"/>
        <v>0.23800295895244555</v>
      </c>
      <c r="F1173" s="104" t="e">
        <f ca="1">IF($C$4="Hombre",(+VLOOKUP(INT(D1173)+1,Tablas!$G$9:$K$1240,5,0)*(D1173-INT(D1173))+VLOOKUP(INT(D1173),Tablas!$G$9:$K$1240,5,0)*(INT(D1173)+1-D1173))/(VLOOKUP(INT($C$5)+1,Tablas!$G$9:$K$1240,5,0)*($C$5-INT($C$5))+VLOOKUP(INT($C$5),Tablas!$G$9:$K$124,5,0)*(INT($C$5)+1-$C$5)),(+VLOOKUP(INT(D1173)+1,Tablas!$G$9:$O$1240,9,0)*(D1173-INT(D1173))+VLOOKUP(INT(D1173),Tablas!$G$9:$O$1240,9,0)*(INT(D1173)+1-D1173))/(VLOOKUP(INT($C$5)+1,Tablas!$G$9:$O$1240,9,0)*($C$5-INT($C$5))+VLOOKUP(INT($C$5),Tablas!$G$9:$O$124,9,0)*(INT($C$5)+1-$C$5)))</f>
        <v>#N/A</v>
      </c>
      <c r="G1173" s="97" t="e">
        <f ca="1">IF($C$4="Hombre",(+VLOOKUP(INT(D1173)+1,Tablas!$G$9:$K$1240,5,0)*(D1173-INT(D1173))+VLOOKUP(INT(D1173),Tablas!$G$9:$K$1240,5,0)*(INT(D1173)+1-D1173)),+VLOOKUP(INT(D1173)+1,Tablas!$G$9:$O$1240,9,0)*(D1173-INT(D1173))+VLOOKUP(INT(D1173),Tablas!$G$9:$O$1240,9,0)*(INT(D1173)+1-D1173))</f>
        <v>#N/A</v>
      </c>
      <c r="H1173" s="105">
        <f t="shared" ca="1" si="148"/>
        <v>1</v>
      </c>
      <c r="I1173" s="106">
        <f t="shared" ca="1" si="149"/>
        <v>0</v>
      </c>
      <c r="J1173" s="106">
        <f t="shared" ca="1" si="153"/>
        <v>0</v>
      </c>
      <c r="K1173" s="105" t="e">
        <f t="shared" ca="1" si="150"/>
        <v>#N/A</v>
      </c>
      <c r="L1173" s="75"/>
    </row>
    <row r="1174" spans="2:12">
      <c r="B1174" s="101">
        <f t="shared" ca="1" si="151"/>
        <v>87997</v>
      </c>
      <c r="C1174" s="101">
        <f t="shared" ca="1" si="152"/>
        <v>88027</v>
      </c>
      <c r="D1174" s="102">
        <f t="shared" ca="1" si="147"/>
        <v>163.49897330595482</v>
      </c>
      <c r="E1174" s="103">
        <f t="shared" ca="1" si="146"/>
        <v>0.23770239722106823</v>
      </c>
      <c r="F1174" s="104" t="e">
        <f ca="1">IF($C$4="Hombre",(+VLOOKUP(INT(D1174)+1,Tablas!$G$9:$K$1240,5,0)*(D1174-INT(D1174))+VLOOKUP(INT(D1174),Tablas!$G$9:$K$1240,5,0)*(INT(D1174)+1-D1174))/(VLOOKUP(INT($C$5)+1,Tablas!$G$9:$K$1240,5,0)*($C$5-INT($C$5))+VLOOKUP(INT($C$5),Tablas!$G$9:$K$124,5,0)*(INT($C$5)+1-$C$5)),(+VLOOKUP(INT(D1174)+1,Tablas!$G$9:$O$1240,9,0)*(D1174-INT(D1174))+VLOOKUP(INT(D1174),Tablas!$G$9:$O$1240,9,0)*(INT(D1174)+1-D1174))/(VLOOKUP(INT($C$5)+1,Tablas!$G$9:$O$1240,9,0)*($C$5-INT($C$5))+VLOOKUP(INT($C$5),Tablas!$G$9:$O$124,9,0)*(INT($C$5)+1-$C$5)))</f>
        <v>#N/A</v>
      </c>
      <c r="G1174" s="97" t="e">
        <f ca="1">IF($C$4="Hombre",(+VLOOKUP(INT(D1174)+1,Tablas!$G$9:$K$1240,5,0)*(D1174-INT(D1174))+VLOOKUP(INT(D1174),Tablas!$G$9:$K$1240,5,0)*(INT(D1174)+1-D1174)),+VLOOKUP(INT(D1174)+1,Tablas!$G$9:$O$1240,9,0)*(D1174-INT(D1174))+VLOOKUP(INT(D1174),Tablas!$G$9:$O$1240,9,0)*(INT(D1174)+1-D1174))</f>
        <v>#N/A</v>
      </c>
      <c r="H1174" s="105">
        <f t="shared" ca="1" si="148"/>
        <v>1</v>
      </c>
      <c r="I1174" s="106">
        <f t="shared" ca="1" si="149"/>
        <v>0</v>
      </c>
      <c r="J1174" s="106">
        <f t="shared" ca="1" si="153"/>
        <v>0</v>
      </c>
      <c r="K1174" s="105" t="e">
        <f t="shared" ca="1" si="150"/>
        <v>#N/A</v>
      </c>
      <c r="L1174" s="75"/>
    </row>
    <row r="1175" spans="2:12">
      <c r="B1175" s="101">
        <f t="shared" ca="1" si="151"/>
        <v>88028</v>
      </c>
      <c r="C1175" s="101">
        <f t="shared" ca="1" si="152"/>
        <v>88058</v>
      </c>
      <c r="D1175" s="102">
        <f t="shared" ca="1" si="147"/>
        <v>163.58384668035592</v>
      </c>
      <c r="E1175" s="103">
        <f t="shared" ca="1" si="146"/>
        <v>0.23740221505368775</v>
      </c>
      <c r="F1175" s="104" t="e">
        <f ca="1">IF($C$4="Hombre",(+VLOOKUP(INT(D1175)+1,Tablas!$G$9:$K$1240,5,0)*(D1175-INT(D1175))+VLOOKUP(INT(D1175),Tablas!$G$9:$K$1240,5,0)*(INT(D1175)+1-D1175))/(VLOOKUP(INT($C$5)+1,Tablas!$G$9:$K$1240,5,0)*($C$5-INT($C$5))+VLOOKUP(INT($C$5),Tablas!$G$9:$K$124,5,0)*(INT($C$5)+1-$C$5)),(+VLOOKUP(INT(D1175)+1,Tablas!$G$9:$O$1240,9,0)*(D1175-INT(D1175))+VLOOKUP(INT(D1175),Tablas!$G$9:$O$1240,9,0)*(INT(D1175)+1-D1175))/(VLOOKUP(INT($C$5)+1,Tablas!$G$9:$O$1240,9,0)*($C$5-INT($C$5))+VLOOKUP(INT($C$5),Tablas!$G$9:$O$124,9,0)*(INT($C$5)+1-$C$5)))</f>
        <v>#N/A</v>
      </c>
      <c r="G1175" s="97" t="e">
        <f ca="1">IF($C$4="Hombre",(+VLOOKUP(INT(D1175)+1,Tablas!$G$9:$K$1240,5,0)*(D1175-INT(D1175))+VLOOKUP(INT(D1175),Tablas!$G$9:$K$1240,5,0)*(INT(D1175)+1-D1175)),+VLOOKUP(INT(D1175)+1,Tablas!$G$9:$O$1240,9,0)*(D1175-INT(D1175))+VLOOKUP(INT(D1175),Tablas!$G$9:$O$1240,9,0)*(INT(D1175)+1-D1175))</f>
        <v>#N/A</v>
      </c>
      <c r="H1175" s="105">
        <f t="shared" ca="1" si="148"/>
        <v>1</v>
      </c>
      <c r="I1175" s="106">
        <f t="shared" ca="1" si="149"/>
        <v>0</v>
      </c>
      <c r="J1175" s="106">
        <f t="shared" ca="1" si="153"/>
        <v>0</v>
      </c>
      <c r="K1175" s="105" t="e">
        <f t="shared" ca="1" si="150"/>
        <v>#N/A</v>
      </c>
      <c r="L1175" s="75"/>
    </row>
    <row r="1176" spans="2:12">
      <c r="B1176" s="101">
        <f t="shared" ca="1" si="151"/>
        <v>88059</v>
      </c>
      <c r="C1176" s="101">
        <f t="shared" ca="1" si="152"/>
        <v>88086</v>
      </c>
      <c r="D1176" s="102">
        <f t="shared" ca="1" si="147"/>
        <v>163.66050650239561</v>
      </c>
      <c r="E1176" s="103">
        <f t="shared" ref="E1176:E1216" ca="1" si="154">IF($D$17+40&lt;=D1176,(1+$D$7)^-(D1176-$C$5),(1+$C$7)^-(D1176-$C$5))</f>
        <v>0.23713140861810744</v>
      </c>
      <c r="F1176" s="104" t="e">
        <f ca="1">IF($C$4="Hombre",(+VLOOKUP(INT(D1176)+1,Tablas!$G$9:$K$1240,5,0)*(D1176-INT(D1176))+VLOOKUP(INT(D1176),Tablas!$G$9:$K$1240,5,0)*(INT(D1176)+1-D1176))/(VLOOKUP(INT($C$5)+1,Tablas!$G$9:$K$1240,5,0)*($C$5-INT($C$5))+VLOOKUP(INT($C$5),Tablas!$G$9:$K$124,5,0)*(INT($C$5)+1-$C$5)),(+VLOOKUP(INT(D1176)+1,Tablas!$G$9:$O$1240,9,0)*(D1176-INT(D1176))+VLOOKUP(INT(D1176),Tablas!$G$9:$O$1240,9,0)*(INT(D1176)+1-D1176))/(VLOOKUP(INT($C$5)+1,Tablas!$G$9:$O$1240,9,0)*($C$5-INT($C$5))+VLOOKUP(INT($C$5),Tablas!$G$9:$O$124,9,0)*(INT($C$5)+1-$C$5)))</f>
        <v>#N/A</v>
      </c>
      <c r="G1176" s="97" t="e">
        <f ca="1">IF($C$4="Hombre",(+VLOOKUP(INT(D1176)+1,Tablas!$G$9:$K$1240,5,0)*(D1176-INT(D1176))+VLOOKUP(INT(D1176),Tablas!$G$9:$K$1240,5,0)*(INT(D1176)+1-D1176)),+VLOOKUP(INT(D1176)+1,Tablas!$G$9:$O$1240,9,0)*(D1176-INT(D1176))+VLOOKUP(INT(D1176),Tablas!$G$9:$O$1240,9,0)*(INT(D1176)+1-D1176))</f>
        <v>#N/A</v>
      </c>
      <c r="H1176" s="105">
        <f t="shared" ca="1" si="148"/>
        <v>1</v>
      </c>
      <c r="I1176" s="106">
        <f t="shared" ca="1" si="149"/>
        <v>0</v>
      </c>
      <c r="J1176" s="106">
        <f t="shared" ca="1" si="153"/>
        <v>0</v>
      </c>
      <c r="K1176" s="105" t="e">
        <f t="shared" ca="1" si="150"/>
        <v>#N/A</v>
      </c>
      <c r="L1176" s="75"/>
    </row>
    <row r="1177" spans="2:12">
      <c r="B1177" s="101">
        <f t="shared" ca="1" si="151"/>
        <v>88087</v>
      </c>
      <c r="C1177" s="101">
        <f t="shared" ca="1" si="152"/>
        <v>88117</v>
      </c>
      <c r="D1177" s="102">
        <f t="shared" ca="1" si="147"/>
        <v>163.7453798767967</v>
      </c>
      <c r="E1177" s="103">
        <f t="shared" ca="1" si="154"/>
        <v>0.23683194752295167</v>
      </c>
      <c r="F1177" s="104" t="e">
        <f ca="1">IF($C$4="Hombre",(+VLOOKUP(INT(D1177)+1,Tablas!$G$9:$K$1240,5,0)*(D1177-INT(D1177))+VLOOKUP(INT(D1177),Tablas!$G$9:$K$1240,5,0)*(INT(D1177)+1-D1177))/(VLOOKUP(INT($C$5)+1,Tablas!$G$9:$K$1240,5,0)*($C$5-INT($C$5))+VLOOKUP(INT($C$5),Tablas!$G$9:$K$124,5,0)*(INT($C$5)+1-$C$5)),(+VLOOKUP(INT(D1177)+1,Tablas!$G$9:$O$1240,9,0)*(D1177-INT(D1177))+VLOOKUP(INT(D1177),Tablas!$G$9:$O$1240,9,0)*(INT(D1177)+1-D1177))/(VLOOKUP(INT($C$5)+1,Tablas!$G$9:$O$1240,9,0)*($C$5-INT($C$5))+VLOOKUP(INT($C$5),Tablas!$G$9:$O$124,9,0)*(INT($C$5)+1-$C$5)))</f>
        <v>#N/A</v>
      </c>
      <c r="G1177" s="97" t="e">
        <f ca="1">IF($C$4="Hombre",(+VLOOKUP(INT(D1177)+1,Tablas!$G$9:$K$1240,5,0)*(D1177-INT(D1177))+VLOOKUP(INT(D1177),Tablas!$G$9:$K$1240,5,0)*(INT(D1177)+1-D1177)),+VLOOKUP(INT(D1177)+1,Tablas!$G$9:$O$1240,9,0)*(D1177-INT(D1177))+VLOOKUP(INT(D1177),Tablas!$G$9:$O$1240,9,0)*(INT(D1177)+1-D1177))</f>
        <v>#N/A</v>
      </c>
      <c r="H1177" s="105">
        <f t="shared" ca="1" si="148"/>
        <v>1</v>
      </c>
      <c r="I1177" s="106">
        <f t="shared" ca="1" si="149"/>
        <v>0</v>
      </c>
      <c r="J1177" s="106">
        <f t="shared" ca="1" si="153"/>
        <v>0</v>
      </c>
      <c r="K1177" s="105" t="e">
        <f t="shared" ca="1" si="150"/>
        <v>#N/A</v>
      </c>
      <c r="L1177" s="75"/>
    </row>
    <row r="1178" spans="2:12">
      <c r="B1178" s="101">
        <f t="shared" ca="1" si="151"/>
        <v>88118</v>
      </c>
      <c r="C1178" s="101">
        <f t="shared" ca="1" si="152"/>
        <v>88147</v>
      </c>
      <c r="D1178" s="102">
        <f t="shared" ca="1" si="147"/>
        <v>163.82751540041068</v>
      </c>
      <c r="E1178" s="103">
        <f t="shared" ca="1" si="154"/>
        <v>0.23654250654009026</v>
      </c>
      <c r="F1178" s="104" t="e">
        <f ca="1">IF($C$4="Hombre",(+VLOOKUP(INT(D1178)+1,Tablas!$G$9:$K$1240,5,0)*(D1178-INT(D1178))+VLOOKUP(INT(D1178),Tablas!$G$9:$K$1240,5,0)*(INT(D1178)+1-D1178))/(VLOOKUP(INT($C$5)+1,Tablas!$G$9:$K$1240,5,0)*($C$5-INT($C$5))+VLOOKUP(INT($C$5),Tablas!$G$9:$K$124,5,0)*(INT($C$5)+1-$C$5)),(+VLOOKUP(INT(D1178)+1,Tablas!$G$9:$O$1240,9,0)*(D1178-INT(D1178))+VLOOKUP(INT(D1178),Tablas!$G$9:$O$1240,9,0)*(INT(D1178)+1-D1178))/(VLOOKUP(INT($C$5)+1,Tablas!$G$9:$O$1240,9,0)*($C$5-INT($C$5))+VLOOKUP(INT($C$5),Tablas!$G$9:$O$124,9,0)*(INT($C$5)+1-$C$5)))</f>
        <v>#N/A</v>
      </c>
      <c r="G1178" s="97" t="e">
        <f ca="1">IF($C$4="Hombre",(+VLOOKUP(INT(D1178)+1,Tablas!$G$9:$K$1240,5,0)*(D1178-INT(D1178))+VLOOKUP(INT(D1178),Tablas!$G$9:$K$1240,5,0)*(INT(D1178)+1-D1178)),+VLOOKUP(INT(D1178)+1,Tablas!$G$9:$O$1240,9,0)*(D1178-INT(D1178))+VLOOKUP(INT(D1178),Tablas!$G$9:$O$1240,9,0)*(INT(D1178)+1-D1178))</f>
        <v>#N/A</v>
      </c>
      <c r="H1178" s="105">
        <f t="shared" ca="1" si="148"/>
        <v>1</v>
      </c>
      <c r="I1178" s="106">
        <f t="shared" ca="1" si="149"/>
        <v>0</v>
      </c>
      <c r="J1178" s="106">
        <f t="shared" ca="1" si="153"/>
        <v>0</v>
      </c>
      <c r="K1178" s="105" t="e">
        <f t="shared" ca="1" si="150"/>
        <v>#N/A</v>
      </c>
      <c r="L1178" s="75"/>
    </row>
    <row r="1179" spans="2:12">
      <c r="B1179" s="101">
        <f t="shared" ca="1" si="151"/>
        <v>88148</v>
      </c>
      <c r="C1179" s="101">
        <f t="shared" ca="1" si="152"/>
        <v>88178</v>
      </c>
      <c r="D1179" s="102">
        <f t="shared" ca="1" si="147"/>
        <v>163.91238877481177</v>
      </c>
      <c r="E1179" s="103">
        <f t="shared" ca="1" si="154"/>
        <v>0.23624378913916827</v>
      </c>
      <c r="F1179" s="104" t="e">
        <f ca="1">IF($C$4="Hombre",(+VLOOKUP(INT(D1179)+1,Tablas!$G$9:$K$1240,5,0)*(D1179-INT(D1179))+VLOOKUP(INT(D1179),Tablas!$G$9:$K$1240,5,0)*(INT(D1179)+1-D1179))/(VLOOKUP(INT($C$5)+1,Tablas!$G$9:$K$1240,5,0)*($C$5-INT($C$5))+VLOOKUP(INT($C$5),Tablas!$G$9:$K$124,5,0)*(INT($C$5)+1-$C$5)),(+VLOOKUP(INT(D1179)+1,Tablas!$G$9:$O$1240,9,0)*(D1179-INT(D1179))+VLOOKUP(INT(D1179),Tablas!$G$9:$O$1240,9,0)*(INT(D1179)+1-D1179))/(VLOOKUP(INT($C$5)+1,Tablas!$G$9:$O$1240,9,0)*($C$5-INT($C$5))+VLOOKUP(INT($C$5),Tablas!$G$9:$O$124,9,0)*(INT($C$5)+1-$C$5)))</f>
        <v>#N/A</v>
      </c>
      <c r="G1179" s="97" t="e">
        <f ca="1">IF($C$4="Hombre",(+VLOOKUP(INT(D1179)+1,Tablas!$G$9:$K$1240,5,0)*(D1179-INT(D1179))+VLOOKUP(INT(D1179),Tablas!$G$9:$K$1240,5,0)*(INT(D1179)+1-D1179)),+VLOOKUP(INT(D1179)+1,Tablas!$G$9:$O$1240,9,0)*(D1179-INT(D1179))+VLOOKUP(INT(D1179),Tablas!$G$9:$O$1240,9,0)*(INT(D1179)+1-D1179))</f>
        <v>#N/A</v>
      </c>
      <c r="H1179" s="105">
        <f t="shared" ca="1" si="148"/>
        <v>1</v>
      </c>
      <c r="I1179" s="106">
        <f t="shared" ca="1" si="149"/>
        <v>0</v>
      </c>
      <c r="J1179" s="106">
        <f t="shared" ca="1" si="153"/>
        <v>0</v>
      </c>
      <c r="K1179" s="105" t="e">
        <f t="shared" ca="1" si="150"/>
        <v>#N/A</v>
      </c>
      <c r="L1179" s="75"/>
    </row>
    <row r="1180" spans="2:12">
      <c r="B1180" s="101">
        <f t="shared" ca="1" si="151"/>
        <v>88179</v>
      </c>
      <c r="C1180" s="101">
        <f t="shared" ca="1" si="152"/>
        <v>88208</v>
      </c>
      <c r="D1180" s="102">
        <f t="shared" ca="1" si="147"/>
        <v>163.99452429842574</v>
      </c>
      <c r="E1180" s="103">
        <f t="shared" ca="1" si="154"/>
        <v>0.2359550669661738</v>
      </c>
      <c r="F1180" s="104" t="e">
        <f ca="1">IF($C$4="Hombre",(+VLOOKUP(INT(D1180)+1,Tablas!$G$9:$K$1240,5,0)*(D1180-INT(D1180))+VLOOKUP(INT(D1180),Tablas!$G$9:$K$1240,5,0)*(INT(D1180)+1-D1180))/(VLOOKUP(INT($C$5)+1,Tablas!$G$9:$K$1240,5,0)*($C$5-INT($C$5))+VLOOKUP(INT($C$5),Tablas!$G$9:$K$124,5,0)*(INT($C$5)+1-$C$5)),(+VLOOKUP(INT(D1180)+1,Tablas!$G$9:$O$1240,9,0)*(D1180-INT(D1180))+VLOOKUP(INT(D1180),Tablas!$G$9:$O$1240,9,0)*(INT(D1180)+1-D1180))/(VLOOKUP(INT($C$5)+1,Tablas!$G$9:$O$1240,9,0)*($C$5-INT($C$5))+VLOOKUP(INT($C$5),Tablas!$G$9:$O$124,9,0)*(INT($C$5)+1-$C$5)))</f>
        <v>#N/A</v>
      </c>
      <c r="G1180" s="97" t="e">
        <f ca="1">IF($C$4="Hombre",(+VLOOKUP(INT(D1180)+1,Tablas!$G$9:$K$1240,5,0)*(D1180-INT(D1180))+VLOOKUP(INT(D1180),Tablas!$G$9:$K$1240,5,0)*(INT(D1180)+1-D1180)),+VLOOKUP(INT(D1180)+1,Tablas!$G$9:$O$1240,9,0)*(D1180-INT(D1180))+VLOOKUP(INT(D1180),Tablas!$G$9:$O$1240,9,0)*(INT(D1180)+1-D1180))</f>
        <v>#N/A</v>
      </c>
      <c r="H1180" s="105">
        <f t="shared" ca="1" si="148"/>
        <v>1</v>
      </c>
      <c r="I1180" s="106">
        <f t="shared" ca="1" si="149"/>
        <v>0</v>
      </c>
      <c r="J1180" s="106">
        <f t="shared" ca="1" si="153"/>
        <v>0</v>
      </c>
      <c r="K1180" s="105" t="e">
        <f t="shared" ca="1" si="150"/>
        <v>#N/A</v>
      </c>
      <c r="L1180" s="75"/>
    </row>
    <row r="1181" spans="2:12">
      <c r="B1181" s="101">
        <f t="shared" ca="1" si="151"/>
        <v>88209</v>
      </c>
      <c r="C1181" s="101">
        <f t="shared" ca="1" si="152"/>
        <v>88239</v>
      </c>
      <c r="D1181" s="102">
        <f t="shared" ca="1" si="147"/>
        <v>164.07939767282684</v>
      </c>
      <c r="E1181" s="103">
        <f t="shared" ca="1" si="154"/>
        <v>0.23565709141256413</v>
      </c>
      <c r="F1181" s="104" t="e">
        <f ca="1">IF($C$4="Hombre",(+VLOOKUP(INT(D1181)+1,Tablas!$G$9:$K$1240,5,0)*(D1181-INT(D1181))+VLOOKUP(INT(D1181),Tablas!$G$9:$K$1240,5,0)*(INT(D1181)+1-D1181))/(VLOOKUP(INT($C$5)+1,Tablas!$G$9:$K$1240,5,0)*($C$5-INT($C$5))+VLOOKUP(INT($C$5),Tablas!$G$9:$K$124,5,0)*(INT($C$5)+1-$C$5)),(+VLOOKUP(INT(D1181)+1,Tablas!$G$9:$O$1240,9,0)*(D1181-INT(D1181))+VLOOKUP(INT(D1181),Tablas!$G$9:$O$1240,9,0)*(INT(D1181)+1-D1181))/(VLOOKUP(INT($C$5)+1,Tablas!$G$9:$O$1240,9,0)*($C$5-INT($C$5))+VLOOKUP(INT($C$5),Tablas!$G$9:$O$124,9,0)*(INT($C$5)+1-$C$5)))</f>
        <v>#N/A</v>
      </c>
      <c r="G1181" s="97" t="e">
        <f ca="1">IF($C$4="Hombre",(+VLOOKUP(INT(D1181)+1,Tablas!$G$9:$K$1240,5,0)*(D1181-INT(D1181))+VLOOKUP(INT(D1181),Tablas!$G$9:$K$1240,5,0)*(INT(D1181)+1-D1181)),+VLOOKUP(INT(D1181)+1,Tablas!$G$9:$O$1240,9,0)*(D1181-INT(D1181))+VLOOKUP(INT(D1181),Tablas!$G$9:$O$1240,9,0)*(INT(D1181)+1-D1181))</f>
        <v>#N/A</v>
      </c>
      <c r="H1181" s="105">
        <f t="shared" ca="1" si="148"/>
        <v>1</v>
      </c>
      <c r="I1181" s="106">
        <f t="shared" ca="1" si="149"/>
        <v>0</v>
      </c>
      <c r="J1181" s="106">
        <f t="shared" ca="1" si="153"/>
        <v>0</v>
      </c>
      <c r="K1181" s="105" t="e">
        <f t="shared" ca="1" si="150"/>
        <v>#N/A</v>
      </c>
      <c r="L1181" s="75"/>
    </row>
    <row r="1182" spans="2:12">
      <c r="B1182" s="101">
        <f t="shared" ca="1" si="151"/>
        <v>88240</v>
      </c>
      <c r="C1182" s="101">
        <f t="shared" ca="1" si="152"/>
        <v>88270</v>
      </c>
      <c r="D1182" s="102">
        <f t="shared" ca="1" si="147"/>
        <v>164.16427104722791</v>
      </c>
      <c r="E1182" s="103">
        <f t="shared" ca="1" si="154"/>
        <v>0.23535949215700008</v>
      </c>
      <c r="F1182" s="104" t="e">
        <f ca="1">IF($C$4="Hombre",(+VLOOKUP(INT(D1182)+1,Tablas!$G$9:$K$1240,5,0)*(D1182-INT(D1182))+VLOOKUP(INT(D1182),Tablas!$G$9:$K$1240,5,0)*(INT(D1182)+1-D1182))/(VLOOKUP(INT($C$5)+1,Tablas!$G$9:$K$1240,5,0)*($C$5-INT($C$5))+VLOOKUP(INT($C$5),Tablas!$G$9:$K$124,5,0)*(INT($C$5)+1-$C$5)),(+VLOOKUP(INT(D1182)+1,Tablas!$G$9:$O$1240,9,0)*(D1182-INT(D1182))+VLOOKUP(INT(D1182),Tablas!$G$9:$O$1240,9,0)*(INT(D1182)+1-D1182))/(VLOOKUP(INT($C$5)+1,Tablas!$G$9:$O$1240,9,0)*($C$5-INT($C$5))+VLOOKUP(INT($C$5),Tablas!$G$9:$O$124,9,0)*(INT($C$5)+1-$C$5)))</f>
        <v>#N/A</v>
      </c>
      <c r="G1182" s="97" t="e">
        <f ca="1">IF($C$4="Hombre",(+VLOOKUP(INT(D1182)+1,Tablas!$G$9:$K$1240,5,0)*(D1182-INT(D1182))+VLOOKUP(INT(D1182),Tablas!$G$9:$K$1240,5,0)*(INT(D1182)+1-D1182)),+VLOOKUP(INT(D1182)+1,Tablas!$G$9:$O$1240,9,0)*(D1182-INT(D1182))+VLOOKUP(INT(D1182),Tablas!$G$9:$O$1240,9,0)*(INT(D1182)+1-D1182))</f>
        <v>#N/A</v>
      </c>
      <c r="H1182" s="105">
        <f t="shared" ca="1" si="148"/>
        <v>1</v>
      </c>
      <c r="I1182" s="106">
        <f t="shared" ca="1" si="149"/>
        <v>0</v>
      </c>
      <c r="J1182" s="106">
        <f t="shared" ca="1" si="153"/>
        <v>0</v>
      </c>
      <c r="K1182" s="105" t="e">
        <f t="shared" ca="1" si="150"/>
        <v>#N/A</v>
      </c>
      <c r="L1182" s="75"/>
    </row>
    <row r="1183" spans="2:12">
      <c r="B1183" s="101">
        <f t="shared" ca="1" si="151"/>
        <v>88271</v>
      </c>
      <c r="C1183" s="101">
        <f t="shared" ca="1" si="152"/>
        <v>88300</v>
      </c>
      <c r="D1183" s="102">
        <f t="shared" ca="1" si="147"/>
        <v>164.24640657084188</v>
      </c>
      <c r="E1183" s="103">
        <f t="shared" ca="1" si="154"/>
        <v>0.23507185071568193</v>
      </c>
      <c r="F1183" s="104" t="e">
        <f ca="1">IF($C$4="Hombre",(+VLOOKUP(INT(D1183)+1,Tablas!$G$9:$K$1240,5,0)*(D1183-INT(D1183))+VLOOKUP(INT(D1183),Tablas!$G$9:$K$1240,5,0)*(INT(D1183)+1-D1183))/(VLOOKUP(INT($C$5)+1,Tablas!$G$9:$K$1240,5,0)*($C$5-INT($C$5))+VLOOKUP(INT($C$5),Tablas!$G$9:$K$124,5,0)*(INT($C$5)+1-$C$5)),(+VLOOKUP(INT(D1183)+1,Tablas!$G$9:$O$1240,9,0)*(D1183-INT(D1183))+VLOOKUP(INT(D1183),Tablas!$G$9:$O$1240,9,0)*(INT(D1183)+1-D1183))/(VLOOKUP(INT($C$5)+1,Tablas!$G$9:$O$1240,9,0)*($C$5-INT($C$5))+VLOOKUP(INT($C$5),Tablas!$G$9:$O$124,9,0)*(INT($C$5)+1-$C$5)))</f>
        <v>#N/A</v>
      </c>
      <c r="G1183" s="97" t="e">
        <f ca="1">IF($C$4="Hombre",(+VLOOKUP(INT(D1183)+1,Tablas!$G$9:$K$1240,5,0)*(D1183-INT(D1183))+VLOOKUP(INT(D1183),Tablas!$G$9:$K$1240,5,0)*(INT(D1183)+1-D1183)),+VLOOKUP(INT(D1183)+1,Tablas!$G$9:$O$1240,9,0)*(D1183-INT(D1183))+VLOOKUP(INT(D1183),Tablas!$G$9:$O$1240,9,0)*(INT(D1183)+1-D1183))</f>
        <v>#N/A</v>
      </c>
      <c r="H1183" s="105">
        <f t="shared" ca="1" si="148"/>
        <v>1</v>
      </c>
      <c r="I1183" s="106">
        <f t="shared" ca="1" si="149"/>
        <v>0</v>
      </c>
      <c r="J1183" s="106">
        <f t="shared" ca="1" si="153"/>
        <v>0</v>
      </c>
      <c r="K1183" s="105" t="e">
        <f t="shared" ca="1" si="150"/>
        <v>#N/A</v>
      </c>
      <c r="L1183" s="75"/>
    </row>
    <row r="1184" spans="2:12">
      <c r="B1184" s="101">
        <f t="shared" ca="1" si="151"/>
        <v>88301</v>
      </c>
      <c r="C1184" s="101">
        <f t="shared" ca="1" si="152"/>
        <v>88331</v>
      </c>
      <c r="D1184" s="102">
        <f t="shared" ca="1" si="147"/>
        <v>164.33127994524298</v>
      </c>
      <c r="E1184" s="103">
        <f t="shared" ca="1" si="154"/>
        <v>0.23477499053058112</v>
      </c>
      <c r="F1184" s="104" t="e">
        <f ca="1">IF($C$4="Hombre",(+VLOOKUP(INT(D1184)+1,Tablas!$G$9:$K$1240,5,0)*(D1184-INT(D1184))+VLOOKUP(INT(D1184),Tablas!$G$9:$K$1240,5,0)*(INT(D1184)+1-D1184))/(VLOOKUP(INT($C$5)+1,Tablas!$G$9:$K$1240,5,0)*($C$5-INT($C$5))+VLOOKUP(INT($C$5),Tablas!$G$9:$K$124,5,0)*(INT($C$5)+1-$C$5)),(+VLOOKUP(INT(D1184)+1,Tablas!$G$9:$O$1240,9,0)*(D1184-INT(D1184))+VLOOKUP(INT(D1184),Tablas!$G$9:$O$1240,9,0)*(INT(D1184)+1-D1184))/(VLOOKUP(INT($C$5)+1,Tablas!$G$9:$O$1240,9,0)*($C$5-INT($C$5))+VLOOKUP(INT($C$5),Tablas!$G$9:$O$124,9,0)*(INT($C$5)+1-$C$5)))</f>
        <v>#N/A</v>
      </c>
      <c r="G1184" s="97" t="e">
        <f ca="1">IF($C$4="Hombre",(+VLOOKUP(INT(D1184)+1,Tablas!$G$9:$K$1240,5,0)*(D1184-INT(D1184))+VLOOKUP(INT(D1184),Tablas!$G$9:$K$1240,5,0)*(INT(D1184)+1-D1184)),+VLOOKUP(INT(D1184)+1,Tablas!$G$9:$O$1240,9,0)*(D1184-INT(D1184))+VLOOKUP(INT(D1184),Tablas!$G$9:$O$1240,9,0)*(INT(D1184)+1-D1184))</f>
        <v>#N/A</v>
      </c>
      <c r="H1184" s="105">
        <f t="shared" ca="1" si="148"/>
        <v>1</v>
      </c>
      <c r="I1184" s="106">
        <f t="shared" ca="1" si="149"/>
        <v>0</v>
      </c>
      <c r="J1184" s="106">
        <f t="shared" ca="1" si="153"/>
        <v>0</v>
      </c>
      <c r="K1184" s="105" t="e">
        <f t="shared" ca="1" si="150"/>
        <v>#N/A</v>
      </c>
      <c r="L1184" s="75"/>
    </row>
    <row r="1185" spans="2:12">
      <c r="B1185" s="101">
        <f t="shared" ca="1" si="151"/>
        <v>88332</v>
      </c>
      <c r="C1185" s="101">
        <f t="shared" ca="1" si="152"/>
        <v>88361</v>
      </c>
      <c r="D1185" s="102">
        <f t="shared" ca="1" si="147"/>
        <v>164.41341546885695</v>
      </c>
      <c r="E1185" s="103">
        <f t="shared" ca="1" si="154"/>
        <v>0.234488063430073</v>
      </c>
      <c r="F1185" s="104" t="e">
        <f ca="1">IF($C$4="Hombre",(+VLOOKUP(INT(D1185)+1,Tablas!$G$9:$K$1240,5,0)*(D1185-INT(D1185))+VLOOKUP(INT(D1185),Tablas!$G$9:$K$1240,5,0)*(INT(D1185)+1-D1185))/(VLOOKUP(INT($C$5)+1,Tablas!$G$9:$K$1240,5,0)*($C$5-INT($C$5))+VLOOKUP(INT($C$5),Tablas!$G$9:$K$124,5,0)*(INT($C$5)+1-$C$5)),(+VLOOKUP(INT(D1185)+1,Tablas!$G$9:$O$1240,9,0)*(D1185-INT(D1185))+VLOOKUP(INT(D1185),Tablas!$G$9:$O$1240,9,0)*(INT(D1185)+1-D1185))/(VLOOKUP(INT($C$5)+1,Tablas!$G$9:$O$1240,9,0)*($C$5-INT($C$5))+VLOOKUP(INT($C$5),Tablas!$G$9:$O$124,9,0)*(INT($C$5)+1-$C$5)))</f>
        <v>#N/A</v>
      </c>
      <c r="G1185" s="97" t="e">
        <f ca="1">IF($C$4="Hombre",(+VLOOKUP(INT(D1185)+1,Tablas!$G$9:$K$1240,5,0)*(D1185-INT(D1185))+VLOOKUP(INT(D1185),Tablas!$G$9:$K$1240,5,0)*(INT(D1185)+1-D1185)),+VLOOKUP(INT(D1185)+1,Tablas!$G$9:$O$1240,9,0)*(D1185-INT(D1185))+VLOOKUP(INT(D1185),Tablas!$G$9:$O$1240,9,0)*(INT(D1185)+1-D1185))</f>
        <v>#N/A</v>
      </c>
      <c r="H1185" s="105">
        <f t="shared" ca="1" si="148"/>
        <v>1</v>
      </c>
      <c r="I1185" s="106">
        <f t="shared" ca="1" si="149"/>
        <v>0</v>
      </c>
      <c r="J1185" s="106">
        <f t="shared" ca="1" si="153"/>
        <v>0</v>
      </c>
      <c r="K1185" s="105" t="e">
        <f t="shared" ca="1" si="150"/>
        <v>#N/A</v>
      </c>
      <c r="L1185" s="75"/>
    </row>
    <row r="1186" spans="2:12">
      <c r="B1186" s="101">
        <f t="shared" ca="1" si="151"/>
        <v>88362</v>
      </c>
      <c r="C1186" s="101">
        <f t="shared" ca="1" si="152"/>
        <v>88392</v>
      </c>
      <c r="D1186" s="102">
        <f t="shared" ca="1" si="147"/>
        <v>164.49828884325805</v>
      </c>
      <c r="E1186" s="103">
        <f t="shared" ca="1" si="154"/>
        <v>0.23419194047999686</v>
      </c>
      <c r="F1186" s="104" t="e">
        <f ca="1">IF($C$4="Hombre",(+VLOOKUP(INT(D1186)+1,Tablas!$G$9:$K$1240,5,0)*(D1186-INT(D1186))+VLOOKUP(INT(D1186),Tablas!$G$9:$K$1240,5,0)*(INT(D1186)+1-D1186))/(VLOOKUP(INT($C$5)+1,Tablas!$G$9:$K$1240,5,0)*($C$5-INT($C$5))+VLOOKUP(INT($C$5),Tablas!$G$9:$K$124,5,0)*(INT($C$5)+1-$C$5)),(+VLOOKUP(INT(D1186)+1,Tablas!$G$9:$O$1240,9,0)*(D1186-INT(D1186))+VLOOKUP(INT(D1186),Tablas!$G$9:$O$1240,9,0)*(INT(D1186)+1-D1186))/(VLOOKUP(INT($C$5)+1,Tablas!$G$9:$O$1240,9,0)*($C$5-INT($C$5))+VLOOKUP(INT($C$5),Tablas!$G$9:$O$124,9,0)*(INT($C$5)+1-$C$5)))</f>
        <v>#N/A</v>
      </c>
      <c r="G1186" s="97" t="e">
        <f ca="1">IF($C$4="Hombre",(+VLOOKUP(INT(D1186)+1,Tablas!$G$9:$K$1240,5,0)*(D1186-INT(D1186))+VLOOKUP(INT(D1186),Tablas!$G$9:$K$1240,5,0)*(INT(D1186)+1-D1186)),+VLOOKUP(INT(D1186)+1,Tablas!$G$9:$O$1240,9,0)*(D1186-INT(D1186))+VLOOKUP(INT(D1186),Tablas!$G$9:$O$1240,9,0)*(INT(D1186)+1-D1186))</f>
        <v>#N/A</v>
      </c>
      <c r="H1186" s="105">
        <f t="shared" ca="1" si="148"/>
        <v>1</v>
      </c>
      <c r="I1186" s="106">
        <f t="shared" ca="1" si="149"/>
        <v>0</v>
      </c>
      <c r="J1186" s="106">
        <f t="shared" ca="1" si="153"/>
        <v>0</v>
      </c>
      <c r="K1186" s="105" t="e">
        <f t="shared" ca="1" si="150"/>
        <v>#N/A</v>
      </c>
      <c r="L1186" s="75"/>
    </row>
    <row r="1187" spans="2:12">
      <c r="B1187" s="101">
        <f t="shared" ca="1" si="151"/>
        <v>88393</v>
      </c>
      <c r="C1187" s="101">
        <f t="shared" ca="1" si="152"/>
        <v>88423</v>
      </c>
      <c r="D1187" s="102">
        <f t="shared" ca="1" si="147"/>
        <v>164.58316221765915</v>
      </c>
      <c r="E1187" s="103">
        <f t="shared" ca="1" si="154"/>
        <v>0.23389619148840823</v>
      </c>
      <c r="F1187" s="104" t="e">
        <f ca="1">IF($C$4="Hombre",(+VLOOKUP(INT(D1187)+1,Tablas!$G$9:$K$1240,5,0)*(D1187-INT(D1187))+VLOOKUP(INT(D1187),Tablas!$G$9:$K$1240,5,0)*(INT(D1187)+1-D1187))/(VLOOKUP(INT($C$5)+1,Tablas!$G$9:$K$1240,5,0)*($C$5-INT($C$5))+VLOOKUP(INT($C$5),Tablas!$G$9:$K$124,5,0)*(INT($C$5)+1-$C$5)),(+VLOOKUP(INT(D1187)+1,Tablas!$G$9:$O$1240,9,0)*(D1187-INT(D1187))+VLOOKUP(INT(D1187),Tablas!$G$9:$O$1240,9,0)*(INT(D1187)+1-D1187))/(VLOOKUP(INT($C$5)+1,Tablas!$G$9:$O$1240,9,0)*($C$5-INT($C$5))+VLOOKUP(INT($C$5),Tablas!$G$9:$O$124,9,0)*(INT($C$5)+1-$C$5)))</f>
        <v>#N/A</v>
      </c>
      <c r="G1187" s="97" t="e">
        <f ca="1">IF($C$4="Hombre",(+VLOOKUP(INT(D1187)+1,Tablas!$G$9:$K$1240,5,0)*(D1187-INT(D1187))+VLOOKUP(INT(D1187),Tablas!$G$9:$K$1240,5,0)*(INT(D1187)+1-D1187)),+VLOOKUP(INT(D1187)+1,Tablas!$G$9:$O$1240,9,0)*(D1187-INT(D1187))+VLOOKUP(INT(D1187),Tablas!$G$9:$O$1240,9,0)*(INT(D1187)+1-D1187))</f>
        <v>#N/A</v>
      </c>
      <c r="H1187" s="105">
        <f t="shared" ca="1" si="148"/>
        <v>1</v>
      </c>
      <c r="I1187" s="106">
        <f t="shared" ca="1" si="149"/>
        <v>0</v>
      </c>
      <c r="J1187" s="106">
        <f t="shared" ca="1" si="153"/>
        <v>0</v>
      </c>
      <c r="K1187" s="105" t="e">
        <f t="shared" ca="1" si="150"/>
        <v>#N/A</v>
      </c>
      <c r="L1187" s="75"/>
    </row>
    <row r="1188" spans="2:12">
      <c r="B1188" s="101">
        <f t="shared" ca="1" si="151"/>
        <v>88424</v>
      </c>
      <c r="C1188" s="101">
        <f t="shared" ca="1" si="152"/>
        <v>88451</v>
      </c>
      <c r="D1188" s="102">
        <f t="shared" ca="1" si="147"/>
        <v>164.65982203969884</v>
      </c>
      <c r="E1188" s="103">
        <f t="shared" ca="1" si="154"/>
        <v>0.23362938439944123</v>
      </c>
      <c r="F1188" s="104" t="e">
        <f ca="1">IF($C$4="Hombre",(+VLOOKUP(INT(D1188)+1,Tablas!$G$9:$K$1240,5,0)*(D1188-INT(D1188))+VLOOKUP(INT(D1188),Tablas!$G$9:$K$1240,5,0)*(INT(D1188)+1-D1188))/(VLOOKUP(INT($C$5)+1,Tablas!$G$9:$K$1240,5,0)*($C$5-INT($C$5))+VLOOKUP(INT($C$5),Tablas!$G$9:$K$124,5,0)*(INT($C$5)+1-$C$5)),(+VLOOKUP(INT(D1188)+1,Tablas!$G$9:$O$1240,9,0)*(D1188-INT(D1188))+VLOOKUP(INT(D1188),Tablas!$G$9:$O$1240,9,0)*(INT(D1188)+1-D1188))/(VLOOKUP(INT($C$5)+1,Tablas!$G$9:$O$1240,9,0)*($C$5-INT($C$5))+VLOOKUP(INT($C$5),Tablas!$G$9:$O$124,9,0)*(INT($C$5)+1-$C$5)))</f>
        <v>#N/A</v>
      </c>
      <c r="G1188" s="97" t="e">
        <f ca="1">IF($C$4="Hombre",(+VLOOKUP(INT(D1188)+1,Tablas!$G$9:$K$1240,5,0)*(D1188-INT(D1188))+VLOOKUP(INT(D1188),Tablas!$G$9:$K$1240,5,0)*(INT(D1188)+1-D1188)),+VLOOKUP(INT(D1188)+1,Tablas!$G$9:$O$1240,9,0)*(D1188-INT(D1188))+VLOOKUP(INT(D1188),Tablas!$G$9:$O$1240,9,0)*(INT(D1188)+1-D1188))</f>
        <v>#N/A</v>
      </c>
      <c r="H1188" s="105">
        <f t="shared" ca="1" si="148"/>
        <v>1</v>
      </c>
      <c r="I1188" s="106">
        <f t="shared" ca="1" si="149"/>
        <v>0</v>
      </c>
      <c r="J1188" s="106">
        <f t="shared" ca="1" si="153"/>
        <v>0</v>
      </c>
      <c r="K1188" s="105" t="e">
        <f t="shared" ca="1" si="150"/>
        <v>#N/A</v>
      </c>
      <c r="L1188" s="75"/>
    </row>
    <row r="1189" spans="2:12">
      <c r="B1189" s="101">
        <f t="shared" ca="1" si="151"/>
        <v>88452</v>
      </c>
      <c r="C1189" s="101">
        <f t="shared" ca="1" si="152"/>
        <v>88482</v>
      </c>
      <c r="D1189" s="102">
        <f t="shared" ca="1" si="147"/>
        <v>164.74469541409994</v>
      </c>
      <c r="E1189" s="103">
        <f t="shared" ca="1" si="154"/>
        <v>0.23333434583107726</v>
      </c>
      <c r="F1189" s="104" t="e">
        <f ca="1">IF($C$4="Hombre",(+VLOOKUP(INT(D1189)+1,Tablas!$G$9:$K$1240,5,0)*(D1189-INT(D1189))+VLOOKUP(INT(D1189),Tablas!$G$9:$K$1240,5,0)*(INT(D1189)+1-D1189))/(VLOOKUP(INT($C$5)+1,Tablas!$G$9:$K$1240,5,0)*($C$5-INT($C$5))+VLOOKUP(INT($C$5),Tablas!$G$9:$K$124,5,0)*(INT($C$5)+1-$C$5)),(+VLOOKUP(INT(D1189)+1,Tablas!$G$9:$O$1240,9,0)*(D1189-INT(D1189))+VLOOKUP(INT(D1189),Tablas!$G$9:$O$1240,9,0)*(INT(D1189)+1-D1189))/(VLOOKUP(INT($C$5)+1,Tablas!$G$9:$O$1240,9,0)*($C$5-INT($C$5))+VLOOKUP(INT($C$5),Tablas!$G$9:$O$124,9,0)*(INT($C$5)+1-$C$5)))</f>
        <v>#N/A</v>
      </c>
      <c r="G1189" s="97" t="e">
        <f ca="1">IF($C$4="Hombre",(+VLOOKUP(INT(D1189)+1,Tablas!$G$9:$K$1240,5,0)*(D1189-INT(D1189))+VLOOKUP(INT(D1189),Tablas!$G$9:$K$1240,5,0)*(INT(D1189)+1-D1189)),+VLOOKUP(INT(D1189)+1,Tablas!$G$9:$O$1240,9,0)*(D1189-INT(D1189))+VLOOKUP(INT(D1189),Tablas!$G$9:$O$1240,9,0)*(INT(D1189)+1-D1189))</f>
        <v>#N/A</v>
      </c>
      <c r="H1189" s="105">
        <f t="shared" ca="1" si="148"/>
        <v>1</v>
      </c>
      <c r="I1189" s="106">
        <f t="shared" ca="1" si="149"/>
        <v>0</v>
      </c>
      <c r="J1189" s="106">
        <f t="shared" ca="1" si="153"/>
        <v>0</v>
      </c>
      <c r="K1189" s="105" t="e">
        <f t="shared" ca="1" si="150"/>
        <v>#N/A</v>
      </c>
      <c r="L1189" s="75"/>
    </row>
    <row r="1190" spans="2:12">
      <c r="B1190" s="101">
        <f t="shared" ca="1" si="151"/>
        <v>88483</v>
      </c>
      <c r="C1190" s="101">
        <f t="shared" ca="1" si="152"/>
        <v>88512</v>
      </c>
      <c r="D1190" s="102">
        <f t="shared" ca="1" si="147"/>
        <v>164.82683093771391</v>
      </c>
      <c r="E1190" s="103">
        <f t="shared" ca="1" si="154"/>
        <v>0.23304917939513381</v>
      </c>
      <c r="F1190" s="104" t="e">
        <f ca="1">IF($C$4="Hombre",(+VLOOKUP(INT(D1190)+1,Tablas!$G$9:$K$1240,5,0)*(D1190-INT(D1190))+VLOOKUP(INT(D1190),Tablas!$G$9:$K$1240,5,0)*(INT(D1190)+1-D1190))/(VLOOKUP(INT($C$5)+1,Tablas!$G$9:$K$1240,5,0)*($C$5-INT($C$5))+VLOOKUP(INT($C$5),Tablas!$G$9:$K$124,5,0)*(INT($C$5)+1-$C$5)),(+VLOOKUP(INT(D1190)+1,Tablas!$G$9:$O$1240,9,0)*(D1190-INT(D1190))+VLOOKUP(INT(D1190),Tablas!$G$9:$O$1240,9,0)*(INT(D1190)+1-D1190))/(VLOOKUP(INT($C$5)+1,Tablas!$G$9:$O$1240,9,0)*($C$5-INT($C$5))+VLOOKUP(INT($C$5),Tablas!$G$9:$O$124,9,0)*(INT($C$5)+1-$C$5)))</f>
        <v>#N/A</v>
      </c>
      <c r="G1190" s="97" t="e">
        <f ca="1">IF($C$4="Hombre",(+VLOOKUP(INT(D1190)+1,Tablas!$G$9:$K$1240,5,0)*(D1190-INT(D1190))+VLOOKUP(INT(D1190),Tablas!$G$9:$K$1240,5,0)*(INT(D1190)+1-D1190)),+VLOOKUP(INT(D1190)+1,Tablas!$G$9:$O$1240,9,0)*(D1190-INT(D1190))+VLOOKUP(INT(D1190),Tablas!$G$9:$O$1240,9,0)*(INT(D1190)+1-D1190))</f>
        <v>#N/A</v>
      </c>
      <c r="H1190" s="105">
        <f t="shared" ca="1" si="148"/>
        <v>1</v>
      </c>
      <c r="I1190" s="106">
        <f t="shared" ca="1" si="149"/>
        <v>0</v>
      </c>
      <c r="J1190" s="106">
        <f t="shared" ca="1" si="153"/>
        <v>0</v>
      </c>
      <c r="K1190" s="105" t="e">
        <f t="shared" ca="1" si="150"/>
        <v>#N/A</v>
      </c>
      <c r="L1190" s="75"/>
    </row>
    <row r="1191" spans="2:12">
      <c r="B1191" s="101">
        <f t="shared" ca="1" si="151"/>
        <v>88513</v>
      </c>
      <c r="C1191" s="101">
        <f t="shared" ca="1" si="152"/>
        <v>88543</v>
      </c>
      <c r="D1191" s="102">
        <f t="shared" ca="1" si="147"/>
        <v>164.91170431211498</v>
      </c>
      <c r="E1191" s="103">
        <f t="shared" ca="1" si="154"/>
        <v>0.2327548735379153</v>
      </c>
      <c r="F1191" s="104" t="e">
        <f ca="1">IF($C$4="Hombre",(+VLOOKUP(INT(D1191)+1,Tablas!$G$9:$K$1240,5,0)*(D1191-INT(D1191))+VLOOKUP(INT(D1191),Tablas!$G$9:$K$1240,5,0)*(INT(D1191)+1-D1191))/(VLOOKUP(INT($C$5)+1,Tablas!$G$9:$K$1240,5,0)*($C$5-INT($C$5))+VLOOKUP(INT($C$5),Tablas!$G$9:$K$124,5,0)*(INT($C$5)+1-$C$5)),(+VLOOKUP(INT(D1191)+1,Tablas!$G$9:$O$1240,9,0)*(D1191-INT(D1191))+VLOOKUP(INT(D1191),Tablas!$G$9:$O$1240,9,0)*(INT(D1191)+1-D1191))/(VLOOKUP(INT($C$5)+1,Tablas!$G$9:$O$1240,9,0)*($C$5-INT($C$5))+VLOOKUP(INT($C$5),Tablas!$G$9:$O$124,9,0)*(INT($C$5)+1-$C$5)))</f>
        <v>#N/A</v>
      </c>
      <c r="G1191" s="97" t="e">
        <f ca="1">IF($C$4="Hombre",(+VLOOKUP(INT(D1191)+1,Tablas!$G$9:$K$1240,5,0)*(D1191-INT(D1191))+VLOOKUP(INT(D1191),Tablas!$G$9:$K$1240,5,0)*(INT(D1191)+1-D1191)),+VLOOKUP(INT(D1191)+1,Tablas!$G$9:$O$1240,9,0)*(D1191-INT(D1191))+VLOOKUP(INT(D1191),Tablas!$G$9:$O$1240,9,0)*(INT(D1191)+1-D1191))</f>
        <v>#N/A</v>
      </c>
      <c r="H1191" s="105">
        <f t="shared" ca="1" si="148"/>
        <v>1</v>
      </c>
      <c r="I1191" s="106">
        <f t="shared" ca="1" si="149"/>
        <v>0</v>
      </c>
      <c r="J1191" s="106">
        <f t="shared" ca="1" si="153"/>
        <v>0</v>
      </c>
      <c r="K1191" s="105" t="e">
        <f t="shared" ca="1" si="150"/>
        <v>#N/A</v>
      </c>
      <c r="L1191" s="75"/>
    </row>
    <row r="1192" spans="2:12">
      <c r="B1192" s="101">
        <f t="shared" ca="1" si="151"/>
        <v>88544</v>
      </c>
      <c r="C1192" s="101">
        <f t="shared" ca="1" si="152"/>
        <v>88573</v>
      </c>
      <c r="D1192" s="102">
        <f t="shared" ca="1" si="147"/>
        <v>164.99383983572895</v>
      </c>
      <c r="E1192" s="103">
        <f t="shared" ca="1" si="154"/>
        <v>0.23247041529624982</v>
      </c>
      <c r="F1192" s="104" t="e">
        <f ca="1">IF($C$4="Hombre",(+VLOOKUP(INT(D1192)+1,Tablas!$G$9:$K$1240,5,0)*(D1192-INT(D1192))+VLOOKUP(INT(D1192),Tablas!$G$9:$K$1240,5,0)*(INT(D1192)+1-D1192))/(VLOOKUP(INT($C$5)+1,Tablas!$G$9:$K$1240,5,0)*($C$5-INT($C$5))+VLOOKUP(INT($C$5),Tablas!$G$9:$K$124,5,0)*(INT($C$5)+1-$C$5)),(+VLOOKUP(INT(D1192)+1,Tablas!$G$9:$O$1240,9,0)*(D1192-INT(D1192))+VLOOKUP(INT(D1192),Tablas!$G$9:$O$1240,9,0)*(INT(D1192)+1-D1192))/(VLOOKUP(INT($C$5)+1,Tablas!$G$9:$O$1240,9,0)*($C$5-INT($C$5))+VLOOKUP(INT($C$5),Tablas!$G$9:$O$124,9,0)*(INT($C$5)+1-$C$5)))</f>
        <v>#N/A</v>
      </c>
      <c r="G1192" s="97" t="e">
        <f ca="1">IF($C$4="Hombre",(+VLOOKUP(INT(D1192)+1,Tablas!$G$9:$K$1240,5,0)*(D1192-INT(D1192))+VLOOKUP(INT(D1192),Tablas!$G$9:$K$1240,5,0)*(INT(D1192)+1-D1192)),+VLOOKUP(INT(D1192)+1,Tablas!$G$9:$O$1240,9,0)*(D1192-INT(D1192))+VLOOKUP(INT(D1192),Tablas!$G$9:$O$1240,9,0)*(INT(D1192)+1-D1192))</f>
        <v>#N/A</v>
      </c>
      <c r="H1192" s="105">
        <f t="shared" ca="1" si="148"/>
        <v>1</v>
      </c>
      <c r="I1192" s="106">
        <f t="shared" ca="1" si="149"/>
        <v>0</v>
      </c>
      <c r="J1192" s="106">
        <f t="shared" ca="1" si="153"/>
        <v>0</v>
      </c>
      <c r="K1192" s="105" t="e">
        <f t="shared" ca="1" si="150"/>
        <v>#N/A</v>
      </c>
      <c r="L1192" s="75"/>
    </row>
    <row r="1193" spans="2:12">
      <c r="B1193" s="101">
        <f t="shared" ca="1" si="151"/>
        <v>88574</v>
      </c>
      <c r="C1193" s="101">
        <f t="shared" ca="1" si="152"/>
        <v>88604</v>
      </c>
      <c r="D1193" s="102">
        <f t="shared" ca="1" si="147"/>
        <v>165.07871321013005</v>
      </c>
      <c r="E1193" s="103">
        <f t="shared" ca="1" si="154"/>
        <v>0.23217684033053099</v>
      </c>
      <c r="F1193" s="104" t="e">
        <f ca="1">IF($C$4="Hombre",(+VLOOKUP(INT(D1193)+1,Tablas!$G$9:$K$1240,5,0)*(D1193-INT(D1193))+VLOOKUP(INT(D1193),Tablas!$G$9:$K$1240,5,0)*(INT(D1193)+1-D1193))/(VLOOKUP(INT($C$5)+1,Tablas!$G$9:$K$1240,5,0)*($C$5-INT($C$5))+VLOOKUP(INT($C$5),Tablas!$G$9:$K$124,5,0)*(INT($C$5)+1-$C$5)),(+VLOOKUP(INT(D1193)+1,Tablas!$G$9:$O$1240,9,0)*(D1193-INT(D1193))+VLOOKUP(INT(D1193),Tablas!$G$9:$O$1240,9,0)*(INT(D1193)+1-D1193))/(VLOOKUP(INT($C$5)+1,Tablas!$G$9:$O$1240,9,0)*($C$5-INT($C$5))+VLOOKUP(INT($C$5),Tablas!$G$9:$O$124,9,0)*(INT($C$5)+1-$C$5)))</f>
        <v>#N/A</v>
      </c>
      <c r="G1193" s="97" t="e">
        <f ca="1">IF($C$4="Hombre",(+VLOOKUP(INT(D1193)+1,Tablas!$G$9:$K$1240,5,0)*(D1193-INT(D1193))+VLOOKUP(INT(D1193),Tablas!$G$9:$K$1240,5,0)*(INT(D1193)+1-D1193)),+VLOOKUP(INT(D1193)+1,Tablas!$G$9:$O$1240,9,0)*(D1193-INT(D1193))+VLOOKUP(INT(D1193),Tablas!$G$9:$O$1240,9,0)*(INT(D1193)+1-D1193))</f>
        <v>#N/A</v>
      </c>
      <c r="H1193" s="105">
        <f t="shared" ca="1" si="148"/>
        <v>1</v>
      </c>
      <c r="I1193" s="106">
        <f t="shared" ca="1" si="149"/>
        <v>0</v>
      </c>
      <c r="J1193" s="106">
        <f t="shared" ca="1" si="153"/>
        <v>0</v>
      </c>
      <c r="K1193" s="105" t="e">
        <f t="shared" ca="1" si="150"/>
        <v>#N/A</v>
      </c>
      <c r="L1193" s="75"/>
    </row>
    <row r="1194" spans="2:12">
      <c r="B1194" s="101">
        <f t="shared" ca="1" si="151"/>
        <v>88605</v>
      </c>
      <c r="C1194" s="101">
        <f t="shared" ca="1" si="152"/>
        <v>88635</v>
      </c>
      <c r="D1194" s="102">
        <f t="shared" ca="1" si="147"/>
        <v>165.16358658453115</v>
      </c>
      <c r="E1194" s="103">
        <f t="shared" ca="1" si="154"/>
        <v>0.23188363610558094</v>
      </c>
      <c r="F1194" s="104" t="e">
        <f ca="1">IF($C$4="Hombre",(+VLOOKUP(INT(D1194)+1,Tablas!$G$9:$K$1240,5,0)*(D1194-INT(D1194))+VLOOKUP(INT(D1194),Tablas!$G$9:$K$1240,5,0)*(INT(D1194)+1-D1194))/(VLOOKUP(INT($C$5)+1,Tablas!$G$9:$K$1240,5,0)*($C$5-INT($C$5))+VLOOKUP(INT($C$5),Tablas!$G$9:$K$124,5,0)*(INT($C$5)+1-$C$5)),(+VLOOKUP(INT(D1194)+1,Tablas!$G$9:$O$1240,9,0)*(D1194-INT(D1194))+VLOOKUP(INT(D1194),Tablas!$G$9:$O$1240,9,0)*(INT(D1194)+1-D1194))/(VLOOKUP(INT($C$5)+1,Tablas!$G$9:$O$1240,9,0)*($C$5-INT($C$5))+VLOOKUP(INT($C$5),Tablas!$G$9:$O$124,9,0)*(INT($C$5)+1-$C$5)))</f>
        <v>#N/A</v>
      </c>
      <c r="G1194" s="97" t="e">
        <f ca="1">IF($C$4="Hombre",(+VLOOKUP(INT(D1194)+1,Tablas!$G$9:$K$1240,5,0)*(D1194-INT(D1194))+VLOOKUP(INT(D1194),Tablas!$G$9:$K$1240,5,0)*(INT(D1194)+1-D1194)),+VLOOKUP(INT(D1194)+1,Tablas!$G$9:$O$1240,9,0)*(D1194-INT(D1194))+VLOOKUP(INT(D1194),Tablas!$G$9:$O$1240,9,0)*(INT(D1194)+1-D1194))</f>
        <v>#N/A</v>
      </c>
      <c r="H1194" s="105">
        <f t="shared" ca="1" si="148"/>
        <v>1</v>
      </c>
      <c r="I1194" s="106">
        <f t="shared" ca="1" si="149"/>
        <v>0</v>
      </c>
      <c r="J1194" s="106">
        <f t="shared" ca="1" si="153"/>
        <v>0</v>
      </c>
      <c r="K1194" s="105" t="e">
        <f t="shared" ca="1" si="150"/>
        <v>#N/A</v>
      </c>
      <c r="L1194" s="75"/>
    </row>
    <row r="1195" spans="2:12">
      <c r="B1195" s="101">
        <f t="shared" ca="1" si="151"/>
        <v>88636</v>
      </c>
      <c r="C1195" s="101">
        <f t="shared" ca="1" si="152"/>
        <v>88665</v>
      </c>
      <c r="D1195" s="102">
        <f t="shared" ca="1" si="147"/>
        <v>165.24572210814512</v>
      </c>
      <c r="E1195" s="103">
        <f t="shared" ca="1" si="154"/>
        <v>0.23160024263503839</v>
      </c>
      <c r="F1195" s="104" t="e">
        <f ca="1">IF($C$4="Hombre",(+VLOOKUP(INT(D1195)+1,Tablas!$G$9:$K$1240,5,0)*(D1195-INT(D1195))+VLOOKUP(INT(D1195),Tablas!$G$9:$K$1240,5,0)*(INT(D1195)+1-D1195))/(VLOOKUP(INT($C$5)+1,Tablas!$G$9:$K$1240,5,0)*($C$5-INT($C$5))+VLOOKUP(INT($C$5),Tablas!$G$9:$K$124,5,0)*(INT($C$5)+1-$C$5)),(+VLOOKUP(INT(D1195)+1,Tablas!$G$9:$O$1240,9,0)*(D1195-INT(D1195))+VLOOKUP(INT(D1195),Tablas!$G$9:$O$1240,9,0)*(INT(D1195)+1-D1195))/(VLOOKUP(INT($C$5)+1,Tablas!$G$9:$O$1240,9,0)*($C$5-INT($C$5))+VLOOKUP(INT($C$5),Tablas!$G$9:$O$124,9,0)*(INT($C$5)+1-$C$5)))</f>
        <v>#N/A</v>
      </c>
      <c r="G1195" s="97" t="e">
        <f ca="1">IF($C$4="Hombre",(+VLOOKUP(INT(D1195)+1,Tablas!$G$9:$K$1240,5,0)*(D1195-INT(D1195))+VLOOKUP(INT(D1195),Tablas!$G$9:$K$1240,5,0)*(INT(D1195)+1-D1195)),+VLOOKUP(INT(D1195)+1,Tablas!$G$9:$O$1240,9,0)*(D1195-INT(D1195))+VLOOKUP(INT(D1195),Tablas!$G$9:$O$1240,9,0)*(INT(D1195)+1-D1195))</f>
        <v>#N/A</v>
      </c>
      <c r="H1195" s="105">
        <f t="shared" ca="1" si="148"/>
        <v>1</v>
      </c>
      <c r="I1195" s="106">
        <f t="shared" ca="1" si="149"/>
        <v>0</v>
      </c>
      <c r="J1195" s="106">
        <f t="shared" ca="1" si="153"/>
        <v>0</v>
      </c>
      <c r="K1195" s="105" t="e">
        <f t="shared" ca="1" si="150"/>
        <v>#N/A</v>
      </c>
      <c r="L1195" s="75"/>
    </row>
    <row r="1196" spans="2:12">
      <c r="B1196" s="101">
        <f t="shared" ca="1" si="151"/>
        <v>88666</v>
      </c>
      <c r="C1196" s="101">
        <f t="shared" ca="1" si="152"/>
        <v>88696</v>
      </c>
      <c r="D1196" s="102">
        <f t="shared" ca="1" si="147"/>
        <v>165.33059548254622</v>
      </c>
      <c r="E1196" s="103">
        <f t="shared" ca="1" si="154"/>
        <v>0.23130776656574847</v>
      </c>
      <c r="F1196" s="104" t="e">
        <f ca="1">IF($C$4="Hombre",(+VLOOKUP(INT(D1196)+1,Tablas!$G$9:$K$1240,5,0)*(D1196-INT(D1196))+VLOOKUP(INT(D1196),Tablas!$G$9:$K$1240,5,0)*(INT(D1196)+1-D1196))/(VLOOKUP(INT($C$5)+1,Tablas!$G$9:$K$1240,5,0)*($C$5-INT($C$5))+VLOOKUP(INT($C$5),Tablas!$G$9:$K$124,5,0)*(INT($C$5)+1-$C$5)),(+VLOOKUP(INT(D1196)+1,Tablas!$G$9:$O$1240,9,0)*(D1196-INT(D1196))+VLOOKUP(INT(D1196),Tablas!$G$9:$O$1240,9,0)*(INT(D1196)+1-D1196))/(VLOOKUP(INT($C$5)+1,Tablas!$G$9:$O$1240,9,0)*($C$5-INT($C$5))+VLOOKUP(INT($C$5),Tablas!$G$9:$O$124,9,0)*(INT($C$5)+1-$C$5)))</f>
        <v>#N/A</v>
      </c>
      <c r="G1196" s="97" t="e">
        <f ca="1">IF($C$4="Hombre",(+VLOOKUP(INT(D1196)+1,Tablas!$G$9:$K$1240,5,0)*(D1196-INT(D1196))+VLOOKUP(INT(D1196),Tablas!$G$9:$K$1240,5,0)*(INT(D1196)+1-D1196)),+VLOOKUP(INT(D1196)+1,Tablas!$G$9:$O$1240,9,0)*(D1196-INT(D1196))+VLOOKUP(INT(D1196),Tablas!$G$9:$O$1240,9,0)*(INT(D1196)+1-D1196))</f>
        <v>#N/A</v>
      </c>
      <c r="H1196" s="105">
        <f t="shared" ca="1" si="148"/>
        <v>1</v>
      </c>
      <c r="I1196" s="106">
        <f t="shared" ca="1" si="149"/>
        <v>0</v>
      </c>
      <c r="J1196" s="106">
        <f t="shared" ca="1" si="153"/>
        <v>0</v>
      </c>
      <c r="K1196" s="105" t="e">
        <f t="shared" ca="1" si="150"/>
        <v>#N/A</v>
      </c>
      <c r="L1196" s="75"/>
    </row>
    <row r="1197" spans="2:12">
      <c r="B1197" s="101">
        <f t="shared" ca="1" si="151"/>
        <v>88697</v>
      </c>
      <c r="C1197" s="101">
        <f t="shared" ca="1" si="152"/>
        <v>88726</v>
      </c>
      <c r="D1197" s="102">
        <f t="shared" ca="1" si="147"/>
        <v>165.41273100616016</v>
      </c>
      <c r="E1197" s="103">
        <f t="shared" ca="1" si="154"/>
        <v>0.23102507688642743</v>
      </c>
      <c r="F1197" s="104" t="e">
        <f ca="1">IF($C$4="Hombre",(+VLOOKUP(INT(D1197)+1,Tablas!$G$9:$K$1240,5,0)*(D1197-INT(D1197))+VLOOKUP(INT(D1197),Tablas!$G$9:$K$1240,5,0)*(INT(D1197)+1-D1197))/(VLOOKUP(INT($C$5)+1,Tablas!$G$9:$K$1240,5,0)*($C$5-INT($C$5))+VLOOKUP(INT($C$5),Tablas!$G$9:$K$124,5,0)*(INT($C$5)+1-$C$5)),(+VLOOKUP(INT(D1197)+1,Tablas!$G$9:$O$1240,9,0)*(D1197-INT(D1197))+VLOOKUP(INT(D1197),Tablas!$G$9:$O$1240,9,0)*(INT(D1197)+1-D1197))/(VLOOKUP(INT($C$5)+1,Tablas!$G$9:$O$1240,9,0)*($C$5-INT($C$5))+VLOOKUP(INT($C$5),Tablas!$G$9:$O$124,9,0)*(INT($C$5)+1-$C$5)))</f>
        <v>#N/A</v>
      </c>
      <c r="G1197" s="97" t="e">
        <f ca="1">IF($C$4="Hombre",(+VLOOKUP(INT(D1197)+1,Tablas!$G$9:$K$1240,5,0)*(D1197-INT(D1197))+VLOOKUP(INT(D1197),Tablas!$G$9:$K$1240,5,0)*(INT(D1197)+1-D1197)),+VLOOKUP(INT(D1197)+1,Tablas!$G$9:$O$1240,9,0)*(D1197-INT(D1197))+VLOOKUP(INT(D1197),Tablas!$G$9:$O$1240,9,0)*(INT(D1197)+1-D1197))</f>
        <v>#N/A</v>
      </c>
      <c r="H1197" s="105">
        <f t="shared" ca="1" si="148"/>
        <v>1</v>
      </c>
      <c r="I1197" s="106">
        <f t="shared" ca="1" si="149"/>
        <v>0</v>
      </c>
      <c r="J1197" s="106">
        <f t="shared" ca="1" si="153"/>
        <v>0</v>
      </c>
      <c r="K1197" s="105" t="e">
        <f t="shared" ca="1" si="150"/>
        <v>#N/A</v>
      </c>
      <c r="L1197" s="75"/>
    </row>
    <row r="1198" spans="2:12">
      <c r="B1198" s="101">
        <f t="shared" ca="1" si="151"/>
        <v>88727</v>
      </c>
      <c r="C1198" s="101">
        <f t="shared" ca="1" si="152"/>
        <v>88757</v>
      </c>
      <c r="D1198" s="102">
        <f t="shared" ca="1" si="147"/>
        <v>165.49760438056126</v>
      </c>
      <c r="E1198" s="103">
        <f t="shared" ca="1" si="154"/>
        <v>0.23073332716446521</v>
      </c>
      <c r="F1198" s="104" t="e">
        <f ca="1">IF($C$4="Hombre",(+VLOOKUP(INT(D1198)+1,Tablas!$G$9:$K$1240,5,0)*(D1198-INT(D1198))+VLOOKUP(INT(D1198),Tablas!$G$9:$K$1240,5,0)*(INT(D1198)+1-D1198))/(VLOOKUP(INT($C$5)+1,Tablas!$G$9:$K$1240,5,0)*($C$5-INT($C$5))+VLOOKUP(INT($C$5),Tablas!$G$9:$K$124,5,0)*(INT($C$5)+1-$C$5)),(+VLOOKUP(INT(D1198)+1,Tablas!$G$9:$O$1240,9,0)*(D1198-INT(D1198))+VLOOKUP(INT(D1198),Tablas!$G$9:$O$1240,9,0)*(INT(D1198)+1-D1198))/(VLOOKUP(INT($C$5)+1,Tablas!$G$9:$O$1240,9,0)*($C$5-INT($C$5))+VLOOKUP(INT($C$5),Tablas!$G$9:$O$124,9,0)*(INT($C$5)+1-$C$5)))</f>
        <v>#N/A</v>
      </c>
      <c r="G1198" s="97" t="e">
        <f ca="1">IF($C$4="Hombre",(+VLOOKUP(INT(D1198)+1,Tablas!$G$9:$K$1240,5,0)*(D1198-INT(D1198))+VLOOKUP(INT(D1198),Tablas!$G$9:$K$1240,5,0)*(INT(D1198)+1-D1198)),+VLOOKUP(INT(D1198)+1,Tablas!$G$9:$O$1240,9,0)*(D1198-INT(D1198))+VLOOKUP(INT(D1198),Tablas!$G$9:$O$1240,9,0)*(INT(D1198)+1-D1198))</f>
        <v>#N/A</v>
      </c>
      <c r="H1198" s="105">
        <f t="shared" ca="1" si="148"/>
        <v>1</v>
      </c>
      <c r="I1198" s="106">
        <f t="shared" ca="1" si="149"/>
        <v>0</v>
      </c>
      <c r="J1198" s="106">
        <f t="shared" ca="1" si="153"/>
        <v>0</v>
      </c>
      <c r="K1198" s="105" t="e">
        <f t="shared" ca="1" si="150"/>
        <v>#N/A</v>
      </c>
      <c r="L1198" s="75"/>
    </row>
    <row r="1199" spans="2:12">
      <c r="B1199" s="101">
        <f t="shared" ca="1" si="151"/>
        <v>88758</v>
      </c>
      <c r="C1199" s="101">
        <f t="shared" ca="1" si="152"/>
        <v>88788</v>
      </c>
      <c r="D1199" s="102">
        <f t="shared" ca="1" si="147"/>
        <v>165.58247775496235</v>
      </c>
      <c r="E1199" s="103">
        <f t="shared" ca="1" si="154"/>
        <v>0.23044194587826503</v>
      </c>
      <c r="F1199" s="104" t="e">
        <f ca="1">IF($C$4="Hombre",(+VLOOKUP(INT(D1199)+1,Tablas!$G$9:$K$1240,5,0)*(D1199-INT(D1199))+VLOOKUP(INT(D1199),Tablas!$G$9:$K$1240,5,0)*(INT(D1199)+1-D1199))/(VLOOKUP(INT($C$5)+1,Tablas!$G$9:$K$1240,5,0)*($C$5-INT($C$5))+VLOOKUP(INT($C$5),Tablas!$G$9:$K$124,5,0)*(INT($C$5)+1-$C$5)),(+VLOOKUP(INT(D1199)+1,Tablas!$G$9:$O$1240,9,0)*(D1199-INT(D1199))+VLOOKUP(INT(D1199),Tablas!$G$9:$O$1240,9,0)*(INT(D1199)+1-D1199))/(VLOOKUP(INT($C$5)+1,Tablas!$G$9:$O$1240,9,0)*($C$5-INT($C$5))+VLOOKUP(INT($C$5),Tablas!$G$9:$O$124,9,0)*(INT($C$5)+1-$C$5)))</f>
        <v>#N/A</v>
      </c>
      <c r="G1199" s="97" t="e">
        <f ca="1">IF($C$4="Hombre",(+VLOOKUP(INT(D1199)+1,Tablas!$G$9:$K$1240,5,0)*(D1199-INT(D1199))+VLOOKUP(INT(D1199),Tablas!$G$9:$K$1240,5,0)*(INT(D1199)+1-D1199)),+VLOOKUP(INT(D1199)+1,Tablas!$G$9:$O$1240,9,0)*(D1199-INT(D1199))+VLOOKUP(INT(D1199),Tablas!$G$9:$O$1240,9,0)*(INT(D1199)+1-D1199))</f>
        <v>#N/A</v>
      </c>
      <c r="H1199" s="105">
        <f t="shared" ca="1" si="148"/>
        <v>1</v>
      </c>
      <c r="I1199" s="106">
        <f t="shared" ca="1" si="149"/>
        <v>0</v>
      </c>
      <c r="J1199" s="106">
        <f t="shared" ca="1" si="153"/>
        <v>0</v>
      </c>
      <c r="K1199" s="105" t="e">
        <f t="shared" ca="1" si="150"/>
        <v>#N/A</v>
      </c>
      <c r="L1199" s="75"/>
    </row>
    <row r="1200" spans="2:12">
      <c r="B1200" s="101">
        <f t="shared" ca="1" si="151"/>
        <v>88789</v>
      </c>
      <c r="C1200" s="101">
        <f t="shared" ca="1" si="152"/>
        <v>88816</v>
      </c>
      <c r="D1200" s="102">
        <f t="shared" ca="1" si="147"/>
        <v>165.65913757700204</v>
      </c>
      <c r="E1200" s="103">
        <f t="shared" ca="1" si="154"/>
        <v>0.23017907907242091</v>
      </c>
      <c r="F1200" s="104" t="e">
        <f ca="1">IF($C$4="Hombre",(+VLOOKUP(INT(D1200)+1,Tablas!$G$9:$K$1240,5,0)*(D1200-INT(D1200))+VLOOKUP(INT(D1200),Tablas!$G$9:$K$1240,5,0)*(INT(D1200)+1-D1200))/(VLOOKUP(INT($C$5)+1,Tablas!$G$9:$K$1240,5,0)*($C$5-INT($C$5))+VLOOKUP(INT($C$5),Tablas!$G$9:$K$124,5,0)*(INT($C$5)+1-$C$5)),(+VLOOKUP(INT(D1200)+1,Tablas!$G$9:$O$1240,9,0)*(D1200-INT(D1200))+VLOOKUP(INT(D1200),Tablas!$G$9:$O$1240,9,0)*(INT(D1200)+1-D1200))/(VLOOKUP(INT($C$5)+1,Tablas!$G$9:$O$1240,9,0)*($C$5-INT($C$5))+VLOOKUP(INT($C$5),Tablas!$G$9:$O$124,9,0)*(INT($C$5)+1-$C$5)))</f>
        <v>#N/A</v>
      </c>
      <c r="G1200" s="97" t="e">
        <f ca="1">IF($C$4="Hombre",(+VLOOKUP(INT(D1200)+1,Tablas!$G$9:$K$1240,5,0)*(D1200-INT(D1200))+VLOOKUP(INT(D1200),Tablas!$G$9:$K$1240,5,0)*(INT(D1200)+1-D1200)),+VLOOKUP(INT(D1200)+1,Tablas!$G$9:$O$1240,9,0)*(D1200-INT(D1200))+VLOOKUP(INT(D1200),Tablas!$G$9:$O$1240,9,0)*(INT(D1200)+1-D1200))</f>
        <v>#N/A</v>
      </c>
      <c r="H1200" s="105">
        <f t="shared" ca="1" si="148"/>
        <v>1</v>
      </c>
      <c r="I1200" s="106">
        <f t="shared" ca="1" si="149"/>
        <v>0</v>
      </c>
      <c r="J1200" s="106">
        <f t="shared" ca="1" si="153"/>
        <v>0</v>
      </c>
      <c r="K1200" s="105" t="e">
        <f t="shared" ca="1" si="150"/>
        <v>#N/A</v>
      </c>
      <c r="L1200" s="75"/>
    </row>
    <row r="1201" spans="2:12">
      <c r="B1201" s="101">
        <f t="shared" ca="1" si="151"/>
        <v>88817</v>
      </c>
      <c r="C1201" s="101">
        <f t="shared" ca="1" si="152"/>
        <v>88847</v>
      </c>
      <c r="D1201" s="102">
        <f t="shared" ca="1" si="147"/>
        <v>165.74401095140314</v>
      </c>
      <c r="E1201" s="103">
        <f t="shared" ca="1" si="154"/>
        <v>0.22988839771771272</v>
      </c>
      <c r="F1201" s="104" t="e">
        <f ca="1">IF($C$4="Hombre",(+VLOOKUP(INT(D1201)+1,Tablas!$G$9:$K$1240,5,0)*(D1201-INT(D1201))+VLOOKUP(INT(D1201),Tablas!$G$9:$K$1240,5,0)*(INT(D1201)+1-D1201))/(VLOOKUP(INT($C$5)+1,Tablas!$G$9:$K$1240,5,0)*($C$5-INT($C$5))+VLOOKUP(INT($C$5),Tablas!$G$9:$K$124,5,0)*(INT($C$5)+1-$C$5)),(+VLOOKUP(INT(D1201)+1,Tablas!$G$9:$O$1240,9,0)*(D1201-INT(D1201))+VLOOKUP(INT(D1201),Tablas!$G$9:$O$1240,9,0)*(INT(D1201)+1-D1201))/(VLOOKUP(INT($C$5)+1,Tablas!$G$9:$O$1240,9,0)*($C$5-INT($C$5))+VLOOKUP(INT($C$5),Tablas!$G$9:$O$124,9,0)*(INT($C$5)+1-$C$5)))</f>
        <v>#N/A</v>
      </c>
      <c r="G1201" s="97" t="e">
        <f ca="1">IF($C$4="Hombre",(+VLOOKUP(INT(D1201)+1,Tablas!$G$9:$K$1240,5,0)*(D1201-INT(D1201))+VLOOKUP(INT(D1201),Tablas!$G$9:$K$1240,5,0)*(INT(D1201)+1-D1201)),+VLOOKUP(INT(D1201)+1,Tablas!$G$9:$O$1240,9,0)*(D1201-INT(D1201))+VLOOKUP(INT(D1201),Tablas!$G$9:$O$1240,9,0)*(INT(D1201)+1-D1201))</f>
        <v>#N/A</v>
      </c>
      <c r="H1201" s="105">
        <f t="shared" ca="1" si="148"/>
        <v>1</v>
      </c>
      <c r="I1201" s="106">
        <f t="shared" ca="1" si="149"/>
        <v>0</v>
      </c>
      <c r="J1201" s="106">
        <f t="shared" ca="1" si="153"/>
        <v>0</v>
      </c>
      <c r="K1201" s="105" t="e">
        <f t="shared" ca="1" si="150"/>
        <v>#N/A</v>
      </c>
      <c r="L1201" s="75"/>
    </row>
    <row r="1202" spans="2:12">
      <c r="B1202" s="101">
        <f t="shared" ca="1" si="151"/>
        <v>88848</v>
      </c>
      <c r="C1202" s="101">
        <f t="shared" ca="1" si="152"/>
        <v>88877</v>
      </c>
      <c r="D1202" s="102">
        <f t="shared" ca="1" si="147"/>
        <v>165.82614647501711</v>
      </c>
      <c r="E1202" s="103">
        <f t="shared" ca="1" si="154"/>
        <v>0.22960744270096017</v>
      </c>
      <c r="F1202" s="104" t="e">
        <f ca="1">IF($C$4="Hombre",(+VLOOKUP(INT(D1202)+1,Tablas!$G$9:$K$1240,5,0)*(D1202-INT(D1202))+VLOOKUP(INT(D1202),Tablas!$G$9:$K$1240,5,0)*(INT(D1202)+1-D1202))/(VLOOKUP(INT($C$5)+1,Tablas!$G$9:$K$1240,5,0)*($C$5-INT($C$5))+VLOOKUP(INT($C$5),Tablas!$G$9:$K$124,5,0)*(INT($C$5)+1-$C$5)),(+VLOOKUP(INT(D1202)+1,Tablas!$G$9:$O$1240,9,0)*(D1202-INT(D1202))+VLOOKUP(INT(D1202),Tablas!$G$9:$O$1240,9,0)*(INT(D1202)+1-D1202))/(VLOOKUP(INT($C$5)+1,Tablas!$G$9:$O$1240,9,0)*($C$5-INT($C$5))+VLOOKUP(INT($C$5),Tablas!$G$9:$O$124,9,0)*(INT($C$5)+1-$C$5)))</f>
        <v>#N/A</v>
      </c>
      <c r="G1202" s="97" t="e">
        <f ca="1">IF($C$4="Hombre",(+VLOOKUP(INT(D1202)+1,Tablas!$G$9:$K$1240,5,0)*(D1202-INT(D1202))+VLOOKUP(INT(D1202),Tablas!$G$9:$K$1240,5,0)*(INT(D1202)+1-D1202)),+VLOOKUP(INT(D1202)+1,Tablas!$G$9:$O$1240,9,0)*(D1202-INT(D1202))+VLOOKUP(INT(D1202),Tablas!$G$9:$O$1240,9,0)*(INT(D1202)+1-D1202))</f>
        <v>#N/A</v>
      </c>
      <c r="H1202" s="105">
        <f t="shared" ca="1" si="148"/>
        <v>1</v>
      </c>
      <c r="I1202" s="106">
        <f t="shared" ca="1" si="149"/>
        <v>0</v>
      </c>
      <c r="J1202" s="106">
        <f t="shared" ca="1" si="153"/>
        <v>0</v>
      </c>
      <c r="K1202" s="105" t="e">
        <f t="shared" ca="1" si="150"/>
        <v>#N/A</v>
      </c>
      <c r="L1202" s="75"/>
    </row>
    <row r="1203" spans="2:12">
      <c r="B1203" s="101">
        <f t="shared" ca="1" si="151"/>
        <v>88878</v>
      </c>
      <c r="C1203" s="101">
        <f t="shared" ca="1" si="152"/>
        <v>88908</v>
      </c>
      <c r="D1203" s="102">
        <f t="shared" ca="1" si="147"/>
        <v>165.91101984941821</v>
      </c>
      <c r="E1203" s="103">
        <f t="shared" ca="1" si="154"/>
        <v>0.22931748323651041</v>
      </c>
      <c r="F1203" s="104" t="e">
        <f ca="1">IF($C$4="Hombre",(+VLOOKUP(INT(D1203)+1,Tablas!$G$9:$K$1240,5,0)*(D1203-INT(D1203))+VLOOKUP(INT(D1203),Tablas!$G$9:$K$1240,5,0)*(INT(D1203)+1-D1203))/(VLOOKUP(INT($C$5)+1,Tablas!$G$9:$K$1240,5,0)*($C$5-INT($C$5))+VLOOKUP(INT($C$5),Tablas!$G$9:$K$124,5,0)*(INT($C$5)+1-$C$5)),(+VLOOKUP(INT(D1203)+1,Tablas!$G$9:$O$1240,9,0)*(D1203-INT(D1203))+VLOOKUP(INT(D1203),Tablas!$G$9:$O$1240,9,0)*(INT(D1203)+1-D1203))/(VLOOKUP(INT($C$5)+1,Tablas!$G$9:$O$1240,9,0)*($C$5-INT($C$5))+VLOOKUP(INT($C$5),Tablas!$G$9:$O$124,9,0)*(INT($C$5)+1-$C$5)))</f>
        <v>#N/A</v>
      </c>
      <c r="G1203" s="97" t="e">
        <f ca="1">IF($C$4="Hombre",(+VLOOKUP(INT(D1203)+1,Tablas!$G$9:$K$1240,5,0)*(D1203-INT(D1203))+VLOOKUP(INT(D1203),Tablas!$G$9:$K$1240,5,0)*(INT(D1203)+1-D1203)),+VLOOKUP(INT(D1203)+1,Tablas!$G$9:$O$1240,9,0)*(D1203-INT(D1203))+VLOOKUP(INT(D1203),Tablas!$G$9:$O$1240,9,0)*(INT(D1203)+1-D1203))</f>
        <v>#N/A</v>
      </c>
      <c r="H1203" s="105">
        <f t="shared" ca="1" si="148"/>
        <v>1</v>
      </c>
      <c r="I1203" s="106">
        <f t="shared" ca="1" si="149"/>
        <v>0</v>
      </c>
      <c r="J1203" s="106">
        <f t="shared" ca="1" si="153"/>
        <v>0</v>
      </c>
      <c r="K1203" s="105" t="e">
        <f t="shared" ca="1" si="150"/>
        <v>#N/A</v>
      </c>
      <c r="L1203" s="75"/>
    </row>
    <row r="1204" spans="2:12">
      <c r="B1204" s="101">
        <f t="shared" ca="1" si="151"/>
        <v>88909</v>
      </c>
      <c r="C1204" s="101">
        <f t="shared" ca="1" si="152"/>
        <v>88938</v>
      </c>
      <c r="D1204" s="102">
        <f t="shared" ca="1" si="147"/>
        <v>165.99315537303218</v>
      </c>
      <c r="E1204" s="103">
        <f t="shared" ca="1" si="154"/>
        <v>0.22903722595522089</v>
      </c>
      <c r="F1204" s="104" t="e">
        <f ca="1">IF($C$4="Hombre",(+VLOOKUP(INT(D1204)+1,Tablas!$G$9:$K$1240,5,0)*(D1204-INT(D1204))+VLOOKUP(INT(D1204),Tablas!$G$9:$K$1240,5,0)*(INT(D1204)+1-D1204))/(VLOOKUP(INT($C$5)+1,Tablas!$G$9:$K$1240,5,0)*($C$5-INT($C$5))+VLOOKUP(INT($C$5),Tablas!$G$9:$K$124,5,0)*(INT($C$5)+1-$C$5)),(+VLOOKUP(INT(D1204)+1,Tablas!$G$9:$O$1240,9,0)*(D1204-INT(D1204))+VLOOKUP(INT(D1204),Tablas!$G$9:$O$1240,9,0)*(INT(D1204)+1-D1204))/(VLOOKUP(INT($C$5)+1,Tablas!$G$9:$O$1240,9,0)*($C$5-INT($C$5))+VLOOKUP(INT($C$5),Tablas!$G$9:$O$124,9,0)*(INT($C$5)+1-$C$5)))</f>
        <v>#N/A</v>
      </c>
      <c r="G1204" s="97" t="e">
        <f ca="1">IF($C$4="Hombre",(+VLOOKUP(INT(D1204)+1,Tablas!$G$9:$K$1240,5,0)*(D1204-INT(D1204))+VLOOKUP(INT(D1204),Tablas!$G$9:$K$1240,5,0)*(INT(D1204)+1-D1204)),+VLOOKUP(INT(D1204)+1,Tablas!$G$9:$O$1240,9,0)*(D1204-INT(D1204))+VLOOKUP(INT(D1204),Tablas!$G$9:$O$1240,9,0)*(INT(D1204)+1-D1204))</f>
        <v>#N/A</v>
      </c>
      <c r="H1204" s="105">
        <f t="shared" ca="1" si="148"/>
        <v>1</v>
      </c>
      <c r="I1204" s="106">
        <f t="shared" ca="1" si="149"/>
        <v>0</v>
      </c>
      <c r="J1204" s="106">
        <f t="shared" ca="1" si="153"/>
        <v>0</v>
      </c>
      <c r="K1204" s="105" t="e">
        <f t="shared" ca="1" si="150"/>
        <v>#N/A</v>
      </c>
      <c r="L1204" s="75"/>
    </row>
    <row r="1205" spans="2:12">
      <c r="B1205" s="101">
        <f t="shared" ca="1" si="151"/>
        <v>88939</v>
      </c>
      <c r="C1205" s="101">
        <f t="shared" ca="1" si="152"/>
        <v>88969</v>
      </c>
      <c r="D1205" s="102">
        <f t="shared" ca="1" si="147"/>
        <v>166.07802874743325</v>
      </c>
      <c r="E1205" s="103">
        <f t="shared" ca="1" si="154"/>
        <v>0.22874798658825707</v>
      </c>
      <c r="F1205" s="104" t="e">
        <f ca="1">IF($C$4="Hombre",(+VLOOKUP(INT(D1205)+1,Tablas!$G$9:$K$1240,5,0)*(D1205-INT(D1205))+VLOOKUP(INT(D1205),Tablas!$G$9:$K$1240,5,0)*(INT(D1205)+1-D1205))/(VLOOKUP(INT($C$5)+1,Tablas!$G$9:$K$1240,5,0)*($C$5-INT($C$5))+VLOOKUP(INT($C$5),Tablas!$G$9:$K$124,5,0)*(INT($C$5)+1-$C$5)),(+VLOOKUP(INT(D1205)+1,Tablas!$G$9:$O$1240,9,0)*(D1205-INT(D1205))+VLOOKUP(INT(D1205),Tablas!$G$9:$O$1240,9,0)*(INT(D1205)+1-D1205))/(VLOOKUP(INT($C$5)+1,Tablas!$G$9:$O$1240,9,0)*($C$5-INT($C$5))+VLOOKUP(INT($C$5),Tablas!$G$9:$O$124,9,0)*(INT($C$5)+1-$C$5)))</f>
        <v>#N/A</v>
      </c>
      <c r="G1205" s="97" t="e">
        <f ca="1">IF($C$4="Hombre",(+VLOOKUP(INT(D1205)+1,Tablas!$G$9:$K$1240,5,0)*(D1205-INT(D1205))+VLOOKUP(INT(D1205),Tablas!$G$9:$K$1240,5,0)*(INT(D1205)+1-D1205)),+VLOOKUP(INT(D1205)+1,Tablas!$G$9:$O$1240,9,0)*(D1205-INT(D1205))+VLOOKUP(INT(D1205),Tablas!$G$9:$O$1240,9,0)*(INT(D1205)+1-D1205))</f>
        <v>#N/A</v>
      </c>
      <c r="H1205" s="105">
        <f t="shared" ca="1" si="148"/>
        <v>1</v>
      </c>
      <c r="I1205" s="106">
        <f t="shared" ca="1" si="149"/>
        <v>0</v>
      </c>
      <c r="J1205" s="106">
        <f t="shared" ca="1" si="153"/>
        <v>0</v>
      </c>
      <c r="K1205" s="105" t="e">
        <f t="shared" ca="1" si="150"/>
        <v>#N/A</v>
      </c>
      <c r="L1205" s="75"/>
    </row>
    <row r="1206" spans="2:12">
      <c r="B1206" s="101">
        <f t="shared" ca="1" si="151"/>
        <v>88970</v>
      </c>
      <c r="C1206" s="101">
        <f t="shared" ca="1" si="152"/>
        <v>89000</v>
      </c>
      <c r="D1206" s="102">
        <f t="shared" ca="1" si="147"/>
        <v>166.16290212183435</v>
      </c>
      <c r="E1206" s="103">
        <f t="shared" ca="1" si="154"/>
        <v>0.22845911248685652</v>
      </c>
      <c r="F1206" s="104" t="e">
        <f ca="1">IF($C$4="Hombre",(+VLOOKUP(INT(D1206)+1,Tablas!$G$9:$K$1240,5,0)*(D1206-INT(D1206))+VLOOKUP(INT(D1206),Tablas!$G$9:$K$1240,5,0)*(INT(D1206)+1-D1206))/(VLOOKUP(INT($C$5)+1,Tablas!$G$9:$K$1240,5,0)*($C$5-INT($C$5))+VLOOKUP(INT($C$5),Tablas!$G$9:$K$124,5,0)*(INT($C$5)+1-$C$5)),(+VLOOKUP(INT(D1206)+1,Tablas!$G$9:$O$1240,9,0)*(D1206-INT(D1206))+VLOOKUP(INT(D1206),Tablas!$G$9:$O$1240,9,0)*(INT(D1206)+1-D1206))/(VLOOKUP(INT($C$5)+1,Tablas!$G$9:$O$1240,9,0)*($C$5-INT($C$5))+VLOOKUP(INT($C$5),Tablas!$G$9:$O$124,9,0)*(INT($C$5)+1-$C$5)))</f>
        <v>#N/A</v>
      </c>
      <c r="G1206" s="97" t="e">
        <f ca="1">IF($C$4="Hombre",(+VLOOKUP(INT(D1206)+1,Tablas!$G$9:$K$1240,5,0)*(D1206-INT(D1206))+VLOOKUP(INT(D1206),Tablas!$G$9:$K$1240,5,0)*(INT(D1206)+1-D1206)),+VLOOKUP(INT(D1206)+1,Tablas!$G$9:$O$1240,9,0)*(D1206-INT(D1206))+VLOOKUP(INT(D1206),Tablas!$G$9:$O$1240,9,0)*(INT(D1206)+1-D1206))</f>
        <v>#N/A</v>
      </c>
      <c r="H1206" s="105">
        <f t="shared" ca="1" si="148"/>
        <v>1</v>
      </c>
      <c r="I1206" s="106">
        <f t="shared" ca="1" si="149"/>
        <v>0</v>
      </c>
      <c r="J1206" s="106">
        <f t="shared" ca="1" si="153"/>
        <v>0</v>
      </c>
      <c r="K1206" s="105" t="e">
        <f t="shared" ca="1" si="150"/>
        <v>#N/A</v>
      </c>
      <c r="L1206" s="75"/>
    </row>
    <row r="1207" spans="2:12">
      <c r="B1207" s="101">
        <f t="shared" ca="1" si="151"/>
        <v>89001</v>
      </c>
      <c r="C1207" s="101">
        <f t="shared" ca="1" si="152"/>
        <v>89030</v>
      </c>
      <c r="D1207" s="102">
        <f t="shared" ca="1" si="147"/>
        <v>166.24503764544832</v>
      </c>
      <c r="E1207" s="103">
        <f t="shared" ca="1" si="154"/>
        <v>0.22817990425184664</v>
      </c>
      <c r="F1207" s="104" t="e">
        <f ca="1">IF($C$4="Hombre",(+VLOOKUP(INT(D1207)+1,Tablas!$G$9:$K$1240,5,0)*(D1207-INT(D1207))+VLOOKUP(INT(D1207),Tablas!$G$9:$K$1240,5,0)*(INT(D1207)+1-D1207))/(VLOOKUP(INT($C$5)+1,Tablas!$G$9:$K$1240,5,0)*($C$5-INT($C$5))+VLOOKUP(INT($C$5),Tablas!$G$9:$K$124,5,0)*(INT($C$5)+1-$C$5)),(+VLOOKUP(INT(D1207)+1,Tablas!$G$9:$O$1240,9,0)*(D1207-INT(D1207))+VLOOKUP(INT(D1207),Tablas!$G$9:$O$1240,9,0)*(INT(D1207)+1-D1207))/(VLOOKUP(INT($C$5)+1,Tablas!$G$9:$O$1240,9,0)*($C$5-INT($C$5))+VLOOKUP(INT($C$5),Tablas!$G$9:$O$124,9,0)*(INT($C$5)+1-$C$5)))</f>
        <v>#N/A</v>
      </c>
      <c r="G1207" s="97" t="e">
        <f ca="1">IF($C$4="Hombre",(+VLOOKUP(INT(D1207)+1,Tablas!$G$9:$K$1240,5,0)*(D1207-INT(D1207))+VLOOKUP(INT(D1207),Tablas!$G$9:$K$1240,5,0)*(INT(D1207)+1-D1207)),+VLOOKUP(INT(D1207)+1,Tablas!$G$9:$O$1240,9,0)*(D1207-INT(D1207))+VLOOKUP(INT(D1207),Tablas!$G$9:$O$1240,9,0)*(INT(D1207)+1-D1207))</f>
        <v>#N/A</v>
      </c>
      <c r="H1207" s="105">
        <f t="shared" ca="1" si="148"/>
        <v>1</v>
      </c>
      <c r="I1207" s="106">
        <f t="shared" ca="1" si="149"/>
        <v>0</v>
      </c>
      <c r="J1207" s="106">
        <f t="shared" ca="1" si="153"/>
        <v>0</v>
      </c>
      <c r="K1207" s="105" t="e">
        <f t="shared" ca="1" si="150"/>
        <v>#N/A</v>
      </c>
      <c r="L1207" s="75"/>
    </row>
    <row r="1208" spans="2:12">
      <c r="B1208" s="101">
        <f t="shared" ca="1" si="151"/>
        <v>89031</v>
      </c>
      <c r="C1208" s="101">
        <f t="shared" ca="1" si="152"/>
        <v>89061</v>
      </c>
      <c r="D1208" s="102">
        <f t="shared" ca="1" si="147"/>
        <v>166.32991101984942</v>
      </c>
      <c r="E1208" s="103">
        <f t="shared" ca="1" si="154"/>
        <v>0.22789174755249594</v>
      </c>
      <c r="F1208" s="104" t="e">
        <f ca="1">IF($C$4="Hombre",(+VLOOKUP(INT(D1208)+1,Tablas!$G$9:$K$1240,5,0)*(D1208-INT(D1208))+VLOOKUP(INT(D1208),Tablas!$G$9:$K$1240,5,0)*(INT(D1208)+1-D1208))/(VLOOKUP(INT($C$5)+1,Tablas!$G$9:$K$1240,5,0)*($C$5-INT($C$5))+VLOOKUP(INT($C$5),Tablas!$G$9:$K$124,5,0)*(INT($C$5)+1-$C$5)),(+VLOOKUP(INT(D1208)+1,Tablas!$G$9:$O$1240,9,0)*(D1208-INT(D1208))+VLOOKUP(INT(D1208),Tablas!$G$9:$O$1240,9,0)*(INT(D1208)+1-D1208))/(VLOOKUP(INT($C$5)+1,Tablas!$G$9:$O$1240,9,0)*($C$5-INT($C$5))+VLOOKUP(INT($C$5),Tablas!$G$9:$O$124,9,0)*(INT($C$5)+1-$C$5)))</f>
        <v>#N/A</v>
      </c>
      <c r="G1208" s="97" t="e">
        <f ca="1">IF($C$4="Hombre",(+VLOOKUP(INT(D1208)+1,Tablas!$G$9:$K$1240,5,0)*(D1208-INT(D1208))+VLOOKUP(INT(D1208),Tablas!$G$9:$K$1240,5,0)*(INT(D1208)+1-D1208)),+VLOOKUP(INT(D1208)+1,Tablas!$G$9:$O$1240,9,0)*(D1208-INT(D1208))+VLOOKUP(INT(D1208),Tablas!$G$9:$O$1240,9,0)*(INT(D1208)+1-D1208))</f>
        <v>#N/A</v>
      </c>
      <c r="H1208" s="105">
        <f t="shared" ca="1" si="148"/>
        <v>1</v>
      </c>
      <c r="I1208" s="106">
        <f t="shared" ca="1" si="149"/>
        <v>0</v>
      </c>
      <c r="J1208" s="106">
        <f t="shared" ca="1" si="153"/>
        <v>0</v>
      </c>
      <c r="K1208" s="105" t="e">
        <f t="shared" ca="1" si="150"/>
        <v>#N/A</v>
      </c>
      <c r="L1208" s="75"/>
    </row>
    <row r="1209" spans="2:12">
      <c r="B1209" s="101">
        <f t="shared" ca="1" si="151"/>
        <v>89062</v>
      </c>
      <c r="C1209" s="101">
        <f t="shared" ca="1" si="152"/>
        <v>89091</v>
      </c>
      <c r="D1209" s="102">
        <f t="shared" ca="1" si="147"/>
        <v>166.41204654346339</v>
      </c>
      <c r="E1209" s="103">
        <f t="shared" ca="1" si="154"/>
        <v>0.22761323271491807</v>
      </c>
      <c r="F1209" s="104" t="e">
        <f ca="1">IF($C$4="Hombre",(+VLOOKUP(INT(D1209)+1,Tablas!$G$9:$K$1240,5,0)*(D1209-INT(D1209))+VLOOKUP(INT(D1209),Tablas!$G$9:$K$1240,5,0)*(INT(D1209)+1-D1209))/(VLOOKUP(INT($C$5)+1,Tablas!$G$9:$K$1240,5,0)*($C$5-INT($C$5))+VLOOKUP(INT($C$5),Tablas!$G$9:$K$124,5,0)*(INT($C$5)+1-$C$5)),(+VLOOKUP(INT(D1209)+1,Tablas!$G$9:$O$1240,9,0)*(D1209-INT(D1209))+VLOOKUP(INT(D1209),Tablas!$G$9:$O$1240,9,0)*(INT(D1209)+1-D1209))/(VLOOKUP(INT($C$5)+1,Tablas!$G$9:$O$1240,9,0)*($C$5-INT($C$5))+VLOOKUP(INT($C$5),Tablas!$G$9:$O$124,9,0)*(INT($C$5)+1-$C$5)))</f>
        <v>#N/A</v>
      </c>
      <c r="G1209" s="97" t="e">
        <f ca="1">IF($C$4="Hombre",(+VLOOKUP(INT(D1209)+1,Tablas!$G$9:$K$1240,5,0)*(D1209-INT(D1209))+VLOOKUP(INT(D1209),Tablas!$G$9:$K$1240,5,0)*(INT(D1209)+1-D1209)),+VLOOKUP(INT(D1209)+1,Tablas!$G$9:$O$1240,9,0)*(D1209-INT(D1209))+VLOOKUP(INT(D1209),Tablas!$G$9:$O$1240,9,0)*(INT(D1209)+1-D1209))</f>
        <v>#N/A</v>
      </c>
      <c r="H1209" s="105">
        <f t="shared" ca="1" si="148"/>
        <v>1</v>
      </c>
      <c r="I1209" s="106">
        <f t="shared" ca="1" si="149"/>
        <v>0</v>
      </c>
      <c r="J1209" s="106">
        <f t="shared" ca="1" si="153"/>
        <v>0</v>
      </c>
      <c r="K1209" s="105" t="e">
        <f t="shared" ca="1" si="150"/>
        <v>#N/A</v>
      </c>
      <c r="L1209" s="75"/>
    </row>
    <row r="1210" spans="2:12">
      <c r="B1210" s="101">
        <f t="shared" ca="1" si="151"/>
        <v>89092</v>
      </c>
      <c r="C1210" s="101">
        <f t="shared" ca="1" si="152"/>
        <v>89122</v>
      </c>
      <c r="D1210" s="102">
        <f t="shared" ca="1" si="147"/>
        <v>166.49691991786449</v>
      </c>
      <c r="E1210" s="103">
        <f t="shared" ca="1" si="154"/>
        <v>0.22732579163599076</v>
      </c>
      <c r="F1210" s="104" t="e">
        <f ca="1">IF($C$4="Hombre",(+VLOOKUP(INT(D1210)+1,Tablas!$G$9:$K$1240,5,0)*(D1210-INT(D1210))+VLOOKUP(INT(D1210),Tablas!$G$9:$K$1240,5,0)*(INT(D1210)+1-D1210))/(VLOOKUP(INT($C$5)+1,Tablas!$G$9:$K$1240,5,0)*($C$5-INT($C$5))+VLOOKUP(INT($C$5),Tablas!$G$9:$K$124,5,0)*(INT($C$5)+1-$C$5)),(+VLOOKUP(INT(D1210)+1,Tablas!$G$9:$O$1240,9,0)*(D1210-INT(D1210))+VLOOKUP(INT(D1210),Tablas!$G$9:$O$1240,9,0)*(INT(D1210)+1-D1210))/(VLOOKUP(INT($C$5)+1,Tablas!$G$9:$O$1240,9,0)*($C$5-INT($C$5))+VLOOKUP(INT($C$5),Tablas!$G$9:$O$124,9,0)*(INT($C$5)+1-$C$5)))</f>
        <v>#N/A</v>
      </c>
      <c r="G1210" s="97" t="e">
        <f ca="1">IF($C$4="Hombre",(+VLOOKUP(INT(D1210)+1,Tablas!$G$9:$K$1240,5,0)*(D1210-INT(D1210))+VLOOKUP(INT(D1210),Tablas!$G$9:$K$1240,5,0)*(INT(D1210)+1-D1210)),+VLOOKUP(INT(D1210)+1,Tablas!$G$9:$O$1240,9,0)*(D1210-INT(D1210))+VLOOKUP(INT(D1210),Tablas!$G$9:$O$1240,9,0)*(INT(D1210)+1-D1210))</f>
        <v>#N/A</v>
      </c>
      <c r="H1210" s="105">
        <f t="shared" ca="1" si="148"/>
        <v>1</v>
      </c>
      <c r="I1210" s="106">
        <f t="shared" ca="1" si="149"/>
        <v>0</v>
      </c>
      <c r="J1210" s="106">
        <f t="shared" ca="1" si="153"/>
        <v>0</v>
      </c>
      <c r="K1210" s="105" t="e">
        <f t="shared" ca="1" si="150"/>
        <v>#N/A</v>
      </c>
      <c r="L1210" s="75"/>
    </row>
    <row r="1211" spans="2:12">
      <c r="B1211" s="101">
        <f t="shared" ca="1" si="151"/>
        <v>89123</v>
      </c>
      <c r="C1211" s="101">
        <f t="shared" ca="1" si="152"/>
        <v>89153</v>
      </c>
      <c r="D1211" s="102">
        <f t="shared" ca="1" si="147"/>
        <v>166.58179329226556</v>
      </c>
      <c r="E1211" s="103">
        <f t="shared" ca="1" si="154"/>
        <v>0.2270387135516613</v>
      </c>
      <c r="F1211" s="104" t="e">
        <f ca="1">IF($C$4="Hombre",(+VLOOKUP(INT(D1211)+1,Tablas!$G$9:$K$1240,5,0)*(D1211-INT(D1211))+VLOOKUP(INT(D1211),Tablas!$G$9:$K$1240,5,0)*(INT(D1211)+1-D1211))/(VLOOKUP(INT($C$5)+1,Tablas!$G$9:$K$1240,5,0)*($C$5-INT($C$5))+VLOOKUP(INT($C$5),Tablas!$G$9:$K$124,5,0)*(INT($C$5)+1-$C$5)),(+VLOOKUP(INT(D1211)+1,Tablas!$G$9:$O$1240,9,0)*(D1211-INT(D1211))+VLOOKUP(INT(D1211),Tablas!$G$9:$O$1240,9,0)*(INT(D1211)+1-D1211))/(VLOOKUP(INT($C$5)+1,Tablas!$G$9:$O$1240,9,0)*($C$5-INT($C$5))+VLOOKUP(INT($C$5),Tablas!$G$9:$O$124,9,0)*(INT($C$5)+1-$C$5)))</f>
        <v>#N/A</v>
      </c>
      <c r="G1211" s="97" t="e">
        <f ca="1">IF($C$4="Hombre",(+VLOOKUP(INT(D1211)+1,Tablas!$G$9:$K$1240,5,0)*(D1211-INT(D1211))+VLOOKUP(INT(D1211),Tablas!$G$9:$K$1240,5,0)*(INT(D1211)+1-D1211)),+VLOOKUP(INT(D1211)+1,Tablas!$G$9:$O$1240,9,0)*(D1211-INT(D1211))+VLOOKUP(INT(D1211),Tablas!$G$9:$O$1240,9,0)*(INT(D1211)+1-D1211))</f>
        <v>#N/A</v>
      </c>
      <c r="H1211" s="105">
        <f t="shared" ca="1" si="148"/>
        <v>1</v>
      </c>
      <c r="I1211" s="106">
        <f t="shared" ca="1" si="149"/>
        <v>0</v>
      </c>
      <c r="J1211" s="106">
        <f t="shared" ca="1" si="153"/>
        <v>0</v>
      </c>
      <c r="K1211" s="105" t="e">
        <f t="shared" ca="1" si="150"/>
        <v>#N/A</v>
      </c>
      <c r="L1211" s="75"/>
    </row>
    <row r="1212" spans="2:12">
      <c r="B1212" s="101">
        <f t="shared" ca="1" si="151"/>
        <v>89154</v>
      </c>
      <c r="C1212" s="101">
        <f t="shared" ca="1" si="152"/>
        <v>89182</v>
      </c>
      <c r="D1212" s="102">
        <f t="shared" ca="1" si="147"/>
        <v>166.6611909650924</v>
      </c>
      <c r="E1212" s="103">
        <f t="shared" ca="1" si="154"/>
        <v>0.22677048484951998</v>
      </c>
      <c r="F1212" s="104" t="e">
        <f ca="1">IF($C$4="Hombre",(+VLOOKUP(INT(D1212)+1,Tablas!$G$9:$K$1240,5,0)*(D1212-INT(D1212))+VLOOKUP(INT(D1212),Tablas!$G$9:$K$1240,5,0)*(INT(D1212)+1-D1212))/(VLOOKUP(INT($C$5)+1,Tablas!$G$9:$K$1240,5,0)*($C$5-INT($C$5))+VLOOKUP(INT($C$5),Tablas!$G$9:$K$124,5,0)*(INT($C$5)+1-$C$5)),(+VLOOKUP(INT(D1212)+1,Tablas!$G$9:$O$1240,9,0)*(D1212-INT(D1212))+VLOOKUP(INT(D1212),Tablas!$G$9:$O$1240,9,0)*(INT(D1212)+1-D1212))/(VLOOKUP(INT($C$5)+1,Tablas!$G$9:$O$1240,9,0)*($C$5-INT($C$5))+VLOOKUP(INT($C$5),Tablas!$G$9:$O$124,9,0)*(INT($C$5)+1-$C$5)))</f>
        <v>#N/A</v>
      </c>
      <c r="G1212" s="97" t="e">
        <f ca="1">IF($C$4="Hombre",(+VLOOKUP(INT(D1212)+1,Tablas!$G$9:$K$1240,5,0)*(D1212-INT(D1212))+VLOOKUP(INT(D1212),Tablas!$G$9:$K$1240,5,0)*(INT(D1212)+1-D1212)),+VLOOKUP(INT(D1212)+1,Tablas!$G$9:$O$1240,9,0)*(D1212-INT(D1212))+VLOOKUP(INT(D1212),Tablas!$G$9:$O$1240,9,0)*(INT(D1212)+1-D1212))</f>
        <v>#N/A</v>
      </c>
      <c r="H1212" s="105">
        <f t="shared" ca="1" si="148"/>
        <v>1</v>
      </c>
      <c r="I1212" s="106">
        <f t="shared" ca="1" si="149"/>
        <v>0</v>
      </c>
      <c r="J1212" s="106">
        <f t="shared" ca="1" si="153"/>
        <v>0</v>
      </c>
      <c r="K1212" s="105" t="e">
        <f t="shared" ca="1" si="150"/>
        <v>#N/A</v>
      </c>
      <c r="L1212" s="75"/>
    </row>
    <row r="1213" spans="2:12">
      <c r="B1213" s="101">
        <f t="shared" ca="1" si="151"/>
        <v>89183</v>
      </c>
      <c r="C1213" s="101">
        <f t="shared" ca="1" si="152"/>
        <v>89213</v>
      </c>
      <c r="D1213" s="102">
        <f t="shared" ca="1" si="147"/>
        <v>166.7460643394935</v>
      </c>
      <c r="E1213" s="103">
        <f t="shared" ca="1" si="154"/>
        <v>0.22648410803365329</v>
      </c>
      <c r="F1213" s="104" t="e">
        <f ca="1">IF($C$4="Hombre",(+VLOOKUP(INT(D1213)+1,Tablas!$G$9:$K$1240,5,0)*(D1213-INT(D1213))+VLOOKUP(INT(D1213),Tablas!$G$9:$K$1240,5,0)*(INT(D1213)+1-D1213))/(VLOOKUP(INT($C$5)+1,Tablas!$G$9:$K$1240,5,0)*($C$5-INT($C$5))+VLOOKUP(INT($C$5),Tablas!$G$9:$K$124,5,0)*(INT($C$5)+1-$C$5)),(+VLOOKUP(INT(D1213)+1,Tablas!$G$9:$O$1240,9,0)*(D1213-INT(D1213))+VLOOKUP(INT(D1213),Tablas!$G$9:$O$1240,9,0)*(INT(D1213)+1-D1213))/(VLOOKUP(INT($C$5)+1,Tablas!$G$9:$O$1240,9,0)*($C$5-INT($C$5))+VLOOKUP(INT($C$5),Tablas!$G$9:$O$124,9,0)*(INT($C$5)+1-$C$5)))</f>
        <v>#N/A</v>
      </c>
      <c r="G1213" s="97" t="e">
        <f ca="1">IF($C$4="Hombre",(+VLOOKUP(INT(D1213)+1,Tablas!$G$9:$K$1240,5,0)*(D1213-INT(D1213))+VLOOKUP(INT(D1213),Tablas!$G$9:$K$1240,5,0)*(INT(D1213)+1-D1213)),+VLOOKUP(INT(D1213)+1,Tablas!$G$9:$O$1240,9,0)*(D1213-INT(D1213))+VLOOKUP(INT(D1213),Tablas!$G$9:$O$1240,9,0)*(INT(D1213)+1-D1213))</f>
        <v>#N/A</v>
      </c>
      <c r="H1213" s="105">
        <f t="shared" ca="1" si="148"/>
        <v>1</v>
      </c>
      <c r="I1213" s="106">
        <f t="shared" ca="1" si="149"/>
        <v>0</v>
      </c>
      <c r="J1213" s="106">
        <f t="shared" ca="1" si="153"/>
        <v>0</v>
      </c>
      <c r="K1213" s="105" t="e">
        <f t="shared" ca="1" si="150"/>
        <v>#N/A</v>
      </c>
      <c r="L1213" s="75"/>
    </row>
    <row r="1214" spans="2:12">
      <c r="B1214" s="101">
        <f t="shared" ca="1" si="151"/>
        <v>89214</v>
      </c>
      <c r="C1214" s="101">
        <f t="shared" ca="1" si="152"/>
        <v>89243</v>
      </c>
      <c r="D1214" s="102">
        <f t="shared" ca="1" si="147"/>
        <v>166.82819986310747</v>
      </c>
      <c r="E1214" s="103">
        <f t="shared" ca="1" si="154"/>
        <v>0.22620731352380194</v>
      </c>
      <c r="F1214" s="104" t="e">
        <f ca="1">IF($C$4="Hombre",(+VLOOKUP(INT(D1214)+1,Tablas!$G$9:$K$1240,5,0)*(D1214-INT(D1214))+VLOOKUP(INT(D1214),Tablas!$G$9:$K$1240,5,0)*(INT(D1214)+1-D1214))/(VLOOKUP(INT($C$5)+1,Tablas!$G$9:$K$1240,5,0)*($C$5-INT($C$5))+VLOOKUP(INT($C$5),Tablas!$G$9:$K$124,5,0)*(INT($C$5)+1-$C$5)),(+VLOOKUP(INT(D1214)+1,Tablas!$G$9:$O$1240,9,0)*(D1214-INT(D1214))+VLOOKUP(INT(D1214),Tablas!$G$9:$O$1240,9,0)*(INT(D1214)+1-D1214))/(VLOOKUP(INT($C$5)+1,Tablas!$G$9:$O$1240,9,0)*($C$5-INT($C$5))+VLOOKUP(INT($C$5),Tablas!$G$9:$O$124,9,0)*(INT($C$5)+1-$C$5)))</f>
        <v>#N/A</v>
      </c>
      <c r="G1214" s="97" t="e">
        <f ca="1">IF($C$4="Hombre",(+VLOOKUP(INT(D1214)+1,Tablas!$G$9:$K$1240,5,0)*(D1214-INT(D1214))+VLOOKUP(INT(D1214),Tablas!$G$9:$K$1240,5,0)*(INT(D1214)+1-D1214)),+VLOOKUP(INT(D1214)+1,Tablas!$G$9:$O$1240,9,0)*(D1214-INT(D1214))+VLOOKUP(INT(D1214),Tablas!$G$9:$O$1240,9,0)*(INT(D1214)+1-D1214))</f>
        <v>#N/A</v>
      </c>
      <c r="H1214" s="105">
        <f t="shared" ca="1" si="148"/>
        <v>1</v>
      </c>
      <c r="I1214" s="106">
        <f t="shared" ca="1" si="149"/>
        <v>0</v>
      </c>
      <c r="J1214" s="106">
        <f t="shared" ca="1" si="153"/>
        <v>0</v>
      </c>
      <c r="K1214" s="105" t="e">
        <f t="shared" ca="1" si="150"/>
        <v>#N/A</v>
      </c>
      <c r="L1214" s="75"/>
    </row>
    <row r="1215" spans="2:12">
      <c r="B1215" s="101">
        <f t="shared" ca="1" si="151"/>
        <v>89244</v>
      </c>
      <c r="C1215" s="101">
        <f t="shared" ca="1" si="152"/>
        <v>89274</v>
      </c>
      <c r="D1215" s="102">
        <f t="shared" ca="1" si="147"/>
        <v>166.91307323750857</v>
      </c>
      <c r="E1215" s="103">
        <f t="shared" ca="1" si="154"/>
        <v>0.22592164790812147</v>
      </c>
      <c r="F1215" s="104" t="e">
        <f ca="1">IF($C$4="Hombre",(+VLOOKUP(INT(D1215)+1,Tablas!$G$9:$K$1240,5,0)*(D1215-INT(D1215))+VLOOKUP(INT(D1215),Tablas!$G$9:$K$1240,5,0)*(INT(D1215)+1-D1215))/(VLOOKUP(INT($C$5)+1,Tablas!$G$9:$K$1240,5,0)*($C$5-INT($C$5))+VLOOKUP(INT($C$5),Tablas!$G$9:$K$124,5,0)*(INT($C$5)+1-$C$5)),(+VLOOKUP(INT(D1215)+1,Tablas!$G$9:$O$1240,9,0)*(D1215-INT(D1215))+VLOOKUP(INT(D1215),Tablas!$G$9:$O$1240,9,0)*(INT(D1215)+1-D1215))/(VLOOKUP(INT($C$5)+1,Tablas!$G$9:$O$1240,9,0)*($C$5-INT($C$5))+VLOOKUP(INT($C$5),Tablas!$G$9:$O$124,9,0)*(INT($C$5)+1-$C$5)))</f>
        <v>#N/A</v>
      </c>
      <c r="G1215" s="97" t="e">
        <f ca="1">IF($C$4="Hombre",(+VLOOKUP(INT(D1215)+1,Tablas!$G$9:$K$1240,5,0)*(D1215-INT(D1215))+VLOOKUP(INT(D1215),Tablas!$G$9:$K$1240,5,0)*(INT(D1215)+1-D1215)),+VLOOKUP(INT(D1215)+1,Tablas!$G$9:$O$1240,9,0)*(D1215-INT(D1215))+VLOOKUP(INT(D1215),Tablas!$G$9:$O$1240,9,0)*(INT(D1215)+1-D1215))</f>
        <v>#N/A</v>
      </c>
      <c r="H1215" s="105">
        <f t="shared" ca="1" si="148"/>
        <v>1</v>
      </c>
      <c r="I1215" s="106">
        <f t="shared" ca="1" si="149"/>
        <v>0</v>
      </c>
      <c r="J1215" s="106">
        <f t="shared" ca="1" si="153"/>
        <v>0</v>
      </c>
      <c r="K1215" s="105" t="e">
        <f t="shared" ca="1" si="150"/>
        <v>#N/A</v>
      </c>
      <c r="L1215" s="75"/>
    </row>
    <row r="1216" spans="2:12">
      <c r="B1216" s="101">
        <f t="shared" ca="1" si="151"/>
        <v>89275</v>
      </c>
      <c r="C1216" s="101">
        <f t="shared" si="152"/>
        <v>-1</v>
      </c>
      <c r="D1216" s="102" t="e">
        <f t="shared" si="147"/>
        <v>#NUM!</v>
      </c>
      <c r="E1216" s="103" t="e">
        <f t="shared" ca="1" si="154"/>
        <v>#NUM!</v>
      </c>
      <c r="F1216" s="104" t="e">
        <f ca="1">IF($C$4="Hombre",(+VLOOKUP(INT(D1216)+1,Tablas!$G$9:$K$1240,5,0)*(D1216-INT(D1216))+VLOOKUP(INT(D1216),Tablas!$G$9:$K$1240,5,0)*(INT(D1216)+1-D1216))/(VLOOKUP(INT($C$5)+1,Tablas!$G$9:$K$1240,5,0)*($C$5-INT($C$5))+VLOOKUP(INT($C$5),Tablas!$G$9:$K$124,5,0)*(INT($C$5)+1-$C$5)),(+VLOOKUP(INT(D1216)+1,Tablas!$G$9:$O$1240,9,0)*(D1216-INT(D1216))+VLOOKUP(INT(D1216),Tablas!$G$9:$O$1240,9,0)*(INT(D1216)+1-D1216))/(VLOOKUP(INT($C$5)+1,Tablas!$G$9:$O$1240,9,0)*($C$5-INT($C$5))+VLOOKUP(INT($C$5),Tablas!$G$9:$O$124,9,0)*(INT($C$5)+1-$C$5)))</f>
        <v>#NUM!</v>
      </c>
      <c r="G1216" s="97" t="e">
        <f>IF($C$4="Hombre",(+VLOOKUP(INT(D1216)+1,Tablas!$G$9:$K$1240,5,0)*(D1216-INT(D1216))+VLOOKUP(INT(D1216),Tablas!$G$9:$K$1240,5,0)*(INT(D1216)+1-D1216)),+VLOOKUP(INT(D1216)+1,Tablas!$G$9:$O$1240,9,0)*(D1216-INT(D1216))+VLOOKUP(INT(D1216),Tablas!$G$9:$O$1240,9,0)*(INT(D1216)+1-D1216))</f>
        <v>#NUM!</v>
      </c>
      <c r="H1216" s="105">
        <f t="shared" ca="1" si="148"/>
        <v>1</v>
      </c>
      <c r="I1216" s="106">
        <f t="shared" ca="1" si="149"/>
        <v>0</v>
      </c>
      <c r="J1216" s="106" t="e">
        <f t="shared" ca="1" si="153"/>
        <v>#NUM!</v>
      </c>
      <c r="K1216" s="105" t="e">
        <f t="shared" ca="1" si="150"/>
        <v>#NUM!</v>
      </c>
      <c r="L1216" s="75"/>
    </row>
    <row r="1217" spans="2:21">
      <c r="B1217" s="79"/>
      <c r="C1217" s="71"/>
      <c r="D1217" s="72"/>
      <c r="E1217" s="72"/>
      <c r="F1217" s="71"/>
      <c r="G1217" s="71"/>
      <c r="H1217" s="72"/>
      <c r="I1217" s="107"/>
      <c r="J1217" s="107"/>
      <c r="K1217" s="76"/>
      <c r="L1217" s="76"/>
      <c r="M1217" s="72"/>
      <c r="N1217" s="71"/>
      <c r="O1217" s="71"/>
      <c r="P1217" s="71"/>
      <c r="Q1217" s="71"/>
      <c r="U1217" s="71"/>
    </row>
    <row r="1218" spans="2:21">
      <c r="B1218" s="79"/>
      <c r="C1218" s="71"/>
      <c r="D1218" s="72"/>
      <c r="E1218" s="72"/>
      <c r="F1218" s="71"/>
      <c r="G1218" s="71"/>
      <c r="H1218" s="72"/>
      <c r="I1218" s="107"/>
      <c r="J1218" s="107"/>
      <c r="K1218" s="76"/>
      <c r="L1218" s="76"/>
      <c r="M1218" s="72"/>
      <c r="N1218" s="71"/>
      <c r="O1218" s="71"/>
      <c r="P1218" s="71"/>
      <c r="Q1218" s="71"/>
      <c r="R1218" s="107"/>
      <c r="S1218" s="71"/>
      <c r="T1218" s="71"/>
      <c r="U1218" s="71"/>
    </row>
    <row r="1219" spans="2:21">
      <c r="B1219" s="79"/>
      <c r="C1219" s="71"/>
      <c r="D1219" s="72"/>
      <c r="E1219" s="72"/>
      <c r="F1219" s="71"/>
      <c r="G1219" s="71"/>
      <c r="H1219" s="72"/>
      <c r="I1219" s="107"/>
      <c r="J1219" s="107"/>
      <c r="K1219" s="76"/>
      <c r="L1219" s="76"/>
      <c r="M1219" s="72"/>
      <c r="N1219" s="71"/>
      <c r="O1219" s="71"/>
      <c r="P1219" s="71"/>
      <c r="Q1219" s="71"/>
      <c r="R1219" s="107"/>
      <c r="S1219" s="71"/>
      <c r="T1219" s="71"/>
      <c r="U1219" s="71"/>
    </row>
    <row r="1220" spans="2:21">
      <c r="B1220" s="79"/>
      <c r="C1220" s="71"/>
      <c r="D1220" s="72"/>
      <c r="E1220" s="72"/>
      <c r="F1220" s="71"/>
      <c r="G1220" s="71"/>
      <c r="H1220" s="72"/>
      <c r="I1220" s="107"/>
      <c r="J1220" s="107"/>
      <c r="K1220" s="76"/>
      <c r="L1220" s="76"/>
      <c r="M1220" s="72"/>
      <c r="N1220" s="71"/>
      <c r="O1220" s="71"/>
      <c r="P1220" s="71"/>
      <c r="Q1220" s="71"/>
      <c r="R1220" s="107"/>
      <c r="S1220" s="71"/>
      <c r="T1220" s="71"/>
      <c r="U1220" s="71"/>
    </row>
    <row r="1221" spans="2:21">
      <c r="B1221" s="79"/>
      <c r="C1221" s="71"/>
      <c r="D1221" s="72"/>
      <c r="E1221" s="72"/>
      <c r="F1221" s="71"/>
      <c r="G1221" s="71"/>
      <c r="H1221" s="72"/>
      <c r="I1221" s="107"/>
      <c r="J1221" s="107"/>
      <c r="K1221" s="76"/>
      <c r="L1221" s="76"/>
      <c r="M1221" s="72"/>
      <c r="N1221" s="71"/>
      <c r="O1221" s="71"/>
      <c r="P1221" s="71"/>
      <c r="Q1221" s="71"/>
      <c r="R1221" s="107"/>
      <c r="S1221" s="71"/>
      <c r="T1221" s="71"/>
      <c r="U1221" s="71"/>
    </row>
    <row r="1222" spans="2:21">
      <c r="B1222" s="79"/>
      <c r="C1222" s="71"/>
      <c r="D1222" s="72"/>
      <c r="E1222" s="72"/>
      <c r="F1222" s="71"/>
      <c r="G1222" s="71"/>
      <c r="H1222" s="72"/>
      <c r="I1222" s="107"/>
      <c r="J1222" s="107"/>
      <c r="K1222" s="76"/>
      <c r="L1222" s="76"/>
      <c r="M1222" s="72"/>
      <c r="N1222" s="71"/>
      <c r="O1222" s="71"/>
      <c r="P1222" s="71"/>
      <c r="Q1222" s="71"/>
      <c r="R1222" s="107"/>
      <c r="S1222" s="71"/>
      <c r="T1222" s="71"/>
      <c r="U1222" s="71"/>
    </row>
    <row r="1223" spans="2:21">
      <c r="B1223" s="79"/>
      <c r="C1223" s="71"/>
      <c r="D1223" s="72"/>
      <c r="E1223" s="72"/>
      <c r="F1223" s="71"/>
      <c r="G1223" s="71"/>
      <c r="H1223" s="72"/>
      <c r="I1223" s="107"/>
      <c r="J1223" s="107"/>
      <c r="K1223" s="76"/>
      <c r="L1223" s="76"/>
      <c r="M1223" s="72"/>
      <c r="N1223" s="71"/>
      <c r="O1223" s="71"/>
      <c r="P1223" s="71"/>
      <c r="Q1223" s="71"/>
      <c r="R1223" s="107"/>
      <c r="S1223" s="71"/>
      <c r="T1223" s="71"/>
      <c r="U1223" s="71"/>
    </row>
    <row r="1224" spans="2:21">
      <c r="B1224" s="79"/>
      <c r="C1224" s="71"/>
      <c r="D1224" s="72"/>
      <c r="E1224" s="72"/>
      <c r="F1224" s="71"/>
      <c r="G1224" s="71"/>
      <c r="H1224" s="72"/>
      <c r="I1224" s="107"/>
      <c r="J1224" s="107"/>
      <c r="K1224" s="76"/>
      <c r="L1224" s="76"/>
      <c r="M1224" s="72"/>
      <c r="N1224" s="71"/>
      <c r="O1224" s="71"/>
      <c r="P1224" s="71"/>
      <c r="Q1224" s="71"/>
      <c r="R1224" s="107"/>
      <c r="S1224" s="71"/>
      <c r="T1224" s="71"/>
      <c r="U1224" s="71"/>
    </row>
    <row r="1225" spans="2:21">
      <c r="B1225" s="79"/>
      <c r="C1225" s="71"/>
      <c r="D1225" s="72"/>
      <c r="E1225" s="72"/>
      <c r="F1225" s="71"/>
      <c r="G1225" s="71"/>
      <c r="H1225" s="72"/>
      <c r="I1225" s="107"/>
      <c r="J1225" s="107"/>
      <c r="K1225" s="76"/>
      <c r="L1225" s="76"/>
      <c r="M1225" s="72"/>
      <c r="N1225" s="71"/>
      <c r="O1225" s="71"/>
      <c r="P1225" s="71"/>
      <c r="Q1225" s="71"/>
      <c r="R1225" s="107"/>
      <c r="S1225" s="71"/>
      <c r="T1225" s="71"/>
      <c r="U1225" s="71"/>
    </row>
    <row r="1226" spans="2:21">
      <c r="B1226" s="79"/>
      <c r="C1226" s="71"/>
      <c r="D1226" s="72"/>
      <c r="E1226" s="72"/>
      <c r="F1226" s="71"/>
      <c r="G1226" s="71"/>
      <c r="H1226" s="72"/>
      <c r="I1226" s="107"/>
      <c r="J1226" s="107"/>
      <c r="K1226" s="76"/>
      <c r="L1226" s="76"/>
      <c r="M1226" s="72"/>
      <c r="N1226" s="71"/>
      <c r="O1226" s="71"/>
      <c r="P1226" s="71"/>
      <c r="Q1226" s="71"/>
      <c r="R1226" s="107"/>
      <c r="S1226" s="71"/>
      <c r="T1226" s="71"/>
      <c r="U1226" s="71"/>
    </row>
    <row r="1227" spans="2:21">
      <c r="B1227" s="79"/>
      <c r="C1227" s="71"/>
      <c r="D1227" s="72"/>
      <c r="E1227" s="72"/>
      <c r="F1227" s="71"/>
      <c r="G1227" s="71"/>
      <c r="H1227" s="72"/>
      <c r="I1227" s="107"/>
      <c r="J1227" s="107"/>
      <c r="K1227" s="76"/>
      <c r="L1227" s="76"/>
      <c r="M1227" s="72"/>
      <c r="N1227" s="71"/>
      <c r="O1227" s="71"/>
      <c r="P1227" s="71"/>
      <c r="Q1227" s="71"/>
      <c r="R1227" s="107"/>
      <c r="S1227" s="71"/>
      <c r="T1227" s="71"/>
      <c r="U1227" s="71"/>
    </row>
    <row r="1228" spans="2:21">
      <c r="B1228" s="79"/>
      <c r="C1228" s="71"/>
      <c r="D1228" s="72"/>
      <c r="E1228" s="72"/>
      <c r="F1228" s="71"/>
      <c r="G1228" s="71"/>
      <c r="H1228" s="72"/>
      <c r="I1228" s="107"/>
      <c r="J1228" s="107"/>
      <c r="K1228" s="76"/>
      <c r="L1228" s="76"/>
      <c r="M1228" s="72"/>
      <c r="N1228" s="71"/>
      <c r="O1228" s="71"/>
      <c r="P1228" s="71"/>
      <c r="Q1228" s="71"/>
      <c r="R1228" s="107"/>
      <c r="S1228" s="71"/>
      <c r="T1228" s="71"/>
      <c r="U1228" s="71"/>
    </row>
    <row r="1229" spans="2:21">
      <c r="B1229" s="79"/>
      <c r="C1229" s="71"/>
      <c r="D1229" s="72"/>
      <c r="E1229" s="72"/>
      <c r="F1229" s="71"/>
      <c r="G1229" s="71"/>
      <c r="H1229" s="72"/>
      <c r="I1229" s="107"/>
      <c r="J1229" s="107"/>
      <c r="K1229" s="76"/>
      <c r="L1229" s="76"/>
      <c r="M1229" s="72"/>
      <c r="N1229" s="71"/>
      <c r="O1229" s="71"/>
      <c r="P1229" s="71"/>
      <c r="Q1229" s="71"/>
      <c r="R1229" s="107"/>
      <c r="S1229" s="71"/>
      <c r="T1229" s="71"/>
      <c r="U1229" s="71"/>
    </row>
    <row r="1230" spans="2:21">
      <c r="B1230" s="79"/>
      <c r="C1230" s="71"/>
      <c r="D1230" s="72"/>
      <c r="E1230" s="72"/>
      <c r="F1230" s="71"/>
      <c r="G1230" s="71"/>
      <c r="H1230" s="72"/>
      <c r="I1230" s="107"/>
      <c r="J1230" s="107"/>
      <c r="K1230" s="76"/>
      <c r="L1230" s="76"/>
      <c r="M1230" s="72"/>
      <c r="N1230" s="71"/>
      <c r="O1230" s="71"/>
      <c r="P1230" s="71"/>
      <c r="Q1230" s="71"/>
      <c r="R1230" s="107"/>
      <c r="S1230" s="71"/>
      <c r="T1230" s="71"/>
      <c r="U1230" s="71"/>
    </row>
    <row r="1231" spans="2:21">
      <c r="B1231" s="79"/>
      <c r="C1231" s="71"/>
      <c r="D1231" s="72"/>
      <c r="E1231" s="72"/>
      <c r="F1231" s="71"/>
      <c r="G1231" s="71"/>
      <c r="H1231" s="72"/>
      <c r="I1231" s="107"/>
      <c r="J1231" s="107"/>
      <c r="K1231" s="76"/>
      <c r="L1231" s="76"/>
      <c r="M1231" s="72"/>
      <c r="N1231" s="71"/>
      <c r="O1231" s="71"/>
      <c r="P1231" s="71"/>
      <c r="Q1231" s="71"/>
      <c r="R1231" s="107"/>
      <c r="S1231" s="71"/>
      <c r="T1231" s="71"/>
      <c r="U1231" s="71"/>
    </row>
    <row r="1232" spans="2:21">
      <c r="B1232" s="79"/>
      <c r="C1232" s="71"/>
      <c r="D1232" s="72"/>
      <c r="E1232" s="72"/>
      <c r="F1232" s="71"/>
      <c r="G1232" s="71"/>
      <c r="H1232" s="72"/>
      <c r="I1232" s="107"/>
      <c r="J1232" s="107"/>
      <c r="K1232" s="76"/>
      <c r="L1232" s="76"/>
      <c r="M1232" s="72"/>
      <c r="N1232" s="71"/>
      <c r="O1232" s="71"/>
      <c r="P1232" s="71"/>
      <c r="Q1232" s="71"/>
      <c r="R1232" s="107"/>
      <c r="S1232" s="71"/>
      <c r="T1232" s="71"/>
      <c r="U1232" s="71"/>
    </row>
    <row r="1233" spans="2:21">
      <c r="B1233" s="79"/>
      <c r="C1233" s="71"/>
      <c r="D1233" s="72"/>
      <c r="E1233" s="72"/>
      <c r="F1233" s="71"/>
      <c r="G1233" s="71"/>
      <c r="H1233" s="72"/>
      <c r="I1233" s="107"/>
      <c r="J1233" s="107"/>
      <c r="K1233" s="76"/>
      <c r="L1233" s="76"/>
      <c r="M1233" s="72"/>
      <c r="N1233" s="71"/>
      <c r="O1233" s="71"/>
      <c r="P1233" s="71"/>
      <c r="Q1233" s="71"/>
      <c r="R1233" s="107"/>
      <c r="S1233" s="71"/>
      <c r="T1233" s="71"/>
      <c r="U1233" s="71"/>
    </row>
    <row r="1234" spans="2:21">
      <c r="B1234" s="79"/>
      <c r="C1234" s="71"/>
      <c r="D1234" s="72"/>
      <c r="E1234" s="72"/>
      <c r="F1234" s="71"/>
      <c r="G1234" s="71"/>
      <c r="H1234" s="72"/>
      <c r="I1234" s="107"/>
      <c r="J1234" s="107"/>
      <c r="K1234" s="76"/>
      <c r="L1234" s="76"/>
      <c r="M1234" s="72"/>
      <c r="N1234" s="71"/>
      <c r="O1234" s="71"/>
      <c r="P1234" s="71"/>
      <c r="Q1234" s="71"/>
      <c r="R1234" s="107"/>
      <c r="S1234" s="71"/>
      <c r="T1234" s="71"/>
      <c r="U1234" s="71"/>
    </row>
    <row r="1235" spans="2:21">
      <c r="B1235" s="79"/>
      <c r="C1235" s="71"/>
      <c r="D1235" s="72"/>
      <c r="E1235" s="72"/>
      <c r="F1235" s="71"/>
      <c r="G1235" s="71"/>
      <c r="H1235" s="72"/>
      <c r="I1235" s="107"/>
      <c r="J1235" s="107"/>
      <c r="K1235" s="76"/>
      <c r="L1235" s="76"/>
      <c r="M1235" s="72"/>
      <c r="N1235" s="71"/>
      <c r="O1235" s="71"/>
      <c r="P1235" s="71"/>
      <c r="Q1235" s="71"/>
      <c r="R1235" s="107"/>
      <c r="S1235" s="71"/>
      <c r="T1235" s="71"/>
      <c r="U1235" s="71"/>
    </row>
    <row r="1236" spans="2:21">
      <c r="B1236" s="79"/>
      <c r="C1236" s="71"/>
      <c r="D1236" s="72"/>
      <c r="E1236" s="72"/>
      <c r="F1236" s="71"/>
      <c r="G1236" s="71"/>
      <c r="H1236" s="72"/>
      <c r="I1236" s="107"/>
      <c r="J1236" s="107"/>
      <c r="K1236" s="76"/>
      <c r="L1236" s="76"/>
      <c r="M1236" s="72"/>
      <c r="N1236" s="71"/>
      <c r="O1236" s="71"/>
      <c r="P1236" s="71"/>
      <c r="Q1236" s="71"/>
      <c r="R1236" s="107"/>
      <c r="S1236" s="71"/>
      <c r="T1236" s="71"/>
      <c r="U1236" s="71"/>
    </row>
    <row r="1237" spans="2:21">
      <c r="B1237" s="79"/>
      <c r="C1237" s="71"/>
      <c r="D1237" s="72"/>
      <c r="E1237" s="72"/>
      <c r="F1237" s="71"/>
      <c r="G1237" s="71"/>
      <c r="H1237" s="72"/>
      <c r="I1237" s="107"/>
      <c r="J1237" s="107"/>
      <c r="K1237" s="76"/>
      <c r="L1237" s="76"/>
      <c r="M1237" s="72"/>
      <c r="N1237" s="71"/>
      <c r="O1237" s="71"/>
      <c r="P1237" s="71"/>
      <c r="Q1237" s="71"/>
      <c r="R1237" s="107"/>
      <c r="S1237" s="71"/>
      <c r="T1237" s="71"/>
      <c r="U1237" s="71"/>
    </row>
    <row r="1238" spans="2:21">
      <c r="B1238" s="79"/>
      <c r="C1238" s="71"/>
      <c r="D1238" s="72"/>
      <c r="E1238" s="72"/>
      <c r="F1238" s="71"/>
      <c r="G1238" s="71"/>
      <c r="H1238" s="72"/>
      <c r="I1238" s="107"/>
      <c r="J1238" s="107"/>
      <c r="K1238" s="76"/>
      <c r="L1238" s="76"/>
      <c r="M1238" s="72"/>
      <c r="N1238" s="71"/>
      <c r="O1238" s="71"/>
      <c r="P1238" s="71"/>
      <c r="Q1238" s="71"/>
      <c r="R1238" s="107"/>
      <c r="S1238" s="71"/>
      <c r="T1238" s="71"/>
      <c r="U1238" s="71"/>
    </row>
    <row r="1239" spans="2:21">
      <c r="B1239" s="79"/>
      <c r="C1239" s="71"/>
      <c r="D1239" s="72"/>
      <c r="E1239" s="72"/>
      <c r="F1239" s="71"/>
      <c r="G1239" s="71"/>
      <c r="H1239" s="72"/>
      <c r="I1239" s="107"/>
      <c r="J1239" s="107"/>
      <c r="K1239" s="76"/>
      <c r="L1239" s="76"/>
      <c r="M1239" s="72"/>
      <c r="N1239" s="71"/>
      <c r="O1239" s="71"/>
      <c r="P1239" s="71"/>
      <c r="Q1239" s="71"/>
      <c r="R1239" s="107"/>
      <c r="S1239" s="71"/>
      <c r="T1239" s="71"/>
      <c r="U1239" s="71"/>
    </row>
  </sheetData>
  <mergeCells count="3">
    <mergeCell ref="B2:C2"/>
    <mergeCell ref="E4:F4"/>
    <mergeCell ref="N6:O6"/>
  </mergeCell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Z1066"/>
  <sheetViews>
    <sheetView topLeftCell="J1" zoomScale="85" zoomScaleNormal="85" workbookViewId="0">
      <pane ySplit="6" topLeftCell="A7" activePane="bottomLeft" state="frozen"/>
      <selection pane="bottomLeft" activeCell="AA7" sqref="AA7"/>
    </sheetView>
  </sheetViews>
  <sheetFormatPr defaultColWidth="14.88671875" defaultRowHeight="14.4"/>
  <cols>
    <col min="1" max="1" width="21.33203125" bestFit="1" customWidth="1"/>
    <col min="5" max="5" width="14.109375" customWidth="1"/>
    <col min="6" max="6" width="17.88671875" customWidth="1"/>
    <col min="11" max="11" width="19" customWidth="1"/>
    <col min="12" max="13" width="19.33203125" customWidth="1"/>
    <col min="14" max="14" width="17.5546875" customWidth="1"/>
    <col min="15" max="17" width="14.88671875" customWidth="1"/>
    <col min="18" max="18" width="15.88671875" customWidth="1"/>
    <col min="19" max="22" width="14.88671875" customWidth="1"/>
    <col min="23" max="23" width="19.6640625" customWidth="1"/>
    <col min="24" max="24" width="15.6640625" customWidth="1"/>
    <col min="25" max="28" width="20.88671875" customWidth="1"/>
    <col min="29" max="29" width="14.88671875" customWidth="1"/>
    <col min="30" max="30" width="10" customWidth="1"/>
    <col min="31" max="31" width="12.6640625" customWidth="1"/>
    <col min="32" max="32" width="9" bestFit="1" customWidth="1"/>
    <col min="33" max="35" width="9.88671875" customWidth="1"/>
    <col min="36" max="36" width="9" bestFit="1" customWidth="1"/>
    <col min="38" max="38" width="19.109375" customWidth="1"/>
    <col min="39" max="39" width="17.5546875" customWidth="1"/>
    <col min="41" max="41" width="17.44140625" customWidth="1"/>
    <col min="44" max="45" width="14.88671875" customWidth="1"/>
    <col min="46" max="46" width="17.33203125" customWidth="1"/>
  </cols>
  <sheetData>
    <row r="1" spans="1:52">
      <c r="K1" s="6">
        <f ca="1">DATE(YEAR(TODAY()),MONTH(1),DAY(1))</f>
        <v>45292</v>
      </c>
      <c r="L1" s="3" t="s">
        <v>272</v>
      </c>
      <c r="M1" s="3"/>
      <c r="N1" s="757">
        <f ca="1">(K2*((1+$O$5)^(($B$7-$K$1)/365.25)))+AB5</f>
        <v>97231.770879228206</v>
      </c>
      <c r="O1" t="s">
        <v>603</v>
      </c>
      <c r="S1" s="149" t="s">
        <v>327</v>
      </c>
      <c r="AL1" s="619" t="s">
        <v>595</v>
      </c>
      <c r="AM1" s="619">
        <v>1500</v>
      </c>
      <c r="AO1" t="s">
        <v>1238</v>
      </c>
      <c r="AP1" s="126">
        <f>+('Aportaciones PPE'!H5+'Aportaciones PPE'!J5)*'Simulador - Datos personales'!E15</f>
        <v>10500</v>
      </c>
      <c r="AQ1" s="126">
        <f>+AP1/2</f>
        <v>5250</v>
      </c>
    </row>
    <row r="2" spans="1:52">
      <c r="K2" s="4">
        <f>VLOOKUP('Simulador - Datos personales'!$E$5,BBDD!C5:H34,6,0)</f>
        <v>900</v>
      </c>
      <c r="L2" t="s">
        <v>560</v>
      </c>
      <c r="N2" s="126"/>
      <c r="AL2" s="619" t="s">
        <v>596</v>
      </c>
      <c r="AM2" s="619">
        <v>10000</v>
      </c>
      <c r="AO2" t="s">
        <v>1239</v>
      </c>
      <c r="AP2" s="126">
        <f>+I5*'Simulador - Datos personales'!E15</f>
        <v>0</v>
      </c>
    </row>
    <row r="3" spans="1:52">
      <c r="A3" s="145" t="s">
        <v>218</v>
      </c>
      <c r="B3" s="145"/>
      <c r="N3" s="126"/>
      <c r="T3" s="126"/>
      <c r="U3" s="126"/>
      <c r="V3" s="126"/>
      <c r="X3" s="126"/>
      <c r="AL3" s="619" t="s">
        <v>1240</v>
      </c>
      <c r="AM3" s="619">
        <f>+AM2-AM1</f>
        <v>8500</v>
      </c>
    </row>
    <row r="4" spans="1:52" ht="15" thickBot="1">
      <c r="F4" s="127" t="s">
        <v>163</v>
      </c>
      <c r="I4" s="945" t="s">
        <v>559</v>
      </c>
      <c r="J4" s="945"/>
      <c r="N4" s="152" t="s">
        <v>167</v>
      </c>
      <c r="O4" s="127" t="s">
        <v>166</v>
      </c>
      <c r="R4" s="141" t="s">
        <v>216</v>
      </c>
      <c r="S4" s="4">
        <f>VLOOKUP('Simulador - Datos personales'!E5,BBDD!$C$5:$G$34,5,0)</f>
        <v>3000</v>
      </c>
      <c r="T4" t="s">
        <v>561</v>
      </c>
      <c r="X4" s="126"/>
      <c r="AL4" s="619" t="s">
        <v>1241</v>
      </c>
      <c r="AM4" s="619">
        <f>+AM1+AM3/2</f>
        <v>5750</v>
      </c>
      <c r="AN4" s="227">
        <f ca="1">SUMIF(AN7:AN1066,"&gt;0")</f>
        <v>0</v>
      </c>
      <c r="AO4" s="227">
        <f ca="1">SUMIF(AO7:AO1066,"&gt;0")</f>
        <v>0</v>
      </c>
      <c r="AS4" s="227">
        <f ca="1">SUMIF(AS7:AS1066,"&gt;0")</f>
        <v>0</v>
      </c>
      <c r="AT4" s="227">
        <f ca="1">SUMIF(AT7:AT1066,"&gt;0")</f>
        <v>0</v>
      </c>
      <c r="AX4" s="227">
        <f ca="1">SUMIF(AX7:AX1066,"&gt;0")</f>
        <v>209999.99999999997</v>
      </c>
      <c r="AY4" s="227">
        <f ca="1">SUMIF(AY7:AY1066,"&gt;0")</f>
        <v>82342.111793819189</v>
      </c>
    </row>
    <row r="5" spans="1:52" ht="15.75" customHeight="1">
      <c r="A5" s="4" t="s">
        <v>326</v>
      </c>
      <c r="B5" s="4">
        <f ca="1">YEAR(B7)-YEAR(B6)</f>
        <v>23</v>
      </c>
      <c r="F5" s="146">
        <f>Hipótesis!E7</f>
        <v>2.5000000000000001E-2</v>
      </c>
      <c r="H5" s="304">
        <f>VLOOKUP('Simulador - Datos personales'!E5,BBDD!$C$5:$M$7000,9,0)</f>
        <v>0.05</v>
      </c>
      <c r="I5" s="755">
        <f>+IF('Simulador - 2º Pilar'!H12="2% Sal. Pensionable",2%,0%)</f>
        <v>0</v>
      </c>
      <c r="J5" s="690">
        <f>+I5</f>
        <v>0</v>
      </c>
      <c r="K5" s="151"/>
      <c r="L5" s="151"/>
      <c r="M5" s="151"/>
      <c r="N5" s="199">
        <f ca="1">IF('Simulador - 1º Pilar'!$E$99="Sí",SUM(N7:N1066)*(1+$O$5)^(C14/12),SUM(N7:N1066))</f>
        <v>391715.15644795389</v>
      </c>
      <c r="O5" s="146">
        <f>Hipótesis!E15</f>
        <v>0.02</v>
      </c>
      <c r="X5" s="126"/>
      <c r="Y5" s="227">
        <f ca="1">SUM(Y7:Y1066)</f>
        <v>209999.99999999997</v>
      </c>
      <c r="Z5" s="227">
        <f t="shared" ref="Z5" ca="1" si="0">SUM(Z7:Z1066)</f>
        <v>82342.111793819189</v>
      </c>
      <c r="AA5" s="758">
        <f ca="1">SUM(AA7:AA1066)+(S4*((1+$O$5)^(($B$7-$K$1)/365.25)))</f>
        <v>263679.71109206742</v>
      </c>
      <c r="AB5" s="227">
        <f ca="1">SUM(AB7:AB1066)</f>
        <v>95878.884763038732</v>
      </c>
      <c r="AK5" s="946" t="s">
        <v>588</v>
      </c>
      <c r="AL5" s="947"/>
      <c r="AM5" s="947"/>
      <c r="AN5" s="947"/>
      <c r="AO5" s="948"/>
      <c r="AP5" s="946" t="s">
        <v>592</v>
      </c>
      <c r="AQ5" s="947"/>
      <c r="AR5" s="947"/>
      <c r="AS5" s="947"/>
      <c r="AT5" s="948"/>
      <c r="AU5" s="946" t="s">
        <v>593</v>
      </c>
      <c r="AV5" s="947"/>
      <c r="AW5" s="947"/>
      <c r="AX5" s="947"/>
      <c r="AY5" s="948"/>
    </row>
    <row r="6" spans="1:52" ht="43.2">
      <c r="A6" s="4" t="s">
        <v>175</v>
      </c>
      <c r="B6" s="244">
        <v>44561</v>
      </c>
      <c r="C6" s="123">
        <f ca="1">TODAY()</f>
        <v>45558</v>
      </c>
      <c r="E6" s="122" t="s">
        <v>161</v>
      </c>
      <c r="F6" s="122" t="s">
        <v>164</v>
      </c>
      <c r="G6" s="122" t="s">
        <v>165</v>
      </c>
      <c r="H6" s="152" t="s">
        <v>229</v>
      </c>
      <c r="I6" s="152" t="s">
        <v>230</v>
      </c>
      <c r="J6" s="152" t="s">
        <v>377</v>
      </c>
      <c r="K6" s="152" t="s">
        <v>232</v>
      </c>
      <c r="L6" s="152" t="s">
        <v>233</v>
      </c>
      <c r="M6" s="152" t="s">
        <v>377</v>
      </c>
      <c r="N6" s="152" t="s">
        <v>231</v>
      </c>
      <c r="O6" s="122" t="s">
        <v>162</v>
      </c>
      <c r="V6" s="747" t="s">
        <v>584</v>
      </c>
      <c r="W6" s="747" t="s">
        <v>585</v>
      </c>
      <c r="X6" s="747" t="s">
        <v>1</v>
      </c>
      <c r="Y6" s="226" t="s">
        <v>328</v>
      </c>
      <c r="Z6" s="226" t="s">
        <v>329</v>
      </c>
      <c r="AA6" s="226" t="s">
        <v>330</v>
      </c>
      <c r="AB6" s="226" t="s">
        <v>331</v>
      </c>
      <c r="AF6" s="747" t="s">
        <v>587</v>
      </c>
      <c r="AG6" s="756" t="s">
        <v>586</v>
      </c>
      <c r="AH6" s="756" t="s">
        <v>592</v>
      </c>
      <c r="AI6" s="756" t="s">
        <v>593</v>
      </c>
      <c r="AJ6" s="747" t="s">
        <v>587</v>
      </c>
      <c r="AK6" s="748" t="s">
        <v>589</v>
      </c>
      <c r="AL6" s="748" t="s">
        <v>590</v>
      </c>
      <c r="AM6" s="748" t="s">
        <v>591</v>
      </c>
      <c r="AN6" s="749" t="s">
        <v>597</v>
      </c>
      <c r="AO6" s="749" t="s">
        <v>598</v>
      </c>
      <c r="AP6" s="748" t="s">
        <v>589</v>
      </c>
      <c r="AQ6" s="748" t="s">
        <v>590</v>
      </c>
      <c r="AR6" s="748" t="s">
        <v>594</v>
      </c>
      <c r="AS6" s="749" t="s">
        <v>599</v>
      </c>
      <c r="AT6" s="749" t="s">
        <v>600</v>
      </c>
      <c r="AU6" s="748" t="s">
        <v>589</v>
      </c>
      <c r="AV6" s="748" t="s">
        <v>590</v>
      </c>
      <c r="AW6" s="748" t="s">
        <v>594</v>
      </c>
      <c r="AX6" s="749" t="s">
        <v>601</v>
      </c>
      <c r="AY6" s="749" t="s">
        <v>602</v>
      </c>
      <c r="AZ6" s="857" t="s">
        <v>1242</v>
      </c>
    </row>
    <row r="7" spans="1:52">
      <c r="A7" s="4" t="s">
        <v>176</v>
      </c>
      <c r="B7" s="6">
        <f ca="1">DATE(YEAR('Simulador - 1º Pilar'!G20),MONTH('Simulador - 1º Pilar'!G20)+1,DAY(1))</f>
        <v>52810</v>
      </c>
      <c r="E7" s="6">
        <f ca="1">DATE(YEAR($B$7),MONTH($B$7)-1,DAY($B$7))</f>
        <v>52779</v>
      </c>
      <c r="F7" s="7">
        <f ca="1">MAX(IF(DATE(YEAR($B$6),MONTH($B$6)+1,DAY(1))=E7,1,IF(MONTH(E7)=1,F8*(1+$F$5),F8)),1)</f>
        <v>1.721571397580095</v>
      </c>
      <c r="G7" s="125">
        <f ca="1">IF('Simulador - 1º Pilar'!$E$99="Sí",IF('Aportaciones PPE'!$B$13&lt;'Aportaciones PPE'!E7,0,F7*$B$8/12),F7*$B$8/12)</f>
        <v>30127.499457651662</v>
      </c>
      <c r="H7" s="125">
        <f ca="1">$H$5*G7</f>
        <v>1506.3749728825833</v>
      </c>
      <c r="I7" s="125">
        <f ca="1">$I$5*G7</f>
        <v>0</v>
      </c>
      <c r="J7" s="125">
        <f ca="1">+I7</f>
        <v>0</v>
      </c>
      <c r="K7" s="125">
        <f ca="1">H7+IF(AND(F7=1,F8=0),$S$4,0)</f>
        <v>1506.3749728825833</v>
      </c>
      <c r="L7" s="125">
        <f ca="1">I7+IF(AND(F7=1,F8=0),$S$4,0)</f>
        <v>0</v>
      </c>
      <c r="M7" s="125">
        <f ca="1">+L7</f>
        <v>0</v>
      </c>
      <c r="N7" s="125">
        <f ca="1">L7+K7+M7</f>
        <v>1506.3749728825833</v>
      </c>
      <c r="O7" s="124">
        <f>IF('Simulador - Datos personales'!G58="Si",0.06,0.04)</f>
        <v>0.04</v>
      </c>
      <c r="P7" s="6">
        <v>2958282</v>
      </c>
      <c r="U7" s="55"/>
      <c r="V7">
        <v>1</v>
      </c>
      <c r="W7">
        <f ca="1">+YEAR(K1)</f>
        <v>2024</v>
      </c>
      <c r="X7" s="123">
        <f ca="1">+DATE(W7,V7,1)</f>
        <v>45292</v>
      </c>
      <c r="Y7" s="64">
        <f ca="1">+_xlfn.IFNA(AN7+AS7+AX7,0)</f>
        <v>919.29687499999989</v>
      </c>
      <c r="Z7" s="64">
        <f ca="1">+_xlfn.IFNA(AO7+AT7+AY7,0)</f>
        <v>0</v>
      </c>
      <c r="AA7" s="64">
        <f ca="1">Y7*(1+$O$5)^(($B$7-X7)/365.25)</f>
        <v>1381.8933098265304</v>
      </c>
      <c r="AB7" s="64">
        <f ca="1">Z7*(1+$O$5)^(($B$7-X7)/365.25)</f>
        <v>0</v>
      </c>
      <c r="AF7" t="str">
        <f t="shared" ref="AF7:AF70" ca="1" si="1">+MONTH(E7)&amp;YEAR(E7)</f>
        <v>72044</v>
      </c>
      <c r="AG7" s="126">
        <f t="shared" ref="AG7:AG70" ca="1" si="2">+I7</f>
        <v>0</v>
      </c>
      <c r="AH7" s="126">
        <f t="shared" ref="AH7:AH70" ca="1" si="3">+J7</f>
        <v>0</v>
      </c>
      <c r="AI7" s="126">
        <f ca="1">+H7</f>
        <v>1506.3749728825833</v>
      </c>
      <c r="AJ7" t="str">
        <f t="shared" ref="AJ7:AJ70" ca="1" si="4">+V7&amp;W7</f>
        <v>12024</v>
      </c>
      <c r="AK7" s="126">
        <f ca="1">+_xlfn.IFNA(VLOOKUP(AJ7,$AF$7:$AG$1066,2,0),0)</f>
        <v>0</v>
      </c>
      <c r="AL7" s="126">
        <f ca="1">+AK7</f>
        <v>0</v>
      </c>
      <c r="AM7" s="126">
        <f ca="1">+IF(AL7&gt;=$AM$1,$AM$1,AL7)</f>
        <v>0</v>
      </c>
      <c r="AN7" s="750">
        <f ca="1">+IF(OR(AM6=$AM$1,AM6=0),0,IF(AM7=AL7,AK7,$AM$1-AM6))</f>
        <v>0</v>
      </c>
      <c r="AO7" s="750">
        <f ca="1">+AK7-AN7</f>
        <v>0</v>
      </c>
      <c r="AP7" s="126">
        <f ca="1">+_xlfn.IFNA(VLOOKUP(AJ7,$AF$7:$AI$1066,3,0),0)</f>
        <v>0</v>
      </c>
      <c r="AQ7" s="126">
        <f ca="1">+AP7</f>
        <v>0</v>
      </c>
      <c r="AR7" s="126">
        <f t="shared" ref="AR7:AR70" ca="1" si="5">+MAX($AM$2-SUMIF($W$7:$W$1066,W7,$AN$7:$AN$1066),0)</f>
        <v>10000</v>
      </c>
      <c r="AS7" s="750">
        <f t="shared" ref="AS7:AS70" ca="1" si="6">+MAX(IF(AQ7&gt;AR7,AR7-AQ6,AP7),0)</f>
        <v>0</v>
      </c>
      <c r="AT7" s="750">
        <f t="shared" ref="AT7:AT70" ca="1" si="7">+AP7-AS7</f>
        <v>0</v>
      </c>
      <c r="AU7" s="126">
        <f ca="1">+_xlfn.IFNA(VLOOKUP(AJ7,$AF$7:$AI$1066,4,0),0)</f>
        <v>919.29687499999989</v>
      </c>
      <c r="AV7" s="126">
        <f ca="1">+AU7</f>
        <v>919.29687499999989</v>
      </c>
      <c r="AW7" s="126">
        <f t="shared" ref="AW7:AW70" ca="1" si="8">+MAX($AM$2-SUMIF($W$7:$W$1066,W7,$AN$7:$AN$1066)-SUMIF($W$7:$W$1066,W7,$AS$7:$AS$1066),0)</f>
        <v>10000</v>
      </c>
      <c r="AX7" s="750">
        <f ca="1">+IF(AW7=0,0,MAX(IF(AV7&gt;AW7,AW7-AV6,AU7),0))</f>
        <v>919.29687499999989</v>
      </c>
      <c r="AY7" s="750">
        <f ca="1">+AU7-AX7</f>
        <v>0</v>
      </c>
      <c r="AZ7">
        <f>+$AM$1+IF($AP$1&gt;$AP$2,$AM$3/2)</f>
        <v>5750</v>
      </c>
    </row>
    <row r="8" spans="1:52">
      <c r="A8" s="4"/>
      <c r="B8" s="4">
        <f>'Simulador - Datos personales'!E15</f>
        <v>210000</v>
      </c>
      <c r="C8" s="7">
        <f>B8/12</f>
        <v>17500</v>
      </c>
      <c r="D8">
        <v>1</v>
      </c>
      <c r="E8" s="6">
        <f ca="1">+DATE(YEAR(E7),MONTH(E7)-1,DAY(E7))</f>
        <v>52749</v>
      </c>
      <c r="F8" s="7">
        <f t="shared" ref="F8:F71" ca="1" si="9">IF(DATE(YEAR($B$6),MONTH($B$6)+1,DAY(1))=E8,1,IF(MONTH(E8)=1,F9*(1+$F$5),F9))</f>
        <v>1.721571397580095</v>
      </c>
      <c r="G8" s="125">
        <f ca="1">IF('Simulador - 1º Pilar'!$E$99="Sí",IF('Aportaciones PPE'!$B$13&lt;'Aportaciones PPE'!E8,0,F8*$B$8/12),F8*$B$8/12)</f>
        <v>30127.499457651662</v>
      </c>
      <c r="H8" s="125">
        <f t="shared" ref="H8:H70" ca="1" si="10">$H$5*G8</f>
        <v>1506.3749728825833</v>
      </c>
      <c r="I8" s="125">
        <f t="shared" ref="I8:I71" ca="1" si="11">$I$5*G8</f>
        <v>0</v>
      </c>
      <c r="J8" s="125">
        <f t="shared" ref="J8:J71" ca="1" si="12">+I8</f>
        <v>0</v>
      </c>
      <c r="K8" s="125">
        <f ca="1">(1+$O$5)^(D8/12)*(H8+IF(AND(F8=1,F9=0),$S$4,0))</f>
        <v>1508.8628736214766</v>
      </c>
      <c r="L8" s="125">
        <f ca="1">(1+$O$5)^(D8/12)*(I8+IF(AND(F8=1,F9=0),0))</f>
        <v>0</v>
      </c>
      <c r="M8" s="125">
        <f t="shared" ref="M8:M71" ca="1" si="13">+L8</f>
        <v>0</v>
      </c>
      <c r="N8" s="125">
        <f t="shared" ref="N8:N71" ca="1" si="14">L8+K8+M8</f>
        <v>1508.8628736214766</v>
      </c>
      <c r="O8" s="124">
        <v>0.02</v>
      </c>
      <c r="P8" s="6">
        <v>47300</v>
      </c>
      <c r="R8">
        <f>D8</f>
        <v>1</v>
      </c>
      <c r="U8" s="55"/>
      <c r="V8">
        <f>+IF(V7=11,12,IF(V7=12,1,V7+1))</f>
        <v>2</v>
      </c>
      <c r="W8">
        <f ca="1">+W7+IF(V7=12,1,0)</f>
        <v>2024</v>
      </c>
      <c r="X8" s="123">
        <f t="shared" ref="X8:X71" ca="1" si="15">+DATE(W8,V8,1)</f>
        <v>45323</v>
      </c>
      <c r="Y8" s="64">
        <f ca="1">+_xlfn.IFNA(AN8+AS8+AX8,0)</f>
        <v>919.29687499999989</v>
      </c>
      <c r="Z8" s="64">
        <f t="shared" ref="Z8:Z71" ca="1" si="16">+_xlfn.IFNA(AO8+AT8+AY8,0)</f>
        <v>0</v>
      </c>
      <c r="AA8" s="64">
        <f t="shared" ref="AA8:AA71" ca="1" si="17">Y8*(1+$O$5)^(($B$7-X8)/365.25)</f>
        <v>1379.5726906028874</v>
      </c>
      <c r="AB8" s="64">
        <f t="shared" ref="AB8:AB71" ca="1" si="18">Z8*(1+$O$5)^(($B$7-X8)/365.25)</f>
        <v>0</v>
      </c>
      <c r="AF8" t="str">
        <f t="shared" ca="1" si="1"/>
        <v>62044</v>
      </c>
      <c r="AG8" s="126">
        <f t="shared" ca="1" si="2"/>
        <v>0</v>
      </c>
      <c r="AH8" s="126">
        <f t="shared" ca="1" si="3"/>
        <v>0</v>
      </c>
      <c r="AI8" s="126">
        <f t="shared" ref="AI8:AI70" ca="1" si="19">+H8</f>
        <v>1506.3749728825833</v>
      </c>
      <c r="AJ8" t="str">
        <f t="shared" ca="1" si="4"/>
        <v>22024</v>
      </c>
      <c r="AK8" s="126">
        <f t="shared" ref="AK8:AK71" ca="1" si="20">+_xlfn.IFNA(VLOOKUP(AJ8,$AF$7:$AG$1066,2,0),0)</f>
        <v>0</v>
      </c>
      <c r="AL8" s="126">
        <f t="shared" ref="AL8:AL71" ca="1" si="21">+IF(W8&gt;W7,AK8,AL7+AK8)</f>
        <v>0</v>
      </c>
      <c r="AM8" s="126">
        <f ca="1">IF(W8&gt;W7,IF(AL8&gt;=$AZ$8,$AZ$8,AL8),IF(OR(AM7=$AZ$8,AM7=0),0,IF(AL8&gt;=$AZ$8,$AZ$8,AL8)))</f>
        <v>0</v>
      </c>
      <c r="AN8" s="753">
        <f ca="1">+IF(OR(AM8&gt;AZ7,AM8=0),0,IF(AM8=AL8,AK8,$AZ$7-AL7))</f>
        <v>0</v>
      </c>
      <c r="AO8" s="750">
        <f t="shared" ref="AO8:AO71" ca="1" si="22">+AK8-AN8</f>
        <v>0</v>
      </c>
      <c r="AP8" s="126">
        <f t="shared" ref="AP8:AP71" ca="1" si="23">+_xlfn.IFNA(VLOOKUP(AJ8,$AF$7:$AI$1066,3,0),0)</f>
        <v>0</v>
      </c>
      <c r="AQ8" s="126">
        <f t="shared" ref="AQ8:AQ71" ca="1" si="24">+IF(W8&gt;W7,AP8,AQ7+AP8)</f>
        <v>0</v>
      </c>
      <c r="AR8" s="126">
        <f t="shared" ca="1" si="5"/>
        <v>10000</v>
      </c>
      <c r="AS8" s="750">
        <f t="shared" ca="1" si="6"/>
        <v>0</v>
      </c>
      <c r="AT8" s="750">
        <f t="shared" ca="1" si="7"/>
        <v>0</v>
      </c>
      <c r="AU8" s="126">
        <f t="shared" ref="AU8:AU71" ca="1" si="25">+_xlfn.IFNA(VLOOKUP(AJ8,$AF$7:$AI$1066,4,0),0)</f>
        <v>919.29687499999989</v>
      </c>
      <c r="AV8" s="126">
        <f t="shared" ref="AV8:AV71" ca="1" si="26">+IF(W8&gt;W7,AU8,AV7+AU8)</f>
        <v>1838.5937499999998</v>
      </c>
      <c r="AW8" s="126">
        <f t="shared" ca="1" si="8"/>
        <v>10000</v>
      </c>
      <c r="AX8" s="750">
        <f t="shared" ref="AX8:AX71" ca="1" si="27">+MAX(IF(AV8&gt;AW8,AW8-AV7,AU8),0)</f>
        <v>919.29687499999989</v>
      </c>
      <c r="AY8" s="750">
        <f t="shared" ref="AY8:AY71" ca="1" si="28">+AU8-AX8</f>
        <v>0</v>
      </c>
      <c r="AZ8">
        <f t="shared" ref="AZ8:AZ71" si="29">+$AM$1+IF($AP$1&gt;$AP$2,$AM$3/2)</f>
        <v>5750</v>
      </c>
    </row>
    <row r="9" spans="1:52">
      <c r="D9">
        <v>2</v>
      </c>
      <c r="E9" s="6">
        <f t="shared" ref="E9:E72" ca="1" si="30">+DATE(YEAR(E8),MONTH(E8)-1,DAY(E8))</f>
        <v>52718</v>
      </c>
      <c r="F9" s="7">
        <f t="shared" ca="1" si="9"/>
        <v>1.721571397580095</v>
      </c>
      <c r="G9" s="125">
        <f ca="1">IF('Simulador - 1º Pilar'!$E$99="Sí",IF('Aportaciones PPE'!$B$13&lt;'Aportaciones PPE'!E9,0,F9*$B$8/12),F9*$B$8/12)</f>
        <v>30127.499457651662</v>
      </c>
      <c r="H9" s="125">
        <f t="shared" ca="1" si="10"/>
        <v>1506.3749728825833</v>
      </c>
      <c r="I9" s="125">
        <f t="shared" ca="1" si="11"/>
        <v>0</v>
      </c>
      <c r="J9" s="125">
        <f t="shared" ca="1" si="12"/>
        <v>0</v>
      </c>
      <c r="K9" s="125">
        <f ca="1">(1+$O$5)^(D9/12)*(H9+IF(AND(F9=1,F10=0),$S$4,0))</f>
        <v>1511.3548833307116</v>
      </c>
      <c r="L9" s="125">
        <f t="shared" ref="L9:L72" ca="1" si="31">(1+$O$5)^(D9/12)*(I9+IF(AND(F9=1,F10=0),0))</f>
        <v>0</v>
      </c>
      <c r="M9" s="125">
        <f t="shared" ca="1" si="13"/>
        <v>0</v>
      </c>
      <c r="N9" s="125">
        <f t="shared" ca="1" si="14"/>
        <v>1511.3548833307116</v>
      </c>
      <c r="O9" s="124">
        <v>0.03</v>
      </c>
      <c r="R9">
        <f t="shared" ref="R9:R72" si="32">D9</f>
        <v>2</v>
      </c>
      <c r="U9" s="55"/>
      <c r="V9">
        <f t="shared" ref="V9:V72" si="33">+IF(V8=11,12,IF(V8=12,1,V8+1))</f>
        <v>3</v>
      </c>
      <c r="W9">
        <f t="shared" ref="W9:W72" ca="1" si="34">+W8+IF(V8=12,1,0)</f>
        <v>2024</v>
      </c>
      <c r="X9" s="123">
        <f t="shared" ca="1" si="15"/>
        <v>45352</v>
      </c>
      <c r="Y9" s="64">
        <f t="shared" ref="Y9:Y71" ca="1" si="35">+_xlfn.IFNA(AN9+AS9+AX9,0)</f>
        <v>919.29687499999989</v>
      </c>
      <c r="Z9" s="64">
        <f t="shared" ca="1" si="16"/>
        <v>0</v>
      </c>
      <c r="AA9" s="64">
        <f t="shared" ca="1" si="17"/>
        <v>1377.4053168804094</v>
      </c>
      <c r="AB9" s="64">
        <f t="shared" ca="1" si="18"/>
        <v>0</v>
      </c>
      <c r="AF9" t="str">
        <f t="shared" ca="1" si="1"/>
        <v>52044</v>
      </c>
      <c r="AG9" s="126">
        <f t="shared" ca="1" si="2"/>
        <v>0</v>
      </c>
      <c r="AH9" s="126">
        <f t="shared" ca="1" si="3"/>
        <v>0</v>
      </c>
      <c r="AI9" s="126">
        <f t="shared" ca="1" si="19"/>
        <v>1506.3749728825833</v>
      </c>
      <c r="AJ9" t="str">
        <f t="shared" ca="1" si="4"/>
        <v>32024</v>
      </c>
      <c r="AK9" s="126">
        <f t="shared" ca="1" si="20"/>
        <v>0</v>
      </c>
      <c r="AL9" s="126">
        <f t="shared" ca="1" si="21"/>
        <v>0</v>
      </c>
      <c r="AM9" s="126">
        <f t="shared" ref="AM9:AM72" ca="1" si="36">IF(W9&gt;W8,IF(AL9&gt;=$AZ$8,$AZ$8,AL9),IF(OR(AM8=$AZ$8,AM8=0),0,IF(AL9&gt;=$AZ$8,$AZ$8,AL9)))</f>
        <v>0</v>
      </c>
      <c r="AN9" s="753">
        <f t="shared" ref="AN9:AN72" ca="1" si="37">+IF(OR(AM9&gt;AZ8,AM9=0),0,IF(AM9=AL9,AK9,$AZ$7-AL8))</f>
        <v>0</v>
      </c>
      <c r="AO9" s="750">
        <f t="shared" ca="1" si="22"/>
        <v>0</v>
      </c>
      <c r="AP9" s="126">
        <f t="shared" ca="1" si="23"/>
        <v>0</v>
      </c>
      <c r="AQ9" s="126">
        <f t="shared" ca="1" si="24"/>
        <v>0</v>
      </c>
      <c r="AR9" s="126">
        <f t="shared" ca="1" si="5"/>
        <v>10000</v>
      </c>
      <c r="AS9" s="750">
        <f t="shared" ca="1" si="6"/>
        <v>0</v>
      </c>
      <c r="AT9" s="750">
        <f t="shared" ca="1" si="7"/>
        <v>0</v>
      </c>
      <c r="AU9" s="126">
        <f t="shared" ca="1" si="25"/>
        <v>919.29687499999989</v>
      </c>
      <c r="AV9" s="126">
        <f t="shared" ca="1" si="26"/>
        <v>2757.8906249999995</v>
      </c>
      <c r="AW9" s="126">
        <f t="shared" ca="1" si="8"/>
        <v>10000</v>
      </c>
      <c r="AX9" s="750">
        <f t="shared" ca="1" si="27"/>
        <v>919.29687499999989</v>
      </c>
      <c r="AY9" s="750">
        <f t="shared" ca="1" si="28"/>
        <v>0</v>
      </c>
      <c r="AZ9">
        <f t="shared" si="29"/>
        <v>5750</v>
      </c>
    </row>
    <row r="10" spans="1:52">
      <c r="A10" s="4" t="s">
        <v>226</v>
      </c>
      <c r="B10" s="4">
        <f>'Simulador - Datos personales'!E13</f>
        <v>220000</v>
      </c>
      <c r="D10">
        <v>3</v>
      </c>
      <c r="E10" s="6">
        <f t="shared" ca="1" si="30"/>
        <v>52688</v>
      </c>
      <c r="F10" s="7">
        <f t="shared" ca="1" si="9"/>
        <v>1.721571397580095</v>
      </c>
      <c r="G10" s="125">
        <f ca="1">IF('Simulador - 1º Pilar'!$E$99="Sí",IF('Aportaciones PPE'!$B$13&lt;'Aportaciones PPE'!E10,0,F10*$B$8/12),F10*$B$8/12)</f>
        <v>30127.499457651662</v>
      </c>
      <c r="H10" s="125">
        <f t="shared" ca="1" si="10"/>
        <v>1506.3749728825833</v>
      </c>
      <c r="I10" s="125">
        <f t="shared" ca="1" si="11"/>
        <v>0</v>
      </c>
      <c r="J10" s="125">
        <f t="shared" ca="1" si="12"/>
        <v>0</v>
      </c>
      <c r="K10" s="125">
        <f t="shared" ref="K10:K71" ca="1" si="38">(1+$O$5)^(D10/12)*(H10+IF(AND(F10=1,F11=0),$S$4,0))</f>
        <v>1513.8510087965863</v>
      </c>
      <c r="L10" s="125">
        <f t="shared" ca="1" si="31"/>
        <v>0</v>
      </c>
      <c r="M10" s="125">
        <f t="shared" ca="1" si="13"/>
        <v>0</v>
      </c>
      <c r="N10" s="125">
        <f t="shared" ca="1" si="14"/>
        <v>1513.8510087965863</v>
      </c>
      <c r="R10">
        <f t="shared" si="32"/>
        <v>3</v>
      </c>
      <c r="U10" s="55"/>
      <c r="V10">
        <f t="shared" si="33"/>
        <v>4</v>
      </c>
      <c r="W10">
        <f t="shared" ca="1" si="34"/>
        <v>2024</v>
      </c>
      <c r="X10" s="123">
        <f t="shared" ca="1" si="15"/>
        <v>45383</v>
      </c>
      <c r="Y10" s="64">
        <f t="shared" ca="1" si="35"/>
        <v>919.29687499999989</v>
      </c>
      <c r="Z10" s="64">
        <f t="shared" ca="1" si="16"/>
        <v>0</v>
      </c>
      <c r="AA10" s="64">
        <f t="shared" ca="1" si="17"/>
        <v>1375.0922343621203</v>
      </c>
      <c r="AB10" s="64">
        <f t="shared" ca="1" si="18"/>
        <v>0</v>
      </c>
      <c r="AF10" t="str">
        <f t="shared" ca="1" si="1"/>
        <v>42044</v>
      </c>
      <c r="AG10" s="126">
        <f t="shared" ca="1" si="2"/>
        <v>0</v>
      </c>
      <c r="AH10" s="126">
        <f t="shared" ca="1" si="3"/>
        <v>0</v>
      </c>
      <c r="AI10" s="126">
        <f t="shared" ca="1" si="19"/>
        <v>1506.3749728825833</v>
      </c>
      <c r="AJ10" t="str">
        <f t="shared" ca="1" si="4"/>
        <v>42024</v>
      </c>
      <c r="AK10" s="126">
        <f t="shared" ca="1" si="20"/>
        <v>0</v>
      </c>
      <c r="AL10" s="126">
        <f t="shared" ca="1" si="21"/>
        <v>0</v>
      </c>
      <c r="AM10" s="126">
        <f t="shared" ca="1" si="36"/>
        <v>0</v>
      </c>
      <c r="AN10" s="753">
        <f t="shared" ca="1" si="37"/>
        <v>0</v>
      </c>
      <c r="AO10" s="750">
        <f t="shared" ca="1" si="22"/>
        <v>0</v>
      </c>
      <c r="AP10" s="126">
        <f t="shared" ca="1" si="23"/>
        <v>0</v>
      </c>
      <c r="AQ10" s="126">
        <f t="shared" ca="1" si="24"/>
        <v>0</v>
      </c>
      <c r="AR10" s="126">
        <f t="shared" ca="1" si="5"/>
        <v>10000</v>
      </c>
      <c r="AS10" s="750">
        <f t="shared" ca="1" si="6"/>
        <v>0</v>
      </c>
      <c r="AT10" s="750">
        <f t="shared" ca="1" si="7"/>
        <v>0</v>
      </c>
      <c r="AU10" s="126">
        <f t="shared" ca="1" si="25"/>
        <v>919.29687499999989</v>
      </c>
      <c r="AV10" s="126">
        <f t="shared" ca="1" si="26"/>
        <v>3677.1874999999995</v>
      </c>
      <c r="AW10" s="126">
        <f t="shared" ca="1" si="8"/>
        <v>10000</v>
      </c>
      <c r="AX10" s="750">
        <f t="shared" ca="1" si="27"/>
        <v>919.29687499999989</v>
      </c>
      <c r="AY10" s="750">
        <f t="shared" ca="1" si="28"/>
        <v>0</v>
      </c>
      <c r="AZ10">
        <f t="shared" si="29"/>
        <v>5750</v>
      </c>
    </row>
    <row r="11" spans="1:52">
      <c r="A11" s="9" t="s">
        <v>227</v>
      </c>
      <c r="B11" s="147">
        <f ca="1">IF(G7=0,C11*B10/12,F7*B10/12)</f>
        <v>31562.142288968407</v>
      </c>
      <c r="C11" s="7">
        <f ca="1">_xlfn.IFNA(VLOOKUP(B14,$E$7:$G$1066,2,0),1)</f>
        <v>1</v>
      </c>
      <c r="D11">
        <v>4</v>
      </c>
      <c r="E11" s="6">
        <f t="shared" ca="1" si="30"/>
        <v>52657</v>
      </c>
      <c r="F11" s="7">
        <f t="shared" ca="1" si="9"/>
        <v>1.721571397580095</v>
      </c>
      <c r="G11" s="125">
        <f ca="1">IF('Simulador - 1º Pilar'!$E$99="Sí",IF('Aportaciones PPE'!$B$13&lt;'Aportaciones PPE'!E11,0,F11*$B$8/12),F11*$B$8/12)</f>
        <v>30127.499457651662</v>
      </c>
      <c r="H11" s="125">
        <f t="shared" ca="1" si="10"/>
        <v>1506.3749728825833</v>
      </c>
      <c r="I11" s="125">
        <f t="shared" ca="1" si="11"/>
        <v>0</v>
      </c>
      <c r="J11" s="125">
        <f t="shared" ca="1" si="12"/>
        <v>0</v>
      </c>
      <c r="K11" s="125">
        <f t="shared" ca="1" si="38"/>
        <v>1516.3512568166077</v>
      </c>
      <c r="L11" s="125">
        <f t="shared" ca="1" si="31"/>
        <v>0</v>
      </c>
      <c r="M11" s="125">
        <f t="shared" ca="1" si="13"/>
        <v>0</v>
      </c>
      <c r="N11" s="125">
        <f t="shared" ca="1" si="14"/>
        <v>1516.3512568166077</v>
      </c>
      <c r="R11">
        <f t="shared" si="32"/>
        <v>4</v>
      </c>
      <c r="U11" s="55"/>
      <c r="V11">
        <f t="shared" si="33"/>
        <v>5</v>
      </c>
      <c r="W11">
        <f t="shared" ca="1" si="34"/>
        <v>2024</v>
      </c>
      <c r="X11" s="123">
        <f t="shared" ca="1" si="15"/>
        <v>45413</v>
      </c>
      <c r="Y11" s="64">
        <f t="shared" ca="1" si="35"/>
        <v>919.29687499999989</v>
      </c>
      <c r="Z11" s="64">
        <f t="shared" ca="1" si="16"/>
        <v>0</v>
      </c>
      <c r="AA11" s="64">
        <f t="shared" ca="1" si="17"/>
        <v>1372.8574659125682</v>
      </c>
      <c r="AB11" s="64">
        <f t="shared" ca="1" si="18"/>
        <v>0</v>
      </c>
      <c r="AF11" t="str">
        <f t="shared" ca="1" si="1"/>
        <v>32044</v>
      </c>
      <c r="AG11" s="126">
        <f t="shared" ca="1" si="2"/>
        <v>0</v>
      </c>
      <c r="AH11" s="126">
        <f t="shared" ca="1" si="3"/>
        <v>0</v>
      </c>
      <c r="AI11" s="126">
        <f t="shared" ca="1" si="19"/>
        <v>1506.3749728825833</v>
      </c>
      <c r="AJ11" t="str">
        <f t="shared" ca="1" si="4"/>
        <v>52024</v>
      </c>
      <c r="AK11" s="126">
        <f t="shared" ca="1" si="20"/>
        <v>0</v>
      </c>
      <c r="AL11" s="126">
        <f t="shared" ca="1" si="21"/>
        <v>0</v>
      </c>
      <c r="AM11" s="126">
        <f t="shared" ca="1" si="36"/>
        <v>0</v>
      </c>
      <c r="AN11" s="753">
        <f t="shared" ca="1" si="37"/>
        <v>0</v>
      </c>
      <c r="AO11" s="750">
        <f t="shared" ca="1" si="22"/>
        <v>0</v>
      </c>
      <c r="AP11" s="126">
        <f t="shared" ca="1" si="23"/>
        <v>0</v>
      </c>
      <c r="AQ11" s="126">
        <f t="shared" ca="1" si="24"/>
        <v>0</v>
      </c>
      <c r="AR11" s="126">
        <f t="shared" ca="1" si="5"/>
        <v>10000</v>
      </c>
      <c r="AS11" s="750">
        <f t="shared" ca="1" si="6"/>
        <v>0</v>
      </c>
      <c r="AT11" s="750">
        <f t="shared" ca="1" si="7"/>
        <v>0</v>
      </c>
      <c r="AU11" s="126">
        <f t="shared" ca="1" si="25"/>
        <v>919.29687499999989</v>
      </c>
      <c r="AV11" s="126">
        <f t="shared" ca="1" si="26"/>
        <v>4596.4843749999991</v>
      </c>
      <c r="AW11" s="126">
        <f t="shared" ca="1" si="8"/>
        <v>10000</v>
      </c>
      <c r="AX11" s="750">
        <f t="shared" ca="1" si="27"/>
        <v>919.29687499999989</v>
      </c>
      <c r="AY11" s="750">
        <f t="shared" ca="1" si="28"/>
        <v>0</v>
      </c>
      <c r="AZ11">
        <f t="shared" si="29"/>
        <v>5750</v>
      </c>
    </row>
    <row r="12" spans="1:52">
      <c r="D12">
        <v>5</v>
      </c>
      <c r="E12" s="6">
        <f t="shared" ca="1" si="30"/>
        <v>52628</v>
      </c>
      <c r="F12" s="7">
        <f t="shared" ca="1" si="9"/>
        <v>1.721571397580095</v>
      </c>
      <c r="G12" s="125">
        <f ca="1">IF('Simulador - 1º Pilar'!$E$99="Sí",IF('Aportaciones PPE'!$B$13&lt;'Aportaciones PPE'!E12,0,F12*$B$8/12),F12*$B$8/12)</f>
        <v>30127.499457651662</v>
      </c>
      <c r="H12" s="125">
        <f t="shared" ca="1" si="10"/>
        <v>1506.3749728825833</v>
      </c>
      <c r="I12" s="125">
        <f t="shared" ca="1" si="11"/>
        <v>0</v>
      </c>
      <c r="J12" s="125">
        <f t="shared" ca="1" si="12"/>
        <v>0</v>
      </c>
      <c r="K12" s="125">
        <f t="shared" ca="1" si="38"/>
        <v>1518.855634199509</v>
      </c>
      <c r="L12" s="125">
        <f t="shared" ca="1" si="31"/>
        <v>0</v>
      </c>
      <c r="M12" s="125">
        <f t="shared" ca="1" si="13"/>
        <v>0</v>
      </c>
      <c r="N12" s="125">
        <f t="shared" ca="1" si="14"/>
        <v>1518.855634199509</v>
      </c>
      <c r="R12">
        <f t="shared" si="32"/>
        <v>5</v>
      </c>
      <c r="U12" s="55"/>
      <c r="V12">
        <f t="shared" si="33"/>
        <v>6</v>
      </c>
      <c r="W12">
        <f t="shared" ca="1" si="34"/>
        <v>2024</v>
      </c>
      <c r="X12" s="123">
        <f t="shared" ca="1" si="15"/>
        <v>45444</v>
      </c>
      <c r="Y12" s="64">
        <f ca="1">+_xlfn.IFNA(AN12+AS12+AX12,0)</f>
        <v>919.29687499999989</v>
      </c>
      <c r="Z12" s="64">
        <f t="shared" ca="1" si="16"/>
        <v>0</v>
      </c>
      <c r="AA12" s="64">
        <f ca="1">Y12*(1+$O$5)^(($B$7-X12)/365.25)</f>
        <v>1370.5520206194592</v>
      </c>
      <c r="AB12" s="64">
        <f t="shared" ca="1" si="18"/>
        <v>0</v>
      </c>
      <c r="AF12" t="str">
        <f t="shared" ca="1" si="1"/>
        <v>22044</v>
      </c>
      <c r="AG12" s="126">
        <f t="shared" ca="1" si="2"/>
        <v>0</v>
      </c>
      <c r="AH12" s="126">
        <f t="shared" ca="1" si="3"/>
        <v>0</v>
      </c>
      <c r="AI12" s="126">
        <f t="shared" ca="1" si="19"/>
        <v>1506.3749728825833</v>
      </c>
      <c r="AJ12" t="str">
        <f t="shared" ca="1" si="4"/>
        <v>62024</v>
      </c>
      <c r="AK12" s="126">
        <f t="shared" ca="1" si="20"/>
        <v>0</v>
      </c>
      <c r="AL12" s="126">
        <f t="shared" ca="1" si="21"/>
        <v>0</v>
      </c>
      <c r="AM12" s="126">
        <f t="shared" ca="1" si="36"/>
        <v>0</v>
      </c>
      <c r="AN12" s="753">
        <f t="shared" ca="1" si="37"/>
        <v>0</v>
      </c>
      <c r="AO12" s="750">
        <f t="shared" ca="1" si="22"/>
        <v>0</v>
      </c>
      <c r="AP12" s="126">
        <f t="shared" ca="1" si="23"/>
        <v>0</v>
      </c>
      <c r="AQ12" s="126">
        <f t="shared" ca="1" si="24"/>
        <v>0</v>
      </c>
      <c r="AR12" s="126">
        <f t="shared" ca="1" si="5"/>
        <v>10000</v>
      </c>
      <c r="AS12" s="750">
        <f t="shared" ca="1" si="6"/>
        <v>0</v>
      </c>
      <c r="AT12" s="750">
        <f t="shared" ca="1" si="7"/>
        <v>0</v>
      </c>
      <c r="AU12" s="126">
        <f t="shared" ca="1" si="25"/>
        <v>919.29687499999989</v>
      </c>
      <c r="AV12" s="126">
        <f t="shared" ca="1" si="26"/>
        <v>5515.7812499999991</v>
      </c>
      <c r="AW12" s="126">
        <f t="shared" ca="1" si="8"/>
        <v>10000</v>
      </c>
      <c r="AX12" s="750">
        <f t="shared" ca="1" si="27"/>
        <v>919.29687499999989</v>
      </c>
      <c r="AY12" s="750">
        <f t="shared" ca="1" si="28"/>
        <v>0</v>
      </c>
      <c r="AZ12">
        <f t="shared" si="29"/>
        <v>5750</v>
      </c>
    </row>
    <row r="13" spans="1:52">
      <c r="A13" s="4" t="s">
        <v>270</v>
      </c>
      <c r="B13" s="6">
        <f>'Simulador - 1º Pilar'!G16</f>
        <v>0</v>
      </c>
      <c r="D13">
        <v>6</v>
      </c>
      <c r="E13" s="6">
        <f t="shared" ca="1" si="30"/>
        <v>52597</v>
      </c>
      <c r="F13" s="7">
        <f t="shared" ca="1" si="9"/>
        <v>1.721571397580095</v>
      </c>
      <c r="G13" s="125">
        <f ca="1">IF('Simulador - 1º Pilar'!$E$99="Sí",IF('Aportaciones PPE'!$B$13&lt;'Aportaciones PPE'!E13,0,F13*$B$8/12),F13*$B$8/12)</f>
        <v>30127.499457651662</v>
      </c>
      <c r="H13" s="125">
        <f t="shared" ca="1" si="10"/>
        <v>1506.3749728825833</v>
      </c>
      <c r="I13" s="125">
        <f t="shared" ca="1" si="11"/>
        <v>0</v>
      </c>
      <c r="J13" s="125">
        <f t="shared" ca="1" si="12"/>
        <v>0</v>
      </c>
      <c r="K13" s="125">
        <f ca="1">(1+$O$5)^(D13/12)*(H13+IF(AND(F13=1,F14=0),$S$4,0))</f>
        <v>1521.3641477652691</v>
      </c>
      <c r="L13" s="125">
        <f t="shared" ca="1" si="31"/>
        <v>0</v>
      </c>
      <c r="M13" s="125">
        <f t="shared" ca="1" si="13"/>
        <v>0</v>
      </c>
      <c r="N13" s="125">
        <f t="shared" ca="1" si="14"/>
        <v>1521.3641477652691</v>
      </c>
      <c r="R13">
        <f t="shared" si="32"/>
        <v>6</v>
      </c>
      <c r="U13" s="55"/>
      <c r="V13">
        <f t="shared" si="33"/>
        <v>7</v>
      </c>
      <c r="W13">
        <f t="shared" ca="1" si="34"/>
        <v>2024</v>
      </c>
      <c r="X13" s="123">
        <f t="shared" ca="1" si="15"/>
        <v>45474</v>
      </c>
      <c r="Y13" s="64">
        <f t="shared" ca="1" si="35"/>
        <v>919.29687499999989</v>
      </c>
      <c r="Z13" s="64">
        <f t="shared" ca="1" si="16"/>
        <v>0</v>
      </c>
      <c r="AA13" s="64">
        <f t="shared" ca="1" si="17"/>
        <v>1368.3246308214423</v>
      </c>
      <c r="AB13" s="64">
        <f t="shared" ca="1" si="18"/>
        <v>0</v>
      </c>
      <c r="AF13" t="str">
        <f t="shared" ca="1" si="1"/>
        <v>12044</v>
      </c>
      <c r="AG13" s="126">
        <f t="shared" ca="1" si="2"/>
        <v>0</v>
      </c>
      <c r="AH13" s="126">
        <f t="shared" ca="1" si="3"/>
        <v>0</v>
      </c>
      <c r="AI13" s="126">
        <f t="shared" ca="1" si="19"/>
        <v>1506.3749728825833</v>
      </c>
      <c r="AJ13" t="str">
        <f t="shared" ca="1" si="4"/>
        <v>72024</v>
      </c>
      <c r="AK13" s="126">
        <f t="shared" ca="1" si="20"/>
        <v>0</v>
      </c>
      <c r="AL13" s="126">
        <f t="shared" ca="1" si="21"/>
        <v>0</v>
      </c>
      <c r="AM13" s="126">
        <f t="shared" ca="1" si="36"/>
        <v>0</v>
      </c>
      <c r="AN13" s="753">
        <f t="shared" ca="1" si="37"/>
        <v>0</v>
      </c>
      <c r="AO13" s="750">
        <f t="shared" ca="1" si="22"/>
        <v>0</v>
      </c>
      <c r="AP13" s="126">
        <f t="shared" ca="1" si="23"/>
        <v>0</v>
      </c>
      <c r="AQ13" s="126">
        <f t="shared" ca="1" si="24"/>
        <v>0</v>
      </c>
      <c r="AR13" s="126">
        <f t="shared" ca="1" si="5"/>
        <v>10000</v>
      </c>
      <c r="AS13" s="750">
        <f t="shared" ca="1" si="6"/>
        <v>0</v>
      </c>
      <c r="AT13" s="750">
        <f t="shared" ca="1" si="7"/>
        <v>0</v>
      </c>
      <c r="AU13" s="126">
        <f t="shared" ca="1" si="25"/>
        <v>919.29687499999989</v>
      </c>
      <c r="AV13" s="126">
        <f t="shared" ca="1" si="26"/>
        <v>6435.0781249999991</v>
      </c>
      <c r="AW13" s="126">
        <f t="shared" ca="1" si="8"/>
        <v>10000</v>
      </c>
      <c r="AX13" s="750">
        <f t="shared" ca="1" si="27"/>
        <v>919.29687499999989</v>
      </c>
      <c r="AY13" s="750">
        <f t="shared" ca="1" si="28"/>
        <v>0</v>
      </c>
      <c r="AZ13">
        <f t="shared" si="29"/>
        <v>5750</v>
      </c>
    </row>
    <row r="14" spans="1:52">
      <c r="B14" s="123">
        <f>DATE(YEAR(B13),MONTH(B13),DAY(1))</f>
        <v>1</v>
      </c>
      <c r="C14" t="e">
        <f ca="1">VLOOKUP(B14,E7:R1066,12,0)</f>
        <v>#N/A</v>
      </c>
      <c r="D14">
        <v>7</v>
      </c>
      <c r="E14" s="6">
        <f t="shared" ca="1" si="30"/>
        <v>52566</v>
      </c>
      <c r="F14" s="7">
        <f t="shared" ca="1" si="9"/>
        <v>1.6795818512976539</v>
      </c>
      <c r="G14" s="125">
        <f ca="1">IF('Simulador - 1º Pilar'!$E$99="Sí",IF('Aportaciones PPE'!$B$13&lt;'Aportaciones PPE'!E14,0,F14*$B$8/12),F14*$B$8/12)</f>
        <v>29392.682397708941</v>
      </c>
      <c r="H14" s="125">
        <f t="shared" ca="1" si="10"/>
        <v>1469.634119885447</v>
      </c>
      <c r="I14" s="125">
        <f t="shared" ca="1" si="11"/>
        <v>0</v>
      </c>
      <c r="J14" s="125">
        <f t="shared" ca="1" si="12"/>
        <v>0</v>
      </c>
      <c r="K14" s="125">
        <f t="shared" ca="1" si="38"/>
        <v>1486.7090774098829</v>
      </c>
      <c r="L14" s="125">
        <f t="shared" ca="1" si="31"/>
        <v>0</v>
      </c>
      <c r="M14" s="125">
        <f t="shared" ca="1" si="13"/>
        <v>0</v>
      </c>
      <c r="N14" s="125">
        <f t="shared" ca="1" si="14"/>
        <v>1486.7090774098829</v>
      </c>
      <c r="R14">
        <f t="shared" si="32"/>
        <v>7</v>
      </c>
      <c r="U14" s="55"/>
      <c r="V14">
        <f t="shared" si="33"/>
        <v>8</v>
      </c>
      <c r="W14">
        <f t="shared" ca="1" si="34"/>
        <v>2024</v>
      </c>
      <c r="X14" s="123">
        <f t="shared" ca="1" si="15"/>
        <v>45505</v>
      </c>
      <c r="Y14" s="64">
        <f t="shared" ca="1" si="35"/>
        <v>919.29687499999989</v>
      </c>
      <c r="Z14" s="64">
        <f t="shared" ca="1" si="16"/>
        <v>0</v>
      </c>
      <c r="AA14" s="64">
        <f t="shared" ca="1" si="17"/>
        <v>1366.0267975372885</v>
      </c>
      <c r="AB14" s="64">
        <f t="shared" ca="1" si="18"/>
        <v>0</v>
      </c>
      <c r="AF14" t="str">
        <f t="shared" ca="1" si="1"/>
        <v>122043</v>
      </c>
      <c r="AG14" s="126">
        <f t="shared" ca="1" si="2"/>
        <v>0</v>
      </c>
      <c r="AH14" s="126">
        <f t="shared" ca="1" si="3"/>
        <v>0</v>
      </c>
      <c r="AI14" s="126">
        <f t="shared" ca="1" si="19"/>
        <v>1469.634119885447</v>
      </c>
      <c r="AJ14" t="str">
        <f t="shared" ca="1" si="4"/>
        <v>82024</v>
      </c>
      <c r="AK14" s="126">
        <f t="shared" ca="1" si="20"/>
        <v>0</v>
      </c>
      <c r="AL14" s="126">
        <f t="shared" ca="1" si="21"/>
        <v>0</v>
      </c>
      <c r="AM14" s="126">
        <f t="shared" ca="1" si="36"/>
        <v>0</v>
      </c>
      <c r="AN14" s="753">
        <f t="shared" ca="1" si="37"/>
        <v>0</v>
      </c>
      <c r="AO14" s="750">
        <f t="shared" ca="1" si="22"/>
        <v>0</v>
      </c>
      <c r="AP14" s="126">
        <f t="shared" ca="1" si="23"/>
        <v>0</v>
      </c>
      <c r="AQ14" s="126">
        <f t="shared" ca="1" si="24"/>
        <v>0</v>
      </c>
      <c r="AR14" s="126">
        <f t="shared" ca="1" si="5"/>
        <v>10000</v>
      </c>
      <c r="AS14" s="750">
        <f t="shared" ca="1" si="6"/>
        <v>0</v>
      </c>
      <c r="AT14" s="750">
        <f t="shared" ca="1" si="7"/>
        <v>0</v>
      </c>
      <c r="AU14" s="126">
        <f t="shared" ca="1" si="25"/>
        <v>919.29687499999989</v>
      </c>
      <c r="AV14" s="126">
        <f t="shared" ca="1" si="26"/>
        <v>7354.3749999999991</v>
      </c>
      <c r="AW14" s="126">
        <f t="shared" ca="1" si="8"/>
        <v>10000</v>
      </c>
      <c r="AX14" s="750">
        <f t="shared" ca="1" si="27"/>
        <v>919.29687499999989</v>
      </c>
      <c r="AY14" s="750">
        <f t="shared" ca="1" si="28"/>
        <v>0</v>
      </c>
      <c r="AZ14">
        <f t="shared" si="29"/>
        <v>5750</v>
      </c>
    </row>
    <row r="15" spans="1:52">
      <c r="D15">
        <v>8</v>
      </c>
      <c r="E15" s="6">
        <f t="shared" ca="1" si="30"/>
        <v>52536</v>
      </c>
      <c r="F15" s="7">
        <f t="shared" ca="1" si="9"/>
        <v>1.6795818512976539</v>
      </c>
      <c r="G15" s="125">
        <f ca="1">IF('Simulador - 1º Pilar'!$E$99="Sí",IF('Aportaciones PPE'!$B$13&lt;'Aportaciones PPE'!E15,0,F15*$B$8/12),F15*$B$8/12)</f>
        <v>29392.682397708941</v>
      </c>
      <c r="H15" s="125">
        <f t="shared" ca="1" si="10"/>
        <v>1469.634119885447</v>
      </c>
      <c r="I15" s="125">
        <f t="shared" ca="1" si="11"/>
        <v>0</v>
      </c>
      <c r="J15" s="125">
        <f t="shared" ca="1" si="12"/>
        <v>0</v>
      </c>
      <c r="K15" s="125">
        <f t="shared" ca="1" si="38"/>
        <v>1489.1644983235281</v>
      </c>
      <c r="L15" s="125">
        <f t="shared" ca="1" si="31"/>
        <v>0</v>
      </c>
      <c r="M15" s="125">
        <f t="shared" ca="1" si="13"/>
        <v>0</v>
      </c>
      <c r="N15" s="125">
        <f t="shared" ca="1" si="14"/>
        <v>1489.1644983235281</v>
      </c>
      <c r="R15">
        <f t="shared" si="32"/>
        <v>8</v>
      </c>
      <c r="U15" s="55"/>
      <c r="V15">
        <f t="shared" si="33"/>
        <v>9</v>
      </c>
      <c r="W15">
        <f t="shared" ca="1" si="34"/>
        <v>2024</v>
      </c>
      <c r="X15" s="123">
        <f t="shared" ca="1" si="15"/>
        <v>45536</v>
      </c>
      <c r="Y15" s="64">
        <f t="shared" ca="1" si="35"/>
        <v>919.29687499999989</v>
      </c>
      <c r="Z15" s="64">
        <f t="shared" ca="1" si="16"/>
        <v>0</v>
      </c>
      <c r="AA15" s="64">
        <f ca="1">Y15*(1+$O$5)^(($B$7-X15)/365.25)</f>
        <v>1363.7328230141948</v>
      </c>
      <c r="AB15" s="64">
        <f t="shared" ca="1" si="18"/>
        <v>0</v>
      </c>
      <c r="AF15" t="str">
        <f t="shared" ca="1" si="1"/>
        <v>112043</v>
      </c>
      <c r="AG15" s="126">
        <f t="shared" ca="1" si="2"/>
        <v>0</v>
      </c>
      <c r="AH15" s="126">
        <f t="shared" ca="1" si="3"/>
        <v>0</v>
      </c>
      <c r="AI15" s="126">
        <f t="shared" ca="1" si="19"/>
        <v>1469.634119885447</v>
      </c>
      <c r="AJ15" t="str">
        <f t="shared" ca="1" si="4"/>
        <v>92024</v>
      </c>
      <c r="AK15" s="126">
        <f t="shared" ca="1" si="20"/>
        <v>0</v>
      </c>
      <c r="AL15" s="126">
        <f t="shared" ca="1" si="21"/>
        <v>0</v>
      </c>
      <c r="AM15" s="126">
        <f t="shared" ca="1" si="36"/>
        <v>0</v>
      </c>
      <c r="AN15" s="753">
        <f t="shared" ca="1" si="37"/>
        <v>0</v>
      </c>
      <c r="AO15" s="750">
        <f t="shared" ca="1" si="22"/>
        <v>0</v>
      </c>
      <c r="AP15" s="126">
        <f t="shared" ca="1" si="23"/>
        <v>0</v>
      </c>
      <c r="AQ15" s="126">
        <f t="shared" ca="1" si="24"/>
        <v>0</v>
      </c>
      <c r="AR15" s="126">
        <f t="shared" ca="1" si="5"/>
        <v>10000</v>
      </c>
      <c r="AS15" s="750">
        <f t="shared" ca="1" si="6"/>
        <v>0</v>
      </c>
      <c r="AT15" s="750">
        <f t="shared" ca="1" si="7"/>
        <v>0</v>
      </c>
      <c r="AU15" s="126">
        <f t="shared" ca="1" si="25"/>
        <v>919.29687499999989</v>
      </c>
      <c r="AV15" s="126">
        <f t="shared" ca="1" si="26"/>
        <v>8273.6718749999982</v>
      </c>
      <c r="AW15" s="126">
        <f t="shared" ca="1" si="8"/>
        <v>10000</v>
      </c>
      <c r="AX15" s="750">
        <f t="shared" ca="1" si="27"/>
        <v>919.29687499999989</v>
      </c>
      <c r="AY15" s="750">
        <f t="shared" ca="1" si="28"/>
        <v>0</v>
      </c>
      <c r="AZ15">
        <f t="shared" si="29"/>
        <v>5750</v>
      </c>
    </row>
    <row r="16" spans="1:52">
      <c r="D16">
        <v>9</v>
      </c>
      <c r="E16" s="6">
        <f t="shared" ca="1" si="30"/>
        <v>52505</v>
      </c>
      <c r="F16" s="7">
        <f t="shared" ca="1" si="9"/>
        <v>1.6795818512976539</v>
      </c>
      <c r="G16" s="125">
        <f ca="1">IF('Simulador - 1º Pilar'!$E$99="Sí",IF('Aportaciones PPE'!$B$13&lt;'Aportaciones PPE'!E16,0,F16*$B$8/12),F16*$B$8/12)</f>
        <v>29392.682397708941</v>
      </c>
      <c r="H16" s="125">
        <f t="shared" ca="1" si="10"/>
        <v>1469.634119885447</v>
      </c>
      <c r="I16" s="125">
        <f t="shared" ca="1" si="11"/>
        <v>0</v>
      </c>
      <c r="J16" s="125">
        <f t="shared" ca="1" si="12"/>
        <v>0</v>
      </c>
      <c r="K16" s="125">
        <f t="shared" ca="1" si="38"/>
        <v>1491.6239745644425</v>
      </c>
      <c r="L16" s="125">
        <f t="shared" ca="1" si="31"/>
        <v>0</v>
      </c>
      <c r="M16" s="125">
        <f t="shared" ca="1" si="13"/>
        <v>0</v>
      </c>
      <c r="N16" s="125">
        <f t="shared" ca="1" si="14"/>
        <v>1491.6239745644425</v>
      </c>
      <c r="R16">
        <f t="shared" si="32"/>
        <v>9</v>
      </c>
      <c r="U16" s="55"/>
      <c r="V16">
        <f t="shared" si="33"/>
        <v>10</v>
      </c>
      <c r="W16">
        <f t="shared" ca="1" si="34"/>
        <v>2024</v>
      </c>
      <c r="X16" s="123">
        <f t="shared" ca="1" si="15"/>
        <v>45566</v>
      </c>
      <c r="Y16" s="64">
        <f t="shared" ca="1" si="35"/>
        <v>919.29687499999989</v>
      </c>
      <c r="Z16" s="64">
        <f t="shared" ca="1" si="16"/>
        <v>0</v>
      </c>
      <c r="AA16" s="64">
        <f t="shared" ca="1" si="17"/>
        <v>1361.5165156201642</v>
      </c>
      <c r="AB16" s="64">
        <f t="shared" ca="1" si="18"/>
        <v>0</v>
      </c>
      <c r="AF16" t="str">
        <f t="shared" ca="1" si="1"/>
        <v>102043</v>
      </c>
      <c r="AG16" s="126">
        <f t="shared" ca="1" si="2"/>
        <v>0</v>
      </c>
      <c r="AH16" s="126">
        <f t="shared" ca="1" si="3"/>
        <v>0</v>
      </c>
      <c r="AI16" s="126">
        <f t="shared" ca="1" si="19"/>
        <v>1469.634119885447</v>
      </c>
      <c r="AJ16" t="str">
        <f t="shared" ca="1" si="4"/>
        <v>102024</v>
      </c>
      <c r="AK16" s="126">
        <f t="shared" ca="1" si="20"/>
        <v>0</v>
      </c>
      <c r="AL16" s="126">
        <f t="shared" ca="1" si="21"/>
        <v>0</v>
      </c>
      <c r="AM16" s="126">
        <f t="shared" ca="1" si="36"/>
        <v>0</v>
      </c>
      <c r="AN16" s="753">
        <f t="shared" ca="1" si="37"/>
        <v>0</v>
      </c>
      <c r="AO16" s="750">
        <f t="shared" ca="1" si="22"/>
        <v>0</v>
      </c>
      <c r="AP16" s="126">
        <f t="shared" ca="1" si="23"/>
        <v>0</v>
      </c>
      <c r="AQ16" s="126">
        <f t="shared" ca="1" si="24"/>
        <v>0</v>
      </c>
      <c r="AR16" s="126">
        <f t="shared" ca="1" si="5"/>
        <v>10000</v>
      </c>
      <c r="AS16" s="750">
        <f t="shared" ca="1" si="6"/>
        <v>0</v>
      </c>
      <c r="AT16" s="750">
        <f t="shared" ca="1" si="7"/>
        <v>0</v>
      </c>
      <c r="AU16" s="126">
        <f t="shared" ca="1" si="25"/>
        <v>919.29687499999989</v>
      </c>
      <c r="AV16" s="126">
        <f t="shared" ca="1" si="26"/>
        <v>9192.9687499999982</v>
      </c>
      <c r="AW16" s="126">
        <f t="shared" ca="1" si="8"/>
        <v>10000</v>
      </c>
      <c r="AX16" s="750">
        <f t="shared" ca="1" si="27"/>
        <v>919.29687499999989</v>
      </c>
      <c r="AY16" s="750">
        <f t="shared" ca="1" si="28"/>
        <v>0</v>
      </c>
      <c r="AZ16">
        <f t="shared" si="29"/>
        <v>5750</v>
      </c>
    </row>
    <row r="17" spans="4:52">
      <c r="D17">
        <v>10</v>
      </c>
      <c r="E17" s="6">
        <f t="shared" ca="1" si="30"/>
        <v>52475</v>
      </c>
      <c r="F17" s="7">
        <f t="shared" ca="1" si="9"/>
        <v>1.6795818512976539</v>
      </c>
      <c r="G17" s="125">
        <f ca="1">IF('Simulador - 1º Pilar'!$E$99="Sí",IF('Aportaciones PPE'!$B$13&lt;'Aportaciones PPE'!E17,0,F17*$B$8/12),F17*$B$8/12)</f>
        <v>29392.682397708941</v>
      </c>
      <c r="H17" s="125">
        <f t="shared" ca="1" si="10"/>
        <v>1469.634119885447</v>
      </c>
      <c r="I17" s="125">
        <f t="shared" ca="1" si="11"/>
        <v>0</v>
      </c>
      <c r="J17" s="125">
        <f t="shared" ca="1" si="12"/>
        <v>0</v>
      </c>
      <c r="K17" s="125">
        <f t="shared" ca="1" si="38"/>
        <v>1494.0875128303289</v>
      </c>
      <c r="L17" s="125">
        <f t="shared" ca="1" si="31"/>
        <v>0</v>
      </c>
      <c r="M17" s="125">
        <f t="shared" ca="1" si="13"/>
        <v>0</v>
      </c>
      <c r="N17" s="125">
        <f t="shared" ca="1" si="14"/>
        <v>1494.0875128303289</v>
      </c>
      <c r="R17">
        <f t="shared" si="32"/>
        <v>10</v>
      </c>
      <c r="U17" s="55"/>
      <c r="V17" s="11">
        <f t="shared" si="33"/>
        <v>11</v>
      </c>
      <c r="W17" s="11">
        <f t="shared" ca="1" si="34"/>
        <v>2024</v>
      </c>
      <c r="X17" s="123">
        <f t="shared" ca="1" si="15"/>
        <v>45597</v>
      </c>
      <c r="Y17" s="64">
        <f t="shared" ca="1" si="35"/>
        <v>807.03125000000182</v>
      </c>
      <c r="Z17" s="64">
        <f t="shared" ca="1" si="16"/>
        <v>112.26562499999807</v>
      </c>
      <c r="AA17" s="64">
        <f t="shared" ca="1" si="17"/>
        <v>1193.2393210122023</v>
      </c>
      <c r="AB17" s="64">
        <f t="shared" ca="1" si="18"/>
        <v>165.99079422018403</v>
      </c>
      <c r="AF17" t="str">
        <f t="shared" ca="1" si="1"/>
        <v>92043</v>
      </c>
      <c r="AG17" s="126">
        <f t="shared" ca="1" si="2"/>
        <v>0</v>
      </c>
      <c r="AH17" s="126">
        <f t="shared" ca="1" si="3"/>
        <v>0</v>
      </c>
      <c r="AI17" s="126">
        <f t="shared" ca="1" si="19"/>
        <v>1469.634119885447</v>
      </c>
      <c r="AJ17" t="str">
        <f t="shared" ca="1" si="4"/>
        <v>112024</v>
      </c>
      <c r="AK17" s="126">
        <f t="shared" ca="1" si="20"/>
        <v>0</v>
      </c>
      <c r="AL17" s="126">
        <f t="shared" ca="1" si="21"/>
        <v>0</v>
      </c>
      <c r="AM17" s="126">
        <f t="shared" ca="1" si="36"/>
        <v>0</v>
      </c>
      <c r="AN17" s="753">
        <f t="shared" ca="1" si="37"/>
        <v>0</v>
      </c>
      <c r="AO17" s="750">
        <f t="shared" ca="1" si="22"/>
        <v>0</v>
      </c>
      <c r="AP17" s="126">
        <f t="shared" ca="1" si="23"/>
        <v>0</v>
      </c>
      <c r="AQ17" s="492">
        <f t="shared" ca="1" si="24"/>
        <v>0</v>
      </c>
      <c r="AR17" s="492">
        <f t="shared" ca="1" si="5"/>
        <v>10000</v>
      </c>
      <c r="AS17" s="752">
        <f t="shared" ca="1" si="6"/>
        <v>0</v>
      </c>
      <c r="AT17" s="752">
        <f t="shared" ca="1" si="7"/>
        <v>0</v>
      </c>
      <c r="AU17" s="126">
        <f t="shared" ca="1" si="25"/>
        <v>919.29687499999989</v>
      </c>
      <c r="AV17" s="126">
        <f t="shared" ca="1" si="26"/>
        <v>10112.265624999998</v>
      </c>
      <c r="AW17" s="126">
        <f t="shared" ca="1" si="8"/>
        <v>10000</v>
      </c>
      <c r="AX17" s="750">
        <f t="shared" ca="1" si="27"/>
        <v>807.03125000000182</v>
      </c>
      <c r="AY17" s="750">
        <f t="shared" ca="1" si="28"/>
        <v>112.26562499999807</v>
      </c>
      <c r="AZ17">
        <f t="shared" si="29"/>
        <v>5750</v>
      </c>
    </row>
    <row r="18" spans="4:52">
      <c r="D18">
        <v>11</v>
      </c>
      <c r="E18" s="6">
        <f t="shared" ca="1" si="30"/>
        <v>52444</v>
      </c>
      <c r="F18" s="7">
        <f t="shared" ca="1" si="9"/>
        <v>1.6795818512976539</v>
      </c>
      <c r="G18" s="125">
        <f ca="1">IF('Simulador - 1º Pilar'!$E$99="Sí",IF('Aportaciones PPE'!$B$13&lt;'Aportaciones PPE'!E18,0,F18*$B$8/12),F18*$B$8/12)</f>
        <v>29392.682397708941</v>
      </c>
      <c r="H18" s="125">
        <f t="shared" ca="1" si="10"/>
        <v>1469.634119885447</v>
      </c>
      <c r="I18" s="125">
        <f t="shared" ca="1" si="11"/>
        <v>0</v>
      </c>
      <c r="J18" s="125">
        <f t="shared" ca="1" si="12"/>
        <v>0</v>
      </c>
      <c r="K18" s="125">
        <f t="shared" ca="1" si="38"/>
        <v>1496.555119829952</v>
      </c>
      <c r="L18" s="125">
        <f t="shared" ca="1" si="31"/>
        <v>0</v>
      </c>
      <c r="M18" s="125">
        <f t="shared" ca="1" si="13"/>
        <v>0</v>
      </c>
      <c r="N18" s="125">
        <f t="shared" ca="1" si="14"/>
        <v>1496.555119829952</v>
      </c>
      <c r="R18">
        <f t="shared" si="32"/>
        <v>11</v>
      </c>
      <c r="U18" s="55"/>
      <c r="V18" s="11">
        <f t="shared" si="33"/>
        <v>12</v>
      </c>
      <c r="W18" s="11">
        <f t="shared" ca="1" si="34"/>
        <v>2024</v>
      </c>
      <c r="X18" s="123">
        <f t="shared" ca="1" si="15"/>
        <v>45627</v>
      </c>
      <c r="Y18" s="64">
        <f t="shared" ca="1" si="35"/>
        <v>0</v>
      </c>
      <c r="Z18" s="64">
        <f t="shared" ca="1" si="16"/>
        <v>919.29687499999989</v>
      </c>
      <c r="AA18" s="64">
        <f t="shared" ca="1" si="17"/>
        <v>0</v>
      </c>
      <c r="AB18" s="64">
        <f t="shared" ca="1" si="18"/>
        <v>1357.0211255360612</v>
      </c>
      <c r="AF18" s="745" t="str">
        <f t="shared" ca="1" si="1"/>
        <v>82043</v>
      </c>
      <c r="AG18" s="746">
        <f t="shared" ca="1" si="2"/>
        <v>0</v>
      </c>
      <c r="AH18" s="746">
        <f t="shared" ca="1" si="3"/>
        <v>0</v>
      </c>
      <c r="AI18" s="746">
        <f t="shared" ca="1" si="19"/>
        <v>1469.634119885447</v>
      </c>
      <c r="AJ18" s="745" t="str">
        <f t="shared" ca="1" si="4"/>
        <v>122024</v>
      </c>
      <c r="AK18" s="126">
        <f t="shared" ca="1" si="20"/>
        <v>0</v>
      </c>
      <c r="AL18" s="746">
        <f t="shared" ca="1" si="21"/>
        <v>0</v>
      </c>
      <c r="AM18" s="126">
        <f t="shared" ca="1" si="36"/>
        <v>0</v>
      </c>
      <c r="AN18" s="753">
        <f t="shared" ca="1" si="37"/>
        <v>0</v>
      </c>
      <c r="AO18" s="751">
        <f t="shared" ca="1" si="22"/>
        <v>0</v>
      </c>
      <c r="AP18" s="126">
        <f t="shared" ca="1" si="23"/>
        <v>0</v>
      </c>
      <c r="AQ18" s="746">
        <f t="shared" ca="1" si="24"/>
        <v>0</v>
      </c>
      <c r="AR18" s="746">
        <f t="shared" ca="1" si="5"/>
        <v>10000</v>
      </c>
      <c r="AS18" s="751">
        <f t="shared" ca="1" si="6"/>
        <v>0</v>
      </c>
      <c r="AT18" s="751">
        <f t="shared" ca="1" si="7"/>
        <v>0</v>
      </c>
      <c r="AU18" s="126">
        <f t="shared" ca="1" si="25"/>
        <v>919.29687499999989</v>
      </c>
      <c r="AV18" s="746">
        <f t="shared" ca="1" si="26"/>
        <v>11031.562499999998</v>
      </c>
      <c r="AW18" s="746">
        <f t="shared" ca="1" si="8"/>
        <v>10000</v>
      </c>
      <c r="AX18" s="751">
        <f t="shared" ca="1" si="27"/>
        <v>0</v>
      </c>
      <c r="AY18" s="751">
        <f t="shared" ca="1" si="28"/>
        <v>919.29687499999989</v>
      </c>
      <c r="AZ18">
        <f t="shared" si="29"/>
        <v>5750</v>
      </c>
    </row>
    <row r="19" spans="4:52">
      <c r="D19">
        <v>12</v>
      </c>
      <c r="E19" s="6">
        <f t="shared" ca="1" si="30"/>
        <v>52413</v>
      </c>
      <c r="F19" s="7">
        <f t="shared" ca="1" si="9"/>
        <v>1.6795818512976539</v>
      </c>
      <c r="G19" s="125">
        <f ca="1">IF('Simulador - 1º Pilar'!$E$99="Sí",IF('Aportaciones PPE'!$B$13&lt;'Aportaciones PPE'!E19,0,F19*$B$8/12),F19*$B$8/12)</f>
        <v>29392.682397708941</v>
      </c>
      <c r="H19" s="125">
        <f t="shared" ca="1" si="10"/>
        <v>1469.634119885447</v>
      </c>
      <c r="I19" s="125">
        <f t="shared" ca="1" si="11"/>
        <v>0</v>
      </c>
      <c r="J19" s="125">
        <f t="shared" ca="1" si="12"/>
        <v>0</v>
      </c>
      <c r="K19" s="125">
        <f t="shared" ca="1" si="38"/>
        <v>1499.026802283156</v>
      </c>
      <c r="L19" s="125">
        <f t="shared" ca="1" si="31"/>
        <v>0</v>
      </c>
      <c r="M19" s="125">
        <f t="shared" ca="1" si="13"/>
        <v>0</v>
      </c>
      <c r="N19" s="125">
        <f t="shared" ca="1" si="14"/>
        <v>1499.026802283156</v>
      </c>
      <c r="O19" s="126"/>
      <c r="R19">
        <f t="shared" si="32"/>
        <v>12</v>
      </c>
      <c r="U19" s="55"/>
      <c r="V19" s="11">
        <f t="shared" si="33"/>
        <v>1</v>
      </c>
      <c r="W19" s="11">
        <f t="shared" ca="1" si="34"/>
        <v>2025</v>
      </c>
      <c r="X19" s="123">
        <f t="shared" ca="1" si="15"/>
        <v>45658</v>
      </c>
      <c r="Y19" s="64">
        <f t="shared" ca="1" si="35"/>
        <v>942.27929687499989</v>
      </c>
      <c r="Z19" s="64">
        <f t="shared" ca="1" si="16"/>
        <v>0</v>
      </c>
      <c r="AA19" s="64">
        <f t="shared" ca="1" si="17"/>
        <v>1388.6108311325734</v>
      </c>
      <c r="AB19" s="64">
        <f t="shared" ca="1" si="18"/>
        <v>0</v>
      </c>
      <c r="AF19" t="str">
        <f t="shared" ca="1" si="1"/>
        <v>72043</v>
      </c>
      <c r="AG19" s="126">
        <f t="shared" ca="1" si="2"/>
        <v>0</v>
      </c>
      <c r="AH19" s="126">
        <f t="shared" ca="1" si="3"/>
        <v>0</v>
      </c>
      <c r="AI19" s="126">
        <f t="shared" ca="1" si="19"/>
        <v>1469.634119885447</v>
      </c>
      <c r="AJ19" t="str">
        <f t="shared" ca="1" si="4"/>
        <v>12025</v>
      </c>
      <c r="AK19" s="126">
        <f t="shared" ca="1" si="20"/>
        <v>0</v>
      </c>
      <c r="AL19" s="126">
        <f t="shared" ca="1" si="21"/>
        <v>0</v>
      </c>
      <c r="AM19" s="126">
        <f t="shared" ca="1" si="36"/>
        <v>0</v>
      </c>
      <c r="AN19" s="753">
        <f t="shared" ca="1" si="37"/>
        <v>0</v>
      </c>
      <c r="AO19" s="750">
        <f t="shared" ca="1" si="22"/>
        <v>0</v>
      </c>
      <c r="AP19" s="126">
        <f t="shared" ca="1" si="23"/>
        <v>0</v>
      </c>
      <c r="AQ19" s="126">
        <f t="shared" ca="1" si="24"/>
        <v>0</v>
      </c>
      <c r="AR19" s="126">
        <f t="shared" ca="1" si="5"/>
        <v>10000</v>
      </c>
      <c r="AS19" s="750">
        <f t="shared" ca="1" si="6"/>
        <v>0</v>
      </c>
      <c r="AT19" s="750">
        <f t="shared" ca="1" si="7"/>
        <v>0</v>
      </c>
      <c r="AU19" s="126">
        <f t="shared" ca="1" si="25"/>
        <v>942.27929687499989</v>
      </c>
      <c r="AV19" s="126">
        <f t="shared" ca="1" si="26"/>
        <v>942.27929687499989</v>
      </c>
      <c r="AW19" s="126">
        <f t="shared" ca="1" si="8"/>
        <v>10000</v>
      </c>
      <c r="AX19" s="750">
        <f t="shared" ca="1" si="27"/>
        <v>942.27929687499989</v>
      </c>
      <c r="AY19" s="750">
        <f t="shared" ca="1" si="28"/>
        <v>0</v>
      </c>
      <c r="AZ19">
        <f t="shared" si="29"/>
        <v>5750</v>
      </c>
    </row>
    <row r="20" spans="4:52">
      <c r="D20">
        <v>13</v>
      </c>
      <c r="E20" s="6">
        <f t="shared" ca="1" si="30"/>
        <v>52383</v>
      </c>
      <c r="F20" s="7">
        <f t="shared" ca="1" si="9"/>
        <v>1.6795818512976539</v>
      </c>
      <c r="G20" s="125">
        <f ca="1">IF('Simulador - 1º Pilar'!$E$99="Sí",IF('Aportaciones PPE'!$B$13&lt;'Aportaciones PPE'!E20,0,F20*$B$8/12),F20*$B$8/12)</f>
        <v>29392.682397708941</v>
      </c>
      <c r="H20" s="125">
        <f t="shared" ca="1" si="10"/>
        <v>1469.634119885447</v>
      </c>
      <c r="I20" s="125">
        <f t="shared" ca="1" si="11"/>
        <v>0</v>
      </c>
      <c r="J20" s="125">
        <f t="shared" ca="1" si="12"/>
        <v>0</v>
      </c>
      <c r="K20" s="125">
        <f t="shared" ca="1" si="38"/>
        <v>1501.5025669208842</v>
      </c>
      <c r="L20" s="125">
        <f t="shared" ca="1" si="31"/>
        <v>0</v>
      </c>
      <c r="M20" s="125">
        <f t="shared" ca="1" si="13"/>
        <v>0</v>
      </c>
      <c r="N20" s="125">
        <f t="shared" ca="1" si="14"/>
        <v>1501.5025669208842</v>
      </c>
      <c r="R20">
        <f t="shared" si="32"/>
        <v>13</v>
      </c>
      <c r="U20" s="55"/>
      <c r="V20">
        <f t="shared" si="33"/>
        <v>2</v>
      </c>
      <c r="W20">
        <f t="shared" ca="1" si="34"/>
        <v>2025</v>
      </c>
      <c r="X20" s="123">
        <f t="shared" ca="1" si="15"/>
        <v>45689</v>
      </c>
      <c r="Y20" s="64">
        <f t="shared" ca="1" si="35"/>
        <v>942.27929687499989</v>
      </c>
      <c r="Z20" s="64">
        <f t="shared" ca="1" si="16"/>
        <v>0</v>
      </c>
      <c r="AA20" s="64">
        <f t="shared" ca="1" si="17"/>
        <v>1386.2789311472632</v>
      </c>
      <c r="AB20" s="64">
        <f t="shared" ca="1" si="18"/>
        <v>0</v>
      </c>
      <c r="AF20" t="str">
        <f t="shared" ca="1" si="1"/>
        <v>62043</v>
      </c>
      <c r="AG20" s="126">
        <f t="shared" ca="1" si="2"/>
        <v>0</v>
      </c>
      <c r="AH20" s="126">
        <f t="shared" ca="1" si="3"/>
        <v>0</v>
      </c>
      <c r="AI20" s="126">
        <f t="shared" ca="1" si="19"/>
        <v>1469.634119885447</v>
      </c>
      <c r="AJ20" t="str">
        <f t="shared" ca="1" si="4"/>
        <v>22025</v>
      </c>
      <c r="AK20" s="126">
        <f t="shared" ca="1" si="20"/>
        <v>0</v>
      </c>
      <c r="AL20" s="126">
        <f t="shared" ca="1" si="21"/>
        <v>0</v>
      </c>
      <c r="AM20" s="126">
        <f t="shared" ca="1" si="36"/>
        <v>0</v>
      </c>
      <c r="AN20" s="753">
        <f t="shared" ca="1" si="37"/>
        <v>0</v>
      </c>
      <c r="AO20" s="750">
        <f t="shared" ca="1" si="22"/>
        <v>0</v>
      </c>
      <c r="AP20" s="126">
        <f t="shared" ca="1" si="23"/>
        <v>0</v>
      </c>
      <c r="AQ20" s="126">
        <f t="shared" ca="1" si="24"/>
        <v>0</v>
      </c>
      <c r="AR20" s="126">
        <f t="shared" ca="1" si="5"/>
        <v>10000</v>
      </c>
      <c r="AS20" s="750">
        <f t="shared" ca="1" si="6"/>
        <v>0</v>
      </c>
      <c r="AT20" s="750">
        <f t="shared" ca="1" si="7"/>
        <v>0</v>
      </c>
      <c r="AU20" s="126">
        <f t="shared" ca="1" si="25"/>
        <v>942.27929687499989</v>
      </c>
      <c r="AV20" s="126">
        <f t="shared" ca="1" si="26"/>
        <v>1884.5585937499998</v>
      </c>
      <c r="AW20" s="126">
        <f t="shared" ca="1" si="8"/>
        <v>10000</v>
      </c>
      <c r="AX20" s="750">
        <f t="shared" ca="1" si="27"/>
        <v>942.27929687499989</v>
      </c>
      <c r="AY20" s="750">
        <f t="shared" ca="1" si="28"/>
        <v>0</v>
      </c>
      <c r="AZ20">
        <f t="shared" si="29"/>
        <v>5750</v>
      </c>
    </row>
    <row r="21" spans="4:52">
      <c r="D21">
        <v>14</v>
      </c>
      <c r="E21" s="6">
        <f t="shared" ca="1" si="30"/>
        <v>52352</v>
      </c>
      <c r="F21" s="7">
        <f t="shared" ca="1" si="9"/>
        <v>1.6795818512976539</v>
      </c>
      <c r="G21" s="125">
        <f ca="1">IF('Simulador - 1º Pilar'!$E$99="Sí",IF('Aportaciones PPE'!$B$13&lt;'Aportaciones PPE'!E21,0,F21*$B$8/12),F21*$B$8/12)</f>
        <v>29392.682397708941</v>
      </c>
      <c r="H21" s="125">
        <f t="shared" ca="1" si="10"/>
        <v>1469.634119885447</v>
      </c>
      <c r="I21" s="125">
        <f t="shared" ca="1" si="11"/>
        <v>0</v>
      </c>
      <c r="J21" s="125">
        <f t="shared" ca="1" si="12"/>
        <v>0</v>
      </c>
      <c r="K21" s="125">
        <f t="shared" ca="1" si="38"/>
        <v>1503.9824204851957</v>
      </c>
      <c r="L21" s="125">
        <f t="shared" ca="1" si="31"/>
        <v>0</v>
      </c>
      <c r="M21" s="125">
        <f t="shared" ca="1" si="13"/>
        <v>0</v>
      </c>
      <c r="N21" s="125">
        <f t="shared" ca="1" si="14"/>
        <v>1503.9824204851957</v>
      </c>
      <c r="R21">
        <f t="shared" si="32"/>
        <v>14</v>
      </c>
      <c r="U21" s="55"/>
      <c r="V21">
        <f t="shared" si="33"/>
        <v>3</v>
      </c>
      <c r="W21">
        <f t="shared" ca="1" si="34"/>
        <v>2025</v>
      </c>
      <c r="X21" s="123">
        <f t="shared" ca="1" si="15"/>
        <v>45717</v>
      </c>
      <c r="Y21" s="64">
        <f t="shared" ca="1" si="35"/>
        <v>942.27929687499989</v>
      </c>
      <c r="Z21" s="64">
        <f t="shared" ca="1" si="16"/>
        <v>0</v>
      </c>
      <c r="AA21" s="64">
        <f t="shared" ca="1" si="17"/>
        <v>1384.1760649441289</v>
      </c>
      <c r="AB21" s="64">
        <f t="shared" ca="1" si="18"/>
        <v>0</v>
      </c>
      <c r="AF21" t="str">
        <f t="shared" ca="1" si="1"/>
        <v>52043</v>
      </c>
      <c r="AG21" s="126">
        <f t="shared" ca="1" si="2"/>
        <v>0</v>
      </c>
      <c r="AH21" s="126">
        <f t="shared" ca="1" si="3"/>
        <v>0</v>
      </c>
      <c r="AI21" s="126">
        <f t="shared" ca="1" si="19"/>
        <v>1469.634119885447</v>
      </c>
      <c r="AJ21" t="str">
        <f t="shared" ca="1" si="4"/>
        <v>32025</v>
      </c>
      <c r="AK21" s="126">
        <f t="shared" ca="1" si="20"/>
        <v>0</v>
      </c>
      <c r="AL21" s="126">
        <f t="shared" ca="1" si="21"/>
        <v>0</v>
      </c>
      <c r="AM21" s="126">
        <f t="shared" ca="1" si="36"/>
        <v>0</v>
      </c>
      <c r="AN21" s="753">
        <f t="shared" ca="1" si="37"/>
        <v>0</v>
      </c>
      <c r="AO21" s="750">
        <f t="shared" ca="1" si="22"/>
        <v>0</v>
      </c>
      <c r="AP21" s="126">
        <f t="shared" ca="1" si="23"/>
        <v>0</v>
      </c>
      <c r="AQ21" s="126">
        <f t="shared" ca="1" si="24"/>
        <v>0</v>
      </c>
      <c r="AR21" s="126">
        <f t="shared" ca="1" si="5"/>
        <v>10000</v>
      </c>
      <c r="AS21" s="750">
        <f t="shared" ca="1" si="6"/>
        <v>0</v>
      </c>
      <c r="AT21" s="750">
        <f t="shared" ca="1" si="7"/>
        <v>0</v>
      </c>
      <c r="AU21" s="126">
        <f t="shared" ca="1" si="25"/>
        <v>942.27929687499989</v>
      </c>
      <c r="AV21" s="126">
        <f t="shared" ca="1" si="26"/>
        <v>2826.8378906249995</v>
      </c>
      <c r="AW21" s="126">
        <f t="shared" ca="1" si="8"/>
        <v>10000</v>
      </c>
      <c r="AX21" s="750">
        <f t="shared" ca="1" si="27"/>
        <v>942.27929687499989</v>
      </c>
      <c r="AY21" s="750">
        <f t="shared" ca="1" si="28"/>
        <v>0</v>
      </c>
      <c r="AZ21">
        <f t="shared" si="29"/>
        <v>5750</v>
      </c>
    </row>
    <row r="22" spans="4:52">
      <c r="D22">
        <v>15</v>
      </c>
      <c r="E22" s="6">
        <f t="shared" ca="1" si="30"/>
        <v>52322</v>
      </c>
      <c r="F22" s="7">
        <f t="shared" ca="1" si="9"/>
        <v>1.6795818512976539</v>
      </c>
      <c r="G22" s="125">
        <f ca="1">IF('Simulador - 1º Pilar'!$E$99="Sí",IF('Aportaciones PPE'!$B$13&lt;'Aportaciones PPE'!E22,0,F22*$B$8/12),F22*$B$8/12)</f>
        <v>29392.682397708941</v>
      </c>
      <c r="H22" s="125">
        <f t="shared" ca="1" si="10"/>
        <v>1469.634119885447</v>
      </c>
      <c r="I22" s="125">
        <f t="shared" ca="1" si="11"/>
        <v>0</v>
      </c>
      <c r="J22" s="125">
        <f t="shared" ca="1" si="12"/>
        <v>0</v>
      </c>
      <c r="K22" s="125">
        <f t="shared" ca="1" si="38"/>
        <v>1506.4663697292858</v>
      </c>
      <c r="L22" s="125">
        <f t="shared" ca="1" si="31"/>
        <v>0</v>
      </c>
      <c r="M22" s="125">
        <f t="shared" ca="1" si="13"/>
        <v>0</v>
      </c>
      <c r="N22" s="125">
        <f t="shared" ca="1" si="14"/>
        <v>1506.4663697292858</v>
      </c>
      <c r="R22">
        <f t="shared" si="32"/>
        <v>15</v>
      </c>
      <c r="U22" s="55"/>
      <c r="V22">
        <f t="shared" si="33"/>
        <v>4</v>
      </c>
      <c r="W22">
        <f t="shared" ca="1" si="34"/>
        <v>2025</v>
      </c>
      <c r="X22" s="123">
        <f t="shared" ca="1" si="15"/>
        <v>45748</v>
      </c>
      <c r="Y22" s="64">
        <f t="shared" ca="1" si="35"/>
        <v>942.27929687499989</v>
      </c>
      <c r="Z22" s="64">
        <f t="shared" ca="1" si="16"/>
        <v>0</v>
      </c>
      <c r="AA22" s="64">
        <f t="shared" ca="1" si="17"/>
        <v>1381.8516122802553</v>
      </c>
      <c r="AB22" s="64">
        <f t="shared" ca="1" si="18"/>
        <v>0</v>
      </c>
      <c r="AF22" t="str">
        <f t="shared" ca="1" si="1"/>
        <v>42043</v>
      </c>
      <c r="AG22" s="126">
        <f t="shared" ca="1" si="2"/>
        <v>0</v>
      </c>
      <c r="AH22" s="126">
        <f t="shared" ca="1" si="3"/>
        <v>0</v>
      </c>
      <c r="AI22" s="126">
        <f t="shared" ca="1" si="19"/>
        <v>1469.634119885447</v>
      </c>
      <c r="AJ22" t="str">
        <f t="shared" ca="1" si="4"/>
        <v>42025</v>
      </c>
      <c r="AK22" s="126">
        <f t="shared" ca="1" si="20"/>
        <v>0</v>
      </c>
      <c r="AL22" s="126">
        <f t="shared" ca="1" si="21"/>
        <v>0</v>
      </c>
      <c r="AM22" s="126">
        <f t="shared" ca="1" si="36"/>
        <v>0</v>
      </c>
      <c r="AN22" s="753">
        <f t="shared" ca="1" si="37"/>
        <v>0</v>
      </c>
      <c r="AO22" s="750">
        <f t="shared" ca="1" si="22"/>
        <v>0</v>
      </c>
      <c r="AP22" s="126">
        <f t="shared" ca="1" si="23"/>
        <v>0</v>
      </c>
      <c r="AQ22" s="126">
        <f t="shared" ca="1" si="24"/>
        <v>0</v>
      </c>
      <c r="AR22" s="126">
        <f t="shared" ca="1" si="5"/>
        <v>10000</v>
      </c>
      <c r="AS22" s="750">
        <f t="shared" ca="1" si="6"/>
        <v>0</v>
      </c>
      <c r="AT22" s="750">
        <f t="shared" ca="1" si="7"/>
        <v>0</v>
      </c>
      <c r="AU22" s="126">
        <f t="shared" ca="1" si="25"/>
        <v>942.27929687499989</v>
      </c>
      <c r="AV22" s="126">
        <f t="shared" ca="1" si="26"/>
        <v>3769.1171874999995</v>
      </c>
      <c r="AW22" s="126">
        <f t="shared" ca="1" si="8"/>
        <v>10000</v>
      </c>
      <c r="AX22" s="750">
        <f t="shared" ca="1" si="27"/>
        <v>942.27929687499989</v>
      </c>
      <c r="AY22" s="750">
        <f t="shared" ca="1" si="28"/>
        <v>0</v>
      </c>
      <c r="AZ22">
        <f t="shared" si="29"/>
        <v>5750</v>
      </c>
    </row>
    <row r="23" spans="4:52">
      <c r="D23">
        <v>16</v>
      </c>
      <c r="E23" s="6">
        <f t="shared" ca="1" si="30"/>
        <v>52291</v>
      </c>
      <c r="F23" s="7">
        <f t="shared" ca="1" si="9"/>
        <v>1.6795818512976539</v>
      </c>
      <c r="G23" s="125">
        <f ca="1">IF('Simulador - 1º Pilar'!$E$99="Sí",IF('Aportaciones PPE'!$B$13&lt;'Aportaciones PPE'!E23,0,F23*$B$8/12),F23*$B$8/12)</f>
        <v>29392.682397708941</v>
      </c>
      <c r="H23" s="125">
        <f t="shared" ca="1" si="10"/>
        <v>1469.634119885447</v>
      </c>
      <c r="I23" s="125">
        <f t="shared" ca="1" si="11"/>
        <v>0</v>
      </c>
      <c r="J23" s="125">
        <f t="shared" ca="1" si="12"/>
        <v>0</v>
      </c>
      <c r="K23" s="125">
        <f t="shared" ca="1" si="38"/>
        <v>1508.9544214175023</v>
      </c>
      <c r="L23" s="125">
        <f t="shared" ca="1" si="31"/>
        <v>0</v>
      </c>
      <c r="M23" s="125">
        <f t="shared" ca="1" si="13"/>
        <v>0</v>
      </c>
      <c r="N23" s="125">
        <f t="shared" ca="1" si="14"/>
        <v>1508.9544214175023</v>
      </c>
      <c r="R23">
        <f t="shared" si="32"/>
        <v>16</v>
      </c>
      <c r="U23" s="55"/>
      <c r="V23">
        <f t="shared" si="33"/>
        <v>5</v>
      </c>
      <c r="W23">
        <f t="shared" ca="1" si="34"/>
        <v>2025</v>
      </c>
      <c r="X23" s="123">
        <f t="shared" ca="1" si="15"/>
        <v>45778</v>
      </c>
      <c r="Y23" s="64">
        <f t="shared" ca="1" si="35"/>
        <v>942.27929687499989</v>
      </c>
      <c r="Z23" s="64">
        <f t="shared" ca="1" si="16"/>
        <v>0</v>
      </c>
      <c r="AA23" s="64">
        <f t="shared" ca="1" si="17"/>
        <v>1379.6058586443039</v>
      </c>
      <c r="AB23" s="64">
        <f t="shared" ca="1" si="18"/>
        <v>0</v>
      </c>
      <c r="AF23" t="str">
        <f t="shared" ca="1" si="1"/>
        <v>32043</v>
      </c>
      <c r="AG23" s="126">
        <f t="shared" ca="1" si="2"/>
        <v>0</v>
      </c>
      <c r="AH23" s="126">
        <f t="shared" ca="1" si="3"/>
        <v>0</v>
      </c>
      <c r="AI23" s="126">
        <f t="shared" ca="1" si="19"/>
        <v>1469.634119885447</v>
      </c>
      <c r="AJ23" t="str">
        <f t="shared" ca="1" si="4"/>
        <v>52025</v>
      </c>
      <c r="AK23" s="126">
        <f t="shared" ca="1" si="20"/>
        <v>0</v>
      </c>
      <c r="AL23" s="126">
        <f t="shared" ca="1" si="21"/>
        <v>0</v>
      </c>
      <c r="AM23" s="126">
        <f t="shared" ca="1" si="36"/>
        <v>0</v>
      </c>
      <c r="AN23" s="753">
        <f t="shared" ca="1" si="37"/>
        <v>0</v>
      </c>
      <c r="AO23" s="750">
        <f t="shared" ca="1" si="22"/>
        <v>0</v>
      </c>
      <c r="AP23" s="126">
        <f t="shared" ca="1" si="23"/>
        <v>0</v>
      </c>
      <c r="AQ23" s="126">
        <f t="shared" ca="1" si="24"/>
        <v>0</v>
      </c>
      <c r="AR23" s="126">
        <f t="shared" ca="1" si="5"/>
        <v>10000</v>
      </c>
      <c r="AS23" s="750">
        <f t="shared" ca="1" si="6"/>
        <v>0</v>
      </c>
      <c r="AT23" s="750">
        <f t="shared" ca="1" si="7"/>
        <v>0</v>
      </c>
      <c r="AU23" s="126">
        <f t="shared" ca="1" si="25"/>
        <v>942.27929687499989</v>
      </c>
      <c r="AV23" s="126">
        <f t="shared" ca="1" si="26"/>
        <v>4711.3964843749991</v>
      </c>
      <c r="AW23" s="126">
        <f t="shared" ca="1" si="8"/>
        <v>10000</v>
      </c>
      <c r="AX23" s="750">
        <f t="shared" ca="1" si="27"/>
        <v>942.27929687499989</v>
      </c>
      <c r="AY23" s="750">
        <f t="shared" ca="1" si="28"/>
        <v>0</v>
      </c>
      <c r="AZ23">
        <f t="shared" si="29"/>
        <v>5750</v>
      </c>
    </row>
    <row r="24" spans="4:52">
      <c r="D24">
        <v>17</v>
      </c>
      <c r="E24" s="6">
        <f t="shared" ca="1" si="30"/>
        <v>52263</v>
      </c>
      <c r="F24" s="7">
        <f t="shared" ca="1" si="9"/>
        <v>1.6795818512976539</v>
      </c>
      <c r="G24" s="125">
        <f ca="1">IF('Simulador - 1º Pilar'!$E$99="Sí",IF('Aportaciones PPE'!$B$13&lt;'Aportaciones PPE'!E24,0,F24*$B$8/12),F24*$B$8/12)</f>
        <v>29392.682397708941</v>
      </c>
      <c r="H24" s="125">
        <f t="shared" ca="1" si="10"/>
        <v>1469.634119885447</v>
      </c>
      <c r="I24" s="125">
        <f t="shared" ca="1" si="11"/>
        <v>0</v>
      </c>
      <c r="J24" s="125">
        <f t="shared" ca="1" si="12"/>
        <v>0</v>
      </c>
      <c r="K24" s="125">
        <f t="shared" ca="1" si="38"/>
        <v>1511.4465823253652</v>
      </c>
      <c r="L24" s="125">
        <f t="shared" ca="1" si="31"/>
        <v>0</v>
      </c>
      <c r="M24" s="125">
        <f t="shared" ca="1" si="13"/>
        <v>0</v>
      </c>
      <c r="N24" s="125">
        <f t="shared" ca="1" si="14"/>
        <v>1511.4465823253652</v>
      </c>
      <c r="R24">
        <f t="shared" si="32"/>
        <v>17</v>
      </c>
      <c r="U24" s="55"/>
      <c r="V24">
        <f t="shared" si="33"/>
        <v>6</v>
      </c>
      <c r="W24">
        <f t="shared" ca="1" si="34"/>
        <v>2025</v>
      </c>
      <c r="X24" s="123">
        <f t="shared" ca="1" si="15"/>
        <v>45809</v>
      </c>
      <c r="Y24" s="64">
        <f t="shared" ca="1" si="35"/>
        <v>942.27929687499989</v>
      </c>
      <c r="Z24" s="64">
        <f t="shared" ca="1" si="16"/>
        <v>0</v>
      </c>
      <c r="AA24" s="64">
        <f t="shared" ca="1" si="17"/>
        <v>1377.2890807470133</v>
      </c>
      <c r="AB24" s="64">
        <f t="shared" ca="1" si="18"/>
        <v>0</v>
      </c>
      <c r="AF24" t="str">
        <f t="shared" ca="1" si="1"/>
        <v>22043</v>
      </c>
      <c r="AG24" s="126">
        <f t="shared" ca="1" si="2"/>
        <v>0</v>
      </c>
      <c r="AH24" s="126">
        <f t="shared" ca="1" si="3"/>
        <v>0</v>
      </c>
      <c r="AI24" s="126">
        <f t="shared" ca="1" si="19"/>
        <v>1469.634119885447</v>
      </c>
      <c r="AJ24" t="str">
        <f t="shared" ca="1" si="4"/>
        <v>62025</v>
      </c>
      <c r="AK24" s="126">
        <f t="shared" ca="1" si="20"/>
        <v>0</v>
      </c>
      <c r="AL24" s="126">
        <f t="shared" ca="1" si="21"/>
        <v>0</v>
      </c>
      <c r="AM24" s="126">
        <f t="shared" ca="1" si="36"/>
        <v>0</v>
      </c>
      <c r="AN24" s="753">
        <f t="shared" ca="1" si="37"/>
        <v>0</v>
      </c>
      <c r="AO24" s="750">
        <f t="shared" ca="1" si="22"/>
        <v>0</v>
      </c>
      <c r="AP24" s="126">
        <f t="shared" ca="1" si="23"/>
        <v>0</v>
      </c>
      <c r="AQ24" s="126">
        <f t="shared" ca="1" si="24"/>
        <v>0</v>
      </c>
      <c r="AR24" s="126">
        <f t="shared" ca="1" si="5"/>
        <v>10000</v>
      </c>
      <c r="AS24" s="750">
        <f t="shared" ca="1" si="6"/>
        <v>0</v>
      </c>
      <c r="AT24" s="750">
        <f t="shared" ca="1" si="7"/>
        <v>0</v>
      </c>
      <c r="AU24" s="126">
        <f t="shared" ca="1" si="25"/>
        <v>942.27929687499989</v>
      </c>
      <c r="AV24" s="126">
        <f t="shared" ca="1" si="26"/>
        <v>5653.6757812499991</v>
      </c>
      <c r="AW24" s="126">
        <f t="shared" ca="1" si="8"/>
        <v>10000</v>
      </c>
      <c r="AX24" s="750">
        <f t="shared" ca="1" si="27"/>
        <v>942.27929687499989</v>
      </c>
      <c r="AY24" s="750">
        <f t="shared" ca="1" si="28"/>
        <v>0</v>
      </c>
      <c r="AZ24">
        <f t="shared" si="29"/>
        <v>5750</v>
      </c>
    </row>
    <row r="25" spans="4:52">
      <c r="D25">
        <v>18</v>
      </c>
      <c r="E25" s="6">
        <f t="shared" ca="1" si="30"/>
        <v>52232</v>
      </c>
      <c r="F25" s="7">
        <f t="shared" ca="1" si="9"/>
        <v>1.6795818512976539</v>
      </c>
      <c r="G25" s="125">
        <f ca="1">IF('Simulador - 1º Pilar'!$E$99="Sí",IF('Aportaciones PPE'!$B$13&lt;'Aportaciones PPE'!E25,0,F25*$B$8/12),F25*$B$8/12)</f>
        <v>29392.682397708941</v>
      </c>
      <c r="H25" s="125">
        <f t="shared" ca="1" si="10"/>
        <v>1469.634119885447</v>
      </c>
      <c r="I25" s="125">
        <f t="shared" ca="1" si="11"/>
        <v>0</v>
      </c>
      <c r="J25" s="125">
        <f t="shared" ca="1" si="12"/>
        <v>0</v>
      </c>
      <c r="K25" s="125">
        <f t="shared" ca="1" si="38"/>
        <v>1513.942859239585</v>
      </c>
      <c r="L25" s="125">
        <f t="shared" ca="1" si="31"/>
        <v>0</v>
      </c>
      <c r="M25" s="125">
        <f t="shared" ca="1" si="13"/>
        <v>0</v>
      </c>
      <c r="N25" s="125">
        <f t="shared" ca="1" si="14"/>
        <v>1513.942859239585</v>
      </c>
      <c r="R25">
        <f t="shared" si="32"/>
        <v>18</v>
      </c>
      <c r="U25" s="55"/>
      <c r="V25">
        <f t="shared" si="33"/>
        <v>7</v>
      </c>
      <c r="W25">
        <f t="shared" ca="1" si="34"/>
        <v>2025</v>
      </c>
      <c r="X25" s="123">
        <f t="shared" ca="1" si="15"/>
        <v>45839</v>
      </c>
      <c r="Y25" s="64">
        <f t="shared" ca="1" si="35"/>
        <v>942.27929687499989</v>
      </c>
      <c r="Z25" s="64">
        <f t="shared" ca="1" si="16"/>
        <v>0</v>
      </c>
      <c r="AA25" s="64">
        <f t="shared" ca="1" si="17"/>
        <v>1375.0507420329604</v>
      </c>
      <c r="AB25" s="64">
        <f t="shared" ca="1" si="18"/>
        <v>0</v>
      </c>
      <c r="AF25" t="str">
        <f t="shared" ca="1" si="1"/>
        <v>12043</v>
      </c>
      <c r="AG25" s="126">
        <f t="shared" ca="1" si="2"/>
        <v>0</v>
      </c>
      <c r="AH25" s="126">
        <f t="shared" ca="1" si="3"/>
        <v>0</v>
      </c>
      <c r="AI25" s="126">
        <f t="shared" ca="1" si="19"/>
        <v>1469.634119885447</v>
      </c>
      <c r="AJ25" t="str">
        <f t="shared" ca="1" si="4"/>
        <v>72025</v>
      </c>
      <c r="AK25" s="126">
        <f t="shared" ca="1" si="20"/>
        <v>0</v>
      </c>
      <c r="AL25" s="126">
        <f t="shared" ca="1" si="21"/>
        <v>0</v>
      </c>
      <c r="AM25" s="126">
        <f t="shared" ca="1" si="36"/>
        <v>0</v>
      </c>
      <c r="AN25" s="753">
        <f t="shared" ca="1" si="37"/>
        <v>0</v>
      </c>
      <c r="AO25" s="750">
        <f t="shared" ca="1" si="22"/>
        <v>0</v>
      </c>
      <c r="AP25" s="126">
        <f t="shared" ca="1" si="23"/>
        <v>0</v>
      </c>
      <c r="AQ25" s="126">
        <f t="shared" ca="1" si="24"/>
        <v>0</v>
      </c>
      <c r="AR25" s="126">
        <f t="shared" ca="1" si="5"/>
        <v>10000</v>
      </c>
      <c r="AS25" s="750">
        <f t="shared" ca="1" si="6"/>
        <v>0</v>
      </c>
      <c r="AT25" s="750">
        <f t="shared" ca="1" si="7"/>
        <v>0</v>
      </c>
      <c r="AU25" s="126">
        <f t="shared" ca="1" si="25"/>
        <v>942.27929687499989</v>
      </c>
      <c r="AV25" s="126">
        <f t="shared" ca="1" si="26"/>
        <v>6595.9550781249991</v>
      </c>
      <c r="AW25" s="126">
        <f t="shared" ca="1" si="8"/>
        <v>10000</v>
      </c>
      <c r="AX25" s="750">
        <f t="shared" ca="1" si="27"/>
        <v>942.27929687499989</v>
      </c>
      <c r="AY25" s="750">
        <f t="shared" ca="1" si="28"/>
        <v>0</v>
      </c>
      <c r="AZ25">
        <f t="shared" si="29"/>
        <v>5750</v>
      </c>
    </row>
    <row r="26" spans="4:52">
      <c r="D26">
        <v>19</v>
      </c>
      <c r="E26" s="6">
        <f t="shared" ca="1" si="30"/>
        <v>52201</v>
      </c>
      <c r="F26" s="7">
        <f t="shared" ca="1" si="9"/>
        <v>1.6386164402903942</v>
      </c>
      <c r="G26" s="125">
        <f ca="1">IF('Simulador - 1º Pilar'!$E$99="Sí",IF('Aportaciones PPE'!$B$13&lt;'Aportaciones PPE'!E26,0,F26*$B$8/12),F26*$B$8/12)</f>
        <v>28675.787705081897</v>
      </c>
      <c r="H26" s="125">
        <f t="shared" ca="1" si="10"/>
        <v>1433.7893852540949</v>
      </c>
      <c r="I26" s="125">
        <f t="shared" ca="1" si="11"/>
        <v>0</v>
      </c>
      <c r="J26" s="125">
        <f t="shared" ca="1" si="12"/>
        <v>0</v>
      </c>
      <c r="K26" s="125">
        <f t="shared" ca="1" si="38"/>
        <v>1479.4568380078838</v>
      </c>
      <c r="L26" s="125">
        <f t="shared" ca="1" si="31"/>
        <v>0</v>
      </c>
      <c r="M26" s="125">
        <f t="shared" ca="1" si="13"/>
        <v>0</v>
      </c>
      <c r="N26" s="125">
        <f t="shared" ca="1" si="14"/>
        <v>1479.4568380078838</v>
      </c>
      <c r="R26">
        <f t="shared" si="32"/>
        <v>19</v>
      </c>
      <c r="U26" s="55"/>
      <c r="V26">
        <f t="shared" si="33"/>
        <v>8</v>
      </c>
      <c r="W26">
        <f t="shared" ca="1" si="34"/>
        <v>2025</v>
      </c>
      <c r="X26" s="123">
        <f t="shared" ca="1" si="15"/>
        <v>45870</v>
      </c>
      <c r="Y26" s="64">
        <f t="shared" ca="1" si="35"/>
        <v>942.27929687499989</v>
      </c>
      <c r="Z26" s="64">
        <f t="shared" ca="1" si="16"/>
        <v>0</v>
      </c>
      <c r="AA26" s="64">
        <f t="shared" ca="1" si="17"/>
        <v>1372.7416135620751</v>
      </c>
      <c r="AB26" s="64">
        <f t="shared" ca="1" si="18"/>
        <v>0</v>
      </c>
      <c r="AF26" t="str">
        <f t="shared" ca="1" si="1"/>
        <v>122042</v>
      </c>
      <c r="AG26" s="126">
        <f t="shared" ca="1" si="2"/>
        <v>0</v>
      </c>
      <c r="AH26" s="126">
        <f t="shared" ca="1" si="3"/>
        <v>0</v>
      </c>
      <c r="AI26" s="126">
        <f t="shared" ca="1" si="19"/>
        <v>1433.7893852540949</v>
      </c>
      <c r="AJ26" t="str">
        <f t="shared" ca="1" si="4"/>
        <v>82025</v>
      </c>
      <c r="AK26" s="126">
        <f t="shared" ca="1" si="20"/>
        <v>0</v>
      </c>
      <c r="AL26" s="126">
        <f t="shared" ca="1" si="21"/>
        <v>0</v>
      </c>
      <c r="AM26" s="126">
        <f t="shared" ca="1" si="36"/>
        <v>0</v>
      </c>
      <c r="AN26" s="753">
        <f t="shared" ca="1" si="37"/>
        <v>0</v>
      </c>
      <c r="AO26" s="750">
        <f t="shared" ca="1" si="22"/>
        <v>0</v>
      </c>
      <c r="AP26" s="126">
        <f t="shared" ca="1" si="23"/>
        <v>0</v>
      </c>
      <c r="AQ26" s="126">
        <f t="shared" ca="1" si="24"/>
        <v>0</v>
      </c>
      <c r="AR26" s="126">
        <f t="shared" ca="1" si="5"/>
        <v>10000</v>
      </c>
      <c r="AS26" s="750">
        <f t="shared" ca="1" si="6"/>
        <v>0</v>
      </c>
      <c r="AT26" s="750">
        <f t="shared" ca="1" si="7"/>
        <v>0</v>
      </c>
      <c r="AU26" s="126">
        <f t="shared" ca="1" si="25"/>
        <v>942.27929687499989</v>
      </c>
      <c r="AV26" s="126">
        <f t="shared" ca="1" si="26"/>
        <v>7538.2343749999991</v>
      </c>
      <c r="AW26" s="126">
        <f t="shared" ca="1" si="8"/>
        <v>10000</v>
      </c>
      <c r="AX26" s="750">
        <f t="shared" ca="1" si="27"/>
        <v>942.27929687499989</v>
      </c>
      <c r="AY26" s="750">
        <f t="shared" ca="1" si="28"/>
        <v>0</v>
      </c>
      <c r="AZ26">
        <f t="shared" si="29"/>
        <v>5750</v>
      </c>
    </row>
    <row r="27" spans="4:52">
      <c r="D27">
        <v>20</v>
      </c>
      <c r="E27" s="6">
        <f t="shared" ca="1" si="30"/>
        <v>52171</v>
      </c>
      <c r="F27" s="7">
        <f t="shared" ca="1" si="9"/>
        <v>1.6386164402903942</v>
      </c>
      <c r="G27" s="125">
        <f ca="1">IF('Simulador - 1º Pilar'!$E$99="Sí",IF('Aportaciones PPE'!$B$13&lt;'Aportaciones PPE'!E27,0,F27*$B$8/12),F27*$B$8/12)</f>
        <v>28675.787705081897</v>
      </c>
      <c r="H27" s="125">
        <f t="shared" ca="1" si="10"/>
        <v>1433.7893852540949</v>
      </c>
      <c r="I27" s="125">
        <f t="shared" ca="1" si="11"/>
        <v>0</v>
      </c>
      <c r="J27" s="125">
        <f t="shared" ca="1" si="12"/>
        <v>0</v>
      </c>
      <c r="K27" s="125">
        <f t="shared" ca="1" si="38"/>
        <v>1481.9002812585354</v>
      </c>
      <c r="L27" s="125">
        <f t="shared" ca="1" si="31"/>
        <v>0</v>
      </c>
      <c r="M27" s="125">
        <f t="shared" ca="1" si="13"/>
        <v>0</v>
      </c>
      <c r="N27" s="125">
        <f t="shared" ca="1" si="14"/>
        <v>1481.9002812585354</v>
      </c>
      <c r="R27">
        <f t="shared" si="32"/>
        <v>20</v>
      </c>
      <c r="U27" s="55"/>
      <c r="V27">
        <f t="shared" si="33"/>
        <v>9</v>
      </c>
      <c r="W27">
        <f t="shared" ca="1" si="34"/>
        <v>2025</v>
      </c>
      <c r="X27" s="123">
        <f t="shared" ca="1" si="15"/>
        <v>45901</v>
      </c>
      <c r="Y27" s="64">
        <f t="shared" ca="1" si="35"/>
        <v>942.27929687499989</v>
      </c>
      <c r="Z27" s="64">
        <f t="shared" ca="1" si="16"/>
        <v>0</v>
      </c>
      <c r="AA27" s="64">
        <f t="shared" ca="1" si="17"/>
        <v>1370.4363628203037</v>
      </c>
      <c r="AB27" s="64">
        <f t="shared" ca="1" si="18"/>
        <v>0</v>
      </c>
      <c r="AF27" t="str">
        <f t="shared" ca="1" si="1"/>
        <v>112042</v>
      </c>
      <c r="AG27" s="126">
        <f t="shared" ca="1" si="2"/>
        <v>0</v>
      </c>
      <c r="AH27" s="126">
        <f t="shared" ca="1" si="3"/>
        <v>0</v>
      </c>
      <c r="AI27" s="126">
        <f t="shared" ca="1" si="19"/>
        <v>1433.7893852540949</v>
      </c>
      <c r="AJ27" t="str">
        <f t="shared" ca="1" si="4"/>
        <v>92025</v>
      </c>
      <c r="AK27" s="126">
        <f t="shared" ca="1" si="20"/>
        <v>0</v>
      </c>
      <c r="AL27" s="126">
        <f t="shared" ca="1" si="21"/>
        <v>0</v>
      </c>
      <c r="AM27" s="126">
        <f t="shared" ca="1" si="36"/>
        <v>0</v>
      </c>
      <c r="AN27" s="753">
        <f t="shared" ca="1" si="37"/>
        <v>0</v>
      </c>
      <c r="AO27" s="750">
        <f t="shared" ca="1" si="22"/>
        <v>0</v>
      </c>
      <c r="AP27" s="126">
        <f t="shared" ca="1" si="23"/>
        <v>0</v>
      </c>
      <c r="AQ27" s="126">
        <f t="shared" ca="1" si="24"/>
        <v>0</v>
      </c>
      <c r="AR27" s="126">
        <f t="shared" ca="1" si="5"/>
        <v>10000</v>
      </c>
      <c r="AS27" s="750">
        <f t="shared" ca="1" si="6"/>
        <v>0</v>
      </c>
      <c r="AT27" s="750">
        <f t="shared" ca="1" si="7"/>
        <v>0</v>
      </c>
      <c r="AU27" s="126">
        <f t="shared" ca="1" si="25"/>
        <v>942.27929687499989</v>
      </c>
      <c r="AV27" s="126">
        <f t="shared" ca="1" si="26"/>
        <v>8480.5136718749982</v>
      </c>
      <c r="AW27" s="126">
        <f t="shared" ca="1" si="8"/>
        <v>10000</v>
      </c>
      <c r="AX27" s="750">
        <f t="shared" ca="1" si="27"/>
        <v>942.27929687499989</v>
      </c>
      <c r="AY27" s="750">
        <f t="shared" ca="1" si="28"/>
        <v>0</v>
      </c>
      <c r="AZ27">
        <f t="shared" si="29"/>
        <v>5750</v>
      </c>
    </row>
    <row r="28" spans="4:52">
      <c r="D28">
        <v>21</v>
      </c>
      <c r="E28" s="6">
        <f t="shared" ca="1" si="30"/>
        <v>52140</v>
      </c>
      <c r="F28" s="7">
        <f t="shared" ca="1" si="9"/>
        <v>1.6386164402903942</v>
      </c>
      <c r="G28" s="125">
        <f ca="1">IF('Simulador - 1º Pilar'!$E$99="Sí",IF('Aportaciones PPE'!$B$13&lt;'Aportaciones PPE'!E28,0,F28*$B$8/12),F28*$B$8/12)</f>
        <v>28675.787705081897</v>
      </c>
      <c r="H28" s="125">
        <f t="shared" ca="1" si="10"/>
        <v>1433.7893852540949</v>
      </c>
      <c r="I28" s="125">
        <f t="shared" ca="1" si="11"/>
        <v>0</v>
      </c>
      <c r="J28" s="125">
        <f t="shared" ca="1" si="12"/>
        <v>0</v>
      </c>
      <c r="K28" s="125">
        <f t="shared" ca="1" si="38"/>
        <v>1484.3477600543722</v>
      </c>
      <c r="L28" s="125">
        <f t="shared" ca="1" si="31"/>
        <v>0</v>
      </c>
      <c r="M28" s="125">
        <f t="shared" ca="1" si="13"/>
        <v>0</v>
      </c>
      <c r="N28" s="125">
        <f t="shared" ca="1" si="14"/>
        <v>1484.3477600543722</v>
      </c>
      <c r="R28">
        <f t="shared" si="32"/>
        <v>21</v>
      </c>
      <c r="U28" s="55"/>
      <c r="V28">
        <f t="shared" si="33"/>
        <v>10</v>
      </c>
      <c r="W28">
        <f t="shared" ca="1" si="34"/>
        <v>2025</v>
      </c>
      <c r="X28" s="123">
        <f t="shared" ca="1" si="15"/>
        <v>45931</v>
      </c>
      <c r="Y28" s="64">
        <f t="shared" ca="1" si="35"/>
        <v>942.27929687499989</v>
      </c>
      <c r="Z28" s="64">
        <f t="shared" ca="1" si="16"/>
        <v>0</v>
      </c>
      <c r="AA28" s="64">
        <f t="shared" ca="1" si="17"/>
        <v>1368.209160986697</v>
      </c>
      <c r="AB28" s="64">
        <f t="shared" ca="1" si="18"/>
        <v>0</v>
      </c>
      <c r="AF28" t="str">
        <f t="shared" ca="1" si="1"/>
        <v>102042</v>
      </c>
      <c r="AG28" s="126">
        <f t="shared" ca="1" si="2"/>
        <v>0</v>
      </c>
      <c r="AH28" s="126">
        <f t="shared" ca="1" si="3"/>
        <v>0</v>
      </c>
      <c r="AI28" s="126">
        <f t="shared" ca="1" si="19"/>
        <v>1433.7893852540949</v>
      </c>
      <c r="AJ28" t="str">
        <f t="shared" ca="1" si="4"/>
        <v>102025</v>
      </c>
      <c r="AK28" s="126">
        <f t="shared" ca="1" si="20"/>
        <v>0</v>
      </c>
      <c r="AL28" s="126">
        <f t="shared" ca="1" si="21"/>
        <v>0</v>
      </c>
      <c r="AM28" s="126">
        <f t="shared" ca="1" si="36"/>
        <v>0</v>
      </c>
      <c r="AN28" s="753">
        <f t="shared" ca="1" si="37"/>
        <v>0</v>
      </c>
      <c r="AO28" s="750">
        <f t="shared" ca="1" si="22"/>
        <v>0</v>
      </c>
      <c r="AP28" s="126">
        <f t="shared" ca="1" si="23"/>
        <v>0</v>
      </c>
      <c r="AQ28" s="126">
        <f t="shared" ca="1" si="24"/>
        <v>0</v>
      </c>
      <c r="AR28" s="126">
        <f t="shared" ca="1" si="5"/>
        <v>10000</v>
      </c>
      <c r="AS28" s="750">
        <f t="shared" ca="1" si="6"/>
        <v>0</v>
      </c>
      <c r="AT28" s="750">
        <f t="shared" ca="1" si="7"/>
        <v>0</v>
      </c>
      <c r="AU28" s="126">
        <f t="shared" ca="1" si="25"/>
        <v>942.27929687499989</v>
      </c>
      <c r="AV28" s="126">
        <f t="shared" ca="1" si="26"/>
        <v>9422.7929687499982</v>
      </c>
      <c r="AW28" s="126">
        <f t="shared" ca="1" si="8"/>
        <v>10000</v>
      </c>
      <c r="AX28" s="750">
        <f t="shared" ca="1" si="27"/>
        <v>942.27929687499989</v>
      </c>
      <c r="AY28" s="750">
        <f t="shared" ca="1" si="28"/>
        <v>0</v>
      </c>
      <c r="AZ28">
        <f t="shared" si="29"/>
        <v>5750</v>
      </c>
    </row>
    <row r="29" spans="4:52">
      <c r="D29">
        <v>22</v>
      </c>
      <c r="E29" s="6">
        <f t="shared" ca="1" si="30"/>
        <v>52110</v>
      </c>
      <c r="F29" s="7">
        <f t="shared" ca="1" si="9"/>
        <v>1.6386164402903942</v>
      </c>
      <c r="G29" s="125">
        <f ca="1">IF('Simulador - 1º Pilar'!$E$99="Sí",IF('Aportaciones PPE'!$B$13&lt;'Aportaciones PPE'!E29,0,F29*$B$8/12),F29*$B$8/12)</f>
        <v>28675.787705081897</v>
      </c>
      <c r="H29" s="125">
        <f t="shared" ca="1" si="10"/>
        <v>1433.7893852540949</v>
      </c>
      <c r="I29" s="125">
        <f t="shared" ca="1" si="11"/>
        <v>0</v>
      </c>
      <c r="J29" s="125">
        <f t="shared" ca="1" si="12"/>
        <v>0</v>
      </c>
      <c r="K29" s="125">
        <f t="shared" ca="1" si="38"/>
        <v>1486.7992810604253</v>
      </c>
      <c r="L29" s="125">
        <f t="shared" ca="1" si="31"/>
        <v>0</v>
      </c>
      <c r="M29" s="125">
        <f t="shared" ca="1" si="13"/>
        <v>0</v>
      </c>
      <c r="N29" s="125">
        <f t="shared" ca="1" si="14"/>
        <v>1486.7992810604253</v>
      </c>
      <c r="R29">
        <f t="shared" si="32"/>
        <v>22</v>
      </c>
      <c r="U29" s="55"/>
      <c r="V29">
        <f t="shared" si="33"/>
        <v>11</v>
      </c>
      <c r="W29">
        <f t="shared" ca="1" si="34"/>
        <v>2025</v>
      </c>
      <c r="X29" s="123">
        <f t="shared" ca="1" si="15"/>
        <v>45962</v>
      </c>
      <c r="Y29" s="64">
        <f t="shared" ca="1" si="35"/>
        <v>577.20703125000182</v>
      </c>
      <c r="Z29" s="64">
        <f t="shared" ca="1" si="16"/>
        <v>365.07226562499807</v>
      </c>
      <c r="AA29" s="64">
        <f t="shared" ca="1" si="17"/>
        <v>836.70917630714678</v>
      </c>
      <c r="AB29" s="64">
        <f t="shared" ca="1" si="18"/>
        <v>529.20234530437403</v>
      </c>
      <c r="AF29" t="str">
        <f t="shared" ca="1" si="1"/>
        <v>92042</v>
      </c>
      <c r="AG29" s="126">
        <f t="shared" ca="1" si="2"/>
        <v>0</v>
      </c>
      <c r="AH29" s="126">
        <f t="shared" ca="1" si="3"/>
        <v>0</v>
      </c>
      <c r="AI29" s="126">
        <f t="shared" ca="1" si="19"/>
        <v>1433.7893852540949</v>
      </c>
      <c r="AJ29" t="str">
        <f t="shared" ca="1" si="4"/>
        <v>112025</v>
      </c>
      <c r="AK29" s="126">
        <f t="shared" ca="1" si="20"/>
        <v>0</v>
      </c>
      <c r="AL29" s="126">
        <f t="shared" ca="1" si="21"/>
        <v>0</v>
      </c>
      <c r="AM29" s="126">
        <f t="shared" ca="1" si="36"/>
        <v>0</v>
      </c>
      <c r="AN29" s="753">
        <f t="shared" ca="1" si="37"/>
        <v>0</v>
      </c>
      <c r="AO29" s="750">
        <f t="shared" ca="1" si="22"/>
        <v>0</v>
      </c>
      <c r="AP29" s="126">
        <f t="shared" ca="1" si="23"/>
        <v>0</v>
      </c>
      <c r="AQ29" s="126">
        <f t="shared" ca="1" si="24"/>
        <v>0</v>
      </c>
      <c r="AR29" s="126">
        <f t="shared" ca="1" si="5"/>
        <v>10000</v>
      </c>
      <c r="AS29" s="750">
        <f t="shared" ca="1" si="6"/>
        <v>0</v>
      </c>
      <c r="AT29" s="750">
        <f t="shared" ca="1" si="7"/>
        <v>0</v>
      </c>
      <c r="AU29" s="126">
        <f t="shared" ca="1" si="25"/>
        <v>942.27929687499989</v>
      </c>
      <c r="AV29" s="126">
        <f t="shared" ca="1" si="26"/>
        <v>10365.072265624998</v>
      </c>
      <c r="AW29" s="126">
        <f t="shared" ca="1" si="8"/>
        <v>10000</v>
      </c>
      <c r="AX29" s="750">
        <f t="shared" ca="1" si="27"/>
        <v>577.20703125000182</v>
      </c>
      <c r="AY29" s="750">
        <f t="shared" ca="1" si="28"/>
        <v>365.07226562499807</v>
      </c>
      <c r="AZ29">
        <f t="shared" si="29"/>
        <v>5750</v>
      </c>
    </row>
    <row r="30" spans="4:52">
      <c r="D30">
        <v>23</v>
      </c>
      <c r="E30" s="6">
        <f t="shared" ca="1" si="30"/>
        <v>52079</v>
      </c>
      <c r="F30" s="7">
        <f t="shared" ca="1" si="9"/>
        <v>1.6386164402903942</v>
      </c>
      <c r="G30" s="125">
        <f ca="1">IF('Simulador - 1º Pilar'!$E$99="Sí",IF('Aportaciones PPE'!$B$13&lt;'Aportaciones PPE'!E30,0,F30*$B$8/12),F30*$B$8/12)</f>
        <v>28675.787705081897</v>
      </c>
      <c r="H30" s="125">
        <f t="shared" ca="1" si="10"/>
        <v>1433.7893852540949</v>
      </c>
      <c r="I30" s="125">
        <f t="shared" ca="1" si="11"/>
        <v>0</v>
      </c>
      <c r="J30" s="125">
        <f t="shared" ca="1" si="12"/>
        <v>0</v>
      </c>
      <c r="K30" s="125">
        <f t="shared" ca="1" si="38"/>
        <v>1489.254850952733</v>
      </c>
      <c r="L30" s="125">
        <f t="shared" ca="1" si="31"/>
        <v>0</v>
      </c>
      <c r="M30" s="125">
        <f t="shared" ca="1" si="13"/>
        <v>0</v>
      </c>
      <c r="N30" s="125">
        <f t="shared" ca="1" si="14"/>
        <v>1489.254850952733</v>
      </c>
      <c r="R30">
        <f t="shared" si="32"/>
        <v>23</v>
      </c>
      <c r="U30" s="55"/>
      <c r="V30">
        <f t="shared" si="33"/>
        <v>12</v>
      </c>
      <c r="W30">
        <f t="shared" ca="1" si="34"/>
        <v>2025</v>
      </c>
      <c r="X30" s="123">
        <f t="shared" ca="1" si="15"/>
        <v>45992</v>
      </c>
      <c r="Y30" s="64">
        <f t="shared" ca="1" si="35"/>
        <v>0</v>
      </c>
      <c r="Z30" s="64">
        <f t="shared" ca="1" si="16"/>
        <v>942.27929687499989</v>
      </c>
      <c r="AA30" s="64">
        <f t="shared" ca="1" si="17"/>
        <v>0</v>
      </c>
      <c r="AB30" s="64">
        <f t="shared" ca="1" si="18"/>
        <v>1363.6916734463589</v>
      </c>
      <c r="AF30" t="str">
        <f t="shared" ca="1" si="1"/>
        <v>82042</v>
      </c>
      <c r="AG30" s="126">
        <f t="shared" ca="1" si="2"/>
        <v>0</v>
      </c>
      <c r="AH30" s="126">
        <f t="shared" ca="1" si="3"/>
        <v>0</v>
      </c>
      <c r="AI30" s="126">
        <f t="shared" ca="1" si="19"/>
        <v>1433.7893852540949</v>
      </c>
      <c r="AJ30" t="str">
        <f t="shared" ca="1" si="4"/>
        <v>122025</v>
      </c>
      <c r="AK30" s="126">
        <f t="shared" ca="1" si="20"/>
        <v>0</v>
      </c>
      <c r="AL30" s="126">
        <f t="shared" ca="1" si="21"/>
        <v>0</v>
      </c>
      <c r="AM30" s="126">
        <f t="shared" ca="1" si="36"/>
        <v>0</v>
      </c>
      <c r="AN30" s="753">
        <f t="shared" ca="1" si="37"/>
        <v>0</v>
      </c>
      <c r="AO30" s="750">
        <f t="shared" ca="1" si="22"/>
        <v>0</v>
      </c>
      <c r="AP30" s="126">
        <f t="shared" ca="1" si="23"/>
        <v>0</v>
      </c>
      <c r="AQ30" s="126">
        <f t="shared" ca="1" si="24"/>
        <v>0</v>
      </c>
      <c r="AR30" s="126">
        <f t="shared" ca="1" si="5"/>
        <v>10000</v>
      </c>
      <c r="AS30" s="750">
        <f t="shared" ca="1" si="6"/>
        <v>0</v>
      </c>
      <c r="AT30" s="750">
        <f t="shared" ca="1" si="7"/>
        <v>0</v>
      </c>
      <c r="AU30" s="126">
        <f t="shared" ca="1" si="25"/>
        <v>942.27929687499989</v>
      </c>
      <c r="AV30" s="126">
        <f t="shared" ca="1" si="26"/>
        <v>11307.351562499998</v>
      </c>
      <c r="AW30" s="126">
        <f t="shared" ca="1" si="8"/>
        <v>10000</v>
      </c>
      <c r="AX30" s="750">
        <f t="shared" ca="1" si="27"/>
        <v>0</v>
      </c>
      <c r="AY30" s="750">
        <f t="shared" ca="1" si="28"/>
        <v>942.27929687499989</v>
      </c>
      <c r="AZ30">
        <f t="shared" si="29"/>
        <v>5750</v>
      </c>
    </row>
    <row r="31" spans="4:52">
      <c r="D31">
        <v>24</v>
      </c>
      <c r="E31" s="6">
        <f t="shared" ca="1" si="30"/>
        <v>52048</v>
      </c>
      <c r="F31" s="7">
        <f t="shared" ca="1" si="9"/>
        <v>1.6386164402903942</v>
      </c>
      <c r="G31" s="125">
        <f ca="1">IF('Simulador - 1º Pilar'!$E$99="Sí",IF('Aportaciones PPE'!$B$13&lt;'Aportaciones PPE'!E31,0,F31*$B$8/12),F31*$B$8/12)</f>
        <v>28675.787705081897</v>
      </c>
      <c r="H31" s="125">
        <f t="shared" ca="1" si="10"/>
        <v>1433.7893852540949</v>
      </c>
      <c r="I31" s="125">
        <f t="shared" ca="1" si="11"/>
        <v>0</v>
      </c>
      <c r="J31" s="125">
        <f t="shared" ca="1" si="12"/>
        <v>0</v>
      </c>
      <c r="K31" s="125">
        <f t="shared" ca="1" si="38"/>
        <v>1491.7144764183604</v>
      </c>
      <c r="L31" s="125">
        <f t="shared" ca="1" si="31"/>
        <v>0</v>
      </c>
      <c r="M31" s="125">
        <f t="shared" ca="1" si="13"/>
        <v>0</v>
      </c>
      <c r="N31" s="125">
        <f t="shared" ca="1" si="14"/>
        <v>1491.7144764183604</v>
      </c>
      <c r="R31">
        <f t="shared" si="32"/>
        <v>24</v>
      </c>
      <c r="U31" s="55"/>
      <c r="V31">
        <f t="shared" si="33"/>
        <v>1</v>
      </c>
      <c r="W31">
        <f t="shared" ca="1" si="34"/>
        <v>2026</v>
      </c>
      <c r="X31" s="123">
        <f t="shared" ca="1" si="15"/>
        <v>46023</v>
      </c>
      <c r="Y31" s="64">
        <f t="shared" ca="1" si="35"/>
        <v>965.83627929687486</v>
      </c>
      <c r="Z31" s="64">
        <f t="shared" ca="1" si="16"/>
        <v>0</v>
      </c>
      <c r="AA31" s="64">
        <f t="shared" ca="1" si="17"/>
        <v>1395.4366608146054</v>
      </c>
      <c r="AB31" s="64">
        <f t="shared" ca="1" si="18"/>
        <v>0</v>
      </c>
      <c r="AF31" t="str">
        <f t="shared" ca="1" si="1"/>
        <v>72042</v>
      </c>
      <c r="AG31" s="126">
        <f t="shared" ca="1" si="2"/>
        <v>0</v>
      </c>
      <c r="AH31" s="126">
        <f t="shared" ca="1" si="3"/>
        <v>0</v>
      </c>
      <c r="AI31" s="126">
        <f t="shared" ca="1" si="19"/>
        <v>1433.7893852540949</v>
      </c>
      <c r="AJ31" t="str">
        <f t="shared" ca="1" si="4"/>
        <v>12026</v>
      </c>
      <c r="AK31" s="126">
        <f t="shared" ca="1" si="20"/>
        <v>0</v>
      </c>
      <c r="AL31" s="126">
        <f t="shared" ca="1" si="21"/>
        <v>0</v>
      </c>
      <c r="AM31" s="126">
        <f t="shared" ca="1" si="36"/>
        <v>0</v>
      </c>
      <c r="AN31" s="753">
        <f t="shared" ca="1" si="37"/>
        <v>0</v>
      </c>
      <c r="AO31" s="750">
        <f t="shared" ca="1" si="22"/>
        <v>0</v>
      </c>
      <c r="AP31" s="126">
        <f t="shared" ca="1" si="23"/>
        <v>0</v>
      </c>
      <c r="AQ31" s="126">
        <f t="shared" ca="1" si="24"/>
        <v>0</v>
      </c>
      <c r="AR31" s="126">
        <f t="shared" ca="1" si="5"/>
        <v>10000</v>
      </c>
      <c r="AS31" s="750">
        <f t="shared" ca="1" si="6"/>
        <v>0</v>
      </c>
      <c r="AT31" s="750">
        <f t="shared" ca="1" si="7"/>
        <v>0</v>
      </c>
      <c r="AU31" s="126">
        <f t="shared" ca="1" si="25"/>
        <v>965.83627929687486</v>
      </c>
      <c r="AV31" s="126">
        <f t="shared" ca="1" si="26"/>
        <v>965.83627929687486</v>
      </c>
      <c r="AW31" s="126">
        <f t="shared" ca="1" si="8"/>
        <v>10000</v>
      </c>
      <c r="AX31" s="750">
        <f t="shared" ca="1" si="27"/>
        <v>965.83627929687486</v>
      </c>
      <c r="AY31" s="750">
        <f t="shared" ca="1" si="28"/>
        <v>0</v>
      </c>
      <c r="AZ31">
        <f t="shared" si="29"/>
        <v>5750</v>
      </c>
    </row>
    <row r="32" spans="4:52">
      <c r="D32">
        <v>25</v>
      </c>
      <c r="E32" s="6">
        <f t="shared" ca="1" si="30"/>
        <v>52018</v>
      </c>
      <c r="F32" s="7">
        <f t="shared" ca="1" si="9"/>
        <v>1.6386164402903942</v>
      </c>
      <c r="G32" s="125">
        <f ca="1">IF('Simulador - 1º Pilar'!$E$99="Sí",IF('Aportaciones PPE'!$B$13&lt;'Aportaciones PPE'!E32,0,F32*$B$8/12),F32*$B$8/12)</f>
        <v>28675.787705081897</v>
      </c>
      <c r="H32" s="125">
        <f t="shared" ca="1" si="10"/>
        <v>1433.7893852540949</v>
      </c>
      <c r="I32" s="125">
        <f t="shared" ca="1" si="11"/>
        <v>0</v>
      </c>
      <c r="J32" s="125">
        <f t="shared" ca="1" si="12"/>
        <v>0</v>
      </c>
      <c r="K32" s="125">
        <f t="shared" ca="1" si="38"/>
        <v>1494.1781641554164</v>
      </c>
      <c r="L32" s="125">
        <f t="shared" ca="1" si="31"/>
        <v>0</v>
      </c>
      <c r="M32" s="125">
        <f t="shared" ca="1" si="13"/>
        <v>0</v>
      </c>
      <c r="N32" s="125">
        <f t="shared" ca="1" si="14"/>
        <v>1494.1781641554164</v>
      </c>
      <c r="R32">
        <f t="shared" si="32"/>
        <v>25</v>
      </c>
      <c r="U32" s="55"/>
      <c r="V32">
        <f t="shared" si="33"/>
        <v>2</v>
      </c>
      <c r="W32">
        <f t="shared" ca="1" si="34"/>
        <v>2026</v>
      </c>
      <c r="X32" s="123">
        <f t="shared" ca="1" si="15"/>
        <v>46054</v>
      </c>
      <c r="Y32" s="64">
        <f t="shared" ca="1" si="35"/>
        <v>965.83627929687486</v>
      </c>
      <c r="Z32" s="64">
        <f t="shared" ca="1" si="16"/>
        <v>0</v>
      </c>
      <c r="AA32" s="64">
        <f t="shared" ca="1" si="17"/>
        <v>1393.093298184918</v>
      </c>
      <c r="AB32" s="64">
        <f t="shared" ca="1" si="18"/>
        <v>0</v>
      </c>
      <c r="AF32" t="str">
        <f t="shared" ca="1" si="1"/>
        <v>62042</v>
      </c>
      <c r="AG32" s="126">
        <f t="shared" ca="1" si="2"/>
        <v>0</v>
      </c>
      <c r="AH32" s="126">
        <f t="shared" ca="1" si="3"/>
        <v>0</v>
      </c>
      <c r="AI32" s="126">
        <f t="shared" ca="1" si="19"/>
        <v>1433.7893852540949</v>
      </c>
      <c r="AJ32" t="str">
        <f t="shared" ca="1" si="4"/>
        <v>22026</v>
      </c>
      <c r="AK32" s="126">
        <f t="shared" ca="1" si="20"/>
        <v>0</v>
      </c>
      <c r="AL32" s="126">
        <f t="shared" ca="1" si="21"/>
        <v>0</v>
      </c>
      <c r="AM32" s="126">
        <f t="shared" ca="1" si="36"/>
        <v>0</v>
      </c>
      <c r="AN32" s="753">
        <f t="shared" ca="1" si="37"/>
        <v>0</v>
      </c>
      <c r="AO32" s="750">
        <f t="shared" ca="1" si="22"/>
        <v>0</v>
      </c>
      <c r="AP32" s="126">
        <f t="shared" ca="1" si="23"/>
        <v>0</v>
      </c>
      <c r="AQ32" s="126">
        <f t="shared" ca="1" si="24"/>
        <v>0</v>
      </c>
      <c r="AR32" s="126">
        <f t="shared" ca="1" si="5"/>
        <v>10000</v>
      </c>
      <c r="AS32" s="750">
        <f t="shared" ca="1" si="6"/>
        <v>0</v>
      </c>
      <c r="AT32" s="750">
        <f t="shared" ca="1" si="7"/>
        <v>0</v>
      </c>
      <c r="AU32" s="126">
        <f t="shared" ca="1" si="25"/>
        <v>965.83627929687486</v>
      </c>
      <c r="AV32" s="126">
        <f t="shared" ca="1" si="26"/>
        <v>1931.6725585937497</v>
      </c>
      <c r="AW32" s="126">
        <f t="shared" ca="1" si="8"/>
        <v>10000</v>
      </c>
      <c r="AX32" s="750">
        <f t="shared" ca="1" si="27"/>
        <v>965.83627929687486</v>
      </c>
      <c r="AY32" s="750">
        <f t="shared" ca="1" si="28"/>
        <v>0</v>
      </c>
      <c r="AZ32">
        <f t="shared" si="29"/>
        <v>5750</v>
      </c>
    </row>
    <row r="33" spans="4:52">
      <c r="D33">
        <v>26</v>
      </c>
      <c r="E33" s="6">
        <f t="shared" ca="1" si="30"/>
        <v>51987</v>
      </c>
      <c r="F33" s="7">
        <f t="shared" ca="1" si="9"/>
        <v>1.6386164402903942</v>
      </c>
      <c r="G33" s="125">
        <f ca="1">IF('Simulador - 1º Pilar'!$E$99="Sí",IF('Aportaciones PPE'!$B$13&lt;'Aportaciones PPE'!E33,0,F33*$B$8/12),F33*$B$8/12)</f>
        <v>28675.787705081897</v>
      </c>
      <c r="H33" s="125">
        <f t="shared" ca="1" si="10"/>
        <v>1433.7893852540949</v>
      </c>
      <c r="I33" s="125">
        <f t="shared" ca="1" si="11"/>
        <v>0</v>
      </c>
      <c r="J33" s="125">
        <f t="shared" ca="1" si="12"/>
        <v>0</v>
      </c>
      <c r="K33" s="125">
        <f t="shared" ca="1" si="38"/>
        <v>1496.645920873073</v>
      </c>
      <c r="L33" s="125">
        <f t="shared" ca="1" si="31"/>
        <v>0</v>
      </c>
      <c r="M33" s="125">
        <f t="shared" ca="1" si="13"/>
        <v>0</v>
      </c>
      <c r="N33" s="125">
        <f t="shared" ca="1" si="14"/>
        <v>1496.645920873073</v>
      </c>
      <c r="R33">
        <f t="shared" si="32"/>
        <v>26</v>
      </c>
      <c r="U33" s="55"/>
      <c r="V33">
        <f t="shared" si="33"/>
        <v>3</v>
      </c>
      <c r="W33">
        <f t="shared" ca="1" si="34"/>
        <v>2026</v>
      </c>
      <c r="X33" s="123">
        <f t="shared" ca="1" si="15"/>
        <v>46082</v>
      </c>
      <c r="Y33" s="64">
        <f t="shared" ca="1" si="35"/>
        <v>965.83627929687486</v>
      </c>
      <c r="Z33" s="64">
        <f t="shared" ca="1" si="16"/>
        <v>0</v>
      </c>
      <c r="AA33" s="64">
        <f t="shared" ca="1" si="17"/>
        <v>1390.9800951716243</v>
      </c>
      <c r="AB33" s="64">
        <f t="shared" ca="1" si="18"/>
        <v>0</v>
      </c>
      <c r="AF33" t="str">
        <f t="shared" ca="1" si="1"/>
        <v>52042</v>
      </c>
      <c r="AG33" s="126">
        <f t="shared" ca="1" si="2"/>
        <v>0</v>
      </c>
      <c r="AH33" s="126">
        <f t="shared" ca="1" si="3"/>
        <v>0</v>
      </c>
      <c r="AI33" s="126">
        <f t="shared" ca="1" si="19"/>
        <v>1433.7893852540949</v>
      </c>
      <c r="AJ33" t="str">
        <f t="shared" ca="1" si="4"/>
        <v>32026</v>
      </c>
      <c r="AK33" s="126">
        <f t="shared" ca="1" si="20"/>
        <v>0</v>
      </c>
      <c r="AL33" s="126">
        <f t="shared" ca="1" si="21"/>
        <v>0</v>
      </c>
      <c r="AM33" s="126">
        <f t="shared" ca="1" si="36"/>
        <v>0</v>
      </c>
      <c r="AN33" s="753">
        <f t="shared" ca="1" si="37"/>
        <v>0</v>
      </c>
      <c r="AO33" s="750">
        <f t="shared" ca="1" si="22"/>
        <v>0</v>
      </c>
      <c r="AP33" s="126">
        <f t="shared" ca="1" si="23"/>
        <v>0</v>
      </c>
      <c r="AQ33" s="126">
        <f t="shared" ca="1" si="24"/>
        <v>0</v>
      </c>
      <c r="AR33" s="126">
        <f t="shared" ca="1" si="5"/>
        <v>10000</v>
      </c>
      <c r="AS33" s="750">
        <f t="shared" ca="1" si="6"/>
        <v>0</v>
      </c>
      <c r="AT33" s="750">
        <f t="shared" ca="1" si="7"/>
        <v>0</v>
      </c>
      <c r="AU33" s="126">
        <f t="shared" ca="1" si="25"/>
        <v>965.83627929687486</v>
      </c>
      <c r="AV33" s="126">
        <f t="shared" ca="1" si="26"/>
        <v>2897.5088378906248</v>
      </c>
      <c r="AW33" s="126">
        <f t="shared" ca="1" si="8"/>
        <v>10000</v>
      </c>
      <c r="AX33" s="750">
        <f t="shared" ca="1" si="27"/>
        <v>965.83627929687486</v>
      </c>
      <c r="AY33" s="750">
        <f t="shared" ca="1" si="28"/>
        <v>0</v>
      </c>
      <c r="AZ33">
        <f t="shared" si="29"/>
        <v>5750</v>
      </c>
    </row>
    <row r="34" spans="4:52">
      <c r="D34">
        <v>27</v>
      </c>
      <c r="E34" s="6">
        <f t="shared" ca="1" si="30"/>
        <v>51957</v>
      </c>
      <c r="F34" s="7">
        <f t="shared" ca="1" si="9"/>
        <v>1.6386164402903942</v>
      </c>
      <c r="G34" s="125">
        <f ca="1">IF('Simulador - 1º Pilar'!$E$99="Sí",IF('Aportaciones PPE'!$B$13&lt;'Aportaciones PPE'!E34,0,F34*$B$8/12),F34*$B$8/12)</f>
        <v>28675.787705081897</v>
      </c>
      <c r="H34" s="125">
        <f t="shared" ca="1" si="10"/>
        <v>1433.7893852540949</v>
      </c>
      <c r="I34" s="125">
        <f t="shared" ca="1" si="11"/>
        <v>0</v>
      </c>
      <c r="J34" s="125">
        <f t="shared" ca="1" si="12"/>
        <v>0</v>
      </c>
      <c r="K34" s="125">
        <f t="shared" ca="1" si="38"/>
        <v>1499.1177532915822</v>
      </c>
      <c r="L34" s="125">
        <f t="shared" ca="1" si="31"/>
        <v>0</v>
      </c>
      <c r="M34" s="125">
        <f t="shared" ca="1" si="13"/>
        <v>0</v>
      </c>
      <c r="N34" s="125">
        <f t="shared" ca="1" si="14"/>
        <v>1499.1177532915822</v>
      </c>
      <c r="R34">
        <f t="shared" si="32"/>
        <v>27</v>
      </c>
      <c r="U34" s="55"/>
      <c r="V34">
        <f t="shared" si="33"/>
        <v>4</v>
      </c>
      <c r="W34">
        <f t="shared" ca="1" si="34"/>
        <v>2026</v>
      </c>
      <c r="X34" s="123">
        <f t="shared" ca="1" si="15"/>
        <v>46113</v>
      </c>
      <c r="Y34" s="64">
        <f t="shared" ca="1" si="35"/>
        <v>965.83627929687486</v>
      </c>
      <c r="Z34" s="64">
        <f t="shared" ca="1" si="16"/>
        <v>0</v>
      </c>
      <c r="AA34" s="64">
        <f t="shared" ca="1" si="17"/>
        <v>1388.6442164712887</v>
      </c>
      <c r="AB34" s="64">
        <f t="shared" ca="1" si="18"/>
        <v>0</v>
      </c>
      <c r="AF34" t="str">
        <f t="shared" ca="1" si="1"/>
        <v>42042</v>
      </c>
      <c r="AG34" s="126">
        <f t="shared" ca="1" si="2"/>
        <v>0</v>
      </c>
      <c r="AH34" s="126">
        <f t="shared" ca="1" si="3"/>
        <v>0</v>
      </c>
      <c r="AI34" s="126">
        <f t="shared" ca="1" si="19"/>
        <v>1433.7893852540949</v>
      </c>
      <c r="AJ34" t="str">
        <f t="shared" ca="1" si="4"/>
        <v>42026</v>
      </c>
      <c r="AK34" s="126">
        <f t="shared" ca="1" si="20"/>
        <v>0</v>
      </c>
      <c r="AL34" s="126">
        <f t="shared" ca="1" si="21"/>
        <v>0</v>
      </c>
      <c r="AM34" s="126">
        <f t="shared" ca="1" si="36"/>
        <v>0</v>
      </c>
      <c r="AN34" s="753">
        <f t="shared" ca="1" si="37"/>
        <v>0</v>
      </c>
      <c r="AO34" s="750">
        <f t="shared" ca="1" si="22"/>
        <v>0</v>
      </c>
      <c r="AP34" s="126">
        <f t="shared" ca="1" si="23"/>
        <v>0</v>
      </c>
      <c r="AQ34" s="126">
        <f t="shared" ca="1" si="24"/>
        <v>0</v>
      </c>
      <c r="AR34" s="126">
        <f t="shared" ca="1" si="5"/>
        <v>10000</v>
      </c>
      <c r="AS34" s="750">
        <f t="shared" ca="1" si="6"/>
        <v>0</v>
      </c>
      <c r="AT34" s="750">
        <f t="shared" ca="1" si="7"/>
        <v>0</v>
      </c>
      <c r="AU34" s="126">
        <f t="shared" ca="1" si="25"/>
        <v>965.83627929687486</v>
      </c>
      <c r="AV34" s="126">
        <f t="shared" ca="1" si="26"/>
        <v>3863.3451171874995</v>
      </c>
      <c r="AW34" s="126">
        <f t="shared" ca="1" si="8"/>
        <v>10000</v>
      </c>
      <c r="AX34" s="750">
        <f t="shared" ca="1" si="27"/>
        <v>965.83627929687486</v>
      </c>
      <c r="AY34" s="750">
        <f t="shared" ca="1" si="28"/>
        <v>0</v>
      </c>
      <c r="AZ34">
        <f t="shared" si="29"/>
        <v>5750</v>
      </c>
    </row>
    <row r="35" spans="4:52">
      <c r="D35">
        <v>28</v>
      </c>
      <c r="E35" s="6">
        <f t="shared" ca="1" si="30"/>
        <v>51926</v>
      </c>
      <c r="F35" s="7">
        <f t="shared" ca="1" si="9"/>
        <v>1.6386164402903942</v>
      </c>
      <c r="G35" s="125">
        <f ca="1">IF('Simulador - 1º Pilar'!$E$99="Sí",IF('Aportaciones PPE'!$B$13&lt;'Aportaciones PPE'!E35,0,F35*$B$8/12),F35*$B$8/12)</f>
        <v>28675.787705081897</v>
      </c>
      <c r="H35" s="125">
        <f t="shared" ca="1" si="10"/>
        <v>1433.7893852540949</v>
      </c>
      <c r="I35" s="125">
        <f t="shared" ca="1" si="11"/>
        <v>0</v>
      </c>
      <c r="J35" s="125">
        <f t="shared" ca="1" si="12"/>
        <v>0</v>
      </c>
      <c r="K35" s="125">
        <f t="shared" ca="1" si="38"/>
        <v>1501.5936681422952</v>
      </c>
      <c r="L35" s="125">
        <f t="shared" ca="1" si="31"/>
        <v>0</v>
      </c>
      <c r="M35" s="125">
        <f t="shared" ca="1" si="13"/>
        <v>0</v>
      </c>
      <c r="N35" s="125">
        <f t="shared" ca="1" si="14"/>
        <v>1501.5936681422952</v>
      </c>
      <c r="R35">
        <f t="shared" si="32"/>
        <v>28</v>
      </c>
      <c r="U35" s="55"/>
      <c r="V35">
        <f t="shared" si="33"/>
        <v>5</v>
      </c>
      <c r="W35">
        <f t="shared" ca="1" si="34"/>
        <v>2026</v>
      </c>
      <c r="X35" s="123">
        <f t="shared" ca="1" si="15"/>
        <v>46143</v>
      </c>
      <c r="Y35" s="64">
        <f t="shared" ca="1" si="35"/>
        <v>965.83627929687486</v>
      </c>
      <c r="Z35" s="64">
        <f t="shared" ca="1" si="16"/>
        <v>0</v>
      </c>
      <c r="AA35" s="64">
        <f t="shared" ca="1" si="17"/>
        <v>1386.3874236503602</v>
      </c>
      <c r="AB35" s="64">
        <f t="shared" ca="1" si="18"/>
        <v>0</v>
      </c>
      <c r="AF35" t="str">
        <f t="shared" ca="1" si="1"/>
        <v>32042</v>
      </c>
      <c r="AG35" s="126">
        <f t="shared" ca="1" si="2"/>
        <v>0</v>
      </c>
      <c r="AH35" s="126">
        <f t="shared" ca="1" si="3"/>
        <v>0</v>
      </c>
      <c r="AI35" s="126">
        <f t="shared" ca="1" si="19"/>
        <v>1433.7893852540949</v>
      </c>
      <c r="AJ35" t="str">
        <f t="shared" ca="1" si="4"/>
        <v>52026</v>
      </c>
      <c r="AK35" s="126">
        <f t="shared" ca="1" si="20"/>
        <v>0</v>
      </c>
      <c r="AL35" s="126">
        <f t="shared" ca="1" si="21"/>
        <v>0</v>
      </c>
      <c r="AM35" s="126">
        <f t="shared" ca="1" si="36"/>
        <v>0</v>
      </c>
      <c r="AN35" s="753">
        <f t="shared" ca="1" si="37"/>
        <v>0</v>
      </c>
      <c r="AO35" s="750">
        <f t="shared" ca="1" si="22"/>
        <v>0</v>
      </c>
      <c r="AP35" s="126">
        <f t="shared" ca="1" si="23"/>
        <v>0</v>
      </c>
      <c r="AQ35" s="126">
        <f t="shared" ca="1" si="24"/>
        <v>0</v>
      </c>
      <c r="AR35" s="126">
        <f t="shared" ca="1" si="5"/>
        <v>10000</v>
      </c>
      <c r="AS35" s="750">
        <f t="shared" ca="1" si="6"/>
        <v>0</v>
      </c>
      <c r="AT35" s="750">
        <f t="shared" ca="1" si="7"/>
        <v>0</v>
      </c>
      <c r="AU35" s="126">
        <f t="shared" ca="1" si="25"/>
        <v>965.83627929687486</v>
      </c>
      <c r="AV35" s="126">
        <f t="shared" ca="1" si="26"/>
        <v>4829.1813964843741</v>
      </c>
      <c r="AW35" s="126">
        <f t="shared" ca="1" si="8"/>
        <v>10000</v>
      </c>
      <c r="AX35" s="750">
        <f t="shared" ca="1" si="27"/>
        <v>965.83627929687486</v>
      </c>
      <c r="AY35" s="750">
        <f t="shared" ca="1" si="28"/>
        <v>0</v>
      </c>
      <c r="AZ35">
        <f t="shared" si="29"/>
        <v>5750</v>
      </c>
    </row>
    <row r="36" spans="4:52">
      <c r="D36">
        <v>29</v>
      </c>
      <c r="E36" s="6">
        <f t="shared" ca="1" si="30"/>
        <v>51898</v>
      </c>
      <c r="F36" s="7">
        <f t="shared" ca="1" si="9"/>
        <v>1.6386164402903942</v>
      </c>
      <c r="G36" s="125">
        <f ca="1">IF('Simulador - 1º Pilar'!$E$99="Sí",IF('Aportaciones PPE'!$B$13&lt;'Aportaciones PPE'!E36,0,F36*$B$8/12),F36*$B$8/12)</f>
        <v>28675.787705081897</v>
      </c>
      <c r="H36" s="125">
        <f t="shared" ca="1" si="10"/>
        <v>1433.7893852540949</v>
      </c>
      <c r="I36" s="125">
        <f t="shared" ca="1" si="11"/>
        <v>0</v>
      </c>
      <c r="J36" s="125">
        <f t="shared" ca="1" si="12"/>
        <v>0</v>
      </c>
      <c r="K36" s="125">
        <f t="shared" ca="1" si="38"/>
        <v>1504.0736721676808</v>
      </c>
      <c r="L36" s="125">
        <f t="shared" ca="1" si="31"/>
        <v>0</v>
      </c>
      <c r="M36" s="125">
        <f t="shared" ca="1" si="13"/>
        <v>0</v>
      </c>
      <c r="N36" s="125">
        <f t="shared" ca="1" si="14"/>
        <v>1504.0736721676808</v>
      </c>
      <c r="R36">
        <f t="shared" si="32"/>
        <v>29</v>
      </c>
      <c r="U36" s="55"/>
      <c r="V36">
        <f t="shared" si="33"/>
        <v>6</v>
      </c>
      <c r="W36">
        <f t="shared" ca="1" si="34"/>
        <v>2026</v>
      </c>
      <c r="X36" s="123">
        <f t="shared" ca="1" si="15"/>
        <v>46174</v>
      </c>
      <c r="Y36" s="64">
        <f t="shared" ca="1" si="35"/>
        <v>965.83627929687486</v>
      </c>
      <c r="Z36" s="64">
        <f t="shared" ca="1" si="16"/>
        <v>0</v>
      </c>
      <c r="AA36" s="64">
        <f t="shared" ca="1" si="17"/>
        <v>1384.0592574425482</v>
      </c>
      <c r="AB36" s="64">
        <f t="shared" ca="1" si="18"/>
        <v>0</v>
      </c>
      <c r="AF36" t="str">
        <f t="shared" ca="1" si="1"/>
        <v>22042</v>
      </c>
      <c r="AG36" s="126">
        <f t="shared" ca="1" si="2"/>
        <v>0</v>
      </c>
      <c r="AH36" s="126">
        <f t="shared" ca="1" si="3"/>
        <v>0</v>
      </c>
      <c r="AI36" s="126">
        <f t="shared" ca="1" si="19"/>
        <v>1433.7893852540949</v>
      </c>
      <c r="AJ36" t="str">
        <f t="shared" ca="1" si="4"/>
        <v>62026</v>
      </c>
      <c r="AK36" s="126">
        <f t="shared" ca="1" si="20"/>
        <v>0</v>
      </c>
      <c r="AL36" s="126">
        <f t="shared" ca="1" si="21"/>
        <v>0</v>
      </c>
      <c r="AM36" s="126">
        <f t="shared" ca="1" si="36"/>
        <v>0</v>
      </c>
      <c r="AN36" s="753">
        <f t="shared" ca="1" si="37"/>
        <v>0</v>
      </c>
      <c r="AO36" s="750">
        <f t="shared" ca="1" si="22"/>
        <v>0</v>
      </c>
      <c r="AP36" s="126">
        <f t="shared" ca="1" si="23"/>
        <v>0</v>
      </c>
      <c r="AQ36" s="126">
        <f t="shared" ca="1" si="24"/>
        <v>0</v>
      </c>
      <c r="AR36" s="126">
        <f t="shared" ca="1" si="5"/>
        <v>10000</v>
      </c>
      <c r="AS36" s="750">
        <f t="shared" ca="1" si="6"/>
        <v>0</v>
      </c>
      <c r="AT36" s="750">
        <f t="shared" ca="1" si="7"/>
        <v>0</v>
      </c>
      <c r="AU36" s="126">
        <f t="shared" ca="1" si="25"/>
        <v>965.83627929687486</v>
      </c>
      <c r="AV36" s="126">
        <f t="shared" ca="1" si="26"/>
        <v>5795.0176757812487</v>
      </c>
      <c r="AW36" s="126">
        <f t="shared" ca="1" si="8"/>
        <v>10000</v>
      </c>
      <c r="AX36" s="750">
        <f t="shared" ca="1" si="27"/>
        <v>965.83627929687486</v>
      </c>
      <c r="AY36" s="750">
        <f t="shared" ca="1" si="28"/>
        <v>0</v>
      </c>
      <c r="AZ36">
        <f t="shared" si="29"/>
        <v>5750</v>
      </c>
    </row>
    <row r="37" spans="4:52">
      <c r="D37">
        <v>30</v>
      </c>
      <c r="E37" s="6">
        <f t="shared" ca="1" si="30"/>
        <v>51867</v>
      </c>
      <c r="F37" s="7">
        <f t="shared" ca="1" si="9"/>
        <v>1.6386164402903942</v>
      </c>
      <c r="G37" s="125">
        <f ca="1">IF('Simulador - 1º Pilar'!$E$99="Sí",IF('Aportaciones PPE'!$B$13&lt;'Aportaciones PPE'!E37,0,F37*$B$8/12),F37*$B$8/12)</f>
        <v>28675.787705081897</v>
      </c>
      <c r="H37" s="125">
        <f t="shared" ca="1" si="10"/>
        <v>1433.7893852540949</v>
      </c>
      <c r="I37" s="125">
        <f t="shared" ca="1" si="11"/>
        <v>0</v>
      </c>
      <c r="J37" s="125">
        <f t="shared" ca="1" si="12"/>
        <v>0</v>
      </c>
      <c r="K37" s="125">
        <f t="shared" ca="1" si="38"/>
        <v>1506.5577721213431</v>
      </c>
      <c r="L37" s="125">
        <f t="shared" ca="1" si="31"/>
        <v>0</v>
      </c>
      <c r="M37" s="125">
        <f t="shared" ca="1" si="13"/>
        <v>0</v>
      </c>
      <c r="N37" s="125">
        <f ca="1">L37+K37+M37</f>
        <v>1506.5577721213431</v>
      </c>
      <c r="R37">
        <f t="shared" si="32"/>
        <v>30</v>
      </c>
      <c r="U37" s="55"/>
      <c r="V37">
        <f t="shared" si="33"/>
        <v>7</v>
      </c>
      <c r="W37">
        <f t="shared" ca="1" si="34"/>
        <v>2026</v>
      </c>
      <c r="X37" s="123">
        <f t="shared" ca="1" si="15"/>
        <v>46204</v>
      </c>
      <c r="Y37" s="64">
        <f t="shared" ca="1" si="35"/>
        <v>965.83627929687486</v>
      </c>
      <c r="Z37" s="64">
        <f t="shared" ca="1" si="16"/>
        <v>0</v>
      </c>
      <c r="AA37" s="64">
        <f t="shared" ca="1" si="17"/>
        <v>1381.8099159921705</v>
      </c>
      <c r="AB37" s="64">
        <f t="shared" ca="1" si="18"/>
        <v>0</v>
      </c>
      <c r="AF37" t="str">
        <f t="shared" ca="1" si="1"/>
        <v>12042</v>
      </c>
      <c r="AG37" s="126">
        <f t="shared" ca="1" si="2"/>
        <v>0</v>
      </c>
      <c r="AH37" s="126">
        <f t="shared" ca="1" si="3"/>
        <v>0</v>
      </c>
      <c r="AI37" s="126">
        <f t="shared" ca="1" si="19"/>
        <v>1433.7893852540949</v>
      </c>
      <c r="AJ37" t="str">
        <f t="shared" ca="1" si="4"/>
        <v>72026</v>
      </c>
      <c r="AK37" s="126">
        <f t="shared" ca="1" si="20"/>
        <v>0</v>
      </c>
      <c r="AL37" s="126">
        <f t="shared" ca="1" si="21"/>
        <v>0</v>
      </c>
      <c r="AM37" s="126">
        <f t="shared" ca="1" si="36"/>
        <v>0</v>
      </c>
      <c r="AN37" s="753">
        <f t="shared" ca="1" si="37"/>
        <v>0</v>
      </c>
      <c r="AO37" s="750">
        <f t="shared" ca="1" si="22"/>
        <v>0</v>
      </c>
      <c r="AP37" s="126">
        <f t="shared" ca="1" si="23"/>
        <v>0</v>
      </c>
      <c r="AQ37" s="126">
        <f t="shared" ca="1" si="24"/>
        <v>0</v>
      </c>
      <c r="AR37" s="126">
        <f t="shared" ca="1" si="5"/>
        <v>10000</v>
      </c>
      <c r="AS37" s="750">
        <f t="shared" ca="1" si="6"/>
        <v>0</v>
      </c>
      <c r="AT37" s="750">
        <f t="shared" ca="1" si="7"/>
        <v>0</v>
      </c>
      <c r="AU37" s="126">
        <f t="shared" ca="1" si="25"/>
        <v>965.83627929687486</v>
      </c>
      <c r="AV37" s="126">
        <f t="shared" ca="1" si="26"/>
        <v>6760.8539550781234</v>
      </c>
      <c r="AW37" s="126">
        <f t="shared" ca="1" si="8"/>
        <v>10000</v>
      </c>
      <c r="AX37" s="750">
        <f t="shared" ca="1" si="27"/>
        <v>965.83627929687486</v>
      </c>
      <c r="AY37" s="750">
        <f t="shared" ca="1" si="28"/>
        <v>0</v>
      </c>
      <c r="AZ37">
        <f t="shared" si="29"/>
        <v>5750</v>
      </c>
    </row>
    <row r="38" spans="4:52">
      <c r="D38">
        <v>31</v>
      </c>
      <c r="E38" s="6">
        <f t="shared" ca="1" si="30"/>
        <v>51836</v>
      </c>
      <c r="F38" s="7">
        <f t="shared" ca="1" si="9"/>
        <v>1.5986501856491653</v>
      </c>
      <c r="G38" s="125">
        <f ca="1">IF('Simulador - 1º Pilar'!$E$99="Sí",IF('Aportaciones PPE'!$B$13&lt;'Aportaciones PPE'!E38,0,F38*$B$8/12),F38*$B$8/12)</f>
        <v>27976.37824886039</v>
      </c>
      <c r="H38" s="125">
        <f t="shared" ca="1" si="10"/>
        <v>1398.8189124430196</v>
      </c>
      <c r="I38" s="125">
        <f t="shared" ca="1" si="11"/>
        <v>0</v>
      </c>
      <c r="J38" s="125">
        <f t="shared" ca="1" si="12"/>
        <v>0</v>
      </c>
      <c r="K38" s="125">
        <f t="shared" ca="1" si="38"/>
        <v>1472.2399753834552</v>
      </c>
      <c r="L38" s="125">
        <f t="shared" ca="1" si="31"/>
        <v>0</v>
      </c>
      <c r="M38" s="125">
        <f t="shared" ca="1" si="13"/>
        <v>0</v>
      </c>
      <c r="N38" s="125">
        <f t="shared" ca="1" si="14"/>
        <v>1472.2399753834552</v>
      </c>
      <c r="R38">
        <f t="shared" si="32"/>
        <v>31</v>
      </c>
      <c r="U38" s="55"/>
      <c r="V38">
        <f t="shared" si="33"/>
        <v>8</v>
      </c>
      <c r="W38">
        <f t="shared" ca="1" si="34"/>
        <v>2026</v>
      </c>
      <c r="X38" s="123">
        <f t="shared" ca="1" si="15"/>
        <v>46235</v>
      </c>
      <c r="Y38" s="64">
        <f t="shared" ca="1" si="35"/>
        <v>965.83627929687486</v>
      </c>
      <c r="Z38" s="64">
        <f t="shared" ca="1" si="16"/>
        <v>0</v>
      </c>
      <c r="AA38" s="64">
        <f t="shared" ca="1" si="17"/>
        <v>1379.4894368121431</v>
      </c>
      <c r="AB38" s="64">
        <f t="shared" ca="1" si="18"/>
        <v>0</v>
      </c>
      <c r="AF38" t="str">
        <f t="shared" ca="1" si="1"/>
        <v>122041</v>
      </c>
      <c r="AG38" s="126">
        <f t="shared" ca="1" si="2"/>
        <v>0</v>
      </c>
      <c r="AH38" s="126">
        <f t="shared" ca="1" si="3"/>
        <v>0</v>
      </c>
      <c r="AI38" s="126">
        <f t="shared" ca="1" si="19"/>
        <v>1398.8189124430196</v>
      </c>
      <c r="AJ38" t="str">
        <f t="shared" ca="1" si="4"/>
        <v>82026</v>
      </c>
      <c r="AK38" s="126">
        <f t="shared" ca="1" si="20"/>
        <v>0</v>
      </c>
      <c r="AL38" s="126">
        <f t="shared" ca="1" si="21"/>
        <v>0</v>
      </c>
      <c r="AM38" s="126">
        <f t="shared" ca="1" si="36"/>
        <v>0</v>
      </c>
      <c r="AN38" s="753">
        <f t="shared" ca="1" si="37"/>
        <v>0</v>
      </c>
      <c r="AO38" s="750">
        <f t="shared" ca="1" si="22"/>
        <v>0</v>
      </c>
      <c r="AP38" s="126">
        <f t="shared" ca="1" si="23"/>
        <v>0</v>
      </c>
      <c r="AQ38" s="126">
        <f t="shared" ca="1" si="24"/>
        <v>0</v>
      </c>
      <c r="AR38" s="126">
        <f t="shared" ca="1" si="5"/>
        <v>10000</v>
      </c>
      <c r="AS38" s="750">
        <f t="shared" ca="1" si="6"/>
        <v>0</v>
      </c>
      <c r="AT38" s="750">
        <f t="shared" ca="1" si="7"/>
        <v>0</v>
      </c>
      <c r="AU38" s="126">
        <f t="shared" ca="1" si="25"/>
        <v>965.83627929687486</v>
      </c>
      <c r="AV38" s="126">
        <f t="shared" ca="1" si="26"/>
        <v>7726.690234374998</v>
      </c>
      <c r="AW38" s="126">
        <f t="shared" ca="1" si="8"/>
        <v>10000</v>
      </c>
      <c r="AX38" s="750">
        <f t="shared" ca="1" si="27"/>
        <v>965.83627929687486</v>
      </c>
      <c r="AY38" s="750">
        <f t="shared" ca="1" si="28"/>
        <v>0</v>
      </c>
      <c r="AZ38">
        <f t="shared" si="29"/>
        <v>5750</v>
      </c>
    </row>
    <row r="39" spans="4:52">
      <c r="D39">
        <v>32</v>
      </c>
      <c r="E39" s="6">
        <f t="shared" ca="1" si="30"/>
        <v>51806</v>
      </c>
      <c r="F39" s="7">
        <f t="shared" ca="1" si="9"/>
        <v>1.5986501856491653</v>
      </c>
      <c r="G39" s="125">
        <f ca="1">IF('Simulador - 1º Pilar'!$E$99="Sí",IF('Aportaciones PPE'!$B$13&lt;'Aportaciones PPE'!E39,0,F39*$B$8/12),F39*$B$8/12)</f>
        <v>27976.37824886039</v>
      </c>
      <c r="H39" s="125">
        <f t="shared" ca="1" si="10"/>
        <v>1398.8189124430196</v>
      </c>
      <c r="I39" s="125">
        <f t="shared" ca="1" si="11"/>
        <v>0</v>
      </c>
      <c r="J39" s="125">
        <f t="shared" ca="1" si="12"/>
        <v>0</v>
      </c>
      <c r="K39" s="125">
        <f t="shared" ca="1" si="38"/>
        <v>1474.671499398738</v>
      </c>
      <c r="L39" s="125">
        <f t="shared" ca="1" si="31"/>
        <v>0</v>
      </c>
      <c r="M39" s="125">
        <f t="shared" ca="1" si="13"/>
        <v>0</v>
      </c>
      <c r="N39" s="125">
        <f t="shared" ca="1" si="14"/>
        <v>1474.671499398738</v>
      </c>
      <c r="R39">
        <f t="shared" si="32"/>
        <v>32</v>
      </c>
      <c r="U39" s="55"/>
      <c r="V39">
        <f t="shared" si="33"/>
        <v>9</v>
      </c>
      <c r="W39">
        <f t="shared" ca="1" si="34"/>
        <v>2026</v>
      </c>
      <c r="X39" s="123">
        <f t="shared" ca="1" si="15"/>
        <v>46266</v>
      </c>
      <c r="Y39" s="64">
        <f t="shared" ca="1" si="35"/>
        <v>965.83627929687486</v>
      </c>
      <c r="Z39" s="64">
        <f t="shared" ca="1" si="16"/>
        <v>0</v>
      </c>
      <c r="AA39" s="64">
        <f t="shared" ca="1" si="17"/>
        <v>1377.1728544225227</v>
      </c>
      <c r="AB39" s="64">
        <f t="shared" ca="1" si="18"/>
        <v>0</v>
      </c>
      <c r="AF39" t="str">
        <f t="shared" ca="1" si="1"/>
        <v>112041</v>
      </c>
      <c r="AG39" s="126">
        <f t="shared" ca="1" si="2"/>
        <v>0</v>
      </c>
      <c r="AH39" s="126">
        <f t="shared" ca="1" si="3"/>
        <v>0</v>
      </c>
      <c r="AI39" s="126">
        <f t="shared" ca="1" si="19"/>
        <v>1398.8189124430196</v>
      </c>
      <c r="AJ39" t="str">
        <f t="shared" ca="1" si="4"/>
        <v>92026</v>
      </c>
      <c r="AK39" s="126">
        <f t="shared" ca="1" si="20"/>
        <v>0</v>
      </c>
      <c r="AL39" s="126">
        <f t="shared" ca="1" si="21"/>
        <v>0</v>
      </c>
      <c r="AM39" s="126">
        <f t="shared" ca="1" si="36"/>
        <v>0</v>
      </c>
      <c r="AN39" s="753">
        <f t="shared" ca="1" si="37"/>
        <v>0</v>
      </c>
      <c r="AO39" s="750">
        <f t="shared" ca="1" si="22"/>
        <v>0</v>
      </c>
      <c r="AP39" s="126">
        <f t="shared" ca="1" si="23"/>
        <v>0</v>
      </c>
      <c r="AQ39" s="126">
        <f t="shared" ca="1" si="24"/>
        <v>0</v>
      </c>
      <c r="AR39" s="126">
        <f t="shared" ca="1" si="5"/>
        <v>10000</v>
      </c>
      <c r="AS39" s="750">
        <f t="shared" ca="1" si="6"/>
        <v>0</v>
      </c>
      <c r="AT39" s="750">
        <f t="shared" ca="1" si="7"/>
        <v>0</v>
      </c>
      <c r="AU39" s="126">
        <f t="shared" ca="1" si="25"/>
        <v>965.83627929687486</v>
      </c>
      <c r="AV39" s="126">
        <f t="shared" ca="1" si="26"/>
        <v>8692.5265136718735</v>
      </c>
      <c r="AW39" s="126">
        <f t="shared" ca="1" si="8"/>
        <v>10000</v>
      </c>
      <c r="AX39" s="750">
        <f t="shared" ca="1" si="27"/>
        <v>965.83627929687486</v>
      </c>
      <c r="AY39" s="750">
        <f t="shared" ca="1" si="28"/>
        <v>0</v>
      </c>
      <c r="AZ39">
        <f t="shared" si="29"/>
        <v>5750</v>
      </c>
    </row>
    <row r="40" spans="4:52">
      <c r="D40">
        <v>33</v>
      </c>
      <c r="E40" s="6">
        <f t="shared" ca="1" si="30"/>
        <v>51775</v>
      </c>
      <c r="F40" s="7">
        <f t="shared" ca="1" si="9"/>
        <v>1.5986501856491653</v>
      </c>
      <c r="G40" s="125">
        <f ca="1">IF('Simulador - 1º Pilar'!$E$99="Sí",IF('Aportaciones PPE'!$B$13&lt;'Aportaciones PPE'!E40,0,F40*$B$8/12),F40*$B$8/12)</f>
        <v>27976.37824886039</v>
      </c>
      <c r="H40" s="125">
        <f t="shared" ca="1" si="10"/>
        <v>1398.8189124430196</v>
      </c>
      <c r="I40" s="125">
        <f t="shared" ca="1" si="11"/>
        <v>0</v>
      </c>
      <c r="J40" s="125">
        <f t="shared" ca="1" si="12"/>
        <v>0</v>
      </c>
      <c r="K40" s="125">
        <f t="shared" ca="1" si="38"/>
        <v>1477.1070392736194</v>
      </c>
      <c r="L40" s="125">
        <f t="shared" ca="1" si="31"/>
        <v>0</v>
      </c>
      <c r="M40" s="125">
        <f t="shared" ca="1" si="13"/>
        <v>0</v>
      </c>
      <c r="N40" s="125">
        <f t="shared" ca="1" si="14"/>
        <v>1477.1070392736194</v>
      </c>
      <c r="R40">
        <f t="shared" si="32"/>
        <v>33</v>
      </c>
      <c r="U40" s="55"/>
      <c r="V40">
        <f t="shared" si="33"/>
        <v>10</v>
      </c>
      <c r="W40">
        <f t="shared" ca="1" si="34"/>
        <v>2026</v>
      </c>
      <c r="X40" s="123">
        <f t="shared" ca="1" si="15"/>
        <v>46296</v>
      </c>
      <c r="Y40" s="64">
        <f t="shared" ca="1" si="35"/>
        <v>965.83627929687486</v>
      </c>
      <c r="Z40" s="64">
        <f t="shared" ca="1" si="16"/>
        <v>0</v>
      </c>
      <c r="AA40" s="64">
        <f t="shared" ca="1" si="17"/>
        <v>1374.9347045968341</v>
      </c>
      <c r="AB40" s="64">
        <f t="shared" ca="1" si="18"/>
        <v>0</v>
      </c>
      <c r="AF40" t="str">
        <f t="shared" ca="1" si="1"/>
        <v>102041</v>
      </c>
      <c r="AG40" s="126">
        <f t="shared" ca="1" si="2"/>
        <v>0</v>
      </c>
      <c r="AH40" s="126">
        <f t="shared" ca="1" si="3"/>
        <v>0</v>
      </c>
      <c r="AI40" s="126">
        <f t="shared" ca="1" si="19"/>
        <v>1398.8189124430196</v>
      </c>
      <c r="AJ40" t="str">
        <f t="shared" ca="1" si="4"/>
        <v>102026</v>
      </c>
      <c r="AK40" s="126">
        <f t="shared" ca="1" si="20"/>
        <v>0</v>
      </c>
      <c r="AL40" s="126">
        <f t="shared" ca="1" si="21"/>
        <v>0</v>
      </c>
      <c r="AM40" s="126">
        <f t="shared" ca="1" si="36"/>
        <v>0</v>
      </c>
      <c r="AN40" s="753">
        <f t="shared" ca="1" si="37"/>
        <v>0</v>
      </c>
      <c r="AO40" s="750">
        <f t="shared" ca="1" si="22"/>
        <v>0</v>
      </c>
      <c r="AP40" s="126">
        <f t="shared" ca="1" si="23"/>
        <v>0</v>
      </c>
      <c r="AQ40" s="126">
        <f t="shared" ca="1" si="24"/>
        <v>0</v>
      </c>
      <c r="AR40" s="126">
        <f t="shared" ca="1" si="5"/>
        <v>10000</v>
      </c>
      <c r="AS40" s="750">
        <f t="shared" ca="1" si="6"/>
        <v>0</v>
      </c>
      <c r="AT40" s="750">
        <f t="shared" ca="1" si="7"/>
        <v>0</v>
      </c>
      <c r="AU40" s="126">
        <f t="shared" ca="1" si="25"/>
        <v>965.83627929687486</v>
      </c>
      <c r="AV40" s="126">
        <f t="shared" ca="1" si="26"/>
        <v>9658.3627929687482</v>
      </c>
      <c r="AW40" s="126">
        <f t="shared" ca="1" si="8"/>
        <v>10000</v>
      </c>
      <c r="AX40" s="750">
        <f t="shared" ca="1" si="27"/>
        <v>965.83627929687486</v>
      </c>
      <c r="AY40" s="750">
        <f t="shared" ca="1" si="28"/>
        <v>0</v>
      </c>
      <c r="AZ40">
        <f t="shared" si="29"/>
        <v>5750</v>
      </c>
    </row>
    <row r="41" spans="4:52">
      <c r="D41">
        <v>34</v>
      </c>
      <c r="E41" s="6">
        <f t="shared" ca="1" si="30"/>
        <v>51745</v>
      </c>
      <c r="F41" s="7">
        <f t="shared" ca="1" si="9"/>
        <v>1.5986501856491653</v>
      </c>
      <c r="G41" s="125">
        <f ca="1">IF('Simulador - 1º Pilar'!$E$99="Sí",IF('Aportaciones PPE'!$B$13&lt;'Aportaciones PPE'!E41,0,F41*$B$8/12),F41*$B$8/12)</f>
        <v>27976.37824886039</v>
      </c>
      <c r="H41" s="125">
        <f t="shared" ca="1" si="10"/>
        <v>1398.8189124430196</v>
      </c>
      <c r="I41" s="125">
        <f t="shared" ca="1" si="11"/>
        <v>0</v>
      </c>
      <c r="J41" s="125">
        <f t="shared" ca="1" si="12"/>
        <v>0</v>
      </c>
      <c r="K41" s="125">
        <f t="shared" ca="1" si="38"/>
        <v>1479.5466016406185</v>
      </c>
      <c r="L41" s="125">
        <f t="shared" ca="1" si="31"/>
        <v>0</v>
      </c>
      <c r="M41" s="125">
        <f t="shared" ca="1" si="13"/>
        <v>0</v>
      </c>
      <c r="N41" s="125">
        <f t="shared" ca="1" si="14"/>
        <v>1479.5466016406185</v>
      </c>
      <c r="R41">
        <f t="shared" si="32"/>
        <v>34</v>
      </c>
      <c r="U41" s="55"/>
      <c r="V41">
        <f t="shared" si="33"/>
        <v>11</v>
      </c>
      <c r="W41">
        <f t="shared" ca="1" si="34"/>
        <v>2026</v>
      </c>
      <c r="X41" s="123">
        <f t="shared" ca="1" si="15"/>
        <v>46327</v>
      </c>
      <c r="Y41" s="64">
        <f t="shared" ca="1" si="35"/>
        <v>341.63720703125182</v>
      </c>
      <c r="Z41" s="64">
        <f t="shared" ca="1" si="16"/>
        <v>624.19907226562304</v>
      </c>
      <c r="AA41" s="64">
        <f t="shared" ca="1" si="17"/>
        <v>485.5274592096294</v>
      </c>
      <c r="AB41" s="64">
        <f t="shared" ca="1" si="18"/>
        <v>887.09831177847195</v>
      </c>
      <c r="AF41" t="str">
        <f t="shared" ca="1" si="1"/>
        <v>92041</v>
      </c>
      <c r="AG41" s="126">
        <f t="shared" ca="1" si="2"/>
        <v>0</v>
      </c>
      <c r="AH41" s="126">
        <f t="shared" ca="1" si="3"/>
        <v>0</v>
      </c>
      <c r="AI41" s="126">
        <f t="shared" ca="1" si="19"/>
        <v>1398.8189124430196</v>
      </c>
      <c r="AJ41" t="str">
        <f t="shared" ca="1" si="4"/>
        <v>112026</v>
      </c>
      <c r="AK41" s="126">
        <f t="shared" ca="1" si="20"/>
        <v>0</v>
      </c>
      <c r="AL41" s="126">
        <f t="shared" ca="1" si="21"/>
        <v>0</v>
      </c>
      <c r="AM41" s="126">
        <f t="shared" ca="1" si="36"/>
        <v>0</v>
      </c>
      <c r="AN41" s="753">
        <f t="shared" ca="1" si="37"/>
        <v>0</v>
      </c>
      <c r="AO41" s="750">
        <f t="shared" ca="1" si="22"/>
        <v>0</v>
      </c>
      <c r="AP41" s="126">
        <f t="shared" ca="1" si="23"/>
        <v>0</v>
      </c>
      <c r="AQ41" s="126">
        <f t="shared" ca="1" si="24"/>
        <v>0</v>
      </c>
      <c r="AR41" s="126">
        <f t="shared" ca="1" si="5"/>
        <v>10000</v>
      </c>
      <c r="AS41" s="750">
        <f t="shared" ca="1" si="6"/>
        <v>0</v>
      </c>
      <c r="AT41" s="750">
        <f t="shared" ca="1" si="7"/>
        <v>0</v>
      </c>
      <c r="AU41" s="126">
        <f t="shared" ca="1" si="25"/>
        <v>965.83627929687486</v>
      </c>
      <c r="AV41" s="126">
        <f t="shared" ca="1" si="26"/>
        <v>10624.199072265623</v>
      </c>
      <c r="AW41" s="126">
        <f t="shared" ca="1" si="8"/>
        <v>10000</v>
      </c>
      <c r="AX41" s="750">
        <f t="shared" ca="1" si="27"/>
        <v>341.63720703125182</v>
      </c>
      <c r="AY41" s="750">
        <f t="shared" ca="1" si="28"/>
        <v>624.19907226562304</v>
      </c>
      <c r="AZ41">
        <f t="shared" si="29"/>
        <v>5750</v>
      </c>
    </row>
    <row r="42" spans="4:52">
      <c r="D42">
        <v>35</v>
      </c>
      <c r="E42" s="6">
        <f t="shared" ca="1" si="30"/>
        <v>51714</v>
      </c>
      <c r="F42" s="7">
        <f t="shared" ca="1" si="9"/>
        <v>1.5986501856491653</v>
      </c>
      <c r="G42" s="125">
        <f ca="1">IF('Simulador - 1º Pilar'!$E$99="Sí",IF('Aportaciones PPE'!$B$13&lt;'Aportaciones PPE'!E42,0,F42*$B$8/12),F42*$B$8/12)</f>
        <v>27976.37824886039</v>
      </c>
      <c r="H42" s="125">
        <f t="shared" ca="1" si="10"/>
        <v>1398.8189124430196</v>
      </c>
      <c r="I42" s="125">
        <f t="shared" ca="1" si="11"/>
        <v>0</v>
      </c>
      <c r="J42" s="125">
        <f t="shared" ca="1" si="12"/>
        <v>0</v>
      </c>
      <c r="K42" s="125">
        <f t="shared" ca="1" si="38"/>
        <v>1481.9901931432075</v>
      </c>
      <c r="L42" s="125">
        <f t="shared" ca="1" si="31"/>
        <v>0</v>
      </c>
      <c r="M42" s="125">
        <f t="shared" ca="1" si="13"/>
        <v>0</v>
      </c>
      <c r="N42" s="125">
        <f t="shared" ca="1" si="14"/>
        <v>1481.9901931432075</v>
      </c>
      <c r="R42">
        <f t="shared" si="32"/>
        <v>35</v>
      </c>
      <c r="U42" s="55"/>
      <c r="V42">
        <f t="shared" si="33"/>
        <v>12</v>
      </c>
      <c r="W42">
        <f t="shared" ca="1" si="34"/>
        <v>2026</v>
      </c>
      <c r="X42" s="123">
        <f t="shared" ca="1" si="15"/>
        <v>46357</v>
      </c>
      <c r="Y42" s="64">
        <f t="shared" ca="1" si="35"/>
        <v>0</v>
      </c>
      <c r="Z42" s="64">
        <f t="shared" ca="1" si="16"/>
        <v>965.83627929687486</v>
      </c>
      <c r="AA42" s="64">
        <f t="shared" ca="1" si="17"/>
        <v>0</v>
      </c>
      <c r="AB42" s="64">
        <f t="shared" ca="1" si="18"/>
        <v>1370.3950109784143</v>
      </c>
      <c r="AF42" t="str">
        <f t="shared" ca="1" si="1"/>
        <v>82041</v>
      </c>
      <c r="AG42" s="126">
        <f t="shared" ca="1" si="2"/>
        <v>0</v>
      </c>
      <c r="AH42" s="126">
        <f t="shared" ca="1" si="3"/>
        <v>0</v>
      </c>
      <c r="AI42" s="126">
        <f t="shared" ca="1" si="19"/>
        <v>1398.8189124430196</v>
      </c>
      <c r="AJ42" t="str">
        <f t="shared" ca="1" si="4"/>
        <v>122026</v>
      </c>
      <c r="AK42" s="126">
        <f t="shared" ca="1" si="20"/>
        <v>0</v>
      </c>
      <c r="AL42" s="126">
        <f t="shared" ca="1" si="21"/>
        <v>0</v>
      </c>
      <c r="AM42" s="126">
        <f t="shared" ca="1" si="36"/>
        <v>0</v>
      </c>
      <c r="AN42" s="753">
        <f t="shared" ca="1" si="37"/>
        <v>0</v>
      </c>
      <c r="AO42" s="750">
        <f t="shared" ca="1" si="22"/>
        <v>0</v>
      </c>
      <c r="AP42" s="126">
        <f t="shared" ca="1" si="23"/>
        <v>0</v>
      </c>
      <c r="AQ42" s="126">
        <f t="shared" ca="1" si="24"/>
        <v>0</v>
      </c>
      <c r="AR42" s="126">
        <f t="shared" ca="1" si="5"/>
        <v>10000</v>
      </c>
      <c r="AS42" s="750">
        <f t="shared" ca="1" si="6"/>
        <v>0</v>
      </c>
      <c r="AT42" s="750">
        <f t="shared" ca="1" si="7"/>
        <v>0</v>
      </c>
      <c r="AU42" s="126">
        <f t="shared" ca="1" si="25"/>
        <v>965.83627929687486</v>
      </c>
      <c r="AV42" s="126">
        <f t="shared" ca="1" si="26"/>
        <v>11590.035351562497</v>
      </c>
      <c r="AW42" s="126">
        <f t="shared" ca="1" si="8"/>
        <v>10000</v>
      </c>
      <c r="AX42" s="750">
        <f t="shared" ca="1" si="27"/>
        <v>0</v>
      </c>
      <c r="AY42" s="750">
        <f t="shared" ca="1" si="28"/>
        <v>965.83627929687486</v>
      </c>
      <c r="AZ42">
        <f t="shared" si="29"/>
        <v>5750</v>
      </c>
    </row>
    <row r="43" spans="4:52">
      <c r="D43">
        <v>36</v>
      </c>
      <c r="E43" s="6">
        <f t="shared" ca="1" si="30"/>
        <v>51683</v>
      </c>
      <c r="F43" s="7">
        <f t="shared" ca="1" si="9"/>
        <v>1.5986501856491653</v>
      </c>
      <c r="G43" s="125">
        <f ca="1">IF('Simulador - 1º Pilar'!$E$99="Sí",IF('Aportaciones PPE'!$B$13&lt;'Aportaciones PPE'!E43,0,F43*$B$8/12),F43*$B$8/12)</f>
        <v>27976.37824886039</v>
      </c>
      <c r="H43" s="125">
        <f t="shared" ca="1" si="10"/>
        <v>1398.8189124430196</v>
      </c>
      <c r="I43" s="125">
        <f t="shared" ca="1" si="11"/>
        <v>0</v>
      </c>
      <c r="J43" s="125">
        <f t="shared" ca="1" si="12"/>
        <v>0</v>
      </c>
      <c r="K43" s="125">
        <f t="shared" ca="1" si="38"/>
        <v>1484.4378204358318</v>
      </c>
      <c r="L43" s="125">
        <f t="shared" ca="1" si="31"/>
        <v>0</v>
      </c>
      <c r="M43" s="125">
        <f t="shared" ca="1" si="13"/>
        <v>0</v>
      </c>
      <c r="N43" s="125">
        <f t="shared" ca="1" si="14"/>
        <v>1484.4378204358318</v>
      </c>
      <c r="R43">
        <f t="shared" si="32"/>
        <v>36</v>
      </c>
      <c r="U43" s="55"/>
      <c r="V43">
        <f t="shared" si="33"/>
        <v>1</v>
      </c>
      <c r="W43">
        <f t="shared" ca="1" si="34"/>
        <v>2027</v>
      </c>
      <c r="X43" s="123">
        <f t="shared" ca="1" si="15"/>
        <v>46388</v>
      </c>
      <c r="Y43" s="64">
        <f t="shared" ca="1" si="35"/>
        <v>989.98218627929657</v>
      </c>
      <c r="Z43" s="64">
        <f t="shared" ca="1" si="16"/>
        <v>0</v>
      </c>
      <c r="AA43" s="64">
        <f t="shared" ca="1" si="17"/>
        <v>1402.2960434185954</v>
      </c>
      <c r="AB43" s="64">
        <f t="shared" ca="1" si="18"/>
        <v>0</v>
      </c>
      <c r="AF43" t="str">
        <f t="shared" ca="1" si="1"/>
        <v>72041</v>
      </c>
      <c r="AG43" s="126">
        <f t="shared" ca="1" si="2"/>
        <v>0</v>
      </c>
      <c r="AH43" s="126">
        <f t="shared" ca="1" si="3"/>
        <v>0</v>
      </c>
      <c r="AI43" s="126">
        <f t="shared" ca="1" si="19"/>
        <v>1398.8189124430196</v>
      </c>
      <c r="AJ43" t="str">
        <f t="shared" ca="1" si="4"/>
        <v>12027</v>
      </c>
      <c r="AK43" s="126">
        <f t="shared" ca="1" si="20"/>
        <v>0</v>
      </c>
      <c r="AL43" s="126">
        <f t="shared" ca="1" si="21"/>
        <v>0</v>
      </c>
      <c r="AM43" s="126">
        <f t="shared" ca="1" si="36"/>
        <v>0</v>
      </c>
      <c r="AN43" s="753">
        <f t="shared" ca="1" si="37"/>
        <v>0</v>
      </c>
      <c r="AO43" s="750">
        <f t="shared" ca="1" si="22"/>
        <v>0</v>
      </c>
      <c r="AP43" s="126">
        <f t="shared" ca="1" si="23"/>
        <v>0</v>
      </c>
      <c r="AQ43" s="126">
        <f t="shared" ca="1" si="24"/>
        <v>0</v>
      </c>
      <c r="AR43" s="126">
        <f t="shared" ca="1" si="5"/>
        <v>10000</v>
      </c>
      <c r="AS43" s="750">
        <f t="shared" ca="1" si="6"/>
        <v>0</v>
      </c>
      <c r="AT43" s="750">
        <f t="shared" ca="1" si="7"/>
        <v>0</v>
      </c>
      <c r="AU43" s="126">
        <f t="shared" ca="1" si="25"/>
        <v>989.98218627929657</v>
      </c>
      <c r="AV43" s="126">
        <f t="shared" ca="1" si="26"/>
        <v>989.98218627929657</v>
      </c>
      <c r="AW43" s="126">
        <f t="shared" ca="1" si="8"/>
        <v>10000</v>
      </c>
      <c r="AX43" s="750">
        <f t="shared" ca="1" si="27"/>
        <v>989.98218627929657</v>
      </c>
      <c r="AY43" s="750">
        <f t="shared" ca="1" si="28"/>
        <v>0</v>
      </c>
      <c r="AZ43">
        <f t="shared" si="29"/>
        <v>5750</v>
      </c>
    </row>
    <row r="44" spans="4:52">
      <c r="D44">
        <v>37</v>
      </c>
      <c r="E44" s="6">
        <f t="shared" ca="1" si="30"/>
        <v>51653</v>
      </c>
      <c r="F44" s="7">
        <f t="shared" ca="1" si="9"/>
        <v>1.5986501856491653</v>
      </c>
      <c r="G44" s="125">
        <f ca="1">IF('Simulador - 1º Pilar'!$E$99="Sí",IF('Aportaciones PPE'!$B$13&lt;'Aportaciones PPE'!E44,0,F44*$B$8/12),F44*$B$8/12)</f>
        <v>27976.37824886039</v>
      </c>
      <c r="H44" s="125">
        <f t="shared" ca="1" si="10"/>
        <v>1398.8189124430196</v>
      </c>
      <c r="I44" s="125">
        <f t="shared" ca="1" si="11"/>
        <v>0</v>
      </c>
      <c r="J44" s="125">
        <f t="shared" ca="1" si="12"/>
        <v>0</v>
      </c>
      <c r="K44" s="125">
        <f t="shared" ca="1" si="38"/>
        <v>1486.8894901839269</v>
      </c>
      <c r="L44" s="125">
        <f t="shared" ca="1" si="31"/>
        <v>0</v>
      </c>
      <c r="M44" s="125">
        <f t="shared" ca="1" si="13"/>
        <v>0</v>
      </c>
      <c r="N44" s="125">
        <f t="shared" ca="1" si="14"/>
        <v>1486.8894901839269</v>
      </c>
      <c r="R44">
        <f t="shared" si="32"/>
        <v>37</v>
      </c>
      <c r="U44" s="55"/>
      <c r="V44">
        <f t="shared" si="33"/>
        <v>2</v>
      </c>
      <c r="W44">
        <f t="shared" ca="1" si="34"/>
        <v>2027</v>
      </c>
      <c r="X44" s="123">
        <f t="shared" ca="1" si="15"/>
        <v>46419</v>
      </c>
      <c r="Y44" s="64">
        <f t="shared" ca="1" si="35"/>
        <v>989.98218627929657</v>
      </c>
      <c r="Z44" s="64">
        <f t="shared" ca="1" si="16"/>
        <v>0</v>
      </c>
      <c r="AA44" s="64">
        <f t="shared" ca="1" si="17"/>
        <v>1399.941161798969</v>
      </c>
      <c r="AB44" s="64">
        <f t="shared" ca="1" si="18"/>
        <v>0</v>
      </c>
      <c r="AF44" t="str">
        <f t="shared" ca="1" si="1"/>
        <v>62041</v>
      </c>
      <c r="AG44" s="126">
        <f t="shared" ca="1" si="2"/>
        <v>0</v>
      </c>
      <c r="AH44" s="126">
        <f t="shared" ca="1" si="3"/>
        <v>0</v>
      </c>
      <c r="AI44" s="126">
        <f t="shared" ca="1" si="19"/>
        <v>1398.8189124430196</v>
      </c>
      <c r="AJ44" t="str">
        <f t="shared" ca="1" si="4"/>
        <v>22027</v>
      </c>
      <c r="AK44" s="126">
        <f t="shared" ca="1" si="20"/>
        <v>0</v>
      </c>
      <c r="AL44" s="126">
        <f t="shared" ca="1" si="21"/>
        <v>0</v>
      </c>
      <c r="AM44" s="126">
        <f t="shared" ca="1" si="36"/>
        <v>0</v>
      </c>
      <c r="AN44" s="753">
        <f t="shared" ca="1" si="37"/>
        <v>0</v>
      </c>
      <c r="AO44" s="750">
        <f t="shared" ca="1" si="22"/>
        <v>0</v>
      </c>
      <c r="AP44" s="126">
        <f t="shared" ca="1" si="23"/>
        <v>0</v>
      </c>
      <c r="AQ44" s="126">
        <f t="shared" ca="1" si="24"/>
        <v>0</v>
      </c>
      <c r="AR44" s="126">
        <f t="shared" ca="1" si="5"/>
        <v>10000</v>
      </c>
      <c r="AS44" s="750">
        <f t="shared" ca="1" si="6"/>
        <v>0</v>
      </c>
      <c r="AT44" s="750">
        <f t="shared" ca="1" si="7"/>
        <v>0</v>
      </c>
      <c r="AU44" s="126">
        <f t="shared" ca="1" si="25"/>
        <v>989.98218627929657</v>
      </c>
      <c r="AV44" s="126">
        <f t="shared" ca="1" si="26"/>
        <v>1979.9643725585931</v>
      </c>
      <c r="AW44" s="126">
        <f t="shared" ca="1" si="8"/>
        <v>10000</v>
      </c>
      <c r="AX44" s="750">
        <f t="shared" ca="1" si="27"/>
        <v>989.98218627929657</v>
      </c>
      <c r="AY44" s="750">
        <f t="shared" ca="1" si="28"/>
        <v>0</v>
      </c>
      <c r="AZ44">
        <f t="shared" si="29"/>
        <v>5750</v>
      </c>
    </row>
    <row r="45" spans="4:52">
      <c r="D45">
        <v>38</v>
      </c>
      <c r="E45" s="6">
        <f t="shared" ca="1" si="30"/>
        <v>51622</v>
      </c>
      <c r="F45" s="7">
        <f t="shared" ca="1" si="9"/>
        <v>1.5986501856491653</v>
      </c>
      <c r="G45" s="125">
        <f ca="1">IF('Simulador - 1º Pilar'!$E$99="Sí",IF('Aportaciones PPE'!$B$13&lt;'Aportaciones PPE'!E45,0,F45*$B$8/12),F45*$B$8/12)</f>
        <v>27976.37824886039</v>
      </c>
      <c r="H45" s="125">
        <f t="shared" ca="1" si="10"/>
        <v>1398.8189124430196</v>
      </c>
      <c r="I45" s="125">
        <f t="shared" ca="1" si="11"/>
        <v>0</v>
      </c>
      <c r="J45" s="125">
        <f t="shared" ca="1" si="12"/>
        <v>0</v>
      </c>
      <c r="K45" s="125">
        <f t="shared" ca="1" si="38"/>
        <v>1489.3452090639364</v>
      </c>
      <c r="L45" s="125">
        <f t="shared" ca="1" si="31"/>
        <v>0</v>
      </c>
      <c r="M45" s="125">
        <f t="shared" ca="1" si="13"/>
        <v>0</v>
      </c>
      <c r="N45" s="125">
        <f t="shared" ca="1" si="14"/>
        <v>1489.3452090639364</v>
      </c>
      <c r="R45">
        <f t="shared" si="32"/>
        <v>38</v>
      </c>
      <c r="U45" s="55"/>
      <c r="V45">
        <f t="shared" si="33"/>
        <v>3</v>
      </c>
      <c r="W45">
        <f t="shared" ca="1" si="34"/>
        <v>2027</v>
      </c>
      <c r="X45" s="123">
        <f t="shared" ca="1" si="15"/>
        <v>46447</v>
      </c>
      <c r="Y45" s="64">
        <f t="shared" ca="1" si="35"/>
        <v>989.98218627929657</v>
      </c>
      <c r="Z45" s="64">
        <f t="shared" ca="1" si="16"/>
        <v>0</v>
      </c>
      <c r="AA45" s="64">
        <f t="shared" ca="1" si="17"/>
        <v>1397.8175711640833</v>
      </c>
      <c r="AB45" s="64">
        <f t="shared" ca="1" si="18"/>
        <v>0</v>
      </c>
      <c r="AF45" t="str">
        <f t="shared" ca="1" si="1"/>
        <v>52041</v>
      </c>
      <c r="AG45" s="126">
        <f t="shared" ca="1" si="2"/>
        <v>0</v>
      </c>
      <c r="AH45" s="126">
        <f t="shared" ca="1" si="3"/>
        <v>0</v>
      </c>
      <c r="AI45" s="126">
        <f t="shared" ca="1" si="19"/>
        <v>1398.8189124430196</v>
      </c>
      <c r="AJ45" t="str">
        <f t="shared" ca="1" si="4"/>
        <v>32027</v>
      </c>
      <c r="AK45" s="126">
        <f t="shared" ca="1" si="20"/>
        <v>0</v>
      </c>
      <c r="AL45" s="126">
        <f t="shared" ca="1" si="21"/>
        <v>0</v>
      </c>
      <c r="AM45" s="126">
        <f t="shared" ca="1" si="36"/>
        <v>0</v>
      </c>
      <c r="AN45" s="753">
        <f t="shared" ca="1" si="37"/>
        <v>0</v>
      </c>
      <c r="AO45" s="750">
        <f t="shared" ca="1" si="22"/>
        <v>0</v>
      </c>
      <c r="AP45" s="126">
        <f t="shared" ca="1" si="23"/>
        <v>0</v>
      </c>
      <c r="AQ45" s="126">
        <f t="shared" ca="1" si="24"/>
        <v>0</v>
      </c>
      <c r="AR45" s="126">
        <f t="shared" ca="1" si="5"/>
        <v>10000</v>
      </c>
      <c r="AS45" s="750">
        <f t="shared" ca="1" si="6"/>
        <v>0</v>
      </c>
      <c r="AT45" s="750">
        <f t="shared" ca="1" si="7"/>
        <v>0</v>
      </c>
      <c r="AU45" s="126">
        <f t="shared" ca="1" si="25"/>
        <v>989.98218627929657</v>
      </c>
      <c r="AV45" s="126">
        <f t="shared" ca="1" si="26"/>
        <v>2969.9465588378898</v>
      </c>
      <c r="AW45" s="126">
        <f t="shared" ca="1" si="8"/>
        <v>10000</v>
      </c>
      <c r="AX45" s="750">
        <f t="shared" ca="1" si="27"/>
        <v>989.98218627929657</v>
      </c>
      <c r="AY45" s="750">
        <f t="shared" ca="1" si="28"/>
        <v>0</v>
      </c>
      <c r="AZ45">
        <f t="shared" si="29"/>
        <v>5750</v>
      </c>
    </row>
    <row r="46" spans="4:52">
      <c r="D46">
        <v>39</v>
      </c>
      <c r="E46" s="6">
        <f t="shared" ca="1" si="30"/>
        <v>51592</v>
      </c>
      <c r="F46" s="7">
        <f t="shared" ca="1" si="9"/>
        <v>1.5986501856491653</v>
      </c>
      <c r="G46" s="125">
        <f ca="1">IF('Simulador - 1º Pilar'!$E$99="Sí",IF('Aportaciones PPE'!$B$13&lt;'Aportaciones PPE'!E46,0,F46*$B$8/12),F46*$B$8/12)</f>
        <v>27976.37824886039</v>
      </c>
      <c r="H46" s="125">
        <f t="shared" ca="1" si="10"/>
        <v>1398.8189124430196</v>
      </c>
      <c r="I46" s="125">
        <f t="shared" ca="1" si="11"/>
        <v>0</v>
      </c>
      <c r="J46" s="125">
        <f t="shared" ca="1" si="12"/>
        <v>0</v>
      </c>
      <c r="K46" s="125">
        <f t="shared" ca="1" si="38"/>
        <v>1491.8049837633309</v>
      </c>
      <c r="L46" s="125">
        <f t="shared" ca="1" si="31"/>
        <v>0</v>
      </c>
      <c r="M46" s="125">
        <f t="shared" ca="1" si="13"/>
        <v>0</v>
      </c>
      <c r="N46" s="125">
        <f t="shared" ca="1" si="14"/>
        <v>1491.8049837633309</v>
      </c>
      <c r="R46">
        <f t="shared" si="32"/>
        <v>39</v>
      </c>
      <c r="U46" s="55"/>
      <c r="V46">
        <f t="shared" si="33"/>
        <v>4</v>
      </c>
      <c r="W46">
        <f t="shared" ca="1" si="34"/>
        <v>2027</v>
      </c>
      <c r="X46" s="123">
        <f t="shared" ca="1" si="15"/>
        <v>46478</v>
      </c>
      <c r="Y46" s="64">
        <f t="shared" ca="1" si="35"/>
        <v>989.98218627929657</v>
      </c>
      <c r="Z46" s="64">
        <f t="shared" ca="1" si="16"/>
        <v>0</v>
      </c>
      <c r="AA46" s="64">
        <f t="shared" ca="1" si="17"/>
        <v>1395.4702102616732</v>
      </c>
      <c r="AB46" s="64">
        <f t="shared" ca="1" si="18"/>
        <v>0</v>
      </c>
      <c r="AF46" t="str">
        <f t="shared" ca="1" si="1"/>
        <v>42041</v>
      </c>
      <c r="AG46" s="126">
        <f t="shared" ca="1" si="2"/>
        <v>0</v>
      </c>
      <c r="AH46" s="126">
        <f t="shared" ca="1" si="3"/>
        <v>0</v>
      </c>
      <c r="AI46" s="126">
        <f t="shared" ca="1" si="19"/>
        <v>1398.8189124430196</v>
      </c>
      <c r="AJ46" t="str">
        <f t="shared" ca="1" si="4"/>
        <v>42027</v>
      </c>
      <c r="AK46" s="126">
        <f t="shared" ca="1" si="20"/>
        <v>0</v>
      </c>
      <c r="AL46" s="126">
        <f t="shared" ca="1" si="21"/>
        <v>0</v>
      </c>
      <c r="AM46" s="126">
        <f t="shared" ca="1" si="36"/>
        <v>0</v>
      </c>
      <c r="AN46" s="753">
        <f t="shared" ca="1" si="37"/>
        <v>0</v>
      </c>
      <c r="AO46" s="750">
        <f t="shared" ca="1" si="22"/>
        <v>0</v>
      </c>
      <c r="AP46" s="126">
        <f t="shared" ca="1" si="23"/>
        <v>0</v>
      </c>
      <c r="AQ46" s="126">
        <f t="shared" ca="1" si="24"/>
        <v>0</v>
      </c>
      <c r="AR46" s="126">
        <f t="shared" ca="1" si="5"/>
        <v>10000</v>
      </c>
      <c r="AS46" s="750">
        <f t="shared" ca="1" si="6"/>
        <v>0</v>
      </c>
      <c r="AT46" s="750">
        <f t="shared" ca="1" si="7"/>
        <v>0</v>
      </c>
      <c r="AU46" s="126">
        <f t="shared" ca="1" si="25"/>
        <v>989.98218627929657</v>
      </c>
      <c r="AV46" s="126">
        <f t="shared" ca="1" si="26"/>
        <v>3959.9287451171863</v>
      </c>
      <c r="AW46" s="126">
        <f t="shared" ca="1" si="8"/>
        <v>10000</v>
      </c>
      <c r="AX46" s="750">
        <f t="shared" ca="1" si="27"/>
        <v>989.98218627929657</v>
      </c>
      <c r="AY46" s="750">
        <f t="shared" ca="1" si="28"/>
        <v>0</v>
      </c>
      <c r="AZ46">
        <f t="shared" si="29"/>
        <v>5750</v>
      </c>
    </row>
    <row r="47" spans="4:52">
      <c r="D47">
        <v>40</v>
      </c>
      <c r="E47" s="6">
        <f t="shared" ca="1" si="30"/>
        <v>51561</v>
      </c>
      <c r="F47" s="7">
        <f t="shared" ca="1" si="9"/>
        <v>1.5986501856491653</v>
      </c>
      <c r="G47" s="125">
        <f ca="1">IF('Simulador - 1º Pilar'!$E$99="Sí",IF('Aportaciones PPE'!$B$13&lt;'Aportaciones PPE'!E47,0,F47*$B$8/12),F47*$B$8/12)</f>
        <v>27976.37824886039</v>
      </c>
      <c r="H47" s="125">
        <f t="shared" ca="1" si="10"/>
        <v>1398.8189124430196</v>
      </c>
      <c r="I47" s="125">
        <f t="shared" ca="1" si="11"/>
        <v>0</v>
      </c>
      <c r="J47" s="125">
        <f t="shared" ca="1" si="12"/>
        <v>0</v>
      </c>
      <c r="K47" s="125">
        <f t="shared" ca="1" si="38"/>
        <v>1494.2688209806258</v>
      </c>
      <c r="L47" s="125">
        <f t="shared" ca="1" si="31"/>
        <v>0</v>
      </c>
      <c r="M47" s="125">
        <f t="shared" ca="1" si="13"/>
        <v>0</v>
      </c>
      <c r="N47" s="125">
        <f t="shared" ca="1" si="14"/>
        <v>1494.2688209806258</v>
      </c>
      <c r="R47">
        <f t="shared" si="32"/>
        <v>40</v>
      </c>
      <c r="U47" s="55"/>
      <c r="V47">
        <f t="shared" si="33"/>
        <v>5</v>
      </c>
      <c r="W47">
        <f t="shared" ca="1" si="34"/>
        <v>2027</v>
      </c>
      <c r="X47" s="123">
        <f t="shared" ca="1" si="15"/>
        <v>46508</v>
      </c>
      <c r="Y47" s="64">
        <f t="shared" ca="1" si="35"/>
        <v>989.98218627929657</v>
      </c>
      <c r="Z47" s="64">
        <f t="shared" ca="1" si="16"/>
        <v>0</v>
      </c>
      <c r="AA47" s="64">
        <f t="shared" ca="1" si="17"/>
        <v>1393.2023239917535</v>
      </c>
      <c r="AB47" s="64">
        <f t="shared" ca="1" si="18"/>
        <v>0</v>
      </c>
      <c r="AF47" t="str">
        <f t="shared" ca="1" si="1"/>
        <v>32041</v>
      </c>
      <c r="AG47" s="126">
        <f t="shared" ca="1" si="2"/>
        <v>0</v>
      </c>
      <c r="AH47" s="126">
        <f t="shared" ca="1" si="3"/>
        <v>0</v>
      </c>
      <c r="AI47" s="126">
        <f t="shared" ca="1" si="19"/>
        <v>1398.8189124430196</v>
      </c>
      <c r="AJ47" t="str">
        <f t="shared" ca="1" si="4"/>
        <v>52027</v>
      </c>
      <c r="AK47" s="126">
        <f t="shared" ca="1" si="20"/>
        <v>0</v>
      </c>
      <c r="AL47" s="126">
        <f t="shared" ca="1" si="21"/>
        <v>0</v>
      </c>
      <c r="AM47" s="126">
        <f t="shared" ca="1" si="36"/>
        <v>0</v>
      </c>
      <c r="AN47" s="753">
        <f t="shared" ca="1" si="37"/>
        <v>0</v>
      </c>
      <c r="AO47" s="750">
        <f t="shared" ca="1" si="22"/>
        <v>0</v>
      </c>
      <c r="AP47" s="126">
        <f t="shared" ca="1" si="23"/>
        <v>0</v>
      </c>
      <c r="AQ47" s="126">
        <f t="shared" ca="1" si="24"/>
        <v>0</v>
      </c>
      <c r="AR47" s="126">
        <f t="shared" ca="1" si="5"/>
        <v>10000</v>
      </c>
      <c r="AS47" s="750">
        <f t="shared" ca="1" si="6"/>
        <v>0</v>
      </c>
      <c r="AT47" s="750">
        <f t="shared" ca="1" si="7"/>
        <v>0</v>
      </c>
      <c r="AU47" s="126">
        <f t="shared" ca="1" si="25"/>
        <v>989.98218627929657</v>
      </c>
      <c r="AV47" s="126">
        <f t="shared" ca="1" si="26"/>
        <v>4949.9109313964827</v>
      </c>
      <c r="AW47" s="126">
        <f t="shared" ca="1" si="8"/>
        <v>10000</v>
      </c>
      <c r="AX47" s="750">
        <f t="shared" ca="1" si="27"/>
        <v>989.98218627929657</v>
      </c>
      <c r="AY47" s="750">
        <f t="shared" ca="1" si="28"/>
        <v>0</v>
      </c>
      <c r="AZ47">
        <f t="shared" si="29"/>
        <v>5750</v>
      </c>
    </row>
    <row r="48" spans="4:52">
      <c r="D48">
        <v>41</v>
      </c>
      <c r="E48" s="6">
        <f t="shared" ca="1" si="30"/>
        <v>51533</v>
      </c>
      <c r="F48" s="7">
        <f t="shared" ca="1" si="9"/>
        <v>1.5986501856491653</v>
      </c>
      <c r="G48" s="125">
        <f ca="1">IF('Simulador - 1º Pilar'!$E$99="Sí",IF('Aportaciones PPE'!$B$13&lt;'Aportaciones PPE'!E48,0,F48*$B$8/12),F48*$B$8/12)</f>
        <v>27976.37824886039</v>
      </c>
      <c r="H48" s="125">
        <f t="shared" ca="1" si="10"/>
        <v>1398.8189124430196</v>
      </c>
      <c r="I48" s="125">
        <f t="shared" ca="1" si="11"/>
        <v>0</v>
      </c>
      <c r="J48" s="125">
        <f t="shared" ca="1" si="12"/>
        <v>0</v>
      </c>
      <c r="K48" s="125">
        <f t="shared" ca="1" si="38"/>
        <v>1496.7367274253995</v>
      </c>
      <c r="L48" s="125">
        <f t="shared" ca="1" si="31"/>
        <v>0</v>
      </c>
      <c r="M48" s="125">
        <f t="shared" ca="1" si="13"/>
        <v>0</v>
      </c>
      <c r="N48" s="125">
        <f t="shared" ca="1" si="14"/>
        <v>1496.7367274253995</v>
      </c>
      <c r="R48">
        <f t="shared" si="32"/>
        <v>41</v>
      </c>
      <c r="U48" s="55"/>
      <c r="V48">
        <f t="shared" si="33"/>
        <v>6</v>
      </c>
      <c r="W48">
        <f t="shared" ca="1" si="34"/>
        <v>2027</v>
      </c>
      <c r="X48" s="123">
        <f t="shared" ca="1" si="15"/>
        <v>46539</v>
      </c>
      <c r="Y48" s="64">
        <f t="shared" ca="1" si="35"/>
        <v>989.98218627929657</v>
      </c>
      <c r="Z48" s="64">
        <f t="shared" ca="1" si="16"/>
        <v>0</v>
      </c>
      <c r="AA48" s="64">
        <f t="shared" ca="1" si="17"/>
        <v>1390.8627134932519</v>
      </c>
      <c r="AB48" s="64">
        <f t="shared" ca="1" si="18"/>
        <v>0</v>
      </c>
      <c r="AF48" t="str">
        <f t="shared" ca="1" si="1"/>
        <v>22041</v>
      </c>
      <c r="AG48" s="126">
        <f t="shared" ca="1" si="2"/>
        <v>0</v>
      </c>
      <c r="AH48" s="126">
        <f t="shared" ca="1" si="3"/>
        <v>0</v>
      </c>
      <c r="AI48" s="126">
        <f t="shared" ca="1" si="19"/>
        <v>1398.8189124430196</v>
      </c>
      <c r="AJ48" t="str">
        <f t="shared" ca="1" si="4"/>
        <v>62027</v>
      </c>
      <c r="AK48" s="126">
        <f t="shared" ca="1" si="20"/>
        <v>0</v>
      </c>
      <c r="AL48" s="126">
        <f t="shared" ca="1" si="21"/>
        <v>0</v>
      </c>
      <c r="AM48" s="126">
        <f t="shared" ca="1" si="36"/>
        <v>0</v>
      </c>
      <c r="AN48" s="753">
        <f t="shared" ca="1" si="37"/>
        <v>0</v>
      </c>
      <c r="AO48" s="750">
        <f t="shared" ca="1" si="22"/>
        <v>0</v>
      </c>
      <c r="AP48" s="126">
        <f t="shared" ca="1" si="23"/>
        <v>0</v>
      </c>
      <c r="AQ48" s="126">
        <f t="shared" ca="1" si="24"/>
        <v>0</v>
      </c>
      <c r="AR48" s="126">
        <f t="shared" ca="1" si="5"/>
        <v>10000</v>
      </c>
      <c r="AS48" s="750">
        <f t="shared" ca="1" si="6"/>
        <v>0</v>
      </c>
      <c r="AT48" s="750">
        <f t="shared" ca="1" si="7"/>
        <v>0</v>
      </c>
      <c r="AU48" s="126">
        <f t="shared" ca="1" si="25"/>
        <v>989.98218627929657</v>
      </c>
      <c r="AV48" s="126">
        <f t="shared" ca="1" si="26"/>
        <v>5939.8931176757796</v>
      </c>
      <c r="AW48" s="126">
        <f t="shared" ca="1" si="8"/>
        <v>10000</v>
      </c>
      <c r="AX48" s="750">
        <f t="shared" ca="1" si="27"/>
        <v>989.98218627929657</v>
      </c>
      <c r="AY48" s="750">
        <f t="shared" ca="1" si="28"/>
        <v>0</v>
      </c>
      <c r="AZ48">
        <f t="shared" si="29"/>
        <v>5750</v>
      </c>
    </row>
    <row r="49" spans="4:52">
      <c r="D49">
        <v>42</v>
      </c>
      <c r="E49" s="6">
        <f t="shared" ca="1" si="30"/>
        <v>51502</v>
      </c>
      <c r="F49" s="7">
        <f t="shared" ca="1" si="9"/>
        <v>1.5986501856491653</v>
      </c>
      <c r="G49" s="125">
        <f ca="1">IF('Simulador - 1º Pilar'!$E$99="Sí",IF('Aportaciones PPE'!$B$13&lt;'Aportaciones PPE'!E49,0,F49*$B$8/12),F49*$B$8/12)</f>
        <v>27976.37824886039</v>
      </c>
      <c r="H49" s="125">
        <f t="shared" ca="1" si="10"/>
        <v>1398.8189124430196</v>
      </c>
      <c r="I49" s="125">
        <f t="shared" ca="1" si="11"/>
        <v>0</v>
      </c>
      <c r="J49" s="125">
        <f t="shared" ca="1" si="12"/>
        <v>0</v>
      </c>
      <c r="K49" s="125">
        <f t="shared" ca="1" si="38"/>
        <v>1499.2087098183124</v>
      </c>
      <c r="L49" s="125">
        <f t="shared" ca="1" si="31"/>
        <v>0</v>
      </c>
      <c r="M49" s="125">
        <f t="shared" ca="1" si="13"/>
        <v>0</v>
      </c>
      <c r="N49" s="125">
        <f t="shared" ca="1" si="14"/>
        <v>1499.2087098183124</v>
      </c>
      <c r="R49">
        <f t="shared" si="32"/>
        <v>42</v>
      </c>
      <c r="U49" s="55"/>
      <c r="V49">
        <f t="shared" si="33"/>
        <v>7</v>
      </c>
      <c r="W49">
        <f t="shared" ca="1" si="34"/>
        <v>2027</v>
      </c>
      <c r="X49" s="123">
        <f t="shared" ca="1" si="15"/>
        <v>46569</v>
      </c>
      <c r="Y49" s="64">
        <f t="shared" ca="1" si="35"/>
        <v>989.98218627929657</v>
      </c>
      <c r="Z49" s="64">
        <f t="shared" ca="1" si="16"/>
        <v>0</v>
      </c>
      <c r="AA49" s="64">
        <f t="shared" ca="1" si="17"/>
        <v>1388.6023152217026</v>
      </c>
      <c r="AB49" s="64">
        <f t="shared" ca="1" si="18"/>
        <v>0</v>
      </c>
      <c r="AF49" t="str">
        <f t="shared" ca="1" si="1"/>
        <v>12041</v>
      </c>
      <c r="AG49" s="126">
        <f t="shared" ca="1" si="2"/>
        <v>0</v>
      </c>
      <c r="AH49" s="126">
        <f t="shared" ca="1" si="3"/>
        <v>0</v>
      </c>
      <c r="AI49" s="126">
        <f t="shared" ca="1" si="19"/>
        <v>1398.8189124430196</v>
      </c>
      <c r="AJ49" t="str">
        <f t="shared" ca="1" si="4"/>
        <v>72027</v>
      </c>
      <c r="AK49" s="126">
        <f t="shared" ca="1" si="20"/>
        <v>0</v>
      </c>
      <c r="AL49" s="126">
        <f t="shared" ca="1" si="21"/>
        <v>0</v>
      </c>
      <c r="AM49" s="126">
        <f t="shared" ca="1" si="36"/>
        <v>0</v>
      </c>
      <c r="AN49" s="753">
        <f t="shared" ca="1" si="37"/>
        <v>0</v>
      </c>
      <c r="AO49" s="750">
        <f t="shared" ca="1" si="22"/>
        <v>0</v>
      </c>
      <c r="AP49" s="126">
        <f t="shared" ca="1" si="23"/>
        <v>0</v>
      </c>
      <c r="AQ49" s="126">
        <f t="shared" ca="1" si="24"/>
        <v>0</v>
      </c>
      <c r="AR49" s="126">
        <f t="shared" ca="1" si="5"/>
        <v>10000</v>
      </c>
      <c r="AS49" s="750">
        <f t="shared" ca="1" si="6"/>
        <v>0</v>
      </c>
      <c r="AT49" s="750">
        <f t="shared" ca="1" si="7"/>
        <v>0</v>
      </c>
      <c r="AU49" s="126">
        <f t="shared" ca="1" si="25"/>
        <v>989.98218627929657</v>
      </c>
      <c r="AV49" s="126">
        <f t="shared" ca="1" si="26"/>
        <v>6929.8753039550766</v>
      </c>
      <c r="AW49" s="126">
        <f t="shared" ca="1" si="8"/>
        <v>10000</v>
      </c>
      <c r="AX49" s="750">
        <f t="shared" ca="1" si="27"/>
        <v>989.98218627929657</v>
      </c>
      <c r="AY49" s="750">
        <f t="shared" ca="1" si="28"/>
        <v>0</v>
      </c>
      <c r="AZ49">
        <f t="shared" si="29"/>
        <v>5750</v>
      </c>
    </row>
    <row r="50" spans="4:52">
      <c r="D50">
        <v>43</v>
      </c>
      <c r="E50" s="6">
        <f t="shared" ca="1" si="30"/>
        <v>51471</v>
      </c>
      <c r="F50" s="7">
        <f t="shared" ca="1" si="9"/>
        <v>1.5596587177065029</v>
      </c>
      <c r="G50" s="125">
        <f ca="1">IF('Simulador - 1º Pilar'!$E$99="Sí",IF('Aportaciones PPE'!$B$13&lt;'Aportaciones PPE'!E50,0,F50*$B$8/12),F50*$B$8/12)</f>
        <v>27294.0275598638</v>
      </c>
      <c r="H50" s="125">
        <f t="shared" ca="1" si="10"/>
        <v>1364.7013779931901</v>
      </c>
      <c r="I50" s="125">
        <f t="shared" ca="1" si="11"/>
        <v>0</v>
      </c>
      <c r="J50" s="125">
        <f t="shared" ca="1" si="12"/>
        <v>0</v>
      </c>
      <c r="K50" s="125">
        <f t="shared" ca="1" si="38"/>
        <v>1465.0583169669508</v>
      </c>
      <c r="L50" s="125">
        <f t="shared" ca="1" si="31"/>
        <v>0</v>
      </c>
      <c r="M50" s="125">
        <f t="shared" ca="1" si="13"/>
        <v>0</v>
      </c>
      <c r="N50" s="125">
        <f t="shared" ca="1" si="14"/>
        <v>1465.0583169669508</v>
      </c>
      <c r="R50">
        <f t="shared" si="32"/>
        <v>43</v>
      </c>
      <c r="U50" s="55"/>
      <c r="V50">
        <f t="shared" si="33"/>
        <v>8</v>
      </c>
      <c r="W50">
        <f t="shared" ca="1" si="34"/>
        <v>2027</v>
      </c>
      <c r="X50" s="123">
        <f t="shared" ca="1" si="15"/>
        <v>46600</v>
      </c>
      <c r="Y50" s="64">
        <f t="shared" ca="1" si="35"/>
        <v>989.98218627929657</v>
      </c>
      <c r="Z50" s="64">
        <f t="shared" ca="1" si="16"/>
        <v>0</v>
      </c>
      <c r="AA50" s="64">
        <f t="shared" ca="1" si="17"/>
        <v>1386.2704295371971</v>
      </c>
      <c r="AB50" s="64">
        <f t="shared" ca="1" si="18"/>
        <v>0</v>
      </c>
      <c r="AF50" t="str">
        <f t="shared" ca="1" si="1"/>
        <v>122040</v>
      </c>
      <c r="AG50" s="126">
        <f t="shared" ca="1" si="2"/>
        <v>0</v>
      </c>
      <c r="AH50" s="126">
        <f t="shared" ca="1" si="3"/>
        <v>0</v>
      </c>
      <c r="AI50" s="126">
        <f t="shared" ca="1" si="19"/>
        <v>1364.7013779931901</v>
      </c>
      <c r="AJ50" t="str">
        <f t="shared" ca="1" si="4"/>
        <v>82027</v>
      </c>
      <c r="AK50" s="126">
        <f t="shared" ca="1" si="20"/>
        <v>0</v>
      </c>
      <c r="AL50" s="126">
        <f t="shared" ca="1" si="21"/>
        <v>0</v>
      </c>
      <c r="AM50" s="126">
        <f t="shared" ca="1" si="36"/>
        <v>0</v>
      </c>
      <c r="AN50" s="753">
        <f t="shared" ca="1" si="37"/>
        <v>0</v>
      </c>
      <c r="AO50" s="750">
        <f t="shared" ca="1" si="22"/>
        <v>0</v>
      </c>
      <c r="AP50" s="126">
        <f t="shared" ca="1" si="23"/>
        <v>0</v>
      </c>
      <c r="AQ50" s="126">
        <f t="shared" ca="1" si="24"/>
        <v>0</v>
      </c>
      <c r="AR50" s="126">
        <f t="shared" ca="1" si="5"/>
        <v>10000</v>
      </c>
      <c r="AS50" s="750">
        <f t="shared" ca="1" si="6"/>
        <v>0</v>
      </c>
      <c r="AT50" s="750">
        <f t="shared" ca="1" si="7"/>
        <v>0</v>
      </c>
      <c r="AU50" s="126">
        <f t="shared" ca="1" si="25"/>
        <v>989.98218627929657</v>
      </c>
      <c r="AV50" s="126">
        <f t="shared" ca="1" si="26"/>
        <v>7919.8574902343735</v>
      </c>
      <c r="AW50" s="126">
        <f t="shared" ca="1" si="8"/>
        <v>10000</v>
      </c>
      <c r="AX50" s="750">
        <f t="shared" ca="1" si="27"/>
        <v>989.98218627929657</v>
      </c>
      <c r="AY50" s="750">
        <f t="shared" ca="1" si="28"/>
        <v>0</v>
      </c>
      <c r="AZ50">
        <f t="shared" si="29"/>
        <v>5750</v>
      </c>
    </row>
    <row r="51" spans="4:52">
      <c r="D51">
        <v>44</v>
      </c>
      <c r="E51" s="6">
        <f t="shared" ca="1" si="30"/>
        <v>51441</v>
      </c>
      <c r="F51" s="7">
        <f t="shared" ca="1" si="9"/>
        <v>1.5596587177065029</v>
      </c>
      <c r="G51" s="125">
        <f ca="1">IF('Simulador - 1º Pilar'!$E$99="Sí",IF('Aportaciones PPE'!$B$13&lt;'Aportaciones PPE'!E51,0,F51*$B$8/12),F51*$B$8/12)</f>
        <v>27294.0275598638</v>
      </c>
      <c r="H51" s="125">
        <f t="shared" ca="1" si="10"/>
        <v>1364.7013779931901</v>
      </c>
      <c r="I51" s="125">
        <f t="shared" ca="1" si="11"/>
        <v>0</v>
      </c>
      <c r="J51" s="125">
        <f t="shared" ca="1" si="12"/>
        <v>0</v>
      </c>
      <c r="K51" s="125">
        <f t="shared" ca="1" si="38"/>
        <v>1467.4779798894763</v>
      </c>
      <c r="L51" s="125">
        <f t="shared" ca="1" si="31"/>
        <v>0</v>
      </c>
      <c r="M51" s="125">
        <f t="shared" ca="1" si="13"/>
        <v>0</v>
      </c>
      <c r="N51" s="125">
        <f t="shared" ca="1" si="14"/>
        <v>1467.4779798894763</v>
      </c>
      <c r="R51">
        <f t="shared" si="32"/>
        <v>44</v>
      </c>
      <c r="U51" s="55"/>
      <c r="V51">
        <f t="shared" si="33"/>
        <v>9</v>
      </c>
      <c r="W51">
        <f t="shared" ca="1" si="34"/>
        <v>2027</v>
      </c>
      <c r="X51" s="123">
        <f t="shared" ca="1" si="15"/>
        <v>46631</v>
      </c>
      <c r="Y51" s="64">
        <f t="shared" ca="1" si="35"/>
        <v>989.98218627929657</v>
      </c>
      <c r="Z51" s="64">
        <f t="shared" ca="1" si="16"/>
        <v>0</v>
      </c>
      <c r="AA51" s="64">
        <f t="shared" ca="1" si="17"/>
        <v>1383.9424597980892</v>
      </c>
      <c r="AB51" s="64">
        <f t="shared" ca="1" si="18"/>
        <v>0</v>
      </c>
      <c r="AF51" t="str">
        <f t="shared" ca="1" si="1"/>
        <v>112040</v>
      </c>
      <c r="AG51" s="126">
        <f t="shared" ca="1" si="2"/>
        <v>0</v>
      </c>
      <c r="AH51" s="126">
        <f t="shared" ca="1" si="3"/>
        <v>0</v>
      </c>
      <c r="AI51" s="126">
        <f t="shared" ca="1" si="19"/>
        <v>1364.7013779931901</v>
      </c>
      <c r="AJ51" t="str">
        <f t="shared" ca="1" si="4"/>
        <v>92027</v>
      </c>
      <c r="AK51" s="126">
        <f t="shared" ca="1" si="20"/>
        <v>0</v>
      </c>
      <c r="AL51" s="126">
        <f t="shared" ca="1" si="21"/>
        <v>0</v>
      </c>
      <c r="AM51" s="126">
        <f t="shared" ca="1" si="36"/>
        <v>0</v>
      </c>
      <c r="AN51" s="753">
        <f t="shared" ca="1" si="37"/>
        <v>0</v>
      </c>
      <c r="AO51" s="750">
        <f t="shared" ca="1" si="22"/>
        <v>0</v>
      </c>
      <c r="AP51" s="126">
        <f t="shared" ca="1" si="23"/>
        <v>0</v>
      </c>
      <c r="AQ51" s="126">
        <f t="shared" ca="1" si="24"/>
        <v>0</v>
      </c>
      <c r="AR51" s="126">
        <f t="shared" ca="1" si="5"/>
        <v>10000</v>
      </c>
      <c r="AS51" s="750">
        <f t="shared" ca="1" si="6"/>
        <v>0</v>
      </c>
      <c r="AT51" s="750">
        <f t="shared" ca="1" si="7"/>
        <v>0</v>
      </c>
      <c r="AU51" s="126">
        <f t="shared" ca="1" si="25"/>
        <v>989.98218627929657</v>
      </c>
      <c r="AV51" s="126">
        <f t="shared" ca="1" si="26"/>
        <v>8909.8396765136695</v>
      </c>
      <c r="AW51" s="126">
        <f t="shared" ca="1" si="8"/>
        <v>10000</v>
      </c>
      <c r="AX51" s="750">
        <f t="shared" ca="1" si="27"/>
        <v>989.98218627929657</v>
      </c>
      <c r="AY51" s="750">
        <f t="shared" ca="1" si="28"/>
        <v>0</v>
      </c>
      <c r="AZ51">
        <f t="shared" si="29"/>
        <v>5750</v>
      </c>
    </row>
    <row r="52" spans="4:52">
      <c r="D52">
        <v>45</v>
      </c>
      <c r="E52" s="6">
        <f t="shared" ca="1" si="30"/>
        <v>51410</v>
      </c>
      <c r="F52" s="7">
        <f t="shared" ca="1" si="9"/>
        <v>1.5596587177065029</v>
      </c>
      <c r="G52" s="125">
        <f ca="1">IF('Simulador - 1º Pilar'!$E$99="Sí",IF('Aportaciones PPE'!$B$13&lt;'Aportaciones PPE'!E52,0,F52*$B$8/12),F52*$B$8/12)</f>
        <v>27294.0275598638</v>
      </c>
      <c r="H52" s="125">
        <f t="shared" ca="1" si="10"/>
        <v>1364.7013779931901</v>
      </c>
      <c r="I52" s="125">
        <f t="shared" ca="1" si="11"/>
        <v>0</v>
      </c>
      <c r="J52" s="125">
        <f t="shared" ca="1" si="12"/>
        <v>0</v>
      </c>
      <c r="K52" s="125">
        <f t="shared" ca="1" si="38"/>
        <v>1469.9016390820411</v>
      </c>
      <c r="L52" s="125">
        <f t="shared" ca="1" si="31"/>
        <v>0</v>
      </c>
      <c r="M52" s="125">
        <f t="shared" ca="1" si="13"/>
        <v>0</v>
      </c>
      <c r="N52" s="125">
        <f t="shared" ca="1" si="14"/>
        <v>1469.9016390820411</v>
      </c>
      <c r="R52">
        <f t="shared" si="32"/>
        <v>45</v>
      </c>
      <c r="U52" s="55"/>
      <c r="V52">
        <f t="shared" si="33"/>
        <v>10</v>
      </c>
      <c r="W52">
        <f t="shared" ca="1" si="34"/>
        <v>2027</v>
      </c>
      <c r="X52" s="123">
        <f t="shared" ca="1" si="15"/>
        <v>46661</v>
      </c>
      <c r="Y52" s="64">
        <f t="shared" ca="1" si="35"/>
        <v>989.98218627929657</v>
      </c>
      <c r="Z52" s="64">
        <f t="shared" ca="1" si="16"/>
        <v>0</v>
      </c>
      <c r="AA52" s="64">
        <f t="shared" ca="1" si="17"/>
        <v>1381.693308164572</v>
      </c>
      <c r="AB52" s="64">
        <f t="shared" ca="1" si="18"/>
        <v>0</v>
      </c>
      <c r="AF52" t="str">
        <f t="shared" ca="1" si="1"/>
        <v>102040</v>
      </c>
      <c r="AG52" s="126">
        <f t="shared" ca="1" si="2"/>
        <v>0</v>
      </c>
      <c r="AH52" s="126">
        <f t="shared" ca="1" si="3"/>
        <v>0</v>
      </c>
      <c r="AI52" s="126">
        <f t="shared" ca="1" si="19"/>
        <v>1364.7013779931901</v>
      </c>
      <c r="AJ52" t="str">
        <f t="shared" ca="1" si="4"/>
        <v>102027</v>
      </c>
      <c r="AK52" s="126">
        <f t="shared" ca="1" si="20"/>
        <v>0</v>
      </c>
      <c r="AL52" s="126">
        <f t="shared" ca="1" si="21"/>
        <v>0</v>
      </c>
      <c r="AM52" s="126">
        <f t="shared" ca="1" si="36"/>
        <v>0</v>
      </c>
      <c r="AN52" s="753">
        <f t="shared" ca="1" si="37"/>
        <v>0</v>
      </c>
      <c r="AO52" s="750">
        <f t="shared" ca="1" si="22"/>
        <v>0</v>
      </c>
      <c r="AP52" s="126">
        <f t="shared" ca="1" si="23"/>
        <v>0</v>
      </c>
      <c r="AQ52" s="126">
        <f t="shared" ca="1" si="24"/>
        <v>0</v>
      </c>
      <c r="AR52" s="126">
        <f t="shared" ca="1" si="5"/>
        <v>10000</v>
      </c>
      <c r="AS52" s="750">
        <f t="shared" ca="1" si="6"/>
        <v>0</v>
      </c>
      <c r="AT52" s="750">
        <f t="shared" ca="1" si="7"/>
        <v>0</v>
      </c>
      <c r="AU52" s="126">
        <f t="shared" ca="1" si="25"/>
        <v>989.98218627929657</v>
      </c>
      <c r="AV52" s="126">
        <f t="shared" ca="1" si="26"/>
        <v>9899.8218627929655</v>
      </c>
      <c r="AW52" s="126">
        <f t="shared" ca="1" si="8"/>
        <v>10000</v>
      </c>
      <c r="AX52" s="750">
        <f t="shared" ca="1" si="27"/>
        <v>989.98218627929657</v>
      </c>
      <c r="AY52" s="750">
        <f t="shared" ca="1" si="28"/>
        <v>0</v>
      </c>
      <c r="AZ52">
        <f t="shared" si="29"/>
        <v>5750</v>
      </c>
    </row>
    <row r="53" spans="4:52">
      <c r="D53">
        <v>46</v>
      </c>
      <c r="E53" s="6">
        <f t="shared" ca="1" si="30"/>
        <v>51380</v>
      </c>
      <c r="F53" s="7">
        <f t="shared" ca="1" si="9"/>
        <v>1.5596587177065029</v>
      </c>
      <c r="G53" s="125">
        <f ca="1">IF('Simulador - 1º Pilar'!$E$99="Sí",IF('Aportaciones PPE'!$B$13&lt;'Aportaciones PPE'!E53,0,F53*$B$8/12),F53*$B$8/12)</f>
        <v>27294.0275598638</v>
      </c>
      <c r="H53" s="125">
        <f t="shared" ca="1" si="10"/>
        <v>1364.7013779931901</v>
      </c>
      <c r="I53" s="125">
        <f t="shared" ca="1" si="11"/>
        <v>0</v>
      </c>
      <c r="J53" s="125">
        <f t="shared" ca="1" si="12"/>
        <v>0</v>
      </c>
      <c r="K53" s="125">
        <f t="shared" ca="1" si="38"/>
        <v>1472.3293011448111</v>
      </c>
      <c r="L53" s="125">
        <f t="shared" ca="1" si="31"/>
        <v>0</v>
      </c>
      <c r="M53" s="125">
        <f t="shared" ca="1" si="13"/>
        <v>0</v>
      </c>
      <c r="N53" s="125">
        <f t="shared" ca="1" si="14"/>
        <v>1472.3293011448111</v>
      </c>
      <c r="R53">
        <f t="shared" si="32"/>
        <v>46</v>
      </c>
      <c r="U53" s="55"/>
      <c r="V53">
        <f t="shared" si="33"/>
        <v>11</v>
      </c>
      <c r="W53">
        <f t="shared" ca="1" si="34"/>
        <v>2027</v>
      </c>
      <c r="X53" s="123">
        <f t="shared" ca="1" si="15"/>
        <v>46692</v>
      </c>
      <c r="Y53" s="64">
        <f t="shared" ca="1" si="35"/>
        <v>100.17813720703452</v>
      </c>
      <c r="Z53" s="64">
        <f t="shared" ca="1" si="16"/>
        <v>889.80404907226205</v>
      </c>
      <c r="AA53" s="64">
        <f t="shared" ca="1" si="17"/>
        <v>139.58131979919148</v>
      </c>
      <c r="AB53" s="64">
        <f t="shared" ca="1" si="18"/>
        <v>1239.7917050053666</v>
      </c>
      <c r="AF53" t="str">
        <f t="shared" ca="1" si="1"/>
        <v>92040</v>
      </c>
      <c r="AG53" s="126">
        <f t="shared" ca="1" si="2"/>
        <v>0</v>
      </c>
      <c r="AH53" s="126">
        <f t="shared" ca="1" si="3"/>
        <v>0</v>
      </c>
      <c r="AI53" s="126">
        <f t="shared" ca="1" si="19"/>
        <v>1364.7013779931901</v>
      </c>
      <c r="AJ53" t="str">
        <f t="shared" ca="1" si="4"/>
        <v>112027</v>
      </c>
      <c r="AK53" s="126">
        <f t="shared" ca="1" si="20"/>
        <v>0</v>
      </c>
      <c r="AL53" s="126">
        <f t="shared" ca="1" si="21"/>
        <v>0</v>
      </c>
      <c r="AM53" s="126">
        <f t="shared" ca="1" si="36"/>
        <v>0</v>
      </c>
      <c r="AN53" s="753">
        <f t="shared" ca="1" si="37"/>
        <v>0</v>
      </c>
      <c r="AO53" s="750">
        <f t="shared" ca="1" si="22"/>
        <v>0</v>
      </c>
      <c r="AP53" s="126">
        <f t="shared" ca="1" si="23"/>
        <v>0</v>
      </c>
      <c r="AQ53" s="126">
        <f t="shared" ca="1" si="24"/>
        <v>0</v>
      </c>
      <c r="AR53" s="126">
        <f t="shared" ca="1" si="5"/>
        <v>10000</v>
      </c>
      <c r="AS53" s="750">
        <f t="shared" ca="1" si="6"/>
        <v>0</v>
      </c>
      <c r="AT53" s="750">
        <f t="shared" ca="1" si="7"/>
        <v>0</v>
      </c>
      <c r="AU53" s="126">
        <f t="shared" ca="1" si="25"/>
        <v>989.98218627929657</v>
      </c>
      <c r="AV53" s="126">
        <f t="shared" ca="1" si="26"/>
        <v>10889.804049072261</v>
      </c>
      <c r="AW53" s="126">
        <f t="shared" ca="1" si="8"/>
        <v>10000</v>
      </c>
      <c r="AX53" s="750">
        <f t="shared" ca="1" si="27"/>
        <v>100.17813720703452</v>
      </c>
      <c r="AY53" s="750">
        <f t="shared" ca="1" si="28"/>
        <v>889.80404907226205</v>
      </c>
      <c r="AZ53">
        <f t="shared" si="29"/>
        <v>5750</v>
      </c>
    </row>
    <row r="54" spans="4:52">
      <c r="D54">
        <v>47</v>
      </c>
      <c r="E54" s="6">
        <f t="shared" ca="1" si="30"/>
        <v>51349</v>
      </c>
      <c r="F54" s="7">
        <f t="shared" ca="1" si="9"/>
        <v>1.5596587177065029</v>
      </c>
      <c r="G54" s="125">
        <f ca="1">IF('Simulador - 1º Pilar'!$E$99="Sí",IF('Aportaciones PPE'!$B$13&lt;'Aportaciones PPE'!E54,0,F54*$B$8/12),F54*$B$8/12)</f>
        <v>27294.0275598638</v>
      </c>
      <c r="H54" s="125">
        <f t="shared" ca="1" si="10"/>
        <v>1364.7013779931901</v>
      </c>
      <c r="I54" s="125">
        <f t="shared" ca="1" si="11"/>
        <v>0</v>
      </c>
      <c r="J54" s="125">
        <f t="shared" ca="1" si="12"/>
        <v>0</v>
      </c>
      <c r="K54" s="125">
        <f t="shared" ca="1" si="38"/>
        <v>1474.7609726888509</v>
      </c>
      <c r="L54" s="125">
        <f t="shared" ca="1" si="31"/>
        <v>0</v>
      </c>
      <c r="M54" s="125">
        <f t="shared" ca="1" si="13"/>
        <v>0</v>
      </c>
      <c r="N54" s="125">
        <f t="shared" ca="1" si="14"/>
        <v>1474.7609726888509</v>
      </c>
      <c r="R54">
        <f t="shared" si="32"/>
        <v>47</v>
      </c>
      <c r="U54" s="55"/>
      <c r="V54">
        <f t="shared" si="33"/>
        <v>12</v>
      </c>
      <c r="W54">
        <f t="shared" ca="1" si="34"/>
        <v>2027</v>
      </c>
      <c r="X54" s="123">
        <f t="shared" ca="1" si="15"/>
        <v>46722</v>
      </c>
      <c r="Y54" s="64">
        <f t="shared" ca="1" si="35"/>
        <v>0</v>
      </c>
      <c r="Z54" s="64">
        <f t="shared" ca="1" si="16"/>
        <v>989.98218627929657</v>
      </c>
      <c r="AA54" s="64">
        <f t="shared" ca="1" si="17"/>
        <v>0</v>
      </c>
      <c r="AB54" s="64">
        <f t="shared" ca="1" si="18"/>
        <v>1377.1312993122847</v>
      </c>
      <c r="AF54" t="str">
        <f t="shared" ca="1" si="1"/>
        <v>82040</v>
      </c>
      <c r="AG54" s="126">
        <f t="shared" ca="1" si="2"/>
        <v>0</v>
      </c>
      <c r="AH54" s="126">
        <f t="shared" ca="1" si="3"/>
        <v>0</v>
      </c>
      <c r="AI54" s="126">
        <f t="shared" ca="1" si="19"/>
        <v>1364.7013779931901</v>
      </c>
      <c r="AJ54" t="str">
        <f t="shared" ca="1" si="4"/>
        <v>122027</v>
      </c>
      <c r="AK54" s="126">
        <f t="shared" ca="1" si="20"/>
        <v>0</v>
      </c>
      <c r="AL54" s="126">
        <f t="shared" ca="1" si="21"/>
        <v>0</v>
      </c>
      <c r="AM54" s="126">
        <f t="shared" ca="1" si="36"/>
        <v>0</v>
      </c>
      <c r="AN54" s="753">
        <f t="shared" ca="1" si="37"/>
        <v>0</v>
      </c>
      <c r="AO54" s="750">
        <f t="shared" ca="1" si="22"/>
        <v>0</v>
      </c>
      <c r="AP54" s="126">
        <f t="shared" ca="1" si="23"/>
        <v>0</v>
      </c>
      <c r="AQ54" s="126">
        <f t="shared" ca="1" si="24"/>
        <v>0</v>
      </c>
      <c r="AR54" s="126">
        <f t="shared" ca="1" si="5"/>
        <v>10000</v>
      </c>
      <c r="AS54" s="750">
        <f t="shared" ca="1" si="6"/>
        <v>0</v>
      </c>
      <c r="AT54" s="750">
        <f t="shared" ca="1" si="7"/>
        <v>0</v>
      </c>
      <c r="AU54" s="126">
        <f t="shared" ca="1" si="25"/>
        <v>989.98218627929657</v>
      </c>
      <c r="AV54" s="126">
        <f t="shared" ca="1" si="26"/>
        <v>11879.786235351557</v>
      </c>
      <c r="AW54" s="126">
        <f t="shared" ca="1" si="8"/>
        <v>10000</v>
      </c>
      <c r="AX54" s="750">
        <f t="shared" ca="1" si="27"/>
        <v>0</v>
      </c>
      <c r="AY54" s="750">
        <f t="shared" ca="1" si="28"/>
        <v>989.98218627929657</v>
      </c>
      <c r="AZ54">
        <f t="shared" si="29"/>
        <v>5750</v>
      </c>
    </row>
    <row r="55" spans="4:52">
      <c r="D55">
        <v>48</v>
      </c>
      <c r="E55" s="6">
        <f t="shared" ca="1" si="30"/>
        <v>51318</v>
      </c>
      <c r="F55" s="7">
        <f t="shared" ca="1" si="9"/>
        <v>1.5596587177065029</v>
      </c>
      <c r="G55" s="125">
        <f ca="1">IF('Simulador - 1º Pilar'!$E$99="Sí",IF('Aportaciones PPE'!$B$13&lt;'Aportaciones PPE'!E55,0,F55*$B$8/12),F55*$B$8/12)</f>
        <v>27294.0275598638</v>
      </c>
      <c r="H55" s="125">
        <f t="shared" ca="1" si="10"/>
        <v>1364.7013779931901</v>
      </c>
      <c r="I55" s="125">
        <f t="shared" ca="1" si="11"/>
        <v>0</v>
      </c>
      <c r="J55" s="125">
        <f t="shared" ca="1" si="12"/>
        <v>0</v>
      </c>
      <c r="K55" s="125">
        <f t="shared" ca="1" si="38"/>
        <v>1477.1966603361452</v>
      </c>
      <c r="L55" s="125">
        <f t="shared" ca="1" si="31"/>
        <v>0</v>
      </c>
      <c r="M55" s="125">
        <f t="shared" ca="1" si="13"/>
        <v>0</v>
      </c>
      <c r="N55" s="125">
        <f t="shared" ca="1" si="14"/>
        <v>1477.1966603361452</v>
      </c>
      <c r="R55">
        <f t="shared" si="32"/>
        <v>48</v>
      </c>
      <c r="U55" s="55"/>
      <c r="V55">
        <f t="shared" si="33"/>
        <v>1</v>
      </c>
      <c r="W55">
        <f t="shared" ca="1" si="34"/>
        <v>2028</v>
      </c>
      <c r="X55" s="123">
        <f t="shared" ca="1" si="15"/>
        <v>46753</v>
      </c>
      <c r="Y55" s="64">
        <f t="shared" ca="1" si="35"/>
        <v>1014.731740936279</v>
      </c>
      <c r="Z55" s="64">
        <f t="shared" ca="1" si="16"/>
        <v>0</v>
      </c>
      <c r="AA55" s="64">
        <f t="shared" ca="1" si="17"/>
        <v>1409.1891438766665</v>
      </c>
      <c r="AB55" s="64">
        <f t="shared" ca="1" si="18"/>
        <v>0</v>
      </c>
      <c r="AF55" t="str">
        <f t="shared" ca="1" si="1"/>
        <v>72040</v>
      </c>
      <c r="AG55" s="126">
        <f t="shared" ca="1" si="2"/>
        <v>0</v>
      </c>
      <c r="AH55" s="126">
        <f t="shared" ca="1" si="3"/>
        <v>0</v>
      </c>
      <c r="AI55" s="126">
        <f t="shared" ca="1" si="19"/>
        <v>1364.7013779931901</v>
      </c>
      <c r="AJ55" t="str">
        <f t="shared" ca="1" si="4"/>
        <v>12028</v>
      </c>
      <c r="AK55" s="126">
        <f t="shared" ca="1" si="20"/>
        <v>0</v>
      </c>
      <c r="AL55" s="126">
        <f t="shared" ca="1" si="21"/>
        <v>0</v>
      </c>
      <c r="AM55" s="126">
        <f t="shared" ca="1" si="36"/>
        <v>0</v>
      </c>
      <c r="AN55" s="753">
        <f t="shared" ca="1" si="37"/>
        <v>0</v>
      </c>
      <c r="AO55" s="750">
        <f t="shared" ca="1" si="22"/>
        <v>0</v>
      </c>
      <c r="AP55" s="126">
        <f t="shared" ca="1" si="23"/>
        <v>0</v>
      </c>
      <c r="AQ55" s="126">
        <f t="shared" ca="1" si="24"/>
        <v>0</v>
      </c>
      <c r="AR55" s="126">
        <f t="shared" ca="1" si="5"/>
        <v>10000</v>
      </c>
      <c r="AS55" s="750">
        <f t="shared" ca="1" si="6"/>
        <v>0</v>
      </c>
      <c r="AT55" s="750">
        <f t="shared" ca="1" si="7"/>
        <v>0</v>
      </c>
      <c r="AU55" s="126">
        <f t="shared" ca="1" si="25"/>
        <v>1014.731740936279</v>
      </c>
      <c r="AV55" s="126">
        <f t="shared" ca="1" si="26"/>
        <v>1014.731740936279</v>
      </c>
      <c r="AW55" s="126">
        <f t="shared" ca="1" si="8"/>
        <v>10000</v>
      </c>
      <c r="AX55" s="750">
        <f t="shared" ca="1" si="27"/>
        <v>1014.731740936279</v>
      </c>
      <c r="AY55" s="750">
        <f t="shared" ca="1" si="28"/>
        <v>0</v>
      </c>
      <c r="AZ55">
        <f t="shared" si="29"/>
        <v>5750</v>
      </c>
    </row>
    <row r="56" spans="4:52">
      <c r="D56">
        <v>49</v>
      </c>
      <c r="E56" s="6">
        <f t="shared" ca="1" si="30"/>
        <v>51288</v>
      </c>
      <c r="F56" s="7">
        <f t="shared" ca="1" si="9"/>
        <v>1.5596587177065029</v>
      </c>
      <c r="G56" s="125">
        <f ca="1">IF('Simulador - 1º Pilar'!$E$99="Sí",IF('Aportaciones PPE'!$B$13&lt;'Aportaciones PPE'!E56,0,F56*$B$8/12),F56*$B$8/12)</f>
        <v>27294.0275598638</v>
      </c>
      <c r="H56" s="125">
        <f t="shared" ca="1" si="10"/>
        <v>1364.7013779931901</v>
      </c>
      <c r="I56" s="125">
        <f t="shared" ca="1" si="11"/>
        <v>0</v>
      </c>
      <c r="J56" s="125">
        <f t="shared" ca="1" si="12"/>
        <v>0</v>
      </c>
      <c r="K56" s="125">
        <f t="shared" ca="1" si="38"/>
        <v>1479.6363707196153</v>
      </c>
      <c r="L56" s="125">
        <f t="shared" ca="1" si="31"/>
        <v>0</v>
      </c>
      <c r="M56" s="125">
        <f t="shared" ca="1" si="13"/>
        <v>0</v>
      </c>
      <c r="N56" s="125">
        <f t="shared" ca="1" si="14"/>
        <v>1479.6363707196153</v>
      </c>
      <c r="R56">
        <f t="shared" si="32"/>
        <v>49</v>
      </c>
      <c r="U56" s="55"/>
      <c r="V56">
        <f t="shared" si="33"/>
        <v>2</v>
      </c>
      <c r="W56">
        <f t="shared" ca="1" si="34"/>
        <v>2028</v>
      </c>
      <c r="X56" s="123">
        <f t="shared" ca="1" si="15"/>
        <v>46784</v>
      </c>
      <c r="Y56" s="64">
        <f t="shared" ca="1" si="35"/>
        <v>1014.731740936279</v>
      </c>
      <c r="Z56" s="64">
        <f t="shared" ca="1" si="16"/>
        <v>0</v>
      </c>
      <c r="AA56" s="64">
        <f t="shared" ca="1" si="17"/>
        <v>1406.8226866445671</v>
      </c>
      <c r="AB56" s="64">
        <f t="shared" ca="1" si="18"/>
        <v>0</v>
      </c>
      <c r="AF56" t="str">
        <f t="shared" ca="1" si="1"/>
        <v>62040</v>
      </c>
      <c r="AG56" s="126">
        <f t="shared" ca="1" si="2"/>
        <v>0</v>
      </c>
      <c r="AH56" s="126">
        <f t="shared" ca="1" si="3"/>
        <v>0</v>
      </c>
      <c r="AI56" s="126">
        <f t="shared" ca="1" si="19"/>
        <v>1364.7013779931901</v>
      </c>
      <c r="AJ56" t="str">
        <f t="shared" ca="1" si="4"/>
        <v>22028</v>
      </c>
      <c r="AK56" s="126">
        <f t="shared" ca="1" si="20"/>
        <v>0</v>
      </c>
      <c r="AL56" s="126">
        <f t="shared" ca="1" si="21"/>
        <v>0</v>
      </c>
      <c r="AM56" s="126">
        <f t="shared" ca="1" si="36"/>
        <v>0</v>
      </c>
      <c r="AN56" s="753">
        <f t="shared" ca="1" si="37"/>
        <v>0</v>
      </c>
      <c r="AO56" s="750">
        <f t="shared" ca="1" si="22"/>
        <v>0</v>
      </c>
      <c r="AP56" s="126">
        <f t="shared" ca="1" si="23"/>
        <v>0</v>
      </c>
      <c r="AQ56" s="126">
        <f t="shared" ca="1" si="24"/>
        <v>0</v>
      </c>
      <c r="AR56" s="126">
        <f t="shared" ca="1" si="5"/>
        <v>10000</v>
      </c>
      <c r="AS56" s="750">
        <f t="shared" ca="1" si="6"/>
        <v>0</v>
      </c>
      <c r="AT56" s="750">
        <f t="shared" ca="1" si="7"/>
        <v>0</v>
      </c>
      <c r="AU56" s="126">
        <f t="shared" ca="1" si="25"/>
        <v>1014.731740936279</v>
      </c>
      <c r="AV56" s="126">
        <f t="shared" ca="1" si="26"/>
        <v>2029.4634818725581</v>
      </c>
      <c r="AW56" s="126">
        <f t="shared" ca="1" si="8"/>
        <v>10000</v>
      </c>
      <c r="AX56" s="750">
        <f t="shared" ca="1" si="27"/>
        <v>1014.731740936279</v>
      </c>
      <c r="AY56" s="750">
        <f t="shared" ca="1" si="28"/>
        <v>0</v>
      </c>
      <c r="AZ56">
        <f t="shared" si="29"/>
        <v>5750</v>
      </c>
    </row>
    <row r="57" spans="4:52">
      <c r="D57">
        <v>50</v>
      </c>
      <c r="E57" s="6">
        <f t="shared" ca="1" si="30"/>
        <v>51257</v>
      </c>
      <c r="F57" s="7">
        <f t="shared" ca="1" si="9"/>
        <v>1.5596587177065029</v>
      </c>
      <c r="G57" s="125">
        <f ca="1">IF('Simulador - 1º Pilar'!$E$99="Sí",IF('Aportaciones PPE'!$B$13&lt;'Aportaciones PPE'!E57,0,F57*$B$8/12),F57*$B$8/12)</f>
        <v>27294.0275598638</v>
      </c>
      <c r="H57" s="125">
        <f t="shared" ca="1" si="10"/>
        <v>1364.7013779931901</v>
      </c>
      <c r="I57" s="125">
        <f t="shared" ca="1" si="11"/>
        <v>0</v>
      </c>
      <c r="J57" s="125">
        <f t="shared" ca="1" si="12"/>
        <v>0</v>
      </c>
      <c r="K57" s="125">
        <f t="shared" ca="1" si="38"/>
        <v>1482.0801104831369</v>
      </c>
      <c r="L57" s="125">
        <f t="shared" ca="1" si="31"/>
        <v>0</v>
      </c>
      <c r="M57" s="125">
        <f t="shared" ca="1" si="13"/>
        <v>0</v>
      </c>
      <c r="N57" s="125">
        <f t="shared" ca="1" si="14"/>
        <v>1482.0801104831369</v>
      </c>
      <c r="R57">
        <f t="shared" si="32"/>
        <v>50</v>
      </c>
      <c r="U57" s="55"/>
      <c r="V57">
        <f t="shared" si="33"/>
        <v>3</v>
      </c>
      <c r="W57">
        <f t="shared" ca="1" si="34"/>
        <v>2028</v>
      </c>
      <c r="X57" s="123">
        <f t="shared" ca="1" si="15"/>
        <v>46813</v>
      </c>
      <c r="Y57" s="64">
        <f t="shared" ca="1" si="35"/>
        <v>1014.731740936279</v>
      </c>
      <c r="Z57" s="64">
        <f t="shared" ca="1" si="16"/>
        <v>0</v>
      </c>
      <c r="AA57" s="64">
        <f t="shared" ca="1" si="17"/>
        <v>1404.6125018938912</v>
      </c>
      <c r="AB57" s="64">
        <f t="shared" ca="1" si="18"/>
        <v>0</v>
      </c>
      <c r="AF57" t="str">
        <f t="shared" ca="1" si="1"/>
        <v>52040</v>
      </c>
      <c r="AG57" s="126">
        <f t="shared" ca="1" si="2"/>
        <v>0</v>
      </c>
      <c r="AH57" s="126">
        <f t="shared" ca="1" si="3"/>
        <v>0</v>
      </c>
      <c r="AI57" s="126">
        <f t="shared" ca="1" si="19"/>
        <v>1364.7013779931901</v>
      </c>
      <c r="AJ57" t="str">
        <f t="shared" ca="1" si="4"/>
        <v>32028</v>
      </c>
      <c r="AK57" s="126">
        <f t="shared" ca="1" si="20"/>
        <v>0</v>
      </c>
      <c r="AL57" s="126">
        <f t="shared" ca="1" si="21"/>
        <v>0</v>
      </c>
      <c r="AM57" s="126">
        <f t="shared" ca="1" si="36"/>
        <v>0</v>
      </c>
      <c r="AN57" s="753">
        <f t="shared" ca="1" si="37"/>
        <v>0</v>
      </c>
      <c r="AO57" s="750">
        <f t="shared" ca="1" si="22"/>
        <v>0</v>
      </c>
      <c r="AP57" s="126">
        <f t="shared" ca="1" si="23"/>
        <v>0</v>
      </c>
      <c r="AQ57" s="126">
        <f t="shared" ca="1" si="24"/>
        <v>0</v>
      </c>
      <c r="AR57" s="126">
        <f t="shared" ca="1" si="5"/>
        <v>10000</v>
      </c>
      <c r="AS57" s="750">
        <f t="shared" ca="1" si="6"/>
        <v>0</v>
      </c>
      <c r="AT57" s="750">
        <f t="shared" ca="1" si="7"/>
        <v>0</v>
      </c>
      <c r="AU57" s="126">
        <f t="shared" ca="1" si="25"/>
        <v>1014.731740936279</v>
      </c>
      <c r="AV57" s="126">
        <f t="shared" ca="1" si="26"/>
        <v>3044.1952228088371</v>
      </c>
      <c r="AW57" s="126">
        <f t="shared" ca="1" si="8"/>
        <v>10000</v>
      </c>
      <c r="AX57" s="750">
        <f t="shared" ca="1" si="27"/>
        <v>1014.731740936279</v>
      </c>
      <c r="AY57" s="750">
        <f t="shared" ca="1" si="28"/>
        <v>0</v>
      </c>
      <c r="AZ57">
        <f t="shared" si="29"/>
        <v>5750</v>
      </c>
    </row>
    <row r="58" spans="4:52">
      <c r="D58">
        <v>51</v>
      </c>
      <c r="E58" s="6">
        <f t="shared" ca="1" si="30"/>
        <v>51227</v>
      </c>
      <c r="F58" s="7">
        <f t="shared" ca="1" si="9"/>
        <v>1.5596587177065029</v>
      </c>
      <c r="G58" s="125">
        <f ca="1">IF('Simulador - 1º Pilar'!$E$99="Sí",IF('Aportaciones PPE'!$B$13&lt;'Aportaciones PPE'!E58,0,F58*$B$8/12),F58*$B$8/12)</f>
        <v>27294.0275598638</v>
      </c>
      <c r="H58" s="125">
        <f t="shared" ca="1" si="10"/>
        <v>1364.7013779931901</v>
      </c>
      <c r="I58" s="125">
        <f t="shared" ca="1" si="11"/>
        <v>0</v>
      </c>
      <c r="J58" s="125">
        <f t="shared" ca="1" si="12"/>
        <v>0</v>
      </c>
      <c r="K58" s="125">
        <f t="shared" ca="1" si="38"/>
        <v>1484.5278862815587</v>
      </c>
      <c r="L58" s="125">
        <f t="shared" ca="1" si="31"/>
        <v>0</v>
      </c>
      <c r="M58" s="125">
        <f t="shared" ca="1" si="13"/>
        <v>0</v>
      </c>
      <c r="N58" s="125">
        <f t="shared" ca="1" si="14"/>
        <v>1484.5278862815587</v>
      </c>
      <c r="R58">
        <f t="shared" si="32"/>
        <v>51</v>
      </c>
      <c r="U58" s="55"/>
      <c r="V58">
        <f t="shared" si="33"/>
        <v>4</v>
      </c>
      <c r="W58">
        <f t="shared" ca="1" si="34"/>
        <v>2028</v>
      </c>
      <c r="X58" s="123">
        <f t="shared" ca="1" si="15"/>
        <v>46844</v>
      </c>
      <c r="Y58" s="64">
        <f t="shared" ca="1" si="35"/>
        <v>1014.731740936279</v>
      </c>
      <c r="Z58" s="64">
        <f t="shared" ca="1" si="16"/>
        <v>0</v>
      </c>
      <c r="AA58" s="64">
        <f t="shared" ca="1" si="17"/>
        <v>1402.2537302358437</v>
      </c>
      <c r="AB58" s="64">
        <f t="shared" ca="1" si="18"/>
        <v>0</v>
      </c>
      <c r="AF58" t="str">
        <f t="shared" ca="1" si="1"/>
        <v>42040</v>
      </c>
      <c r="AG58" s="126">
        <f t="shared" ca="1" si="2"/>
        <v>0</v>
      </c>
      <c r="AH58" s="126">
        <f t="shared" ca="1" si="3"/>
        <v>0</v>
      </c>
      <c r="AI58" s="126">
        <f t="shared" ca="1" si="19"/>
        <v>1364.7013779931901</v>
      </c>
      <c r="AJ58" t="str">
        <f t="shared" ca="1" si="4"/>
        <v>42028</v>
      </c>
      <c r="AK58" s="126">
        <f t="shared" ca="1" si="20"/>
        <v>0</v>
      </c>
      <c r="AL58" s="126">
        <f t="shared" ca="1" si="21"/>
        <v>0</v>
      </c>
      <c r="AM58" s="126">
        <f t="shared" ca="1" si="36"/>
        <v>0</v>
      </c>
      <c r="AN58" s="753">
        <f t="shared" ca="1" si="37"/>
        <v>0</v>
      </c>
      <c r="AO58" s="750">
        <f t="shared" ca="1" si="22"/>
        <v>0</v>
      </c>
      <c r="AP58" s="126">
        <f t="shared" ca="1" si="23"/>
        <v>0</v>
      </c>
      <c r="AQ58" s="126">
        <f t="shared" ca="1" si="24"/>
        <v>0</v>
      </c>
      <c r="AR58" s="126">
        <f t="shared" ca="1" si="5"/>
        <v>10000</v>
      </c>
      <c r="AS58" s="750">
        <f t="shared" ca="1" si="6"/>
        <v>0</v>
      </c>
      <c r="AT58" s="750">
        <f t="shared" ca="1" si="7"/>
        <v>0</v>
      </c>
      <c r="AU58" s="126">
        <f t="shared" ca="1" si="25"/>
        <v>1014.731740936279</v>
      </c>
      <c r="AV58" s="126">
        <f t="shared" ca="1" si="26"/>
        <v>4058.9269637451162</v>
      </c>
      <c r="AW58" s="126">
        <f t="shared" ca="1" si="8"/>
        <v>10000</v>
      </c>
      <c r="AX58" s="750">
        <f t="shared" ca="1" si="27"/>
        <v>1014.731740936279</v>
      </c>
      <c r="AY58" s="750">
        <f t="shared" ca="1" si="28"/>
        <v>0</v>
      </c>
      <c r="AZ58">
        <f t="shared" si="29"/>
        <v>5750</v>
      </c>
    </row>
    <row r="59" spans="4:52">
      <c r="D59">
        <v>52</v>
      </c>
      <c r="E59" s="6">
        <f t="shared" ca="1" si="30"/>
        <v>51196</v>
      </c>
      <c r="F59" s="7">
        <f t="shared" ca="1" si="9"/>
        <v>1.5596587177065029</v>
      </c>
      <c r="G59" s="125">
        <f ca="1">IF('Simulador - 1º Pilar'!$E$99="Sí",IF('Aportaciones PPE'!$B$13&lt;'Aportaciones PPE'!E59,0,F59*$B$8/12),F59*$B$8/12)</f>
        <v>27294.0275598638</v>
      </c>
      <c r="H59" s="125">
        <f t="shared" ca="1" si="10"/>
        <v>1364.7013779931901</v>
      </c>
      <c r="I59" s="125">
        <f t="shared" ca="1" si="11"/>
        <v>0</v>
      </c>
      <c r="J59" s="125">
        <f t="shared" ca="1" si="12"/>
        <v>0</v>
      </c>
      <c r="K59" s="125">
        <f t="shared" ca="1" si="38"/>
        <v>1486.9797047807206</v>
      </c>
      <c r="L59" s="125">
        <f t="shared" ca="1" si="31"/>
        <v>0</v>
      </c>
      <c r="M59" s="125">
        <f t="shared" ca="1" si="13"/>
        <v>0</v>
      </c>
      <c r="N59" s="125">
        <f t="shared" ca="1" si="14"/>
        <v>1486.9797047807206</v>
      </c>
      <c r="R59">
        <f t="shared" si="32"/>
        <v>52</v>
      </c>
      <c r="U59" s="55"/>
      <c r="V59">
        <f t="shared" si="33"/>
        <v>5</v>
      </c>
      <c r="W59">
        <f t="shared" ca="1" si="34"/>
        <v>2028</v>
      </c>
      <c r="X59" s="123">
        <f t="shared" ca="1" si="15"/>
        <v>46874</v>
      </c>
      <c r="Y59" s="64">
        <f t="shared" ca="1" si="35"/>
        <v>1014.731740936279</v>
      </c>
      <c r="Z59" s="64">
        <f t="shared" ca="1" si="16"/>
        <v>0</v>
      </c>
      <c r="AA59" s="64">
        <f t="shared" ca="1" si="17"/>
        <v>1399.9748195444083</v>
      </c>
      <c r="AB59" s="64">
        <f t="shared" ca="1" si="18"/>
        <v>0</v>
      </c>
      <c r="AF59" t="str">
        <f t="shared" ca="1" si="1"/>
        <v>32040</v>
      </c>
      <c r="AG59" s="126">
        <f t="shared" ca="1" si="2"/>
        <v>0</v>
      </c>
      <c r="AH59" s="126">
        <f t="shared" ca="1" si="3"/>
        <v>0</v>
      </c>
      <c r="AI59" s="126">
        <f t="shared" ca="1" si="19"/>
        <v>1364.7013779931901</v>
      </c>
      <c r="AJ59" t="str">
        <f t="shared" ca="1" si="4"/>
        <v>52028</v>
      </c>
      <c r="AK59" s="126">
        <f t="shared" ca="1" si="20"/>
        <v>0</v>
      </c>
      <c r="AL59" s="126">
        <f t="shared" ca="1" si="21"/>
        <v>0</v>
      </c>
      <c r="AM59" s="126">
        <f t="shared" ca="1" si="36"/>
        <v>0</v>
      </c>
      <c r="AN59" s="753">
        <f t="shared" ca="1" si="37"/>
        <v>0</v>
      </c>
      <c r="AO59" s="750">
        <f t="shared" ca="1" si="22"/>
        <v>0</v>
      </c>
      <c r="AP59" s="126">
        <f t="shared" ca="1" si="23"/>
        <v>0</v>
      </c>
      <c r="AQ59" s="126">
        <f t="shared" ca="1" si="24"/>
        <v>0</v>
      </c>
      <c r="AR59" s="126">
        <f t="shared" ca="1" si="5"/>
        <v>10000</v>
      </c>
      <c r="AS59" s="750">
        <f t="shared" ca="1" si="6"/>
        <v>0</v>
      </c>
      <c r="AT59" s="750">
        <f t="shared" ca="1" si="7"/>
        <v>0</v>
      </c>
      <c r="AU59" s="126">
        <f t="shared" ca="1" si="25"/>
        <v>1014.731740936279</v>
      </c>
      <c r="AV59" s="126">
        <f t="shared" ca="1" si="26"/>
        <v>5073.6587046813947</v>
      </c>
      <c r="AW59" s="126">
        <f t="shared" ca="1" si="8"/>
        <v>10000</v>
      </c>
      <c r="AX59" s="750">
        <f t="shared" ca="1" si="27"/>
        <v>1014.731740936279</v>
      </c>
      <c r="AY59" s="750">
        <f t="shared" ca="1" si="28"/>
        <v>0</v>
      </c>
      <c r="AZ59">
        <f t="shared" si="29"/>
        <v>5750</v>
      </c>
    </row>
    <row r="60" spans="4:52">
      <c r="D60">
        <v>53</v>
      </c>
      <c r="E60" s="6">
        <f t="shared" ca="1" si="30"/>
        <v>51167</v>
      </c>
      <c r="F60" s="7">
        <f t="shared" ca="1" si="9"/>
        <v>1.5596587177065029</v>
      </c>
      <c r="G60" s="125">
        <f ca="1">IF('Simulador - 1º Pilar'!$E$99="Sí",IF('Aportaciones PPE'!$B$13&lt;'Aportaciones PPE'!E60,0,F60*$B$8/12),F60*$B$8/12)</f>
        <v>27294.0275598638</v>
      </c>
      <c r="H60" s="125">
        <f t="shared" ca="1" si="10"/>
        <v>1364.7013779931901</v>
      </c>
      <c r="I60" s="125">
        <f t="shared" ca="1" si="11"/>
        <v>0</v>
      </c>
      <c r="J60" s="125">
        <f t="shared" ca="1" si="12"/>
        <v>0</v>
      </c>
      <c r="K60" s="125">
        <f t="shared" ca="1" si="38"/>
        <v>1489.4355726574713</v>
      </c>
      <c r="L60" s="125">
        <f t="shared" ca="1" si="31"/>
        <v>0</v>
      </c>
      <c r="M60" s="125">
        <f t="shared" ca="1" si="13"/>
        <v>0</v>
      </c>
      <c r="N60" s="125">
        <f t="shared" ca="1" si="14"/>
        <v>1489.4355726574713</v>
      </c>
      <c r="R60">
        <f t="shared" si="32"/>
        <v>53</v>
      </c>
      <c r="U60" s="55"/>
      <c r="V60">
        <f t="shared" si="33"/>
        <v>6</v>
      </c>
      <c r="W60">
        <f t="shared" ca="1" si="34"/>
        <v>2028</v>
      </c>
      <c r="X60" s="123">
        <f t="shared" ca="1" si="15"/>
        <v>46905</v>
      </c>
      <c r="Y60" s="64">
        <f t="shared" ca="1" si="35"/>
        <v>1014.731740936279</v>
      </c>
      <c r="Z60" s="64">
        <f t="shared" ca="1" si="16"/>
        <v>0</v>
      </c>
      <c r="AA60" s="64">
        <f t="shared" ca="1" si="17"/>
        <v>1397.6238359657566</v>
      </c>
      <c r="AB60" s="64">
        <f t="shared" ca="1" si="18"/>
        <v>0</v>
      </c>
      <c r="AF60" t="str">
        <f t="shared" ca="1" si="1"/>
        <v>22040</v>
      </c>
      <c r="AG60" s="126">
        <f t="shared" ca="1" si="2"/>
        <v>0</v>
      </c>
      <c r="AH60" s="126">
        <f t="shared" ca="1" si="3"/>
        <v>0</v>
      </c>
      <c r="AI60" s="126">
        <f t="shared" ca="1" si="19"/>
        <v>1364.7013779931901</v>
      </c>
      <c r="AJ60" t="str">
        <f t="shared" ca="1" si="4"/>
        <v>62028</v>
      </c>
      <c r="AK60" s="126">
        <f t="shared" ca="1" si="20"/>
        <v>0</v>
      </c>
      <c r="AL60" s="126">
        <f t="shared" ca="1" si="21"/>
        <v>0</v>
      </c>
      <c r="AM60" s="126">
        <f t="shared" ca="1" si="36"/>
        <v>0</v>
      </c>
      <c r="AN60" s="753">
        <f t="shared" ca="1" si="37"/>
        <v>0</v>
      </c>
      <c r="AO60" s="750">
        <f t="shared" ca="1" si="22"/>
        <v>0</v>
      </c>
      <c r="AP60" s="126">
        <f t="shared" ca="1" si="23"/>
        <v>0</v>
      </c>
      <c r="AQ60" s="126">
        <f t="shared" ca="1" si="24"/>
        <v>0</v>
      </c>
      <c r="AR60" s="126">
        <f t="shared" ca="1" si="5"/>
        <v>10000</v>
      </c>
      <c r="AS60" s="750">
        <f t="shared" ca="1" si="6"/>
        <v>0</v>
      </c>
      <c r="AT60" s="750">
        <f t="shared" ca="1" si="7"/>
        <v>0</v>
      </c>
      <c r="AU60" s="126">
        <f t="shared" ca="1" si="25"/>
        <v>1014.731740936279</v>
      </c>
      <c r="AV60" s="126">
        <f t="shared" ca="1" si="26"/>
        <v>6088.3904456176733</v>
      </c>
      <c r="AW60" s="126">
        <f t="shared" ca="1" si="8"/>
        <v>10000</v>
      </c>
      <c r="AX60" s="750">
        <f t="shared" ca="1" si="27"/>
        <v>1014.731740936279</v>
      </c>
      <c r="AY60" s="750">
        <f t="shared" ca="1" si="28"/>
        <v>0</v>
      </c>
      <c r="AZ60">
        <f t="shared" si="29"/>
        <v>5750</v>
      </c>
    </row>
    <row r="61" spans="4:52">
      <c r="D61">
        <v>54</v>
      </c>
      <c r="E61" s="6">
        <f t="shared" ca="1" si="30"/>
        <v>51136</v>
      </c>
      <c r="F61" s="7">
        <f t="shared" ca="1" si="9"/>
        <v>1.5596587177065029</v>
      </c>
      <c r="G61" s="125">
        <f ca="1">IF('Simulador - 1º Pilar'!$E$99="Sí",IF('Aportaciones PPE'!$B$13&lt;'Aportaciones PPE'!E61,0,F61*$B$8/12),F61*$B$8/12)</f>
        <v>27294.0275598638</v>
      </c>
      <c r="H61" s="125">
        <f t="shared" ca="1" si="10"/>
        <v>1364.7013779931901</v>
      </c>
      <c r="I61" s="125">
        <f t="shared" ca="1" si="11"/>
        <v>0</v>
      </c>
      <c r="J61" s="125">
        <f t="shared" ca="1" si="12"/>
        <v>0</v>
      </c>
      <c r="K61" s="125">
        <f t="shared" ca="1" si="38"/>
        <v>1491.8954965996868</v>
      </c>
      <c r="L61" s="125">
        <f t="shared" ca="1" si="31"/>
        <v>0</v>
      </c>
      <c r="M61" s="125">
        <f t="shared" ca="1" si="13"/>
        <v>0</v>
      </c>
      <c r="N61" s="125">
        <f t="shared" ca="1" si="14"/>
        <v>1491.8954965996868</v>
      </c>
      <c r="R61">
        <f t="shared" si="32"/>
        <v>54</v>
      </c>
      <c r="U61" s="55"/>
      <c r="V61">
        <f t="shared" si="33"/>
        <v>7</v>
      </c>
      <c r="W61">
        <f t="shared" ca="1" si="34"/>
        <v>2028</v>
      </c>
      <c r="X61" s="123">
        <f t="shared" ca="1" si="15"/>
        <v>46935</v>
      </c>
      <c r="Y61" s="64">
        <f t="shared" ca="1" si="35"/>
        <v>1014.731740936279</v>
      </c>
      <c r="Z61" s="64">
        <f t="shared" ca="1" si="16"/>
        <v>0</v>
      </c>
      <c r="AA61" s="64">
        <f t="shared" ca="1" si="17"/>
        <v>1395.3524496725984</v>
      </c>
      <c r="AB61" s="64">
        <f t="shared" ca="1" si="18"/>
        <v>0</v>
      </c>
      <c r="AF61" t="str">
        <f t="shared" ca="1" si="1"/>
        <v>12040</v>
      </c>
      <c r="AG61" s="126">
        <f t="shared" ca="1" si="2"/>
        <v>0</v>
      </c>
      <c r="AH61" s="126">
        <f t="shared" ca="1" si="3"/>
        <v>0</v>
      </c>
      <c r="AI61" s="126">
        <f t="shared" ca="1" si="19"/>
        <v>1364.7013779931901</v>
      </c>
      <c r="AJ61" t="str">
        <f t="shared" ca="1" si="4"/>
        <v>72028</v>
      </c>
      <c r="AK61" s="126">
        <f t="shared" ca="1" si="20"/>
        <v>0</v>
      </c>
      <c r="AL61" s="126">
        <f t="shared" ca="1" si="21"/>
        <v>0</v>
      </c>
      <c r="AM61" s="126">
        <f t="shared" ca="1" si="36"/>
        <v>0</v>
      </c>
      <c r="AN61" s="753">
        <f t="shared" ca="1" si="37"/>
        <v>0</v>
      </c>
      <c r="AO61" s="750">
        <f t="shared" ca="1" si="22"/>
        <v>0</v>
      </c>
      <c r="AP61" s="126">
        <f t="shared" ca="1" si="23"/>
        <v>0</v>
      </c>
      <c r="AQ61" s="126">
        <f t="shared" ca="1" si="24"/>
        <v>0</v>
      </c>
      <c r="AR61" s="126">
        <f t="shared" ca="1" si="5"/>
        <v>10000</v>
      </c>
      <c r="AS61" s="750">
        <f t="shared" ca="1" si="6"/>
        <v>0</v>
      </c>
      <c r="AT61" s="750">
        <f t="shared" ca="1" si="7"/>
        <v>0</v>
      </c>
      <c r="AU61" s="126">
        <f t="shared" ca="1" si="25"/>
        <v>1014.731740936279</v>
      </c>
      <c r="AV61" s="126">
        <f t="shared" ca="1" si="26"/>
        <v>7103.1221865539519</v>
      </c>
      <c r="AW61" s="126">
        <f t="shared" ca="1" si="8"/>
        <v>10000</v>
      </c>
      <c r="AX61" s="750">
        <f t="shared" ca="1" si="27"/>
        <v>1014.731740936279</v>
      </c>
      <c r="AY61" s="750">
        <f t="shared" ca="1" si="28"/>
        <v>0</v>
      </c>
      <c r="AZ61">
        <f t="shared" si="29"/>
        <v>5750</v>
      </c>
    </row>
    <row r="62" spans="4:52">
      <c r="D62">
        <v>55</v>
      </c>
      <c r="E62" s="6">
        <f t="shared" ca="1" si="30"/>
        <v>51105</v>
      </c>
      <c r="F62" s="7">
        <f t="shared" ca="1" si="9"/>
        <v>1.5216182611770761</v>
      </c>
      <c r="G62" s="125">
        <f ca="1">IF('Simulador - 1º Pilar'!$E$99="Sí",IF('Aportaciones PPE'!$B$13&lt;'Aportaciones PPE'!E62,0,F62*$B$8/12),F62*$B$8/12)</f>
        <v>26628.319570598833</v>
      </c>
      <c r="H62" s="125">
        <f t="shared" ca="1" si="10"/>
        <v>1331.4159785299416</v>
      </c>
      <c r="I62" s="125">
        <f t="shared" ca="1" si="11"/>
        <v>0</v>
      </c>
      <c r="J62" s="125">
        <f t="shared" ca="1" si="12"/>
        <v>0</v>
      </c>
      <c r="K62" s="125">
        <f t="shared" ca="1" si="38"/>
        <v>1457.9116910305265</v>
      </c>
      <c r="L62" s="125">
        <f t="shared" ca="1" si="31"/>
        <v>0</v>
      </c>
      <c r="M62" s="125">
        <f t="shared" ca="1" si="13"/>
        <v>0</v>
      </c>
      <c r="N62" s="125">
        <f t="shared" ca="1" si="14"/>
        <v>1457.9116910305265</v>
      </c>
      <c r="R62">
        <f t="shared" si="32"/>
        <v>55</v>
      </c>
      <c r="U62" s="55"/>
      <c r="V62">
        <f t="shared" si="33"/>
        <v>8</v>
      </c>
      <c r="W62">
        <f t="shared" ca="1" si="34"/>
        <v>2028</v>
      </c>
      <c r="X62" s="123">
        <f t="shared" ca="1" si="15"/>
        <v>46966</v>
      </c>
      <c r="Y62" s="64">
        <f t="shared" ca="1" si="35"/>
        <v>1014.731740936279</v>
      </c>
      <c r="Z62" s="64">
        <f t="shared" ca="1" si="16"/>
        <v>0</v>
      </c>
      <c r="AA62" s="64">
        <f t="shared" ca="1" si="17"/>
        <v>1393.0092284590341</v>
      </c>
      <c r="AB62" s="64">
        <f t="shared" ca="1" si="18"/>
        <v>0</v>
      </c>
      <c r="AF62" t="str">
        <f t="shared" ca="1" si="1"/>
        <v>122039</v>
      </c>
      <c r="AG62" s="126">
        <f t="shared" ca="1" si="2"/>
        <v>0</v>
      </c>
      <c r="AH62" s="126">
        <f t="shared" ca="1" si="3"/>
        <v>0</v>
      </c>
      <c r="AI62" s="126">
        <f t="shared" ca="1" si="19"/>
        <v>1331.4159785299416</v>
      </c>
      <c r="AJ62" t="str">
        <f t="shared" ca="1" si="4"/>
        <v>82028</v>
      </c>
      <c r="AK62" s="126">
        <f t="shared" ca="1" si="20"/>
        <v>0</v>
      </c>
      <c r="AL62" s="126">
        <f t="shared" ca="1" si="21"/>
        <v>0</v>
      </c>
      <c r="AM62" s="126">
        <f t="shared" ca="1" si="36"/>
        <v>0</v>
      </c>
      <c r="AN62" s="753">
        <f t="shared" ca="1" si="37"/>
        <v>0</v>
      </c>
      <c r="AO62" s="750">
        <f t="shared" ca="1" si="22"/>
        <v>0</v>
      </c>
      <c r="AP62" s="126">
        <f t="shared" ca="1" si="23"/>
        <v>0</v>
      </c>
      <c r="AQ62" s="126">
        <f t="shared" ca="1" si="24"/>
        <v>0</v>
      </c>
      <c r="AR62" s="126">
        <f t="shared" ca="1" si="5"/>
        <v>10000</v>
      </c>
      <c r="AS62" s="750">
        <f t="shared" ca="1" si="6"/>
        <v>0</v>
      </c>
      <c r="AT62" s="750">
        <f t="shared" ca="1" si="7"/>
        <v>0</v>
      </c>
      <c r="AU62" s="126">
        <f t="shared" ca="1" si="25"/>
        <v>1014.731740936279</v>
      </c>
      <c r="AV62" s="126">
        <f t="shared" ca="1" si="26"/>
        <v>8117.8539274902305</v>
      </c>
      <c r="AW62" s="126">
        <f t="shared" ca="1" si="8"/>
        <v>10000</v>
      </c>
      <c r="AX62" s="750">
        <f t="shared" ca="1" si="27"/>
        <v>1014.731740936279</v>
      </c>
      <c r="AY62" s="750">
        <f t="shared" ca="1" si="28"/>
        <v>0</v>
      </c>
      <c r="AZ62">
        <f t="shared" si="29"/>
        <v>5750</v>
      </c>
    </row>
    <row r="63" spans="4:52">
      <c r="D63">
        <v>56</v>
      </c>
      <c r="E63" s="6">
        <f t="shared" ca="1" si="30"/>
        <v>51075</v>
      </c>
      <c r="F63" s="7">
        <f t="shared" ca="1" si="9"/>
        <v>1.5216182611770761</v>
      </c>
      <c r="G63" s="125">
        <f ca="1">IF('Simulador - 1º Pilar'!$E$99="Sí",IF('Aportaciones PPE'!$B$13&lt;'Aportaciones PPE'!E63,0,F63*$B$8/12),F63*$B$8/12)</f>
        <v>26628.319570598833</v>
      </c>
      <c r="H63" s="125">
        <f t="shared" ca="1" si="10"/>
        <v>1331.4159785299416</v>
      </c>
      <c r="I63" s="125">
        <f t="shared" ca="1" si="11"/>
        <v>0</v>
      </c>
      <c r="J63" s="125">
        <f t="shared" ca="1" si="12"/>
        <v>0</v>
      </c>
      <c r="K63" s="125">
        <f t="shared" ca="1" si="38"/>
        <v>1460.3195507192836</v>
      </c>
      <c r="L63" s="125">
        <f t="shared" ca="1" si="31"/>
        <v>0</v>
      </c>
      <c r="M63" s="125">
        <f t="shared" ca="1" si="13"/>
        <v>0</v>
      </c>
      <c r="N63" s="125">
        <f t="shared" ca="1" si="14"/>
        <v>1460.3195507192836</v>
      </c>
      <c r="R63">
        <f t="shared" si="32"/>
        <v>56</v>
      </c>
      <c r="U63" s="55"/>
      <c r="V63">
        <f t="shared" si="33"/>
        <v>9</v>
      </c>
      <c r="W63">
        <f t="shared" ca="1" si="34"/>
        <v>2028</v>
      </c>
      <c r="X63" s="123">
        <f t="shared" ca="1" si="15"/>
        <v>46997</v>
      </c>
      <c r="Y63" s="64">
        <f t="shared" ca="1" si="35"/>
        <v>1014.731740936279</v>
      </c>
      <c r="Z63" s="64">
        <f t="shared" ca="1" si="16"/>
        <v>0</v>
      </c>
      <c r="AA63" s="64">
        <f t="shared" ca="1" si="17"/>
        <v>1390.6699422266702</v>
      </c>
      <c r="AB63" s="64">
        <f t="shared" ca="1" si="18"/>
        <v>0</v>
      </c>
      <c r="AF63" t="str">
        <f t="shared" ca="1" si="1"/>
        <v>112039</v>
      </c>
      <c r="AG63" s="126">
        <f t="shared" ca="1" si="2"/>
        <v>0</v>
      </c>
      <c r="AH63" s="126">
        <f t="shared" ca="1" si="3"/>
        <v>0</v>
      </c>
      <c r="AI63" s="126">
        <f t="shared" ca="1" si="19"/>
        <v>1331.4159785299416</v>
      </c>
      <c r="AJ63" t="str">
        <f t="shared" ca="1" si="4"/>
        <v>92028</v>
      </c>
      <c r="AK63" s="126">
        <f t="shared" ca="1" si="20"/>
        <v>0</v>
      </c>
      <c r="AL63" s="126">
        <f t="shared" ca="1" si="21"/>
        <v>0</v>
      </c>
      <c r="AM63" s="126">
        <f t="shared" ca="1" si="36"/>
        <v>0</v>
      </c>
      <c r="AN63" s="753">
        <f t="shared" ca="1" si="37"/>
        <v>0</v>
      </c>
      <c r="AO63" s="750">
        <f t="shared" ca="1" si="22"/>
        <v>0</v>
      </c>
      <c r="AP63" s="126">
        <f t="shared" ca="1" si="23"/>
        <v>0</v>
      </c>
      <c r="AQ63" s="126">
        <f t="shared" ca="1" si="24"/>
        <v>0</v>
      </c>
      <c r="AR63" s="126">
        <f t="shared" ca="1" si="5"/>
        <v>10000</v>
      </c>
      <c r="AS63" s="750">
        <f t="shared" ca="1" si="6"/>
        <v>0</v>
      </c>
      <c r="AT63" s="750">
        <f t="shared" ca="1" si="7"/>
        <v>0</v>
      </c>
      <c r="AU63" s="126">
        <f t="shared" ca="1" si="25"/>
        <v>1014.731740936279</v>
      </c>
      <c r="AV63" s="126">
        <f t="shared" ca="1" si="26"/>
        <v>9132.5856684265091</v>
      </c>
      <c r="AW63" s="126">
        <f t="shared" ca="1" si="8"/>
        <v>10000</v>
      </c>
      <c r="AX63" s="750">
        <f t="shared" ca="1" si="27"/>
        <v>1014.731740936279</v>
      </c>
      <c r="AY63" s="750">
        <f t="shared" ca="1" si="28"/>
        <v>0</v>
      </c>
      <c r="AZ63">
        <f t="shared" si="29"/>
        <v>5750</v>
      </c>
    </row>
    <row r="64" spans="4:52">
      <c r="D64">
        <v>57</v>
      </c>
      <c r="E64" s="6">
        <f t="shared" ca="1" si="30"/>
        <v>51044</v>
      </c>
      <c r="F64" s="7">
        <f t="shared" ca="1" si="9"/>
        <v>1.5216182611770761</v>
      </c>
      <c r="G64" s="125">
        <f ca="1">IF('Simulador - 1º Pilar'!$E$99="Sí",IF('Aportaciones PPE'!$B$13&lt;'Aportaciones PPE'!E64,0,F64*$B$8/12),F64*$B$8/12)</f>
        <v>26628.319570598833</v>
      </c>
      <c r="H64" s="125">
        <f t="shared" ca="1" si="10"/>
        <v>1331.4159785299416</v>
      </c>
      <c r="I64" s="125">
        <f t="shared" ca="1" si="11"/>
        <v>0</v>
      </c>
      <c r="J64" s="125">
        <f t="shared" ca="1" si="12"/>
        <v>0</v>
      </c>
      <c r="K64" s="125">
        <f t="shared" ca="1" si="38"/>
        <v>1462.7313871840802</v>
      </c>
      <c r="L64" s="125">
        <f t="shared" ca="1" si="31"/>
        <v>0</v>
      </c>
      <c r="M64" s="125">
        <f t="shared" ca="1" si="13"/>
        <v>0</v>
      </c>
      <c r="N64" s="125">
        <f t="shared" ca="1" si="14"/>
        <v>1462.7313871840802</v>
      </c>
      <c r="R64">
        <f t="shared" si="32"/>
        <v>57</v>
      </c>
      <c r="U64" s="55"/>
      <c r="V64">
        <f t="shared" si="33"/>
        <v>10</v>
      </c>
      <c r="W64">
        <f t="shared" ca="1" si="34"/>
        <v>2028</v>
      </c>
      <c r="X64" s="123">
        <f t="shared" ca="1" si="15"/>
        <v>47027</v>
      </c>
      <c r="Y64" s="64">
        <f t="shared" ca="1" si="35"/>
        <v>867.41433157349093</v>
      </c>
      <c r="Z64" s="64">
        <f t="shared" ca="1" si="16"/>
        <v>147.31740936278811</v>
      </c>
      <c r="AA64" s="64">
        <f t="shared" ca="1" si="17"/>
        <v>1186.8423541761863</v>
      </c>
      <c r="AB64" s="64">
        <f t="shared" ca="1" si="18"/>
        <v>201.56750306638781</v>
      </c>
      <c r="AF64" t="str">
        <f t="shared" ca="1" si="1"/>
        <v>102039</v>
      </c>
      <c r="AG64" s="126">
        <f t="shared" ca="1" si="2"/>
        <v>0</v>
      </c>
      <c r="AH64" s="126">
        <f t="shared" ca="1" si="3"/>
        <v>0</v>
      </c>
      <c r="AI64" s="126">
        <f t="shared" ca="1" si="19"/>
        <v>1331.4159785299416</v>
      </c>
      <c r="AJ64" t="str">
        <f t="shared" ca="1" si="4"/>
        <v>102028</v>
      </c>
      <c r="AK64" s="126">
        <f t="shared" ca="1" si="20"/>
        <v>0</v>
      </c>
      <c r="AL64" s="126">
        <f t="shared" ca="1" si="21"/>
        <v>0</v>
      </c>
      <c r="AM64" s="126">
        <f t="shared" ca="1" si="36"/>
        <v>0</v>
      </c>
      <c r="AN64" s="753">
        <f t="shared" ca="1" si="37"/>
        <v>0</v>
      </c>
      <c r="AO64" s="750">
        <f t="shared" ca="1" si="22"/>
        <v>0</v>
      </c>
      <c r="AP64" s="126">
        <f t="shared" ca="1" si="23"/>
        <v>0</v>
      </c>
      <c r="AQ64" s="126">
        <f t="shared" ca="1" si="24"/>
        <v>0</v>
      </c>
      <c r="AR64" s="126">
        <f t="shared" ca="1" si="5"/>
        <v>10000</v>
      </c>
      <c r="AS64" s="750">
        <f t="shared" ca="1" si="6"/>
        <v>0</v>
      </c>
      <c r="AT64" s="750">
        <f t="shared" ca="1" si="7"/>
        <v>0</v>
      </c>
      <c r="AU64" s="126">
        <f t="shared" ca="1" si="25"/>
        <v>1014.731740936279</v>
      </c>
      <c r="AV64" s="126">
        <f t="shared" ca="1" si="26"/>
        <v>10147.317409362788</v>
      </c>
      <c r="AW64" s="126">
        <f t="shared" ca="1" si="8"/>
        <v>10000</v>
      </c>
      <c r="AX64" s="750">
        <f t="shared" ca="1" si="27"/>
        <v>867.41433157349093</v>
      </c>
      <c r="AY64" s="750">
        <f t="shared" ca="1" si="28"/>
        <v>147.31740936278811</v>
      </c>
      <c r="AZ64">
        <f t="shared" si="29"/>
        <v>5750</v>
      </c>
    </row>
    <row r="65" spans="4:52">
      <c r="D65">
        <v>58</v>
      </c>
      <c r="E65" s="6">
        <f t="shared" ca="1" si="30"/>
        <v>51014</v>
      </c>
      <c r="F65" s="7">
        <f t="shared" ca="1" si="9"/>
        <v>1.5216182611770761</v>
      </c>
      <c r="G65" s="125">
        <f ca="1">IF('Simulador - 1º Pilar'!$E$99="Sí",IF('Aportaciones PPE'!$B$13&lt;'Aportaciones PPE'!E65,0,F65*$B$8/12),F65*$B$8/12)</f>
        <v>26628.319570598833</v>
      </c>
      <c r="H65" s="125">
        <f t="shared" ca="1" si="10"/>
        <v>1331.4159785299416</v>
      </c>
      <c r="I65" s="125">
        <f t="shared" ca="1" si="11"/>
        <v>0</v>
      </c>
      <c r="J65" s="125">
        <f t="shared" ca="1" si="12"/>
        <v>0</v>
      </c>
      <c r="K65" s="125">
        <f t="shared" ca="1" si="38"/>
        <v>1465.147206992885</v>
      </c>
      <c r="L65" s="125">
        <f t="shared" ca="1" si="31"/>
        <v>0</v>
      </c>
      <c r="M65" s="125">
        <f t="shared" ca="1" si="13"/>
        <v>0</v>
      </c>
      <c r="N65" s="125">
        <f t="shared" ca="1" si="14"/>
        <v>1465.147206992885</v>
      </c>
      <c r="R65">
        <f t="shared" si="32"/>
        <v>58</v>
      </c>
      <c r="U65" s="55"/>
      <c r="V65">
        <f t="shared" si="33"/>
        <v>11</v>
      </c>
      <c r="W65">
        <f t="shared" ca="1" si="34"/>
        <v>2028</v>
      </c>
      <c r="X65" s="123">
        <f t="shared" ca="1" si="15"/>
        <v>47058</v>
      </c>
      <c r="Y65" s="64">
        <f t="shared" ca="1" si="35"/>
        <v>0</v>
      </c>
      <c r="Z65" s="64">
        <f t="shared" ca="1" si="16"/>
        <v>1014.731740936279</v>
      </c>
      <c r="AA65" s="64">
        <f t="shared" ca="1" si="17"/>
        <v>0</v>
      </c>
      <c r="AB65" s="64">
        <f t="shared" ca="1" si="18"/>
        <v>1386.0782947535592</v>
      </c>
      <c r="AF65" t="str">
        <f t="shared" ca="1" si="1"/>
        <v>92039</v>
      </c>
      <c r="AG65" s="126">
        <f t="shared" ca="1" si="2"/>
        <v>0</v>
      </c>
      <c r="AH65" s="126">
        <f t="shared" ca="1" si="3"/>
        <v>0</v>
      </c>
      <c r="AI65" s="126">
        <f t="shared" ca="1" si="19"/>
        <v>1331.4159785299416</v>
      </c>
      <c r="AJ65" t="str">
        <f t="shared" ca="1" si="4"/>
        <v>112028</v>
      </c>
      <c r="AK65" s="126">
        <f t="shared" ca="1" si="20"/>
        <v>0</v>
      </c>
      <c r="AL65" s="126">
        <f t="shared" ca="1" si="21"/>
        <v>0</v>
      </c>
      <c r="AM65" s="126">
        <f t="shared" ca="1" si="36"/>
        <v>0</v>
      </c>
      <c r="AN65" s="753">
        <f t="shared" ca="1" si="37"/>
        <v>0</v>
      </c>
      <c r="AO65" s="750">
        <f t="shared" ca="1" si="22"/>
        <v>0</v>
      </c>
      <c r="AP65" s="126">
        <f t="shared" ca="1" si="23"/>
        <v>0</v>
      </c>
      <c r="AQ65" s="126">
        <f t="shared" ca="1" si="24"/>
        <v>0</v>
      </c>
      <c r="AR65" s="126">
        <f t="shared" ca="1" si="5"/>
        <v>10000</v>
      </c>
      <c r="AS65" s="750">
        <f t="shared" ca="1" si="6"/>
        <v>0</v>
      </c>
      <c r="AT65" s="750">
        <f t="shared" ca="1" si="7"/>
        <v>0</v>
      </c>
      <c r="AU65" s="126">
        <f t="shared" ca="1" si="25"/>
        <v>1014.731740936279</v>
      </c>
      <c r="AV65" s="126">
        <f t="shared" ca="1" si="26"/>
        <v>11162.049150299066</v>
      </c>
      <c r="AW65" s="126">
        <f t="shared" ca="1" si="8"/>
        <v>10000</v>
      </c>
      <c r="AX65" s="750">
        <f t="shared" ca="1" si="27"/>
        <v>0</v>
      </c>
      <c r="AY65" s="750">
        <f t="shared" ca="1" si="28"/>
        <v>1014.731740936279</v>
      </c>
      <c r="AZ65">
        <f t="shared" si="29"/>
        <v>5750</v>
      </c>
    </row>
    <row r="66" spans="4:52" s="745" customFormat="1">
      <c r="D66" s="745">
        <v>59</v>
      </c>
      <c r="E66" s="6">
        <f t="shared" ca="1" si="30"/>
        <v>50983</v>
      </c>
      <c r="F66" s="7">
        <f t="shared" ca="1" si="9"/>
        <v>1.5216182611770761</v>
      </c>
      <c r="G66" s="125">
        <f ca="1">IF('Simulador - 1º Pilar'!$E$99="Sí",IF('Aportaciones PPE'!$B$13&lt;'Aportaciones PPE'!E66,0,F66*$B$8/12),F66*$B$8/12)</f>
        <v>26628.319570598833</v>
      </c>
      <c r="H66" s="125">
        <f t="shared" ca="1" si="10"/>
        <v>1331.4159785299416</v>
      </c>
      <c r="I66" s="125">
        <f t="shared" ca="1" si="11"/>
        <v>0</v>
      </c>
      <c r="J66" s="125">
        <f t="shared" ca="1" si="12"/>
        <v>0</v>
      </c>
      <c r="K66" s="125">
        <f t="shared" ca="1" si="38"/>
        <v>1467.567016724515</v>
      </c>
      <c r="L66" s="125">
        <f t="shared" ca="1" si="31"/>
        <v>0</v>
      </c>
      <c r="M66" s="125">
        <f t="shared" ca="1" si="13"/>
        <v>0</v>
      </c>
      <c r="N66" s="125">
        <f t="shared" ca="1" si="14"/>
        <v>1467.567016724515</v>
      </c>
      <c r="R66" s="745">
        <f t="shared" si="32"/>
        <v>59</v>
      </c>
      <c r="U66" s="862"/>
      <c r="V66" s="745">
        <f t="shared" si="33"/>
        <v>12</v>
      </c>
      <c r="W66" s="745">
        <f t="shared" ca="1" si="34"/>
        <v>2028</v>
      </c>
      <c r="X66" s="863">
        <f t="shared" ca="1" si="15"/>
        <v>47088</v>
      </c>
      <c r="Y66" s="64">
        <f t="shared" ca="1" si="35"/>
        <v>0</v>
      </c>
      <c r="Z66" s="64">
        <f t="shared" ca="1" si="16"/>
        <v>1014.731740936279</v>
      </c>
      <c r="AA66" s="64">
        <f t="shared" ca="1" si="17"/>
        <v>0</v>
      </c>
      <c r="AB66" s="64">
        <f t="shared" ca="1" si="18"/>
        <v>1383.8256720099209</v>
      </c>
      <c r="AF66" s="745" t="str">
        <f t="shared" ca="1" si="1"/>
        <v>82039</v>
      </c>
      <c r="AG66" s="746">
        <f t="shared" ca="1" si="2"/>
        <v>0</v>
      </c>
      <c r="AH66" s="746">
        <f t="shared" ca="1" si="3"/>
        <v>0</v>
      </c>
      <c r="AI66" s="746">
        <f t="shared" ca="1" si="19"/>
        <v>1331.4159785299416</v>
      </c>
      <c r="AJ66" s="745" t="str">
        <f t="shared" ca="1" si="4"/>
        <v>122028</v>
      </c>
      <c r="AK66" s="746">
        <f t="shared" ca="1" si="20"/>
        <v>0</v>
      </c>
      <c r="AL66" s="746">
        <f t="shared" ca="1" si="21"/>
        <v>0</v>
      </c>
      <c r="AM66" s="746">
        <f t="shared" ca="1" si="36"/>
        <v>0</v>
      </c>
      <c r="AN66" s="754">
        <f t="shared" ca="1" si="37"/>
        <v>0</v>
      </c>
      <c r="AO66" s="751">
        <f t="shared" ca="1" si="22"/>
        <v>0</v>
      </c>
      <c r="AP66" s="746">
        <f t="shared" ca="1" si="23"/>
        <v>0</v>
      </c>
      <c r="AQ66" s="746">
        <f t="shared" ca="1" si="24"/>
        <v>0</v>
      </c>
      <c r="AR66" s="746">
        <f t="shared" ca="1" si="5"/>
        <v>10000</v>
      </c>
      <c r="AS66" s="751">
        <f t="shared" ca="1" si="6"/>
        <v>0</v>
      </c>
      <c r="AT66" s="751">
        <f t="shared" ca="1" si="7"/>
        <v>0</v>
      </c>
      <c r="AU66" s="746">
        <f t="shared" ca="1" si="25"/>
        <v>1014.731740936279</v>
      </c>
      <c r="AV66" s="746">
        <f t="shared" ca="1" si="26"/>
        <v>12176.780891235345</v>
      </c>
      <c r="AW66" s="746">
        <f t="shared" ca="1" si="8"/>
        <v>10000</v>
      </c>
      <c r="AX66" s="751">
        <f t="shared" ca="1" si="27"/>
        <v>0</v>
      </c>
      <c r="AY66" s="751">
        <f t="shared" ca="1" si="28"/>
        <v>1014.731740936279</v>
      </c>
      <c r="AZ66" s="745">
        <f t="shared" si="29"/>
        <v>5750</v>
      </c>
    </row>
    <row r="67" spans="4:52">
      <c r="D67">
        <v>60</v>
      </c>
      <c r="E67" s="858">
        <f t="shared" ca="1" si="30"/>
        <v>50952</v>
      </c>
      <c r="F67" s="859">
        <f t="shared" ca="1" si="9"/>
        <v>1.5216182611770761</v>
      </c>
      <c r="G67" s="860">
        <f ca="1">IF('Simulador - 1º Pilar'!$E$99="Sí",IF('Aportaciones PPE'!$B$13&lt;'Aportaciones PPE'!E67,0,F67*$B$8/12),F67*$B$8/12)</f>
        <v>26628.319570598833</v>
      </c>
      <c r="H67" s="860">
        <f t="shared" ca="1" si="10"/>
        <v>1331.4159785299416</v>
      </c>
      <c r="I67" s="860">
        <f t="shared" ca="1" si="11"/>
        <v>0</v>
      </c>
      <c r="J67" s="860">
        <f t="shared" ca="1" si="12"/>
        <v>0</v>
      </c>
      <c r="K67" s="860">
        <f t="shared" ca="1" si="38"/>
        <v>1469.9908229686519</v>
      </c>
      <c r="L67" s="860">
        <f t="shared" ca="1" si="31"/>
        <v>0</v>
      </c>
      <c r="M67" s="860">
        <f t="shared" ca="1" si="13"/>
        <v>0</v>
      </c>
      <c r="N67" s="860">
        <f t="shared" ca="1" si="14"/>
        <v>1469.9908229686519</v>
      </c>
      <c r="R67">
        <f t="shared" si="32"/>
        <v>60</v>
      </c>
      <c r="U67" s="55"/>
      <c r="V67">
        <f t="shared" si="33"/>
        <v>1</v>
      </c>
      <c r="W67">
        <f t="shared" ca="1" si="34"/>
        <v>2029</v>
      </c>
      <c r="X67" s="123">
        <f t="shared" ca="1" si="15"/>
        <v>47119</v>
      </c>
      <c r="Y67" s="861">
        <f t="shared" ca="1" si="35"/>
        <v>1040.1000344596857</v>
      </c>
      <c r="Z67" s="861">
        <f t="shared" ca="1" si="16"/>
        <v>0</v>
      </c>
      <c r="AA67" s="861">
        <f t="shared" ca="1" si="17"/>
        <v>1416.039352956428</v>
      </c>
      <c r="AB67" s="861">
        <f t="shared" ca="1" si="18"/>
        <v>0</v>
      </c>
      <c r="AF67" t="str">
        <f t="shared" ca="1" si="1"/>
        <v>72039</v>
      </c>
      <c r="AG67" s="126">
        <f t="shared" ca="1" si="2"/>
        <v>0</v>
      </c>
      <c r="AH67" s="126">
        <f t="shared" ca="1" si="3"/>
        <v>0</v>
      </c>
      <c r="AI67" s="126">
        <f t="shared" ca="1" si="19"/>
        <v>1331.4159785299416</v>
      </c>
      <c r="AJ67" t="str">
        <f t="shared" ca="1" si="4"/>
        <v>12029</v>
      </c>
      <c r="AK67" s="126">
        <f t="shared" ca="1" si="20"/>
        <v>0</v>
      </c>
      <c r="AL67" s="126">
        <f t="shared" ca="1" si="21"/>
        <v>0</v>
      </c>
      <c r="AM67" s="126">
        <f t="shared" ca="1" si="36"/>
        <v>0</v>
      </c>
      <c r="AN67" s="753">
        <f t="shared" ca="1" si="37"/>
        <v>0</v>
      </c>
      <c r="AO67" s="750">
        <f t="shared" ca="1" si="22"/>
        <v>0</v>
      </c>
      <c r="AP67" s="126">
        <f t="shared" ca="1" si="23"/>
        <v>0</v>
      </c>
      <c r="AQ67" s="126">
        <f t="shared" ca="1" si="24"/>
        <v>0</v>
      </c>
      <c r="AR67" s="126">
        <f t="shared" ca="1" si="5"/>
        <v>10000</v>
      </c>
      <c r="AS67" s="750">
        <f t="shared" ca="1" si="6"/>
        <v>0</v>
      </c>
      <c r="AT67" s="750">
        <f t="shared" ca="1" si="7"/>
        <v>0</v>
      </c>
      <c r="AU67" s="126">
        <f t="shared" ca="1" si="25"/>
        <v>1040.1000344596857</v>
      </c>
      <c r="AV67" s="126">
        <f t="shared" ca="1" si="26"/>
        <v>1040.1000344596857</v>
      </c>
      <c r="AW67" s="126">
        <f t="shared" ca="1" si="8"/>
        <v>10000</v>
      </c>
      <c r="AX67" s="750">
        <f t="shared" ca="1" si="27"/>
        <v>1040.1000344596857</v>
      </c>
      <c r="AY67" s="750">
        <f t="shared" ca="1" si="28"/>
        <v>0</v>
      </c>
      <c r="AZ67">
        <f t="shared" si="29"/>
        <v>5750</v>
      </c>
    </row>
    <row r="68" spans="4:52">
      <c r="D68">
        <v>61</v>
      </c>
      <c r="E68" s="6">
        <f t="shared" ca="1" si="30"/>
        <v>50922</v>
      </c>
      <c r="F68" s="7">
        <f t="shared" ca="1" si="9"/>
        <v>1.5216182611770761</v>
      </c>
      <c r="G68" s="125">
        <f ca="1">IF('Simulador - 1º Pilar'!$E$99="Sí",IF('Aportaciones PPE'!$B$13&lt;'Aportaciones PPE'!E68,0,F68*$B$8/12),F68*$B$8/12)</f>
        <v>26628.319570598833</v>
      </c>
      <c r="H68" s="125">
        <f t="shared" ca="1" si="10"/>
        <v>1331.4159785299416</v>
      </c>
      <c r="I68" s="125">
        <f t="shared" ca="1" si="11"/>
        <v>0</v>
      </c>
      <c r="J68" s="125">
        <f t="shared" ca="1" si="12"/>
        <v>0</v>
      </c>
      <c r="K68" s="125">
        <f t="shared" ca="1" si="38"/>
        <v>1472.4186323258614</v>
      </c>
      <c r="L68" s="125">
        <f t="shared" ca="1" si="31"/>
        <v>0</v>
      </c>
      <c r="M68" s="125">
        <f t="shared" ca="1" si="13"/>
        <v>0</v>
      </c>
      <c r="N68" s="125">
        <f t="shared" ca="1" si="14"/>
        <v>1472.4186323258614</v>
      </c>
      <c r="R68">
        <f t="shared" si="32"/>
        <v>61</v>
      </c>
      <c r="U68" s="55"/>
      <c r="V68">
        <f t="shared" si="33"/>
        <v>2</v>
      </c>
      <c r="W68">
        <f t="shared" ca="1" si="34"/>
        <v>2029</v>
      </c>
      <c r="X68" s="123">
        <f t="shared" ca="1" si="15"/>
        <v>47150</v>
      </c>
      <c r="Y68" s="64">
        <f t="shared" ca="1" si="35"/>
        <v>1040.1000344596857</v>
      </c>
      <c r="Z68" s="64">
        <f t="shared" ca="1" si="16"/>
        <v>0</v>
      </c>
      <c r="AA68" s="64">
        <f t="shared" ca="1" si="17"/>
        <v>1413.6613921395269</v>
      </c>
      <c r="AB68" s="64">
        <f t="shared" ca="1" si="18"/>
        <v>0</v>
      </c>
      <c r="AF68" t="str">
        <f t="shared" ca="1" si="1"/>
        <v>62039</v>
      </c>
      <c r="AG68" s="126">
        <f t="shared" ca="1" si="2"/>
        <v>0</v>
      </c>
      <c r="AH68" s="126">
        <f t="shared" ca="1" si="3"/>
        <v>0</v>
      </c>
      <c r="AI68" s="126">
        <f t="shared" ca="1" si="19"/>
        <v>1331.4159785299416</v>
      </c>
      <c r="AJ68" t="str">
        <f t="shared" ca="1" si="4"/>
        <v>22029</v>
      </c>
      <c r="AK68" s="126">
        <f t="shared" ca="1" si="20"/>
        <v>0</v>
      </c>
      <c r="AL68" s="126">
        <f t="shared" ca="1" si="21"/>
        <v>0</v>
      </c>
      <c r="AM68" s="126">
        <f t="shared" ca="1" si="36"/>
        <v>0</v>
      </c>
      <c r="AN68" s="753">
        <f t="shared" ca="1" si="37"/>
        <v>0</v>
      </c>
      <c r="AO68" s="750">
        <f t="shared" ca="1" si="22"/>
        <v>0</v>
      </c>
      <c r="AP68" s="126">
        <f t="shared" ca="1" si="23"/>
        <v>0</v>
      </c>
      <c r="AQ68" s="126">
        <f t="shared" ca="1" si="24"/>
        <v>0</v>
      </c>
      <c r="AR68" s="126">
        <f t="shared" ca="1" si="5"/>
        <v>10000</v>
      </c>
      <c r="AS68" s="750">
        <f t="shared" ca="1" si="6"/>
        <v>0</v>
      </c>
      <c r="AT68" s="750">
        <f t="shared" ca="1" si="7"/>
        <v>0</v>
      </c>
      <c r="AU68" s="126">
        <f t="shared" ca="1" si="25"/>
        <v>1040.1000344596857</v>
      </c>
      <c r="AV68" s="126">
        <f t="shared" ca="1" si="26"/>
        <v>2080.2000689193715</v>
      </c>
      <c r="AW68" s="126">
        <f t="shared" ca="1" si="8"/>
        <v>10000</v>
      </c>
      <c r="AX68" s="750">
        <f t="shared" ca="1" si="27"/>
        <v>1040.1000344596857</v>
      </c>
      <c r="AY68" s="750">
        <f t="shared" ca="1" si="28"/>
        <v>0</v>
      </c>
      <c r="AZ68">
        <f t="shared" si="29"/>
        <v>5750</v>
      </c>
    </row>
    <row r="69" spans="4:52">
      <c r="D69">
        <v>62</v>
      </c>
      <c r="E69" s="6">
        <f t="shared" ca="1" si="30"/>
        <v>50891</v>
      </c>
      <c r="F69" s="7">
        <f t="shared" ca="1" si="9"/>
        <v>1.5216182611770761</v>
      </c>
      <c r="G69" s="125">
        <f ca="1">IF('Simulador - 1º Pilar'!$E$99="Sí",IF('Aportaciones PPE'!$B$13&lt;'Aportaciones PPE'!E69,0,F69*$B$8/12),F69*$B$8/12)</f>
        <v>26628.319570598833</v>
      </c>
      <c r="H69" s="125">
        <f t="shared" ca="1" si="10"/>
        <v>1331.4159785299416</v>
      </c>
      <c r="I69" s="125">
        <f t="shared" ca="1" si="11"/>
        <v>0</v>
      </c>
      <c r="J69" s="125">
        <f t="shared" ca="1" si="12"/>
        <v>0</v>
      </c>
      <c r="K69" s="125">
        <f t="shared" ca="1" si="38"/>
        <v>1474.8504514076096</v>
      </c>
      <c r="L69" s="125">
        <f t="shared" ca="1" si="31"/>
        <v>0</v>
      </c>
      <c r="M69" s="125">
        <f t="shared" ca="1" si="13"/>
        <v>0</v>
      </c>
      <c r="N69" s="125">
        <f t="shared" ca="1" si="14"/>
        <v>1474.8504514076096</v>
      </c>
      <c r="R69">
        <f t="shared" si="32"/>
        <v>62</v>
      </c>
      <c r="U69" s="55"/>
      <c r="V69">
        <f t="shared" si="33"/>
        <v>3</v>
      </c>
      <c r="W69">
        <f t="shared" ca="1" si="34"/>
        <v>2029</v>
      </c>
      <c r="X69" s="123">
        <f t="shared" ca="1" si="15"/>
        <v>47178</v>
      </c>
      <c r="Y69" s="64">
        <f t="shared" ca="1" si="35"/>
        <v>1040.1000344596857</v>
      </c>
      <c r="Z69" s="64">
        <f t="shared" ca="1" si="16"/>
        <v>0</v>
      </c>
      <c r="AA69" s="64">
        <f t="shared" ca="1" si="17"/>
        <v>1411.516989092338</v>
      </c>
      <c r="AB69" s="64">
        <f t="shared" ca="1" si="18"/>
        <v>0</v>
      </c>
      <c r="AF69" t="str">
        <f t="shared" ca="1" si="1"/>
        <v>52039</v>
      </c>
      <c r="AG69" s="126">
        <f t="shared" ca="1" si="2"/>
        <v>0</v>
      </c>
      <c r="AH69" s="126">
        <f t="shared" ca="1" si="3"/>
        <v>0</v>
      </c>
      <c r="AI69" s="126">
        <f t="shared" ca="1" si="19"/>
        <v>1331.4159785299416</v>
      </c>
      <c r="AJ69" t="str">
        <f t="shared" ca="1" si="4"/>
        <v>32029</v>
      </c>
      <c r="AK69" s="126">
        <f t="shared" ca="1" si="20"/>
        <v>0</v>
      </c>
      <c r="AL69" s="126">
        <f t="shared" ca="1" si="21"/>
        <v>0</v>
      </c>
      <c r="AM69" s="126">
        <f t="shared" ca="1" si="36"/>
        <v>0</v>
      </c>
      <c r="AN69" s="753">
        <f t="shared" ca="1" si="37"/>
        <v>0</v>
      </c>
      <c r="AO69" s="750">
        <f t="shared" ca="1" si="22"/>
        <v>0</v>
      </c>
      <c r="AP69" s="126">
        <f t="shared" ca="1" si="23"/>
        <v>0</v>
      </c>
      <c r="AQ69" s="126">
        <f t="shared" ca="1" si="24"/>
        <v>0</v>
      </c>
      <c r="AR69" s="126">
        <f t="shared" ca="1" si="5"/>
        <v>10000</v>
      </c>
      <c r="AS69" s="750">
        <f t="shared" ca="1" si="6"/>
        <v>0</v>
      </c>
      <c r="AT69" s="750">
        <f t="shared" ca="1" si="7"/>
        <v>0</v>
      </c>
      <c r="AU69" s="126">
        <f t="shared" ca="1" si="25"/>
        <v>1040.1000344596857</v>
      </c>
      <c r="AV69" s="126">
        <f t="shared" ca="1" si="26"/>
        <v>3120.300103379057</v>
      </c>
      <c r="AW69" s="126">
        <f t="shared" ca="1" si="8"/>
        <v>10000</v>
      </c>
      <c r="AX69" s="750">
        <f t="shared" ca="1" si="27"/>
        <v>1040.1000344596857</v>
      </c>
      <c r="AY69" s="750">
        <f t="shared" ca="1" si="28"/>
        <v>0</v>
      </c>
      <c r="AZ69">
        <f t="shared" si="29"/>
        <v>5750</v>
      </c>
    </row>
    <row r="70" spans="4:52">
      <c r="D70">
        <v>63</v>
      </c>
      <c r="E70" s="6">
        <f t="shared" ca="1" si="30"/>
        <v>50861</v>
      </c>
      <c r="F70" s="7">
        <f t="shared" ca="1" si="9"/>
        <v>1.5216182611770761</v>
      </c>
      <c r="G70" s="125">
        <f ca="1">IF('Simulador - 1º Pilar'!$E$99="Sí",IF('Aportaciones PPE'!$B$13&lt;'Aportaciones PPE'!E70,0,F70*$B$8/12),F70*$B$8/12)</f>
        <v>26628.319570598833</v>
      </c>
      <c r="H70" s="125">
        <f t="shared" ca="1" si="10"/>
        <v>1331.4159785299416</v>
      </c>
      <c r="I70" s="125">
        <f t="shared" ca="1" si="11"/>
        <v>0</v>
      </c>
      <c r="J70" s="125">
        <f t="shared" ca="1" si="12"/>
        <v>0</v>
      </c>
      <c r="K70" s="125">
        <f t="shared" ca="1" si="38"/>
        <v>1477.2862868362829</v>
      </c>
      <c r="L70" s="125">
        <f t="shared" ca="1" si="31"/>
        <v>0</v>
      </c>
      <c r="M70" s="125">
        <f t="shared" ca="1" si="13"/>
        <v>0</v>
      </c>
      <c r="N70" s="125">
        <f t="shared" ca="1" si="14"/>
        <v>1477.2862868362829</v>
      </c>
      <c r="R70">
        <f t="shared" si="32"/>
        <v>63</v>
      </c>
      <c r="U70" s="55"/>
      <c r="V70">
        <f t="shared" si="33"/>
        <v>4</v>
      </c>
      <c r="W70">
        <f t="shared" ca="1" si="34"/>
        <v>2029</v>
      </c>
      <c r="X70" s="123">
        <f t="shared" ca="1" si="15"/>
        <v>47209</v>
      </c>
      <c r="Y70" s="64">
        <f t="shared" ca="1" si="35"/>
        <v>1040.1000344596857</v>
      </c>
      <c r="Z70" s="64">
        <f t="shared" ca="1" si="16"/>
        <v>0</v>
      </c>
      <c r="AA70" s="64">
        <f t="shared" ca="1" si="17"/>
        <v>1409.1466227000171</v>
      </c>
      <c r="AB70" s="64">
        <f t="shared" ca="1" si="18"/>
        <v>0</v>
      </c>
      <c r="AF70" t="str">
        <f t="shared" ca="1" si="1"/>
        <v>42039</v>
      </c>
      <c r="AG70" s="126">
        <f t="shared" ca="1" si="2"/>
        <v>0</v>
      </c>
      <c r="AH70" s="126">
        <f t="shared" ca="1" si="3"/>
        <v>0</v>
      </c>
      <c r="AI70" s="126">
        <f t="shared" ca="1" si="19"/>
        <v>1331.4159785299416</v>
      </c>
      <c r="AJ70" t="str">
        <f t="shared" ca="1" si="4"/>
        <v>42029</v>
      </c>
      <c r="AK70" s="126">
        <f t="shared" ca="1" si="20"/>
        <v>0</v>
      </c>
      <c r="AL70" s="126">
        <f t="shared" ca="1" si="21"/>
        <v>0</v>
      </c>
      <c r="AM70" s="126">
        <f t="shared" ca="1" si="36"/>
        <v>0</v>
      </c>
      <c r="AN70" s="753">
        <f t="shared" ca="1" si="37"/>
        <v>0</v>
      </c>
      <c r="AO70" s="750">
        <f t="shared" ca="1" si="22"/>
        <v>0</v>
      </c>
      <c r="AP70" s="126">
        <f t="shared" ca="1" si="23"/>
        <v>0</v>
      </c>
      <c r="AQ70" s="126">
        <f t="shared" ca="1" si="24"/>
        <v>0</v>
      </c>
      <c r="AR70" s="126">
        <f t="shared" ca="1" si="5"/>
        <v>10000</v>
      </c>
      <c r="AS70" s="750">
        <f t="shared" ca="1" si="6"/>
        <v>0</v>
      </c>
      <c r="AT70" s="750">
        <f t="shared" ca="1" si="7"/>
        <v>0</v>
      </c>
      <c r="AU70" s="126">
        <f t="shared" ca="1" si="25"/>
        <v>1040.1000344596857</v>
      </c>
      <c r="AV70" s="126">
        <f t="shared" ca="1" si="26"/>
        <v>4160.4001378387429</v>
      </c>
      <c r="AW70" s="126">
        <f t="shared" ca="1" si="8"/>
        <v>10000</v>
      </c>
      <c r="AX70" s="750">
        <f t="shared" ca="1" si="27"/>
        <v>1040.1000344596857</v>
      </c>
      <c r="AY70" s="750">
        <f t="shared" ca="1" si="28"/>
        <v>0</v>
      </c>
      <c r="AZ70">
        <f t="shared" si="29"/>
        <v>5750</v>
      </c>
    </row>
    <row r="71" spans="4:52">
      <c r="D71">
        <v>64</v>
      </c>
      <c r="E71" s="6">
        <f t="shared" ca="1" si="30"/>
        <v>50830</v>
      </c>
      <c r="F71" s="7">
        <f t="shared" ca="1" si="9"/>
        <v>1.5216182611770761</v>
      </c>
      <c r="G71" s="125">
        <f ca="1">IF('Simulador - 1º Pilar'!$E$99="Sí",IF('Aportaciones PPE'!$B$13&lt;'Aportaciones PPE'!E71,0,F71*$B$8/12),F71*$B$8/12)</f>
        <v>26628.319570598833</v>
      </c>
      <c r="H71" s="125">
        <f t="shared" ref="H71:H134" ca="1" si="39">$H$5*G71</f>
        <v>1331.4159785299416</v>
      </c>
      <c r="I71" s="125">
        <f t="shared" ca="1" si="11"/>
        <v>0</v>
      </c>
      <c r="J71" s="125">
        <f t="shared" ca="1" si="12"/>
        <v>0</v>
      </c>
      <c r="K71" s="125">
        <f t="shared" ca="1" si="38"/>
        <v>1479.7261452452049</v>
      </c>
      <c r="L71" s="125">
        <f t="shared" ca="1" si="31"/>
        <v>0</v>
      </c>
      <c r="M71" s="125">
        <f t="shared" ca="1" si="13"/>
        <v>0</v>
      </c>
      <c r="N71" s="125">
        <f t="shared" ca="1" si="14"/>
        <v>1479.7261452452049</v>
      </c>
      <c r="R71">
        <f t="shared" si="32"/>
        <v>64</v>
      </c>
      <c r="U71" s="55"/>
      <c r="V71">
        <f t="shared" si="33"/>
        <v>5</v>
      </c>
      <c r="W71">
        <f t="shared" ca="1" si="34"/>
        <v>2029</v>
      </c>
      <c r="X71" s="123">
        <f t="shared" ca="1" si="15"/>
        <v>47239</v>
      </c>
      <c r="Y71" s="64">
        <f t="shared" ca="1" si="35"/>
        <v>1040.1000344596857</v>
      </c>
      <c r="Z71" s="64">
        <f t="shared" ca="1" si="16"/>
        <v>0</v>
      </c>
      <c r="AA71" s="64">
        <f t="shared" ca="1" si="17"/>
        <v>1406.8565098373961</v>
      </c>
      <c r="AB71" s="64">
        <f t="shared" ca="1" si="18"/>
        <v>0</v>
      </c>
      <c r="AF71" t="str">
        <f t="shared" ref="AF71:AF134" ca="1" si="40">+MONTH(E71)&amp;YEAR(E71)</f>
        <v>32039</v>
      </c>
      <c r="AG71" s="126">
        <f t="shared" ref="AG71:AG134" ca="1" si="41">+I71</f>
        <v>0</v>
      </c>
      <c r="AH71" s="126">
        <f t="shared" ref="AH71:AH134" ca="1" si="42">+J71</f>
        <v>0</v>
      </c>
      <c r="AI71" s="126">
        <f t="shared" ref="AI71:AI134" ca="1" si="43">+H71</f>
        <v>1331.4159785299416</v>
      </c>
      <c r="AJ71" t="str">
        <f t="shared" ref="AJ71:AJ134" ca="1" si="44">+V71&amp;W71</f>
        <v>52029</v>
      </c>
      <c r="AK71" s="126">
        <f t="shared" ca="1" si="20"/>
        <v>0</v>
      </c>
      <c r="AL71" s="126">
        <f t="shared" ca="1" si="21"/>
        <v>0</v>
      </c>
      <c r="AM71" s="126">
        <f t="shared" ca="1" si="36"/>
        <v>0</v>
      </c>
      <c r="AN71" s="753">
        <f t="shared" ca="1" si="37"/>
        <v>0</v>
      </c>
      <c r="AO71" s="750">
        <f t="shared" ca="1" si="22"/>
        <v>0</v>
      </c>
      <c r="AP71" s="126">
        <f t="shared" ca="1" si="23"/>
        <v>0</v>
      </c>
      <c r="AQ71" s="126">
        <f t="shared" ca="1" si="24"/>
        <v>0</v>
      </c>
      <c r="AR71" s="126">
        <f t="shared" ref="AR71:AR134" ca="1" si="45">+MAX($AM$2-SUMIF($W$7:$W$1066,W71,$AN$7:$AN$1066),0)</f>
        <v>10000</v>
      </c>
      <c r="AS71" s="750">
        <f t="shared" ref="AS71:AS134" ca="1" si="46">+MAX(IF(AQ71&gt;AR71,AR71-AQ70,AP71),0)</f>
        <v>0</v>
      </c>
      <c r="AT71" s="750">
        <f t="shared" ref="AT71:AT134" ca="1" si="47">+AP71-AS71</f>
        <v>0</v>
      </c>
      <c r="AU71" s="126">
        <f t="shared" ca="1" si="25"/>
        <v>1040.1000344596857</v>
      </c>
      <c r="AV71" s="126">
        <f t="shared" ca="1" si="26"/>
        <v>5200.5001722984289</v>
      </c>
      <c r="AW71" s="126">
        <f t="shared" ref="AW71:AW134" ca="1" si="48">+MAX($AM$2-SUMIF($W$7:$W$1066,W71,$AN$7:$AN$1066)-SUMIF($W$7:$W$1066,W71,$AS$7:$AS$1066),0)</f>
        <v>10000</v>
      </c>
      <c r="AX71" s="750">
        <f t="shared" ca="1" si="27"/>
        <v>1040.1000344596857</v>
      </c>
      <c r="AY71" s="750">
        <f t="shared" ca="1" si="28"/>
        <v>0</v>
      </c>
      <c r="AZ71">
        <f t="shared" si="29"/>
        <v>5750</v>
      </c>
    </row>
    <row r="72" spans="4:52">
      <c r="D72">
        <v>65</v>
      </c>
      <c r="E72" s="6">
        <f t="shared" ca="1" si="30"/>
        <v>50802</v>
      </c>
      <c r="F72" s="7">
        <f t="shared" ref="F72:F135" ca="1" si="49">IF(DATE(YEAR($B$6),MONTH($B$6)+1,DAY(1))=E72,1,IF(MONTH(E72)=1,F73*(1+$F$5),F73))</f>
        <v>1.5216182611770761</v>
      </c>
      <c r="G72" s="125">
        <f ca="1">IF('Simulador - 1º Pilar'!$E$99="Sí",IF('Aportaciones PPE'!$B$13&lt;'Aportaciones PPE'!E72,0,F72*$B$8/12),F72*$B$8/12)</f>
        <v>26628.319570598833</v>
      </c>
      <c r="H72" s="125">
        <f t="shared" ca="1" si="39"/>
        <v>1331.4159785299416</v>
      </c>
      <c r="I72" s="125">
        <f t="shared" ref="I72:I135" ca="1" si="50">$I$5*G72</f>
        <v>0</v>
      </c>
      <c r="J72" s="125">
        <f t="shared" ref="J72:J135" ca="1" si="51">+I72</f>
        <v>0</v>
      </c>
      <c r="K72" s="125">
        <f t="shared" ref="K72:K135" ca="1" si="52">(1+$O$5)^(D72/12)*(H72+IF(AND(F72=1,F73=0),$S$4,0))</f>
        <v>1482.1700332786543</v>
      </c>
      <c r="L72" s="125">
        <f t="shared" ca="1" si="31"/>
        <v>0</v>
      </c>
      <c r="M72" s="125">
        <f t="shared" ref="M72:M135" ca="1" si="53">+L72</f>
        <v>0</v>
      </c>
      <c r="N72" s="125">
        <f t="shared" ref="N72:N135" ca="1" si="54">L72+K72+M72</f>
        <v>1482.1700332786543</v>
      </c>
      <c r="R72">
        <f t="shared" si="32"/>
        <v>65</v>
      </c>
      <c r="U72" s="55"/>
      <c r="V72">
        <f t="shared" si="33"/>
        <v>6</v>
      </c>
      <c r="W72">
        <f t="shared" ca="1" si="34"/>
        <v>2029</v>
      </c>
      <c r="X72" s="123">
        <f t="shared" ref="X72:X135" ca="1" si="55">+DATE(W72,V72,1)</f>
        <v>47270</v>
      </c>
      <c r="Y72" s="64">
        <f t="shared" ref="Y72:Y135" ca="1" si="56">+_xlfn.IFNA(AN72+AS72+AX72,0)</f>
        <v>1040.1000344596857</v>
      </c>
      <c r="Z72" s="64">
        <f t="shared" ref="Z72:Z135" ca="1" si="57">+_xlfn.IFNA(AO72+AT72+AY72,0)</f>
        <v>0</v>
      </c>
      <c r="AA72" s="64">
        <f t="shared" ref="AA72:AA135" ca="1" si="58">Y72*(1+$O$5)^(($B$7-X72)/365.25)</f>
        <v>1404.4939698074095</v>
      </c>
      <c r="AB72" s="64">
        <f t="shared" ref="AB72:AB135" ca="1" si="59">Z72*(1+$O$5)^(($B$7-X72)/365.25)</f>
        <v>0</v>
      </c>
      <c r="AF72" t="str">
        <f t="shared" ca="1" si="40"/>
        <v>22039</v>
      </c>
      <c r="AG72" s="126">
        <f t="shared" ca="1" si="41"/>
        <v>0</v>
      </c>
      <c r="AH72" s="126">
        <f t="shared" ca="1" si="42"/>
        <v>0</v>
      </c>
      <c r="AI72" s="126">
        <f t="shared" ca="1" si="43"/>
        <v>1331.4159785299416</v>
      </c>
      <c r="AJ72" t="str">
        <f t="shared" ca="1" si="44"/>
        <v>62029</v>
      </c>
      <c r="AK72" s="126">
        <f t="shared" ref="AK72:AK135" ca="1" si="60">+_xlfn.IFNA(VLOOKUP(AJ72,$AF$7:$AG$1066,2,0),0)</f>
        <v>0</v>
      </c>
      <c r="AL72" s="126">
        <f t="shared" ref="AL72:AL135" ca="1" si="61">+IF(W72&gt;W71,AK72,AL71+AK72)</f>
        <v>0</v>
      </c>
      <c r="AM72" s="126">
        <f t="shared" ca="1" si="36"/>
        <v>0</v>
      </c>
      <c r="AN72" s="753">
        <f t="shared" ca="1" si="37"/>
        <v>0</v>
      </c>
      <c r="AO72" s="750">
        <f t="shared" ref="AO72:AO135" ca="1" si="62">+AK72-AN72</f>
        <v>0</v>
      </c>
      <c r="AP72" s="126">
        <f t="shared" ref="AP72:AP135" ca="1" si="63">+_xlfn.IFNA(VLOOKUP(AJ72,$AF$7:$AI$1066,3,0),0)</f>
        <v>0</v>
      </c>
      <c r="AQ72" s="126">
        <f t="shared" ref="AQ72:AQ135" ca="1" si="64">+IF(W72&gt;W71,AP72,AQ71+AP72)</f>
        <v>0</v>
      </c>
      <c r="AR72" s="126">
        <f t="shared" ca="1" si="45"/>
        <v>10000</v>
      </c>
      <c r="AS72" s="750">
        <f t="shared" ca="1" si="46"/>
        <v>0</v>
      </c>
      <c r="AT72" s="750">
        <f t="shared" ca="1" si="47"/>
        <v>0</v>
      </c>
      <c r="AU72" s="126">
        <f t="shared" ref="AU72:AU135" ca="1" si="65">+_xlfn.IFNA(VLOOKUP(AJ72,$AF$7:$AI$1066,4,0),0)</f>
        <v>1040.1000344596857</v>
      </c>
      <c r="AV72" s="126">
        <f t="shared" ref="AV72:AV135" ca="1" si="66">+IF(W72&gt;W71,AU72,AV71+AU72)</f>
        <v>6240.6002067581148</v>
      </c>
      <c r="AW72" s="126">
        <f t="shared" ca="1" si="48"/>
        <v>10000</v>
      </c>
      <c r="AX72" s="750">
        <f t="shared" ref="AX72:AX135" ca="1" si="67">+MAX(IF(AV72&gt;AW72,AW72-AV71,AU72),0)</f>
        <v>1040.1000344596857</v>
      </c>
      <c r="AY72" s="750">
        <f t="shared" ref="AY72:AY135" ca="1" si="68">+AU72-AX72</f>
        <v>0</v>
      </c>
      <c r="AZ72">
        <f t="shared" ref="AZ72:AZ135" si="69">+$AM$1+IF($AP$1&gt;$AP$2,$AM$3/2)</f>
        <v>5750</v>
      </c>
    </row>
    <row r="73" spans="4:52">
      <c r="D73">
        <v>66</v>
      </c>
      <c r="E73" s="6">
        <f t="shared" ref="E73:E136" ca="1" si="70">+DATE(YEAR(E72),MONTH(E72)-1,DAY(E72))</f>
        <v>50771</v>
      </c>
      <c r="F73" s="7">
        <f t="shared" ca="1" si="49"/>
        <v>1.5216182611770761</v>
      </c>
      <c r="G73" s="125">
        <f ca="1">IF('Simulador - 1º Pilar'!$E$99="Sí",IF('Aportaciones PPE'!$B$13&lt;'Aportaciones PPE'!E73,0,F73*$B$8/12),F73*$B$8/12)</f>
        <v>26628.319570598833</v>
      </c>
      <c r="H73" s="125">
        <f t="shared" ca="1" si="39"/>
        <v>1331.4159785299416</v>
      </c>
      <c r="I73" s="125">
        <f t="shared" ca="1" si="50"/>
        <v>0</v>
      </c>
      <c r="J73" s="125">
        <f t="shared" ca="1" si="51"/>
        <v>0</v>
      </c>
      <c r="K73" s="125">
        <f t="shared" ca="1" si="52"/>
        <v>1484.6179575918836</v>
      </c>
      <c r="L73" s="125">
        <f t="shared" ref="L73:L136" ca="1" si="71">(1+$O$5)^(D73/12)*(I73+IF(AND(F73=1,F74=0),0))</f>
        <v>0</v>
      </c>
      <c r="M73" s="125">
        <f t="shared" ca="1" si="53"/>
        <v>0</v>
      </c>
      <c r="N73" s="125">
        <f t="shared" ca="1" si="54"/>
        <v>1484.6179575918836</v>
      </c>
      <c r="R73">
        <f t="shared" ref="R73:R136" si="72">D73</f>
        <v>66</v>
      </c>
      <c r="U73" s="55"/>
      <c r="V73">
        <f t="shared" ref="V73:V136" si="73">+IF(V72=11,12,IF(V72=12,1,V72+1))</f>
        <v>7</v>
      </c>
      <c r="W73">
        <f t="shared" ref="W73:W136" ca="1" si="74">+W72+IF(V72=12,1,0)</f>
        <v>2029</v>
      </c>
      <c r="X73" s="123">
        <f t="shared" ca="1" si="55"/>
        <v>47300</v>
      </c>
      <c r="Y73" s="64">
        <f t="shared" ca="1" si="56"/>
        <v>1040.1000344596857</v>
      </c>
      <c r="Z73" s="64">
        <f t="shared" ca="1" si="57"/>
        <v>0</v>
      </c>
      <c r="AA73" s="64">
        <f t="shared" ca="1" si="58"/>
        <v>1402.2114183298586</v>
      </c>
      <c r="AB73" s="64">
        <f t="shared" ca="1" si="59"/>
        <v>0</v>
      </c>
      <c r="AF73" t="str">
        <f t="shared" ca="1" si="40"/>
        <v>12039</v>
      </c>
      <c r="AG73" s="126">
        <f t="shared" ca="1" si="41"/>
        <v>0</v>
      </c>
      <c r="AH73" s="126">
        <f t="shared" ca="1" si="42"/>
        <v>0</v>
      </c>
      <c r="AI73" s="126">
        <f t="shared" ca="1" si="43"/>
        <v>1331.4159785299416</v>
      </c>
      <c r="AJ73" t="str">
        <f t="shared" ca="1" si="44"/>
        <v>72029</v>
      </c>
      <c r="AK73" s="126">
        <f t="shared" ca="1" si="60"/>
        <v>0</v>
      </c>
      <c r="AL73" s="126">
        <f t="shared" ca="1" si="61"/>
        <v>0</v>
      </c>
      <c r="AM73" s="126">
        <f t="shared" ref="AM73:AM136" ca="1" si="75">IF(W73&gt;W72,IF(AL73&gt;=$AZ$8,$AZ$8,AL73),IF(OR(AM72=$AZ$8,AM72=0),0,IF(AL73&gt;=$AZ$8,$AZ$8,AL73)))</f>
        <v>0</v>
      </c>
      <c r="AN73" s="753">
        <f t="shared" ref="AN73:AN136" ca="1" si="76">+IF(OR(AM73&gt;AZ72,AM73=0),0,IF(AM73=AL73,AK73,$AZ$7-AL72))</f>
        <v>0</v>
      </c>
      <c r="AO73" s="750">
        <f t="shared" ca="1" si="62"/>
        <v>0</v>
      </c>
      <c r="AP73" s="126">
        <f t="shared" ca="1" si="63"/>
        <v>0</v>
      </c>
      <c r="AQ73" s="126">
        <f t="shared" ca="1" si="64"/>
        <v>0</v>
      </c>
      <c r="AR73" s="126">
        <f t="shared" ca="1" si="45"/>
        <v>10000</v>
      </c>
      <c r="AS73" s="750">
        <f t="shared" ca="1" si="46"/>
        <v>0</v>
      </c>
      <c r="AT73" s="750">
        <f t="shared" ca="1" si="47"/>
        <v>0</v>
      </c>
      <c r="AU73" s="126">
        <f t="shared" ca="1" si="65"/>
        <v>1040.1000344596857</v>
      </c>
      <c r="AV73" s="126">
        <f t="shared" ca="1" si="66"/>
        <v>7280.7002412178008</v>
      </c>
      <c r="AW73" s="126">
        <f t="shared" ca="1" si="48"/>
        <v>10000</v>
      </c>
      <c r="AX73" s="750">
        <f t="shared" ca="1" si="67"/>
        <v>1040.1000344596857</v>
      </c>
      <c r="AY73" s="750">
        <f t="shared" ca="1" si="68"/>
        <v>0</v>
      </c>
      <c r="AZ73">
        <f t="shared" si="69"/>
        <v>5750</v>
      </c>
    </row>
    <row r="74" spans="4:52">
      <c r="D74">
        <v>67</v>
      </c>
      <c r="E74" s="6">
        <f t="shared" ca="1" si="70"/>
        <v>50740</v>
      </c>
      <c r="F74" s="7">
        <f t="shared" ca="1" si="49"/>
        <v>1.4845056206605622</v>
      </c>
      <c r="G74" s="125">
        <f ca="1">IF('Simulador - 1º Pilar'!$E$99="Sí",IF('Aportaciones PPE'!$B$13&lt;'Aportaciones PPE'!E74,0,F74*$B$8/12),F74*$B$8/12)</f>
        <v>25978.848361559838</v>
      </c>
      <c r="H74" s="125">
        <f t="shared" ca="1" si="39"/>
        <v>1298.942418077992</v>
      </c>
      <c r="I74" s="125">
        <f t="shared" ca="1" si="50"/>
        <v>0</v>
      </c>
      <c r="J74" s="125">
        <f t="shared" ca="1" si="51"/>
        <v>0</v>
      </c>
      <c r="K74" s="125">
        <f t="shared" ca="1" si="52"/>
        <v>1450.7999266840366</v>
      </c>
      <c r="L74" s="125">
        <f t="shared" ca="1" si="71"/>
        <v>0</v>
      </c>
      <c r="M74" s="125">
        <f t="shared" ca="1" si="53"/>
        <v>0</v>
      </c>
      <c r="N74" s="125">
        <f t="shared" ca="1" si="54"/>
        <v>1450.7999266840366</v>
      </c>
      <c r="R74">
        <f t="shared" si="72"/>
        <v>67</v>
      </c>
      <c r="U74" s="55"/>
      <c r="V74">
        <f t="shared" si="73"/>
        <v>8</v>
      </c>
      <c r="W74">
        <f t="shared" ca="1" si="74"/>
        <v>2029</v>
      </c>
      <c r="X74" s="123">
        <f t="shared" ca="1" si="55"/>
        <v>47331</v>
      </c>
      <c r="Y74" s="64">
        <f t="shared" ca="1" si="56"/>
        <v>1040.1000344596857</v>
      </c>
      <c r="Z74" s="64">
        <f t="shared" ca="1" si="57"/>
        <v>0</v>
      </c>
      <c r="AA74" s="64">
        <f t="shared" ca="1" si="58"/>
        <v>1399.856678821498</v>
      </c>
      <c r="AB74" s="64">
        <f t="shared" ca="1" si="59"/>
        <v>0</v>
      </c>
      <c r="AF74" t="str">
        <f t="shared" ca="1" si="40"/>
        <v>122038</v>
      </c>
      <c r="AG74" s="126">
        <f t="shared" ca="1" si="41"/>
        <v>0</v>
      </c>
      <c r="AH74" s="126">
        <f t="shared" ca="1" si="42"/>
        <v>0</v>
      </c>
      <c r="AI74" s="126">
        <f t="shared" ca="1" si="43"/>
        <v>1298.942418077992</v>
      </c>
      <c r="AJ74" t="str">
        <f t="shared" ca="1" si="44"/>
        <v>82029</v>
      </c>
      <c r="AK74" s="126">
        <f t="shared" ca="1" si="60"/>
        <v>0</v>
      </c>
      <c r="AL74" s="126">
        <f t="shared" ca="1" si="61"/>
        <v>0</v>
      </c>
      <c r="AM74" s="126">
        <f t="shared" ca="1" si="75"/>
        <v>0</v>
      </c>
      <c r="AN74" s="753">
        <f t="shared" ca="1" si="76"/>
        <v>0</v>
      </c>
      <c r="AO74" s="750">
        <f t="shared" ca="1" si="62"/>
        <v>0</v>
      </c>
      <c r="AP74" s="126">
        <f t="shared" ca="1" si="63"/>
        <v>0</v>
      </c>
      <c r="AQ74" s="126">
        <f t="shared" ca="1" si="64"/>
        <v>0</v>
      </c>
      <c r="AR74" s="126">
        <f t="shared" ca="1" si="45"/>
        <v>10000</v>
      </c>
      <c r="AS74" s="750">
        <f t="shared" ca="1" si="46"/>
        <v>0</v>
      </c>
      <c r="AT74" s="750">
        <f t="shared" ca="1" si="47"/>
        <v>0</v>
      </c>
      <c r="AU74" s="126">
        <f t="shared" ca="1" si="65"/>
        <v>1040.1000344596857</v>
      </c>
      <c r="AV74" s="126">
        <f t="shared" ca="1" si="66"/>
        <v>8320.8002756774858</v>
      </c>
      <c r="AW74" s="126">
        <f t="shared" ca="1" si="48"/>
        <v>10000</v>
      </c>
      <c r="AX74" s="750">
        <f t="shared" ca="1" si="67"/>
        <v>1040.1000344596857</v>
      </c>
      <c r="AY74" s="750">
        <f t="shared" ca="1" si="68"/>
        <v>0</v>
      </c>
      <c r="AZ74">
        <f t="shared" si="69"/>
        <v>5750</v>
      </c>
    </row>
    <row r="75" spans="4:52">
      <c r="D75">
        <v>68</v>
      </c>
      <c r="E75" s="6">
        <f t="shared" ca="1" si="70"/>
        <v>50710</v>
      </c>
      <c r="F75" s="7">
        <f t="shared" ca="1" si="49"/>
        <v>1.4845056206605622</v>
      </c>
      <c r="G75" s="125">
        <f ca="1">IF('Simulador - 1º Pilar'!$E$99="Sí",IF('Aportaciones PPE'!$B$13&lt;'Aportaciones PPE'!E75,0,F75*$B$8/12),F75*$B$8/12)</f>
        <v>25978.848361559838</v>
      </c>
      <c r="H75" s="125">
        <f t="shared" ca="1" si="39"/>
        <v>1298.942418077992</v>
      </c>
      <c r="I75" s="125">
        <f t="shared" ca="1" si="50"/>
        <v>0</v>
      </c>
      <c r="J75" s="125">
        <f t="shared" ca="1" si="51"/>
        <v>0</v>
      </c>
      <c r="K75" s="125">
        <f t="shared" ca="1" si="52"/>
        <v>1453.1960407157751</v>
      </c>
      <c r="L75" s="125">
        <f t="shared" ca="1" si="71"/>
        <v>0</v>
      </c>
      <c r="M75" s="125">
        <f t="shared" ca="1" si="53"/>
        <v>0</v>
      </c>
      <c r="N75" s="125">
        <f t="shared" ca="1" si="54"/>
        <v>1453.1960407157751</v>
      </c>
      <c r="R75">
        <f t="shared" si="72"/>
        <v>68</v>
      </c>
      <c r="U75" s="55"/>
      <c r="V75">
        <f t="shared" si="73"/>
        <v>9</v>
      </c>
      <c r="W75">
        <f t="shared" ca="1" si="74"/>
        <v>2029</v>
      </c>
      <c r="X75" s="123">
        <f t="shared" ca="1" si="55"/>
        <v>47362</v>
      </c>
      <c r="Y75" s="64">
        <f t="shared" ca="1" si="56"/>
        <v>1040.1000344596857</v>
      </c>
      <c r="Z75" s="64">
        <f t="shared" ca="1" si="57"/>
        <v>0</v>
      </c>
      <c r="AA75" s="64">
        <f t="shared" ca="1" si="58"/>
        <v>1397.5058936370574</v>
      </c>
      <c r="AB75" s="64">
        <f t="shared" ca="1" si="59"/>
        <v>0</v>
      </c>
      <c r="AF75" t="str">
        <f t="shared" ca="1" si="40"/>
        <v>112038</v>
      </c>
      <c r="AG75" s="126">
        <f t="shared" ca="1" si="41"/>
        <v>0</v>
      </c>
      <c r="AH75" s="126">
        <f t="shared" ca="1" si="42"/>
        <v>0</v>
      </c>
      <c r="AI75" s="126">
        <f t="shared" ca="1" si="43"/>
        <v>1298.942418077992</v>
      </c>
      <c r="AJ75" t="str">
        <f t="shared" ca="1" si="44"/>
        <v>92029</v>
      </c>
      <c r="AK75" s="126">
        <f t="shared" ca="1" si="60"/>
        <v>0</v>
      </c>
      <c r="AL75" s="126">
        <f t="shared" ca="1" si="61"/>
        <v>0</v>
      </c>
      <c r="AM75" s="126">
        <f t="shared" ca="1" si="75"/>
        <v>0</v>
      </c>
      <c r="AN75" s="753">
        <f t="shared" ca="1" si="76"/>
        <v>0</v>
      </c>
      <c r="AO75" s="750">
        <f t="shared" ca="1" si="62"/>
        <v>0</v>
      </c>
      <c r="AP75" s="126">
        <f t="shared" ca="1" si="63"/>
        <v>0</v>
      </c>
      <c r="AQ75" s="126">
        <f t="shared" ca="1" si="64"/>
        <v>0</v>
      </c>
      <c r="AR75" s="126">
        <f t="shared" ca="1" si="45"/>
        <v>10000</v>
      </c>
      <c r="AS75" s="750">
        <f t="shared" ca="1" si="46"/>
        <v>0</v>
      </c>
      <c r="AT75" s="750">
        <f t="shared" ca="1" si="47"/>
        <v>0</v>
      </c>
      <c r="AU75" s="126">
        <f t="shared" ca="1" si="65"/>
        <v>1040.1000344596857</v>
      </c>
      <c r="AV75" s="126">
        <f t="shared" ca="1" si="66"/>
        <v>9360.9003101371709</v>
      </c>
      <c r="AW75" s="126">
        <f t="shared" ca="1" si="48"/>
        <v>10000</v>
      </c>
      <c r="AX75" s="750">
        <f t="shared" ca="1" si="67"/>
        <v>1040.1000344596857</v>
      </c>
      <c r="AY75" s="750">
        <f t="shared" ca="1" si="68"/>
        <v>0</v>
      </c>
      <c r="AZ75">
        <f t="shared" si="69"/>
        <v>5750</v>
      </c>
    </row>
    <row r="76" spans="4:52">
      <c r="D76">
        <v>69</v>
      </c>
      <c r="E76" s="6">
        <f t="shared" ca="1" si="70"/>
        <v>50679</v>
      </c>
      <c r="F76" s="7">
        <f t="shared" ca="1" si="49"/>
        <v>1.4845056206605622</v>
      </c>
      <c r="G76" s="125">
        <f ca="1">IF('Simulador - 1º Pilar'!$E$99="Sí",IF('Aportaciones PPE'!$B$13&lt;'Aportaciones PPE'!E76,0,F76*$B$8/12),F76*$B$8/12)</f>
        <v>25978.848361559838</v>
      </c>
      <c r="H76" s="125">
        <f t="shared" ca="1" si="39"/>
        <v>1298.942418077992</v>
      </c>
      <c r="I76" s="125">
        <f t="shared" ca="1" si="50"/>
        <v>0</v>
      </c>
      <c r="J76" s="125">
        <f t="shared" ca="1" si="51"/>
        <v>0</v>
      </c>
      <c r="K76" s="125">
        <f t="shared" ca="1" si="52"/>
        <v>1455.5961121246457</v>
      </c>
      <c r="L76" s="125">
        <f t="shared" ca="1" si="71"/>
        <v>0</v>
      </c>
      <c r="M76" s="125">
        <f t="shared" ca="1" si="53"/>
        <v>0</v>
      </c>
      <c r="N76" s="125">
        <f t="shared" ca="1" si="54"/>
        <v>1455.5961121246457</v>
      </c>
      <c r="R76">
        <f t="shared" si="72"/>
        <v>69</v>
      </c>
      <c r="U76" s="55"/>
      <c r="V76">
        <f t="shared" si="73"/>
        <v>10</v>
      </c>
      <c r="W76">
        <f t="shared" ca="1" si="74"/>
        <v>2029</v>
      </c>
      <c r="X76" s="123">
        <f t="shared" ca="1" si="55"/>
        <v>47392</v>
      </c>
      <c r="Y76" s="64">
        <f t="shared" ca="1" si="56"/>
        <v>639.09968986282911</v>
      </c>
      <c r="Z76" s="64">
        <f t="shared" ca="1" si="57"/>
        <v>401.00034459685662</v>
      </c>
      <c r="AA76" s="64">
        <f t="shared" ca="1" si="58"/>
        <v>857.31567530756422</v>
      </c>
      <c r="AB76" s="64">
        <f t="shared" ca="1" si="59"/>
        <v>537.91902371351</v>
      </c>
      <c r="AF76" t="str">
        <f t="shared" ca="1" si="40"/>
        <v>102038</v>
      </c>
      <c r="AG76" s="126">
        <f t="shared" ca="1" si="41"/>
        <v>0</v>
      </c>
      <c r="AH76" s="126">
        <f t="shared" ca="1" si="42"/>
        <v>0</v>
      </c>
      <c r="AI76" s="126">
        <f t="shared" ca="1" si="43"/>
        <v>1298.942418077992</v>
      </c>
      <c r="AJ76" t="str">
        <f t="shared" ca="1" si="44"/>
        <v>102029</v>
      </c>
      <c r="AK76" s="126">
        <f t="shared" ca="1" si="60"/>
        <v>0</v>
      </c>
      <c r="AL76" s="126">
        <f t="shared" ca="1" si="61"/>
        <v>0</v>
      </c>
      <c r="AM76" s="126">
        <f t="shared" ca="1" si="75"/>
        <v>0</v>
      </c>
      <c r="AN76" s="753">
        <f t="shared" ca="1" si="76"/>
        <v>0</v>
      </c>
      <c r="AO76" s="750">
        <f t="shared" ca="1" si="62"/>
        <v>0</v>
      </c>
      <c r="AP76" s="126">
        <f t="shared" ca="1" si="63"/>
        <v>0</v>
      </c>
      <c r="AQ76" s="126">
        <f t="shared" ca="1" si="64"/>
        <v>0</v>
      </c>
      <c r="AR76" s="126">
        <f t="shared" ca="1" si="45"/>
        <v>10000</v>
      </c>
      <c r="AS76" s="750">
        <f t="shared" ca="1" si="46"/>
        <v>0</v>
      </c>
      <c r="AT76" s="750">
        <f t="shared" ca="1" si="47"/>
        <v>0</v>
      </c>
      <c r="AU76" s="126">
        <f t="shared" ca="1" si="65"/>
        <v>1040.1000344596857</v>
      </c>
      <c r="AV76" s="126">
        <f t="shared" ca="1" si="66"/>
        <v>10401.000344596856</v>
      </c>
      <c r="AW76" s="126">
        <f t="shared" ca="1" si="48"/>
        <v>10000</v>
      </c>
      <c r="AX76" s="750">
        <f t="shared" ca="1" si="67"/>
        <v>639.09968986282911</v>
      </c>
      <c r="AY76" s="750">
        <f t="shared" ca="1" si="68"/>
        <v>401.00034459685662</v>
      </c>
      <c r="AZ76">
        <f t="shared" si="69"/>
        <v>5750</v>
      </c>
    </row>
    <row r="77" spans="4:52">
      <c r="D77">
        <v>70</v>
      </c>
      <c r="E77" s="6">
        <f t="shared" ca="1" si="70"/>
        <v>50649</v>
      </c>
      <c r="F77" s="7">
        <f t="shared" ca="1" si="49"/>
        <v>1.4845056206605622</v>
      </c>
      <c r="G77" s="125">
        <f ca="1">IF('Simulador - 1º Pilar'!$E$99="Sí",IF('Aportaciones PPE'!$B$13&lt;'Aportaciones PPE'!E77,0,F77*$B$8/12),F77*$B$8/12)</f>
        <v>25978.848361559838</v>
      </c>
      <c r="H77" s="125">
        <f t="shared" ca="1" si="39"/>
        <v>1298.942418077992</v>
      </c>
      <c r="I77" s="125">
        <f t="shared" ca="1" si="50"/>
        <v>0</v>
      </c>
      <c r="J77" s="125">
        <f t="shared" ca="1" si="51"/>
        <v>0</v>
      </c>
      <c r="K77" s="125">
        <f t="shared" ca="1" si="52"/>
        <v>1458.0001474465787</v>
      </c>
      <c r="L77" s="125">
        <f t="shared" ca="1" si="71"/>
        <v>0</v>
      </c>
      <c r="M77" s="125">
        <f t="shared" ca="1" si="53"/>
        <v>0</v>
      </c>
      <c r="N77" s="125">
        <f t="shared" ca="1" si="54"/>
        <v>1458.0001474465787</v>
      </c>
      <c r="R77">
        <f t="shared" si="72"/>
        <v>70</v>
      </c>
      <c r="U77" s="55"/>
      <c r="V77">
        <f t="shared" si="73"/>
        <v>11</v>
      </c>
      <c r="W77">
        <f t="shared" ca="1" si="74"/>
        <v>2029</v>
      </c>
      <c r="X77" s="123">
        <f t="shared" ca="1" si="55"/>
        <v>47423</v>
      </c>
      <c r="Y77" s="64">
        <f t="shared" ca="1" si="56"/>
        <v>0</v>
      </c>
      <c r="Z77" s="64">
        <f t="shared" ca="1" si="57"/>
        <v>1040.1000344596857</v>
      </c>
      <c r="AA77" s="64">
        <f t="shared" ca="1" si="58"/>
        <v>0</v>
      </c>
      <c r="AB77" s="64">
        <f t="shared" ca="1" si="59"/>
        <v>1392.8916755466728</v>
      </c>
      <c r="AF77" t="str">
        <f t="shared" ca="1" si="40"/>
        <v>92038</v>
      </c>
      <c r="AG77" s="126">
        <f t="shared" ca="1" si="41"/>
        <v>0</v>
      </c>
      <c r="AH77" s="126">
        <f t="shared" ca="1" si="42"/>
        <v>0</v>
      </c>
      <c r="AI77" s="126">
        <f t="shared" ca="1" si="43"/>
        <v>1298.942418077992</v>
      </c>
      <c r="AJ77" t="str">
        <f t="shared" ca="1" si="44"/>
        <v>112029</v>
      </c>
      <c r="AK77" s="126">
        <f t="shared" ca="1" si="60"/>
        <v>0</v>
      </c>
      <c r="AL77" s="126">
        <f t="shared" ca="1" si="61"/>
        <v>0</v>
      </c>
      <c r="AM77" s="126">
        <f t="shared" ca="1" si="75"/>
        <v>0</v>
      </c>
      <c r="AN77" s="753">
        <f t="shared" ca="1" si="76"/>
        <v>0</v>
      </c>
      <c r="AO77" s="750">
        <f t="shared" ca="1" si="62"/>
        <v>0</v>
      </c>
      <c r="AP77" s="126">
        <f t="shared" ca="1" si="63"/>
        <v>0</v>
      </c>
      <c r="AQ77" s="126">
        <f t="shared" ca="1" si="64"/>
        <v>0</v>
      </c>
      <c r="AR77" s="126">
        <f t="shared" ca="1" si="45"/>
        <v>10000</v>
      </c>
      <c r="AS77" s="750">
        <f t="shared" ca="1" si="46"/>
        <v>0</v>
      </c>
      <c r="AT77" s="750">
        <f t="shared" ca="1" si="47"/>
        <v>0</v>
      </c>
      <c r="AU77" s="126">
        <f t="shared" ca="1" si="65"/>
        <v>1040.1000344596857</v>
      </c>
      <c r="AV77" s="126">
        <f t="shared" ca="1" si="66"/>
        <v>11441.100379056541</v>
      </c>
      <c r="AW77" s="126">
        <f t="shared" ca="1" si="48"/>
        <v>10000</v>
      </c>
      <c r="AX77" s="750">
        <f t="shared" ca="1" si="67"/>
        <v>0</v>
      </c>
      <c r="AY77" s="750">
        <f t="shared" ca="1" si="68"/>
        <v>1040.1000344596857</v>
      </c>
      <c r="AZ77">
        <f t="shared" si="69"/>
        <v>5750</v>
      </c>
    </row>
    <row r="78" spans="4:52" s="745" customFormat="1">
      <c r="D78" s="745">
        <v>71</v>
      </c>
      <c r="E78" s="6">
        <f t="shared" ca="1" si="70"/>
        <v>50618</v>
      </c>
      <c r="F78" s="7">
        <f t="shared" ca="1" si="49"/>
        <v>1.4845056206605622</v>
      </c>
      <c r="G78" s="125">
        <f ca="1">IF('Simulador - 1º Pilar'!$E$99="Sí",IF('Aportaciones PPE'!$B$13&lt;'Aportaciones PPE'!E78,0,F78*$B$8/12),F78*$B$8/12)</f>
        <v>25978.848361559838</v>
      </c>
      <c r="H78" s="125">
        <f t="shared" ca="1" si="39"/>
        <v>1298.942418077992</v>
      </c>
      <c r="I78" s="125">
        <f t="shared" ca="1" si="50"/>
        <v>0</v>
      </c>
      <c r="J78" s="125">
        <f t="shared" ca="1" si="51"/>
        <v>0</v>
      </c>
      <c r="K78" s="125">
        <f t="shared" ca="1" si="52"/>
        <v>1460.408153228298</v>
      </c>
      <c r="L78" s="125">
        <f t="shared" ca="1" si="71"/>
        <v>0</v>
      </c>
      <c r="M78" s="125">
        <f t="shared" ca="1" si="53"/>
        <v>0</v>
      </c>
      <c r="N78" s="125">
        <f t="shared" ca="1" si="54"/>
        <v>1460.408153228298</v>
      </c>
      <c r="R78" s="745">
        <f t="shared" si="72"/>
        <v>71</v>
      </c>
      <c r="U78" s="862"/>
      <c r="V78" s="745">
        <f t="shared" si="73"/>
        <v>12</v>
      </c>
      <c r="W78" s="745">
        <f t="shared" ca="1" si="74"/>
        <v>2029</v>
      </c>
      <c r="X78" s="863">
        <f t="shared" ca="1" si="55"/>
        <v>47453</v>
      </c>
      <c r="Y78" s="64">
        <f t="shared" ca="1" si="56"/>
        <v>0</v>
      </c>
      <c r="Z78" s="64">
        <f t="shared" ca="1" si="57"/>
        <v>1040.1000344596857</v>
      </c>
      <c r="AA78" s="64">
        <f t="shared" ca="1" si="58"/>
        <v>0</v>
      </c>
      <c r="AB78" s="64">
        <f t="shared" ca="1" si="59"/>
        <v>1390.6279798523985</v>
      </c>
      <c r="AF78" s="745" t="str">
        <f t="shared" ca="1" si="40"/>
        <v>82038</v>
      </c>
      <c r="AG78" s="746">
        <f t="shared" ca="1" si="41"/>
        <v>0</v>
      </c>
      <c r="AH78" s="746">
        <f t="shared" ca="1" si="42"/>
        <v>0</v>
      </c>
      <c r="AI78" s="746">
        <f t="shared" ca="1" si="43"/>
        <v>1298.942418077992</v>
      </c>
      <c r="AJ78" s="745" t="str">
        <f t="shared" ca="1" si="44"/>
        <v>122029</v>
      </c>
      <c r="AK78" s="746">
        <f t="shared" ca="1" si="60"/>
        <v>0</v>
      </c>
      <c r="AL78" s="746">
        <f t="shared" ca="1" si="61"/>
        <v>0</v>
      </c>
      <c r="AM78" s="746">
        <f t="shared" ca="1" si="75"/>
        <v>0</v>
      </c>
      <c r="AN78" s="754">
        <f t="shared" ca="1" si="76"/>
        <v>0</v>
      </c>
      <c r="AO78" s="751">
        <f t="shared" ca="1" si="62"/>
        <v>0</v>
      </c>
      <c r="AP78" s="746">
        <f t="shared" ca="1" si="63"/>
        <v>0</v>
      </c>
      <c r="AQ78" s="746">
        <f t="shared" ca="1" si="64"/>
        <v>0</v>
      </c>
      <c r="AR78" s="746">
        <f t="shared" ca="1" si="45"/>
        <v>10000</v>
      </c>
      <c r="AS78" s="751">
        <f t="shared" ca="1" si="46"/>
        <v>0</v>
      </c>
      <c r="AT78" s="751">
        <f t="shared" ca="1" si="47"/>
        <v>0</v>
      </c>
      <c r="AU78" s="746">
        <f t="shared" ca="1" si="65"/>
        <v>1040.1000344596857</v>
      </c>
      <c r="AV78" s="746">
        <f t="shared" ca="1" si="66"/>
        <v>12481.200413516226</v>
      </c>
      <c r="AW78" s="746">
        <f t="shared" ca="1" si="48"/>
        <v>10000</v>
      </c>
      <c r="AX78" s="751">
        <f t="shared" ca="1" si="67"/>
        <v>0</v>
      </c>
      <c r="AY78" s="751">
        <f t="shared" ca="1" si="68"/>
        <v>1040.1000344596857</v>
      </c>
      <c r="AZ78" s="745">
        <f t="shared" si="69"/>
        <v>5750</v>
      </c>
    </row>
    <row r="79" spans="4:52">
      <c r="D79">
        <v>72</v>
      </c>
      <c r="E79" s="858">
        <f t="shared" ca="1" si="70"/>
        <v>50587</v>
      </c>
      <c r="F79" s="859">
        <f t="shared" ca="1" si="49"/>
        <v>1.4845056206605622</v>
      </c>
      <c r="G79" s="860">
        <f ca="1">IF('Simulador - 1º Pilar'!$E$99="Sí",IF('Aportaciones PPE'!$B$13&lt;'Aportaciones PPE'!E79,0,F79*$B$8/12),F79*$B$8/12)</f>
        <v>25978.848361559838</v>
      </c>
      <c r="H79" s="860">
        <f t="shared" ca="1" si="39"/>
        <v>1298.942418077992</v>
      </c>
      <c r="I79" s="860">
        <f t="shared" ca="1" si="50"/>
        <v>0</v>
      </c>
      <c r="J79" s="860">
        <f t="shared" ca="1" si="51"/>
        <v>0</v>
      </c>
      <c r="K79" s="860">
        <f t="shared" ca="1" si="52"/>
        <v>1462.8201360273417</v>
      </c>
      <c r="L79" s="860">
        <f t="shared" ca="1" si="71"/>
        <v>0</v>
      </c>
      <c r="M79" s="860">
        <f t="shared" ca="1" si="53"/>
        <v>0</v>
      </c>
      <c r="N79" s="860">
        <f t="shared" ca="1" si="54"/>
        <v>1462.8201360273417</v>
      </c>
      <c r="R79">
        <f t="shared" si="72"/>
        <v>72</v>
      </c>
      <c r="U79" s="55"/>
      <c r="V79">
        <f t="shared" si="73"/>
        <v>1</v>
      </c>
      <c r="W79">
        <f t="shared" ca="1" si="74"/>
        <v>2030</v>
      </c>
      <c r="X79" s="123">
        <f t="shared" ca="1" si="55"/>
        <v>47484</v>
      </c>
      <c r="Y79" s="861">
        <f t="shared" ca="1" si="56"/>
        <v>1066.1025353211778</v>
      </c>
      <c r="Z79" s="861">
        <f t="shared" ca="1" si="57"/>
        <v>0</v>
      </c>
      <c r="AA79" s="861">
        <f t="shared" ca="1" si="58"/>
        <v>1423.0000097723132</v>
      </c>
      <c r="AB79" s="861">
        <f t="shared" ca="1" si="59"/>
        <v>0</v>
      </c>
      <c r="AF79" t="str">
        <f t="shared" ca="1" si="40"/>
        <v>72038</v>
      </c>
      <c r="AG79" s="126">
        <f t="shared" ca="1" si="41"/>
        <v>0</v>
      </c>
      <c r="AH79" s="126">
        <f t="shared" ca="1" si="42"/>
        <v>0</v>
      </c>
      <c r="AI79" s="126">
        <f t="shared" ca="1" si="43"/>
        <v>1298.942418077992</v>
      </c>
      <c r="AJ79" t="str">
        <f t="shared" ca="1" si="44"/>
        <v>12030</v>
      </c>
      <c r="AK79" s="126">
        <f t="shared" ca="1" si="60"/>
        <v>0</v>
      </c>
      <c r="AL79" s="126">
        <f t="shared" ca="1" si="61"/>
        <v>0</v>
      </c>
      <c r="AM79" s="126">
        <f t="shared" ca="1" si="75"/>
        <v>0</v>
      </c>
      <c r="AN79" s="753">
        <f t="shared" ca="1" si="76"/>
        <v>0</v>
      </c>
      <c r="AO79" s="750">
        <f t="shared" ca="1" si="62"/>
        <v>0</v>
      </c>
      <c r="AP79" s="126">
        <f t="shared" ca="1" si="63"/>
        <v>0</v>
      </c>
      <c r="AQ79" s="126">
        <f t="shared" ca="1" si="64"/>
        <v>0</v>
      </c>
      <c r="AR79" s="126">
        <f t="shared" ca="1" si="45"/>
        <v>10000</v>
      </c>
      <c r="AS79" s="750">
        <f t="shared" ca="1" si="46"/>
        <v>0</v>
      </c>
      <c r="AT79" s="750">
        <f t="shared" ca="1" si="47"/>
        <v>0</v>
      </c>
      <c r="AU79" s="126">
        <f t="shared" ca="1" si="65"/>
        <v>1066.1025353211778</v>
      </c>
      <c r="AV79" s="126">
        <f t="shared" ca="1" si="66"/>
        <v>1066.1025353211778</v>
      </c>
      <c r="AW79" s="126">
        <f t="shared" ca="1" si="48"/>
        <v>10000</v>
      </c>
      <c r="AX79" s="750">
        <f t="shared" ca="1" si="67"/>
        <v>1066.1025353211778</v>
      </c>
      <c r="AY79" s="750">
        <f t="shared" ca="1" si="68"/>
        <v>0</v>
      </c>
      <c r="AZ79">
        <f t="shared" si="69"/>
        <v>5750</v>
      </c>
    </row>
    <row r="80" spans="4:52">
      <c r="D80">
        <v>73</v>
      </c>
      <c r="E80" s="6">
        <f t="shared" ca="1" si="70"/>
        <v>50557</v>
      </c>
      <c r="F80" s="7">
        <f t="shared" ca="1" si="49"/>
        <v>1.4845056206605622</v>
      </c>
      <c r="G80" s="125">
        <f ca="1">IF('Simulador - 1º Pilar'!$E$99="Sí",IF('Aportaciones PPE'!$B$13&lt;'Aportaciones PPE'!E80,0,F80*$B$8/12),F80*$B$8/12)</f>
        <v>25978.848361559838</v>
      </c>
      <c r="H80" s="125">
        <f t="shared" ca="1" si="39"/>
        <v>1298.942418077992</v>
      </c>
      <c r="I80" s="125">
        <f t="shared" ca="1" si="50"/>
        <v>0</v>
      </c>
      <c r="J80" s="125">
        <f t="shared" ca="1" si="51"/>
        <v>0</v>
      </c>
      <c r="K80" s="125">
        <f t="shared" ca="1" si="52"/>
        <v>1465.2361024120769</v>
      </c>
      <c r="L80" s="125">
        <f t="shared" ca="1" si="71"/>
        <v>0</v>
      </c>
      <c r="M80" s="125">
        <f t="shared" ca="1" si="53"/>
        <v>0</v>
      </c>
      <c r="N80" s="125">
        <f t="shared" ca="1" si="54"/>
        <v>1465.2361024120769</v>
      </c>
      <c r="R80">
        <f t="shared" si="72"/>
        <v>73</v>
      </c>
      <c r="U80" s="55"/>
      <c r="V80">
        <f t="shared" si="73"/>
        <v>2</v>
      </c>
      <c r="W80">
        <f t="shared" ca="1" si="74"/>
        <v>2030</v>
      </c>
      <c r="X80" s="123">
        <f t="shared" ca="1" si="55"/>
        <v>47515</v>
      </c>
      <c r="Y80" s="64">
        <f t="shared" ca="1" si="56"/>
        <v>1066.1025353211778</v>
      </c>
      <c r="Z80" s="64">
        <f t="shared" ca="1" si="57"/>
        <v>0</v>
      </c>
      <c r="AA80" s="64">
        <f t="shared" ca="1" si="58"/>
        <v>1420.6103598952645</v>
      </c>
      <c r="AB80" s="64">
        <f t="shared" ca="1" si="59"/>
        <v>0</v>
      </c>
      <c r="AF80" t="str">
        <f t="shared" ca="1" si="40"/>
        <v>62038</v>
      </c>
      <c r="AG80" s="126">
        <f t="shared" ca="1" si="41"/>
        <v>0</v>
      </c>
      <c r="AH80" s="126">
        <f t="shared" ca="1" si="42"/>
        <v>0</v>
      </c>
      <c r="AI80" s="126">
        <f t="shared" ca="1" si="43"/>
        <v>1298.942418077992</v>
      </c>
      <c r="AJ80" t="str">
        <f t="shared" ca="1" si="44"/>
        <v>22030</v>
      </c>
      <c r="AK80" s="126">
        <f t="shared" ca="1" si="60"/>
        <v>0</v>
      </c>
      <c r="AL80" s="126">
        <f t="shared" ca="1" si="61"/>
        <v>0</v>
      </c>
      <c r="AM80" s="126">
        <f t="shared" ca="1" si="75"/>
        <v>0</v>
      </c>
      <c r="AN80" s="753">
        <f t="shared" ca="1" si="76"/>
        <v>0</v>
      </c>
      <c r="AO80" s="750">
        <f t="shared" ca="1" si="62"/>
        <v>0</v>
      </c>
      <c r="AP80" s="126">
        <f t="shared" ca="1" si="63"/>
        <v>0</v>
      </c>
      <c r="AQ80" s="126">
        <f t="shared" ca="1" si="64"/>
        <v>0</v>
      </c>
      <c r="AR80" s="126">
        <f t="shared" ca="1" si="45"/>
        <v>10000</v>
      </c>
      <c r="AS80" s="750">
        <f t="shared" ca="1" si="46"/>
        <v>0</v>
      </c>
      <c r="AT80" s="750">
        <f t="shared" ca="1" si="47"/>
        <v>0</v>
      </c>
      <c r="AU80" s="126">
        <f t="shared" ca="1" si="65"/>
        <v>1066.1025353211778</v>
      </c>
      <c r="AV80" s="126">
        <f t="shared" ca="1" si="66"/>
        <v>2132.2050706423556</v>
      </c>
      <c r="AW80" s="126">
        <f t="shared" ca="1" si="48"/>
        <v>10000</v>
      </c>
      <c r="AX80" s="750">
        <f t="shared" ca="1" si="67"/>
        <v>1066.1025353211778</v>
      </c>
      <c r="AY80" s="750">
        <f t="shared" ca="1" si="68"/>
        <v>0</v>
      </c>
      <c r="AZ80">
        <f t="shared" si="69"/>
        <v>5750</v>
      </c>
    </row>
    <row r="81" spans="4:52">
      <c r="D81">
        <v>74</v>
      </c>
      <c r="E81" s="6">
        <f t="shared" ca="1" si="70"/>
        <v>50526</v>
      </c>
      <c r="F81" s="7">
        <f t="shared" ca="1" si="49"/>
        <v>1.4845056206605622</v>
      </c>
      <c r="G81" s="125">
        <f ca="1">IF('Simulador - 1º Pilar'!$E$99="Sí",IF('Aportaciones PPE'!$B$13&lt;'Aportaciones PPE'!E81,0,F81*$B$8/12),F81*$B$8/12)</f>
        <v>25978.848361559838</v>
      </c>
      <c r="H81" s="125">
        <f t="shared" ca="1" si="39"/>
        <v>1298.942418077992</v>
      </c>
      <c r="I81" s="125">
        <f t="shared" ca="1" si="50"/>
        <v>0</v>
      </c>
      <c r="J81" s="125">
        <f t="shared" ca="1" si="51"/>
        <v>0</v>
      </c>
      <c r="K81" s="125">
        <f t="shared" ca="1" si="52"/>
        <v>1467.6560589617191</v>
      </c>
      <c r="L81" s="125">
        <f t="shared" ca="1" si="71"/>
        <v>0</v>
      </c>
      <c r="M81" s="125">
        <f t="shared" ca="1" si="53"/>
        <v>0</v>
      </c>
      <c r="N81" s="125">
        <f t="shared" ca="1" si="54"/>
        <v>1467.6560589617191</v>
      </c>
      <c r="R81">
        <f t="shared" si="72"/>
        <v>74</v>
      </c>
      <c r="U81" s="55"/>
      <c r="V81">
        <f t="shared" si="73"/>
        <v>3</v>
      </c>
      <c r="W81">
        <f t="shared" ca="1" si="74"/>
        <v>2030</v>
      </c>
      <c r="X81" s="123">
        <f t="shared" ca="1" si="55"/>
        <v>47543</v>
      </c>
      <c r="Y81" s="64">
        <f t="shared" ca="1" si="56"/>
        <v>1066.1025353211778</v>
      </c>
      <c r="Z81" s="64">
        <f t="shared" ca="1" si="57"/>
        <v>0</v>
      </c>
      <c r="AA81" s="64">
        <f t="shared" ca="1" si="58"/>
        <v>1418.455415860175</v>
      </c>
      <c r="AB81" s="64">
        <f t="shared" ca="1" si="59"/>
        <v>0</v>
      </c>
      <c r="AF81" t="str">
        <f t="shared" ca="1" si="40"/>
        <v>52038</v>
      </c>
      <c r="AG81" s="126">
        <f t="shared" ca="1" si="41"/>
        <v>0</v>
      </c>
      <c r="AH81" s="126">
        <f t="shared" ca="1" si="42"/>
        <v>0</v>
      </c>
      <c r="AI81" s="126">
        <f t="shared" ca="1" si="43"/>
        <v>1298.942418077992</v>
      </c>
      <c r="AJ81" t="str">
        <f t="shared" ca="1" si="44"/>
        <v>32030</v>
      </c>
      <c r="AK81" s="126">
        <f t="shared" ca="1" si="60"/>
        <v>0</v>
      </c>
      <c r="AL81" s="126">
        <f t="shared" ca="1" si="61"/>
        <v>0</v>
      </c>
      <c r="AM81" s="126">
        <f t="shared" ca="1" si="75"/>
        <v>0</v>
      </c>
      <c r="AN81" s="753">
        <f t="shared" ca="1" si="76"/>
        <v>0</v>
      </c>
      <c r="AO81" s="750">
        <f t="shared" ca="1" si="62"/>
        <v>0</v>
      </c>
      <c r="AP81" s="126">
        <f t="shared" ca="1" si="63"/>
        <v>0</v>
      </c>
      <c r="AQ81" s="126">
        <f t="shared" ca="1" si="64"/>
        <v>0</v>
      </c>
      <c r="AR81" s="126">
        <f t="shared" ca="1" si="45"/>
        <v>10000</v>
      </c>
      <c r="AS81" s="750">
        <f t="shared" ca="1" si="46"/>
        <v>0</v>
      </c>
      <c r="AT81" s="750">
        <f t="shared" ca="1" si="47"/>
        <v>0</v>
      </c>
      <c r="AU81" s="126">
        <f t="shared" ca="1" si="65"/>
        <v>1066.1025353211778</v>
      </c>
      <c r="AV81" s="126">
        <f t="shared" ca="1" si="66"/>
        <v>3198.3076059635332</v>
      </c>
      <c r="AW81" s="126">
        <f t="shared" ca="1" si="48"/>
        <v>10000</v>
      </c>
      <c r="AX81" s="750">
        <f t="shared" ca="1" si="67"/>
        <v>1066.1025353211778</v>
      </c>
      <c r="AY81" s="750">
        <f t="shared" ca="1" si="68"/>
        <v>0</v>
      </c>
      <c r="AZ81">
        <f t="shared" si="69"/>
        <v>5750</v>
      </c>
    </row>
    <row r="82" spans="4:52">
      <c r="D82">
        <v>75</v>
      </c>
      <c r="E82" s="6">
        <f t="shared" ca="1" si="70"/>
        <v>50496</v>
      </c>
      <c r="F82" s="7">
        <f t="shared" ca="1" si="49"/>
        <v>1.4845056206605622</v>
      </c>
      <c r="G82" s="125">
        <f ca="1">IF('Simulador - 1º Pilar'!$E$99="Sí",IF('Aportaciones PPE'!$B$13&lt;'Aportaciones PPE'!E82,0,F82*$B$8/12),F82*$B$8/12)</f>
        <v>25978.848361559838</v>
      </c>
      <c r="H82" s="125">
        <f t="shared" ca="1" si="39"/>
        <v>1298.942418077992</v>
      </c>
      <c r="I82" s="125">
        <f t="shared" ca="1" si="50"/>
        <v>0</v>
      </c>
      <c r="J82" s="125">
        <f t="shared" ca="1" si="51"/>
        <v>0</v>
      </c>
      <c r="K82" s="125">
        <f t="shared" ca="1" si="52"/>
        <v>1470.08001226635</v>
      </c>
      <c r="L82" s="125">
        <f t="shared" ca="1" si="71"/>
        <v>0</v>
      </c>
      <c r="M82" s="125">
        <f t="shared" ca="1" si="53"/>
        <v>0</v>
      </c>
      <c r="N82" s="125">
        <f t="shared" ca="1" si="54"/>
        <v>1470.08001226635</v>
      </c>
      <c r="R82">
        <f t="shared" si="72"/>
        <v>75</v>
      </c>
      <c r="U82" s="55"/>
      <c r="V82">
        <f t="shared" si="73"/>
        <v>4</v>
      </c>
      <c r="W82">
        <f t="shared" ca="1" si="74"/>
        <v>2030</v>
      </c>
      <c r="X82" s="123">
        <f t="shared" ca="1" si="55"/>
        <v>47574</v>
      </c>
      <c r="Y82" s="64">
        <f t="shared" ca="1" si="56"/>
        <v>1066.1025353211778</v>
      </c>
      <c r="Z82" s="64">
        <f t="shared" ca="1" si="57"/>
        <v>0</v>
      </c>
      <c r="AA82" s="64">
        <f t="shared" ca="1" si="58"/>
        <v>1416.073397738719</v>
      </c>
      <c r="AB82" s="64">
        <f t="shared" ca="1" si="59"/>
        <v>0</v>
      </c>
      <c r="AF82" t="str">
        <f t="shared" ca="1" si="40"/>
        <v>42038</v>
      </c>
      <c r="AG82" s="126">
        <f t="shared" ca="1" si="41"/>
        <v>0</v>
      </c>
      <c r="AH82" s="126">
        <f t="shared" ca="1" si="42"/>
        <v>0</v>
      </c>
      <c r="AI82" s="126">
        <f t="shared" ca="1" si="43"/>
        <v>1298.942418077992</v>
      </c>
      <c r="AJ82" t="str">
        <f t="shared" ca="1" si="44"/>
        <v>42030</v>
      </c>
      <c r="AK82" s="126">
        <f t="shared" ca="1" si="60"/>
        <v>0</v>
      </c>
      <c r="AL82" s="126">
        <f t="shared" ca="1" si="61"/>
        <v>0</v>
      </c>
      <c r="AM82" s="126">
        <f t="shared" ca="1" si="75"/>
        <v>0</v>
      </c>
      <c r="AN82" s="753">
        <f t="shared" ca="1" si="76"/>
        <v>0</v>
      </c>
      <c r="AO82" s="750">
        <f t="shared" ca="1" si="62"/>
        <v>0</v>
      </c>
      <c r="AP82" s="126">
        <f t="shared" ca="1" si="63"/>
        <v>0</v>
      </c>
      <c r="AQ82" s="126">
        <f t="shared" ca="1" si="64"/>
        <v>0</v>
      </c>
      <c r="AR82" s="126">
        <f t="shared" ca="1" si="45"/>
        <v>10000</v>
      </c>
      <c r="AS82" s="750">
        <f t="shared" ca="1" si="46"/>
        <v>0</v>
      </c>
      <c r="AT82" s="750">
        <f t="shared" ca="1" si="47"/>
        <v>0</v>
      </c>
      <c r="AU82" s="126">
        <f t="shared" ca="1" si="65"/>
        <v>1066.1025353211778</v>
      </c>
      <c r="AV82" s="126">
        <f t="shared" ca="1" si="66"/>
        <v>4264.4101412847112</v>
      </c>
      <c r="AW82" s="126">
        <f t="shared" ca="1" si="48"/>
        <v>10000</v>
      </c>
      <c r="AX82" s="750">
        <f t="shared" ca="1" si="67"/>
        <v>1066.1025353211778</v>
      </c>
      <c r="AY82" s="750">
        <f t="shared" ca="1" si="68"/>
        <v>0</v>
      </c>
      <c r="AZ82">
        <f t="shared" si="69"/>
        <v>5750</v>
      </c>
    </row>
    <row r="83" spans="4:52">
      <c r="D83">
        <v>76</v>
      </c>
      <c r="E83" s="6">
        <f t="shared" ca="1" si="70"/>
        <v>50465</v>
      </c>
      <c r="F83" s="7">
        <f t="shared" ca="1" si="49"/>
        <v>1.4845056206605622</v>
      </c>
      <c r="G83" s="125">
        <f ca="1">IF('Simulador - 1º Pilar'!$E$99="Sí",IF('Aportaciones PPE'!$B$13&lt;'Aportaciones PPE'!E83,0,F83*$B$8/12),F83*$B$8/12)</f>
        <v>25978.848361559838</v>
      </c>
      <c r="H83" s="125">
        <f t="shared" ca="1" si="39"/>
        <v>1298.942418077992</v>
      </c>
      <c r="I83" s="125">
        <f t="shared" ca="1" si="50"/>
        <v>0</v>
      </c>
      <c r="J83" s="125">
        <f t="shared" ca="1" si="51"/>
        <v>0</v>
      </c>
      <c r="K83" s="125">
        <f t="shared" ca="1" si="52"/>
        <v>1472.5079689269357</v>
      </c>
      <c r="L83" s="125">
        <f t="shared" ca="1" si="71"/>
        <v>0</v>
      </c>
      <c r="M83" s="125">
        <f t="shared" ca="1" si="53"/>
        <v>0</v>
      </c>
      <c r="N83" s="125">
        <f t="shared" ca="1" si="54"/>
        <v>1472.5079689269357</v>
      </c>
      <c r="R83">
        <f t="shared" si="72"/>
        <v>76</v>
      </c>
      <c r="U83" s="55"/>
      <c r="V83">
        <f t="shared" si="73"/>
        <v>5</v>
      </c>
      <c r="W83">
        <f t="shared" ca="1" si="74"/>
        <v>2030</v>
      </c>
      <c r="X83" s="123">
        <f t="shared" ca="1" si="55"/>
        <v>47604</v>
      </c>
      <c r="Y83" s="64">
        <f t="shared" ca="1" si="56"/>
        <v>1066.1025353211778</v>
      </c>
      <c r="Z83" s="64">
        <f t="shared" ca="1" si="57"/>
        <v>0</v>
      </c>
      <c r="AA83" s="64">
        <f t="shared" ca="1" si="58"/>
        <v>1413.7720276397274</v>
      </c>
      <c r="AB83" s="64">
        <f t="shared" ca="1" si="59"/>
        <v>0</v>
      </c>
      <c r="AF83" t="str">
        <f t="shared" ca="1" si="40"/>
        <v>32038</v>
      </c>
      <c r="AG83" s="126">
        <f t="shared" ca="1" si="41"/>
        <v>0</v>
      </c>
      <c r="AH83" s="126">
        <f t="shared" ca="1" si="42"/>
        <v>0</v>
      </c>
      <c r="AI83" s="126">
        <f t="shared" ca="1" si="43"/>
        <v>1298.942418077992</v>
      </c>
      <c r="AJ83" t="str">
        <f t="shared" ca="1" si="44"/>
        <v>52030</v>
      </c>
      <c r="AK83" s="126">
        <f t="shared" ca="1" si="60"/>
        <v>0</v>
      </c>
      <c r="AL83" s="126">
        <f t="shared" ca="1" si="61"/>
        <v>0</v>
      </c>
      <c r="AM83" s="126">
        <f t="shared" ca="1" si="75"/>
        <v>0</v>
      </c>
      <c r="AN83" s="753">
        <f t="shared" ca="1" si="76"/>
        <v>0</v>
      </c>
      <c r="AO83" s="750">
        <f t="shared" ca="1" si="62"/>
        <v>0</v>
      </c>
      <c r="AP83" s="126">
        <f t="shared" ca="1" si="63"/>
        <v>0</v>
      </c>
      <c r="AQ83" s="126">
        <f t="shared" ca="1" si="64"/>
        <v>0</v>
      </c>
      <c r="AR83" s="126">
        <f t="shared" ca="1" si="45"/>
        <v>10000</v>
      </c>
      <c r="AS83" s="750">
        <f t="shared" ca="1" si="46"/>
        <v>0</v>
      </c>
      <c r="AT83" s="750">
        <f t="shared" ca="1" si="47"/>
        <v>0</v>
      </c>
      <c r="AU83" s="126">
        <f t="shared" ca="1" si="65"/>
        <v>1066.1025353211778</v>
      </c>
      <c r="AV83" s="126">
        <f t="shared" ca="1" si="66"/>
        <v>5330.5126766058893</v>
      </c>
      <c r="AW83" s="126">
        <f t="shared" ca="1" si="48"/>
        <v>10000</v>
      </c>
      <c r="AX83" s="750">
        <f t="shared" ca="1" si="67"/>
        <v>1066.1025353211778</v>
      </c>
      <c r="AY83" s="750">
        <f t="shared" ca="1" si="68"/>
        <v>0</v>
      </c>
      <c r="AZ83">
        <f t="shared" si="69"/>
        <v>5750</v>
      </c>
    </row>
    <row r="84" spans="4:52">
      <c r="D84">
        <v>77</v>
      </c>
      <c r="E84" s="6">
        <f t="shared" ca="1" si="70"/>
        <v>50437</v>
      </c>
      <c r="F84" s="7">
        <f t="shared" ca="1" si="49"/>
        <v>1.4845056206605622</v>
      </c>
      <c r="G84" s="125">
        <f ca="1">IF('Simulador - 1º Pilar'!$E$99="Sí",IF('Aportaciones PPE'!$B$13&lt;'Aportaciones PPE'!E84,0,F84*$B$8/12),F84*$B$8/12)</f>
        <v>25978.848361559838</v>
      </c>
      <c r="H84" s="125">
        <f t="shared" ca="1" si="39"/>
        <v>1298.942418077992</v>
      </c>
      <c r="I84" s="125">
        <f t="shared" ca="1" si="50"/>
        <v>0</v>
      </c>
      <c r="J84" s="125">
        <f t="shared" ca="1" si="51"/>
        <v>0</v>
      </c>
      <c r="K84" s="125">
        <f t="shared" ca="1" si="52"/>
        <v>1474.9399355553437</v>
      </c>
      <c r="L84" s="125">
        <f t="shared" ca="1" si="71"/>
        <v>0</v>
      </c>
      <c r="M84" s="125">
        <f t="shared" ca="1" si="53"/>
        <v>0</v>
      </c>
      <c r="N84" s="125">
        <f t="shared" ca="1" si="54"/>
        <v>1474.9399355553437</v>
      </c>
      <c r="R84">
        <f t="shared" si="72"/>
        <v>77</v>
      </c>
      <c r="U84" s="55"/>
      <c r="V84">
        <f t="shared" si="73"/>
        <v>6</v>
      </c>
      <c r="W84">
        <f t="shared" ca="1" si="74"/>
        <v>2030</v>
      </c>
      <c r="X84" s="123">
        <f t="shared" ca="1" si="55"/>
        <v>47635</v>
      </c>
      <c r="Y84" s="64">
        <f t="shared" ca="1" si="56"/>
        <v>1066.1025353211778</v>
      </c>
      <c r="Z84" s="64">
        <f t="shared" ca="1" si="57"/>
        <v>0</v>
      </c>
      <c r="AA84" s="64">
        <f t="shared" ca="1" si="58"/>
        <v>1411.3978743517278</v>
      </c>
      <c r="AB84" s="64">
        <f t="shared" ca="1" si="59"/>
        <v>0</v>
      </c>
      <c r="AF84" t="str">
        <f t="shared" ca="1" si="40"/>
        <v>22038</v>
      </c>
      <c r="AG84" s="126">
        <f t="shared" ca="1" si="41"/>
        <v>0</v>
      </c>
      <c r="AH84" s="126">
        <f t="shared" ca="1" si="42"/>
        <v>0</v>
      </c>
      <c r="AI84" s="126">
        <f t="shared" ca="1" si="43"/>
        <v>1298.942418077992</v>
      </c>
      <c r="AJ84" t="str">
        <f t="shared" ca="1" si="44"/>
        <v>62030</v>
      </c>
      <c r="AK84" s="126">
        <f t="shared" ca="1" si="60"/>
        <v>0</v>
      </c>
      <c r="AL84" s="126">
        <f t="shared" ca="1" si="61"/>
        <v>0</v>
      </c>
      <c r="AM84" s="126">
        <f t="shared" ca="1" si="75"/>
        <v>0</v>
      </c>
      <c r="AN84" s="753">
        <f t="shared" ca="1" si="76"/>
        <v>0</v>
      </c>
      <c r="AO84" s="750">
        <f t="shared" ca="1" si="62"/>
        <v>0</v>
      </c>
      <c r="AP84" s="126">
        <f t="shared" ca="1" si="63"/>
        <v>0</v>
      </c>
      <c r="AQ84" s="126">
        <f t="shared" ca="1" si="64"/>
        <v>0</v>
      </c>
      <c r="AR84" s="126">
        <f t="shared" ca="1" si="45"/>
        <v>10000</v>
      </c>
      <c r="AS84" s="750">
        <f t="shared" ca="1" si="46"/>
        <v>0</v>
      </c>
      <c r="AT84" s="750">
        <f t="shared" ca="1" si="47"/>
        <v>0</v>
      </c>
      <c r="AU84" s="126">
        <f t="shared" ca="1" si="65"/>
        <v>1066.1025353211778</v>
      </c>
      <c r="AV84" s="126">
        <f t="shared" ca="1" si="66"/>
        <v>6396.6152119270673</v>
      </c>
      <c r="AW84" s="126">
        <f t="shared" ca="1" si="48"/>
        <v>10000</v>
      </c>
      <c r="AX84" s="750">
        <f t="shared" ca="1" si="67"/>
        <v>1066.1025353211778</v>
      </c>
      <c r="AY84" s="750">
        <f t="shared" ca="1" si="68"/>
        <v>0</v>
      </c>
      <c r="AZ84">
        <f t="shared" si="69"/>
        <v>5750</v>
      </c>
    </row>
    <row r="85" spans="4:52">
      <c r="D85">
        <v>78</v>
      </c>
      <c r="E85" s="6">
        <f t="shared" ca="1" si="70"/>
        <v>50406</v>
      </c>
      <c r="F85" s="7">
        <f t="shared" ca="1" si="49"/>
        <v>1.4845056206605622</v>
      </c>
      <c r="G85" s="125">
        <f ca="1">IF('Simulador - 1º Pilar'!$E$99="Sí",IF('Aportaciones PPE'!$B$13&lt;'Aportaciones PPE'!E85,0,F85*$B$8/12),F85*$B$8/12)</f>
        <v>25978.848361559838</v>
      </c>
      <c r="H85" s="125">
        <f t="shared" ca="1" si="39"/>
        <v>1298.942418077992</v>
      </c>
      <c r="I85" s="125">
        <f t="shared" ca="1" si="50"/>
        <v>0</v>
      </c>
      <c r="J85" s="125">
        <f t="shared" ca="1" si="51"/>
        <v>0</v>
      </c>
      <c r="K85" s="125">
        <f t="shared" ca="1" si="52"/>
        <v>1477.3759187743626</v>
      </c>
      <c r="L85" s="125">
        <f t="shared" ca="1" si="71"/>
        <v>0</v>
      </c>
      <c r="M85" s="125">
        <f t="shared" ca="1" si="53"/>
        <v>0</v>
      </c>
      <c r="N85" s="125">
        <f t="shared" ca="1" si="54"/>
        <v>1477.3759187743626</v>
      </c>
      <c r="R85">
        <f t="shared" si="72"/>
        <v>78</v>
      </c>
      <c r="U85" s="55"/>
      <c r="V85">
        <f t="shared" si="73"/>
        <v>7</v>
      </c>
      <c r="W85">
        <f t="shared" ca="1" si="74"/>
        <v>2030</v>
      </c>
      <c r="X85" s="123">
        <f t="shared" ca="1" si="55"/>
        <v>47665</v>
      </c>
      <c r="Y85" s="64">
        <f t="shared" ca="1" si="56"/>
        <v>1066.1025353211778</v>
      </c>
      <c r="Z85" s="64">
        <f t="shared" ca="1" si="57"/>
        <v>0</v>
      </c>
      <c r="AA85" s="64">
        <f t="shared" ca="1" si="58"/>
        <v>1409.104102806411</v>
      </c>
      <c r="AB85" s="64">
        <f t="shared" ca="1" si="59"/>
        <v>0</v>
      </c>
      <c r="AF85" t="str">
        <f t="shared" ca="1" si="40"/>
        <v>12038</v>
      </c>
      <c r="AG85" s="126">
        <f t="shared" ca="1" si="41"/>
        <v>0</v>
      </c>
      <c r="AH85" s="126">
        <f t="shared" ca="1" si="42"/>
        <v>0</v>
      </c>
      <c r="AI85" s="126">
        <f t="shared" ca="1" si="43"/>
        <v>1298.942418077992</v>
      </c>
      <c r="AJ85" t="str">
        <f t="shared" ca="1" si="44"/>
        <v>72030</v>
      </c>
      <c r="AK85" s="126">
        <f t="shared" ca="1" si="60"/>
        <v>0</v>
      </c>
      <c r="AL85" s="126">
        <f t="shared" ca="1" si="61"/>
        <v>0</v>
      </c>
      <c r="AM85" s="126">
        <f t="shared" ca="1" si="75"/>
        <v>0</v>
      </c>
      <c r="AN85" s="753">
        <f t="shared" ca="1" si="76"/>
        <v>0</v>
      </c>
      <c r="AO85" s="750">
        <f t="shared" ca="1" si="62"/>
        <v>0</v>
      </c>
      <c r="AP85" s="126">
        <f t="shared" ca="1" si="63"/>
        <v>0</v>
      </c>
      <c r="AQ85" s="126">
        <f t="shared" ca="1" si="64"/>
        <v>0</v>
      </c>
      <c r="AR85" s="126">
        <f t="shared" ca="1" si="45"/>
        <v>10000</v>
      </c>
      <c r="AS85" s="750">
        <f t="shared" ca="1" si="46"/>
        <v>0</v>
      </c>
      <c r="AT85" s="750">
        <f t="shared" ca="1" si="47"/>
        <v>0</v>
      </c>
      <c r="AU85" s="126">
        <f t="shared" ca="1" si="65"/>
        <v>1066.1025353211778</v>
      </c>
      <c r="AV85" s="126">
        <f t="shared" ca="1" si="66"/>
        <v>7462.7177472482454</v>
      </c>
      <c r="AW85" s="126">
        <f t="shared" ca="1" si="48"/>
        <v>10000</v>
      </c>
      <c r="AX85" s="750">
        <f t="shared" ca="1" si="67"/>
        <v>1066.1025353211778</v>
      </c>
      <c r="AY85" s="750">
        <f t="shared" ca="1" si="68"/>
        <v>0</v>
      </c>
      <c r="AZ85">
        <f t="shared" si="69"/>
        <v>5750</v>
      </c>
    </row>
    <row r="86" spans="4:52">
      <c r="D86">
        <v>79</v>
      </c>
      <c r="E86" s="6">
        <f t="shared" ca="1" si="70"/>
        <v>50375</v>
      </c>
      <c r="F86" s="7">
        <f t="shared" ca="1" si="49"/>
        <v>1.4482981664981096</v>
      </c>
      <c r="G86" s="125">
        <f ca="1">IF('Simulador - 1º Pilar'!$E$99="Sí",IF('Aportaciones PPE'!$B$13&lt;'Aportaciones PPE'!E86,0,F86*$B$8/12),F86*$B$8/12)</f>
        <v>25345.217913716919</v>
      </c>
      <c r="H86" s="125">
        <f t="shared" ca="1" si="39"/>
        <v>1267.260895685846</v>
      </c>
      <c r="I86" s="125">
        <f t="shared" ca="1" si="50"/>
        <v>0</v>
      </c>
      <c r="J86" s="125">
        <f t="shared" ca="1" si="51"/>
        <v>0</v>
      </c>
      <c r="K86" s="125">
        <f t="shared" ca="1" si="52"/>
        <v>1443.7228538709437</v>
      </c>
      <c r="L86" s="125">
        <f t="shared" ca="1" si="71"/>
        <v>0</v>
      </c>
      <c r="M86" s="125">
        <f t="shared" ca="1" si="53"/>
        <v>0</v>
      </c>
      <c r="N86" s="125">
        <f t="shared" ca="1" si="54"/>
        <v>1443.7228538709437</v>
      </c>
      <c r="R86">
        <f t="shared" si="72"/>
        <v>79</v>
      </c>
      <c r="U86" s="55"/>
      <c r="V86">
        <f t="shared" si="73"/>
        <v>8</v>
      </c>
      <c r="W86">
        <f t="shared" ca="1" si="74"/>
        <v>2030</v>
      </c>
      <c r="X86" s="123">
        <f t="shared" ca="1" si="55"/>
        <v>47696</v>
      </c>
      <c r="Y86" s="64">
        <f t="shared" ca="1" si="56"/>
        <v>1066.1025353211778</v>
      </c>
      <c r="Z86" s="64">
        <f t="shared" ca="1" si="57"/>
        <v>0</v>
      </c>
      <c r="AA86" s="64">
        <f t="shared" ca="1" si="58"/>
        <v>1406.7377883841368</v>
      </c>
      <c r="AB86" s="64">
        <f t="shared" ca="1" si="59"/>
        <v>0</v>
      </c>
      <c r="AF86" t="str">
        <f t="shared" ca="1" si="40"/>
        <v>122037</v>
      </c>
      <c r="AG86" s="126">
        <f t="shared" ca="1" si="41"/>
        <v>0</v>
      </c>
      <c r="AH86" s="126">
        <f t="shared" ca="1" si="42"/>
        <v>0</v>
      </c>
      <c r="AI86" s="126">
        <f t="shared" ca="1" si="43"/>
        <v>1267.260895685846</v>
      </c>
      <c r="AJ86" t="str">
        <f t="shared" ca="1" si="44"/>
        <v>82030</v>
      </c>
      <c r="AK86" s="126">
        <f t="shared" ca="1" si="60"/>
        <v>0</v>
      </c>
      <c r="AL86" s="126">
        <f t="shared" ca="1" si="61"/>
        <v>0</v>
      </c>
      <c r="AM86" s="126">
        <f t="shared" ca="1" si="75"/>
        <v>0</v>
      </c>
      <c r="AN86" s="753">
        <f t="shared" ca="1" si="76"/>
        <v>0</v>
      </c>
      <c r="AO86" s="750">
        <f t="shared" ca="1" si="62"/>
        <v>0</v>
      </c>
      <c r="AP86" s="126">
        <f t="shared" ca="1" si="63"/>
        <v>0</v>
      </c>
      <c r="AQ86" s="126">
        <f t="shared" ca="1" si="64"/>
        <v>0</v>
      </c>
      <c r="AR86" s="126">
        <f t="shared" ca="1" si="45"/>
        <v>10000</v>
      </c>
      <c r="AS86" s="750">
        <f t="shared" ca="1" si="46"/>
        <v>0</v>
      </c>
      <c r="AT86" s="750">
        <f t="shared" ca="1" si="47"/>
        <v>0</v>
      </c>
      <c r="AU86" s="126">
        <f t="shared" ca="1" si="65"/>
        <v>1066.1025353211778</v>
      </c>
      <c r="AV86" s="126">
        <f t="shared" ca="1" si="66"/>
        <v>8528.8202825694225</v>
      </c>
      <c r="AW86" s="126">
        <f t="shared" ca="1" si="48"/>
        <v>10000</v>
      </c>
      <c r="AX86" s="750">
        <f t="shared" ca="1" si="67"/>
        <v>1066.1025353211778</v>
      </c>
      <c r="AY86" s="750">
        <f t="shared" ca="1" si="68"/>
        <v>0</v>
      </c>
      <c r="AZ86">
        <f t="shared" si="69"/>
        <v>5750</v>
      </c>
    </row>
    <row r="87" spans="4:52">
      <c r="D87">
        <v>80</v>
      </c>
      <c r="E87" s="6">
        <f t="shared" ca="1" si="70"/>
        <v>50345</v>
      </c>
      <c r="F87" s="7">
        <f t="shared" ca="1" si="49"/>
        <v>1.4482981664981096</v>
      </c>
      <c r="G87" s="125">
        <f ca="1">IF('Simulador - 1º Pilar'!$E$99="Sí",IF('Aportaciones PPE'!$B$13&lt;'Aportaciones PPE'!E87,0,F87*$B$8/12),F87*$B$8/12)</f>
        <v>25345.217913716919</v>
      </c>
      <c r="H87" s="125">
        <f t="shared" ca="1" si="39"/>
        <v>1267.260895685846</v>
      </c>
      <c r="I87" s="125">
        <f t="shared" ca="1" si="50"/>
        <v>0</v>
      </c>
      <c r="J87" s="125">
        <f t="shared" ca="1" si="51"/>
        <v>0</v>
      </c>
      <c r="K87" s="125">
        <f t="shared" ca="1" si="52"/>
        <v>1446.1072795415521</v>
      </c>
      <c r="L87" s="125">
        <f t="shared" ca="1" si="71"/>
        <v>0</v>
      </c>
      <c r="M87" s="125">
        <f t="shared" ca="1" si="53"/>
        <v>0</v>
      </c>
      <c r="N87" s="125">
        <f t="shared" ca="1" si="54"/>
        <v>1446.1072795415521</v>
      </c>
      <c r="R87">
        <f t="shared" si="72"/>
        <v>80</v>
      </c>
      <c r="U87" s="55"/>
      <c r="V87">
        <f t="shared" si="73"/>
        <v>9</v>
      </c>
      <c r="W87">
        <f t="shared" ca="1" si="74"/>
        <v>2030</v>
      </c>
      <c r="X87" s="123">
        <f t="shared" ca="1" si="55"/>
        <v>47727</v>
      </c>
      <c r="Y87" s="64">
        <f t="shared" ca="1" si="56"/>
        <v>1066.1025353211778</v>
      </c>
      <c r="Z87" s="64">
        <f t="shared" ca="1" si="57"/>
        <v>0</v>
      </c>
      <c r="AA87" s="64">
        <f t="shared" ca="1" si="58"/>
        <v>1404.3754477235839</v>
      </c>
      <c r="AB87" s="64">
        <f t="shared" ca="1" si="59"/>
        <v>0</v>
      </c>
      <c r="AF87" t="str">
        <f t="shared" ca="1" si="40"/>
        <v>112037</v>
      </c>
      <c r="AG87" s="126">
        <f t="shared" ca="1" si="41"/>
        <v>0</v>
      </c>
      <c r="AH87" s="126">
        <f t="shared" ca="1" si="42"/>
        <v>0</v>
      </c>
      <c r="AI87" s="126">
        <f t="shared" ca="1" si="43"/>
        <v>1267.260895685846</v>
      </c>
      <c r="AJ87" t="str">
        <f t="shared" ca="1" si="44"/>
        <v>92030</v>
      </c>
      <c r="AK87" s="126">
        <f t="shared" ca="1" si="60"/>
        <v>0</v>
      </c>
      <c r="AL87" s="126">
        <f t="shared" ca="1" si="61"/>
        <v>0</v>
      </c>
      <c r="AM87" s="126">
        <f t="shared" ca="1" si="75"/>
        <v>0</v>
      </c>
      <c r="AN87" s="753">
        <f t="shared" ca="1" si="76"/>
        <v>0</v>
      </c>
      <c r="AO87" s="750">
        <f t="shared" ca="1" si="62"/>
        <v>0</v>
      </c>
      <c r="AP87" s="126">
        <f t="shared" ca="1" si="63"/>
        <v>0</v>
      </c>
      <c r="AQ87" s="126">
        <f t="shared" ca="1" si="64"/>
        <v>0</v>
      </c>
      <c r="AR87" s="126">
        <f t="shared" ca="1" si="45"/>
        <v>10000</v>
      </c>
      <c r="AS87" s="750">
        <f t="shared" ca="1" si="46"/>
        <v>0</v>
      </c>
      <c r="AT87" s="750">
        <f t="shared" ca="1" si="47"/>
        <v>0</v>
      </c>
      <c r="AU87" s="126">
        <f t="shared" ca="1" si="65"/>
        <v>1066.1025353211778</v>
      </c>
      <c r="AV87" s="126">
        <f t="shared" ca="1" si="66"/>
        <v>9594.9228178905996</v>
      </c>
      <c r="AW87" s="126">
        <f t="shared" ca="1" si="48"/>
        <v>10000</v>
      </c>
      <c r="AX87" s="750">
        <f t="shared" ca="1" si="67"/>
        <v>1066.1025353211778</v>
      </c>
      <c r="AY87" s="750">
        <f t="shared" ca="1" si="68"/>
        <v>0</v>
      </c>
      <c r="AZ87">
        <f t="shared" si="69"/>
        <v>5750</v>
      </c>
    </row>
    <row r="88" spans="4:52">
      <c r="D88">
        <v>81</v>
      </c>
      <c r="E88" s="6">
        <f t="shared" ca="1" si="70"/>
        <v>50314</v>
      </c>
      <c r="F88" s="7">
        <f t="shared" ca="1" si="49"/>
        <v>1.4482981664981096</v>
      </c>
      <c r="G88" s="125">
        <f ca="1">IF('Simulador - 1º Pilar'!$E$99="Sí",IF('Aportaciones PPE'!$B$13&lt;'Aportaciones PPE'!E88,0,F88*$B$8/12),F88*$B$8/12)</f>
        <v>25345.217913716919</v>
      </c>
      <c r="H88" s="125">
        <f t="shared" ca="1" si="39"/>
        <v>1267.260895685846</v>
      </c>
      <c r="I88" s="125">
        <f t="shared" ca="1" si="50"/>
        <v>0</v>
      </c>
      <c r="J88" s="125">
        <f t="shared" ca="1" si="51"/>
        <v>0</v>
      </c>
      <c r="K88" s="125">
        <f t="shared" ca="1" si="52"/>
        <v>1448.4956432850133</v>
      </c>
      <c r="L88" s="125">
        <f t="shared" ca="1" si="71"/>
        <v>0</v>
      </c>
      <c r="M88" s="125">
        <f t="shared" ca="1" si="53"/>
        <v>0</v>
      </c>
      <c r="N88" s="125">
        <f t="shared" ca="1" si="54"/>
        <v>1448.4956432850133</v>
      </c>
      <c r="R88">
        <f t="shared" si="72"/>
        <v>81</v>
      </c>
      <c r="U88" s="55"/>
      <c r="V88">
        <f t="shared" si="73"/>
        <v>10</v>
      </c>
      <c r="W88">
        <f t="shared" ca="1" si="74"/>
        <v>2030</v>
      </c>
      <c r="X88" s="123">
        <f t="shared" ca="1" si="55"/>
        <v>47757</v>
      </c>
      <c r="Y88" s="64">
        <f t="shared" ca="1" si="56"/>
        <v>405.07718210940038</v>
      </c>
      <c r="Z88" s="64">
        <f t="shared" ca="1" si="57"/>
        <v>661.02535321177743</v>
      </c>
      <c r="AA88" s="64">
        <f t="shared" ca="1" si="58"/>
        <v>532.74042474869668</v>
      </c>
      <c r="AB88" s="64">
        <f t="shared" ca="1" si="59"/>
        <v>869.35266411671648</v>
      </c>
      <c r="AF88" t="str">
        <f t="shared" ca="1" si="40"/>
        <v>102037</v>
      </c>
      <c r="AG88" s="126">
        <f t="shared" ca="1" si="41"/>
        <v>0</v>
      </c>
      <c r="AH88" s="126">
        <f t="shared" ca="1" si="42"/>
        <v>0</v>
      </c>
      <c r="AI88" s="126">
        <f t="shared" ca="1" si="43"/>
        <v>1267.260895685846</v>
      </c>
      <c r="AJ88" t="str">
        <f t="shared" ca="1" si="44"/>
        <v>102030</v>
      </c>
      <c r="AK88" s="126">
        <f t="shared" ca="1" si="60"/>
        <v>0</v>
      </c>
      <c r="AL88" s="126">
        <f t="shared" ca="1" si="61"/>
        <v>0</v>
      </c>
      <c r="AM88" s="126">
        <f t="shared" ca="1" si="75"/>
        <v>0</v>
      </c>
      <c r="AN88" s="753">
        <f t="shared" ca="1" si="76"/>
        <v>0</v>
      </c>
      <c r="AO88" s="750">
        <f t="shared" ca="1" si="62"/>
        <v>0</v>
      </c>
      <c r="AP88" s="126">
        <f t="shared" ca="1" si="63"/>
        <v>0</v>
      </c>
      <c r="AQ88" s="126">
        <f t="shared" ca="1" si="64"/>
        <v>0</v>
      </c>
      <c r="AR88" s="126">
        <f t="shared" ca="1" si="45"/>
        <v>10000</v>
      </c>
      <c r="AS88" s="750">
        <f t="shared" ca="1" si="46"/>
        <v>0</v>
      </c>
      <c r="AT88" s="750">
        <f t="shared" ca="1" si="47"/>
        <v>0</v>
      </c>
      <c r="AU88" s="126">
        <f t="shared" ca="1" si="65"/>
        <v>1066.1025353211778</v>
      </c>
      <c r="AV88" s="126">
        <f t="shared" ca="1" si="66"/>
        <v>10661.025353211777</v>
      </c>
      <c r="AW88" s="126">
        <f t="shared" ca="1" si="48"/>
        <v>10000</v>
      </c>
      <c r="AX88" s="750">
        <f t="shared" ca="1" si="67"/>
        <v>405.07718210940038</v>
      </c>
      <c r="AY88" s="750">
        <f t="shared" ca="1" si="68"/>
        <v>661.02535321177743</v>
      </c>
      <c r="AZ88">
        <f t="shared" si="69"/>
        <v>5750</v>
      </c>
    </row>
    <row r="89" spans="4:52">
      <c r="D89">
        <v>82</v>
      </c>
      <c r="E89" s="6">
        <f t="shared" ca="1" si="70"/>
        <v>50284</v>
      </c>
      <c r="F89" s="7">
        <f t="shared" ca="1" si="49"/>
        <v>1.4482981664981096</v>
      </c>
      <c r="G89" s="125">
        <f ca="1">IF('Simulador - 1º Pilar'!$E$99="Sí",IF('Aportaciones PPE'!$B$13&lt;'Aportaciones PPE'!E89,0,F89*$B$8/12),F89*$B$8/12)</f>
        <v>25345.217913716919</v>
      </c>
      <c r="H89" s="125">
        <f t="shared" ca="1" si="39"/>
        <v>1267.260895685846</v>
      </c>
      <c r="I89" s="125">
        <f t="shared" ca="1" si="50"/>
        <v>0</v>
      </c>
      <c r="J89" s="125">
        <f t="shared" ca="1" si="51"/>
        <v>0</v>
      </c>
      <c r="K89" s="125">
        <f t="shared" ca="1" si="52"/>
        <v>1450.8879516053757</v>
      </c>
      <c r="L89" s="125">
        <f t="shared" ca="1" si="71"/>
        <v>0</v>
      </c>
      <c r="M89" s="125">
        <f t="shared" ca="1" si="53"/>
        <v>0</v>
      </c>
      <c r="N89" s="125">
        <f t="shared" ca="1" si="54"/>
        <v>1450.8879516053757</v>
      </c>
      <c r="R89">
        <f t="shared" si="72"/>
        <v>82</v>
      </c>
      <c r="U89" s="55"/>
      <c r="V89">
        <f t="shared" si="73"/>
        <v>11</v>
      </c>
      <c r="W89">
        <f t="shared" ca="1" si="74"/>
        <v>2030</v>
      </c>
      <c r="X89" s="123">
        <f t="shared" ca="1" si="55"/>
        <v>47788</v>
      </c>
      <c r="Y89" s="64">
        <f t="shared" ca="1" si="56"/>
        <v>0</v>
      </c>
      <c r="Z89" s="64">
        <f t="shared" ca="1" si="57"/>
        <v>1066.1025353211778</v>
      </c>
      <c r="AA89" s="64">
        <f t="shared" ca="1" si="58"/>
        <v>0</v>
      </c>
      <c r="AB89" s="64">
        <f t="shared" ca="1" si="59"/>
        <v>1399.7385480682176</v>
      </c>
      <c r="AF89" t="str">
        <f t="shared" ca="1" si="40"/>
        <v>92037</v>
      </c>
      <c r="AG89" s="126">
        <f t="shared" ca="1" si="41"/>
        <v>0</v>
      </c>
      <c r="AH89" s="126">
        <f t="shared" ca="1" si="42"/>
        <v>0</v>
      </c>
      <c r="AI89" s="126">
        <f t="shared" ca="1" si="43"/>
        <v>1267.260895685846</v>
      </c>
      <c r="AJ89" t="str">
        <f t="shared" ca="1" si="44"/>
        <v>112030</v>
      </c>
      <c r="AK89" s="126">
        <f t="shared" ca="1" si="60"/>
        <v>0</v>
      </c>
      <c r="AL89" s="126">
        <f t="shared" ca="1" si="61"/>
        <v>0</v>
      </c>
      <c r="AM89" s="126">
        <f t="shared" ca="1" si="75"/>
        <v>0</v>
      </c>
      <c r="AN89" s="753">
        <f t="shared" ca="1" si="76"/>
        <v>0</v>
      </c>
      <c r="AO89" s="750">
        <f t="shared" ca="1" si="62"/>
        <v>0</v>
      </c>
      <c r="AP89" s="126">
        <f t="shared" ca="1" si="63"/>
        <v>0</v>
      </c>
      <c r="AQ89" s="126">
        <f t="shared" ca="1" si="64"/>
        <v>0</v>
      </c>
      <c r="AR89" s="126">
        <f t="shared" ca="1" si="45"/>
        <v>10000</v>
      </c>
      <c r="AS89" s="750">
        <f t="shared" ca="1" si="46"/>
        <v>0</v>
      </c>
      <c r="AT89" s="750">
        <f t="shared" ca="1" si="47"/>
        <v>0</v>
      </c>
      <c r="AU89" s="126">
        <f t="shared" ca="1" si="65"/>
        <v>1066.1025353211778</v>
      </c>
      <c r="AV89" s="126">
        <f t="shared" ca="1" si="66"/>
        <v>11727.127888532954</v>
      </c>
      <c r="AW89" s="126">
        <f t="shared" ca="1" si="48"/>
        <v>10000</v>
      </c>
      <c r="AX89" s="750">
        <f t="shared" ca="1" si="67"/>
        <v>0</v>
      </c>
      <c r="AY89" s="750">
        <f t="shared" ca="1" si="68"/>
        <v>1066.1025353211778</v>
      </c>
      <c r="AZ89">
        <f t="shared" si="69"/>
        <v>5750</v>
      </c>
    </row>
    <row r="90" spans="4:52">
      <c r="D90">
        <v>83</v>
      </c>
      <c r="E90" s="6">
        <f t="shared" ca="1" si="70"/>
        <v>50253</v>
      </c>
      <c r="F90" s="7">
        <f t="shared" ca="1" si="49"/>
        <v>1.4482981664981096</v>
      </c>
      <c r="G90" s="125">
        <f ca="1">IF('Simulador - 1º Pilar'!$E$99="Sí",IF('Aportaciones PPE'!$B$13&lt;'Aportaciones PPE'!E90,0,F90*$B$8/12),F90*$B$8/12)</f>
        <v>25345.217913716919</v>
      </c>
      <c r="H90" s="125">
        <f t="shared" ca="1" si="39"/>
        <v>1267.260895685846</v>
      </c>
      <c r="I90" s="125">
        <f t="shared" ca="1" si="50"/>
        <v>0</v>
      </c>
      <c r="J90" s="125">
        <f t="shared" ca="1" si="51"/>
        <v>0</v>
      </c>
      <c r="K90" s="125">
        <f t="shared" ca="1" si="52"/>
        <v>1453.2842110174286</v>
      </c>
      <c r="L90" s="125">
        <f t="shared" ca="1" si="71"/>
        <v>0</v>
      </c>
      <c r="M90" s="125">
        <f t="shared" ca="1" si="53"/>
        <v>0</v>
      </c>
      <c r="N90" s="125">
        <f t="shared" ca="1" si="54"/>
        <v>1453.2842110174286</v>
      </c>
      <c r="R90">
        <f t="shared" si="72"/>
        <v>83</v>
      </c>
      <c r="U90" s="55"/>
      <c r="V90">
        <f t="shared" si="73"/>
        <v>12</v>
      </c>
      <c r="W90">
        <f t="shared" ca="1" si="74"/>
        <v>2030</v>
      </c>
      <c r="X90" s="123">
        <f t="shared" ca="1" si="55"/>
        <v>47818</v>
      </c>
      <c r="Y90" s="64">
        <f t="shared" ca="1" si="56"/>
        <v>0</v>
      </c>
      <c r="Z90" s="64">
        <f t="shared" ca="1" si="57"/>
        <v>1066.1025353211778</v>
      </c>
      <c r="AA90" s="64">
        <f t="shared" ca="1" si="58"/>
        <v>0</v>
      </c>
      <c r="AB90" s="64">
        <f t="shared" ca="1" si="59"/>
        <v>1397.4637249933164</v>
      </c>
      <c r="AF90" t="str">
        <f t="shared" ca="1" si="40"/>
        <v>82037</v>
      </c>
      <c r="AG90" s="126">
        <f t="shared" ca="1" si="41"/>
        <v>0</v>
      </c>
      <c r="AH90" s="126">
        <f t="shared" ca="1" si="42"/>
        <v>0</v>
      </c>
      <c r="AI90" s="126">
        <f t="shared" ca="1" si="43"/>
        <v>1267.260895685846</v>
      </c>
      <c r="AJ90" t="str">
        <f t="shared" ca="1" si="44"/>
        <v>122030</v>
      </c>
      <c r="AK90" s="126">
        <f t="shared" ca="1" si="60"/>
        <v>0</v>
      </c>
      <c r="AL90" s="126">
        <f t="shared" ca="1" si="61"/>
        <v>0</v>
      </c>
      <c r="AM90" s="126">
        <f t="shared" ca="1" si="75"/>
        <v>0</v>
      </c>
      <c r="AN90" s="753">
        <f t="shared" ca="1" si="76"/>
        <v>0</v>
      </c>
      <c r="AO90" s="750">
        <f t="shared" ca="1" si="62"/>
        <v>0</v>
      </c>
      <c r="AP90" s="126">
        <f t="shared" ca="1" si="63"/>
        <v>0</v>
      </c>
      <c r="AQ90" s="126">
        <f t="shared" ca="1" si="64"/>
        <v>0</v>
      </c>
      <c r="AR90" s="126">
        <f t="shared" ca="1" si="45"/>
        <v>10000</v>
      </c>
      <c r="AS90" s="750">
        <f t="shared" ca="1" si="46"/>
        <v>0</v>
      </c>
      <c r="AT90" s="750">
        <f t="shared" ca="1" si="47"/>
        <v>0</v>
      </c>
      <c r="AU90" s="126">
        <f t="shared" ca="1" si="65"/>
        <v>1066.1025353211778</v>
      </c>
      <c r="AV90" s="126">
        <f t="shared" ca="1" si="66"/>
        <v>12793.230423854131</v>
      </c>
      <c r="AW90" s="126">
        <f t="shared" ca="1" si="48"/>
        <v>10000</v>
      </c>
      <c r="AX90" s="750">
        <f t="shared" ca="1" si="67"/>
        <v>0</v>
      </c>
      <c r="AY90" s="750">
        <f t="shared" ca="1" si="68"/>
        <v>1066.1025353211778</v>
      </c>
      <c r="AZ90">
        <f t="shared" si="69"/>
        <v>5750</v>
      </c>
    </row>
    <row r="91" spans="4:52">
      <c r="D91">
        <v>84</v>
      </c>
      <c r="E91" s="6">
        <f t="shared" ca="1" si="70"/>
        <v>50222</v>
      </c>
      <c r="F91" s="7">
        <f t="shared" ca="1" si="49"/>
        <v>1.4482981664981096</v>
      </c>
      <c r="G91" s="125">
        <f ca="1">IF('Simulador - 1º Pilar'!$E$99="Sí",IF('Aportaciones PPE'!$B$13&lt;'Aportaciones PPE'!E91,0,F91*$B$8/12),F91*$B$8/12)</f>
        <v>25345.217913716919</v>
      </c>
      <c r="H91" s="125">
        <f t="shared" ca="1" si="39"/>
        <v>1267.260895685846</v>
      </c>
      <c r="I91" s="125">
        <f t="shared" ca="1" si="50"/>
        <v>0</v>
      </c>
      <c r="J91" s="125">
        <f t="shared" ca="1" si="51"/>
        <v>0</v>
      </c>
      <c r="K91" s="125">
        <f t="shared" ca="1" si="52"/>
        <v>1455.6844280467203</v>
      </c>
      <c r="L91" s="125">
        <f t="shared" ca="1" si="71"/>
        <v>0</v>
      </c>
      <c r="M91" s="125">
        <f t="shared" ca="1" si="53"/>
        <v>0</v>
      </c>
      <c r="N91" s="125">
        <f t="shared" ca="1" si="54"/>
        <v>1455.6844280467203</v>
      </c>
      <c r="R91">
        <f t="shared" si="72"/>
        <v>84</v>
      </c>
      <c r="U91" s="55"/>
      <c r="V91">
        <f t="shared" si="73"/>
        <v>1</v>
      </c>
      <c r="W91">
        <f t="shared" ca="1" si="74"/>
        <v>2031</v>
      </c>
      <c r="X91" s="123">
        <f t="shared" ca="1" si="55"/>
        <v>47849</v>
      </c>
      <c r="Y91" s="64">
        <f t="shared" ca="1" si="56"/>
        <v>1092.7550987042071</v>
      </c>
      <c r="Z91" s="64">
        <f t="shared" ca="1" si="57"/>
        <v>0</v>
      </c>
      <c r="AA91" s="64">
        <f t="shared" ca="1" si="58"/>
        <v>1429.994882263919</v>
      </c>
      <c r="AB91" s="64">
        <f t="shared" ca="1" si="59"/>
        <v>0</v>
      </c>
      <c r="AF91" t="str">
        <f t="shared" ca="1" si="40"/>
        <v>72037</v>
      </c>
      <c r="AG91" s="126">
        <f t="shared" ca="1" si="41"/>
        <v>0</v>
      </c>
      <c r="AH91" s="126">
        <f t="shared" ca="1" si="42"/>
        <v>0</v>
      </c>
      <c r="AI91" s="126">
        <f t="shared" ca="1" si="43"/>
        <v>1267.260895685846</v>
      </c>
      <c r="AJ91" t="str">
        <f t="shared" ca="1" si="44"/>
        <v>12031</v>
      </c>
      <c r="AK91" s="126">
        <f t="shared" ca="1" si="60"/>
        <v>0</v>
      </c>
      <c r="AL91" s="126">
        <f t="shared" ca="1" si="61"/>
        <v>0</v>
      </c>
      <c r="AM91" s="126">
        <f t="shared" ca="1" si="75"/>
        <v>0</v>
      </c>
      <c r="AN91" s="753">
        <f t="shared" ca="1" si="76"/>
        <v>0</v>
      </c>
      <c r="AO91" s="750">
        <f t="shared" ca="1" si="62"/>
        <v>0</v>
      </c>
      <c r="AP91" s="126">
        <f t="shared" ca="1" si="63"/>
        <v>0</v>
      </c>
      <c r="AQ91" s="126">
        <f t="shared" ca="1" si="64"/>
        <v>0</v>
      </c>
      <c r="AR91" s="126">
        <f t="shared" ca="1" si="45"/>
        <v>10000</v>
      </c>
      <c r="AS91" s="750">
        <f t="shared" ca="1" si="46"/>
        <v>0</v>
      </c>
      <c r="AT91" s="750">
        <f t="shared" ca="1" si="47"/>
        <v>0</v>
      </c>
      <c r="AU91" s="126">
        <f t="shared" ca="1" si="65"/>
        <v>1092.7550987042071</v>
      </c>
      <c r="AV91" s="126">
        <f t="shared" ca="1" si="66"/>
        <v>1092.7550987042071</v>
      </c>
      <c r="AW91" s="126">
        <f t="shared" ca="1" si="48"/>
        <v>10000</v>
      </c>
      <c r="AX91" s="750">
        <f t="shared" ca="1" si="67"/>
        <v>1092.7550987042071</v>
      </c>
      <c r="AY91" s="750">
        <f t="shared" ca="1" si="68"/>
        <v>0</v>
      </c>
      <c r="AZ91">
        <f t="shared" si="69"/>
        <v>5750</v>
      </c>
    </row>
    <row r="92" spans="4:52">
      <c r="D92">
        <v>85</v>
      </c>
      <c r="E92" s="6">
        <f t="shared" ca="1" si="70"/>
        <v>50192</v>
      </c>
      <c r="F92" s="7">
        <f t="shared" ca="1" si="49"/>
        <v>1.4482981664981096</v>
      </c>
      <c r="G92" s="125">
        <f ca="1">IF('Simulador - 1º Pilar'!$E$99="Sí",IF('Aportaciones PPE'!$B$13&lt;'Aportaciones PPE'!E92,0,F92*$B$8/12),F92*$B$8/12)</f>
        <v>25345.217913716919</v>
      </c>
      <c r="H92" s="125">
        <f t="shared" ca="1" si="39"/>
        <v>1267.260895685846</v>
      </c>
      <c r="I92" s="125">
        <f t="shared" ca="1" si="50"/>
        <v>0</v>
      </c>
      <c r="J92" s="125">
        <f t="shared" ca="1" si="51"/>
        <v>0</v>
      </c>
      <c r="K92" s="125">
        <f t="shared" ca="1" si="52"/>
        <v>1458.0886092295789</v>
      </c>
      <c r="L92" s="125">
        <f t="shared" ca="1" si="71"/>
        <v>0</v>
      </c>
      <c r="M92" s="125">
        <f t="shared" ca="1" si="53"/>
        <v>0</v>
      </c>
      <c r="N92" s="125">
        <f t="shared" ca="1" si="54"/>
        <v>1458.0886092295789</v>
      </c>
      <c r="R92">
        <f t="shared" si="72"/>
        <v>85</v>
      </c>
      <c r="U92" s="55"/>
      <c r="V92">
        <f t="shared" si="73"/>
        <v>2</v>
      </c>
      <c r="W92">
        <f t="shared" ca="1" si="74"/>
        <v>2031</v>
      </c>
      <c r="X92" s="123">
        <f t="shared" ca="1" si="55"/>
        <v>47880</v>
      </c>
      <c r="Y92" s="64">
        <f t="shared" ca="1" si="56"/>
        <v>1092.7550987042071</v>
      </c>
      <c r="Z92" s="64">
        <f t="shared" ca="1" si="57"/>
        <v>0</v>
      </c>
      <c r="AA92" s="64">
        <f t="shared" ca="1" si="58"/>
        <v>1427.5934858681951</v>
      </c>
      <c r="AB92" s="64">
        <f t="shared" ca="1" si="59"/>
        <v>0</v>
      </c>
      <c r="AF92" t="str">
        <f t="shared" ca="1" si="40"/>
        <v>62037</v>
      </c>
      <c r="AG92" s="126">
        <f t="shared" ca="1" si="41"/>
        <v>0</v>
      </c>
      <c r="AH92" s="126">
        <f t="shared" ca="1" si="42"/>
        <v>0</v>
      </c>
      <c r="AI92" s="126">
        <f t="shared" ca="1" si="43"/>
        <v>1267.260895685846</v>
      </c>
      <c r="AJ92" t="str">
        <f t="shared" ca="1" si="44"/>
        <v>22031</v>
      </c>
      <c r="AK92" s="126">
        <f t="shared" ca="1" si="60"/>
        <v>0</v>
      </c>
      <c r="AL92" s="126">
        <f t="shared" ca="1" si="61"/>
        <v>0</v>
      </c>
      <c r="AM92" s="126">
        <f t="shared" ca="1" si="75"/>
        <v>0</v>
      </c>
      <c r="AN92" s="753">
        <f t="shared" ca="1" si="76"/>
        <v>0</v>
      </c>
      <c r="AO92" s="750">
        <f t="shared" ca="1" si="62"/>
        <v>0</v>
      </c>
      <c r="AP92" s="126">
        <f t="shared" ca="1" si="63"/>
        <v>0</v>
      </c>
      <c r="AQ92" s="126">
        <f t="shared" ca="1" si="64"/>
        <v>0</v>
      </c>
      <c r="AR92" s="126">
        <f t="shared" ca="1" si="45"/>
        <v>10000</v>
      </c>
      <c r="AS92" s="750">
        <f t="shared" ca="1" si="46"/>
        <v>0</v>
      </c>
      <c r="AT92" s="750">
        <f t="shared" ca="1" si="47"/>
        <v>0</v>
      </c>
      <c r="AU92" s="126">
        <f t="shared" ca="1" si="65"/>
        <v>1092.7550987042071</v>
      </c>
      <c r="AV92" s="126">
        <f t="shared" ca="1" si="66"/>
        <v>2185.5101974084141</v>
      </c>
      <c r="AW92" s="126">
        <f t="shared" ca="1" si="48"/>
        <v>10000</v>
      </c>
      <c r="AX92" s="750">
        <f t="shared" ca="1" si="67"/>
        <v>1092.7550987042071</v>
      </c>
      <c r="AY92" s="750">
        <f t="shared" ca="1" si="68"/>
        <v>0</v>
      </c>
      <c r="AZ92">
        <f t="shared" si="69"/>
        <v>5750</v>
      </c>
    </row>
    <row r="93" spans="4:52">
      <c r="D93">
        <v>86</v>
      </c>
      <c r="E93" s="6">
        <f t="shared" ca="1" si="70"/>
        <v>50161</v>
      </c>
      <c r="F93" s="7">
        <f t="shared" ca="1" si="49"/>
        <v>1.4482981664981096</v>
      </c>
      <c r="G93" s="125">
        <f ca="1">IF('Simulador - 1º Pilar'!$E$99="Sí",IF('Aportaciones PPE'!$B$13&lt;'Aportaciones PPE'!E93,0,F93*$B$8/12),F93*$B$8/12)</f>
        <v>25345.217913716919</v>
      </c>
      <c r="H93" s="125">
        <f t="shared" ca="1" si="39"/>
        <v>1267.260895685846</v>
      </c>
      <c r="I93" s="125">
        <f t="shared" ca="1" si="50"/>
        <v>0</v>
      </c>
      <c r="J93" s="125">
        <f t="shared" ca="1" si="51"/>
        <v>0</v>
      </c>
      <c r="K93" s="125">
        <f t="shared" ca="1" si="52"/>
        <v>1460.4967611131256</v>
      </c>
      <c r="L93" s="125">
        <f t="shared" ca="1" si="71"/>
        <v>0</v>
      </c>
      <c r="M93" s="125">
        <f t="shared" ca="1" si="53"/>
        <v>0</v>
      </c>
      <c r="N93" s="125">
        <f t="shared" ca="1" si="54"/>
        <v>1460.4967611131256</v>
      </c>
      <c r="R93">
        <f t="shared" si="72"/>
        <v>86</v>
      </c>
      <c r="U93" s="55"/>
      <c r="V93">
        <f t="shared" si="73"/>
        <v>3</v>
      </c>
      <c r="W93">
        <f t="shared" ca="1" si="74"/>
        <v>2031</v>
      </c>
      <c r="X93" s="123">
        <f t="shared" ca="1" si="55"/>
        <v>47908</v>
      </c>
      <c r="Y93" s="64">
        <f t="shared" ca="1" si="56"/>
        <v>1092.7550987042071</v>
      </c>
      <c r="Z93" s="64">
        <f t="shared" ca="1" si="57"/>
        <v>0</v>
      </c>
      <c r="AA93" s="64">
        <f t="shared" ca="1" si="58"/>
        <v>1425.4279490301199</v>
      </c>
      <c r="AB93" s="64">
        <f t="shared" ca="1" si="59"/>
        <v>0</v>
      </c>
      <c r="AF93" t="str">
        <f t="shared" ca="1" si="40"/>
        <v>52037</v>
      </c>
      <c r="AG93" s="126">
        <f t="shared" ca="1" si="41"/>
        <v>0</v>
      </c>
      <c r="AH93" s="126">
        <f t="shared" ca="1" si="42"/>
        <v>0</v>
      </c>
      <c r="AI93" s="126">
        <f t="shared" ca="1" si="43"/>
        <v>1267.260895685846</v>
      </c>
      <c r="AJ93" t="str">
        <f t="shared" ca="1" si="44"/>
        <v>32031</v>
      </c>
      <c r="AK93" s="126">
        <f t="shared" ca="1" si="60"/>
        <v>0</v>
      </c>
      <c r="AL93" s="126">
        <f t="shared" ca="1" si="61"/>
        <v>0</v>
      </c>
      <c r="AM93" s="126">
        <f t="shared" ca="1" si="75"/>
        <v>0</v>
      </c>
      <c r="AN93" s="753">
        <f t="shared" ca="1" si="76"/>
        <v>0</v>
      </c>
      <c r="AO93" s="750">
        <f t="shared" ca="1" si="62"/>
        <v>0</v>
      </c>
      <c r="AP93" s="126">
        <f t="shared" ca="1" si="63"/>
        <v>0</v>
      </c>
      <c r="AQ93" s="126">
        <f t="shared" ca="1" si="64"/>
        <v>0</v>
      </c>
      <c r="AR93" s="126">
        <f t="shared" ca="1" si="45"/>
        <v>10000</v>
      </c>
      <c r="AS93" s="750">
        <f t="shared" ca="1" si="46"/>
        <v>0</v>
      </c>
      <c r="AT93" s="750">
        <f t="shared" ca="1" si="47"/>
        <v>0</v>
      </c>
      <c r="AU93" s="126">
        <f t="shared" ca="1" si="65"/>
        <v>1092.7550987042071</v>
      </c>
      <c r="AV93" s="126">
        <f t="shared" ca="1" si="66"/>
        <v>3278.2652961126214</v>
      </c>
      <c r="AW93" s="126">
        <f t="shared" ca="1" si="48"/>
        <v>10000</v>
      </c>
      <c r="AX93" s="750">
        <f t="shared" ca="1" si="67"/>
        <v>1092.7550987042071</v>
      </c>
      <c r="AY93" s="750">
        <f t="shared" ca="1" si="68"/>
        <v>0</v>
      </c>
      <c r="AZ93">
        <f t="shared" si="69"/>
        <v>5750</v>
      </c>
    </row>
    <row r="94" spans="4:52">
      <c r="D94">
        <v>87</v>
      </c>
      <c r="E94" s="6">
        <f t="shared" ca="1" si="70"/>
        <v>50131</v>
      </c>
      <c r="F94" s="7">
        <f t="shared" ca="1" si="49"/>
        <v>1.4482981664981096</v>
      </c>
      <c r="G94" s="125">
        <f ca="1">IF('Simulador - 1º Pilar'!$E$99="Sí",IF('Aportaciones PPE'!$B$13&lt;'Aportaciones PPE'!E94,0,F94*$B$8/12),F94*$B$8/12)</f>
        <v>25345.217913716919</v>
      </c>
      <c r="H94" s="125">
        <f t="shared" ca="1" si="39"/>
        <v>1267.260895685846</v>
      </c>
      <c r="I94" s="125">
        <f t="shared" ca="1" si="50"/>
        <v>0</v>
      </c>
      <c r="J94" s="125">
        <f t="shared" ca="1" si="51"/>
        <v>0</v>
      </c>
      <c r="K94" s="125">
        <f t="shared" ca="1" si="52"/>
        <v>1462.9088902552949</v>
      </c>
      <c r="L94" s="125">
        <f t="shared" ca="1" si="71"/>
        <v>0</v>
      </c>
      <c r="M94" s="125">
        <f t="shared" ca="1" si="53"/>
        <v>0</v>
      </c>
      <c r="N94" s="125">
        <f t="shared" ca="1" si="54"/>
        <v>1462.9088902552949</v>
      </c>
      <c r="R94">
        <f t="shared" si="72"/>
        <v>87</v>
      </c>
      <c r="U94" s="55"/>
      <c r="V94">
        <f t="shared" si="73"/>
        <v>4</v>
      </c>
      <c r="W94">
        <f t="shared" ca="1" si="74"/>
        <v>2031</v>
      </c>
      <c r="X94" s="123">
        <f t="shared" ca="1" si="55"/>
        <v>47939</v>
      </c>
      <c r="Y94" s="64">
        <f t="shared" ca="1" si="56"/>
        <v>1092.7550987042071</v>
      </c>
      <c r="Z94" s="64">
        <f t="shared" ca="1" si="57"/>
        <v>0</v>
      </c>
      <c r="AA94" s="64">
        <f t="shared" ca="1" si="58"/>
        <v>1423.0342219045053</v>
      </c>
      <c r="AB94" s="64">
        <f t="shared" ca="1" si="59"/>
        <v>0</v>
      </c>
      <c r="AF94" t="str">
        <f t="shared" ca="1" si="40"/>
        <v>42037</v>
      </c>
      <c r="AG94" s="126">
        <f t="shared" ca="1" si="41"/>
        <v>0</v>
      </c>
      <c r="AH94" s="126">
        <f t="shared" ca="1" si="42"/>
        <v>0</v>
      </c>
      <c r="AI94" s="126">
        <f t="shared" ca="1" si="43"/>
        <v>1267.260895685846</v>
      </c>
      <c r="AJ94" t="str">
        <f t="shared" ca="1" si="44"/>
        <v>42031</v>
      </c>
      <c r="AK94" s="126">
        <f t="shared" ca="1" si="60"/>
        <v>0</v>
      </c>
      <c r="AL94" s="126">
        <f t="shared" ca="1" si="61"/>
        <v>0</v>
      </c>
      <c r="AM94" s="126">
        <f t="shared" ca="1" si="75"/>
        <v>0</v>
      </c>
      <c r="AN94" s="753">
        <f t="shared" ca="1" si="76"/>
        <v>0</v>
      </c>
      <c r="AO94" s="750">
        <f t="shared" ca="1" si="62"/>
        <v>0</v>
      </c>
      <c r="AP94" s="126">
        <f t="shared" ca="1" si="63"/>
        <v>0</v>
      </c>
      <c r="AQ94" s="126">
        <f t="shared" ca="1" si="64"/>
        <v>0</v>
      </c>
      <c r="AR94" s="126">
        <f t="shared" ca="1" si="45"/>
        <v>10000</v>
      </c>
      <c r="AS94" s="750">
        <f t="shared" ca="1" si="46"/>
        <v>0</v>
      </c>
      <c r="AT94" s="750">
        <f t="shared" ca="1" si="47"/>
        <v>0</v>
      </c>
      <c r="AU94" s="126">
        <f t="shared" ca="1" si="65"/>
        <v>1092.7550987042071</v>
      </c>
      <c r="AV94" s="126">
        <f t="shared" ca="1" si="66"/>
        <v>4371.0203948168282</v>
      </c>
      <c r="AW94" s="126">
        <f t="shared" ca="1" si="48"/>
        <v>10000</v>
      </c>
      <c r="AX94" s="750">
        <f t="shared" ca="1" si="67"/>
        <v>1092.7550987042071</v>
      </c>
      <c r="AY94" s="750">
        <f t="shared" ca="1" si="68"/>
        <v>0</v>
      </c>
      <c r="AZ94">
        <f t="shared" si="69"/>
        <v>5750</v>
      </c>
    </row>
    <row r="95" spans="4:52">
      <c r="D95">
        <v>88</v>
      </c>
      <c r="E95" s="6">
        <f t="shared" ca="1" si="70"/>
        <v>50100</v>
      </c>
      <c r="F95" s="7">
        <f t="shared" ca="1" si="49"/>
        <v>1.4482981664981096</v>
      </c>
      <c r="G95" s="125">
        <f ca="1">IF('Simulador - 1º Pilar'!$E$99="Sí",IF('Aportaciones PPE'!$B$13&lt;'Aportaciones PPE'!E95,0,F95*$B$8/12),F95*$B$8/12)</f>
        <v>25345.217913716919</v>
      </c>
      <c r="H95" s="125">
        <f t="shared" ca="1" si="39"/>
        <v>1267.260895685846</v>
      </c>
      <c r="I95" s="125">
        <f t="shared" ca="1" si="50"/>
        <v>0</v>
      </c>
      <c r="J95" s="125">
        <f t="shared" ca="1" si="51"/>
        <v>0</v>
      </c>
      <c r="K95" s="125">
        <f t="shared" ca="1" si="52"/>
        <v>1465.3250032248532</v>
      </c>
      <c r="L95" s="125">
        <f t="shared" ca="1" si="71"/>
        <v>0</v>
      </c>
      <c r="M95" s="125">
        <f t="shared" ca="1" si="53"/>
        <v>0</v>
      </c>
      <c r="N95" s="125">
        <f t="shared" ca="1" si="54"/>
        <v>1465.3250032248532</v>
      </c>
      <c r="R95">
        <f t="shared" si="72"/>
        <v>88</v>
      </c>
      <c r="U95" s="55"/>
      <c r="V95">
        <f t="shared" si="73"/>
        <v>5</v>
      </c>
      <c r="W95">
        <f t="shared" ca="1" si="74"/>
        <v>2031</v>
      </c>
      <c r="X95" s="123">
        <f t="shared" ca="1" si="55"/>
        <v>47969</v>
      </c>
      <c r="Y95" s="64">
        <f t="shared" ca="1" si="56"/>
        <v>1092.7550987042071</v>
      </c>
      <c r="Z95" s="64">
        <f t="shared" ca="1" si="57"/>
        <v>0</v>
      </c>
      <c r="AA95" s="64">
        <f t="shared" ca="1" si="58"/>
        <v>1420.7215392332805</v>
      </c>
      <c r="AB95" s="64">
        <f t="shared" ca="1" si="59"/>
        <v>0</v>
      </c>
      <c r="AF95" t="str">
        <f t="shared" ca="1" si="40"/>
        <v>32037</v>
      </c>
      <c r="AG95" s="126">
        <f t="shared" ca="1" si="41"/>
        <v>0</v>
      </c>
      <c r="AH95" s="126">
        <f t="shared" ca="1" si="42"/>
        <v>0</v>
      </c>
      <c r="AI95" s="126">
        <f t="shared" ca="1" si="43"/>
        <v>1267.260895685846</v>
      </c>
      <c r="AJ95" t="str">
        <f t="shared" ca="1" si="44"/>
        <v>52031</v>
      </c>
      <c r="AK95" s="126">
        <f t="shared" ca="1" si="60"/>
        <v>0</v>
      </c>
      <c r="AL95" s="126">
        <f t="shared" ca="1" si="61"/>
        <v>0</v>
      </c>
      <c r="AM95" s="126">
        <f t="shared" ca="1" si="75"/>
        <v>0</v>
      </c>
      <c r="AN95" s="753">
        <f t="shared" ca="1" si="76"/>
        <v>0</v>
      </c>
      <c r="AO95" s="750">
        <f t="shared" ca="1" si="62"/>
        <v>0</v>
      </c>
      <c r="AP95" s="126">
        <f t="shared" ca="1" si="63"/>
        <v>0</v>
      </c>
      <c r="AQ95" s="126">
        <f t="shared" ca="1" si="64"/>
        <v>0</v>
      </c>
      <c r="AR95" s="126">
        <f t="shared" ca="1" si="45"/>
        <v>10000</v>
      </c>
      <c r="AS95" s="750">
        <f t="shared" ca="1" si="46"/>
        <v>0</v>
      </c>
      <c r="AT95" s="750">
        <f t="shared" ca="1" si="47"/>
        <v>0</v>
      </c>
      <c r="AU95" s="126">
        <f t="shared" ca="1" si="65"/>
        <v>1092.7550987042071</v>
      </c>
      <c r="AV95" s="126">
        <f t="shared" ca="1" si="66"/>
        <v>5463.7754935210351</v>
      </c>
      <c r="AW95" s="126">
        <f t="shared" ca="1" si="48"/>
        <v>10000</v>
      </c>
      <c r="AX95" s="750">
        <f t="shared" ca="1" si="67"/>
        <v>1092.7550987042071</v>
      </c>
      <c r="AY95" s="750">
        <f t="shared" ca="1" si="68"/>
        <v>0</v>
      </c>
      <c r="AZ95">
        <f t="shared" si="69"/>
        <v>5750</v>
      </c>
    </row>
    <row r="96" spans="4:52">
      <c r="D96">
        <v>89</v>
      </c>
      <c r="E96" s="6">
        <f t="shared" ca="1" si="70"/>
        <v>50072</v>
      </c>
      <c r="F96" s="7">
        <f t="shared" ca="1" si="49"/>
        <v>1.4482981664981096</v>
      </c>
      <c r="G96" s="125">
        <f ca="1">IF('Simulador - 1º Pilar'!$E$99="Sí",IF('Aportaciones PPE'!$B$13&lt;'Aportaciones PPE'!E96,0,F96*$B$8/12),F96*$B$8/12)</f>
        <v>25345.217913716919</v>
      </c>
      <c r="H96" s="125">
        <f t="shared" ca="1" si="39"/>
        <v>1267.260895685846</v>
      </c>
      <c r="I96" s="125">
        <f t="shared" ca="1" si="50"/>
        <v>0</v>
      </c>
      <c r="J96" s="125">
        <f t="shared" ca="1" si="51"/>
        <v>0</v>
      </c>
      <c r="K96" s="125">
        <f t="shared" ca="1" si="52"/>
        <v>1467.7451066014155</v>
      </c>
      <c r="L96" s="125">
        <f t="shared" ca="1" si="71"/>
        <v>0</v>
      </c>
      <c r="M96" s="125">
        <f t="shared" ca="1" si="53"/>
        <v>0</v>
      </c>
      <c r="N96" s="125">
        <f t="shared" ca="1" si="54"/>
        <v>1467.7451066014155</v>
      </c>
      <c r="R96">
        <f t="shared" si="72"/>
        <v>89</v>
      </c>
      <c r="U96" s="55"/>
      <c r="V96">
        <f t="shared" si="73"/>
        <v>6</v>
      </c>
      <c r="W96">
        <f t="shared" ca="1" si="74"/>
        <v>2031</v>
      </c>
      <c r="X96" s="123">
        <f t="shared" ca="1" si="55"/>
        <v>48000</v>
      </c>
      <c r="Y96" s="64">
        <f t="shared" ca="1" si="56"/>
        <v>1092.7550987042071</v>
      </c>
      <c r="Z96" s="64">
        <f t="shared" ca="1" si="57"/>
        <v>0</v>
      </c>
      <c r="AA96" s="64">
        <f t="shared" ca="1" si="58"/>
        <v>1418.3357156013519</v>
      </c>
      <c r="AB96" s="64">
        <f t="shared" ca="1" si="59"/>
        <v>0</v>
      </c>
      <c r="AF96" t="str">
        <f t="shared" ca="1" si="40"/>
        <v>22037</v>
      </c>
      <c r="AG96" s="126">
        <f t="shared" ca="1" si="41"/>
        <v>0</v>
      </c>
      <c r="AH96" s="126">
        <f t="shared" ca="1" si="42"/>
        <v>0</v>
      </c>
      <c r="AI96" s="126">
        <f t="shared" ca="1" si="43"/>
        <v>1267.260895685846</v>
      </c>
      <c r="AJ96" t="str">
        <f t="shared" ca="1" si="44"/>
        <v>62031</v>
      </c>
      <c r="AK96" s="126">
        <f t="shared" ca="1" si="60"/>
        <v>0</v>
      </c>
      <c r="AL96" s="126">
        <f t="shared" ca="1" si="61"/>
        <v>0</v>
      </c>
      <c r="AM96" s="126">
        <f t="shared" ca="1" si="75"/>
        <v>0</v>
      </c>
      <c r="AN96" s="753">
        <f t="shared" ca="1" si="76"/>
        <v>0</v>
      </c>
      <c r="AO96" s="750">
        <f t="shared" ca="1" si="62"/>
        <v>0</v>
      </c>
      <c r="AP96" s="126">
        <f t="shared" ca="1" si="63"/>
        <v>0</v>
      </c>
      <c r="AQ96" s="126">
        <f t="shared" ca="1" si="64"/>
        <v>0</v>
      </c>
      <c r="AR96" s="126">
        <f t="shared" ca="1" si="45"/>
        <v>10000</v>
      </c>
      <c r="AS96" s="750">
        <f t="shared" ca="1" si="46"/>
        <v>0</v>
      </c>
      <c r="AT96" s="750">
        <f t="shared" ca="1" si="47"/>
        <v>0</v>
      </c>
      <c r="AU96" s="126">
        <f t="shared" ca="1" si="65"/>
        <v>1092.7550987042071</v>
      </c>
      <c r="AV96" s="126">
        <f t="shared" ca="1" si="66"/>
        <v>6556.5305922252419</v>
      </c>
      <c r="AW96" s="126">
        <f t="shared" ca="1" si="48"/>
        <v>10000</v>
      </c>
      <c r="AX96" s="750">
        <f t="shared" ca="1" si="67"/>
        <v>1092.7550987042071</v>
      </c>
      <c r="AY96" s="750">
        <f t="shared" ca="1" si="68"/>
        <v>0</v>
      </c>
      <c r="AZ96">
        <f t="shared" si="69"/>
        <v>5750</v>
      </c>
    </row>
    <row r="97" spans="4:52">
      <c r="D97">
        <v>90</v>
      </c>
      <c r="E97" s="6">
        <f t="shared" ca="1" si="70"/>
        <v>50041</v>
      </c>
      <c r="F97" s="7">
        <f t="shared" ca="1" si="49"/>
        <v>1.4482981664981096</v>
      </c>
      <c r="G97" s="125">
        <f ca="1">IF('Simulador - 1º Pilar'!$E$99="Sí",IF('Aportaciones PPE'!$B$13&lt;'Aportaciones PPE'!E97,0,F97*$B$8/12),F97*$B$8/12)</f>
        <v>25345.217913716919</v>
      </c>
      <c r="H97" s="125">
        <f t="shared" ca="1" si="39"/>
        <v>1267.260895685846</v>
      </c>
      <c r="I97" s="125">
        <f t="shared" ca="1" si="50"/>
        <v>0</v>
      </c>
      <c r="J97" s="125">
        <f t="shared" ca="1" si="51"/>
        <v>0</v>
      </c>
      <c r="K97" s="125">
        <f t="shared" ca="1" si="52"/>
        <v>1470.1692069754631</v>
      </c>
      <c r="L97" s="125">
        <f t="shared" ca="1" si="71"/>
        <v>0</v>
      </c>
      <c r="M97" s="125">
        <f t="shared" ca="1" si="53"/>
        <v>0</v>
      </c>
      <c r="N97" s="125">
        <f t="shared" ca="1" si="54"/>
        <v>1470.1692069754631</v>
      </c>
      <c r="R97">
        <f t="shared" si="72"/>
        <v>90</v>
      </c>
      <c r="U97" s="55"/>
      <c r="V97">
        <f t="shared" si="73"/>
        <v>7</v>
      </c>
      <c r="W97">
        <f t="shared" ca="1" si="74"/>
        <v>2031</v>
      </c>
      <c r="X97" s="123">
        <f t="shared" ca="1" si="55"/>
        <v>48030</v>
      </c>
      <c r="Y97" s="64">
        <f t="shared" ca="1" si="56"/>
        <v>1092.7550987042071</v>
      </c>
      <c r="Z97" s="64">
        <f t="shared" ca="1" si="57"/>
        <v>0</v>
      </c>
      <c r="AA97" s="64">
        <f t="shared" ca="1" si="58"/>
        <v>1416.0306688351113</v>
      </c>
      <c r="AB97" s="64">
        <f t="shared" ca="1" si="59"/>
        <v>0</v>
      </c>
      <c r="AF97" t="str">
        <f t="shared" ca="1" si="40"/>
        <v>12037</v>
      </c>
      <c r="AG97" s="126">
        <f t="shared" ca="1" si="41"/>
        <v>0</v>
      </c>
      <c r="AH97" s="126">
        <f t="shared" ca="1" si="42"/>
        <v>0</v>
      </c>
      <c r="AI97" s="126">
        <f t="shared" ca="1" si="43"/>
        <v>1267.260895685846</v>
      </c>
      <c r="AJ97" t="str">
        <f t="shared" ca="1" si="44"/>
        <v>72031</v>
      </c>
      <c r="AK97" s="126">
        <f t="shared" ca="1" si="60"/>
        <v>0</v>
      </c>
      <c r="AL97" s="126">
        <f t="shared" ca="1" si="61"/>
        <v>0</v>
      </c>
      <c r="AM97" s="126">
        <f t="shared" ca="1" si="75"/>
        <v>0</v>
      </c>
      <c r="AN97" s="753">
        <f t="shared" ca="1" si="76"/>
        <v>0</v>
      </c>
      <c r="AO97" s="750">
        <f t="shared" ca="1" si="62"/>
        <v>0</v>
      </c>
      <c r="AP97" s="126">
        <f t="shared" ca="1" si="63"/>
        <v>0</v>
      </c>
      <c r="AQ97" s="126">
        <f t="shared" ca="1" si="64"/>
        <v>0</v>
      </c>
      <c r="AR97" s="126">
        <f t="shared" ca="1" si="45"/>
        <v>10000</v>
      </c>
      <c r="AS97" s="750">
        <f t="shared" ca="1" si="46"/>
        <v>0</v>
      </c>
      <c r="AT97" s="750">
        <f t="shared" ca="1" si="47"/>
        <v>0</v>
      </c>
      <c r="AU97" s="126">
        <f t="shared" ca="1" si="65"/>
        <v>1092.7550987042071</v>
      </c>
      <c r="AV97" s="126">
        <f t="shared" ca="1" si="66"/>
        <v>7649.2856909294487</v>
      </c>
      <c r="AW97" s="126">
        <f t="shared" ca="1" si="48"/>
        <v>10000</v>
      </c>
      <c r="AX97" s="750">
        <f t="shared" ca="1" si="67"/>
        <v>1092.7550987042071</v>
      </c>
      <c r="AY97" s="750">
        <f t="shared" ca="1" si="68"/>
        <v>0</v>
      </c>
      <c r="AZ97">
        <f t="shared" si="69"/>
        <v>5750</v>
      </c>
    </row>
    <row r="98" spans="4:52">
      <c r="D98">
        <v>91</v>
      </c>
      <c r="E98" s="6">
        <f t="shared" ca="1" si="70"/>
        <v>50010</v>
      </c>
      <c r="F98" s="7">
        <f t="shared" ca="1" si="49"/>
        <v>1.4129738209737657</v>
      </c>
      <c r="G98" s="125">
        <f ca="1">IF('Simulador - 1º Pilar'!$E$99="Sí",IF('Aportaciones PPE'!$B$13&lt;'Aportaciones PPE'!E98,0,F98*$B$8/12),F98*$B$8/12)</f>
        <v>24727.041867040898</v>
      </c>
      <c r="H98" s="125">
        <f t="shared" ca="1" si="39"/>
        <v>1236.3520933520449</v>
      </c>
      <c r="I98" s="125">
        <f t="shared" ca="1" si="50"/>
        <v>0</v>
      </c>
      <c r="J98" s="125">
        <f t="shared" ca="1" si="51"/>
        <v>0</v>
      </c>
      <c r="K98" s="125">
        <f t="shared" ca="1" si="52"/>
        <v>1436.6803033642564</v>
      </c>
      <c r="L98" s="125">
        <f t="shared" ca="1" si="71"/>
        <v>0</v>
      </c>
      <c r="M98" s="125">
        <f t="shared" ca="1" si="53"/>
        <v>0</v>
      </c>
      <c r="N98" s="125">
        <f t="shared" ca="1" si="54"/>
        <v>1436.6803033642564</v>
      </c>
      <c r="R98">
        <f t="shared" si="72"/>
        <v>91</v>
      </c>
      <c r="U98" s="55"/>
      <c r="V98">
        <f t="shared" si="73"/>
        <v>8</v>
      </c>
      <c r="W98">
        <f t="shared" ca="1" si="74"/>
        <v>2031</v>
      </c>
      <c r="X98" s="123">
        <f t="shared" ca="1" si="55"/>
        <v>48061</v>
      </c>
      <c r="Y98" s="64">
        <f t="shared" ca="1" si="56"/>
        <v>1092.7550987042071</v>
      </c>
      <c r="Z98" s="64">
        <f t="shared" ca="1" si="57"/>
        <v>0</v>
      </c>
      <c r="AA98" s="64">
        <f t="shared" ca="1" si="58"/>
        <v>1413.6527226014914</v>
      </c>
      <c r="AB98" s="64">
        <f t="shared" ca="1" si="59"/>
        <v>0</v>
      </c>
      <c r="AF98" t="str">
        <f t="shared" ca="1" si="40"/>
        <v>122036</v>
      </c>
      <c r="AG98" s="126">
        <f t="shared" ca="1" si="41"/>
        <v>0</v>
      </c>
      <c r="AH98" s="126">
        <f t="shared" ca="1" si="42"/>
        <v>0</v>
      </c>
      <c r="AI98" s="126">
        <f t="shared" ca="1" si="43"/>
        <v>1236.3520933520449</v>
      </c>
      <c r="AJ98" t="str">
        <f t="shared" ca="1" si="44"/>
        <v>82031</v>
      </c>
      <c r="AK98" s="126">
        <f t="shared" ca="1" si="60"/>
        <v>0</v>
      </c>
      <c r="AL98" s="126">
        <f t="shared" ca="1" si="61"/>
        <v>0</v>
      </c>
      <c r="AM98" s="126">
        <f t="shared" ca="1" si="75"/>
        <v>0</v>
      </c>
      <c r="AN98" s="753">
        <f t="shared" ca="1" si="76"/>
        <v>0</v>
      </c>
      <c r="AO98" s="750">
        <f t="shared" ca="1" si="62"/>
        <v>0</v>
      </c>
      <c r="AP98" s="126">
        <f t="shared" ca="1" si="63"/>
        <v>0</v>
      </c>
      <c r="AQ98" s="126">
        <f t="shared" ca="1" si="64"/>
        <v>0</v>
      </c>
      <c r="AR98" s="126">
        <f t="shared" ca="1" si="45"/>
        <v>10000</v>
      </c>
      <c r="AS98" s="750">
        <f t="shared" ca="1" si="46"/>
        <v>0</v>
      </c>
      <c r="AT98" s="750">
        <f t="shared" ca="1" si="47"/>
        <v>0</v>
      </c>
      <c r="AU98" s="126">
        <f t="shared" ca="1" si="65"/>
        <v>1092.7550987042071</v>
      </c>
      <c r="AV98" s="126">
        <f t="shared" ca="1" si="66"/>
        <v>8742.0407896336565</v>
      </c>
      <c r="AW98" s="126">
        <f t="shared" ca="1" si="48"/>
        <v>10000</v>
      </c>
      <c r="AX98" s="750">
        <f t="shared" ca="1" si="67"/>
        <v>1092.7550987042071</v>
      </c>
      <c r="AY98" s="750">
        <f t="shared" ca="1" si="68"/>
        <v>0</v>
      </c>
      <c r="AZ98">
        <f t="shared" si="69"/>
        <v>5750</v>
      </c>
    </row>
    <row r="99" spans="4:52">
      <c r="D99">
        <v>92</v>
      </c>
      <c r="E99" s="6">
        <f t="shared" ca="1" si="70"/>
        <v>49980</v>
      </c>
      <c r="F99" s="7">
        <f t="shared" ca="1" si="49"/>
        <v>1.4129738209737657</v>
      </c>
      <c r="G99" s="125">
        <f ca="1">IF('Simulador - 1º Pilar'!$E$99="Sí",IF('Aportaciones PPE'!$B$13&lt;'Aportaciones PPE'!E99,0,F99*$B$8/12),F99*$B$8/12)</f>
        <v>24727.041867040898</v>
      </c>
      <c r="H99" s="125">
        <f t="shared" ca="1" si="39"/>
        <v>1236.3520933520449</v>
      </c>
      <c r="I99" s="125">
        <f t="shared" ca="1" si="50"/>
        <v>0</v>
      </c>
      <c r="J99" s="125">
        <f t="shared" ca="1" si="51"/>
        <v>0</v>
      </c>
      <c r="K99" s="125">
        <f t="shared" ca="1" si="52"/>
        <v>1439.05309769013</v>
      </c>
      <c r="L99" s="125">
        <f t="shared" ca="1" si="71"/>
        <v>0</v>
      </c>
      <c r="M99" s="125">
        <f t="shared" ca="1" si="53"/>
        <v>0</v>
      </c>
      <c r="N99" s="125">
        <f t="shared" ca="1" si="54"/>
        <v>1439.05309769013</v>
      </c>
      <c r="R99">
        <f t="shared" si="72"/>
        <v>92</v>
      </c>
      <c r="U99" s="55"/>
      <c r="V99">
        <f t="shared" si="73"/>
        <v>9</v>
      </c>
      <c r="W99">
        <f t="shared" ca="1" si="74"/>
        <v>2031</v>
      </c>
      <c r="X99" s="123">
        <f t="shared" ca="1" si="55"/>
        <v>48092</v>
      </c>
      <c r="Y99" s="64">
        <f t="shared" ca="1" si="56"/>
        <v>1092.7550987042071</v>
      </c>
      <c r="Z99" s="64">
        <f t="shared" ca="1" si="57"/>
        <v>0</v>
      </c>
      <c r="AA99" s="64">
        <f t="shared" ca="1" si="58"/>
        <v>1411.2787696629421</v>
      </c>
      <c r="AB99" s="64">
        <f t="shared" ca="1" si="59"/>
        <v>0</v>
      </c>
      <c r="AF99" t="str">
        <f t="shared" ca="1" si="40"/>
        <v>112036</v>
      </c>
      <c r="AG99" s="126">
        <f t="shared" ca="1" si="41"/>
        <v>0</v>
      </c>
      <c r="AH99" s="126">
        <f t="shared" ca="1" si="42"/>
        <v>0</v>
      </c>
      <c r="AI99" s="126">
        <f t="shared" ca="1" si="43"/>
        <v>1236.3520933520449</v>
      </c>
      <c r="AJ99" t="str">
        <f t="shared" ca="1" si="44"/>
        <v>92031</v>
      </c>
      <c r="AK99" s="126">
        <f t="shared" ca="1" si="60"/>
        <v>0</v>
      </c>
      <c r="AL99" s="126">
        <f t="shared" ca="1" si="61"/>
        <v>0</v>
      </c>
      <c r="AM99" s="126">
        <f t="shared" ca="1" si="75"/>
        <v>0</v>
      </c>
      <c r="AN99" s="753">
        <f t="shared" ca="1" si="76"/>
        <v>0</v>
      </c>
      <c r="AO99" s="750">
        <f t="shared" ca="1" si="62"/>
        <v>0</v>
      </c>
      <c r="AP99" s="126">
        <f t="shared" ca="1" si="63"/>
        <v>0</v>
      </c>
      <c r="AQ99" s="126">
        <f t="shared" ca="1" si="64"/>
        <v>0</v>
      </c>
      <c r="AR99" s="126">
        <f t="shared" ca="1" si="45"/>
        <v>10000</v>
      </c>
      <c r="AS99" s="750">
        <f t="shared" ca="1" si="46"/>
        <v>0</v>
      </c>
      <c r="AT99" s="750">
        <f t="shared" ca="1" si="47"/>
        <v>0</v>
      </c>
      <c r="AU99" s="126">
        <f t="shared" ca="1" si="65"/>
        <v>1092.7550987042071</v>
      </c>
      <c r="AV99" s="126">
        <f t="shared" ca="1" si="66"/>
        <v>9834.7958883378633</v>
      </c>
      <c r="AW99" s="126">
        <f t="shared" ca="1" si="48"/>
        <v>10000</v>
      </c>
      <c r="AX99" s="750">
        <f t="shared" ca="1" si="67"/>
        <v>1092.7550987042071</v>
      </c>
      <c r="AY99" s="750">
        <f t="shared" ca="1" si="68"/>
        <v>0</v>
      </c>
      <c r="AZ99">
        <f t="shared" si="69"/>
        <v>5750</v>
      </c>
    </row>
    <row r="100" spans="4:52">
      <c r="D100">
        <v>93</v>
      </c>
      <c r="E100" s="6">
        <f t="shared" ca="1" si="70"/>
        <v>49949</v>
      </c>
      <c r="F100" s="7">
        <f t="shared" ca="1" si="49"/>
        <v>1.4129738209737657</v>
      </c>
      <c r="G100" s="125">
        <f ca="1">IF('Simulador - 1º Pilar'!$E$99="Sí",IF('Aportaciones PPE'!$B$13&lt;'Aportaciones PPE'!E100,0,F100*$B$8/12),F100*$B$8/12)</f>
        <v>24727.041867040898</v>
      </c>
      <c r="H100" s="125">
        <f t="shared" ca="1" si="39"/>
        <v>1236.3520933520449</v>
      </c>
      <c r="I100" s="125">
        <f t="shared" ca="1" si="50"/>
        <v>0</v>
      </c>
      <c r="J100" s="125">
        <f t="shared" ca="1" si="51"/>
        <v>0</v>
      </c>
      <c r="K100" s="125">
        <f t="shared" ca="1" si="52"/>
        <v>1441.4298108787452</v>
      </c>
      <c r="L100" s="125">
        <f t="shared" ca="1" si="71"/>
        <v>0</v>
      </c>
      <c r="M100" s="125">
        <f t="shared" ca="1" si="53"/>
        <v>0</v>
      </c>
      <c r="N100" s="125">
        <f t="shared" ca="1" si="54"/>
        <v>1441.4298108787452</v>
      </c>
      <c r="R100">
        <f t="shared" si="72"/>
        <v>93</v>
      </c>
      <c r="U100" s="55"/>
      <c r="V100">
        <f t="shared" si="73"/>
        <v>10</v>
      </c>
      <c r="W100">
        <f t="shared" ca="1" si="74"/>
        <v>2031</v>
      </c>
      <c r="X100" s="123">
        <f t="shared" ca="1" si="55"/>
        <v>48122</v>
      </c>
      <c r="Y100" s="64">
        <f t="shared" ca="1" si="56"/>
        <v>165.20411166213671</v>
      </c>
      <c r="Z100" s="64">
        <f t="shared" ca="1" si="57"/>
        <v>927.55098704207035</v>
      </c>
      <c r="AA100" s="64">
        <f t="shared" ca="1" si="58"/>
        <v>213.01218105800109</v>
      </c>
      <c r="AB100" s="64">
        <f t="shared" ca="1" si="59"/>
        <v>1195.9730106258403</v>
      </c>
      <c r="AF100" t="str">
        <f t="shared" ca="1" si="40"/>
        <v>102036</v>
      </c>
      <c r="AG100" s="126">
        <f t="shared" ca="1" si="41"/>
        <v>0</v>
      </c>
      <c r="AH100" s="126">
        <f t="shared" ca="1" si="42"/>
        <v>0</v>
      </c>
      <c r="AI100" s="126">
        <f t="shared" ca="1" si="43"/>
        <v>1236.3520933520449</v>
      </c>
      <c r="AJ100" t="str">
        <f t="shared" ca="1" si="44"/>
        <v>102031</v>
      </c>
      <c r="AK100" s="126">
        <f t="shared" ca="1" si="60"/>
        <v>0</v>
      </c>
      <c r="AL100" s="126">
        <f t="shared" ca="1" si="61"/>
        <v>0</v>
      </c>
      <c r="AM100" s="126">
        <f t="shared" ca="1" si="75"/>
        <v>0</v>
      </c>
      <c r="AN100" s="753">
        <f t="shared" ca="1" si="76"/>
        <v>0</v>
      </c>
      <c r="AO100" s="750">
        <f t="shared" ca="1" si="62"/>
        <v>0</v>
      </c>
      <c r="AP100" s="126">
        <f t="shared" ca="1" si="63"/>
        <v>0</v>
      </c>
      <c r="AQ100" s="126">
        <f t="shared" ca="1" si="64"/>
        <v>0</v>
      </c>
      <c r="AR100" s="126">
        <f t="shared" ca="1" si="45"/>
        <v>10000</v>
      </c>
      <c r="AS100" s="750">
        <f t="shared" ca="1" si="46"/>
        <v>0</v>
      </c>
      <c r="AT100" s="750">
        <f t="shared" ca="1" si="47"/>
        <v>0</v>
      </c>
      <c r="AU100" s="126">
        <f t="shared" ca="1" si="65"/>
        <v>1092.7550987042071</v>
      </c>
      <c r="AV100" s="126">
        <f t="shared" ca="1" si="66"/>
        <v>10927.55098704207</v>
      </c>
      <c r="AW100" s="126">
        <f t="shared" ca="1" si="48"/>
        <v>10000</v>
      </c>
      <c r="AX100" s="750">
        <f t="shared" ca="1" si="67"/>
        <v>165.20411166213671</v>
      </c>
      <c r="AY100" s="750">
        <f t="shared" ca="1" si="68"/>
        <v>927.55098704207035</v>
      </c>
      <c r="AZ100">
        <f t="shared" si="69"/>
        <v>5750</v>
      </c>
    </row>
    <row r="101" spans="4:52">
      <c r="D101">
        <v>94</v>
      </c>
      <c r="E101" s="6">
        <f t="shared" ca="1" si="70"/>
        <v>49919</v>
      </c>
      <c r="F101" s="7">
        <f t="shared" ca="1" si="49"/>
        <v>1.4129738209737657</v>
      </c>
      <c r="G101" s="125">
        <f ca="1">IF('Simulador - 1º Pilar'!$E$99="Sí",IF('Aportaciones PPE'!$B$13&lt;'Aportaciones PPE'!E101,0,F101*$B$8/12),F101*$B$8/12)</f>
        <v>24727.041867040898</v>
      </c>
      <c r="H101" s="125">
        <f t="shared" ca="1" si="39"/>
        <v>1236.3520933520449</v>
      </c>
      <c r="I101" s="125">
        <f t="shared" ca="1" si="50"/>
        <v>0</v>
      </c>
      <c r="J101" s="125">
        <f t="shared" ca="1" si="51"/>
        <v>0</v>
      </c>
      <c r="K101" s="125">
        <f t="shared" ca="1" si="52"/>
        <v>1443.810449402423</v>
      </c>
      <c r="L101" s="125">
        <f t="shared" ca="1" si="71"/>
        <v>0</v>
      </c>
      <c r="M101" s="125">
        <f t="shared" ca="1" si="53"/>
        <v>0</v>
      </c>
      <c r="N101" s="125">
        <f t="shared" ca="1" si="54"/>
        <v>1443.810449402423</v>
      </c>
      <c r="R101">
        <f t="shared" si="72"/>
        <v>94</v>
      </c>
      <c r="U101" s="55"/>
      <c r="V101">
        <f t="shared" si="73"/>
        <v>11</v>
      </c>
      <c r="W101">
        <f t="shared" ca="1" si="74"/>
        <v>2031</v>
      </c>
      <c r="X101" s="123">
        <f t="shared" ca="1" si="55"/>
        <v>48153</v>
      </c>
      <c r="Y101" s="64">
        <f t="shared" ca="1" si="56"/>
        <v>0</v>
      </c>
      <c r="Z101" s="64">
        <f t="shared" ca="1" si="57"/>
        <v>1092.7550987042071</v>
      </c>
      <c r="AA101" s="64">
        <f t="shared" ca="1" si="58"/>
        <v>0</v>
      </c>
      <c r="AB101" s="64">
        <f t="shared" ca="1" si="59"/>
        <v>1406.6190769495136</v>
      </c>
      <c r="AF101" t="str">
        <f t="shared" ca="1" si="40"/>
        <v>92036</v>
      </c>
      <c r="AG101" s="126">
        <f t="shared" ca="1" si="41"/>
        <v>0</v>
      </c>
      <c r="AH101" s="126">
        <f t="shared" ca="1" si="42"/>
        <v>0</v>
      </c>
      <c r="AI101" s="126">
        <f t="shared" ca="1" si="43"/>
        <v>1236.3520933520449</v>
      </c>
      <c r="AJ101" t="str">
        <f t="shared" ca="1" si="44"/>
        <v>112031</v>
      </c>
      <c r="AK101" s="126">
        <f t="shared" ca="1" si="60"/>
        <v>0</v>
      </c>
      <c r="AL101" s="126">
        <f t="shared" ca="1" si="61"/>
        <v>0</v>
      </c>
      <c r="AM101" s="126">
        <f t="shared" ca="1" si="75"/>
        <v>0</v>
      </c>
      <c r="AN101" s="753">
        <f t="shared" ca="1" si="76"/>
        <v>0</v>
      </c>
      <c r="AO101" s="750">
        <f t="shared" ca="1" si="62"/>
        <v>0</v>
      </c>
      <c r="AP101" s="126">
        <f t="shared" ca="1" si="63"/>
        <v>0</v>
      </c>
      <c r="AQ101" s="126">
        <f t="shared" ca="1" si="64"/>
        <v>0</v>
      </c>
      <c r="AR101" s="126">
        <f t="shared" ca="1" si="45"/>
        <v>10000</v>
      </c>
      <c r="AS101" s="750">
        <f t="shared" ca="1" si="46"/>
        <v>0</v>
      </c>
      <c r="AT101" s="750">
        <f t="shared" ca="1" si="47"/>
        <v>0</v>
      </c>
      <c r="AU101" s="126">
        <f t="shared" ca="1" si="65"/>
        <v>1092.7550987042071</v>
      </c>
      <c r="AV101" s="126">
        <f t="shared" ca="1" si="66"/>
        <v>12020.306085746277</v>
      </c>
      <c r="AW101" s="126">
        <f t="shared" ca="1" si="48"/>
        <v>10000</v>
      </c>
      <c r="AX101" s="750">
        <f t="shared" ca="1" si="67"/>
        <v>0</v>
      </c>
      <c r="AY101" s="750">
        <f t="shared" ca="1" si="68"/>
        <v>1092.7550987042071</v>
      </c>
      <c r="AZ101">
        <f t="shared" si="69"/>
        <v>5750</v>
      </c>
    </row>
    <row r="102" spans="4:52">
      <c r="D102">
        <v>95</v>
      </c>
      <c r="E102" s="6">
        <f t="shared" ca="1" si="70"/>
        <v>49888</v>
      </c>
      <c r="F102" s="7">
        <f t="shared" ca="1" si="49"/>
        <v>1.4129738209737657</v>
      </c>
      <c r="G102" s="125">
        <f ca="1">IF('Simulador - 1º Pilar'!$E$99="Sí",IF('Aportaciones PPE'!$B$13&lt;'Aportaciones PPE'!E102,0,F102*$B$8/12),F102*$B$8/12)</f>
        <v>24727.041867040898</v>
      </c>
      <c r="H102" s="125">
        <f t="shared" ca="1" si="39"/>
        <v>1236.3520933520449</v>
      </c>
      <c r="I102" s="125">
        <f t="shared" ca="1" si="50"/>
        <v>0</v>
      </c>
      <c r="J102" s="125">
        <f t="shared" ca="1" si="51"/>
        <v>0</v>
      </c>
      <c r="K102" s="125">
        <f t="shared" ca="1" si="52"/>
        <v>1446.1950197441729</v>
      </c>
      <c r="L102" s="125">
        <f t="shared" ca="1" si="71"/>
        <v>0</v>
      </c>
      <c r="M102" s="125">
        <f t="shared" ca="1" si="53"/>
        <v>0</v>
      </c>
      <c r="N102" s="125">
        <f t="shared" ca="1" si="54"/>
        <v>1446.1950197441729</v>
      </c>
      <c r="R102">
        <f t="shared" si="72"/>
        <v>95</v>
      </c>
      <c r="U102" s="55"/>
      <c r="V102">
        <f t="shared" si="73"/>
        <v>12</v>
      </c>
      <c r="W102">
        <f t="shared" ca="1" si="74"/>
        <v>2031</v>
      </c>
      <c r="X102" s="123">
        <f t="shared" ca="1" si="55"/>
        <v>48183</v>
      </c>
      <c r="Y102" s="64">
        <f t="shared" ca="1" si="56"/>
        <v>0</v>
      </c>
      <c r="Z102" s="64">
        <f t="shared" ca="1" si="57"/>
        <v>1092.7550987042071</v>
      </c>
      <c r="AA102" s="64">
        <f t="shared" ca="1" si="58"/>
        <v>0</v>
      </c>
      <c r="AB102" s="64">
        <f t="shared" ca="1" si="59"/>
        <v>1404.3330717964386</v>
      </c>
      <c r="AF102" t="str">
        <f t="shared" ca="1" si="40"/>
        <v>82036</v>
      </c>
      <c r="AG102" s="126">
        <f t="shared" ca="1" si="41"/>
        <v>0</v>
      </c>
      <c r="AH102" s="126">
        <f t="shared" ca="1" si="42"/>
        <v>0</v>
      </c>
      <c r="AI102" s="126">
        <f t="shared" ca="1" si="43"/>
        <v>1236.3520933520449</v>
      </c>
      <c r="AJ102" t="str">
        <f t="shared" ca="1" si="44"/>
        <v>122031</v>
      </c>
      <c r="AK102" s="126">
        <f t="shared" ca="1" si="60"/>
        <v>0</v>
      </c>
      <c r="AL102" s="126">
        <f t="shared" ca="1" si="61"/>
        <v>0</v>
      </c>
      <c r="AM102" s="126">
        <f t="shared" ca="1" si="75"/>
        <v>0</v>
      </c>
      <c r="AN102" s="753">
        <f t="shared" ca="1" si="76"/>
        <v>0</v>
      </c>
      <c r="AO102" s="750">
        <f t="shared" ca="1" si="62"/>
        <v>0</v>
      </c>
      <c r="AP102" s="126">
        <f t="shared" ca="1" si="63"/>
        <v>0</v>
      </c>
      <c r="AQ102" s="126">
        <f t="shared" ca="1" si="64"/>
        <v>0</v>
      </c>
      <c r="AR102" s="126">
        <f t="shared" ca="1" si="45"/>
        <v>10000</v>
      </c>
      <c r="AS102" s="750">
        <f t="shared" ca="1" si="46"/>
        <v>0</v>
      </c>
      <c r="AT102" s="750">
        <f t="shared" ca="1" si="47"/>
        <v>0</v>
      </c>
      <c r="AU102" s="126">
        <f t="shared" ca="1" si="65"/>
        <v>1092.7550987042071</v>
      </c>
      <c r="AV102" s="126">
        <f t="shared" ca="1" si="66"/>
        <v>13113.061184450484</v>
      </c>
      <c r="AW102" s="126">
        <f t="shared" ca="1" si="48"/>
        <v>10000</v>
      </c>
      <c r="AX102" s="750">
        <f t="shared" ca="1" si="67"/>
        <v>0</v>
      </c>
      <c r="AY102" s="750">
        <f t="shared" ca="1" si="68"/>
        <v>1092.7550987042071</v>
      </c>
      <c r="AZ102">
        <f t="shared" si="69"/>
        <v>5750</v>
      </c>
    </row>
    <row r="103" spans="4:52">
      <c r="D103">
        <v>96</v>
      </c>
      <c r="E103" s="6">
        <f t="shared" ca="1" si="70"/>
        <v>49857</v>
      </c>
      <c r="F103" s="7">
        <f t="shared" ca="1" si="49"/>
        <v>1.4129738209737657</v>
      </c>
      <c r="G103" s="125">
        <f ca="1">IF('Simulador - 1º Pilar'!$E$99="Sí",IF('Aportaciones PPE'!$B$13&lt;'Aportaciones PPE'!E103,0,F103*$B$8/12),F103*$B$8/12)</f>
        <v>24727.041867040898</v>
      </c>
      <c r="H103" s="125">
        <f t="shared" ca="1" si="39"/>
        <v>1236.3520933520449</v>
      </c>
      <c r="I103" s="125">
        <f t="shared" ca="1" si="50"/>
        <v>0</v>
      </c>
      <c r="J103" s="125">
        <f t="shared" ca="1" si="51"/>
        <v>0</v>
      </c>
      <c r="K103" s="125">
        <f t="shared" ca="1" si="52"/>
        <v>1448.5835283977121</v>
      </c>
      <c r="L103" s="125">
        <f t="shared" ca="1" si="71"/>
        <v>0</v>
      </c>
      <c r="M103" s="125">
        <f t="shared" ca="1" si="53"/>
        <v>0</v>
      </c>
      <c r="N103" s="125">
        <f t="shared" ca="1" si="54"/>
        <v>1448.5835283977121</v>
      </c>
      <c r="R103">
        <f t="shared" si="72"/>
        <v>96</v>
      </c>
      <c r="U103" s="55"/>
      <c r="V103">
        <f t="shared" si="73"/>
        <v>1</v>
      </c>
      <c r="W103">
        <f t="shared" ca="1" si="74"/>
        <v>2032</v>
      </c>
      <c r="X103" s="123">
        <f t="shared" ca="1" si="55"/>
        <v>48214</v>
      </c>
      <c r="Y103" s="64">
        <f t="shared" ca="1" si="56"/>
        <v>1120.0739761718121</v>
      </c>
      <c r="Z103" s="64">
        <f t="shared" ca="1" si="57"/>
        <v>0</v>
      </c>
      <c r="AA103" s="64">
        <f t="shared" ca="1" si="58"/>
        <v>1437.0241386211876</v>
      </c>
      <c r="AB103" s="64">
        <f t="shared" ca="1" si="59"/>
        <v>0</v>
      </c>
      <c r="AF103" t="str">
        <f t="shared" ca="1" si="40"/>
        <v>72036</v>
      </c>
      <c r="AG103" s="126">
        <f t="shared" ca="1" si="41"/>
        <v>0</v>
      </c>
      <c r="AH103" s="126">
        <f t="shared" ca="1" si="42"/>
        <v>0</v>
      </c>
      <c r="AI103" s="126">
        <f t="shared" ca="1" si="43"/>
        <v>1236.3520933520449</v>
      </c>
      <c r="AJ103" t="str">
        <f t="shared" ca="1" si="44"/>
        <v>12032</v>
      </c>
      <c r="AK103" s="126">
        <f t="shared" ca="1" si="60"/>
        <v>0</v>
      </c>
      <c r="AL103" s="126">
        <f t="shared" ca="1" si="61"/>
        <v>0</v>
      </c>
      <c r="AM103" s="126">
        <f t="shared" ca="1" si="75"/>
        <v>0</v>
      </c>
      <c r="AN103" s="753">
        <f t="shared" ca="1" si="76"/>
        <v>0</v>
      </c>
      <c r="AO103" s="750">
        <f t="shared" ca="1" si="62"/>
        <v>0</v>
      </c>
      <c r="AP103" s="126">
        <f t="shared" ca="1" si="63"/>
        <v>0</v>
      </c>
      <c r="AQ103" s="126">
        <f t="shared" ca="1" si="64"/>
        <v>0</v>
      </c>
      <c r="AR103" s="126">
        <f t="shared" ca="1" si="45"/>
        <v>10000</v>
      </c>
      <c r="AS103" s="750">
        <f t="shared" ca="1" si="46"/>
        <v>0</v>
      </c>
      <c r="AT103" s="750">
        <f t="shared" ca="1" si="47"/>
        <v>0</v>
      </c>
      <c r="AU103" s="126">
        <f t="shared" ca="1" si="65"/>
        <v>1120.0739761718121</v>
      </c>
      <c r="AV103" s="126">
        <f t="shared" ca="1" si="66"/>
        <v>1120.0739761718121</v>
      </c>
      <c r="AW103" s="126">
        <f t="shared" ca="1" si="48"/>
        <v>10000</v>
      </c>
      <c r="AX103" s="750">
        <f t="shared" ca="1" si="67"/>
        <v>1120.0739761718121</v>
      </c>
      <c r="AY103" s="750">
        <f t="shared" ca="1" si="68"/>
        <v>0</v>
      </c>
      <c r="AZ103">
        <f t="shared" si="69"/>
        <v>5750</v>
      </c>
    </row>
    <row r="104" spans="4:52">
      <c r="D104">
        <v>97</v>
      </c>
      <c r="E104" s="6">
        <f t="shared" ca="1" si="70"/>
        <v>49827</v>
      </c>
      <c r="F104" s="7">
        <f t="shared" ca="1" si="49"/>
        <v>1.4129738209737657</v>
      </c>
      <c r="G104" s="125">
        <f ca="1">IF('Simulador - 1º Pilar'!$E$99="Sí",IF('Aportaciones PPE'!$B$13&lt;'Aportaciones PPE'!E104,0,F104*$B$8/12),F104*$B$8/12)</f>
        <v>24727.041867040898</v>
      </c>
      <c r="H104" s="125">
        <f t="shared" ca="1" si="39"/>
        <v>1236.3520933520449</v>
      </c>
      <c r="I104" s="125">
        <f t="shared" ca="1" si="50"/>
        <v>0</v>
      </c>
      <c r="J104" s="125">
        <f t="shared" ca="1" si="51"/>
        <v>0</v>
      </c>
      <c r="K104" s="125">
        <f t="shared" ca="1" si="52"/>
        <v>1450.9759818674838</v>
      </c>
      <c r="L104" s="125">
        <f t="shared" ca="1" si="71"/>
        <v>0</v>
      </c>
      <c r="M104" s="125">
        <f t="shared" ca="1" si="53"/>
        <v>0</v>
      </c>
      <c r="N104" s="125">
        <f t="shared" ca="1" si="54"/>
        <v>1450.9759818674838</v>
      </c>
      <c r="R104">
        <f t="shared" si="72"/>
        <v>97</v>
      </c>
      <c r="U104" s="55"/>
      <c r="V104">
        <f t="shared" si="73"/>
        <v>2</v>
      </c>
      <c r="W104">
        <f t="shared" ca="1" si="74"/>
        <v>2032</v>
      </c>
      <c r="X104" s="123">
        <f t="shared" ca="1" si="55"/>
        <v>48245</v>
      </c>
      <c r="Y104" s="64">
        <f t="shared" ca="1" si="56"/>
        <v>1120.0739761718121</v>
      </c>
      <c r="Z104" s="64">
        <f t="shared" ca="1" si="57"/>
        <v>0</v>
      </c>
      <c r="AA104" s="64">
        <f t="shared" ca="1" si="58"/>
        <v>1434.6109379658185</v>
      </c>
      <c r="AB104" s="64">
        <f t="shared" ca="1" si="59"/>
        <v>0</v>
      </c>
      <c r="AF104" t="str">
        <f t="shared" ca="1" si="40"/>
        <v>62036</v>
      </c>
      <c r="AG104" s="126">
        <f t="shared" ca="1" si="41"/>
        <v>0</v>
      </c>
      <c r="AH104" s="126">
        <f t="shared" ca="1" si="42"/>
        <v>0</v>
      </c>
      <c r="AI104" s="126">
        <f t="shared" ca="1" si="43"/>
        <v>1236.3520933520449</v>
      </c>
      <c r="AJ104" t="str">
        <f t="shared" ca="1" si="44"/>
        <v>22032</v>
      </c>
      <c r="AK104" s="126">
        <f t="shared" ca="1" si="60"/>
        <v>0</v>
      </c>
      <c r="AL104" s="126">
        <f t="shared" ca="1" si="61"/>
        <v>0</v>
      </c>
      <c r="AM104" s="126">
        <f t="shared" ca="1" si="75"/>
        <v>0</v>
      </c>
      <c r="AN104" s="753">
        <f t="shared" ca="1" si="76"/>
        <v>0</v>
      </c>
      <c r="AO104" s="750">
        <f t="shared" ca="1" si="62"/>
        <v>0</v>
      </c>
      <c r="AP104" s="126">
        <f t="shared" ca="1" si="63"/>
        <v>0</v>
      </c>
      <c r="AQ104" s="126">
        <f t="shared" ca="1" si="64"/>
        <v>0</v>
      </c>
      <c r="AR104" s="126">
        <f t="shared" ca="1" si="45"/>
        <v>10000</v>
      </c>
      <c r="AS104" s="750">
        <f t="shared" ca="1" si="46"/>
        <v>0</v>
      </c>
      <c r="AT104" s="750">
        <f t="shared" ca="1" si="47"/>
        <v>0</v>
      </c>
      <c r="AU104" s="126">
        <f t="shared" ca="1" si="65"/>
        <v>1120.0739761718121</v>
      </c>
      <c r="AV104" s="126">
        <f t="shared" ca="1" si="66"/>
        <v>2240.1479523436242</v>
      </c>
      <c r="AW104" s="126">
        <f t="shared" ca="1" si="48"/>
        <v>10000</v>
      </c>
      <c r="AX104" s="750">
        <f t="shared" ca="1" si="67"/>
        <v>1120.0739761718121</v>
      </c>
      <c r="AY104" s="750">
        <f t="shared" ca="1" si="68"/>
        <v>0</v>
      </c>
      <c r="AZ104">
        <f t="shared" si="69"/>
        <v>5750</v>
      </c>
    </row>
    <row r="105" spans="4:52">
      <c r="D105">
        <v>98</v>
      </c>
      <c r="E105" s="6">
        <f t="shared" ca="1" si="70"/>
        <v>49796</v>
      </c>
      <c r="F105" s="7">
        <f t="shared" ca="1" si="49"/>
        <v>1.4129738209737657</v>
      </c>
      <c r="G105" s="125">
        <f ca="1">IF('Simulador - 1º Pilar'!$E$99="Sí",IF('Aportaciones PPE'!$B$13&lt;'Aportaciones PPE'!E105,0,F105*$B$8/12),F105*$B$8/12)</f>
        <v>24727.041867040898</v>
      </c>
      <c r="H105" s="125">
        <f t="shared" ca="1" si="39"/>
        <v>1236.3520933520449</v>
      </c>
      <c r="I105" s="125">
        <f t="shared" ca="1" si="50"/>
        <v>0</v>
      </c>
      <c r="J105" s="125">
        <f t="shared" ca="1" si="51"/>
        <v>0</v>
      </c>
      <c r="K105" s="125">
        <f t="shared" ca="1" si="52"/>
        <v>1453.3723866686714</v>
      </c>
      <c r="L105" s="125">
        <f t="shared" ca="1" si="71"/>
        <v>0</v>
      </c>
      <c r="M105" s="125">
        <f t="shared" ca="1" si="53"/>
        <v>0</v>
      </c>
      <c r="N105" s="125">
        <f t="shared" ca="1" si="54"/>
        <v>1453.3723866686714</v>
      </c>
      <c r="R105">
        <f t="shared" si="72"/>
        <v>98</v>
      </c>
      <c r="U105" s="55"/>
      <c r="V105">
        <f t="shared" si="73"/>
        <v>3</v>
      </c>
      <c r="W105">
        <f t="shared" ca="1" si="74"/>
        <v>2032</v>
      </c>
      <c r="X105" s="123">
        <f t="shared" ca="1" si="55"/>
        <v>48274</v>
      </c>
      <c r="Y105" s="64">
        <f t="shared" ca="1" si="56"/>
        <v>1120.0739761718121</v>
      </c>
      <c r="Z105" s="64">
        <f t="shared" ca="1" si="57"/>
        <v>0</v>
      </c>
      <c r="AA105" s="64">
        <f t="shared" ca="1" si="58"/>
        <v>1432.3570965625302</v>
      </c>
      <c r="AB105" s="64">
        <f t="shared" ca="1" si="59"/>
        <v>0</v>
      </c>
      <c r="AF105" t="str">
        <f t="shared" ca="1" si="40"/>
        <v>52036</v>
      </c>
      <c r="AG105" s="126">
        <f t="shared" ca="1" si="41"/>
        <v>0</v>
      </c>
      <c r="AH105" s="126">
        <f t="shared" ca="1" si="42"/>
        <v>0</v>
      </c>
      <c r="AI105" s="126">
        <f t="shared" ca="1" si="43"/>
        <v>1236.3520933520449</v>
      </c>
      <c r="AJ105" t="str">
        <f t="shared" ca="1" si="44"/>
        <v>32032</v>
      </c>
      <c r="AK105" s="126">
        <f t="shared" ca="1" si="60"/>
        <v>0</v>
      </c>
      <c r="AL105" s="126">
        <f t="shared" ca="1" si="61"/>
        <v>0</v>
      </c>
      <c r="AM105" s="126">
        <f t="shared" ca="1" si="75"/>
        <v>0</v>
      </c>
      <c r="AN105" s="753">
        <f t="shared" ca="1" si="76"/>
        <v>0</v>
      </c>
      <c r="AO105" s="750">
        <f t="shared" ca="1" si="62"/>
        <v>0</v>
      </c>
      <c r="AP105" s="126">
        <f t="shared" ca="1" si="63"/>
        <v>0</v>
      </c>
      <c r="AQ105" s="126">
        <f t="shared" ca="1" si="64"/>
        <v>0</v>
      </c>
      <c r="AR105" s="126">
        <f t="shared" ca="1" si="45"/>
        <v>10000</v>
      </c>
      <c r="AS105" s="750">
        <f t="shared" ca="1" si="46"/>
        <v>0</v>
      </c>
      <c r="AT105" s="750">
        <f t="shared" ca="1" si="47"/>
        <v>0</v>
      </c>
      <c r="AU105" s="126">
        <f t="shared" ca="1" si="65"/>
        <v>1120.0739761718121</v>
      </c>
      <c r="AV105" s="126">
        <f t="shared" ca="1" si="66"/>
        <v>3360.221928515436</v>
      </c>
      <c r="AW105" s="126">
        <f t="shared" ca="1" si="48"/>
        <v>10000</v>
      </c>
      <c r="AX105" s="750">
        <f t="shared" ca="1" si="67"/>
        <v>1120.0739761718121</v>
      </c>
      <c r="AY105" s="750">
        <f t="shared" ca="1" si="68"/>
        <v>0</v>
      </c>
      <c r="AZ105">
        <f t="shared" si="69"/>
        <v>5750</v>
      </c>
    </row>
    <row r="106" spans="4:52">
      <c r="D106">
        <v>99</v>
      </c>
      <c r="E106" s="6">
        <f t="shared" ca="1" si="70"/>
        <v>49766</v>
      </c>
      <c r="F106" s="7">
        <f t="shared" ca="1" si="49"/>
        <v>1.4129738209737657</v>
      </c>
      <c r="G106" s="125">
        <f ca="1">IF('Simulador - 1º Pilar'!$E$99="Sí",IF('Aportaciones PPE'!$B$13&lt;'Aportaciones PPE'!E106,0,F106*$B$8/12),F106*$B$8/12)</f>
        <v>24727.041867040898</v>
      </c>
      <c r="H106" s="125">
        <f t="shared" ca="1" si="39"/>
        <v>1236.3520933520449</v>
      </c>
      <c r="I106" s="125">
        <f t="shared" ca="1" si="50"/>
        <v>0</v>
      </c>
      <c r="J106" s="125">
        <f t="shared" ca="1" si="51"/>
        <v>0</v>
      </c>
      <c r="K106" s="125">
        <f t="shared" ca="1" si="52"/>
        <v>1455.7727493272203</v>
      </c>
      <c r="L106" s="125">
        <f t="shared" ca="1" si="71"/>
        <v>0</v>
      </c>
      <c r="M106" s="125">
        <f t="shared" ca="1" si="53"/>
        <v>0</v>
      </c>
      <c r="N106" s="125">
        <f t="shared" ca="1" si="54"/>
        <v>1455.7727493272203</v>
      </c>
      <c r="R106">
        <f t="shared" si="72"/>
        <v>99</v>
      </c>
      <c r="U106" s="55"/>
      <c r="V106">
        <f t="shared" si="73"/>
        <v>4</v>
      </c>
      <c r="W106">
        <f t="shared" ca="1" si="74"/>
        <v>2032</v>
      </c>
      <c r="X106" s="123">
        <f t="shared" ca="1" si="55"/>
        <v>48305</v>
      </c>
      <c r="Y106" s="64">
        <f t="shared" ca="1" si="56"/>
        <v>1120.0739761718121</v>
      </c>
      <c r="Z106" s="64">
        <f t="shared" ca="1" si="57"/>
        <v>0</v>
      </c>
      <c r="AA106" s="64">
        <f t="shared" ca="1" si="58"/>
        <v>1429.9517332904397</v>
      </c>
      <c r="AB106" s="64">
        <f t="shared" ca="1" si="59"/>
        <v>0</v>
      </c>
      <c r="AF106" t="str">
        <f t="shared" ca="1" si="40"/>
        <v>42036</v>
      </c>
      <c r="AG106" s="126">
        <f t="shared" ca="1" si="41"/>
        <v>0</v>
      </c>
      <c r="AH106" s="126">
        <f t="shared" ca="1" si="42"/>
        <v>0</v>
      </c>
      <c r="AI106" s="126">
        <f t="shared" ca="1" si="43"/>
        <v>1236.3520933520449</v>
      </c>
      <c r="AJ106" t="str">
        <f t="shared" ca="1" si="44"/>
        <v>42032</v>
      </c>
      <c r="AK106" s="126">
        <f t="shared" ca="1" si="60"/>
        <v>0</v>
      </c>
      <c r="AL106" s="126">
        <f t="shared" ca="1" si="61"/>
        <v>0</v>
      </c>
      <c r="AM106" s="126">
        <f t="shared" ca="1" si="75"/>
        <v>0</v>
      </c>
      <c r="AN106" s="753">
        <f t="shared" ca="1" si="76"/>
        <v>0</v>
      </c>
      <c r="AO106" s="750">
        <f t="shared" ca="1" si="62"/>
        <v>0</v>
      </c>
      <c r="AP106" s="126">
        <f t="shared" ca="1" si="63"/>
        <v>0</v>
      </c>
      <c r="AQ106" s="126">
        <f t="shared" ca="1" si="64"/>
        <v>0</v>
      </c>
      <c r="AR106" s="126">
        <f t="shared" ca="1" si="45"/>
        <v>10000</v>
      </c>
      <c r="AS106" s="750">
        <f t="shared" ca="1" si="46"/>
        <v>0</v>
      </c>
      <c r="AT106" s="750">
        <f t="shared" ca="1" si="47"/>
        <v>0</v>
      </c>
      <c r="AU106" s="126">
        <f t="shared" ca="1" si="65"/>
        <v>1120.0739761718121</v>
      </c>
      <c r="AV106" s="126">
        <f t="shared" ca="1" si="66"/>
        <v>4480.2959046872484</v>
      </c>
      <c r="AW106" s="126">
        <f t="shared" ca="1" si="48"/>
        <v>10000</v>
      </c>
      <c r="AX106" s="750">
        <f t="shared" ca="1" si="67"/>
        <v>1120.0739761718121</v>
      </c>
      <c r="AY106" s="750">
        <f t="shared" ca="1" si="68"/>
        <v>0</v>
      </c>
      <c r="AZ106">
        <f t="shared" si="69"/>
        <v>5750</v>
      </c>
    </row>
    <row r="107" spans="4:52">
      <c r="D107">
        <v>100</v>
      </c>
      <c r="E107" s="6">
        <f t="shared" ca="1" si="70"/>
        <v>49735</v>
      </c>
      <c r="F107" s="7">
        <f t="shared" ca="1" si="49"/>
        <v>1.4129738209737657</v>
      </c>
      <c r="G107" s="125">
        <f ca="1">IF('Simulador - 1º Pilar'!$E$99="Sí",IF('Aportaciones PPE'!$B$13&lt;'Aportaciones PPE'!E107,0,F107*$B$8/12),F107*$B$8/12)</f>
        <v>24727.041867040898</v>
      </c>
      <c r="H107" s="125">
        <f t="shared" ca="1" si="39"/>
        <v>1236.3520933520449</v>
      </c>
      <c r="I107" s="125">
        <f t="shared" ca="1" si="50"/>
        <v>0</v>
      </c>
      <c r="J107" s="125">
        <f t="shared" ca="1" si="51"/>
        <v>0</v>
      </c>
      <c r="K107" s="125">
        <f t="shared" ca="1" si="52"/>
        <v>1458.177076379854</v>
      </c>
      <c r="L107" s="125">
        <f t="shared" ca="1" si="71"/>
        <v>0</v>
      </c>
      <c r="M107" s="125">
        <f t="shared" ca="1" si="53"/>
        <v>0</v>
      </c>
      <c r="N107" s="125">
        <f t="shared" ca="1" si="54"/>
        <v>1458.177076379854</v>
      </c>
      <c r="R107">
        <f t="shared" si="72"/>
        <v>100</v>
      </c>
      <c r="U107" s="55"/>
      <c r="V107">
        <f t="shared" si="73"/>
        <v>5</v>
      </c>
      <c r="W107">
        <f t="shared" ca="1" si="74"/>
        <v>2032</v>
      </c>
      <c r="X107" s="123">
        <f t="shared" ca="1" si="55"/>
        <v>48335</v>
      </c>
      <c r="Y107" s="64">
        <f t="shared" ca="1" si="56"/>
        <v>1120.0739761718121</v>
      </c>
      <c r="Z107" s="64">
        <f t="shared" ca="1" si="57"/>
        <v>0</v>
      </c>
      <c r="AA107" s="64">
        <f t="shared" ca="1" si="58"/>
        <v>1427.6278084379207</v>
      </c>
      <c r="AB107" s="64">
        <f t="shared" ca="1" si="59"/>
        <v>0</v>
      </c>
      <c r="AF107" t="str">
        <f t="shared" ca="1" si="40"/>
        <v>32036</v>
      </c>
      <c r="AG107" s="126">
        <f t="shared" ca="1" si="41"/>
        <v>0</v>
      </c>
      <c r="AH107" s="126">
        <f t="shared" ca="1" si="42"/>
        <v>0</v>
      </c>
      <c r="AI107" s="126">
        <f t="shared" ca="1" si="43"/>
        <v>1236.3520933520449</v>
      </c>
      <c r="AJ107" t="str">
        <f t="shared" ca="1" si="44"/>
        <v>52032</v>
      </c>
      <c r="AK107" s="126">
        <f t="shared" ca="1" si="60"/>
        <v>0</v>
      </c>
      <c r="AL107" s="126">
        <f t="shared" ca="1" si="61"/>
        <v>0</v>
      </c>
      <c r="AM107" s="126">
        <f t="shared" ca="1" si="75"/>
        <v>0</v>
      </c>
      <c r="AN107" s="753">
        <f t="shared" ca="1" si="76"/>
        <v>0</v>
      </c>
      <c r="AO107" s="750">
        <f t="shared" ca="1" si="62"/>
        <v>0</v>
      </c>
      <c r="AP107" s="126">
        <f t="shared" ca="1" si="63"/>
        <v>0</v>
      </c>
      <c r="AQ107" s="126">
        <f t="shared" ca="1" si="64"/>
        <v>0</v>
      </c>
      <c r="AR107" s="126">
        <f t="shared" ca="1" si="45"/>
        <v>10000</v>
      </c>
      <c r="AS107" s="750">
        <f t="shared" ca="1" si="46"/>
        <v>0</v>
      </c>
      <c r="AT107" s="750">
        <f t="shared" ca="1" si="47"/>
        <v>0</v>
      </c>
      <c r="AU107" s="126">
        <f t="shared" ca="1" si="65"/>
        <v>1120.0739761718121</v>
      </c>
      <c r="AV107" s="126">
        <f t="shared" ca="1" si="66"/>
        <v>5600.3698808590607</v>
      </c>
      <c r="AW107" s="126">
        <f t="shared" ca="1" si="48"/>
        <v>10000</v>
      </c>
      <c r="AX107" s="750">
        <f t="shared" ca="1" si="67"/>
        <v>1120.0739761718121</v>
      </c>
      <c r="AY107" s="750">
        <f t="shared" ca="1" si="68"/>
        <v>0</v>
      </c>
      <c r="AZ107">
        <f t="shared" si="69"/>
        <v>5750</v>
      </c>
    </row>
    <row r="108" spans="4:52">
      <c r="D108">
        <v>101</v>
      </c>
      <c r="E108" s="6">
        <f t="shared" ca="1" si="70"/>
        <v>49706</v>
      </c>
      <c r="F108" s="7">
        <f t="shared" ca="1" si="49"/>
        <v>1.4129738209737657</v>
      </c>
      <c r="G108" s="125">
        <f ca="1">IF('Simulador - 1º Pilar'!$E$99="Sí",IF('Aportaciones PPE'!$B$13&lt;'Aportaciones PPE'!E108,0,F108*$B$8/12),F108*$B$8/12)</f>
        <v>24727.041867040898</v>
      </c>
      <c r="H108" s="125">
        <f t="shared" ca="1" si="39"/>
        <v>1236.3520933520449</v>
      </c>
      <c r="I108" s="125">
        <f t="shared" ca="1" si="50"/>
        <v>0</v>
      </c>
      <c r="J108" s="125">
        <f t="shared" ca="1" si="51"/>
        <v>0</v>
      </c>
      <c r="K108" s="125">
        <f t="shared" ca="1" si="52"/>
        <v>1460.5853743740915</v>
      </c>
      <c r="L108" s="125">
        <f t="shared" ca="1" si="71"/>
        <v>0</v>
      </c>
      <c r="M108" s="125">
        <f t="shared" ca="1" si="53"/>
        <v>0</v>
      </c>
      <c r="N108" s="125">
        <f t="shared" ca="1" si="54"/>
        <v>1460.5853743740915</v>
      </c>
      <c r="R108">
        <f t="shared" si="72"/>
        <v>101</v>
      </c>
      <c r="U108" s="55"/>
      <c r="V108">
        <f t="shared" si="73"/>
        <v>6</v>
      </c>
      <c r="W108">
        <f t="shared" ca="1" si="74"/>
        <v>2032</v>
      </c>
      <c r="X108" s="123">
        <f t="shared" ca="1" si="55"/>
        <v>48366</v>
      </c>
      <c r="Y108" s="64">
        <f t="shared" ca="1" si="56"/>
        <v>1120.0739761718121</v>
      </c>
      <c r="Z108" s="64">
        <f t="shared" ca="1" si="57"/>
        <v>0</v>
      </c>
      <c r="AA108" s="64">
        <f t="shared" ca="1" si="58"/>
        <v>1425.2303870791879</v>
      </c>
      <c r="AB108" s="64">
        <f t="shared" ca="1" si="59"/>
        <v>0</v>
      </c>
      <c r="AF108" t="str">
        <f t="shared" ca="1" si="40"/>
        <v>22036</v>
      </c>
      <c r="AG108" s="126">
        <f t="shared" ca="1" si="41"/>
        <v>0</v>
      </c>
      <c r="AH108" s="126">
        <f t="shared" ca="1" si="42"/>
        <v>0</v>
      </c>
      <c r="AI108" s="126">
        <f t="shared" ca="1" si="43"/>
        <v>1236.3520933520449</v>
      </c>
      <c r="AJ108" t="str">
        <f t="shared" ca="1" si="44"/>
        <v>62032</v>
      </c>
      <c r="AK108" s="126">
        <f t="shared" ca="1" si="60"/>
        <v>0</v>
      </c>
      <c r="AL108" s="126">
        <f t="shared" ca="1" si="61"/>
        <v>0</v>
      </c>
      <c r="AM108" s="126">
        <f t="shared" ca="1" si="75"/>
        <v>0</v>
      </c>
      <c r="AN108" s="753">
        <f t="shared" ca="1" si="76"/>
        <v>0</v>
      </c>
      <c r="AO108" s="750">
        <f t="shared" ca="1" si="62"/>
        <v>0</v>
      </c>
      <c r="AP108" s="126">
        <f t="shared" ca="1" si="63"/>
        <v>0</v>
      </c>
      <c r="AQ108" s="126">
        <f t="shared" ca="1" si="64"/>
        <v>0</v>
      </c>
      <c r="AR108" s="126">
        <f t="shared" ca="1" si="45"/>
        <v>10000</v>
      </c>
      <c r="AS108" s="750">
        <f t="shared" ca="1" si="46"/>
        <v>0</v>
      </c>
      <c r="AT108" s="750">
        <f t="shared" ca="1" si="47"/>
        <v>0</v>
      </c>
      <c r="AU108" s="126">
        <f t="shared" ca="1" si="65"/>
        <v>1120.0739761718121</v>
      </c>
      <c r="AV108" s="126">
        <f t="shared" ca="1" si="66"/>
        <v>6720.443857030873</v>
      </c>
      <c r="AW108" s="126">
        <f t="shared" ca="1" si="48"/>
        <v>10000</v>
      </c>
      <c r="AX108" s="750">
        <f t="shared" ca="1" si="67"/>
        <v>1120.0739761718121</v>
      </c>
      <c r="AY108" s="750">
        <f t="shared" ca="1" si="68"/>
        <v>0</v>
      </c>
      <c r="AZ108">
        <f t="shared" si="69"/>
        <v>5750</v>
      </c>
    </row>
    <row r="109" spans="4:52">
      <c r="D109">
        <v>102</v>
      </c>
      <c r="E109" s="6">
        <f t="shared" ca="1" si="70"/>
        <v>49675</v>
      </c>
      <c r="F109" s="7">
        <f t="shared" ca="1" si="49"/>
        <v>1.4129738209737657</v>
      </c>
      <c r="G109" s="125">
        <f ca="1">IF('Simulador - 1º Pilar'!$E$99="Sí",IF('Aportaciones PPE'!$B$13&lt;'Aportaciones PPE'!E109,0,F109*$B$8/12),F109*$B$8/12)</f>
        <v>24727.041867040898</v>
      </c>
      <c r="H109" s="125">
        <f t="shared" ca="1" si="39"/>
        <v>1236.3520933520449</v>
      </c>
      <c r="I109" s="125">
        <f t="shared" ca="1" si="50"/>
        <v>0</v>
      </c>
      <c r="J109" s="125">
        <f t="shared" ca="1" si="51"/>
        <v>0</v>
      </c>
      <c r="K109" s="125">
        <f t="shared" ca="1" si="52"/>
        <v>1462.9976498682661</v>
      </c>
      <c r="L109" s="125">
        <f t="shared" ca="1" si="71"/>
        <v>0</v>
      </c>
      <c r="M109" s="125">
        <f t="shared" ca="1" si="53"/>
        <v>0</v>
      </c>
      <c r="N109" s="125">
        <f t="shared" ca="1" si="54"/>
        <v>1462.9976498682661</v>
      </c>
      <c r="R109">
        <f t="shared" si="72"/>
        <v>102</v>
      </c>
      <c r="U109" s="55"/>
      <c r="V109">
        <f t="shared" si="73"/>
        <v>7</v>
      </c>
      <c r="W109">
        <f t="shared" ca="1" si="74"/>
        <v>2032</v>
      </c>
      <c r="X109" s="123">
        <f t="shared" ca="1" si="55"/>
        <v>48396</v>
      </c>
      <c r="Y109" s="64">
        <f t="shared" ca="1" si="56"/>
        <v>1120.0739761718121</v>
      </c>
      <c r="Z109" s="64">
        <f t="shared" ca="1" si="57"/>
        <v>0</v>
      </c>
      <c r="AA109" s="64">
        <f t="shared" ca="1" si="58"/>
        <v>1422.9141352505496</v>
      </c>
      <c r="AB109" s="64">
        <f t="shared" ca="1" si="59"/>
        <v>0</v>
      </c>
      <c r="AF109" t="str">
        <f t="shared" ca="1" si="40"/>
        <v>12036</v>
      </c>
      <c r="AG109" s="126">
        <f t="shared" ca="1" si="41"/>
        <v>0</v>
      </c>
      <c r="AH109" s="126">
        <f t="shared" ca="1" si="42"/>
        <v>0</v>
      </c>
      <c r="AI109" s="126">
        <f t="shared" ca="1" si="43"/>
        <v>1236.3520933520449</v>
      </c>
      <c r="AJ109" t="str">
        <f t="shared" ca="1" si="44"/>
        <v>72032</v>
      </c>
      <c r="AK109" s="126">
        <f t="shared" ca="1" si="60"/>
        <v>0</v>
      </c>
      <c r="AL109" s="126">
        <f t="shared" ca="1" si="61"/>
        <v>0</v>
      </c>
      <c r="AM109" s="126">
        <f t="shared" ca="1" si="75"/>
        <v>0</v>
      </c>
      <c r="AN109" s="753">
        <f t="shared" ca="1" si="76"/>
        <v>0</v>
      </c>
      <c r="AO109" s="750">
        <f t="shared" ca="1" si="62"/>
        <v>0</v>
      </c>
      <c r="AP109" s="126">
        <f t="shared" ca="1" si="63"/>
        <v>0</v>
      </c>
      <c r="AQ109" s="126">
        <f t="shared" ca="1" si="64"/>
        <v>0</v>
      </c>
      <c r="AR109" s="126">
        <f t="shared" ca="1" si="45"/>
        <v>10000</v>
      </c>
      <c r="AS109" s="750">
        <f t="shared" ca="1" si="46"/>
        <v>0</v>
      </c>
      <c r="AT109" s="750">
        <f t="shared" ca="1" si="47"/>
        <v>0</v>
      </c>
      <c r="AU109" s="126">
        <f t="shared" ca="1" si="65"/>
        <v>1120.0739761718121</v>
      </c>
      <c r="AV109" s="126">
        <f t="shared" ca="1" si="66"/>
        <v>7840.5178332026853</v>
      </c>
      <c r="AW109" s="126">
        <f t="shared" ca="1" si="48"/>
        <v>10000</v>
      </c>
      <c r="AX109" s="750">
        <f t="shared" ca="1" si="67"/>
        <v>1120.0739761718121</v>
      </c>
      <c r="AY109" s="750">
        <f t="shared" ca="1" si="68"/>
        <v>0</v>
      </c>
      <c r="AZ109">
        <f t="shared" si="69"/>
        <v>5750</v>
      </c>
    </row>
    <row r="110" spans="4:52">
      <c r="D110">
        <v>103</v>
      </c>
      <c r="E110" s="6">
        <f t="shared" ca="1" si="70"/>
        <v>49644</v>
      </c>
      <c r="F110" s="7">
        <f t="shared" ca="1" si="49"/>
        <v>1.3785110448524545</v>
      </c>
      <c r="G110" s="125">
        <f ca="1">IF('Simulador - 1º Pilar'!$E$99="Sí",IF('Aportaciones PPE'!$B$13&lt;'Aportaciones PPE'!E110,0,F110*$B$8/12),F110*$B$8/12)</f>
        <v>24123.943284917954</v>
      </c>
      <c r="H110" s="125">
        <f t="shared" ca="1" si="39"/>
        <v>1206.1971642458977</v>
      </c>
      <c r="I110" s="125">
        <f t="shared" ca="1" si="50"/>
        <v>0</v>
      </c>
      <c r="J110" s="125">
        <f t="shared" ca="1" si="51"/>
        <v>0</v>
      </c>
      <c r="K110" s="125">
        <f t="shared" ca="1" si="52"/>
        <v>1429.6721067624799</v>
      </c>
      <c r="L110" s="125">
        <f t="shared" ca="1" si="71"/>
        <v>0</v>
      </c>
      <c r="M110" s="125">
        <f t="shared" ca="1" si="53"/>
        <v>0</v>
      </c>
      <c r="N110" s="125">
        <f t="shared" ca="1" si="54"/>
        <v>1429.6721067624799</v>
      </c>
      <c r="R110">
        <f t="shared" si="72"/>
        <v>103</v>
      </c>
      <c r="U110" s="55"/>
      <c r="V110">
        <f t="shared" si="73"/>
        <v>8</v>
      </c>
      <c r="W110">
        <f t="shared" ca="1" si="74"/>
        <v>2032</v>
      </c>
      <c r="X110" s="123">
        <f t="shared" ca="1" si="55"/>
        <v>48427</v>
      </c>
      <c r="Y110" s="64">
        <f t="shared" ca="1" si="56"/>
        <v>1120.0739761718121</v>
      </c>
      <c r="Z110" s="64">
        <f t="shared" ca="1" si="57"/>
        <v>0</v>
      </c>
      <c r="AA110" s="64">
        <f t="shared" ca="1" si="58"/>
        <v>1420.5246295829445</v>
      </c>
      <c r="AB110" s="64">
        <f t="shared" ca="1" si="59"/>
        <v>0</v>
      </c>
      <c r="AF110" t="str">
        <f t="shared" ca="1" si="40"/>
        <v>122035</v>
      </c>
      <c r="AG110" s="126">
        <f t="shared" ca="1" si="41"/>
        <v>0</v>
      </c>
      <c r="AH110" s="126">
        <f t="shared" ca="1" si="42"/>
        <v>0</v>
      </c>
      <c r="AI110" s="126">
        <f t="shared" ca="1" si="43"/>
        <v>1206.1971642458977</v>
      </c>
      <c r="AJ110" t="str">
        <f t="shared" ca="1" si="44"/>
        <v>82032</v>
      </c>
      <c r="AK110" s="126">
        <f t="shared" ca="1" si="60"/>
        <v>0</v>
      </c>
      <c r="AL110" s="126">
        <f t="shared" ca="1" si="61"/>
        <v>0</v>
      </c>
      <c r="AM110" s="126">
        <f t="shared" ca="1" si="75"/>
        <v>0</v>
      </c>
      <c r="AN110" s="753">
        <f t="shared" ca="1" si="76"/>
        <v>0</v>
      </c>
      <c r="AO110" s="750">
        <f t="shared" ca="1" si="62"/>
        <v>0</v>
      </c>
      <c r="AP110" s="126">
        <f t="shared" ca="1" si="63"/>
        <v>0</v>
      </c>
      <c r="AQ110" s="126">
        <f t="shared" ca="1" si="64"/>
        <v>0</v>
      </c>
      <c r="AR110" s="126">
        <f t="shared" ca="1" si="45"/>
        <v>10000</v>
      </c>
      <c r="AS110" s="750">
        <f t="shared" ca="1" si="46"/>
        <v>0</v>
      </c>
      <c r="AT110" s="750">
        <f t="shared" ca="1" si="47"/>
        <v>0</v>
      </c>
      <c r="AU110" s="126">
        <f t="shared" ca="1" si="65"/>
        <v>1120.0739761718121</v>
      </c>
      <c r="AV110" s="126">
        <f t="shared" ca="1" si="66"/>
        <v>8960.5918093744967</v>
      </c>
      <c r="AW110" s="126">
        <f t="shared" ca="1" si="48"/>
        <v>10000</v>
      </c>
      <c r="AX110" s="750">
        <f t="shared" ca="1" si="67"/>
        <v>1120.0739761718121</v>
      </c>
      <c r="AY110" s="750">
        <f t="shared" ca="1" si="68"/>
        <v>0</v>
      </c>
      <c r="AZ110">
        <f t="shared" si="69"/>
        <v>5750</v>
      </c>
    </row>
    <row r="111" spans="4:52">
      <c r="D111">
        <v>104</v>
      </c>
      <c r="E111" s="6">
        <f t="shared" ca="1" si="70"/>
        <v>49614</v>
      </c>
      <c r="F111" s="7">
        <f t="shared" ca="1" si="49"/>
        <v>1.3785110448524545</v>
      </c>
      <c r="G111" s="125">
        <f ca="1">IF('Simulador - 1º Pilar'!$E$99="Sí",IF('Aportaciones PPE'!$B$13&lt;'Aportaciones PPE'!E111,0,F111*$B$8/12),F111*$B$8/12)</f>
        <v>24123.943284917954</v>
      </c>
      <c r="H111" s="125">
        <f t="shared" ca="1" si="39"/>
        <v>1206.1971642458977</v>
      </c>
      <c r="I111" s="125">
        <f t="shared" ca="1" si="50"/>
        <v>0</v>
      </c>
      <c r="J111" s="125">
        <f t="shared" ca="1" si="51"/>
        <v>0</v>
      </c>
      <c r="K111" s="125">
        <f t="shared" ca="1" si="52"/>
        <v>1432.0333264818858</v>
      </c>
      <c r="L111" s="125">
        <f t="shared" ca="1" si="71"/>
        <v>0</v>
      </c>
      <c r="M111" s="125">
        <f t="shared" ca="1" si="53"/>
        <v>0</v>
      </c>
      <c r="N111" s="125">
        <f t="shared" ca="1" si="54"/>
        <v>1432.0333264818858</v>
      </c>
      <c r="R111">
        <f t="shared" si="72"/>
        <v>104</v>
      </c>
      <c r="U111" s="55"/>
      <c r="V111">
        <f t="shared" si="73"/>
        <v>9</v>
      </c>
      <c r="W111">
        <f t="shared" ca="1" si="74"/>
        <v>2032</v>
      </c>
      <c r="X111" s="123">
        <f t="shared" ca="1" si="55"/>
        <v>48458</v>
      </c>
      <c r="Y111" s="64">
        <f t="shared" ca="1" si="56"/>
        <v>1039.4081906255033</v>
      </c>
      <c r="Z111" s="64">
        <f t="shared" ca="1" si="57"/>
        <v>80.665785546308825</v>
      </c>
      <c r="AA111" s="64">
        <f t="shared" ca="1" si="58"/>
        <v>1316.0072150677356</v>
      </c>
      <c r="AB111" s="64">
        <f t="shared" ca="1" si="59"/>
        <v>102.13192155448114</v>
      </c>
      <c r="AF111" t="str">
        <f t="shared" ca="1" si="40"/>
        <v>112035</v>
      </c>
      <c r="AG111" s="126">
        <f t="shared" ca="1" si="41"/>
        <v>0</v>
      </c>
      <c r="AH111" s="126">
        <f t="shared" ca="1" si="42"/>
        <v>0</v>
      </c>
      <c r="AI111" s="126">
        <f t="shared" ca="1" si="43"/>
        <v>1206.1971642458977</v>
      </c>
      <c r="AJ111" t="str">
        <f t="shared" ca="1" si="44"/>
        <v>92032</v>
      </c>
      <c r="AK111" s="126">
        <f t="shared" ca="1" si="60"/>
        <v>0</v>
      </c>
      <c r="AL111" s="126">
        <f t="shared" ca="1" si="61"/>
        <v>0</v>
      </c>
      <c r="AM111" s="126">
        <f t="shared" ca="1" si="75"/>
        <v>0</v>
      </c>
      <c r="AN111" s="753">
        <f t="shared" ca="1" si="76"/>
        <v>0</v>
      </c>
      <c r="AO111" s="750">
        <f t="shared" ca="1" si="62"/>
        <v>0</v>
      </c>
      <c r="AP111" s="126">
        <f t="shared" ca="1" si="63"/>
        <v>0</v>
      </c>
      <c r="AQ111" s="126">
        <f t="shared" ca="1" si="64"/>
        <v>0</v>
      </c>
      <c r="AR111" s="126">
        <f t="shared" ca="1" si="45"/>
        <v>10000</v>
      </c>
      <c r="AS111" s="750">
        <f t="shared" ca="1" si="46"/>
        <v>0</v>
      </c>
      <c r="AT111" s="750">
        <f t="shared" ca="1" si="47"/>
        <v>0</v>
      </c>
      <c r="AU111" s="126">
        <f t="shared" ca="1" si="65"/>
        <v>1120.0739761718121</v>
      </c>
      <c r="AV111" s="126">
        <f t="shared" ca="1" si="66"/>
        <v>10080.665785546309</v>
      </c>
      <c r="AW111" s="126">
        <f t="shared" ca="1" si="48"/>
        <v>10000</v>
      </c>
      <c r="AX111" s="750">
        <f t="shared" ca="1" si="67"/>
        <v>1039.4081906255033</v>
      </c>
      <c r="AY111" s="750">
        <f t="shared" ca="1" si="68"/>
        <v>80.665785546308825</v>
      </c>
      <c r="AZ111">
        <f t="shared" si="69"/>
        <v>5750</v>
      </c>
    </row>
    <row r="112" spans="4:52">
      <c r="D112">
        <v>105</v>
      </c>
      <c r="E112" s="6">
        <f t="shared" ca="1" si="70"/>
        <v>49583</v>
      </c>
      <c r="F112" s="7">
        <f t="shared" ca="1" si="49"/>
        <v>1.3785110448524545</v>
      </c>
      <c r="G112" s="125">
        <f ca="1">IF('Simulador - 1º Pilar'!$E$99="Sí",IF('Aportaciones PPE'!$B$13&lt;'Aportaciones PPE'!E112,0,F112*$B$8/12),F112*$B$8/12)</f>
        <v>24123.943284917954</v>
      </c>
      <c r="H112" s="125">
        <f t="shared" ca="1" si="39"/>
        <v>1206.1971642458977</v>
      </c>
      <c r="I112" s="125">
        <f t="shared" ca="1" si="50"/>
        <v>0</v>
      </c>
      <c r="J112" s="125">
        <f t="shared" ca="1" si="51"/>
        <v>0</v>
      </c>
      <c r="K112" s="125">
        <f t="shared" ca="1" si="52"/>
        <v>1434.3984459476296</v>
      </c>
      <c r="L112" s="125">
        <f t="shared" ca="1" si="71"/>
        <v>0</v>
      </c>
      <c r="M112" s="125">
        <f t="shared" ca="1" si="53"/>
        <v>0</v>
      </c>
      <c r="N112" s="125">
        <f t="shared" ca="1" si="54"/>
        <v>1434.3984459476296</v>
      </c>
      <c r="R112">
        <f t="shared" si="72"/>
        <v>105</v>
      </c>
      <c r="U112" s="55"/>
      <c r="V112">
        <f t="shared" si="73"/>
        <v>10</v>
      </c>
      <c r="W112">
        <f t="shared" ca="1" si="74"/>
        <v>2032</v>
      </c>
      <c r="X112" s="123">
        <f t="shared" ca="1" si="55"/>
        <v>48488</v>
      </c>
      <c r="Y112" s="64">
        <f t="shared" ca="1" si="56"/>
        <v>0</v>
      </c>
      <c r="Z112" s="64">
        <f t="shared" ca="1" si="57"/>
        <v>1120.0739761718121</v>
      </c>
      <c r="AA112" s="64">
        <f t="shared" ca="1" si="58"/>
        <v>0</v>
      </c>
      <c r="AB112" s="64">
        <f t="shared" ca="1" si="59"/>
        <v>1415.8344093316371</v>
      </c>
      <c r="AF112" t="str">
        <f t="shared" ca="1" si="40"/>
        <v>102035</v>
      </c>
      <c r="AG112" s="126">
        <f t="shared" ca="1" si="41"/>
        <v>0</v>
      </c>
      <c r="AH112" s="126">
        <f t="shared" ca="1" si="42"/>
        <v>0</v>
      </c>
      <c r="AI112" s="126">
        <f t="shared" ca="1" si="43"/>
        <v>1206.1971642458977</v>
      </c>
      <c r="AJ112" t="str">
        <f t="shared" ca="1" si="44"/>
        <v>102032</v>
      </c>
      <c r="AK112" s="126">
        <f t="shared" ca="1" si="60"/>
        <v>0</v>
      </c>
      <c r="AL112" s="126">
        <f t="shared" ca="1" si="61"/>
        <v>0</v>
      </c>
      <c r="AM112" s="126">
        <f t="shared" ca="1" si="75"/>
        <v>0</v>
      </c>
      <c r="AN112" s="753">
        <f t="shared" ca="1" si="76"/>
        <v>0</v>
      </c>
      <c r="AO112" s="750">
        <f t="shared" ca="1" si="62"/>
        <v>0</v>
      </c>
      <c r="AP112" s="126">
        <f t="shared" ca="1" si="63"/>
        <v>0</v>
      </c>
      <c r="AQ112" s="126">
        <f t="shared" ca="1" si="64"/>
        <v>0</v>
      </c>
      <c r="AR112" s="126">
        <f t="shared" ca="1" si="45"/>
        <v>10000</v>
      </c>
      <c r="AS112" s="750">
        <f t="shared" ca="1" si="46"/>
        <v>0</v>
      </c>
      <c r="AT112" s="750">
        <f t="shared" ca="1" si="47"/>
        <v>0</v>
      </c>
      <c r="AU112" s="126">
        <f t="shared" ca="1" si="65"/>
        <v>1120.0739761718121</v>
      </c>
      <c r="AV112" s="126">
        <f t="shared" ca="1" si="66"/>
        <v>11200.739761718121</v>
      </c>
      <c r="AW112" s="126">
        <f t="shared" ca="1" si="48"/>
        <v>10000</v>
      </c>
      <c r="AX112" s="750">
        <f t="shared" ca="1" si="67"/>
        <v>0</v>
      </c>
      <c r="AY112" s="750">
        <f t="shared" ca="1" si="68"/>
        <v>1120.0739761718121</v>
      </c>
      <c r="AZ112">
        <f t="shared" si="69"/>
        <v>5750</v>
      </c>
    </row>
    <row r="113" spans="4:52">
      <c r="D113">
        <v>106</v>
      </c>
      <c r="E113" s="6">
        <f t="shared" ca="1" si="70"/>
        <v>49553</v>
      </c>
      <c r="F113" s="7">
        <f t="shared" ca="1" si="49"/>
        <v>1.3785110448524545</v>
      </c>
      <c r="G113" s="125">
        <f ca="1">IF('Simulador - 1º Pilar'!$E$99="Sí",IF('Aportaciones PPE'!$B$13&lt;'Aportaciones PPE'!E113,0,F113*$B$8/12),F113*$B$8/12)</f>
        <v>24123.943284917954</v>
      </c>
      <c r="H113" s="125">
        <f t="shared" ca="1" si="39"/>
        <v>1206.1971642458977</v>
      </c>
      <c r="I113" s="125">
        <f t="shared" ca="1" si="50"/>
        <v>0</v>
      </c>
      <c r="J113" s="125">
        <f t="shared" ca="1" si="51"/>
        <v>0</v>
      </c>
      <c r="K113" s="125">
        <f t="shared" ca="1" si="52"/>
        <v>1436.7674716004601</v>
      </c>
      <c r="L113" s="125">
        <f t="shared" ca="1" si="71"/>
        <v>0</v>
      </c>
      <c r="M113" s="125">
        <f t="shared" ca="1" si="53"/>
        <v>0</v>
      </c>
      <c r="N113" s="125">
        <f t="shared" ca="1" si="54"/>
        <v>1436.7674716004601</v>
      </c>
      <c r="R113">
        <f t="shared" si="72"/>
        <v>106</v>
      </c>
      <c r="U113" s="55"/>
      <c r="V113">
        <f t="shared" si="73"/>
        <v>11</v>
      </c>
      <c r="W113">
        <f t="shared" ca="1" si="74"/>
        <v>2032</v>
      </c>
      <c r="X113" s="123">
        <f t="shared" ca="1" si="55"/>
        <v>48519</v>
      </c>
      <c r="Y113" s="64">
        <f t="shared" ca="1" si="56"/>
        <v>0</v>
      </c>
      <c r="Z113" s="64">
        <f t="shared" ca="1" si="57"/>
        <v>1120.0739761718121</v>
      </c>
      <c r="AA113" s="64">
        <f t="shared" ca="1" si="58"/>
        <v>0</v>
      </c>
      <c r="AB113" s="64">
        <f t="shared" ca="1" si="59"/>
        <v>1413.4567926774234</v>
      </c>
      <c r="AF113" t="str">
        <f t="shared" ca="1" si="40"/>
        <v>92035</v>
      </c>
      <c r="AG113" s="126">
        <f t="shared" ca="1" si="41"/>
        <v>0</v>
      </c>
      <c r="AH113" s="126">
        <f t="shared" ca="1" si="42"/>
        <v>0</v>
      </c>
      <c r="AI113" s="126">
        <f t="shared" ca="1" si="43"/>
        <v>1206.1971642458977</v>
      </c>
      <c r="AJ113" t="str">
        <f t="shared" ca="1" si="44"/>
        <v>112032</v>
      </c>
      <c r="AK113" s="126">
        <f t="shared" ca="1" si="60"/>
        <v>0</v>
      </c>
      <c r="AL113" s="126">
        <f t="shared" ca="1" si="61"/>
        <v>0</v>
      </c>
      <c r="AM113" s="126">
        <f t="shared" ca="1" si="75"/>
        <v>0</v>
      </c>
      <c r="AN113" s="753">
        <f t="shared" ca="1" si="76"/>
        <v>0</v>
      </c>
      <c r="AO113" s="750">
        <f t="shared" ca="1" si="62"/>
        <v>0</v>
      </c>
      <c r="AP113" s="126">
        <f t="shared" ca="1" si="63"/>
        <v>0</v>
      </c>
      <c r="AQ113" s="126">
        <f t="shared" ca="1" si="64"/>
        <v>0</v>
      </c>
      <c r="AR113" s="126">
        <f t="shared" ca="1" si="45"/>
        <v>10000</v>
      </c>
      <c r="AS113" s="750">
        <f t="shared" ca="1" si="46"/>
        <v>0</v>
      </c>
      <c r="AT113" s="750">
        <f t="shared" ca="1" si="47"/>
        <v>0</v>
      </c>
      <c r="AU113" s="126">
        <f t="shared" ca="1" si="65"/>
        <v>1120.0739761718121</v>
      </c>
      <c r="AV113" s="126">
        <f t="shared" ca="1" si="66"/>
        <v>12320.813737889934</v>
      </c>
      <c r="AW113" s="126">
        <f t="shared" ca="1" si="48"/>
        <v>10000</v>
      </c>
      <c r="AX113" s="750">
        <f t="shared" ca="1" si="67"/>
        <v>0</v>
      </c>
      <c r="AY113" s="750">
        <f t="shared" ca="1" si="68"/>
        <v>1120.0739761718121</v>
      </c>
      <c r="AZ113">
        <f t="shared" si="69"/>
        <v>5750</v>
      </c>
    </row>
    <row r="114" spans="4:52">
      <c r="D114">
        <v>107</v>
      </c>
      <c r="E114" s="6">
        <f t="shared" ca="1" si="70"/>
        <v>49522</v>
      </c>
      <c r="F114" s="7">
        <f t="shared" ca="1" si="49"/>
        <v>1.3785110448524545</v>
      </c>
      <c r="G114" s="125">
        <f ca="1">IF('Simulador - 1º Pilar'!$E$99="Sí",IF('Aportaciones PPE'!$B$13&lt;'Aportaciones PPE'!E114,0,F114*$B$8/12),F114*$B$8/12)</f>
        <v>24123.943284917954</v>
      </c>
      <c r="H114" s="125">
        <f t="shared" ca="1" si="39"/>
        <v>1206.1971642458977</v>
      </c>
      <c r="I114" s="125">
        <f t="shared" ca="1" si="50"/>
        <v>0</v>
      </c>
      <c r="J114" s="125">
        <f t="shared" ca="1" si="51"/>
        <v>0</v>
      </c>
      <c r="K114" s="125">
        <f t="shared" ca="1" si="52"/>
        <v>1439.1404098917626</v>
      </c>
      <c r="L114" s="125">
        <f t="shared" ca="1" si="71"/>
        <v>0</v>
      </c>
      <c r="M114" s="125">
        <f t="shared" ca="1" si="53"/>
        <v>0</v>
      </c>
      <c r="N114" s="125">
        <f t="shared" ca="1" si="54"/>
        <v>1439.1404098917626</v>
      </c>
      <c r="R114">
        <f t="shared" si="72"/>
        <v>107</v>
      </c>
      <c r="U114" s="55"/>
      <c r="V114">
        <f t="shared" si="73"/>
        <v>12</v>
      </c>
      <c r="W114">
        <f t="shared" ca="1" si="74"/>
        <v>2032</v>
      </c>
      <c r="X114" s="123">
        <f t="shared" ca="1" si="55"/>
        <v>48549</v>
      </c>
      <c r="Y114" s="64">
        <f t="shared" ca="1" si="56"/>
        <v>0</v>
      </c>
      <c r="Z114" s="64">
        <f t="shared" ca="1" si="57"/>
        <v>1120.0739761718121</v>
      </c>
      <c r="AA114" s="64">
        <f t="shared" ca="1" si="58"/>
        <v>0</v>
      </c>
      <c r="AB114" s="64">
        <f t="shared" ca="1" si="59"/>
        <v>1411.1596750251331</v>
      </c>
      <c r="AF114" t="str">
        <f t="shared" ca="1" si="40"/>
        <v>82035</v>
      </c>
      <c r="AG114" s="126">
        <f t="shared" ca="1" si="41"/>
        <v>0</v>
      </c>
      <c r="AH114" s="126">
        <f t="shared" ca="1" si="42"/>
        <v>0</v>
      </c>
      <c r="AI114" s="126">
        <f t="shared" ca="1" si="43"/>
        <v>1206.1971642458977</v>
      </c>
      <c r="AJ114" t="str">
        <f t="shared" ca="1" si="44"/>
        <v>122032</v>
      </c>
      <c r="AK114" s="126">
        <f t="shared" ca="1" si="60"/>
        <v>0</v>
      </c>
      <c r="AL114" s="126">
        <f t="shared" ca="1" si="61"/>
        <v>0</v>
      </c>
      <c r="AM114" s="126">
        <f t="shared" ca="1" si="75"/>
        <v>0</v>
      </c>
      <c r="AN114" s="753">
        <f t="shared" ca="1" si="76"/>
        <v>0</v>
      </c>
      <c r="AO114" s="750">
        <f t="shared" ca="1" si="62"/>
        <v>0</v>
      </c>
      <c r="AP114" s="126">
        <f t="shared" ca="1" si="63"/>
        <v>0</v>
      </c>
      <c r="AQ114" s="126">
        <f t="shared" ca="1" si="64"/>
        <v>0</v>
      </c>
      <c r="AR114" s="126">
        <f t="shared" ca="1" si="45"/>
        <v>10000</v>
      </c>
      <c r="AS114" s="750">
        <f t="shared" ca="1" si="46"/>
        <v>0</v>
      </c>
      <c r="AT114" s="750">
        <f t="shared" ca="1" si="47"/>
        <v>0</v>
      </c>
      <c r="AU114" s="126">
        <f t="shared" ca="1" si="65"/>
        <v>1120.0739761718121</v>
      </c>
      <c r="AV114" s="126">
        <f t="shared" ca="1" si="66"/>
        <v>13440.887714061746</v>
      </c>
      <c r="AW114" s="126">
        <f t="shared" ca="1" si="48"/>
        <v>10000</v>
      </c>
      <c r="AX114" s="750">
        <f t="shared" ca="1" si="67"/>
        <v>0</v>
      </c>
      <c r="AY114" s="750">
        <f t="shared" ca="1" si="68"/>
        <v>1120.0739761718121</v>
      </c>
      <c r="AZ114">
        <f t="shared" si="69"/>
        <v>5750</v>
      </c>
    </row>
    <row r="115" spans="4:52">
      <c r="D115">
        <v>108</v>
      </c>
      <c r="E115" s="6">
        <f t="shared" ca="1" si="70"/>
        <v>49491</v>
      </c>
      <c r="F115" s="7">
        <f t="shared" ca="1" si="49"/>
        <v>1.3785110448524545</v>
      </c>
      <c r="G115" s="125">
        <f ca="1">IF('Simulador - 1º Pilar'!$E$99="Sí",IF('Aportaciones PPE'!$B$13&lt;'Aportaciones PPE'!E115,0,F115*$B$8/12),F115*$B$8/12)</f>
        <v>24123.943284917954</v>
      </c>
      <c r="H115" s="125">
        <f t="shared" ca="1" si="39"/>
        <v>1206.1971642458977</v>
      </c>
      <c r="I115" s="125">
        <f t="shared" ca="1" si="50"/>
        <v>0</v>
      </c>
      <c r="J115" s="125">
        <f t="shared" ca="1" si="51"/>
        <v>0</v>
      </c>
      <c r="K115" s="125">
        <f t="shared" ca="1" si="52"/>
        <v>1441.5172672835772</v>
      </c>
      <c r="L115" s="125">
        <f t="shared" ca="1" si="71"/>
        <v>0</v>
      </c>
      <c r="M115" s="125">
        <f t="shared" ca="1" si="53"/>
        <v>0</v>
      </c>
      <c r="N115" s="125">
        <f t="shared" ca="1" si="54"/>
        <v>1441.5172672835772</v>
      </c>
      <c r="R115">
        <f t="shared" si="72"/>
        <v>108</v>
      </c>
      <c r="U115" s="55"/>
      <c r="V115">
        <f t="shared" si="73"/>
        <v>1</v>
      </c>
      <c r="W115">
        <f t="shared" ca="1" si="74"/>
        <v>2033</v>
      </c>
      <c r="X115" s="123">
        <f t="shared" ca="1" si="55"/>
        <v>48580</v>
      </c>
      <c r="Y115" s="64">
        <f t="shared" ca="1" si="56"/>
        <v>1148.0758255761073</v>
      </c>
      <c r="Z115" s="64">
        <f t="shared" ca="1" si="57"/>
        <v>0</v>
      </c>
      <c r="AA115" s="64">
        <f t="shared" ca="1" si="58"/>
        <v>1444.0096563886173</v>
      </c>
      <c r="AB115" s="64">
        <f t="shared" ca="1" si="59"/>
        <v>0</v>
      </c>
      <c r="AF115" t="str">
        <f t="shared" ca="1" si="40"/>
        <v>72035</v>
      </c>
      <c r="AG115" s="126">
        <f t="shared" ca="1" si="41"/>
        <v>0</v>
      </c>
      <c r="AH115" s="126">
        <f t="shared" ca="1" si="42"/>
        <v>0</v>
      </c>
      <c r="AI115" s="126">
        <f t="shared" ca="1" si="43"/>
        <v>1206.1971642458977</v>
      </c>
      <c r="AJ115" t="str">
        <f t="shared" ca="1" si="44"/>
        <v>12033</v>
      </c>
      <c r="AK115" s="126">
        <f t="shared" ca="1" si="60"/>
        <v>0</v>
      </c>
      <c r="AL115" s="126">
        <f t="shared" ca="1" si="61"/>
        <v>0</v>
      </c>
      <c r="AM115" s="126">
        <f t="shared" ca="1" si="75"/>
        <v>0</v>
      </c>
      <c r="AN115" s="753">
        <f t="shared" ca="1" si="76"/>
        <v>0</v>
      </c>
      <c r="AO115" s="750">
        <f t="shared" ca="1" si="62"/>
        <v>0</v>
      </c>
      <c r="AP115" s="126">
        <f t="shared" ca="1" si="63"/>
        <v>0</v>
      </c>
      <c r="AQ115" s="126">
        <f t="shared" ca="1" si="64"/>
        <v>0</v>
      </c>
      <c r="AR115" s="126">
        <f t="shared" ca="1" si="45"/>
        <v>10000</v>
      </c>
      <c r="AS115" s="750">
        <f t="shared" ca="1" si="46"/>
        <v>0</v>
      </c>
      <c r="AT115" s="750">
        <f t="shared" ca="1" si="47"/>
        <v>0</v>
      </c>
      <c r="AU115" s="126">
        <f t="shared" ca="1" si="65"/>
        <v>1148.0758255761073</v>
      </c>
      <c r="AV115" s="126">
        <f t="shared" ca="1" si="66"/>
        <v>1148.0758255761073</v>
      </c>
      <c r="AW115" s="126">
        <f t="shared" ca="1" si="48"/>
        <v>10000</v>
      </c>
      <c r="AX115" s="750">
        <f t="shared" ca="1" si="67"/>
        <v>1148.0758255761073</v>
      </c>
      <c r="AY115" s="750">
        <f t="shared" ca="1" si="68"/>
        <v>0</v>
      </c>
      <c r="AZ115">
        <f t="shared" si="69"/>
        <v>5750</v>
      </c>
    </row>
    <row r="116" spans="4:52">
      <c r="D116">
        <v>109</v>
      </c>
      <c r="E116" s="6">
        <f t="shared" ca="1" si="70"/>
        <v>49461</v>
      </c>
      <c r="F116" s="7">
        <f t="shared" ca="1" si="49"/>
        <v>1.3785110448524545</v>
      </c>
      <c r="G116" s="125">
        <f ca="1">IF('Simulador - 1º Pilar'!$E$99="Sí",IF('Aportaciones PPE'!$B$13&lt;'Aportaciones PPE'!E116,0,F116*$B$8/12),F116*$B$8/12)</f>
        <v>24123.943284917954</v>
      </c>
      <c r="H116" s="125">
        <f t="shared" ca="1" si="39"/>
        <v>1206.1971642458977</v>
      </c>
      <c r="I116" s="125">
        <f t="shared" ca="1" si="50"/>
        <v>0</v>
      </c>
      <c r="J116" s="125">
        <f t="shared" ca="1" si="51"/>
        <v>0</v>
      </c>
      <c r="K116" s="125">
        <f t="shared" ca="1" si="52"/>
        <v>1443.8980502486183</v>
      </c>
      <c r="L116" s="125">
        <f t="shared" ca="1" si="71"/>
        <v>0</v>
      </c>
      <c r="M116" s="125">
        <f t="shared" ca="1" si="53"/>
        <v>0</v>
      </c>
      <c r="N116" s="125">
        <f t="shared" ca="1" si="54"/>
        <v>1443.8980502486183</v>
      </c>
      <c r="R116">
        <f t="shared" si="72"/>
        <v>109</v>
      </c>
      <c r="U116" s="55"/>
      <c r="V116">
        <f t="shared" si="73"/>
        <v>2</v>
      </c>
      <c r="W116">
        <f t="shared" ca="1" si="74"/>
        <v>2033</v>
      </c>
      <c r="X116" s="123">
        <f t="shared" ca="1" si="55"/>
        <v>48611</v>
      </c>
      <c r="Y116" s="64">
        <f t="shared" ca="1" si="56"/>
        <v>1148.0758255761073</v>
      </c>
      <c r="Z116" s="64">
        <f t="shared" ca="1" si="57"/>
        <v>0</v>
      </c>
      <c r="AA116" s="64">
        <f t="shared" ca="1" si="58"/>
        <v>1441.5847249240007</v>
      </c>
      <c r="AB116" s="64">
        <f t="shared" ca="1" si="59"/>
        <v>0</v>
      </c>
      <c r="AF116" t="str">
        <f t="shared" ca="1" si="40"/>
        <v>62035</v>
      </c>
      <c r="AG116" s="126">
        <f t="shared" ca="1" si="41"/>
        <v>0</v>
      </c>
      <c r="AH116" s="126">
        <f t="shared" ca="1" si="42"/>
        <v>0</v>
      </c>
      <c r="AI116" s="126">
        <f t="shared" ca="1" si="43"/>
        <v>1206.1971642458977</v>
      </c>
      <c r="AJ116" t="str">
        <f t="shared" ca="1" si="44"/>
        <v>22033</v>
      </c>
      <c r="AK116" s="126">
        <f t="shared" ca="1" si="60"/>
        <v>0</v>
      </c>
      <c r="AL116" s="126">
        <f t="shared" ca="1" si="61"/>
        <v>0</v>
      </c>
      <c r="AM116" s="126">
        <f t="shared" ca="1" si="75"/>
        <v>0</v>
      </c>
      <c r="AN116" s="753">
        <f t="shared" ca="1" si="76"/>
        <v>0</v>
      </c>
      <c r="AO116" s="750">
        <f t="shared" ca="1" si="62"/>
        <v>0</v>
      </c>
      <c r="AP116" s="126">
        <f t="shared" ca="1" si="63"/>
        <v>0</v>
      </c>
      <c r="AQ116" s="126">
        <f t="shared" ca="1" si="64"/>
        <v>0</v>
      </c>
      <c r="AR116" s="126">
        <f t="shared" ca="1" si="45"/>
        <v>10000</v>
      </c>
      <c r="AS116" s="750">
        <f t="shared" ca="1" si="46"/>
        <v>0</v>
      </c>
      <c r="AT116" s="750">
        <f t="shared" ca="1" si="47"/>
        <v>0</v>
      </c>
      <c r="AU116" s="126">
        <f t="shared" ca="1" si="65"/>
        <v>1148.0758255761073</v>
      </c>
      <c r="AV116" s="126">
        <f t="shared" ca="1" si="66"/>
        <v>2296.1516511522145</v>
      </c>
      <c r="AW116" s="126">
        <f t="shared" ca="1" si="48"/>
        <v>10000</v>
      </c>
      <c r="AX116" s="750">
        <f t="shared" ca="1" si="67"/>
        <v>1148.0758255761073</v>
      </c>
      <c r="AY116" s="750">
        <f t="shared" ca="1" si="68"/>
        <v>0</v>
      </c>
      <c r="AZ116">
        <f t="shared" si="69"/>
        <v>5750</v>
      </c>
    </row>
    <row r="117" spans="4:52">
      <c r="D117">
        <v>110</v>
      </c>
      <c r="E117" s="6">
        <f t="shared" ca="1" si="70"/>
        <v>49430</v>
      </c>
      <c r="F117" s="7">
        <f t="shared" ca="1" si="49"/>
        <v>1.3785110448524545</v>
      </c>
      <c r="G117" s="125">
        <f ca="1">IF('Simulador - 1º Pilar'!$E$99="Sí",IF('Aportaciones PPE'!$B$13&lt;'Aportaciones PPE'!E117,0,F117*$B$8/12),F117*$B$8/12)</f>
        <v>24123.943284917954</v>
      </c>
      <c r="H117" s="125">
        <f t="shared" ca="1" si="39"/>
        <v>1206.1971642458977</v>
      </c>
      <c r="I117" s="125">
        <f t="shared" ca="1" si="50"/>
        <v>0</v>
      </c>
      <c r="J117" s="125">
        <f t="shared" ca="1" si="51"/>
        <v>0</v>
      </c>
      <c r="K117" s="125">
        <f t="shared" ca="1" si="52"/>
        <v>1446.2827652702879</v>
      </c>
      <c r="L117" s="125">
        <f t="shared" ca="1" si="71"/>
        <v>0</v>
      </c>
      <c r="M117" s="125">
        <f t="shared" ca="1" si="53"/>
        <v>0</v>
      </c>
      <c r="N117" s="125">
        <f t="shared" ca="1" si="54"/>
        <v>1446.2827652702879</v>
      </c>
      <c r="R117">
        <f t="shared" si="72"/>
        <v>110</v>
      </c>
      <c r="U117" s="55"/>
      <c r="V117">
        <f t="shared" si="73"/>
        <v>3</v>
      </c>
      <c r="W117">
        <f t="shared" ca="1" si="74"/>
        <v>2033</v>
      </c>
      <c r="X117" s="123">
        <f t="shared" ca="1" si="55"/>
        <v>48639</v>
      </c>
      <c r="Y117" s="64">
        <f t="shared" ca="1" si="56"/>
        <v>1148.0758255761073</v>
      </c>
      <c r="Z117" s="64">
        <f t="shared" ca="1" si="57"/>
        <v>0</v>
      </c>
      <c r="AA117" s="64">
        <f t="shared" ca="1" si="58"/>
        <v>1439.3979645766524</v>
      </c>
      <c r="AB117" s="64">
        <f t="shared" ca="1" si="59"/>
        <v>0</v>
      </c>
      <c r="AF117" t="str">
        <f t="shared" ca="1" si="40"/>
        <v>52035</v>
      </c>
      <c r="AG117" s="126">
        <f t="shared" ca="1" si="41"/>
        <v>0</v>
      </c>
      <c r="AH117" s="126">
        <f t="shared" ca="1" si="42"/>
        <v>0</v>
      </c>
      <c r="AI117" s="126">
        <f t="shared" ca="1" si="43"/>
        <v>1206.1971642458977</v>
      </c>
      <c r="AJ117" t="str">
        <f t="shared" ca="1" si="44"/>
        <v>32033</v>
      </c>
      <c r="AK117" s="126">
        <f t="shared" ca="1" si="60"/>
        <v>0</v>
      </c>
      <c r="AL117" s="126">
        <f t="shared" ca="1" si="61"/>
        <v>0</v>
      </c>
      <c r="AM117" s="126">
        <f t="shared" ca="1" si="75"/>
        <v>0</v>
      </c>
      <c r="AN117" s="753">
        <f t="shared" ca="1" si="76"/>
        <v>0</v>
      </c>
      <c r="AO117" s="750">
        <f t="shared" ca="1" si="62"/>
        <v>0</v>
      </c>
      <c r="AP117" s="126">
        <f t="shared" ca="1" si="63"/>
        <v>0</v>
      </c>
      <c r="AQ117" s="126">
        <f t="shared" ca="1" si="64"/>
        <v>0</v>
      </c>
      <c r="AR117" s="126">
        <f t="shared" ca="1" si="45"/>
        <v>10000</v>
      </c>
      <c r="AS117" s="750">
        <f t="shared" ca="1" si="46"/>
        <v>0</v>
      </c>
      <c r="AT117" s="750">
        <f t="shared" ca="1" si="47"/>
        <v>0</v>
      </c>
      <c r="AU117" s="126">
        <f t="shared" ca="1" si="65"/>
        <v>1148.0758255761073</v>
      </c>
      <c r="AV117" s="126">
        <f t="shared" ca="1" si="66"/>
        <v>3444.2274767283216</v>
      </c>
      <c r="AW117" s="126">
        <f t="shared" ca="1" si="48"/>
        <v>10000</v>
      </c>
      <c r="AX117" s="750">
        <f t="shared" ca="1" si="67"/>
        <v>1148.0758255761073</v>
      </c>
      <c r="AY117" s="750">
        <f t="shared" ca="1" si="68"/>
        <v>0</v>
      </c>
      <c r="AZ117">
        <f t="shared" si="69"/>
        <v>5750</v>
      </c>
    </row>
    <row r="118" spans="4:52">
      <c r="D118">
        <v>111</v>
      </c>
      <c r="E118" s="6">
        <f t="shared" ca="1" si="70"/>
        <v>49400</v>
      </c>
      <c r="F118" s="7">
        <f t="shared" ca="1" si="49"/>
        <v>1.3785110448524545</v>
      </c>
      <c r="G118" s="125">
        <f ca="1">IF('Simulador - 1º Pilar'!$E$99="Sí",IF('Aportaciones PPE'!$B$13&lt;'Aportaciones PPE'!E118,0,F118*$B$8/12),F118*$B$8/12)</f>
        <v>24123.943284917954</v>
      </c>
      <c r="H118" s="125">
        <f t="shared" ca="1" si="39"/>
        <v>1206.1971642458977</v>
      </c>
      <c r="I118" s="125">
        <f t="shared" ca="1" si="50"/>
        <v>0</v>
      </c>
      <c r="J118" s="125">
        <f t="shared" ca="1" si="51"/>
        <v>0</v>
      </c>
      <c r="K118" s="125">
        <f t="shared" ca="1" si="52"/>
        <v>1448.6714188426977</v>
      </c>
      <c r="L118" s="125">
        <f t="shared" ca="1" si="71"/>
        <v>0</v>
      </c>
      <c r="M118" s="125">
        <f t="shared" ca="1" si="53"/>
        <v>0</v>
      </c>
      <c r="N118" s="125">
        <f t="shared" ca="1" si="54"/>
        <v>1448.6714188426977</v>
      </c>
      <c r="R118">
        <f t="shared" si="72"/>
        <v>111</v>
      </c>
      <c r="U118" s="55"/>
      <c r="V118">
        <f t="shared" si="73"/>
        <v>4</v>
      </c>
      <c r="W118">
        <f t="shared" ca="1" si="74"/>
        <v>2033</v>
      </c>
      <c r="X118" s="123">
        <f t="shared" ca="1" si="55"/>
        <v>48670</v>
      </c>
      <c r="Y118" s="64">
        <f t="shared" ca="1" si="56"/>
        <v>1148.0758255761073</v>
      </c>
      <c r="Z118" s="64">
        <f t="shared" ca="1" si="57"/>
        <v>0</v>
      </c>
      <c r="AA118" s="64">
        <f t="shared" ca="1" si="58"/>
        <v>1436.980777545413</v>
      </c>
      <c r="AB118" s="64">
        <f t="shared" ca="1" si="59"/>
        <v>0</v>
      </c>
      <c r="AF118" t="str">
        <f t="shared" ca="1" si="40"/>
        <v>42035</v>
      </c>
      <c r="AG118" s="126">
        <f t="shared" ca="1" si="41"/>
        <v>0</v>
      </c>
      <c r="AH118" s="126">
        <f t="shared" ca="1" si="42"/>
        <v>0</v>
      </c>
      <c r="AI118" s="126">
        <f t="shared" ca="1" si="43"/>
        <v>1206.1971642458977</v>
      </c>
      <c r="AJ118" t="str">
        <f t="shared" ca="1" si="44"/>
        <v>42033</v>
      </c>
      <c r="AK118" s="126">
        <f t="shared" ca="1" si="60"/>
        <v>0</v>
      </c>
      <c r="AL118" s="126">
        <f t="shared" ca="1" si="61"/>
        <v>0</v>
      </c>
      <c r="AM118" s="126">
        <f t="shared" ca="1" si="75"/>
        <v>0</v>
      </c>
      <c r="AN118" s="753">
        <f t="shared" ca="1" si="76"/>
        <v>0</v>
      </c>
      <c r="AO118" s="750">
        <f t="shared" ca="1" si="62"/>
        <v>0</v>
      </c>
      <c r="AP118" s="126">
        <f t="shared" ca="1" si="63"/>
        <v>0</v>
      </c>
      <c r="AQ118" s="126">
        <f t="shared" ca="1" si="64"/>
        <v>0</v>
      </c>
      <c r="AR118" s="126">
        <f t="shared" ca="1" si="45"/>
        <v>10000</v>
      </c>
      <c r="AS118" s="750">
        <f t="shared" ca="1" si="46"/>
        <v>0</v>
      </c>
      <c r="AT118" s="750">
        <f t="shared" ca="1" si="47"/>
        <v>0</v>
      </c>
      <c r="AU118" s="126">
        <f t="shared" ca="1" si="65"/>
        <v>1148.0758255761073</v>
      </c>
      <c r="AV118" s="126">
        <f t="shared" ca="1" si="66"/>
        <v>4592.3033023044291</v>
      </c>
      <c r="AW118" s="126">
        <f t="shared" ca="1" si="48"/>
        <v>10000</v>
      </c>
      <c r="AX118" s="750">
        <f t="shared" ca="1" si="67"/>
        <v>1148.0758255761073</v>
      </c>
      <c r="AY118" s="750">
        <f t="shared" ca="1" si="68"/>
        <v>0</v>
      </c>
      <c r="AZ118">
        <f t="shared" si="69"/>
        <v>5750</v>
      </c>
    </row>
    <row r="119" spans="4:52">
      <c r="D119">
        <v>112</v>
      </c>
      <c r="E119" s="6">
        <f t="shared" ca="1" si="70"/>
        <v>49369</v>
      </c>
      <c r="F119" s="7">
        <f t="shared" ca="1" si="49"/>
        <v>1.3785110448524545</v>
      </c>
      <c r="G119" s="125">
        <f ca="1">IF('Simulador - 1º Pilar'!$E$99="Sí",IF('Aportaciones PPE'!$B$13&lt;'Aportaciones PPE'!E119,0,F119*$B$8/12),F119*$B$8/12)</f>
        <v>24123.943284917954</v>
      </c>
      <c r="H119" s="125">
        <f t="shared" ca="1" si="39"/>
        <v>1206.1971642458977</v>
      </c>
      <c r="I119" s="125">
        <f t="shared" ca="1" si="50"/>
        <v>0</v>
      </c>
      <c r="J119" s="125">
        <f t="shared" ca="1" si="51"/>
        <v>0</v>
      </c>
      <c r="K119" s="125">
        <f t="shared" ca="1" si="52"/>
        <v>1451.0640174706846</v>
      </c>
      <c r="L119" s="125">
        <f t="shared" ca="1" si="71"/>
        <v>0</v>
      </c>
      <c r="M119" s="125">
        <f t="shared" ca="1" si="53"/>
        <v>0</v>
      </c>
      <c r="N119" s="125">
        <f t="shared" ca="1" si="54"/>
        <v>1451.0640174706846</v>
      </c>
      <c r="R119">
        <f t="shared" si="72"/>
        <v>112</v>
      </c>
      <c r="U119" s="55"/>
      <c r="V119">
        <f t="shared" si="73"/>
        <v>5</v>
      </c>
      <c r="W119">
        <f t="shared" ca="1" si="74"/>
        <v>2033</v>
      </c>
      <c r="X119" s="123">
        <f t="shared" ca="1" si="55"/>
        <v>48700</v>
      </c>
      <c r="Y119" s="64">
        <f t="shared" ca="1" si="56"/>
        <v>1148.0758255761073</v>
      </c>
      <c r="Z119" s="64">
        <f t="shared" ca="1" si="57"/>
        <v>0</v>
      </c>
      <c r="AA119" s="64">
        <f t="shared" ca="1" si="58"/>
        <v>1434.6454292509322</v>
      </c>
      <c r="AB119" s="64">
        <f t="shared" ca="1" si="59"/>
        <v>0</v>
      </c>
      <c r="AF119" t="str">
        <f t="shared" ca="1" si="40"/>
        <v>32035</v>
      </c>
      <c r="AG119" s="126">
        <f t="shared" ca="1" si="41"/>
        <v>0</v>
      </c>
      <c r="AH119" s="126">
        <f t="shared" ca="1" si="42"/>
        <v>0</v>
      </c>
      <c r="AI119" s="126">
        <f t="shared" ca="1" si="43"/>
        <v>1206.1971642458977</v>
      </c>
      <c r="AJ119" t="str">
        <f t="shared" ca="1" si="44"/>
        <v>52033</v>
      </c>
      <c r="AK119" s="126">
        <f t="shared" ca="1" si="60"/>
        <v>0</v>
      </c>
      <c r="AL119" s="126">
        <f t="shared" ca="1" si="61"/>
        <v>0</v>
      </c>
      <c r="AM119" s="126">
        <f t="shared" ca="1" si="75"/>
        <v>0</v>
      </c>
      <c r="AN119" s="753">
        <f t="shared" ca="1" si="76"/>
        <v>0</v>
      </c>
      <c r="AO119" s="750">
        <f t="shared" ca="1" si="62"/>
        <v>0</v>
      </c>
      <c r="AP119" s="126">
        <f t="shared" ca="1" si="63"/>
        <v>0</v>
      </c>
      <c r="AQ119" s="126">
        <f t="shared" ca="1" si="64"/>
        <v>0</v>
      </c>
      <c r="AR119" s="126">
        <f t="shared" ca="1" si="45"/>
        <v>10000</v>
      </c>
      <c r="AS119" s="750">
        <f t="shared" ca="1" si="46"/>
        <v>0</v>
      </c>
      <c r="AT119" s="750">
        <f t="shared" ca="1" si="47"/>
        <v>0</v>
      </c>
      <c r="AU119" s="126">
        <f t="shared" ca="1" si="65"/>
        <v>1148.0758255761073</v>
      </c>
      <c r="AV119" s="126">
        <f t="shared" ca="1" si="66"/>
        <v>5740.3791278805365</v>
      </c>
      <c r="AW119" s="126">
        <f t="shared" ca="1" si="48"/>
        <v>10000</v>
      </c>
      <c r="AX119" s="750">
        <f t="shared" ca="1" si="67"/>
        <v>1148.0758255761073</v>
      </c>
      <c r="AY119" s="750">
        <f t="shared" ca="1" si="68"/>
        <v>0</v>
      </c>
      <c r="AZ119">
        <f t="shared" si="69"/>
        <v>5750</v>
      </c>
    </row>
    <row r="120" spans="4:52">
      <c r="D120">
        <v>113</v>
      </c>
      <c r="E120" s="6">
        <f t="shared" ca="1" si="70"/>
        <v>49341</v>
      </c>
      <c r="F120" s="7">
        <f t="shared" ca="1" si="49"/>
        <v>1.3785110448524545</v>
      </c>
      <c r="G120" s="125">
        <f ca="1">IF('Simulador - 1º Pilar'!$E$99="Sí",IF('Aportaciones PPE'!$B$13&lt;'Aportaciones PPE'!E120,0,F120*$B$8/12),F120*$B$8/12)</f>
        <v>24123.943284917954</v>
      </c>
      <c r="H120" s="125">
        <f t="shared" ca="1" si="39"/>
        <v>1206.1971642458977</v>
      </c>
      <c r="I120" s="125">
        <f t="shared" ca="1" si="50"/>
        <v>0</v>
      </c>
      <c r="J120" s="125">
        <f t="shared" ca="1" si="51"/>
        <v>0</v>
      </c>
      <c r="K120" s="125">
        <f t="shared" ca="1" si="52"/>
        <v>1453.4605676698282</v>
      </c>
      <c r="L120" s="125">
        <f t="shared" ca="1" si="71"/>
        <v>0</v>
      </c>
      <c r="M120" s="125">
        <f t="shared" ca="1" si="53"/>
        <v>0</v>
      </c>
      <c r="N120" s="125">
        <f t="shared" ca="1" si="54"/>
        <v>1453.4605676698282</v>
      </c>
      <c r="R120">
        <f t="shared" si="72"/>
        <v>113</v>
      </c>
      <c r="U120" s="55"/>
      <c r="V120">
        <f t="shared" si="73"/>
        <v>6</v>
      </c>
      <c r="W120">
        <f t="shared" ca="1" si="74"/>
        <v>2033</v>
      </c>
      <c r="X120" s="123">
        <f t="shared" ca="1" si="55"/>
        <v>48731</v>
      </c>
      <c r="Y120" s="64">
        <f t="shared" ca="1" si="56"/>
        <v>1148.0758255761073</v>
      </c>
      <c r="Z120" s="64">
        <f t="shared" ca="1" si="57"/>
        <v>0</v>
      </c>
      <c r="AA120" s="64">
        <f t="shared" ca="1" si="58"/>
        <v>1432.2362231721729</v>
      </c>
      <c r="AB120" s="64">
        <f t="shared" ca="1" si="59"/>
        <v>0</v>
      </c>
      <c r="AF120" t="str">
        <f t="shared" ca="1" si="40"/>
        <v>22035</v>
      </c>
      <c r="AG120" s="126">
        <f t="shared" ca="1" si="41"/>
        <v>0</v>
      </c>
      <c r="AH120" s="126">
        <f t="shared" ca="1" si="42"/>
        <v>0</v>
      </c>
      <c r="AI120" s="126">
        <f t="shared" ca="1" si="43"/>
        <v>1206.1971642458977</v>
      </c>
      <c r="AJ120" t="str">
        <f t="shared" ca="1" si="44"/>
        <v>62033</v>
      </c>
      <c r="AK120" s="126">
        <f t="shared" ca="1" si="60"/>
        <v>0</v>
      </c>
      <c r="AL120" s="126">
        <f t="shared" ca="1" si="61"/>
        <v>0</v>
      </c>
      <c r="AM120" s="126">
        <f t="shared" ca="1" si="75"/>
        <v>0</v>
      </c>
      <c r="AN120" s="753">
        <f t="shared" ca="1" si="76"/>
        <v>0</v>
      </c>
      <c r="AO120" s="750">
        <f t="shared" ca="1" si="62"/>
        <v>0</v>
      </c>
      <c r="AP120" s="126">
        <f t="shared" ca="1" si="63"/>
        <v>0</v>
      </c>
      <c r="AQ120" s="126">
        <f t="shared" ca="1" si="64"/>
        <v>0</v>
      </c>
      <c r="AR120" s="126">
        <f t="shared" ca="1" si="45"/>
        <v>10000</v>
      </c>
      <c r="AS120" s="750">
        <f t="shared" ca="1" si="46"/>
        <v>0</v>
      </c>
      <c r="AT120" s="750">
        <f t="shared" ca="1" si="47"/>
        <v>0</v>
      </c>
      <c r="AU120" s="126">
        <f t="shared" ca="1" si="65"/>
        <v>1148.0758255761073</v>
      </c>
      <c r="AV120" s="126">
        <f t="shared" ca="1" si="66"/>
        <v>6888.454953456644</v>
      </c>
      <c r="AW120" s="126">
        <f t="shared" ca="1" si="48"/>
        <v>10000</v>
      </c>
      <c r="AX120" s="750">
        <f t="shared" ca="1" si="67"/>
        <v>1148.0758255761073</v>
      </c>
      <c r="AY120" s="750">
        <f t="shared" ca="1" si="68"/>
        <v>0</v>
      </c>
      <c r="AZ120">
        <f t="shared" si="69"/>
        <v>5750</v>
      </c>
    </row>
    <row r="121" spans="4:52">
      <c r="D121">
        <v>114</v>
      </c>
      <c r="E121" s="6">
        <f t="shared" ca="1" si="70"/>
        <v>49310</v>
      </c>
      <c r="F121" s="7">
        <f t="shared" ca="1" si="49"/>
        <v>1.3785110448524545</v>
      </c>
      <c r="G121" s="125">
        <f ca="1">IF('Simulador - 1º Pilar'!$E$99="Sí",IF('Aportaciones PPE'!$B$13&lt;'Aportaciones PPE'!E121,0,F121*$B$8/12),F121*$B$8/12)</f>
        <v>24123.943284917954</v>
      </c>
      <c r="H121" s="125">
        <f t="shared" ca="1" si="39"/>
        <v>1206.1971642458977</v>
      </c>
      <c r="I121" s="125">
        <f t="shared" ca="1" si="50"/>
        <v>0</v>
      </c>
      <c r="J121" s="125">
        <f t="shared" ca="1" si="51"/>
        <v>0</v>
      </c>
      <c r="K121" s="125">
        <f t="shared" ca="1" si="52"/>
        <v>1455.8610759664698</v>
      </c>
      <c r="L121" s="125">
        <f t="shared" ca="1" si="71"/>
        <v>0</v>
      </c>
      <c r="M121" s="125">
        <f t="shared" ca="1" si="53"/>
        <v>0</v>
      </c>
      <c r="N121" s="125">
        <f t="shared" ca="1" si="54"/>
        <v>1455.8610759664698</v>
      </c>
      <c r="R121">
        <f t="shared" si="72"/>
        <v>114</v>
      </c>
      <c r="U121" s="55"/>
      <c r="V121">
        <f t="shared" si="73"/>
        <v>7</v>
      </c>
      <c r="W121">
        <f t="shared" ca="1" si="74"/>
        <v>2033</v>
      </c>
      <c r="X121" s="123">
        <f t="shared" ca="1" si="55"/>
        <v>48761</v>
      </c>
      <c r="Y121" s="64">
        <f t="shared" ca="1" si="56"/>
        <v>1148.0758255761073</v>
      </c>
      <c r="Z121" s="64">
        <f t="shared" ca="1" si="57"/>
        <v>0</v>
      </c>
      <c r="AA121" s="64">
        <f t="shared" ca="1" si="58"/>
        <v>1429.9085856189467</v>
      </c>
      <c r="AB121" s="64">
        <f t="shared" ca="1" si="59"/>
        <v>0</v>
      </c>
      <c r="AF121" t="str">
        <f t="shared" ca="1" si="40"/>
        <v>12035</v>
      </c>
      <c r="AG121" s="126">
        <f t="shared" ca="1" si="41"/>
        <v>0</v>
      </c>
      <c r="AH121" s="126">
        <f t="shared" ca="1" si="42"/>
        <v>0</v>
      </c>
      <c r="AI121" s="126">
        <f t="shared" ca="1" si="43"/>
        <v>1206.1971642458977</v>
      </c>
      <c r="AJ121" t="str">
        <f t="shared" ca="1" si="44"/>
        <v>72033</v>
      </c>
      <c r="AK121" s="126">
        <f t="shared" ca="1" si="60"/>
        <v>0</v>
      </c>
      <c r="AL121" s="126">
        <f t="shared" ca="1" si="61"/>
        <v>0</v>
      </c>
      <c r="AM121" s="126">
        <f t="shared" ca="1" si="75"/>
        <v>0</v>
      </c>
      <c r="AN121" s="753">
        <f t="shared" ca="1" si="76"/>
        <v>0</v>
      </c>
      <c r="AO121" s="750">
        <f t="shared" ca="1" si="62"/>
        <v>0</v>
      </c>
      <c r="AP121" s="126">
        <f t="shared" ca="1" si="63"/>
        <v>0</v>
      </c>
      <c r="AQ121" s="126">
        <f t="shared" ca="1" si="64"/>
        <v>0</v>
      </c>
      <c r="AR121" s="126">
        <f t="shared" ca="1" si="45"/>
        <v>10000</v>
      </c>
      <c r="AS121" s="750">
        <f t="shared" ca="1" si="46"/>
        <v>0</v>
      </c>
      <c r="AT121" s="750">
        <f t="shared" ca="1" si="47"/>
        <v>0</v>
      </c>
      <c r="AU121" s="126">
        <f t="shared" ca="1" si="65"/>
        <v>1148.0758255761073</v>
      </c>
      <c r="AV121" s="126">
        <f t="shared" ca="1" si="66"/>
        <v>8036.5307790327515</v>
      </c>
      <c r="AW121" s="126">
        <f t="shared" ca="1" si="48"/>
        <v>10000</v>
      </c>
      <c r="AX121" s="750">
        <f t="shared" ca="1" si="67"/>
        <v>1148.0758255761073</v>
      </c>
      <c r="AY121" s="750">
        <f t="shared" ca="1" si="68"/>
        <v>0</v>
      </c>
      <c r="AZ121">
        <f t="shared" si="69"/>
        <v>5750</v>
      </c>
    </row>
    <row r="122" spans="4:52">
      <c r="D122">
        <v>115</v>
      </c>
      <c r="E122" s="6">
        <f t="shared" ca="1" si="70"/>
        <v>49279</v>
      </c>
      <c r="F122" s="7">
        <f t="shared" ca="1" si="49"/>
        <v>1.3448888242462971</v>
      </c>
      <c r="G122" s="125">
        <f ca="1">IF('Simulador - 1º Pilar'!$E$99="Sí",IF('Aportaciones PPE'!$B$13&lt;'Aportaciones PPE'!E122,0,F122*$B$8/12),F122*$B$8/12)</f>
        <v>23535.554424310201</v>
      </c>
      <c r="H122" s="125">
        <f t="shared" ca="1" si="39"/>
        <v>1176.7777212155102</v>
      </c>
      <c r="I122" s="125">
        <f t="shared" ca="1" si="50"/>
        <v>0</v>
      </c>
      <c r="J122" s="125">
        <f t="shared" ca="1" si="51"/>
        <v>0</v>
      </c>
      <c r="K122" s="125">
        <f t="shared" ca="1" si="52"/>
        <v>1422.69809648559</v>
      </c>
      <c r="L122" s="125">
        <f t="shared" ca="1" si="71"/>
        <v>0</v>
      </c>
      <c r="M122" s="125">
        <f t="shared" ca="1" si="53"/>
        <v>0</v>
      </c>
      <c r="N122" s="125">
        <f t="shared" ca="1" si="54"/>
        <v>1422.69809648559</v>
      </c>
      <c r="R122">
        <f t="shared" si="72"/>
        <v>115</v>
      </c>
      <c r="U122" s="55"/>
      <c r="V122">
        <f t="shared" si="73"/>
        <v>8</v>
      </c>
      <c r="W122">
        <f t="shared" ca="1" si="74"/>
        <v>2033</v>
      </c>
      <c r="X122" s="123">
        <f t="shared" ca="1" si="55"/>
        <v>48792</v>
      </c>
      <c r="Y122" s="64">
        <f t="shared" ca="1" si="56"/>
        <v>1148.0758255761073</v>
      </c>
      <c r="Z122" s="64">
        <f t="shared" ca="1" si="57"/>
        <v>0</v>
      </c>
      <c r="AA122" s="64">
        <f t="shared" ca="1" si="58"/>
        <v>1427.50733414154</v>
      </c>
      <c r="AB122" s="64">
        <f t="shared" ca="1" si="59"/>
        <v>0</v>
      </c>
      <c r="AF122" t="str">
        <f t="shared" ca="1" si="40"/>
        <v>122034</v>
      </c>
      <c r="AG122" s="126">
        <f t="shared" ca="1" si="41"/>
        <v>0</v>
      </c>
      <c r="AH122" s="126">
        <f t="shared" ca="1" si="42"/>
        <v>0</v>
      </c>
      <c r="AI122" s="126">
        <f t="shared" ca="1" si="43"/>
        <v>1176.7777212155102</v>
      </c>
      <c r="AJ122" t="str">
        <f t="shared" ca="1" si="44"/>
        <v>82033</v>
      </c>
      <c r="AK122" s="126">
        <f t="shared" ca="1" si="60"/>
        <v>0</v>
      </c>
      <c r="AL122" s="126">
        <f t="shared" ca="1" si="61"/>
        <v>0</v>
      </c>
      <c r="AM122" s="126">
        <f t="shared" ca="1" si="75"/>
        <v>0</v>
      </c>
      <c r="AN122" s="753">
        <f t="shared" ca="1" si="76"/>
        <v>0</v>
      </c>
      <c r="AO122" s="750">
        <f t="shared" ca="1" si="62"/>
        <v>0</v>
      </c>
      <c r="AP122" s="126">
        <f t="shared" ca="1" si="63"/>
        <v>0</v>
      </c>
      <c r="AQ122" s="126">
        <f t="shared" ca="1" si="64"/>
        <v>0</v>
      </c>
      <c r="AR122" s="126">
        <f t="shared" ca="1" si="45"/>
        <v>10000</v>
      </c>
      <c r="AS122" s="750">
        <f t="shared" ca="1" si="46"/>
        <v>0</v>
      </c>
      <c r="AT122" s="750">
        <f t="shared" ca="1" si="47"/>
        <v>0</v>
      </c>
      <c r="AU122" s="126">
        <f t="shared" ca="1" si="65"/>
        <v>1148.0758255761073</v>
      </c>
      <c r="AV122" s="126">
        <f t="shared" ca="1" si="66"/>
        <v>9184.6066046088581</v>
      </c>
      <c r="AW122" s="126">
        <f t="shared" ca="1" si="48"/>
        <v>10000</v>
      </c>
      <c r="AX122" s="750">
        <f t="shared" ca="1" si="67"/>
        <v>1148.0758255761073</v>
      </c>
      <c r="AY122" s="750">
        <f t="shared" ca="1" si="68"/>
        <v>0</v>
      </c>
      <c r="AZ122">
        <f t="shared" si="69"/>
        <v>5750</v>
      </c>
    </row>
    <row r="123" spans="4:52">
      <c r="D123">
        <v>116</v>
      </c>
      <c r="E123" s="6">
        <f t="shared" ca="1" si="70"/>
        <v>49249</v>
      </c>
      <c r="F123" s="7">
        <f t="shared" ca="1" si="49"/>
        <v>1.3448888242462971</v>
      </c>
      <c r="G123" s="125">
        <f ca="1">IF('Simulador - 1º Pilar'!$E$99="Sí",IF('Aportaciones PPE'!$B$13&lt;'Aportaciones PPE'!E123,0,F123*$B$8/12),F123*$B$8/12)</f>
        <v>23535.554424310201</v>
      </c>
      <c r="H123" s="125">
        <f t="shared" ca="1" si="39"/>
        <v>1176.7777212155102</v>
      </c>
      <c r="I123" s="125">
        <f t="shared" ca="1" si="50"/>
        <v>0</v>
      </c>
      <c r="J123" s="125">
        <f t="shared" ca="1" si="51"/>
        <v>0</v>
      </c>
      <c r="K123" s="125">
        <f t="shared" ca="1" si="52"/>
        <v>1425.0477980600231</v>
      </c>
      <c r="L123" s="125">
        <f t="shared" ca="1" si="71"/>
        <v>0</v>
      </c>
      <c r="M123" s="125">
        <f t="shared" ca="1" si="53"/>
        <v>0</v>
      </c>
      <c r="N123" s="125">
        <f t="shared" ca="1" si="54"/>
        <v>1425.0477980600231</v>
      </c>
      <c r="R123">
        <f t="shared" si="72"/>
        <v>116</v>
      </c>
      <c r="U123" s="55"/>
      <c r="V123">
        <f t="shared" si="73"/>
        <v>9</v>
      </c>
      <c r="W123">
        <f t="shared" ca="1" si="74"/>
        <v>2033</v>
      </c>
      <c r="X123" s="123">
        <f t="shared" ca="1" si="55"/>
        <v>48823</v>
      </c>
      <c r="Y123" s="64">
        <f t="shared" ca="1" si="56"/>
        <v>815.39339539114189</v>
      </c>
      <c r="Z123" s="64">
        <f t="shared" ca="1" si="57"/>
        <v>332.68243018496537</v>
      </c>
      <c r="AA123" s="64">
        <f t="shared" ca="1" si="58"/>
        <v>1012.1503734050984</v>
      </c>
      <c r="AB123" s="64">
        <f t="shared" ca="1" si="59"/>
        <v>412.95974169069945</v>
      </c>
      <c r="AF123" t="str">
        <f t="shared" ca="1" si="40"/>
        <v>112034</v>
      </c>
      <c r="AG123" s="126">
        <f t="shared" ca="1" si="41"/>
        <v>0</v>
      </c>
      <c r="AH123" s="126">
        <f t="shared" ca="1" si="42"/>
        <v>0</v>
      </c>
      <c r="AI123" s="126">
        <f t="shared" ca="1" si="43"/>
        <v>1176.7777212155102</v>
      </c>
      <c r="AJ123" t="str">
        <f t="shared" ca="1" si="44"/>
        <v>92033</v>
      </c>
      <c r="AK123" s="126">
        <f t="shared" ca="1" si="60"/>
        <v>0</v>
      </c>
      <c r="AL123" s="126">
        <f t="shared" ca="1" si="61"/>
        <v>0</v>
      </c>
      <c r="AM123" s="126">
        <f t="shared" ca="1" si="75"/>
        <v>0</v>
      </c>
      <c r="AN123" s="753">
        <f t="shared" ca="1" si="76"/>
        <v>0</v>
      </c>
      <c r="AO123" s="750">
        <f t="shared" ca="1" si="62"/>
        <v>0</v>
      </c>
      <c r="AP123" s="126">
        <f t="shared" ca="1" si="63"/>
        <v>0</v>
      </c>
      <c r="AQ123" s="126">
        <f t="shared" ca="1" si="64"/>
        <v>0</v>
      </c>
      <c r="AR123" s="126">
        <f t="shared" ca="1" si="45"/>
        <v>10000</v>
      </c>
      <c r="AS123" s="750">
        <f t="shared" ca="1" si="46"/>
        <v>0</v>
      </c>
      <c r="AT123" s="750">
        <f t="shared" ca="1" si="47"/>
        <v>0</v>
      </c>
      <c r="AU123" s="126">
        <f t="shared" ca="1" si="65"/>
        <v>1148.0758255761073</v>
      </c>
      <c r="AV123" s="126">
        <f t="shared" ca="1" si="66"/>
        <v>10332.682430184965</v>
      </c>
      <c r="AW123" s="126">
        <f t="shared" ca="1" si="48"/>
        <v>10000</v>
      </c>
      <c r="AX123" s="750">
        <f t="shared" ca="1" si="67"/>
        <v>815.39339539114189</v>
      </c>
      <c r="AY123" s="750">
        <f t="shared" ca="1" si="68"/>
        <v>332.68243018496537</v>
      </c>
      <c r="AZ123">
        <f t="shared" si="69"/>
        <v>5750</v>
      </c>
    </row>
    <row r="124" spans="4:52">
      <c r="D124">
        <v>117</v>
      </c>
      <c r="E124" s="6">
        <f t="shared" ca="1" si="70"/>
        <v>49218</v>
      </c>
      <c r="F124" s="7">
        <f t="shared" ca="1" si="49"/>
        <v>1.3448888242462971</v>
      </c>
      <c r="G124" s="125">
        <f ca="1">IF('Simulador - 1º Pilar'!$E$99="Sí",IF('Aportaciones PPE'!$B$13&lt;'Aportaciones PPE'!E124,0,F124*$B$8/12),F124*$B$8/12)</f>
        <v>23535.554424310201</v>
      </c>
      <c r="H124" s="125">
        <f t="shared" ca="1" si="39"/>
        <v>1176.7777212155102</v>
      </c>
      <c r="I124" s="125">
        <f t="shared" ca="1" si="50"/>
        <v>0</v>
      </c>
      <c r="J124" s="125">
        <f t="shared" ca="1" si="51"/>
        <v>0</v>
      </c>
      <c r="K124" s="125">
        <f t="shared" ca="1" si="52"/>
        <v>1427.4013803576413</v>
      </c>
      <c r="L124" s="125">
        <f t="shared" ca="1" si="71"/>
        <v>0</v>
      </c>
      <c r="M124" s="125">
        <f t="shared" ca="1" si="53"/>
        <v>0</v>
      </c>
      <c r="N124" s="125">
        <f t="shared" ca="1" si="54"/>
        <v>1427.4013803576413</v>
      </c>
      <c r="R124">
        <f t="shared" si="72"/>
        <v>117</v>
      </c>
      <c r="U124" s="55"/>
      <c r="V124">
        <f t="shared" si="73"/>
        <v>10</v>
      </c>
      <c r="W124">
        <f t="shared" ca="1" si="74"/>
        <v>2033</v>
      </c>
      <c r="X124" s="123">
        <f t="shared" ca="1" si="55"/>
        <v>48853</v>
      </c>
      <c r="Y124" s="64">
        <f t="shared" ca="1" si="56"/>
        <v>0</v>
      </c>
      <c r="Z124" s="64">
        <f t="shared" ca="1" si="57"/>
        <v>1148.0758255761073</v>
      </c>
      <c r="AA124" s="64">
        <f t="shared" ca="1" si="58"/>
        <v>0</v>
      </c>
      <c r="AB124" s="64">
        <f t="shared" ca="1" si="59"/>
        <v>1422.7940587304363</v>
      </c>
      <c r="AF124" t="str">
        <f t="shared" ca="1" si="40"/>
        <v>102034</v>
      </c>
      <c r="AG124" s="126">
        <f t="shared" ca="1" si="41"/>
        <v>0</v>
      </c>
      <c r="AH124" s="126">
        <f t="shared" ca="1" si="42"/>
        <v>0</v>
      </c>
      <c r="AI124" s="126">
        <f t="shared" ca="1" si="43"/>
        <v>1176.7777212155102</v>
      </c>
      <c r="AJ124" t="str">
        <f t="shared" ca="1" si="44"/>
        <v>102033</v>
      </c>
      <c r="AK124" s="126">
        <f t="shared" ca="1" si="60"/>
        <v>0</v>
      </c>
      <c r="AL124" s="126">
        <f t="shared" ca="1" si="61"/>
        <v>0</v>
      </c>
      <c r="AM124" s="126">
        <f t="shared" ca="1" si="75"/>
        <v>0</v>
      </c>
      <c r="AN124" s="753">
        <f t="shared" ca="1" si="76"/>
        <v>0</v>
      </c>
      <c r="AO124" s="750">
        <f t="shared" ca="1" si="62"/>
        <v>0</v>
      </c>
      <c r="AP124" s="126">
        <f t="shared" ca="1" si="63"/>
        <v>0</v>
      </c>
      <c r="AQ124" s="126">
        <f t="shared" ca="1" si="64"/>
        <v>0</v>
      </c>
      <c r="AR124" s="126">
        <f t="shared" ca="1" si="45"/>
        <v>10000</v>
      </c>
      <c r="AS124" s="750">
        <f t="shared" ca="1" si="46"/>
        <v>0</v>
      </c>
      <c r="AT124" s="750">
        <f t="shared" ca="1" si="47"/>
        <v>0</v>
      </c>
      <c r="AU124" s="126">
        <f t="shared" ca="1" si="65"/>
        <v>1148.0758255761073</v>
      </c>
      <c r="AV124" s="126">
        <f t="shared" ca="1" si="66"/>
        <v>11480.758255761071</v>
      </c>
      <c r="AW124" s="126">
        <f t="shared" ca="1" si="48"/>
        <v>10000</v>
      </c>
      <c r="AX124" s="750">
        <f t="shared" ca="1" si="67"/>
        <v>0</v>
      </c>
      <c r="AY124" s="750">
        <f t="shared" ca="1" si="68"/>
        <v>1148.0758255761073</v>
      </c>
      <c r="AZ124">
        <f t="shared" si="69"/>
        <v>5750</v>
      </c>
    </row>
    <row r="125" spans="4:52">
      <c r="D125">
        <v>118</v>
      </c>
      <c r="E125" s="6">
        <f t="shared" ca="1" si="70"/>
        <v>49188</v>
      </c>
      <c r="F125" s="7">
        <f t="shared" ca="1" si="49"/>
        <v>1.3448888242462971</v>
      </c>
      <c r="G125" s="125">
        <f ca="1">IF('Simulador - 1º Pilar'!$E$99="Sí",IF('Aportaciones PPE'!$B$13&lt;'Aportaciones PPE'!E125,0,F125*$B$8/12),F125*$B$8/12)</f>
        <v>23535.554424310201</v>
      </c>
      <c r="H125" s="125">
        <f t="shared" ca="1" si="39"/>
        <v>1176.7777212155102</v>
      </c>
      <c r="I125" s="125">
        <f t="shared" ca="1" si="50"/>
        <v>0</v>
      </c>
      <c r="J125" s="125">
        <f t="shared" ca="1" si="51"/>
        <v>0</v>
      </c>
      <c r="K125" s="125">
        <f t="shared" ca="1" si="52"/>
        <v>1429.7588497877753</v>
      </c>
      <c r="L125" s="125">
        <f t="shared" ca="1" si="71"/>
        <v>0</v>
      </c>
      <c r="M125" s="125">
        <f t="shared" ca="1" si="53"/>
        <v>0</v>
      </c>
      <c r="N125" s="125">
        <f t="shared" ca="1" si="54"/>
        <v>1429.7588497877753</v>
      </c>
      <c r="R125">
        <f t="shared" si="72"/>
        <v>118</v>
      </c>
      <c r="U125" s="55"/>
      <c r="V125">
        <f t="shared" si="73"/>
        <v>11</v>
      </c>
      <c r="W125">
        <f t="shared" ca="1" si="74"/>
        <v>2033</v>
      </c>
      <c r="X125" s="123">
        <f t="shared" ca="1" si="55"/>
        <v>48884</v>
      </c>
      <c r="Y125" s="64">
        <f t="shared" ca="1" si="56"/>
        <v>0</v>
      </c>
      <c r="Z125" s="64">
        <f t="shared" ca="1" si="57"/>
        <v>1148.0758255761073</v>
      </c>
      <c r="AA125" s="64">
        <f t="shared" ca="1" si="58"/>
        <v>0</v>
      </c>
      <c r="AB125" s="64">
        <f t="shared" ca="1" si="59"/>
        <v>1420.4047547078349</v>
      </c>
      <c r="AF125" t="str">
        <f t="shared" ca="1" si="40"/>
        <v>92034</v>
      </c>
      <c r="AG125" s="126">
        <f t="shared" ca="1" si="41"/>
        <v>0</v>
      </c>
      <c r="AH125" s="126">
        <f t="shared" ca="1" si="42"/>
        <v>0</v>
      </c>
      <c r="AI125" s="126">
        <f t="shared" ca="1" si="43"/>
        <v>1176.7777212155102</v>
      </c>
      <c r="AJ125" t="str">
        <f t="shared" ca="1" si="44"/>
        <v>112033</v>
      </c>
      <c r="AK125" s="126">
        <f t="shared" ca="1" si="60"/>
        <v>0</v>
      </c>
      <c r="AL125" s="126">
        <f t="shared" ca="1" si="61"/>
        <v>0</v>
      </c>
      <c r="AM125" s="126">
        <f t="shared" ca="1" si="75"/>
        <v>0</v>
      </c>
      <c r="AN125" s="753">
        <f t="shared" ca="1" si="76"/>
        <v>0</v>
      </c>
      <c r="AO125" s="750">
        <f t="shared" ca="1" si="62"/>
        <v>0</v>
      </c>
      <c r="AP125" s="126">
        <f t="shared" ca="1" si="63"/>
        <v>0</v>
      </c>
      <c r="AQ125" s="126">
        <f t="shared" ca="1" si="64"/>
        <v>0</v>
      </c>
      <c r="AR125" s="126">
        <f t="shared" ca="1" si="45"/>
        <v>10000</v>
      </c>
      <c r="AS125" s="750">
        <f t="shared" ca="1" si="46"/>
        <v>0</v>
      </c>
      <c r="AT125" s="750">
        <f t="shared" ca="1" si="47"/>
        <v>0</v>
      </c>
      <c r="AU125" s="126">
        <f t="shared" ca="1" si="65"/>
        <v>1148.0758255761073</v>
      </c>
      <c r="AV125" s="126">
        <f t="shared" ca="1" si="66"/>
        <v>12628.834081337178</v>
      </c>
      <c r="AW125" s="126">
        <f t="shared" ca="1" si="48"/>
        <v>10000</v>
      </c>
      <c r="AX125" s="750">
        <f t="shared" ca="1" si="67"/>
        <v>0</v>
      </c>
      <c r="AY125" s="750">
        <f t="shared" ca="1" si="68"/>
        <v>1148.0758255761073</v>
      </c>
      <c r="AZ125">
        <f t="shared" si="69"/>
        <v>5750</v>
      </c>
    </row>
    <row r="126" spans="4:52">
      <c r="D126">
        <v>119</v>
      </c>
      <c r="E126" s="6">
        <f t="shared" ca="1" si="70"/>
        <v>49157</v>
      </c>
      <c r="F126" s="7">
        <f t="shared" ca="1" si="49"/>
        <v>1.3448888242462971</v>
      </c>
      <c r="G126" s="125">
        <f ca="1">IF('Simulador - 1º Pilar'!$E$99="Sí",IF('Aportaciones PPE'!$B$13&lt;'Aportaciones PPE'!E126,0,F126*$B$8/12),F126*$B$8/12)</f>
        <v>23535.554424310201</v>
      </c>
      <c r="H126" s="125">
        <f t="shared" ca="1" si="39"/>
        <v>1176.7777212155102</v>
      </c>
      <c r="I126" s="125">
        <f t="shared" ca="1" si="50"/>
        <v>0</v>
      </c>
      <c r="J126" s="125">
        <f t="shared" ca="1" si="51"/>
        <v>0</v>
      </c>
      <c r="K126" s="125">
        <f t="shared" ca="1" si="52"/>
        <v>1432.1202127703395</v>
      </c>
      <c r="L126" s="125">
        <f t="shared" ca="1" si="71"/>
        <v>0</v>
      </c>
      <c r="M126" s="125">
        <f t="shared" ca="1" si="53"/>
        <v>0</v>
      </c>
      <c r="N126" s="125">
        <f t="shared" ca="1" si="54"/>
        <v>1432.1202127703395</v>
      </c>
      <c r="R126">
        <f t="shared" si="72"/>
        <v>119</v>
      </c>
      <c r="U126" s="55"/>
      <c r="V126">
        <f t="shared" si="73"/>
        <v>12</v>
      </c>
      <c r="W126">
        <f t="shared" ca="1" si="74"/>
        <v>2033</v>
      </c>
      <c r="X126" s="123">
        <f t="shared" ca="1" si="55"/>
        <v>48914</v>
      </c>
      <c r="Y126" s="64">
        <f t="shared" ca="1" si="56"/>
        <v>0</v>
      </c>
      <c r="Z126" s="64">
        <f t="shared" ca="1" si="57"/>
        <v>1148.0758255761073</v>
      </c>
      <c r="AA126" s="64">
        <f t="shared" ca="1" si="58"/>
        <v>0</v>
      </c>
      <c r="AB126" s="64">
        <f t="shared" ca="1" si="59"/>
        <v>1418.0963453865593</v>
      </c>
      <c r="AF126" t="str">
        <f t="shared" ca="1" si="40"/>
        <v>82034</v>
      </c>
      <c r="AG126" s="126">
        <f t="shared" ca="1" si="41"/>
        <v>0</v>
      </c>
      <c r="AH126" s="126">
        <f t="shared" ca="1" si="42"/>
        <v>0</v>
      </c>
      <c r="AI126" s="126">
        <f t="shared" ca="1" si="43"/>
        <v>1176.7777212155102</v>
      </c>
      <c r="AJ126" t="str">
        <f t="shared" ca="1" si="44"/>
        <v>122033</v>
      </c>
      <c r="AK126" s="126">
        <f t="shared" ca="1" si="60"/>
        <v>0</v>
      </c>
      <c r="AL126" s="126">
        <f t="shared" ca="1" si="61"/>
        <v>0</v>
      </c>
      <c r="AM126" s="126">
        <f t="shared" ca="1" si="75"/>
        <v>0</v>
      </c>
      <c r="AN126" s="753">
        <f t="shared" ca="1" si="76"/>
        <v>0</v>
      </c>
      <c r="AO126" s="750">
        <f t="shared" ca="1" si="62"/>
        <v>0</v>
      </c>
      <c r="AP126" s="126">
        <f t="shared" ca="1" si="63"/>
        <v>0</v>
      </c>
      <c r="AQ126" s="126">
        <f t="shared" ca="1" si="64"/>
        <v>0</v>
      </c>
      <c r="AR126" s="126">
        <f t="shared" ca="1" si="45"/>
        <v>10000</v>
      </c>
      <c r="AS126" s="750">
        <f t="shared" ca="1" si="46"/>
        <v>0</v>
      </c>
      <c r="AT126" s="750">
        <f t="shared" ca="1" si="47"/>
        <v>0</v>
      </c>
      <c r="AU126" s="126">
        <f t="shared" ca="1" si="65"/>
        <v>1148.0758255761073</v>
      </c>
      <c r="AV126" s="126">
        <f t="shared" ca="1" si="66"/>
        <v>13776.909906913284</v>
      </c>
      <c r="AW126" s="126">
        <f t="shared" ca="1" si="48"/>
        <v>10000</v>
      </c>
      <c r="AX126" s="750">
        <f t="shared" ca="1" si="67"/>
        <v>0</v>
      </c>
      <c r="AY126" s="750">
        <f t="shared" ca="1" si="68"/>
        <v>1148.0758255761073</v>
      </c>
      <c r="AZ126">
        <f t="shared" si="69"/>
        <v>5750</v>
      </c>
    </row>
    <row r="127" spans="4:52">
      <c r="D127">
        <v>120</v>
      </c>
      <c r="E127" s="6">
        <f t="shared" ca="1" si="70"/>
        <v>49126</v>
      </c>
      <c r="F127" s="7">
        <f t="shared" ca="1" si="49"/>
        <v>1.3448888242462971</v>
      </c>
      <c r="G127" s="125">
        <f ca="1">IF('Simulador - 1º Pilar'!$E$99="Sí",IF('Aportaciones PPE'!$B$13&lt;'Aportaciones PPE'!E127,0,F127*$B$8/12),F127*$B$8/12)</f>
        <v>23535.554424310201</v>
      </c>
      <c r="H127" s="125">
        <f t="shared" ca="1" si="39"/>
        <v>1176.7777212155102</v>
      </c>
      <c r="I127" s="125">
        <f t="shared" ca="1" si="50"/>
        <v>0</v>
      </c>
      <c r="J127" s="125">
        <f t="shared" ca="1" si="51"/>
        <v>0</v>
      </c>
      <c r="K127" s="125">
        <f t="shared" ca="1" si="52"/>
        <v>1434.4854757358528</v>
      </c>
      <c r="L127" s="125">
        <f t="shared" ca="1" si="71"/>
        <v>0</v>
      </c>
      <c r="M127" s="125">
        <f t="shared" ca="1" si="53"/>
        <v>0</v>
      </c>
      <c r="N127" s="125">
        <f t="shared" ca="1" si="54"/>
        <v>1434.4854757358528</v>
      </c>
      <c r="R127">
        <f t="shared" si="72"/>
        <v>120</v>
      </c>
      <c r="U127" s="55"/>
      <c r="V127">
        <f t="shared" si="73"/>
        <v>1</v>
      </c>
      <c r="W127">
        <f t="shared" ca="1" si="74"/>
        <v>2034</v>
      </c>
      <c r="X127" s="123">
        <f t="shared" ca="1" si="55"/>
        <v>48945</v>
      </c>
      <c r="Y127" s="64">
        <f t="shared" ca="1" si="56"/>
        <v>1176.7777212155102</v>
      </c>
      <c r="Z127" s="64">
        <f t="shared" ca="1" si="57"/>
        <v>0</v>
      </c>
      <c r="AA127" s="64">
        <f t="shared" ca="1" si="58"/>
        <v>1451.1078035099954</v>
      </c>
      <c r="AB127" s="64">
        <f t="shared" ca="1" si="59"/>
        <v>0</v>
      </c>
      <c r="AF127" t="str">
        <f t="shared" ca="1" si="40"/>
        <v>72034</v>
      </c>
      <c r="AG127" s="126">
        <f t="shared" ca="1" si="41"/>
        <v>0</v>
      </c>
      <c r="AH127" s="126">
        <f t="shared" ca="1" si="42"/>
        <v>0</v>
      </c>
      <c r="AI127" s="126">
        <f t="shared" ca="1" si="43"/>
        <v>1176.7777212155102</v>
      </c>
      <c r="AJ127" t="str">
        <f t="shared" ca="1" si="44"/>
        <v>12034</v>
      </c>
      <c r="AK127" s="126">
        <f t="shared" ca="1" si="60"/>
        <v>0</v>
      </c>
      <c r="AL127" s="126">
        <f t="shared" ca="1" si="61"/>
        <v>0</v>
      </c>
      <c r="AM127" s="126">
        <f t="shared" ca="1" si="75"/>
        <v>0</v>
      </c>
      <c r="AN127" s="753">
        <f t="shared" ca="1" si="76"/>
        <v>0</v>
      </c>
      <c r="AO127" s="750">
        <f t="shared" ca="1" si="62"/>
        <v>0</v>
      </c>
      <c r="AP127" s="126">
        <f t="shared" ca="1" si="63"/>
        <v>0</v>
      </c>
      <c r="AQ127" s="126">
        <f t="shared" ca="1" si="64"/>
        <v>0</v>
      </c>
      <c r="AR127" s="126">
        <f t="shared" ca="1" si="45"/>
        <v>10000</v>
      </c>
      <c r="AS127" s="750">
        <f t="shared" ca="1" si="46"/>
        <v>0</v>
      </c>
      <c r="AT127" s="750">
        <f t="shared" ca="1" si="47"/>
        <v>0</v>
      </c>
      <c r="AU127" s="126">
        <f t="shared" ca="1" si="65"/>
        <v>1176.7777212155102</v>
      </c>
      <c r="AV127" s="126">
        <f t="shared" ca="1" si="66"/>
        <v>1176.7777212155102</v>
      </c>
      <c r="AW127" s="126">
        <f t="shared" ca="1" si="48"/>
        <v>10000</v>
      </c>
      <c r="AX127" s="750">
        <f t="shared" ca="1" si="67"/>
        <v>1176.7777212155102</v>
      </c>
      <c r="AY127" s="750">
        <f t="shared" ca="1" si="68"/>
        <v>0</v>
      </c>
      <c r="AZ127">
        <f t="shared" si="69"/>
        <v>5750</v>
      </c>
    </row>
    <row r="128" spans="4:52">
      <c r="D128">
        <v>121</v>
      </c>
      <c r="E128" s="6">
        <f t="shared" ca="1" si="70"/>
        <v>49096</v>
      </c>
      <c r="F128" s="7">
        <f t="shared" ca="1" si="49"/>
        <v>1.3448888242462971</v>
      </c>
      <c r="G128" s="125">
        <f ca="1">IF('Simulador - 1º Pilar'!$E$99="Sí",IF('Aportaciones PPE'!$B$13&lt;'Aportaciones PPE'!E128,0,F128*$B$8/12),F128*$B$8/12)</f>
        <v>23535.554424310201</v>
      </c>
      <c r="H128" s="125">
        <f t="shared" ca="1" si="39"/>
        <v>1176.7777212155102</v>
      </c>
      <c r="I128" s="125">
        <f t="shared" ca="1" si="50"/>
        <v>0</v>
      </c>
      <c r="J128" s="125">
        <f t="shared" ca="1" si="51"/>
        <v>0</v>
      </c>
      <c r="K128" s="125">
        <f t="shared" ca="1" si="52"/>
        <v>1436.8546451254545</v>
      </c>
      <c r="L128" s="125">
        <f t="shared" ca="1" si="71"/>
        <v>0</v>
      </c>
      <c r="M128" s="125">
        <f t="shared" ca="1" si="53"/>
        <v>0</v>
      </c>
      <c r="N128" s="125">
        <f t="shared" ca="1" si="54"/>
        <v>1436.8546451254545</v>
      </c>
      <c r="R128">
        <f t="shared" si="72"/>
        <v>121</v>
      </c>
      <c r="U128" s="55"/>
      <c r="V128">
        <f t="shared" si="73"/>
        <v>2</v>
      </c>
      <c r="W128">
        <f t="shared" ca="1" si="74"/>
        <v>2034</v>
      </c>
      <c r="X128" s="123">
        <f t="shared" ca="1" si="55"/>
        <v>48976</v>
      </c>
      <c r="Y128" s="64">
        <f t="shared" ca="1" si="56"/>
        <v>1176.7777212155102</v>
      </c>
      <c r="Z128" s="64">
        <f t="shared" ca="1" si="57"/>
        <v>0</v>
      </c>
      <c r="AA128" s="64">
        <f t="shared" ca="1" si="58"/>
        <v>1448.6709520971856</v>
      </c>
      <c r="AB128" s="64">
        <f t="shared" ca="1" si="59"/>
        <v>0</v>
      </c>
      <c r="AF128" t="str">
        <f t="shared" ca="1" si="40"/>
        <v>62034</v>
      </c>
      <c r="AG128" s="126">
        <f t="shared" ca="1" si="41"/>
        <v>0</v>
      </c>
      <c r="AH128" s="126">
        <f t="shared" ca="1" si="42"/>
        <v>0</v>
      </c>
      <c r="AI128" s="126">
        <f t="shared" ca="1" si="43"/>
        <v>1176.7777212155102</v>
      </c>
      <c r="AJ128" t="str">
        <f t="shared" ca="1" si="44"/>
        <v>22034</v>
      </c>
      <c r="AK128" s="126">
        <f t="shared" ca="1" si="60"/>
        <v>0</v>
      </c>
      <c r="AL128" s="126">
        <f t="shared" ca="1" si="61"/>
        <v>0</v>
      </c>
      <c r="AM128" s="126">
        <f t="shared" ca="1" si="75"/>
        <v>0</v>
      </c>
      <c r="AN128" s="753">
        <f t="shared" ca="1" si="76"/>
        <v>0</v>
      </c>
      <c r="AO128" s="750">
        <f t="shared" ca="1" si="62"/>
        <v>0</v>
      </c>
      <c r="AP128" s="126">
        <f t="shared" ca="1" si="63"/>
        <v>0</v>
      </c>
      <c r="AQ128" s="126">
        <f t="shared" ca="1" si="64"/>
        <v>0</v>
      </c>
      <c r="AR128" s="126">
        <f t="shared" ca="1" si="45"/>
        <v>10000</v>
      </c>
      <c r="AS128" s="750">
        <f t="shared" ca="1" si="46"/>
        <v>0</v>
      </c>
      <c r="AT128" s="750">
        <f t="shared" ca="1" si="47"/>
        <v>0</v>
      </c>
      <c r="AU128" s="126">
        <f t="shared" ca="1" si="65"/>
        <v>1176.7777212155102</v>
      </c>
      <c r="AV128" s="126">
        <f t="shared" ca="1" si="66"/>
        <v>2353.5554424310203</v>
      </c>
      <c r="AW128" s="126">
        <f t="shared" ca="1" si="48"/>
        <v>10000</v>
      </c>
      <c r="AX128" s="750">
        <f t="shared" ca="1" si="67"/>
        <v>1176.7777212155102</v>
      </c>
      <c r="AY128" s="750">
        <f t="shared" ca="1" si="68"/>
        <v>0</v>
      </c>
      <c r="AZ128">
        <f t="shared" si="69"/>
        <v>5750</v>
      </c>
    </row>
    <row r="129" spans="3:52">
      <c r="D129">
        <v>122</v>
      </c>
      <c r="E129" s="6">
        <f t="shared" ca="1" si="70"/>
        <v>49065</v>
      </c>
      <c r="F129" s="7">
        <f t="shared" ca="1" si="49"/>
        <v>1.3448888242462971</v>
      </c>
      <c r="G129" s="125">
        <f ca="1">IF('Simulador - 1º Pilar'!$E$99="Sí",IF('Aportaciones PPE'!$B$13&lt;'Aportaciones PPE'!E129,0,F129*$B$8/12),F129*$B$8/12)</f>
        <v>23535.554424310201</v>
      </c>
      <c r="H129" s="125">
        <f t="shared" ca="1" si="39"/>
        <v>1176.7777212155102</v>
      </c>
      <c r="I129" s="125">
        <f t="shared" ca="1" si="50"/>
        <v>0</v>
      </c>
      <c r="J129" s="125">
        <f t="shared" ca="1" si="51"/>
        <v>0</v>
      </c>
      <c r="K129" s="125">
        <f t="shared" ca="1" si="52"/>
        <v>1439.2277273909208</v>
      </c>
      <c r="L129" s="125">
        <f t="shared" ca="1" si="71"/>
        <v>0</v>
      </c>
      <c r="M129" s="125">
        <f t="shared" ca="1" si="53"/>
        <v>0</v>
      </c>
      <c r="N129" s="125">
        <f t="shared" ca="1" si="54"/>
        <v>1439.2277273909208</v>
      </c>
      <c r="R129">
        <f t="shared" si="72"/>
        <v>122</v>
      </c>
      <c r="U129" s="55"/>
      <c r="V129">
        <f t="shared" si="73"/>
        <v>3</v>
      </c>
      <c r="W129">
        <f t="shared" ca="1" si="74"/>
        <v>2034</v>
      </c>
      <c r="X129" s="123">
        <f t="shared" ca="1" si="55"/>
        <v>49004</v>
      </c>
      <c r="Y129" s="64">
        <f t="shared" ca="1" si="56"/>
        <v>1176.7777212155102</v>
      </c>
      <c r="Z129" s="64">
        <f t="shared" ca="1" si="57"/>
        <v>0</v>
      </c>
      <c r="AA129" s="64">
        <f t="shared" ca="1" si="58"/>
        <v>1446.4734425511763</v>
      </c>
      <c r="AB129" s="64">
        <f t="shared" ca="1" si="59"/>
        <v>0</v>
      </c>
      <c r="AF129" t="str">
        <f t="shared" ca="1" si="40"/>
        <v>52034</v>
      </c>
      <c r="AG129" s="126">
        <f t="shared" ca="1" si="41"/>
        <v>0</v>
      </c>
      <c r="AH129" s="126">
        <f t="shared" ca="1" si="42"/>
        <v>0</v>
      </c>
      <c r="AI129" s="126">
        <f t="shared" ca="1" si="43"/>
        <v>1176.7777212155102</v>
      </c>
      <c r="AJ129" t="str">
        <f t="shared" ca="1" si="44"/>
        <v>32034</v>
      </c>
      <c r="AK129" s="126">
        <f t="shared" ca="1" si="60"/>
        <v>0</v>
      </c>
      <c r="AL129" s="126">
        <f t="shared" ca="1" si="61"/>
        <v>0</v>
      </c>
      <c r="AM129" s="126">
        <f t="shared" ca="1" si="75"/>
        <v>0</v>
      </c>
      <c r="AN129" s="753">
        <f t="shared" ca="1" si="76"/>
        <v>0</v>
      </c>
      <c r="AO129" s="750">
        <f t="shared" ca="1" si="62"/>
        <v>0</v>
      </c>
      <c r="AP129" s="126">
        <f t="shared" ca="1" si="63"/>
        <v>0</v>
      </c>
      <c r="AQ129" s="126">
        <f t="shared" ca="1" si="64"/>
        <v>0</v>
      </c>
      <c r="AR129" s="126">
        <f t="shared" ca="1" si="45"/>
        <v>10000</v>
      </c>
      <c r="AS129" s="750">
        <f t="shared" ca="1" si="46"/>
        <v>0</v>
      </c>
      <c r="AT129" s="750">
        <f t="shared" ca="1" si="47"/>
        <v>0</v>
      </c>
      <c r="AU129" s="126">
        <f t="shared" ca="1" si="65"/>
        <v>1176.7777212155102</v>
      </c>
      <c r="AV129" s="126">
        <f t="shared" ca="1" si="66"/>
        <v>3530.3331636465305</v>
      </c>
      <c r="AW129" s="126">
        <f t="shared" ca="1" si="48"/>
        <v>10000</v>
      </c>
      <c r="AX129" s="750">
        <f t="shared" ca="1" si="67"/>
        <v>1176.7777212155102</v>
      </c>
      <c r="AY129" s="750">
        <f t="shared" ca="1" si="68"/>
        <v>0</v>
      </c>
      <c r="AZ129">
        <f t="shared" si="69"/>
        <v>5750</v>
      </c>
    </row>
    <row r="130" spans="3:52">
      <c r="D130">
        <v>123</v>
      </c>
      <c r="E130" s="6">
        <f t="shared" ca="1" si="70"/>
        <v>49035</v>
      </c>
      <c r="F130" s="7">
        <f t="shared" ca="1" si="49"/>
        <v>1.3448888242462971</v>
      </c>
      <c r="G130" s="125">
        <f ca="1">IF('Simulador - 1º Pilar'!$E$99="Sí",IF('Aportaciones PPE'!$B$13&lt;'Aportaciones PPE'!E130,0,F130*$B$8/12),F130*$B$8/12)</f>
        <v>23535.554424310201</v>
      </c>
      <c r="H130" s="125">
        <f t="shared" ca="1" si="39"/>
        <v>1176.7777212155102</v>
      </c>
      <c r="I130" s="125">
        <f t="shared" ca="1" si="50"/>
        <v>0</v>
      </c>
      <c r="J130" s="125">
        <f t="shared" ca="1" si="51"/>
        <v>0</v>
      </c>
      <c r="K130" s="125">
        <f t="shared" ca="1" si="52"/>
        <v>1441.6047289946848</v>
      </c>
      <c r="L130" s="125">
        <f t="shared" ca="1" si="71"/>
        <v>0</v>
      </c>
      <c r="M130" s="125">
        <f t="shared" ca="1" si="53"/>
        <v>0</v>
      </c>
      <c r="N130" s="125">
        <f t="shared" ca="1" si="54"/>
        <v>1441.6047289946848</v>
      </c>
      <c r="R130">
        <f t="shared" si="72"/>
        <v>123</v>
      </c>
      <c r="U130" s="55"/>
      <c r="V130">
        <f t="shared" si="73"/>
        <v>4</v>
      </c>
      <c r="W130">
        <f t="shared" ca="1" si="74"/>
        <v>2034</v>
      </c>
      <c r="X130" s="123">
        <f t="shared" ca="1" si="55"/>
        <v>49035</v>
      </c>
      <c r="Y130" s="64">
        <f t="shared" ca="1" si="56"/>
        <v>1176.7777212155102</v>
      </c>
      <c r="Z130" s="64">
        <f t="shared" ca="1" si="57"/>
        <v>0</v>
      </c>
      <c r="AA130" s="64">
        <f t="shared" ca="1" si="58"/>
        <v>1444.0443736401369</v>
      </c>
      <c r="AB130" s="64">
        <f t="shared" ca="1" si="59"/>
        <v>0</v>
      </c>
      <c r="AF130" t="str">
        <f t="shared" ca="1" si="40"/>
        <v>42034</v>
      </c>
      <c r="AG130" s="126">
        <f t="shared" ca="1" si="41"/>
        <v>0</v>
      </c>
      <c r="AH130" s="126">
        <f t="shared" ca="1" si="42"/>
        <v>0</v>
      </c>
      <c r="AI130" s="126">
        <f t="shared" ca="1" si="43"/>
        <v>1176.7777212155102</v>
      </c>
      <c r="AJ130" t="str">
        <f t="shared" ca="1" si="44"/>
        <v>42034</v>
      </c>
      <c r="AK130" s="126">
        <f t="shared" ca="1" si="60"/>
        <v>0</v>
      </c>
      <c r="AL130" s="126">
        <f t="shared" ca="1" si="61"/>
        <v>0</v>
      </c>
      <c r="AM130" s="126">
        <f t="shared" ca="1" si="75"/>
        <v>0</v>
      </c>
      <c r="AN130" s="753">
        <f t="shared" ca="1" si="76"/>
        <v>0</v>
      </c>
      <c r="AO130" s="750">
        <f t="shared" ca="1" si="62"/>
        <v>0</v>
      </c>
      <c r="AP130" s="126">
        <f t="shared" ca="1" si="63"/>
        <v>0</v>
      </c>
      <c r="AQ130" s="126">
        <f t="shared" ca="1" si="64"/>
        <v>0</v>
      </c>
      <c r="AR130" s="126">
        <f t="shared" ca="1" si="45"/>
        <v>10000</v>
      </c>
      <c r="AS130" s="750">
        <f t="shared" ca="1" si="46"/>
        <v>0</v>
      </c>
      <c r="AT130" s="750">
        <f t="shared" ca="1" si="47"/>
        <v>0</v>
      </c>
      <c r="AU130" s="126">
        <f t="shared" ca="1" si="65"/>
        <v>1176.7777212155102</v>
      </c>
      <c r="AV130" s="126">
        <f t="shared" ca="1" si="66"/>
        <v>4707.1108848620406</v>
      </c>
      <c r="AW130" s="126">
        <f t="shared" ca="1" si="48"/>
        <v>10000</v>
      </c>
      <c r="AX130" s="750">
        <f t="shared" ca="1" si="67"/>
        <v>1176.7777212155102</v>
      </c>
      <c r="AY130" s="750">
        <f t="shared" ca="1" si="68"/>
        <v>0</v>
      </c>
      <c r="AZ130">
        <f t="shared" si="69"/>
        <v>5750</v>
      </c>
    </row>
    <row r="131" spans="3:52">
      <c r="D131">
        <v>124</v>
      </c>
      <c r="E131" s="6">
        <f t="shared" ca="1" si="70"/>
        <v>49004</v>
      </c>
      <c r="F131" s="7">
        <f t="shared" ca="1" si="49"/>
        <v>1.3448888242462971</v>
      </c>
      <c r="G131" s="125">
        <f ca="1">IF('Simulador - 1º Pilar'!$E$99="Sí",IF('Aportaciones PPE'!$B$13&lt;'Aportaciones PPE'!E131,0,F131*$B$8/12),F131*$B$8/12)</f>
        <v>23535.554424310201</v>
      </c>
      <c r="H131" s="125">
        <f t="shared" ca="1" si="39"/>
        <v>1176.7777212155102</v>
      </c>
      <c r="I131" s="125">
        <f t="shared" ca="1" si="50"/>
        <v>0</v>
      </c>
      <c r="J131" s="125">
        <f t="shared" ca="1" si="51"/>
        <v>0</v>
      </c>
      <c r="K131" s="125">
        <f t="shared" ca="1" si="52"/>
        <v>1443.985656409852</v>
      </c>
      <c r="L131" s="125">
        <f t="shared" ca="1" si="71"/>
        <v>0</v>
      </c>
      <c r="M131" s="125">
        <f t="shared" ca="1" si="53"/>
        <v>0</v>
      </c>
      <c r="N131" s="125">
        <f t="shared" ca="1" si="54"/>
        <v>1443.985656409852</v>
      </c>
      <c r="R131">
        <f t="shared" si="72"/>
        <v>124</v>
      </c>
      <c r="U131" s="55"/>
      <c r="V131">
        <f t="shared" si="73"/>
        <v>5</v>
      </c>
      <c r="W131">
        <f t="shared" ca="1" si="74"/>
        <v>2034</v>
      </c>
      <c r="X131" s="123">
        <f t="shared" ca="1" si="55"/>
        <v>49065</v>
      </c>
      <c r="Y131" s="64">
        <f t="shared" ca="1" si="56"/>
        <v>1176.7777212155102</v>
      </c>
      <c r="Z131" s="64">
        <f t="shared" ca="1" si="57"/>
        <v>0</v>
      </c>
      <c r="AA131" s="64">
        <f t="shared" ca="1" si="58"/>
        <v>1441.6975457508343</v>
      </c>
      <c r="AB131" s="64">
        <f t="shared" ca="1" si="59"/>
        <v>0</v>
      </c>
      <c r="AF131" t="str">
        <f t="shared" ca="1" si="40"/>
        <v>32034</v>
      </c>
      <c r="AG131" s="126">
        <f t="shared" ca="1" si="41"/>
        <v>0</v>
      </c>
      <c r="AH131" s="126">
        <f t="shared" ca="1" si="42"/>
        <v>0</v>
      </c>
      <c r="AI131" s="126">
        <f t="shared" ca="1" si="43"/>
        <v>1176.7777212155102</v>
      </c>
      <c r="AJ131" t="str">
        <f t="shared" ca="1" si="44"/>
        <v>52034</v>
      </c>
      <c r="AK131" s="126">
        <f t="shared" ca="1" si="60"/>
        <v>0</v>
      </c>
      <c r="AL131" s="126">
        <f t="shared" ca="1" si="61"/>
        <v>0</v>
      </c>
      <c r="AM131" s="126">
        <f t="shared" ca="1" si="75"/>
        <v>0</v>
      </c>
      <c r="AN131" s="753">
        <f t="shared" ca="1" si="76"/>
        <v>0</v>
      </c>
      <c r="AO131" s="750">
        <f t="shared" ca="1" si="62"/>
        <v>0</v>
      </c>
      <c r="AP131" s="126">
        <f t="shared" ca="1" si="63"/>
        <v>0</v>
      </c>
      <c r="AQ131" s="126">
        <f t="shared" ca="1" si="64"/>
        <v>0</v>
      </c>
      <c r="AR131" s="126">
        <f t="shared" ca="1" si="45"/>
        <v>10000</v>
      </c>
      <c r="AS131" s="750">
        <f t="shared" ca="1" si="46"/>
        <v>0</v>
      </c>
      <c r="AT131" s="750">
        <f t="shared" ca="1" si="47"/>
        <v>0</v>
      </c>
      <c r="AU131" s="126">
        <f t="shared" ca="1" si="65"/>
        <v>1176.7777212155102</v>
      </c>
      <c r="AV131" s="126">
        <f t="shared" ca="1" si="66"/>
        <v>5883.8886060775512</v>
      </c>
      <c r="AW131" s="126">
        <f t="shared" ca="1" si="48"/>
        <v>10000</v>
      </c>
      <c r="AX131" s="750">
        <f t="shared" ca="1" si="67"/>
        <v>1176.7777212155102</v>
      </c>
      <c r="AY131" s="750">
        <f t="shared" ca="1" si="68"/>
        <v>0</v>
      </c>
      <c r="AZ131">
        <f t="shared" si="69"/>
        <v>5750</v>
      </c>
    </row>
    <row r="132" spans="3:52">
      <c r="D132">
        <v>125</v>
      </c>
      <c r="E132" s="6">
        <f t="shared" ca="1" si="70"/>
        <v>48976</v>
      </c>
      <c r="F132" s="7">
        <f t="shared" ca="1" si="49"/>
        <v>1.3448888242462971</v>
      </c>
      <c r="G132" s="125">
        <f ca="1">IF('Simulador - 1º Pilar'!$E$99="Sí",IF('Aportaciones PPE'!$B$13&lt;'Aportaciones PPE'!E132,0,F132*$B$8/12),F132*$B$8/12)</f>
        <v>23535.554424310201</v>
      </c>
      <c r="H132" s="125">
        <f t="shared" ca="1" si="39"/>
        <v>1176.7777212155102</v>
      </c>
      <c r="I132" s="125">
        <f t="shared" ca="1" si="50"/>
        <v>0</v>
      </c>
      <c r="J132" s="125">
        <f t="shared" ca="1" si="51"/>
        <v>0</v>
      </c>
      <c r="K132" s="125">
        <f t="shared" ca="1" si="52"/>
        <v>1446.3705161202197</v>
      </c>
      <c r="L132" s="125">
        <f t="shared" ca="1" si="71"/>
        <v>0</v>
      </c>
      <c r="M132" s="125">
        <f t="shared" ca="1" si="53"/>
        <v>0</v>
      </c>
      <c r="N132" s="125">
        <f t="shared" ca="1" si="54"/>
        <v>1446.3705161202197</v>
      </c>
      <c r="R132">
        <f t="shared" si="72"/>
        <v>125</v>
      </c>
      <c r="U132" s="55"/>
      <c r="V132">
        <f t="shared" si="73"/>
        <v>6</v>
      </c>
      <c r="W132">
        <f t="shared" ca="1" si="74"/>
        <v>2034</v>
      </c>
      <c r="X132" s="123">
        <f t="shared" ca="1" si="55"/>
        <v>49096</v>
      </c>
      <c r="Y132" s="64">
        <f t="shared" ca="1" si="56"/>
        <v>1176.7777212155102</v>
      </c>
      <c r="Z132" s="64">
        <f t="shared" ca="1" si="57"/>
        <v>0</v>
      </c>
      <c r="AA132" s="64">
        <f t="shared" ca="1" si="58"/>
        <v>1439.2764970232968</v>
      </c>
      <c r="AB132" s="64">
        <f t="shared" ca="1" si="59"/>
        <v>0</v>
      </c>
      <c r="AF132" t="str">
        <f t="shared" ca="1" si="40"/>
        <v>22034</v>
      </c>
      <c r="AG132" s="126">
        <f t="shared" ca="1" si="41"/>
        <v>0</v>
      </c>
      <c r="AH132" s="126">
        <f t="shared" ca="1" si="42"/>
        <v>0</v>
      </c>
      <c r="AI132" s="126">
        <f t="shared" ca="1" si="43"/>
        <v>1176.7777212155102</v>
      </c>
      <c r="AJ132" t="str">
        <f t="shared" ca="1" si="44"/>
        <v>62034</v>
      </c>
      <c r="AK132" s="126">
        <f t="shared" ca="1" si="60"/>
        <v>0</v>
      </c>
      <c r="AL132" s="126">
        <f t="shared" ca="1" si="61"/>
        <v>0</v>
      </c>
      <c r="AM132" s="126">
        <f t="shared" ca="1" si="75"/>
        <v>0</v>
      </c>
      <c r="AN132" s="753">
        <f t="shared" ca="1" si="76"/>
        <v>0</v>
      </c>
      <c r="AO132" s="750">
        <f t="shared" ca="1" si="62"/>
        <v>0</v>
      </c>
      <c r="AP132" s="126">
        <f t="shared" ca="1" si="63"/>
        <v>0</v>
      </c>
      <c r="AQ132" s="126">
        <f t="shared" ca="1" si="64"/>
        <v>0</v>
      </c>
      <c r="AR132" s="126">
        <f t="shared" ca="1" si="45"/>
        <v>10000</v>
      </c>
      <c r="AS132" s="750">
        <f t="shared" ca="1" si="46"/>
        <v>0</v>
      </c>
      <c r="AT132" s="750">
        <f t="shared" ca="1" si="47"/>
        <v>0</v>
      </c>
      <c r="AU132" s="126">
        <f t="shared" ca="1" si="65"/>
        <v>1176.7777212155102</v>
      </c>
      <c r="AV132" s="126">
        <f t="shared" ca="1" si="66"/>
        <v>7060.6663272930618</v>
      </c>
      <c r="AW132" s="126">
        <f t="shared" ca="1" si="48"/>
        <v>10000</v>
      </c>
      <c r="AX132" s="750">
        <f t="shared" ca="1" si="67"/>
        <v>1176.7777212155102</v>
      </c>
      <c r="AY132" s="750">
        <f t="shared" ca="1" si="68"/>
        <v>0</v>
      </c>
      <c r="AZ132">
        <f t="shared" si="69"/>
        <v>5750</v>
      </c>
    </row>
    <row r="133" spans="3:52">
      <c r="D133">
        <v>126</v>
      </c>
      <c r="E133" s="6">
        <f t="shared" ca="1" si="70"/>
        <v>48945</v>
      </c>
      <c r="F133" s="7">
        <f t="shared" ca="1" si="49"/>
        <v>1.3448888242462971</v>
      </c>
      <c r="G133" s="125">
        <f ca="1">IF('Simulador - 1º Pilar'!$E$99="Sí",IF('Aportaciones PPE'!$B$13&lt;'Aportaciones PPE'!E133,0,F133*$B$8/12),F133*$B$8/12)</f>
        <v>23535.554424310201</v>
      </c>
      <c r="H133" s="125">
        <f t="shared" ca="1" si="39"/>
        <v>1176.7777212155102</v>
      </c>
      <c r="I133" s="125">
        <f t="shared" ca="1" si="50"/>
        <v>0</v>
      </c>
      <c r="J133" s="125">
        <f t="shared" ca="1" si="51"/>
        <v>0</v>
      </c>
      <c r="K133" s="125">
        <f t="shared" ca="1" si="52"/>
        <v>1448.7593146202923</v>
      </c>
      <c r="L133" s="125">
        <f t="shared" ca="1" si="71"/>
        <v>0</v>
      </c>
      <c r="M133" s="125">
        <f t="shared" ca="1" si="53"/>
        <v>0</v>
      </c>
      <c r="N133" s="125">
        <f t="shared" ca="1" si="54"/>
        <v>1448.7593146202923</v>
      </c>
      <c r="R133">
        <f t="shared" si="72"/>
        <v>126</v>
      </c>
      <c r="U133" s="55"/>
      <c r="V133">
        <f t="shared" si="73"/>
        <v>7</v>
      </c>
      <c r="W133">
        <f t="shared" ca="1" si="74"/>
        <v>2034</v>
      </c>
      <c r="X133" s="123">
        <f t="shared" ca="1" si="55"/>
        <v>49126</v>
      </c>
      <c r="Y133" s="64">
        <f t="shared" ca="1" si="56"/>
        <v>1176.7777212155102</v>
      </c>
      <c r="Z133" s="64">
        <f t="shared" ca="1" si="57"/>
        <v>0</v>
      </c>
      <c r="AA133" s="64">
        <f t="shared" ca="1" si="58"/>
        <v>1436.937417778026</v>
      </c>
      <c r="AB133" s="64">
        <f t="shared" ca="1" si="59"/>
        <v>0</v>
      </c>
      <c r="AF133" t="str">
        <f t="shared" ca="1" si="40"/>
        <v>12034</v>
      </c>
      <c r="AG133" s="126">
        <f t="shared" ca="1" si="41"/>
        <v>0</v>
      </c>
      <c r="AH133" s="126">
        <f t="shared" ca="1" si="42"/>
        <v>0</v>
      </c>
      <c r="AI133" s="126">
        <f t="shared" ca="1" si="43"/>
        <v>1176.7777212155102</v>
      </c>
      <c r="AJ133" t="str">
        <f t="shared" ca="1" si="44"/>
        <v>72034</v>
      </c>
      <c r="AK133" s="126">
        <f t="shared" ca="1" si="60"/>
        <v>0</v>
      </c>
      <c r="AL133" s="126">
        <f t="shared" ca="1" si="61"/>
        <v>0</v>
      </c>
      <c r="AM133" s="126">
        <f t="shared" ca="1" si="75"/>
        <v>0</v>
      </c>
      <c r="AN133" s="753">
        <f t="shared" ca="1" si="76"/>
        <v>0</v>
      </c>
      <c r="AO133" s="750">
        <f t="shared" ca="1" si="62"/>
        <v>0</v>
      </c>
      <c r="AP133" s="126">
        <f t="shared" ca="1" si="63"/>
        <v>0</v>
      </c>
      <c r="AQ133" s="126">
        <f t="shared" ca="1" si="64"/>
        <v>0</v>
      </c>
      <c r="AR133" s="126">
        <f t="shared" ca="1" si="45"/>
        <v>10000</v>
      </c>
      <c r="AS133" s="750">
        <f t="shared" ca="1" si="46"/>
        <v>0</v>
      </c>
      <c r="AT133" s="750">
        <f t="shared" ca="1" si="47"/>
        <v>0</v>
      </c>
      <c r="AU133" s="126">
        <f t="shared" ca="1" si="65"/>
        <v>1176.7777212155102</v>
      </c>
      <c r="AV133" s="126">
        <f t="shared" ca="1" si="66"/>
        <v>8237.4440485085725</v>
      </c>
      <c r="AW133" s="126">
        <f t="shared" ca="1" si="48"/>
        <v>10000</v>
      </c>
      <c r="AX133" s="750">
        <f t="shared" ca="1" si="67"/>
        <v>1176.7777212155102</v>
      </c>
      <c r="AY133" s="750">
        <f t="shared" ca="1" si="68"/>
        <v>0</v>
      </c>
      <c r="AZ133">
        <f t="shared" si="69"/>
        <v>5750</v>
      </c>
    </row>
    <row r="134" spans="3:52">
      <c r="D134">
        <v>127</v>
      </c>
      <c r="E134" s="6">
        <f t="shared" ca="1" si="70"/>
        <v>48914</v>
      </c>
      <c r="F134" s="7">
        <f t="shared" ca="1" si="49"/>
        <v>1.3120866578012655</v>
      </c>
      <c r="G134" s="125">
        <f ca="1">IF('Simulador - 1º Pilar'!$E$99="Sí",IF('Aportaciones PPE'!$B$13&lt;'Aportaciones PPE'!E134,0,F134*$B$8/12),F134*$B$8/12)</f>
        <v>22961.516511522146</v>
      </c>
      <c r="H134" s="125">
        <f t="shared" ca="1" si="39"/>
        <v>1148.0758255761073</v>
      </c>
      <c r="I134" s="125">
        <f t="shared" ca="1" si="50"/>
        <v>0</v>
      </c>
      <c r="J134" s="125">
        <f t="shared" ca="1" si="51"/>
        <v>0</v>
      </c>
      <c r="K134" s="125">
        <f t="shared" ca="1" si="52"/>
        <v>1415.7581057710261</v>
      </c>
      <c r="L134" s="125">
        <f t="shared" ca="1" si="71"/>
        <v>0</v>
      </c>
      <c r="M134" s="125">
        <f t="shared" ca="1" si="53"/>
        <v>0</v>
      </c>
      <c r="N134" s="125">
        <f t="shared" ca="1" si="54"/>
        <v>1415.7581057710261</v>
      </c>
      <c r="R134">
        <f t="shared" si="72"/>
        <v>127</v>
      </c>
      <c r="U134" s="55"/>
      <c r="V134">
        <f t="shared" si="73"/>
        <v>8</v>
      </c>
      <c r="W134">
        <f t="shared" ca="1" si="74"/>
        <v>2034</v>
      </c>
      <c r="X134" s="123">
        <f t="shared" ca="1" si="55"/>
        <v>49157</v>
      </c>
      <c r="Y134" s="64">
        <f t="shared" ca="1" si="56"/>
        <v>1176.7777212155102</v>
      </c>
      <c r="Z134" s="64">
        <f t="shared" ca="1" si="57"/>
        <v>0</v>
      </c>
      <c r="AA134" s="64">
        <f t="shared" ca="1" si="58"/>
        <v>1434.5243627533323</v>
      </c>
      <c r="AB134" s="64">
        <f t="shared" ca="1" si="59"/>
        <v>0</v>
      </c>
      <c r="AF134" t="str">
        <f t="shared" ca="1" si="40"/>
        <v>122033</v>
      </c>
      <c r="AG134" s="126">
        <f t="shared" ca="1" si="41"/>
        <v>0</v>
      </c>
      <c r="AH134" s="126">
        <f t="shared" ca="1" si="42"/>
        <v>0</v>
      </c>
      <c r="AI134" s="126">
        <f t="shared" ca="1" si="43"/>
        <v>1148.0758255761073</v>
      </c>
      <c r="AJ134" t="str">
        <f t="shared" ca="1" si="44"/>
        <v>82034</v>
      </c>
      <c r="AK134" s="126">
        <f t="shared" ca="1" si="60"/>
        <v>0</v>
      </c>
      <c r="AL134" s="126">
        <f t="shared" ca="1" si="61"/>
        <v>0</v>
      </c>
      <c r="AM134" s="126">
        <f t="shared" ca="1" si="75"/>
        <v>0</v>
      </c>
      <c r="AN134" s="753">
        <f t="shared" ca="1" si="76"/>
        <v>0</v>
      </c>
      <c r="AO134" s="750">
        <f t="shared" ca="1" si="62"/>
        <v>0</v>
      </c>
      <c r="AP134" s="126">
        <f t="shared" ca="1" si="63"/>
        <v>0</v>
      </c>
      <c r="AQ134" s="126">
        <f t="shared" ca="1" si="64"/>
        <v>0</v>
      </c>
      <c r="AR134" s="126">
        <f t="shared" ca="1" si="45"/>
        <v>10000</v>
      </c>
      <c r="AS134" s="750">
        <f t="shared" ca="1" si="46"/>
        <v>0</v>
      </c>
      <c r="AT134" s="750">
        <f t="shared" ca="1" si="47"/>
        <v>0</v>
      </c>
      <c r="AU134" s="126">
        <f t="shared" ca="1" si="65"/>
        <v>1176.7777212155102</v>
      </c>
      <c r="AV134" s="126">
        <f t="shared" ca="1" si="66"/>
        <v>9414.2217697240831</v>
      </c>
      <c r="AW134" s="126">
        <f t="shared" ca="1" si="48"/>
        <v>10000</v>
      </c>
      <c r="AX134" s="750">
        <f t="shared" ca="1" si="67"/>
        <v>1176.7777212155102</v>
      </c>
      <c r="AY134" s="750">
        <f t="shared" ca="1" si="68"/>
        <v>0</v>
      </c>
      <c r="AZ134">
        <f t="shared" si="69"/>
        <v>5750</v>
      </c>
    </row>
    <row r="135" spans="3:52">
      <c r="D135">
        <v>128</v>
      </c>
      <c r="E135" s="6">
        <f t="shared" ca="1" si="70"/>
        <v>48884</v>
      </c>
      <c r="F135" s="7">
        <f t="shared" ca="1" si="49"/>
        <v>1.3120866578012655</v>
      </c>
      <c r="G135" s="125">
        <f ca="1">IF('Simulador - 1º Pilar'!$E$99="Sí",IF('Aportaciones PPE'!$B$13&lt;'Aportaciones PPE'!E135,0,F135*$B$8/12),F135*$B$8/12)</f>
        <v>22961.516511522146</v>
      </c>
      <c r="H135" s="125">
        <f t="shared" ref="H135:H198" ca="1" si="77">$H$5*G135</f>
        <v>1148.0758255761073</v>
      </c>
      <c r="I135" s="125">
        <f t="shared" ca="1" si="50"/>
        <v>0</v>
      </c>
      <c r="J135" s="125">
        <f t="shared" ca="1" si="51"/>
        <v>0</v>
      </c>
      <c r="K135" s="125">
        <f t="shared" ca="1" si="52"/>
        <v>1418.0963453865593</v>
      </c>
      <c r="L135" s="125">
        <f t="shared" ca="1" si="71"/>
        <v>0</v>
      </c>
      <c r="M135" s="125">
        <f t="shared" ca="1" si="53"/>
        <v>0</v>
      </c>
      <c r="N135" s="125">
        <f t="shared" ca="1" si="54"/>
        <v>1418.0963453865593</v>
      </c>
      <c r="R135">
        <f t="shared" si="72"/>
        <v>128</v>
      </c>
      <c r="U135" s="55"/>
      <c r="V135">
        <f t="shared" si="73"/>
        <v>9</v>
      </c>
      <c r="W135">
        <f t="shared" ca="1" si="74"/>
        <v>2034</v>
      </c>
      <c r="X135" s="123">
        <f t="shared" ca="1" si="55"/>
        <v>49188</v>
      </c>
      <c r="Y135" s="64">
        <f t="shared" ca="1" si="56"/>
        <v>585.77823027591694</v>
      </c>
      <c r="Z135" s="64">
        <f t="shared" ca="1" si="57"/>
        <v>590.99949093959322</v>
      </c>
      <c r="AA135" s="64">
        <f t="shared" ca="1" si="58"/>
        <v>712.88059418284104</v>
      </c>
      <c r="AB135" s="64">
        <f t="shared" ca="1" si="59"/>
        <v>719.23476579920828</v>
      </c>
      <c r="AF135" t="str">
        <f t="shared" ref="AF135:AF198" ca="1" si="78">+MONTH(E135)&amp;YEAR(E135)</f>
        <v>112033</v>
      </c>
      <c r="AG135" s="126">
        <f t="shared" ref="AG135:AG198" ca="1" si="79">+I135</f>
        <v>0</v>
      </c>
      <c r="AH135" s="126">
        <f t="shared" ref="AH135:AH198" ca="1" si="80">+J135</f>
        <v>0</v>
      </c>
      <c r="AI135" s="126">
        <f t="shared" ref="AI135:AI198" ca="1" si="81">+H135</f>
        <v>1148.0758255761073</v>
      </c>
      <c r="AJ135" t="str">
        <f t="shared" ref="AJ135:AJ198" ca="1" si="82">+V135&amp;W135</f>
        <v>92034</v>
      </c>
      <c r="AK135" s="126">
        <f t="shared" ca="1" si="60"/>
        <v>0</v>
      </c>
      <c r="AL135" s="126">
        <f t="shared" ca="1" si="61"/>
        <v>0</v>
      </c>
      <c r="AM135" s="126">
        <f t="shared" ca="1" si="75"/>
        <v>0</v>
      </c>
      <c r="AN135" s="753">
        <f t="shared" ca="1" si="76"/>
        <v>0</v>
      </c>
      <c r="AO135" s="750">
        <f t="shared" ca="1" si="62"/>
        <v>0</v>
      </c>
      <c r="AP135" s="126">
        <f t="shared" ca="1" si="63"/>
        <v>0</v>
      </c>
      <c r="AQ135" s="126">
        <f t="shared" ca="1" si="64"/>
        <v>0</v>
      </c>
      <c r="AR135" s="126">
        <f t="shared" ref="AR135:AR198" ca="1" si="83">+MAX($AM$2-SUMIF($W$7:$W$1066,W135,$AN$7:$AN$1066),0)</f>
        <v>10000</v>
      </c>
      <c r="AS135" s="750">
        <f t="shared" ref="AS135:AS198" ca="1" si="84">+MAX(IF(AQ135&gt;AR135,AR135-AQ134,AP135),0)</f>
        <v>0</v>
      </c>
      <c r="AT135" s="750">
        <f t="shared" ref="AT135:AT198" ca="1" si="85">+AP135-AS135</f>
        <v>0</v>
      </c>
      <c r="AU135" s="126">
        <f t="shared" ca="1" si="65"/>
        <v>1176.7777212155102</v>
      </c>
      <c r="AV135" s="126">
        <f t="shared" ca="1" si="66"/>
        <v>10590.999490939594</v>
      </c>
      <c r="AW135" s="126">
        <f t="shared" ref="AW135:AW198" ca="1" si="86">+MAX($AM$2-SUMIF($W$7:$W$1066,W135,$AN$7:$AN$1066)-SUMIF($W$7:$W$1066,W135,$AS$7:$AS$1066),0)</f>
        <v>10000</v>
      </c>
      <c r="AX135" s="750">
        <f t="shared" ca="1" si="67"/>
        <v>585.77823027591694</v>
      </c>
      <c r="AY135" s="750">
        <f t="shared" ca="1" si="68"/>
        <v>590.99949093959322</v>
      </c>
      <c r="AZ135">
        <f t="shared" si="69"/>
        <v>5750</v>
      </c>
    </row>
    <row r="136" spans="3:52">
      <c r="C136" s="126"/>
      <c r="D136">
        <v>129</v>
      </c>
      <c r="E136" s="6">
        <f t="shared" ca="1" si="70"/>
        <v>48853</v>
      </c>
      <c r="F136" s="7">
        <f t="shared" ref="F136:F199" ca="1" si="87">IF(DATE(YEAR($B$6),MONTH($B$6)+1,DAY(1))=E136,1,IF(MONTH(E136)=1,F137*(1+$F$5),F137))</f>
        <v>1.3120866578012655</v>
      </c>
      <c r="G136" s="125">
        <f ca="1">IF('Simulador - 1º Pilar'!$E$99="Sí",IF('Aportaciones PPE'!$B$13&lt;'Aportaciones PPE'!E136,0,F136*$B$8/12),F136*$B$8/12)</f>
        <v>22961.516511522146</v>
      </c>
      <c r="H136" s="125">
        <f t="shared" ca="1" si="77"/>
        <v>1148.0758255761073</v>
      </c>
      <c r="I136" s="125">
        <f t="shared" ref="I136:I199" ca="1" si="88">$I$5*G136</f>
        <v>0</v>
      </c>
      <c r="J136" s="125">
        <f t="shared" ref="J136:J199" ca="1" si="89">+I136</f>
        <v>0</v>
      </c>
      <c r="K136" s="125">
        <f t="shared" ref="K136:K199" ca="1" si="90">(1+$O$5)^(D136/12)*(H136+IF(AND(F136=1,F137=0),$S$4,0))</f>
        <v>1420.438446794921</v>
      </c>
      <c r="L136" s="125">
        <f t="shared" ca="1" si="71"/>
        <v>0</v>
      </c>
      <c r="M136" s="125">
        <f t="shared" ref="M136:M199" ca="1" si="91">+L136</f>
        <v>0</v>
      </c>
      <c r="N136" s="125">
        <f t="shared" ref="N136:N199" ca="1" si="92">L136+K136+M136</f>
        <v>1420.438446794921</v>
      </c>
      <c r="R136">
        <f t="shared" si="72"/>
        <v>129</v>
      </c>
      <c r="U136" s="55"/>
      <c r="V136">
        <f t="shared" si="73"/>
        <v>10</v>
      </c>
      <c r="W136">
        <f t="shared" ca="1" si="74"/>
        <v>2034</v>
      </c>
      <c r="X136" s="123">
        <f t="shared" ref="X136:X199" ca="1" si="93">+DATE(W136,V136,1)</f>
        <v>49218</v>
      </c>
      <c r="Y136" s="64">
        <f t="shared" ref="Y136:Y199" ca="1" si="94">+_xlfn.IFNA(AN136+AS136+AX136,0)</f>
        <v>0</v>
      </c>
      <c r="Z136" s="64">
        <f t="shared" ref="Z136:Z199" ca="1" si="95">+_xlfn.IFNA(AO136+AT136+AY136,0)</f>
        <v>1176.7777212155102</v>
      </c>
      <c r="AA136" s="64">
        <f t="shared" ref="AA136:AA199" ca="1" si="96">Y136*(1+$O$5)^(($B$7-X136)/365.25)</f>
        <v>0</v>
      </c>
      <c r="AB136" s="64">
        <f t="shared" ref="AB136:AB199" ca="1" si="97">Z136*(1+$O$5)^(($B$7-X136)/365.25)</f>
        <v>1429.7879188529155</v>
      </c>
      <c r="AF136" t="str">
        <f t="shared" ca="1" si="78"/>
        <v>102033</v>
      </c>
      <c r="AG136" s="126">
        <f t="shared" ca="1" si="79"/>
        <v>0</v>
      </c>
      <c r="AH136" s="126">
        <f t="shared" ca="1" si="80"/>
        <v>0</v>
      </c>
      <c r="AI136" s="126">
        <f t="shared" ca="1" si="81"/>
        <v>1148.0758255761073</v>
      </c>
      <c r="AJ136" t="str">
        <f t="shared" ca="1" si="82"/>
        <v>102034</v>
      </c>
      <c r="AK136" s="126">
        <f t="shared" ref="AK136:AK199" ca="1" si="98">+_xlfn.IFNA(VLOOKUP(AJ136,$AF$7:$AG$1066,2,0),0)</f>
        <v>0</v>
      </c>
      <c r="AL136" s="126">
        <f t="shared" ref="AL136:AL199" ca="1" si="99">+IF(W136&gt;W135,AK136,AL135+AK136)</f>
        <v>0</v>
      </c>
      <c r="AM136" s="126">
        <f t="shared" ca="1" si="75"/>
        <v>0</v>
      </c>
      <c r="AN136" s="753">
        <f t="shared" ca="1" si="76"/>
        <v>0</v>
      </c>
      <c r="AO136" s="750">
        <f t="shared" ref="AO136:AO199" ca="1" si="100">+AK136-AN136</f>
        <v>0</v>
      </c>
      <c r="AP136" s="126">
        <f t="shared" ref="AP136:AP199" ca="1" si="101">+_xlfn.IFNA(VLOOKUP(AJ136,$AF$7:$AI$1066,3,0),0)</f>
        <v>0</v>
      </c>
      <c r="AQ136" s="126">
        <f t="shared" ref="AQ136:AQ199" ca="1" si="102">+IF(W136&gt;W135,AP136,AQ135+AP136)</f>
        <v>0</v>
      </c>
      <c r="AR136" s="126">
        <f t="shared" ca="1" si="83"/>
        <v>10000</v>
      </c>
      <c r="AS136" s="750">
        <f t="shared" ca="1" si="84"/>
        <v>0</v>
      </c>
      <c r="AT136" s="750">
        <f t="shared" ca="1" si="85"/>
        <v>0</v>
      </c>
      <c r="AU136" s="126">
        <f t="shared" ref="AU136:AU199" ca="1" si="103">+_xlfn.IFNA(VLOOKUP(AJ136,$AF$7:$AI$1066,4,0),0)</f>
        <v>1176.7777212155102</v>
      </c>
      <c r="AV136" s="126">
        <f t="shared" ref="AV136:AV199" ca="1" si="104">+IF(W136&gt;W135,AU136,AV135+AU136)</f>
        <v>11767.777212155104</v>
      </c>
      <c r="AW136" s="126">
        <f t="shared" ca="1" si="86"/>
        <v>10000</v>
      </c>
      <c r="AX136" s="750">
        <f t="shared" ref="AX136:AX199" ca="1" si="105">+MAX(IF(AV136&gt;AW136,AW136-AV135,AU136),0)</f>
        <v>0</v>
      </c>
      <c r="AY136" s="750">
        <f t="shared" ref="AY136:AY199" ca="1" si="106">+AU136-AX136</f>
        <v>1176.7777212155102</v>
      </c>
      <c r="AZ136">
        <f t="shared" ref="AZ136:AZ199" si="107">+$AM$1+IF($AP$1&gt;$AP$2,$AM$3/2)</f>
        <v>5750</v>
      </c>
    </row>
    <row r="137" spans="3:52">
      <c r="D137">
        <v>130</v>
      </c>
      <c r="E137" s="6">
        <f t="shared" ref="E137:E200" ca="1" si="108">+DATE(YEAR(E136),MONTH(E136)-1,DAY(E136))</f>
        <v>48823</v>
      </c>
      <c r="F137" s="7">
        <f t="shared" ca="1" si="87"/>
        <v>1.3120866578012655</v>
      </c>
      <c r="G137" s="125">
        <f ca="1">IF('Simulador - 1º Pilar'!$E$99="Sí",IF('Aportaciones PPE'!$B$13&lt;'Aportaciones PPE'!E137,0,F137*$B$8/12),F137*$B$8/12)</f>
        <v>22961.516511522146</v>
      </c>
      <c r="H137" s="125">
        <f t="shared" ca="1" si="77"/>
        <v>1148.0758255761073</v>
      </c>
      <c r="I137" s="125">
        <f t="shared" ca="1" si="88"/>
        <v>0</v>
      </c>
      <c r="J137" s="125">
        <f t="shared" ca="1" si="89"/>
        <v>0</v>
      </c>
      <c r="K137" s="125">
        <f t="shared" ca="1" si="90"/>
        <v>1422.7844163741761</v>
      </c>
      <c r="L137" s="125">
        <f t="shared" ref="L137:L200" ca="1" si="109">(1+$O$5)^(D137/12)*(I137+IF(AND(F137=1,F138=0),0))</f>
        <v>0</v>
      </c>
      <c r="M137" s="125">
        <f t="shared" ca="1" si="91"/>
        <v>0</v>
      </c>
      <c r="N137" s="125">
        <f t="shared" ca="1" si="92"/>
        <v>1422.7844163741761</v>
      </c>
      <c r="R137">
        <f t="shared" ref="R137:R200" si="110">D137</f>
        <v>130</v>
      </c>
      <c r="U137" s="55"/>
      <c r="V137">
        <f t="shared" ref="V137:V200" si="111">+IF(V136=11,12,IF(V136=12,1,V136+1))</f>
        <v>11</v>
      </c>
      <c r="W137">
        <f t="shared" ref="W137:W200" ca="1" si="112">+W136+IF(V136=12,1,0)</f>
        <v>2034</v>
      </c>
      <c r="X137" s="123">
        <f t="shared" ca="1" si="93"/>
        <v>49249</v>
      </c>
      <c r="Y137" s="64">
        <f t="shared" ca="1" si="94"/>
        <v>0</v>
      </c>
      <c r="Z137" s="64">
        <f t="shared" ca="1" si="95"/>
        <v>1176.7777212155102</v>
      </c>
      <c r="AA137" s="64">
        <f t="shared" ca="1" si="96"/>
        <v>0</v>
      </c>
      <c r="AB137" s="64">
        <f t="shared" ca="1" si="97"/>
        <v>1427.3868700117148</v>
      </c>
      <c r="AF137" t="str">
        <f t="shared" ca="1" si="78"/>
        <v>92033</v>
      </c>
      <c r="AG137" s="126">
        <f t="shared" ca="1" si="79"/>
        <v>0</v>
      </c>
      <c r="AH137" s="126">
        <f t="shared" ca="1" si="80"/>
        <v>0</v>
      </c>
      <c r="AI137" s="126">
        <f t="shared" ca="1" si="81"/>
        <v>1148.0758255761073</v>
      </c>
      <c r="AJ137" t="str">
        <f t="shared" ca="1" si="82"/>
        <v>112034</v>
      </c>
      <c r="AK137" s="126">
        <f t="shared" ca="1" si="98"/>
        <v>0</v>
      </c>
      <c r="AL137" s="126">
        <f t="shared" ca="1" si="99"/>
        <v>0</v>
      </c>
      <c r="AM137" s="126">
        <f t="shared" ref="AM137:AM200" ca="1" si="113">IF(W137&gt;W136,IF(AL137&gt;=$AZ$8,$AZ$8,AL137),IF(OR(AM136=$AZ$8,AM136=0),0,IF(AL137&gt;=$AZ$8,$AZ$8,AL137)))</f>
        <v>0</v>
      </c>
      <c r="AN137" s="753">
        <f t="shared" ref="AN137:AN200" ca="1" si="114">+IF(OR(AM137&gt;AZ136,AM137=0),0,IF(AM137=AL137,AK137,$AZ$7-AL136))</f>
        <v>0</v>
      </c>
      <c r="AO137" s="750">
        <f t="shared" ca="1" si="100"/>
        <v>0</v>
      </c>
      <c r="AP137" s="126">
        <f t="shared" ca="1" si="101"/>
        <v>0</v>
      </c>
      <c r="AQ137" s="126">
        <f t="shared" ca="1" si="102"/>
        <v>0</v>
      </c>
      <c r="AR137" s="126">
        <f t="shared" ca="1" si="83"/>
        <v>10000</v>
      </c>
      <c r="AS137" s="750">
        <f t="shared" ca="1" si="84"/>
        <v>0</v>
      </c>
      <c r="AT137" s="750">
        <f t="shared" ca="1" si="85"/>
        <v>0</v>
      </c>
      <c r="AU137" s="126">
        <f t="shared" ca="1" si="103"/>
        <v>1176.7777212155102</v>
      </c>
      <c r="AV137" s="126">
        <f t="shared" ca="1" si="104"/>
        <v>12944.554933370615</v>
      </c>
      <c r="AW137" s="126">
        <f t="shared" ca="1" si="86"/>
        <v>10000</v>
      </c>
      <c r="AX137" s="750">
        <f t="shared" ca="1" si="105"/>
        <v>0</v>
      </c>
      <c r="AY137" s="750">
        <f t="shared" ca="1" si="106"/>
        <v>1176.7777212155102</v>
      </c>
      <c r="AZ137">
        <f t="shared" si="107"/>
        <v>5750</v>
      </c>
    </row>
    <row r="138" spans="3:52">
      <c r="D138">
        <v>131</v>
      </c>
      <c r="E138" s="6">
        <f t="shared" ca="1" si="108"/>
        <v>48792</v>
      </c>
      <c r="F138" s="7">
        <f t="shared" ca="1" si="87"/>
        <v>1.3120866578012655</v>
      </c>
      <c r="G138" s="125">
        <f ca="1">IF('Simulador - 1º Pilar'!$E$99="Sí",IF('Aportaciones PPE'!$B$13&lt;'Aportaciones PPE'!E138,0,F138*$B$8/12),F138*$B$8/12)</f>
        <v>22961.516511522146</v>
      </c>
      <c r="H138" s="125">
        <f t="shared" ca="1" si="77"/>
        <v>1148.0758255761073</v>
      </c>
      <c r="I138" s="125">
        <f t="shared" ca="1" si="88"/>
        <v>0</v>
      </c>
      <c r="J138" s="125">
        <f t="shared" ca="1" si="89"/>
        <v>0</v>
      </c>
      <c r="K138" s="125">
        <f t="shared" ca="1" si="90"/>
        <v>1425.134260512923</v>
      </c>
      <c r="L138" s="125">
        <f t="shared" ca="1" si="109"/>
        <v>0</v>
      </c>
      <c r="M138" s="125">
        <f t="shared" ca="1" si="91"/>
        <v>0</v>
      </c>
      <c r="N138" s="125">
        <f t="shared" ca="1" si="92"/>
        <v>1425.134260512923</v>
      </c>
      <c r="R138">
        <f t="shared" si="110"/>
        <v>131</v>
      </c>
      <c r="U138" s="55"/>
      <c r="V138">
        <f t="shared" si="111"/>
        <v>12</v>
      </c>
      <c r="W138">
        <f t="shared" ca="1" si="112"/>
        <v>2034</v>
      </c>
      <c r="X138" s="123">
        <f t="shared" ca="1" si="93"/>
        <v>49279</v>
      </c>
      <c r="Y138" s="64">
        <f t="shared" ca="1" si="94"/>
        <v>0</v>
      </c>
      <c r="Z138" s="64">
        <f t="shared" ca="1" si="95"/>
        <v>1176.7777212155102</v>
      </c>
      <c r="AA138" s="64">
        <f t="shared" ca="1" si="96"/>
        <v>0</v>
      </c>
      <c r="AB138" s="64">
        <f t="shared" ca="1" si="97"/>
        <v>1425.0671135163352</v>
      </c>
      <c r="AF138" t="str">
        <f t="shared" ca="1" si="78"/>
        <v>82033</v>
      </c>
      <c r="AG138" s="126">
        <f t="shared" ca="1" si="79"/>
        <v>0</v>
      </c>
      <c r="AH138" s="126">
        <f t="shared" ca="1" si="80"/>
        <v>0</v>
      </c>
      <c r="AI138" s="126">
        <f t="shared" ca="1" si="81"/>
        <v>1148.0758255761073</v>
      </c>
      <c r="AJ138" t="str">
        <f t="shared" ca="1" si="82"/>
        <v>122034</v>
      </c>
      <c r="AK138" s="126">
        <f t="shared" ca="1" si="98"/>
        <v>0</v>
      </c>
      <c r="AL138" s="126">
        <f t="shared" ca="1" si="99"/>
        <v>0</v>
      </c>
      <c r="AM138" s="126">
        <f t="shared" ca="1" si="113"/>
        <v>0</v>
      </c>
      <c r="AN138" s="753">
        <f t="shared" ca="1" si="114"/>
        <v>0</v>
      </c>
      <c r="AO138" s="750">
        <f t="shared" ca="1" si="100"/>
        <v>0</v>
      </c>
      <c r="AP138" s="126">
        <f t="shared" ca="1" si="101"/>
        <v>0</v>
      </c>
      <c r="AQ138" s="126">
        <f t="shared" ca="1" si="102"/>
        <v>0</v>
      </c>
      <c r="AR138" s="126">
        <f t="shared" ca="1" si="83"/>
        <v>10000</v>
      </c>
      <c r="AS138" s="750">
        <f t="shared" ca="1" si="84"/>
        <v>0</v>
      </c>
      <c r="AT138" s="750">
        <f t="shared" ca="1" si="85"/>
        <v>0</v>
      </c>
      <c r="AU138" s="126">
        <f t="shared" ca="1" si="103"/>
        <v>1176.7777212155102</v>
      </c>
      <c r="AV138" s="126">
        <f t="shared" ca="1" si="104"/>
        <v>14121.332654586125</v>
      </c>
      <c r="AW138" s="126">
        <f t="shared" ca="1" si="86"/>
        <v>10000</v>
      </c>
      <c r="AX138" s="750">
        <f t="shared" ca="1" si="105"/>
        <v>0</v>
      </c>
      <c r="AY138" s="750">
        <f t="shared" ca="1" si="106"/>
        <v>1176.7777212155102</v>
      </c>
      <c r="AZ138">
        <f t="shared" si="107"/>
        <v>5750</v>
      </c>
    </row>
    <row r="139" spans="3:52">
      <c r="D139">
        <v>132</v>
      </c>
      <c r="E139" s="6">
        <f t="shared" ca="1" si="108"/>
        <v>48761</v>
      </c>
      <c r="F139" s="7">
        <f t="shared" ca="1" si="87"/>
        <v>1.3120866578012655</v>
      </c>
      <c r="G139" s="125">
        <f ca="1">IF('Simulador - 1º Pilar'!$E$99="Sí",IF('Aportaciones PPE'!$B$13&lt;'Aportaciones PPE'!E139,0,F139*$B$8/12),F139*$B$8/12)</f>
        <v>22961.516511522146</v>
      </c>
      <c r="H139" s="125">
        <f t="shared" ca="1" si="77"/>
        <v>1148.0758255761073</v>
      </c>
      <c r="I139" s="125">
        <f t="shared" ca="1" si="88"/>
        <v>0</v>
      </c>
      <c r="J139" s="125">
        <f t="shared" ca="1" si="89"/>
        <v>0</v>
      </c>
      <c r="K139" s="125">
        <f t="shared" ca="1" si="90"/>
        <v>1427.4879856103114</v>
      </c>
      <c r="L139" s="125">
        <f t="shared" ca="1" si="109"/>
        <v>0</v>
      </c>
      <c r="M139" s="125">
        <f t="shared" ca="1" si="91"/>
        <v>0</v>
      </c>
      <c r="N139" s="125">
        <f t="shared" ca="1" si="92"/>
        <v>1427.4879856103114</v>
      </c>
      <c r="R139">
        <f t="shared" si="110"/>
        <v>132</v>
      </c>
      <c r="U139" s="55"/>
      <c r="V139">
        <f t="shared" si="111"/>
        <v>1</v>
      </c>
      <c r="W139">
        <f t="shared" ca="1" si="112"/>
        <v>2035</v>
      </c>
      <c r="X139" s="123">
        <f t="shared" ca="1" si="93"/>
        <v>49310</v>
      </c>
      <c r="Y139" s="64">
        <f t="shared" ca="1" si="94"/>
        <v>1206.1971642458977</v>
      </c>
      <c r="Z139" s="64">
        <f t="shared" ca="1" si="95"/>
        <v>0</v>
      </c>
      <c r="AA139" s="64">
        <f t="shared" ca="1" si="96"/>
        <v>1458.240842151893</v>
      </c>
      <c r="AB139" s="64">
        <f t="shared" ca="1" si="97"/>
        <v>0</v>
      </c>
      <c r="AF139" t="str">
        <f t="shared" ca="1" si="78"/>
        <v>72033</v>
      </c>
      <c r="AG139" s="126">
        <f t="shared" ca="1" si="79"/>
        <v>0</v>
      </c>
      <c r="AH139" s="126">
        <f t="shared" ca="1" si="80"/>
        <v>0</v>
      </c>
      <c r="AI139" s="126">
        <f t="shared" ca="1" si="81"/>
        <v>1148.0758255761073</v>
      </c>
      <c r="AJ139" t="str">
        <f t="shared" ca="1" si="82"/>
        <v>12035</v>
      </c>
      <c r="AK139" s="126">
        <f t="shared" ca="1" si="98"/>
        <v>0</v>
      </c>
      <c r="AL139" s="126">
        <f t="shared" ca="1" si="99"/>
        <v>0</v>
      </c>
      <c r="AM139" s="126">
        <f t="shared" ca="1" si="113"/>
        <v>0</v>
      </c>
      <c r="AN139" s="753">
        <f t="shared" ca="1" si="114"/>
        <v>0</v>
      </c>
      <c r="AO139" s="750">
        <f t="shared" ca="1" si="100"/>
        <v>0</v>
      </c>
      <c r="AP139" s="126">
        <f t="shared" ca="1" si="101"/>
        <v>0</v>
      </c>
      <c r="AQ139" s="126">
        <f t="shared" ca="1" si="102"/>
        <v>0</v>
      </c>
      <c r="AR139" s="126">
        <f t="shared" ca="1" si="83"/>
        <v>10000</v>
      </c>
      <c r="AS139" s="750">
        <f t="shared" ca="1" si="84"/>
        <v>0</v>
      </c>
      <c r="AT139" s="750">
        <f t="shared" ca="1" si="85"/>
        <v>0</v>
      </c>
      <c r="AU139" s="126">
        <f t="shared" ca="1" si="103"/>
        <v>1206.1971642458977</v>
      </c>
      <c r="AV139" s="126">
        <f t="shared" ca="1" si="104"/>
        <v>1206.1971642458977</v>
      </c>
      <c r="AW139" s="126">
        <f t="shared" ca="1" si="86"/>
        <v>10000</v>
      </c>
      <c r="AX139" s="750">
        <f t="shared" ca="1" si="105"/>
        <v>1206.1971642458977</v>
      </c>
      <c r="AY139" s="750">
        <f t="shared" ca="1" si="106"/>
        <v>0</v>
      </c>
      <c r="AZ139">
        <f t="shared" si="107"/>
        <v>5750</v>
      </c>
    </row>
    <row r="140" spans="3:52">
      <c r="D140">
        <v>133</v>
      </c>
      <c r="E140" s="6">
        <f t="shared" ca="1" si="108"/>
        <v>48731</v>
      </c>
      <c r="F140" s="7">
        <f t="shared" ca="1" si="87"/>
        <v>1.3120866578012655</v>
      </c>
      <c r="G140" s="125">
        <f ca="1">IF('Simulador - 1º Pilar'!$E$99="Sí",IF('Aportaciones PPE'!$B$13&lt;'Aportaciones PPE'!E140,0,F140*$B$8/12),F140*$B$8/12)</f>
        <v>22961.516511522146</v>
      </c>
      <c r="H140" s="125">
        <f t="shared" ca="1" si="77"/>
        <v>1148.0758255761073</v>
      </c>
      <c r="I140" s="125">
        <f t="shared" ca="1" si="88"/>
        <v>0</v>
      </c>
      <c r="J140" s="125">
        <f t="shared" ca="1" si="89"/>
        <v>0</v>
      </c>
      <c r="K140" s="125">
        <f t="shared" ca="1" si="90"/>
        <v>1429.8455980760618</v>
      </c>
      <c r="L140" s="125">
        <f t="shared" ca="1" si="109"/>
        <v>0</v>
      </c>
      <c r="M140" s="125">
        <f t="shared" ca="1" si="91"/>
        <v>0</v>
      </c>
      <c r="N140" s="125">
        <f t="shared" ca="1" si="92"/>
        <v>1429.8455980760618</v>
      </c>
      <c r="R140">
        <f t="shared" si="110"/>
        <v>133</v>
      </c>
      <c r="U140" s="55"/>
      <c r="V140">
        <f t="shared" si="111"/>
        <v>2</v>
      </c>
      <c r="W140">
        <f t="shared" ca="1" si="112"/>
        <v>2035</v>
      </c>
      <c r="X140" s="123">
        <f t="shared" ca="1" si="93"/>
        <v>49341</v>
      </c>
      <c r="Y140" s="64">
        <f t="shared" ca="1" si="94"/>
        <v>1206.1971642458977</v>
      </c>
      <c r="Z140" s="64">
        <f t="shared" ca="1" si="95"/>
        <v>0</v>
      </c>
      <c r="AA140" s="64">
        <f t="shared" ca="1" si="96"/>
        <v>1455.792012197413</v>
      </c>
      <c r="AB140" s="64">
        <f t="shared" ca="1" si="97"/>
        <v>0</v>
      </c>
      <c r="AF140" t="str">
        <f t="shared" ca="1" si="78"/>
        <v>62033</v>
      </c>
      <c r="AG140" s="126">
        <f t="shared" ca="1" si="79"/>
        <v>0</v>
      </c>
      <c r="AH140" s="126">
        <f t="shared" ca="1" si="80"/>
        <v>0</v>
      </c>
      <c r="AI140" s="126">
        <f t="shared" ca="1" si="81"/>
        <v>1148.0758255761073</v>
      </c>
      <c r="AJ140" t="str">
        <f t="shared" ca="1" si="82"/>
        <v>22035</v>
      </c>
      <c r="AK140" s="126">
        <f t="shared" ca="1" si="98"/>
        <v>0</v>
      </c>
      <c r="AL140" s="126">
        <f t="shared" ca="1" si="99"/>
        <v>0</v>
      </c>
      <c r="AM140" s="126">
        <f t="shared" ca="1" si="113"/>
        <v>0</v>
      </c>
      <c r="AN140" s="753">
        <f t="shared" ca="1" si="114"/>
        <v>0</v>
      </c>
      <c r="AO140" s="750">
        <f t="shared" ca="1" si="100"/>
        <v>0</v>
      </c>
      <c r="AP140" s="126">
        <f t="shared" ca="1" si="101"/>
        <v>0</v>
      </c>
      <c r="AQ140" s="126">
        <f t="shared" ca="1" si="102"/>
        <v>0</v>
      </c>
      <c r="AR140" s="126">
        <f t="shared" ca="1" si="83"/>
        <v>10000</v>
      </c>
      <c r="AS140" s="750">
        <f t="shared" ca="1" si="84"/>
        <v>0</v>
      </c>
      <c r="AT140" s="750">
        <f t="shared" ca="1" si="85"/>
        <v>0</v>
      </c>
      <c r="AU140" s="126">
        <f t="shared" ca="1" si="103"/>
        <v>1206.1971642458977</v>
      </c>
      <c r="AV140" s="126">
        <f t="shared" ca="1" si="104"/>
        <v>2412.3943284917955</v>
      </c>
      <c r="AW140" s="126">
        <f t="shared" ca="1" si="86"/>
        <v>10000</v>
      </c>
      <c r="AX140" s="750">
        <f t="shared" ca="1" si="105"/>
        <v>1206.1971642458977</v>
      </c>
      <c r="AY140" s="750">
        <f t="shared" ca="1" si="106"/>
        <v>0</v>
      </c>
      <c r="AZ140">
        <f t="shared" si="107"/>
        <v>5750</v>
      </c>
    </row>
    <row r="141" spans="3:52">
      <c r="D141">
        <v>134</v>
      </c>
      <c r="E141" s="6">
        <f t="shared" ca="1" si="108"/>
        <v>48700</v>
      </c>
      <c r="F141" s="7">
        <f t="shared" ca="1" si="87"/>
        <v>1.3120866578012655</v>
      </c>
      <c r="G141" s="125">
        <f ca="1">IF('Simulador - 1º Pilar'!$E$99="Sí",IF('Aportaciones PPE'!$B$13&lt;'Aportaciones PPE'!E141,0,F141*$B$8/12),F141*$B$8/12)</f>
        <v>22961.516511522146</v>
      </c>
      <c r="H141" s="125">
        <f t="shared" ca="1" si="77"/>
        <v>1148.0758255761073</v>
      </c>
      <c r="I141" s="125">
        <f t="shared" ca="1" si="88"/>
        <v>0</v>
      </c>
      <c r="J141" s="125">
        <f t="shared" ca="1" si="89"/>
        <v>0</v>
      </c>
      <c r="K141" s="125">
        <f t="shared" ca="1" si="90"/>
        <v>1432.207104330477</v>
      </c>
      <c r="L141" s="125">
        <f t="shared" ca="1" si="109"/>
        <v>0</v>
      </c>
      <c r="M141" s="125">
        <f t="shared" ca="1" si="91"/>
        <v>0</v>
      </c>
      <c r="N141" s="125">
        <f t="shared" ca="1" si="92"/>
        <v>1432.207104330477</v>
      </c>
      <c r="R141">
        <f t="shared" si="110"/>
        <v>134</v>
      </c>
      <c r="U141" s="55"/>
      <c r="V141">
        <f t="shared" si="111"/>
        <v>3</v>
      </c>
      <c r="W141">
        <f t="shared" ca="1" si="112"/>
        <v>2035</v>
      </c>
      <c r="X141" s="123">
        <f t="shared" ca="1" si="93"/>
        <v>49369</v>
      </c>
      <c r="Y141" s="64">
        <f t="shared" ca="1" si="94"/>
        <v>1206.1971642458977</v>
      </c>
      <c r="Z141" s="64">
        <f t="shared" ca="1" si="95"/>
        <v>0</v>
      </c>
      <c r="AA141" s="64">
        <f t="shared" ca="1" si="96"/>
        <v>1453.5837006141812</v>
      </c>
      <c r="AB141" s="64">
        <f t="shared" ca="1" si="97"/>
        <v>0</v>
      </c>
      <c r="AF141" t="str">
        <f t="shared" ca="1" si="78"/>
        <v>52033</v>
      </c>
      <c r="AG141" s="126">
        <f t="shared" ca="1" si="79"/>
        <v>0</v>
      </c>
      <c r="AH141" s="126">
        <f t="shared" ca="1" si="80"/>
        <v>0</v>
      </c>
      <c r="AI141" s="126">
        <f t="shared" ca="1" si="81"/>
        <v>1148.0758255761073</v>
      </c>
      <c r="AJ141" t="str">
        <f t="shared" ca="1" si="82"/>
        <v>32035</v>
      </c>
      <c r="AK141" s="126">
        <f t="shared" ca="1" si="98"/>
        <v>0</v>
      </c>
      <c r="AL141" s="126">
        <f t="shared" ca="1" si="99"/>
        <v>0</v>
      </c>
      <c r="AM141" s="126">
        <f t="shared" ca="1" si="113"/>
        <v>0</v>
      </c>
      <c r="AN141" s="753">
        <f t="shared" ca="1" si="114"/>
        <v>0</v>
      </c>
      <c r="AO141" s="750">
        <f t="shared" ca="1" si="100"/>
        <v>0</v>
      </c>
      <c r="AP141" s="126">
        <f t="shared" ca="1" si="101"/>
        <v>0</v>
      </c>
      <c r="AQ141" s="126">
        <f t="shared" ca="1" si="102"/>
        <v>0</v>
      </c>
      <c r="AR141" s="126">
        <f t="shared" ca="1" si="83"/>
        <v>10000</v>
      </c>
      <c r="AS141" s="750">
        <f t="shared" ca="1" si="84"/>
        <v>0</v>
      </c>
      <c r="AT141" s="750">
        <f t="shared" ca="1" si="85"/>
        <v>0</v>
      </c>
      <c r="AU141" s="126">
        <f t="shared" ca="1" si="103"/>
        <v>1206.1971642458977</v>
      </c>
      <c r="AV141" s="126">
        <f t="shared" ca="1" si="104"/>
        <v>3618.5914927376934</v>
      </c>
      <c r="AW141" s="126">
        <f t="shared" ca="1" si="86"/>
        <v>10000</v>
      </c>
      <c r="AX141" s="750">
        <f t="shared" ca="1" si="105"/>
        <v>1206.1971642458977</v>
      </c>
      <c r="AY141" s="750">
        <f t="shared" ca="1" si="106"/>
        <v>0</v>
      </c>
      <c r="AZ141">
        <f t="shared" si="107"/>
        <v>5750</v>
      </c>
    </row>
    <row r="142" spans="3:52">
      <c r="D142">
        <v>135</v>
      </c>
      <c r="E142" s="6">
        <f t="shared" ca="1" si="108"/>
        <v>48670</v>
      </c>
      <c r="F142" s="7">
        <f t="shared" ca="1" si="87"/>
        <v>1.3120866578012655</v>
      </c>
      <c r="G142" s="125">
        <f ca="1">IF('Simulador - 1º Pilar'!$E$99="Sí",IF('Aportaciones PPE'!$B$13&lt;'Aportaciones PPE'!E142,0,F142*$B$8/12),F142*$B$8/12)</f>
        <v>22961.516511522146</v>
      </c>
      <c r="H142" s="125">
        <f t="shared" ca="1" si="77"/>
        <v>1148.0758255761073</v>
      </c>
      <c r="I142" s="125">
        <f t="shared" ca="1" si="88"/>
        <v>0</v>
      </c>
      <c r="J142" s="125">
        <f t="shared" ca="1" si="89"/>
        <v>0</v>
      </c>
      <c r="K142" s="125">
        <f t="shared" ca="1" si="90"/>
        <v>1434.5725108044667</v>
      </c>
      <c r="L142" s="125">
        <f t="shared" ca="1" si="109"/>
        <v>0</v>
      </c>
      <c r="M142" s="125">
        <f t="shared" ca="1" si="91"/>
        <v>0</v>
      </c>
      <c r="N142" s="125">
        <f t="shared" ca="1" si="92"/>
        <v>1434.5725108044667</v>
      </c>
      <c r="R142">
        <f t="shared" si="110"/>
        <v>135</v>
      </c>
      <c r="U142" s="55"/>
      <c r="V142">
        <f t="shared" si="111"/>
        <v>4</v>
      </c>
      <c r="W142">
        <f t="shared" ca="1" si="112"/>
        <v>2035</v>
      </c>
      <c r="X142" s="123">
        <f t="shared" ca="1" si="93"/>
        <v>49400</v>
      </c>
      <c r="Y142" s="64">
        <f t="shared" ca="1" si="94"/>
        <v>1206.1971642458977</v>
      </c>
      <c r="Z142" s="64">
        <f t="shared" ca="1" si="95"/>
        <v>0</v>
      </c>
      <c r="AA142" s="64">
        <f t="shared" ca="1" si="96"/>
        <v>1451.1426914169931</v>
      </c>
      <c r="AB142" s="64">
        <f t="shared" ca="1" si="97"/>
        <v>0</v>
      </c>
      <c r="AF142" t="str">
        <f t="shared" ca="1" si="78"/>
        <v>42033</v>
      </c>
      <c r="AG142" s="126">
        <f t="shared" ca="1" si="79"/>
        <v>0</v>
      </c>
      <c r="AH142" s="126">
        <f t="shared" ca="1" si="80"/>
        <v>0</v>
      </c>
      <c r="AI142" s="126">
        <f t="shared" ca="1" si="81"/>
        <v>1148.0758255761073</v>
      </c>
      <c r="AJ142" t="str">
        <f t="shared" ca="1" si="82"/>
        <v>42035</v>
      </c>
      <c r="AK142" s="126">
        <f t="shared" ca="1" si="98"/>
        <v>0</v>
      </c>
      <c r="AL142" s="126">
        <f t="shared" ca="1" si="99"/>
        <v>0</v>
      </c>
      <c r="AM142" s="126">
        <f t="shared" ca="1" si="113"/>
        <v>0</v>
      </c>
      <c r="AN142" s="753">
        <f t="shared" ca="1" si="114"/>
        <v>0</v>
      </c>
      <c r="AO142" s="750">
        <f t="shared" ca="1" si="100"/>
        <v>0</v>
      </c>
      <c r="AP142" s="126">
        <f t="shared" ca="1" si="101"/>
        <v>0</v>
      </c>
      <c r="AQ142" s="126">
        <f t="shared" ca="1" si="102"/>
        <v>0</v>
      </c>
      <c r="AR142" s="126">
        <f t="shared" ca="1" si="83"/>
        <v>10000</v>
      </c>
      <c r="AS142" s="750">
        <f t="shared" ca="1" si="84"/>
        <v>0</v>
      </c>
      <c r="AT142" s="750">
        <f t="shared" ca="1" si="85"/>
        <v>0</v>
      </c>
      <c r="AU142" s="126">
        <f t="shared" ca="1" si="103"/>
        <v>1206.1971642458977</v>
      </c>
      <c r="AV142" s="126">
        <f t="shared" ca="1" si="104"/>
        <v>4824.788656983591</v>
      </c>
      <c r="AW142" s="126">
        <f t="shared" ca="1" si="86"/>
        <v>10000</v>
      </c>
      <c r="AX142" s="750">
        <f t="shared" ca="1" si="105"/>
        <v>1206.1971642458977</v>
      </c>
      <c r="AY142" s="750">
        <f t="shared" ca="1" si="106"/>
        <v>0</v>
      </c>
      <c r="AZ142">
        <f t="shared" si="107"/>
        <v>5750</v>
      </c>
    </row>
    <row r="143" spans="3:52">
      <c r="D143">
        <v>136</v>
      </c>
      <c r="E143" s="6">
        <f t="shared" ca="1" si="108"/>
        <v>48639</v>
      </c>
      <c r="F143" s="7">
        <f t="shared" ca="1" si="87"/>
        <v>1.3120866578012655</v>
      </c>
      <c r="G143" s="125">
        <f ca="1">IF('Simulador - 1º Pilar'!$E$99="Sí",IF('Aportaciones PPE'!$B$13&lt;'Aportaciones PPE'!E143,0,F143*$B$8/12),F143*$B$8/12)</f>
        <v>22961.516511522146</v>
      </c>
      <c r="H143" s="125">
        <f t="shared" ca="1" si="77"/>
        <v>1148.0758255761073</v>
      </c>
      <c r="I143" s="125">
        <f t="shared" ca="1" si="88"/>
        <v>0</v>
      </c>
      <c r="J143" s="125">
        <f t="shared" ca="1" si="89"/>
        <v>0</v>
      </c>
      <c r="K143" s="125">
        <f t="shared" ca="1" si="90"/>
        <v>1436.94182393956</v>
      </c>
      <c r="L143" s="125">
        <f t="shared" ca="1" si="109"/>
        <v>0</v>
      </c>
      <c r="M143" s="125">
        <f t="shared" ca="1" si="91"/>
        <v>0</v>
      </c>
      <c r="N143" s="125">
        <f t="shared" ca="1" si="92"/>
        <v>1436.94182393956</v>
      </c>
      <c r="R143">
        <f t="shared" si="110"/>
        <v>136</v>
      </c>
      <c r="U143" s="55"/>
      <c r="V143">
        <f t="shared" si="111"/>
        <v>5</v>
      </c>
      <c r="W143">
        <f t="shared" ca="1" si="112"/>
        <v>2035</v>
      </c>
      <c r="X143" s="123">
        <f t="shared" ca="1" si="93"/>
        <v>49430</v>
      </c>
      <c r="Y143" s="64">
        <f t="shared" ca="1" si="94"/>
        <v>1206.1971642458977</v>
      </c>
      <c r="Z143" s="64">
        <f t="shared" ca="1" si="95"/>
        <v>0</v>
      </c>
      <c r="AA143" s="64">
        <f t="shared" ca="1" si="96"/>
        <v>1448.7843275039852</v>
      </c>
      <c r="AB143" s="64">
        <f t="shared" ca="1" si="97"/>
        <v>0</v>
      </c>
      <c r="AF143" t="str">
        <f t="shared" ca="1" si="78"/>
        <v>32033</v>
      </c>
      <c r="AG143" s="126">
        <f t="shared" ca="1" si="79"/>
        <v>0</v>
      </c>
      <c r="AH143" s="126">
        <f t="shared" ca="1" si="80"/>
        <v>0</v>
      </c>
      <c r="AI143" s="126">
        <f t="shared" ca="1" si="81"/>
        <v>1148.0758255761073</v>
      </c>
      <c r="AJ143" t="str">
        <f t="shared" ca="1" si="82"/>
        <v>52035</v>
      </c>
      <c r="AK143" s="126">
        <f t="shared" ca="1" si="98"/>
        <v>0</v>
      </c>
      <c r="AL143" s="126">
        <f t="shared" ca="1" si="99"/>
        <v>0</v>
      </c>
      <c r="AM143" s="126">
        <f t="shared" ca="1" si="113"/>
        <v>0</v>
      </c>
      <c r="AN143" s="753">
        <f t="shared" ca="1" si="114"/>
        <v>0</v>
      </c>
      <c r="AO143" s="750">
        <f t="shared" ca="1" si="100"/>
        <v>0</v>
      </c>
      <c r="AP143" s="126">
        <f t="shared" ca="1" si="101"/>
        <v>0</v>
      </c>
      <c r="AQ143" s="126">
        <f t="shared" ca="1" si="102"/>
        <v>0</v>
      </c>
      <c r="AR143" s="126">
        <f t="shared" ca="1" si="83"/>
        <v>10000</v>
      </c>
      <c r="AS143" s="750">
        <f t="shared" ca="1" si="84"/>
        <v>0</v>
      </c>
      <c r="AT143" s="750">
        <f t="shared" ca="1" si="85"/>
        <v>0</v>
      </c>
      <c r="AU143" s="126">
        <f t="shared" ca="1" si="103"/>
        <v>1206.1971642458977</v>
      </c>
      <c r="AV143" s="126">
        <f t="shared" ca="1" si="104"/>
        <v>6030.9858212294885</v>
      </c>
      <c r="AW143" s="126">
        <f t="shared" ca="1" si="86"/>
        <v>10000</v>
      </c>
      <c r="AX143" s="750">
        <f t="shared" ca="1" si="105"/>
        <v>1206.1971642458977</v>
      </c>
      <c r="AY143" s="750">
        <f t="shared" ca="1" si="106"/>
        <v>0</v>
      </c>
      <c r="AZ143">
        <f t="shared" si="107"/>
        <v>5750</v>
      </c>
    </row>
    <row r="144" spans="3:52">
      <c r="D144">
        <v>137</v>
      </c>
      <c r="E144" s="6">
        <f t="shared" ca="1" si="108"/>
        <v>48611</v>
      </c>
      <c r="F144" s="7">
        <f t="shared" ca="1" si="87"/>
        <v>1.3120866578012655</v>
      </c>
      <c r="G144" s="125">
        <f ca="1">IF('Simulador - 1º Pilar'!$E$99="Sí",IF('Aportaciones PPE'!$B$13&lt;'Aportaciones PPE'!E144,0,F144*$B$8/12),F144*$B$8/12)</f>
        <v>22961.516511522146</v>
      </c>
      <c r="H144" s="125">
        <f t="shared" ca="1" si="77"/>
        <v>1148.0758255761073</v>
      </c>
      <c r="I144" s="125">
        <f t="shared" ca="1" si="88"/>
        <v>0</v>
      </c>
      <c r="J144" s="125">
        <f t="shared" ca="1" si="89"/>
        <v>0</v>
      </c>
      <c r="K144" s="125">
        <f t="shared" ca="1" si="90"/>
        <v>1439.3150501879254</v>
      </c>
      <c r="L144" s="125">
        <f t="shared" ca="1" si="109"/>
        <v>0</v>
      </c>
      <c r="M144" s="125">
        <f t="shared" ca="1" si="91"/>
        <v>0</v>
      </c>
      <c r="N144" s="125">
        <f t="shared" ca="1" si="92"/>
        <v>1439.3150501879254</v>
      </c>
      <c r="R144">
        <f t="shared" si="110"/>
        <v>137</v>
      </c>
      <c r="U144" s="55"/>
      <c r="V144">
        <f t="shared" si="111"/>
        <v>6</v>
      </c>
      <c r="W144">
        <f t="shared" ca="1" si="112"/>
        <v>2035</v>
      </c>
      <c r="X144" s="123">
        <f t="shared" ca="1" si="93"/>
        <v>49461</v>
      </c>
      <c r="Y144" s="64">
        <f t="shared" ca="1" si="94"/>
        <v>1206.1971642458977</v>
      </c>
      <c r="Z144" s="64">
        <f t="shared" ca="1" si="95"/>
        <v>0</v>
      </c>
      <c r="AA144" s="64">
        <f t="shared" ca="1" si="96"/>
        <v>1446.3513779141647</v>
      </c>
      <c r="AB144" s="64">
        <f t="shared" ca="1" si="97"/>
        <v>0</v>
      </c>
      <c r="AF144" t="str">
        <f t="shared" ca="1" si="78"/>
        <v>22033</v>
      </c>
      <c r="AG144" s="126">
        <f t="shared" ca="1" si="79"/>
        <v>0</v>
      </c>
      <c r="AH144" s="126">
        <f t="shared" ca="1" si="80"/>
        <v>0</v>
      </c>
      <c r="AI144" s="126">
        <f t="shared" ca="1" si="81"/>
        <v>1148.0758255761073</v>
      </c>
      <c r="AJ144" t="str">
        <f t="shared" ca="1" si="82"/>
        <v>62035</v>
      </c>
      <c r="AK144" s="126">
        <f t="shared" ca="1" si="98"/>
        <v>0</v>
      </c>
      <c r="AL144" s="126">
        <f t="shared" ca="1" si="99"/>
        <v>0</v>
      </c>
      <c r="AM144" s="126">
        <f t="shared" ca="1" si="113"/>
        <v>0</v>
      </c>
      <c r="AN144" s="753">
        <f t="shared" ca="1" si="114"/>
        <v>0</v>
      </c>
      <c r="AO144" s="750">
        <f t="shared" ca="1" si="100"/>
        <v>0</v>
      </c>
      <c r="AP144" s="126">
        <f t="shared" ca="1" si="101"/>
        <v>0</v>
      </c>
      <c r="AQ144" s="126">
        <f t="shared" ca="1" si="102"/>
        <v>0</v>
      </c>
      <c r="AR144" s="126">
        <f t="shared" ca="1" si="83"/>
        <v>10000</v>
      </c>
      <c r="AS144" s="750">
        <f t="shared" ca="1" si="84"/>
        <v>0</v>
      </c>
      <c r="AT144" s="750">
        <f t="shared" ca="1" si="85"/>
        <v>0</v>
      </c>
      <c r="AU144" s="126">
        <f t="shared" ca="1" si="103"/>
        <v>1206.1971642458977</v>
      </c>
      <c r="AV144" s="126">
        <f t="shared" ca="1" si="104"/>
        <v>7237.182985475386</v>
      </c>
      <c r="AW144" s="126">
        <f t="shared" ca="1" si="86"/>
        <v>10000</v>
      </c>
      <c r="AX144" s="750">
        <f t="shared" ca="1" si="105"/>
        <v>1206.1971642458977</v>
      </c>
      <c r="AY144" s="750">
        <f t="shared" ca="1" si="106"/>
        <v>0</v>
      </c>
      <c r="AZ144">
        <f t="shared" si="107"/>
        <v>5750</v>
      </c>
    </row>
    <row r="145" spans="4:52">
      <c r="D145">
        <v>138</v>
      </c>
      <c r="E145" s="6">
        <f t="shared" ca="1" si="108"/>
        <v>48580</v>
      </c>
      <c r="F145" s="7">
        <f t="shared" ca="1" si="87"/>
        <v>1.3120866578012655</v>
      </c>
      <c r="G145" s="125">
        <f ca="1">IF('Simulador - 1º Pilar'!$E$99="Sí",IF('Aportaciones PPE'!$B$13&lt;'Aportaciones PPE'!E145,0,F145*$B$8/12),F145*$B$8/12)</f>
        <v>22961.516511522146</v>
      </c>
      <c r="H145" s="125">
        <f t="shared" ca="1" si="77"/>
        <v>1148.0758255761073</v>
      </c>
      <c r="I145" s="125">
        <f t="shared" ca="1" si="88"/>
        <v>0</v>
      </c>
      <c r="J145" s="125">
        <f t="shared" ca="1" si="89"/>
        <v>0</v>
      </c>
      <c r="K145" s="125">
        <f t="shared" ca="1" si="90"/>
        <v>1441.6921960123882</v>
      </c>
      <c r="L145" s="125">
        <f t="shared" ca="1" si="109"/>
        <v>0</v>
      </c>
      <c r="M145" s="125">
        <f t="shared" ca="1" si="91"/>
        <v>0</v>
      </c>
      <c r="N145" s="125">
        <f t="shared" ca="1" si="92"/>
        <v>1441.6921960123882</v>
      </c>
      <c r="R145">
        <f t="shared" si="110"/>
        <v>138</v>
      </c>
      <c r="U145" s="55"/>
      <c r="V145">
        <f t="shared" si="111"/>
        <v>7</v>
      </c>
      <c r="W145">
        <f t="shared" ca="1" si="112"/>
        <v>2035</v>
      </c>
      <c r="X145" s="123">
        <f t="shared" ca="1" si="93"/>
        <v>49491</v>
      </c>
      <c r="Y145" s="64">
        <f t="shared" ca="1" si="94"/>
        <v>1206.1971642458977</v>
      </c>
      <c r="Z145" s="64">
        <f t="shared" ca="1" si="95"/>
        <v>0</v>
      </c>
      <c r="AA145" s="64">
        <f t="shared" ca="1" si="96"/>
        <v>1444.0008007342797</v>
      </c>
      <c r="AB145" s="64">
        <f t="shared" ca="1" si="97"/>
        <v>0</v>
      </c>
      <c r="AF145" t="str">
        <f t="shared" ca="1" si="78"/>
        <v>12033</v>
      </c>
      <c r="AG145" s="126">
        <f t="shared" ca="1" si="79"/>
        <v>0</v>
      </c>
      <c r="AH145" s="126">
        <f t="shared" ca="1" si="80"/>
        <v>0</v>
      </c>
      <c r="AI145" s="126">
        <f t="shared" ca="1" si="81"/>
        <v>1148.0758255761073</v>
      </c>
      <c r="AJ145" t="str">
        <f t="shared" ca="1" si="82"/>
        <v>72035</v>
      </c>
      <c r="AK145" s="126">
        <f t="shared" ca="1" si="98"/>
        <v>0</v>
      </c>
      <c r="AL145" s="126">
        <f t="shared" ca="1" si="99"/>
        <v>0</v>
      </c>
      <c r="AM145" s="126">
        <f t="shared" ca="1" si="113"/>
        <v>0</v>
      </c>
      <c r="AN145" s="753">
        <f t="shared" ca="1" si="114"/>
        <v>0</v>
      </c>
      <c r="AO145" s="750">
        <f t="shared" ca="1" si="100"/>
        <v>0</v>
      </c>
      <c r="AP145" s="126">
        <f t="shared" ca="1" si="101"/>
        <v>0</v>
      </c>
      <c r="AQ145" s="126">
        <f t="shared" ca="1" si="102"/>
        <v>0</v>
      </c>
      <c r="AR145" s="126">
        <f t="shared" ca="1" si="83"/>
        <v>10000</v>
      </c>
      <c r="AS145" s="750">
        <f t="shared" ca="1" si="84"/>
        <v>0</v>
      </c>
      <c r="AT145" s="750">
        <f t="shared" ca="1" si="85"/>
        <v>0</v>
      </c>
      <c r="AU145" s="126">
        <f t="shared" ca="1" si="103"/>
        <v>1206.1971642458977</v>
      </c>
      <c r="AV145" s="126">
        <f t="shared" ca="1" si="104"/>
        <v>8443.3801497212844</v>
      </c>
      <c r="AW145" s="126">
        <f t="shared" ca="1" si="86"/>
        <v>10000</v>
      </c>
      <c r="AX145" s="750">
        <f t="shared" ca="1" si="105"/>
        <v>1206.1971642458977</v>
      </c>
      <c r="AY145" s="750">
        <f t="shared" ca="1" si="106"/>
        <v>0</v>
      </c>
      <c r="AZ145">
        <f t="shared" si="107"/>
        <v>5750</v>
      </c>
    </row>
    <row r="146" spans="4:52">
      <c r="D146">
        <v>139</v>
      </c>
      <c r="E146" s="6">
        <f t="shared" ca="1" si="108"/>
        <v>48549</v>
      </c>
      <c r="F146" s="7">
        <f t="shared" ca="1" si="87"/>
        <v>1.2800845441963566</v>
      </c>
      <c r="G146" s="125">
        <f ca="1">IF('Simulador - 1º Pilar'!$E$99="Sí",IF('Aportaciones PPE'!$B$13&lt;'Aportaciones PPE'!E146,0,F146*$B$8/12),F146*$B$8/12)</f>
        <v>22401.479523436239</v>
      </c>
      <c r="H146" s="125">
        <f t="shared" ca="1" si="77"/>
        <v>1120.0739761718121</v>
      </c>
      <c r="I146" s="125">
        <f t="shared" ca="1" si="88"/>
        <v>0</v>
      </c>
      <c r="J146" s="125">
        <f t="shared" ca="1" si="89"/>
        <v>0</v>
      </c>
      <c r="K146" s="125">
        <f t="shared" ca="1" si="90"/>
        <v>1408.8519686697041</v>
      </c>
      <c r="L146" s="125">
        <f t="shared" ca="1" si="109"/>
        <v>0</v>
      </c>
      <c r="M146" s="125">
        <f t="shared" ca="1" si="91"/>
        <v>0</v>
      </c>
      <c r="N146" s="125">
        <f t="shared" ca="1" si="92"/>
        <v>1408.8519686697041</v>
      </c>
      <c r="R146">
        <f t="shared" si="110"/>
        <v>139</v>
      </c>
      <c r="U146" s="55"/>
      <c r="V146">
        <f t="shared" si="111"/>
        <v>8</v>
      </c>
      <c r="W146">
        <f t="shared" ca="1" si="112"/>
        <v>2035</v>
      </c>
      <c r="X146" s="123">
        <f t="shared" ca="1" si="93"/>
        <v>49522</v>
      </c>
      <c r="Y146" s="64">
        <f t="shared" ca="1" si="94"/>
        <v>1206.1971642458977</v>
      </c>
      <c r="Z146" s="64">
        <f t="shared" ca="1" si="95"/>
        <v>0</v>
      </c>
      <c r="AA146" s="64">
        <f t="shared" ca="1" si="96"/>
        <v>1441.5758841410006</v>
      </c>
      <c r="AB146" s="64">
        <f t="shared" ca="1" si="97"/>
        <v>0</v>
      </c>
      <c r="AF146" t="str">
        <f t="shared" ca="1" si="78"/>
        <v>122032</v>
      </c>
      <c r="AG146" s="126">
        <f t="shared" ca="1" si="79"/>
        <v>0</v>
      </c>
      <c r="AH146" s="126">
        <f t="shared" ca="1" si="80"/>
        <v>0</v>
      </c>
      <c r="AI146" s="126">
        <f t="shared" ca="1" si="81"/>
        <v>1120.0739761718121</v>
      </c>
      <c r="AJ146" t="str">
        <f t="shared" ca="1" si="82"/>
        <v>82035</v>
      </c>
      <c r="AK146" s="126">
        <f t="shared" ca="1" si="98"/>
        <v>0</v>
      </c>
      <c r="AL146" s="126">
        <f t="shared" ca="1" si="99"/>
        <v>0</v>
      </c>
      <c r="AM146" s="126">
        <f t="shared" ca="1" si="113"/>
        <v>0</v>
      </c>
      <c r="AN146" s="753">
        <f t="shared" ca="1" si="114"/>
        <v>0</v>
      </c>
      <c r="AO146" s="750">
        <f t="shared" ca="1" si="100"/>
        <v>0</v>
      </c>
      <c r="AP146" s="126">
        <f t="shared" ca="1" si="101"/>
        <v>0</v>
      </c>
      <c r="AQ146" s="126">
        <f t="shared" ca="1" si="102"/>
        <v>0</v>
      </c>
      <c r="AR146" s="126">
        <f t="shared" ca="1" si="83"/>
        <v>10000</v>
      </c>
      <c r="AS146" s="750">
        <f t="shared" ca="1" si="84"/>
        <v>0</v>
      </c>
      <c r="AT146" s="750">
        <f t="shared" ca="1" si="85"/>
        <v>0</v>
      </c>
      <c r="AU146" s="126">
        <f t="shared" ca="1" si="103"/>
        <v>1206.1971642458977</v>
      </c>
      <c r="AV146" s="126">
        <f t="shared" ca="1" si="104"/>
        <v>9649.5773139671819</v>
      </c>
      <c r="AW146" s="126">
        <f t="shared" ca="1" si="86"/>
        <v>10000</v>
      </c>
      <c r="AX146" s="750">
        <f t="shared" ca="1" si="105"/>
        <v>1206.1971642458977</v>
      </c>
      <c r="AY146" s="750">
        <f t="shared" ca="1" si="106"/>
        <v>0</v>
      </c>
      <c r="AZ146">
        <f t="shared" si="107"/>
        <v>5750</v>
      </c>
    </row>
    <row r="147" spans="4:52">
      <c r="D147">
        <v>140</v>
      </c>
      <c r="E147" s="6">
        <f t="shared" ca="1" si="108"/>
        <v>48519</v>
      </c>
      <c r="F147" s="7">
        <f t="shared" ca="1" si="87"/>
        <v>1.2800845441963566</v>
      </c>
      <c r="G147" s="125">
        <f ca="1">IF('Simulador - 1º Pilar'!$E$99="Sí",IF('Aportaciones PPE'!$B$13&lt;'Aportaciones PPE'!E147,0,F147*$B$8/12),F147*$B$8/12)</f>
        <v>22401.479523436239</v>
      </c>
      <c r="H147" s="125">
        <f t="shared" ca="1" si="77"/>
        <v>1120.0739761718121</v>
      </c>
      <c r="I147" s="125">
        <f t="shared" ca="1" si="88"/>
        <v>0</v>
      </c>
      <c r="J147" s="125">
        <f t="shared" ca="1" si="89"/>
        <v>0</v>
      </c>
      <c r="K147" s="125">
        <f t="shared" ca="1" si="90"/>
        <v>1411.1788022383325</v>
      </c>
      <c r="L147" s="125">
        <f t="shared" ca="1" si="109"/>
        <v>0</v>
      </c>
      <c r="M147" s="125">
        <f t="shared" ca="1" si="91"/>
        <v>0</v>
      </c>
      <c r="N147" s="125">
        <f t="shared" ca="1" si="92"/>
        <v>1411.1788022383325</v>
      </c>
      <c r="R147">
        <f t="shared" si="110"/>
        <v>140</v>
      </c>
      <c r="U147" s="55"/>
      <c r="V147">
        <f t="shared" si="111"/>
        <v>9</v>
      </c>
      <c r="W147">
        <f t="shared" ca="1" si="112"/>
        <v>2035</v>
      </c>
      <c r="X147" s="123">
        <f t="shared" ca="1" si="93"/>
        <v>49553</v>
      </c>
      <c r="Y147" s="64">
        <f t="shared" ca="1" si="94"/>
        <v>350.42268603281809</v>
      </c>
      <c r="Z147" s="64">
        <f t="shared" ca="1" si="95"/>
        <v>855.77447821307965</v>
      </c>
      <c r="AA147" s="64">
        <f t="shared" ca="1" si="96"/>
        <v>418.10127695976689</v>
      </c>
      <c r="AB147" s="64">
        <f t="shared" ca="1" si="97"/>
        <v>1021.0537627605473</v>
      </c>
      <c r="AF147" t="str">
        <f t="shared" ca="1" si="78"/>
        <v>112032</v>
      </c>
      <c r="AG147" s="126">
        <f t="shared" ca="1" si="79"/>
        <v>0</v>
      </c>
      <c r="AH147" s="126">
        <f t="shared" ca="1" si="80"/>
        <v>0</v>
      </c>
      <c r="AI147" s="126">
        <f t="shared" ca="1" si="81"/>
        <v>1120.0739761718121</v>
      </c>
      <c r="AJ147" t="str">
        <f t="shared" ca="1" si="82"/>
        <v>92035</v>
      </c>
      <c r="AK147" s="126">
        <f t="shared" ca="1" si="98"/>
        <v>0</v>
      </c>
      <c r="AL147" s="126">
        <f t="shared" ca="1" si="99"/>
        <v>0</v>
      </c>
      <c r="AM147" s="126">
        <f t="shared" ca="1" si="113"/>
        <v>0</v>
      </c>
      <c r="AN147" s="753">
        <f t="shared" ca="1" si="114"/>
        <v>0</v>
      </c>
      <c r="AO147" s="750">
        <f t="shared" ca="1" si="100"/>
        <v>0</v>
      </c>
      <c r="AP147" s="126">
        <f t="shared" ca="1" si="101"/>
        <v>0</v>
      </c>
      <c r="AQ147" s="126">
        <f t="shared" ca="1" si="102"/>
        <v>0</v>
      </c>
      <c r="AR147" s="126">
        <f t="shared" ca="1" si="83"/>
        <v>10000</v>
      </c>
      <c r="AS147" s="750">
        <f t="shared" ca="1" si="84"/>
        <v>0</v>
      </c>
      <c r="AT147" s="750">
        <f t="shared" ca="1" si="85"/>
        <v>0</v>
      </c>
      <c r="AU147" s="126">
        <f t="shared" ca="1" si="103"/>
        <v>1206.1971642458977</v>
      </c>
      <c r="AV147" s="126">
        <f t="shared" ca="1" si="104"/>
        <v>10855.774478213079</v>
      </c>
      <c r="AW147" s="126">
        <f t="shared" ca="1" si="86"/>
        <v>10000</v>
      </c>
      <c r="AX147" s="750">
        <f t="shared" ca="1" si="105"/>
        <v>350.42268603281809</v>
      </c>
      <c r="AY147" s="750">
        <f t="shared" ca="1" si="106"/>
        <v>855.77447821307965</v>
      </c>
      <c r="AZ147">
        <f t="shared" si="107"/>
        <v>5750</v>
      </c>
    </row>
    <row r="148" spans="4:52">
      <c r="D148">
        <v>141</v>
      </c>
      <c r="E148" s="6">
        <f t="shared" ca="1" si="108"/>
        <v>48488</v>
      </c>
      <c r="F148" s="7">
        <f t="shared" ca="1" si="87"/>
        <v>1.2800845441963566</v>
      </c>
      <c r="G148" s="125">
        <f ca="1">IF('Simulador - 1º Pilar'!$E$99="Sí",IF('Aportaciones PPE'!$B$13&lt;'Aportaciones PPE'!E148,0,F148*$B$8/12),F148*$B$8/12)</f>
        <v>22401.479523436239</v>
      </c>
      <c r="H148" s="125">
        <f t="shared" ca="1" si="77"/>
        <v>1120.0739761718121</v>
      </c>
      <c r="I148" s="125">
        <f t="shared" ca="1" si="88"/>
        <v>0</v>
      </c>
      <c r="J148" s="125">
        <f t="shared" ca="1" si="89"/>
        <v>0</v>
      </c>
      <c r="K148" s="125">
        <f t="shared" ca="1" si="90"/>
        <v>1413.5094787617752</v>
      </c>
      <c r="L148" s="125">
        <f t="shared" ca="1" si="109"/>
        <v>0</v>
      </c>
      <c r="M148" s="125">
        <f t="shared" ca="1" si="91"/>
        <v>0</v>
      </c>
      <c r="N148" s="125">
        <f t="shared" ca="1" si="92"/>
        <v>1413.5094787617752</v>
      </c>
      <c r="R148">
        <f t="shared" si="110"/>
        <v>141</v>
      </c>
      <c r="U148" s="55"/>
      <c r="V148">
        <f t="shared" si="111"/>
        <v>10</v>
      </c>
      <c r="W148">
        <f t="shared" ca="1" si="112"/>
        <v>2035</v>
      </c>
      <c r="X148" s="123">
        <f t="shared" ca="1" si="93"/>
        <v>49583</v>
      </c>
      <c r="Y148" s="64">
        <f t="shared" ca="1" si="94"/>
        <v>0</v>
      </c>
      <c r="Z148" s="64">
        <f t="shared" ca="1" si="95"/>
        <v>1206.1971642458977</v>
      </c>
      <c r="AA148" s="64">
        <f t="shared" ca="1" si="96"/>
        <v>0</v>
      </c>
      <c r="AB148" s="64">
        <f t="shared" ca="1" si="97"/>
        <v>1436.8161578646741</v>
      </c>
      <c r="AF148" t="str">
        <f t="shared" ca="1" si="78"/>
        <v>102032</v>
      </c>
      <c r="AG148" s="126">
        <f t="shared" ca="1" si="79"/>
        <v>0</v>
      </c>
      <c r="AH148" s="126">
        <f t="shared" ca="1" si="80"/>
        <v>0</v>
      </c>
      <c r="AI148" s="126">
        <f t="shared" ca="1" si="81"/>
        <v>1120.0739761718121</v>
      </c>
      <c r="AJ148" t="str">
        <f t="shared" ca="1" si="82"/>
        <v>102035</v>
      </c>
      <c r="AK148" s="126">
        <f t="shared" ca="1" si="98"/>
        <v>0</v>
      </c>
      <c r="AL148" s="126">
        <f t="shared" ca="1" si="99"/>
        <v>0</v>
      </c>
      <c r="AM148" s="126">
        <f t="shared" ca="1" si="113"/>
        <v>0</v>
      </c>
      <c r="AN148" s="753">
        <f t="shared" ca="1" si="114"/>
        <v>0</v>
      </c>
      <c r="AO148" s="750">
        <f t="shared" ca="1" si="100"/>
        <v>0</v>
      </c>
      <c r="AP148" s="126">
        <f t="shared" ca="1" si="101"/>
        <v>0</v>
      </c>
      <c r="AQ148" s="126">
        <f t="shared" ca="1" si="102"/>
        <v>0</v>
      </c>
      <c r="AR148" s="126">
        <f t="shared" ca="1" si="83"/>
        <v>10000</v>
      </c>
      <c r="AS148" s="750">
        <f t="shared" ca="1" si="84"/>
        <v>0</v>
      </c>
      <c r="AT148" s="750">
        <f t="shared" ca="1" si="85"/>
        <v>0</v>
      </c>
      <c r="AU148" s="126">
        <f t="shared" ca="1" si="103"/>
        <v>1206.1971642458977</v>
      </c>
      <c r="AV148" s="126">
        <f t="shared" ca="1" si="104"/>
        <v>12061.971642458977</v>
      </c>
      <c r="AW148" s="126">
        <f t="shared" ca="1" si="86"/>
        <v>10000</v>
      </c>
      <c r="AX148" s="750">
        <f t="shared" ca="1" si="105"/>
        <v>0</v>
      </c>
      <c r="AY148" s="750">
        <f t="shared" ca="1" si="106"/>
        <v>1206.1971642458977</v>
      </c>
      <c r="AZ148">
        <f t="shared" si="107"/>
        <v>5750</v>
      </c>
    </row>
    <row r="149" spans="4:52">
      <c r="D149">
        <v>142</v>
      </c>
      <c r="E149" s="6">
        <f t="shared" ca="1" si="108"/>
        <v>48458</v>
      </c>
      <c r="F149" s="7">
        <f t="shared" ca="1" si="87"/>
        <v>1.2800845441963566</v>
      </c>
      <c r="G149" s="125">
        <f ca="1">IF('Simulador - 1º Pilar'!$E$99="Sí",IF('Aportaciones PPE'!$B$13&lt;'Aportaciones PPE'!E149,0,F149*$B$8/12),F149*$B$8/12)</f>
        <v>22401.479523436239</v>
      </c>
      <c r="H149" s="125">
        <f t="shared" ca="1" si="77"/>
        <v>1120.0739761718121</v>
      </c>
      <c r="I149" s="125">
        <f t="shared" ca="1" si="88"/>
        <v>0</v>
      </c>
      <c r="J149" s="125">
        <f t="shared" ca="1" si="89"/>
        <v>0</v>
      </c>
      <c r="K149" s="125">
        <f t="shared" ca="1" si="90"/>
        <v>1415.8440045869852</v>
      </c>
      <c r="L149" s="125">
        <f t="shared" ca="1" si="109"/>
        <v>0</v>
      </c>
      <c r="M149" s="125">
        <f t="shared" ca="1" si="91"/>
        <v>0</v>
      </c>
      <c r="N149" s="125">
        <f t="shared" ca="1" si="92"/>
        <v>1415.8440045869852</v>
      </c>
      <c r="R149">
        <f t="shared" si="110"/>
        <v>142</v>
      </c>
      <c r="U149" s="55"/>
      <c r="V149">
        <f t="shared" si="111"/>
        <v>11</v>
      </c>
      <c r="W149">
        <f t="shared" ca="1" si="112"/>
        <v>2035</v>
      </c>
      <c r="X149" s="123">
        <f t="shared" ca="1" si="93"/>
        <v>49614</v>
      </c>
      <c r="Y149" s="64">
        <f t="shared" ca="1" si="94"/>
        <v>0</v>
      </c>
      <c r="Z149" s="64">
        <f t="shared" ca="1" si="95"/>
        <v>1206.1971642458977</v>
      </c>
      <c r="AA149" s="64">
        <f t="shared" ca="1" si="96"/>
        <v>0</v>
      </c>
      <c r="AB149" s="64">
        <f t="shared" ca="1" si="97"/>
        <v>1434.403306472261</v>
      </c>
      <c r="AF149" t="str">
        <f t="shared" ca="1" si="78"/>
        <v>92032</v>
      </c>
      <c r="AG149" s="126">
        <f t="shared" ca="1" si="79"/>
        <v>0</v>
      </c>
      <c r="AH149" s="126">
        <f t="shared" ca="1" si="80"/>
        <v>0</v>
      </c>
      <c r="AI149" s="126">
        <f t="shared" ca="1" si="81"/>
        <v>1120.0739761718121</v>
      </c>
      <c r="AJ149" t="str">
        <f t="shared" ca="1" si="82"/>
        <v>112035</v>
      </c>
      <c r="AK149" s="126">
        <f t="shared" ca="1" si="98"/>
        <v>0</v>
      </c>
      <c r="AL149" s="126">
        <f t="shared" ca="1" si="99"/>
        <v>0</v>
      </c>
      <c r="AM149" s="126">
        <f t="shared" ca="1" si="113"/>
        <v>0</v>
      </c>
      <c r="AN149" s="753">
        <f t="shared" ca="1" si="114"/>
        <v>0</v>
      </c>
      <c r="AO149" s="750">
        <f t="shared" ca="1" si="100"/>
        <v>0</v>
      </c>
      <c r="AP149" s="126">
        <f t="shared" ca="1" si="101"/>
        <v>0</v>
      </c>
      <c r="AQ149" s="126">
        <f t="shared" ca="1" si="102"/>
        <v>0</v>
      </c>
      <c r="AR149" s="126">
        <f t="shared" ca="1" si="83"/>
        <v>10000</v>
      </c>
      <c r="AS149" s="750">
        <f t="shared" ca="1" si="84"/>
        <v>0</v>
      </c>
      <c r="AT149" s="750">
        <f t="shared" ca="1" si="85"/>
        <v>0</v>
      </c>
      <c r="AU149" s="126">
        <f t="shared" ca="1" si="103"/>
        <v>1206.1971642458977</v>
      </c>
      <c r="AV149" s="126">
        <f t="shared" ca="1" si="104"/>
        <v>13268.168806704874</v>
      </c>
      <c r="AW149" s="126">
        <f t="shared" ca="1" si="86"/>
        <v>10000</v>
      </c>
      <c r="AX149" s="750">
        <f t="shared" ca="1" si="105"/>
        <v>0</v>
      </c>
      <c r="AY149" s="750">
        <f t="shared" ca="1" si="106"/>
        <v>1206.1971642458977</v>
      </c>
      <c r="AZ149">
        <f t="shared" si="107"/>
        <v>5750</v>
      </c>
    </row>
    <row r="150" spans="4:52">
      <c r="D150">
        <v>143</v>
      </c>
      <c r="E150" s="6">
        <f t="shared" ca="1" si="108"/>
        <v>48427</v>
      </c>
      <c r="F150" s="7">
        <f t="shared" ca="1" si="87"/>
        <v>1.2800845441963566</v>
      </c>
      <c r="G150" s="125">
        <f ca="1">IF('Simulador - 1º Pilar'!$E$99="Sí",IF('Aportaciones PPE'!$B$13&lt;'Aportaciones PPE'!E150,0,F150*$B$8/12),F150*$B$8/12)</f>
        <v>22401.479523436239</v>
      </c>
      <c r="H150" s="125">
        <f t="shared" ca="1" si="77"/>
        <v>1120.0739761718121</v>
      </c>
      <c r="I150" s="125">
        <f t="shared" ca="1" si="88"/>
        <v>0</v>
      </c>
      <c r="J150" s="125">
        <f t="shared" ca="1" si="89"/>
        <v>0</v>
      </c>
      <c r="K150" s="125">
        <f t="shared" ca="1" si="90"/>
        <v>1418.1823860713969</v>
      </c>
      <c r="L150" s="125">
        <f t="shared" ca="1" si="109"/>
        <v>0</v>
      </c>
      <c r="M150" s="125">
        <f t="shared" ca="1" si="91"/>
        <v>0</v>
      </c>
      <c r="N150" s="125">
        <f t="shared" ca="1" si="92"/>
        <v>1418.1823860713969</v>
      </c>
      <c r="R150">
        <f t="shared" si="110"/>
        <v>143</v>
      </c>
      <c r="U150" s="55"/>
      <c r="V150">
        <f t="shared" si="111"/>
        <v>12</v>
      </c>
      <c r="W150">
        <f t="shared" ca="1" si="112"/>
        <v>2035</v>
      </c>
      <c r="X150" s="123">
        <f t="shared" ca="1" si="93"/>
        <v>49644</v>
      </c>
      <c r="Y150" s="64">
        <f t="shared" ca="1" si="94"/>
        <v>0</v>
      </c>
      <c r="Z150" s="64">
        <f t="shared" ca="1" si="95"/>
        <v>1206.1971642458977</v>
      </c>
      <c r="AA150" s="64">
        <f t="shared" ca="1" si="96"/>
        <v>0</v>
      </c>
      <c r="AB150" s="64">
        <f t="shared" ca="1" si="97"/>
        <v>1432.0721470248188</v>
      </c>
      <c r="AF150" t="str">
        <f t="shared" ca="1" si="78"/>
        <v>82032</v>
      </c>
      <c r="AG150" s="126">
        <f t="shared" ca="1" si="79"/>
        <v>0</v>
      </c>
      <c r="AH150" s="126">
        <f t="shared" ca="1" si="80"/>
        <v>0</v>
      </c>
      <c r="AI150" s="126">
        <f t="shared" ca="1" si="81"/>
        <v>1120.0739761718121</v>
      </c>
      <c r="AJ150" t="str">
        <f t="shared" ca="1" si="82"/>
        <v>122035</v>
      </c>
      <c r="AK150" s="126">
        <f t="shared" ca="1" si="98"/>
        <v>0</v>
      </c>
      <c r="AL150" s="126">
        <f t="shared" ca="1" si="99"/>
        <v>0</v>
      </c>
      <c r="AM150" s="126">
        <f t="shared" ca="1" si="113"/>
        <v>0</v>
      </c>
      <c r="AN150" s="753">
        <f t="shared" ca="1" si="114"/>
        <v>0</v>
      </c>
      <c r="AO150" s="750">
        <f t="shared" ca="1" si="100"/>
        <v>0</v>
      </c>
      <c r="AP150" s="126">
        <f t="shared" ca="1" si="101"/>
        <v>0</v>
      </c>
      <c r="AQ150" s="126">
        <f t="shared" ca="1" si="102"/>
        <v>0</v>
      </c>
      <c r="AR150" s="126">
        <f t="shared" ca="1" si="83"/>
        <v>10000</v>
      </c>
      <c r="AS150" s="750">
        <f t="shared" ca="1" si="84"/>
        <v>0</v>
      </c>
      <c r="AT150" s="750">
        <f t="shared" ca="1" si="85"/>
        <v>0</v>
      </c>
      <c r="AU150" s="126">
        <f t="shared" ca="1" si="103"/>
        <v>1206.1971642458977</v>
      </c>
      <c r="AV150" s="126">
        <f t="shared" ca="1" si="104"/>
        <v>14474.365970950772</v>
      </c>
      <c r="AW150" s="126">
        <f t="shared" ca="1" si="86"/>
        <v>10000</v>
      </c>
      <c r="AX150" s="750">
        <f t="shared" ca="1" si="105"/>
        <v>0</v>
      </c>
      <c r="AY150" s="750">
        <f t="shared" ca="1" si="106"/>
        <v>1206.1971642458977</v>
      </c>
      <c r="AZ150">
        <f t="shared" si="107"/>
        <v>5750</v>
      </c>
    </row>
    <row r="151" spans="4:52">
      <c r="D151">
        <v>144</v>
      </c>
      <c r="E151" s="6">
        <f t="shared" ca="1" si="108"/>
        <v>48396</v>
      </c>
      <c r="F151" s="7">
        <f t="shared" ca="1" si="87"/>
        <v>1.2800845441963566</v>
      </c>
      <c r="G151" s="125">
        <f ca="1">IF('Simulador - 1º Pilar'!$E$99="Sí",IF('Aportaciones PPE'!$B$13&lt;'Aportaciones PPE'!E151,0,F151*$B$8/12),F151*$B$8/12)</f>
        <v>22401.479523436239</v>
      </c>
      <c r="H151" s="125">
        <f t="shared" ca="1" si="77"/>
        <v>1120.0739761718121</v>
      </c>
      <c r="I151" s="125">
        <f t="shared" ca="1" si="88"/>
        <v>0</v>
      </c>
      <c r="J151" s="125">
        <f t="shared" ca="1" si="89"/>
        <v>0</v>
      </c>
      <c r="K151" s="125">
        <f t="shared" ca="1" si="90"/>
        <v>1420.5246295829445</v>
      </c>
      <c r="L151" s="125">
        <f t="shared" ca="1" si="109"/>
        <v>0</v>
      </c>
      <c r="M151" s="125">
        <f t="shared" ca="1" si="91"/>
        <v>0</v>
      </c>
      <c r="N151" s="125">
        <f t="shared" ca="1" si="92"/>
        <v>1420.5246295829445</v>
      </c>
      <c r="R151">
        <f t="shared" si="110"/>
        <v>144</v>
      </c>
      <c r="U151" s="55"/>
      <c r="V151">
        <f t="shared" si="111"/>
        <v>1</v>
      </c>
      <c r="W151">
        <f t="shared" ca="1" si="112"/>
        <v>2036</v>
      </c>
      <c r="X151" s="123">
        <f t="shared" ca="1" si="93"/>
        <v>49675</v>
      </c>
      <c r="Y151" s="64">
        <f t="shared" ca="1" si="94"/>
        <v>1236.3520933520449</v>
      </c>
      <c r="Z151" s="64">
        <f t="shared" ca="1" si="95"/>
        <v>0</v>
      </c>
      <c r="AA151" s="64">
        <f t="shared" ca="1" si="96"/>
        <v>1465.4089438264223</v>
      </c>
      <c r="AB151" s="64">
        <f t="shared" ca="1" si="97"/>
        <v>0</v>
      </c>
      <c r="AF151" t="str">
        <f t="shared" ca="1" si="78"/>
        <v>72032</v>
      </c>
      <c r="AG151" s="126">
        <f t="shared" ca="1" si="79"/>
        <v>0</v>
      </c>
      <c r="AH151" s="126">
        <f t="shared" ca="1" si="80"/>
        <v>0</v>
      </c>
      <c r="AI151" s="126">
        <f t="shared" ca="1" si="81"/>
        <v>1120.0739761718121</v>
      </c>
      <c r="AJ151" t="str">
        <f t="shared" ca="1" si="82"/>
        <v>12036</v>
      </c>
      <c r="AK151" s="126">
        <f t="shared" ca="1" si="98"/>
        <v>0</v>
      </c>
      <c r="AL151" s="126">
        <f t="shared" ca="1" si="99"/>
        <v>0</v>
      </c>
      <c r="AM151" s="126">
        <f t="shared" ca="1" si="113"/>
        <v>0</v>
      </c>
      <c r="AN151" s="753">
        <f t="shared" ca="1" si="114"/>
        <v>0</v>
      </c>
      <c r="AO151" s="750">
        <f t="shared" ca="1" si="100"/>
        <v>0</v>
      </c>
      <c r="AP151" s="126">
        <f t="shared" ca="1" si="101"/>
        <v>0</v>
      </c>
      <c r="AQ151" s="126">
        <f t="shared" ca="1" si="102"/>
        <v>0</v>
      </c>
      <c r="AR151" s="126">
        <f t="shared" ca="1" si="83"/>
        <v>10000</v>
      </c>
      <c r="AS151" s="750">
        <f t="shared" ca="1" si="84"/>
        <v>0</v>
      </c>
      <c r="AT151" s="750">
        <f t="shared" ca="1" si="85"/>
        <v>0</v>
      </c>
      <c r="AU151" s="126">
        <f t="shared" ca="1" si="103"/>
        <v>1236.3520933520449</v>
      </c>
      <c r="AV151" s="126">
        <f t="shared" ca="1" si="104"/>
        <v>1236.3520933520449</v>
      </c>
      <c r="AW151" s="126">
        <f t="shared" ca="1" si="86"/>
        <v>10000</v>
      </c>
      <c r="AX151" s="750">
        <f t="shared" ca="1" si="105"/>
        <v>1236.3520933520449</v>
      </c>
      <c r="AY151" s="750">
        <f t="shared" ca="1" si="106"/>
        <v>0</v>
      </c>
      <c r="AZ151">
        <f t="shared" si="107"/>
        <v>5750</v>
      </c>
    </row>
    <row r="152" spans="4:52">
      <c r="D152">
        <v>145</v>
      </c>
      <c r="E152" s="6">
        <f t="shared" ca="1" si="108"/>
        <v>48366</v>
      </c>
      <c r="F152" s="7">
        <f t="shared" ca="1" si="87"/>
        <v>1.2800845441963566</v>
      </c>
      <c r="G152" s="125">
        <f ca="1">IF('Simulador - 1º Pilar'!$E$99="Sí",IF('Aportaciones PPE'!$B$13&lt;'Aportaciones PPE'!E152,0,F152*$B$8/12),F152*$B$8/12)</f>
        <v>22401.479523436239</v>
      </c>
      <c r="H152" s="125">
        <f t="shared" ca="1" si="77"/>
        <v>1120.0739761718121</v>
      </c>
      <c r="I152" s="125">
        <f t="shared" ca="1" si="88"/>
        <v>0</v>
      </c>
      <c r="J152" s="125">
        <f t="shared" ca="1" si="89"/>
        <v>0</v>
      </c>
      <c r="K152" s="125">
        <f t="shared" ca="1" si="90"/>
        <v>1422.8707415000813</v>
      </c>
      <c r="L152" s="125">
        <f t="shared" ca="1" si="109"/>
        <v>0</v>
      </c>
      <c r="M152" s="125">
        <f t="shared" ca="1" si="91"/>
        <v>0</v>
      </c>
      <c r="N152" s="125">
        <f t="shared" ca="1" si="92"/>
        <v>1422.8707415000813</v>
      </c>
      <c r="R152">
        <f t="shared" si="110"/>
        <v>145</v>
      </c>
      <c r="U152" s="55"/>
      <c r="V152">
        <f t="shared" si="111"/>
        <v>2</v>
      </c>
      <c r="W152">
        <f t="shared" ca="1" si="112"/>
        <v>2036</v>
      </c>
      <c r="X152" s="123">
        <f t="shared" ca="1" si="93"/>
        <v>49706</v>
      </c>
      <c r="Y152" s="64">
        <f t="shared" ca="1" si="94"/>
        <v>1236.3520933520449</v>
      </c>
      <c r="Z152" s="64">
        <f t="shared" ca="1" si="95"/>
        <v>0</v>
      </c>
      <c r="AA152" s="64">
        <f t="shared" ca="1" si="96"/>
        <v>1462.9480764487746</v>
      </c>
      <c r="AB152" s="64">
        <f t="shared" ca="1" si="97"/>
        <v>0</v>
      </c>
      <c r="AF152" t="str">
        <f t="shared" ca="1" si="78"/>
        <v>62032</v>
      </c>
      <c r="AG152" s="126">
        <f t="shared" ca="1" si="79"/>
        <v>0</v>
      </c>
      <c r="AH152" s="126">
        <f t="shared" ca="1" si="80"/>
        <v>0</v>
      </c>
      <c r="AI152" s="126">
        <f t="shared" ca="1" si="81"/>
        <v>1120.0739761718121</v>
      </c>
      <c r="AJ152" t="str">
        <f t="shared" ca="1" si="82"/>
        <v>22036</v>
      </c>
      <c r="AK152" s="126">
        <f t="shared" ca="1" si="98"/>
        <v>0</v>
      </c>
      <c r="AL152" s="126">
        <f t="shared" ca="1" si="99"/>
        <v>0</v>
      </c>
      <c r="AM152" s="126">
        <f t="shared" ca="1" si="113"/>
        <v>0</v>
      </c>
      <c r="AN152" s="753">
        <f t="shared" ca="1" si="114"/>
        <v>0</v>
      </c>
      <c r="AO152" s="750">
        <f t="shared" ca="1" si="100"/>
        <v>0</v>
      </c>
      <c r="AP152" s="126">
        <f t="shared" ca="1" si="101"/>
        <v>0</v>
      </c>
      <c r="AQ152" s="126">
        <f t="shared" ca="1" si="102"/>
        <v>0</v>
      </c>
      <c r="AR152" s="126">
        <f t="shared" ca="1" si="83"/>
        <v>10000</v>
      </c>
      <c r="AS152" s="750">
        <f t="shared" ca="1" si="84"/>
        <v>0</v>
      </c>
      <c r="AT152" s="750">
        <f t="shared" ca="1" si="85"/>
        <v>0</v>
      </c>
      <c r="AU152" s="126">
        <f t="shared" ca="1" si="103"/>
        <v>1236.3520933520449</v>
      </c>
      <c r="AV152" s="126">
        <f t="shared" ca="1" si="104"/>
        <v>2472.7041867040898</v>
      </c>
      <c r="AW152" s="126">
        <f t="shared" ca="1" si="86"/>
        <v>10000</v>
      </c>
      <c r="AX152" s="750">
        <f t="shared" ca="1" si="105"/>
        <v>1236.3520933520449</v>
      </c>
      <c r="AY152" s="750">
        <f t="shared" ca="1" si="106"/>
        <v>0</v>
      </c>
      <c r="AZ152">
        <f t="shared" si="107"/>
        <v>5750</v>
      </c>
    </row>
    <row r="153" spans="4:52">
      <c r="D153">
        <v>146</v>
      </c>
      <c r="E153" s="6">
        <f t="shared" ca="1" si="108"/>
        <v>48335</v>
      </c>
      <c r="F153" s="7">
        <f t="shared" ca="1" si="87"/>
        <v>1.2800845441963566</v>
      </c>
      <c r="G153" s="125">
        <f ca="1">IF('Simulador - 1º Pilar'!$E$99="Sí",IF('Aportaciones PPE'!$B$13&lt;'Aportaciones PPE'!E153,0,F153*$B$8/12),F153*$B$8/12)</f>
        <v>22401.479523436239</v>
      </c>
      <c r="H153" s="125">
        <f t="shared" ca="1" si="77"/>
        <v>1120.0739761718121</v>
      </c>
      <c r="I153" s="125">
        <f t="shared" ca="1" si="88"/>
        <v>0</v>
      </c>
      <c r="J153" s="125">
        <f t="shared" ca="1" si="89"/>
        <v>0</v>
      </c>
      <c r="K153" s="125">
        <f t="shared" ca="1" si="90"/>
        <v>1425.220728211792</v>
      </c>
      <c r="L153" s="125">
        <f t="shared" ca="1" si="109"/>
        <v>0</v>
      </c>
      <c r="M153" s="125">
        <f t="shared" ca="1" si="91"/>
        <v>0</v>
      </c>
      <c r="N153" s="125">
        <f t="shared" ca="1" si="92"/>
        <v>1425.220728211792</v>
      </c>
      <c r="R153">
        <f t="shared" si="110"/>
        <v>146</v>
      </c>
      <c r="U153" s="55"/>
      <c r="V153">
        <f t="shared" si="111"/>
        <v>3</v>
      </c>
      <c r="W153">
        <f t="shared" ca="1" si="112"/>
        <v>2036</v>
      </c>
      <c r="X153" s="123">
        <f t="shared" ca="1" si="93"/>
        <v>49735</v>
      </c>
      <c r="Y153" s="64">
        <f t="shared" ca="1" si="94"/>
        <v>1236.3520933520449</v>
      </c>
      <c r="Z153" s="64">
        <f t="shared" ca="1" si="95"/>
        <v>0</v>
      </c>
      <c r="AA153" s="64">
        <f t="shared" ca="1" si="96"/>
        <v>1460.6497160652712</v>
      </c>
      <c r="AB153" s="64">
        <f t="shared" ca="1" si="97"/>
        <v>0</v>
      </c>
      <c r="AF153" t="str">
        <f t="shared" ca="1" si="78"/>
        <v>52032</v>
      </c>
      <c r="AG153" s="126">
        <f t="shared" ca="1" si="79"/>
        <v>0</v>
      </c>
      <c r="AH153" s="126">
        <f t="shared" ca="1" si="80"/>
        <v>0</v>
      </c>
      <c r="AI153" s="126">
        <f t="shared" ca="1" si="81"/>
        <v>1120.0739761718121</v>
      </c>
      <c r="AJ153" t="str">
        <f t="shared" ca="1" si="82"/>
        <v>32036</v>
      </c>
      <c r="AK153" s="126">
        <f t="shared" ca="1" si="98"/>
        <v>0</v>
      </c>
      <c r="AL153" s="126">
        <f t="shared" ca="1" si="99"/>
        <v>0</v>
      </c>
      <c r="AM153" s="126">
        <f t="shared" ca="1" si="113"/>
        <v>0</v>
      </c>
      <c r="AN153" s="753">
        <f t="shared" ca="1" si="114"/>
        <v>0</v>
      </c>
      <c r="AO153" s="750">
        <f t="shared" ca="1" si="100"/>
        <v>0</v>
      </c>
      <c r="AP153" s="126">
        <f t="shared" ca="1" si="101"/>
        <v>0</v>
      </c>
      <c r="AQ153" s="126">
        <f t="shared" ca="1" si="102"/>
        <v>0</v>
      </c>
      <c r="AR153" s="126">
        <f t="shared" ca="1" si="83"/>
        <v>10000</v>
      </c>
      <c r="AS153" s="750">
        <f t="shared" ca="1" si="84"/>
        <v>0</v>
      </c>
      <c r="AT153" s="750">
        <f t="shared" ca="1" si="85"/>
        <v>0</v>
      </c>
      <c r="AU153" s="126">
        <f t="shared" ca="1" si="103"/>
        <v>1236.3520933520449</v>
      </c>
      <c r="AV153" s="126">
        <f t="shared" ca="1" si="104"/>
        <v>3709.0562800561347</v>
      </c>
      <c r="AW153" s="126">
        <f t="shared" ca="1" si="86"/>
        <v>10000</v>
      </c>
      <c r="AX153" s="750">
        <f t="shared" ca="1" si="105"/>
        <v>1236.3520933520449</v>
      </c>
      <c r="AY153" s="750">
        <f t="shared" ca="1" si="106"/>
        <v>0</v>
      </c>
      <c r="AZ153">
        <f t="shared" si="107"/>
        <v>5750</v>
      </c>
    </row>
    <row r="154" spans="4:52">
      <c r="D154">
        <v>147</v>
      </c>
      <c r="E154" s="6">
        <f t="shared" ca="1" si="108"/>
        <v>48305</v>
      </c>
      <c r="F154" s="7">
        <f t="shared" ca="1" si="87"/>
        <v>1.2800845441963566</v>
      </c>
      <c r="G154" s="125">
        <f ca="1">IF('Simulador - 1º Pilar'!$E$99="Sí",IF('Aportaciones PPE'!$B$13&lt;'Aportaciones PPE'!E154,0,F154*$B$8/12),F154*$B$8/12)</f>
        <v>22401.479523436239</v>
      </c>
      <c r="H154" s="125">
        <f t="shared" ca="1" si="77"/>
        <v>1120.0739761718121</v>
      </c>
      <c r="I154" s="125">
        <f t="shared" ca="1" si="88"/>
        <v>0</v>
      </c>
      <c r="J154" s="125">
        <f t="shared" ca="1" si="89"/>
        <v>0</v>
      </c>
      <c r="K154" s="125">
        <f t="shared" ca="1" si="90"/>
        <v>1427.5745961176156</v>
      </c>
      <c r="L154" s="125">
        <f t="shared" ca="1" si="109"/>
        <v>0</v>
      </c>
      <c r="M154" s="125">
        <f t="shared" ca="1" si="91"/>
        <v>0</v>
      </c>
      <c r="N154" s="125">
        <f t="shared" ca="1" si="92"/>
        <v>1427.5745961176156</v>
      </c>
      <c r="R154">
        <f t="shared" si="110"/>
        <v>147</v>
      </c>
      <c r="U154" s="55"/>
      <c r="V154">
        <f t="shared" si="111"/>
        <v>4</v>
      </c>
      <c r="W154">
        <f t="shared" ca="1" si="112"/>
        <v>2036</v>
      </c>
      <c r="X154" s="123">
        <f t="shared" ca="1" si="93"/>
        <v>49766</v>
      </c>
      <c r="Y154" s="64">
        <f t="shared" ca="1" si="94"/>
        <v>1236.3520933520449</v>
      </c>
      <c r="Z154" s="64">
        <f t="shared" ca="1" si="95"/>
        <v>0</v>
      </c>
      <c r="AA154" s="64">
        <f t="shared" ca="1" si="96"/>
        <v>1458.1968408787379</v>
      </c>
      <c r="AB154" s="64">
        <f t="shared" ca="1" si="97"/>
        <v>0</v>
      </c>
      <c r="AF154" t="str">
        <f t="shared" ca="1" si="78"/>
        <v>42032</v>
      </c>
      <c r="AG154" s="126">
        <f t="shared" ca="1" si="79"/>
        <v>0</v>
      </c>
      <c r="AH154" s="126">
        <f t="shared" ca="1" si="80"/>
        <v>0</v>
      </c>
      <c r="AI154" s="126">
        <f t="shared" ca="1" si="81"/>
        <v>1120.0739761718121</v>
      </c>
      <c r="AJ154" t="str">
        <f t="shared" ca="1" si="82"/>
        <v>42036</v>
      </c>
      <c r="AK154" s="126">
        <f t="shared" ca="1" si="98"/>
        <v>0</v>
      </c>
      <c r="AL154" s="126">
        <f t="shared" ca="1" si="99"/>
        <v>0</v>
      </c>
      <c r="AM154" s="126">
        <f t="shared" ca="1" si="113"/>
        <v>0</v>
      </c>
      <c r="AN154" s="753">
        <f t="shared" ca="1" si="114"/>
        <v>0</v>
      </c>
      <c r="AO154" s="750">
        <f t="shared" ca="1" si="100"/>
        <v>0</v>
      </c>
      <c r="AP154" s="126">
        <f t="shared" ca="1" si="101"/>
        <v>0</v>
      </c>
      <c r="AQ154" s="126">
        <f t="shared" ca="1" si="102"/>
        <v>0</v>
      </c>
      <c r="AR154" s="126">
        <f t="shared" ca="1" si="83"/>
        <v>10000</v>
      </c>
      <c r="AS154" s="750">
        <f t="shared" ca="1" si="84"/>
        <v>0</v>
      </c>
      <c r="AT154" s="750">
        <f t="shared" ca="1" si="85"/>
        <v>0</v>
      </c>
      <c r="AU154" s="126">
        <f t="shared" ca="1" si="103"/>
        <v>1236.3520933520449</v>
      </c>
      <c r="AV154" s="126">
        <f t="shared" ca="1" si="104"/>
        <v>4945.4083734081796</v>
      </c>
      <c r="AW154" s="126">
        <f t="shared" ca="1" si="86"/>
        <v>10000</v>
      </c>
      <c r="AX154" s="750">
        <f t="shared" ca="1" si="105"/>
        <v>1236.3520933520449</v>
      </c>
      <c r="AY154" s="750">
        <f t="shared" ca="1" si="106"/>
        <v>0</v>
      </c>
      <c r="AZ154">
        <f t="shared" si="107"/>
        <v>5750</v>
      </c>
    </row>
    <row r="155" spans="4:52">
      <c r="D155">
        <v>148</v>
      </c>
      <c r="E155" s="6">
        <f t="shared" ca="1" si="108"/>
        <v>48274</v>
      </c>
      <c r="F155" s="7">
        <f t="shared" ca="1" si="87"/>
        <v>1.2800845441963566</v>
      </c>
      <c r="G155" s="125">
        <f ca="1">IF('Simulador - 1º Pilar'!$E$99="Sí",IF('Aportaciones PPE'!$B$13&lt;'Aportaciones PPE'!E155,0,F155*$B$8/12),F155*$B$8/12)</f>
        <v>22401.479523436239</v>
      </c>
      <c r="H155" s="125">
        <f t="shared" ca="1" si="77"/>
        <v>1120.0739761718121</v>
      </c>
      <c r="I155" s="125">
        <f t="shared" ca="1" si="88"/>
        <v>0</v>
      </c>
      <c r="J155" s="125">
        <f t="shared" ca="1" si="89"/>
        <v>0</v>
      </c>
      <c r="K155" s="125">
        <f t="shared" ca="1" si="90"/>
        <v>1429.9323516276597</v>
      </c>
      <c r="L155" s="125">
        <f t="shared" ca="1" si="109"/>
        <v>0</v>
      </c>
      <c r="M155" s="125">
        <f t="shared" ca="1" si="91"/>
        <v>0</v>
      </c>
      <c r="N155" s="125">
        <f t="shared" ca="1" si="92"/>
        <v>1429.9323516276597</v>
      </c>
      <c r="R155">
        <f t="shared" si="110"/>
        <v>148</v>
      </c>
      <c r="U155" s="55"/>
      <c r="V155">
        <f t="shared" si="111"/>
        <v>5</v>
      </c>
      <c r="W155">
        <f t="shared" ca="1" si="112"/>
        <v>2036</v>
      </c>
      <c r="X155" s="123">
        <f t="shared" ca="1" si="93"/>
        <v>49796</v>
      </c>
      <c r="Y155" s="64">
        <f t="shared" ca="1" si="94"/>
        <v>1236.3520933520449</v>
      </c>
      <c r="Z155" s="64">
        <f t="shared" ca="1" si="95"/>
        <v>0</v>
      </c>
      <c r="AA155" s="64">
        <f t="shared" ca="1" si="96"/>
        <v>1455.8270127233602</v>
      </c>
      <c r="AB155" s="64">
        <f t="shared" ca="1" si="97"/>
        <v>0</v>
      </c>
      <c r="AF155" t="str">
        <f t="shared" ca="1" si="78"/>
        <v>32032</v>
      </c>
      <c r="AG155" s="126">
        <f t="shared" ca="1" si="79"/>
        <v>0</v>
      </c>
      <c r="AH155" s="126">
        <f t="shared" ca="1" si="80"/>
        <v>0</v>
      </c>
      <c r="AI155" s="126">
        <f t="shared" ca="1" si="81"/>
        <v>1120.0739761718121</v>
      </c>
      <c r="AJ155" t="str">
        <f t="shared" ca="1" si="82"/>
        <v>52036</v>
      </c>
      <c r="AK155" s="126">
        <f t="shared" ca="1" si="98"/>
        <v>0</v>
      </c>
      <c r="AL155" s="126">
        <f t="shared" ca="1" si="99"/>
        <v>0</v>
      </c>
      <c r="AM155" s="126">
        <f t="shared" ca="1" si="113"/>
        <v>0</v>
      </c>
      <c r="AN155" s="753">
        <f t="shared" ca="1" si="114"/>
        <v>0</v>
      </c>
      <c r="AO155" s="750">
        <f t="shared" ca="1" si="100"/>
        <v>0</v>
      </c>
      <c r="AP155" s="126">
        <f t="shared" ca="1" si="101"/>
        <v>0</v>
      </c>
      <c r="AQ155" s="126">
        <f t="shared" ca="1" si="102"/>
        <v>0</v>
      </c>
      <c r="AR155" s="126">
        <f t="shared" ca="1" si="83"/>
        <v>10000</v>
      </c>
      <c r="AS155" s="750">
        <f t="shared" ca="1" si="84"/>
        <v>0</v>
      </c>
      <c r="AT155" s="750">
        <f t="shared" ca="1" si="85"/>
        <v>0</v>
      </c>
      <c r="AU155" s="126">
        <f t="shared" ca="1" si="103"/>
        <v>1236.3520933520449</v>
      </c>
      <c r="AV155" s="126">
        <f t="shared" ca="1" si="104"/>
        <v>6181.7604667602245</v>
      </c>
      <c r="AW155" s="126">
        <f t="shared" ca="1" si="86"/>
        <v>10000</v>
      </c>
      <c r="AX155" s="750">
        <f t="shared" ca="1" si="105"/>
        <v>1236.3520933520449</v>
      </c>
      <c r="AY155" s="750">
        <f t="shared" ca="1" si="106"/>
        <v>0</v>
      </c>
      <c r="AZ155">
        <f t="shared" si="107"/>
        <v>5750</v>
      </c>
    </row>
    <row r="156" spans="4:52">
      <c r="D156">
        <v>149</v>
      </c>
      <c r="E156" s="6">
        <f t="shared" ca="1" si="108"/>
        <v>48245</v>
      </c>
      <c r="F156" s="7">
        <f t="shared" ca="1" si="87"/>
        <v>1.2800845441963566</v>
      </c>
      <c r="G156" s="125">
        <f ca="1">IF('Simulador - 1º Pilar'!$E$99="Sí",IF('Aportaciones PPE'!$B$13&lt;'Aportaciones PPE'!E156,0,F156*$B$8/12),F156*$B$8/12)</f>
        <v>22401.479523436239</v>
      </c>
      <c r="H156" s="125">
        <f t="shared" ca="1" si="77"/>
        <v>1120.0739761718121</v>
      </c>
      <c r="I156" s="125">
        <f t="shared" ca="1" si="88"/>
        <v>0</v>
      </c>
      <c r="J156" s="125">
        <f t="shared" ca="1" si="89"/>
        <v>0</v>
      </c>
      <c r="K156" s="125">
        <f t="shared" ca="1" si="90"/>
        <v>1432.2940011626188</v>
      </c>
      <c r="L156" s="125">
        <f t="shared" ca="1" si="109"/>
        <v>0</v>
      </c>
      <c r="M156" s="125">
        <f t="shared" ca="1" si="91"/>
        <v>0</v>
      </c>
      <c r="N156" s="125">
        <f t="shared" ca="1" si="92"/>
        <v>1432.2940011626188</v>
      </c>
      <c r="R156">
        <f t="shared" si="110"/>
        <v>149</v>
      </c>
      <c r="U156" s="55"/>
      <c r="V156">
        <f t="shared" si="111"/>
        <v>6</v>
      </c>
      <c r="W156">
        <f t="shared" ca="1" si="112"/>
        <v>2036</v>
      </c>
      <c r="X156" s="123">
        <f t="shared" ca="1" si="93"/>
        <v>49827</v>
      </c>
      <c r="Y156" s="64">
        <f t="shared" ca="1" si="94"/>
        <v>1236.3520933520449</v>
      </c>
      <c r="Z156" s="64">
        <f t="shared" ca="1" si="95"/>
        <v>0</v>
      </c>
      <c r="AA156" s="64">
        <f t="shared" ca="1" si="96"/>
        <v>1453.3822363227507</v>
      </c>
      <c r="AB156" s="64">
        <f t="shared" ca="1" si="97"/>
        <v>0</v>
      </c>
      <c r="AF156" t="str">
        <f t="shared" ca="1" si="78"/>
        <v>22032</v>
      </c>
      <c r="AG156" s="126">
        <f t="shared" ca="1" si="79"/>
        <v>0</v>
      </c>
      <c r="AH156" s="126">
        <f t="shared" ca="1" si="80"/>
        <v>0</v>
      </c>
      <c r="AI156" s="126">
        <f t="shared" ca="1" si="81"/>
        <v>1120.0739761718121</v>
      </c>
      <c r="AJ156" t="str">
        <f t="shared" ca="1" si="82"/>
        <v>62036</v>
      </c>
      <c r="AK156" s="126">
        <f t="shared" ca="1" si="98"/>
        <v>0</v>
      </c>
      <c r="AL156" s="126">
        <f t="shared" ca="1" si="99"/>
        <v>0</v>
      </c>
      <c r="AM156" s="126">
        <f t="shared" ca="1" si="113"/>
        <v>0</v>
      </c>
      <c r="AN156" s="753">
        <f t="shared" ca="1" si="114"/>
        <v>0</v>
      </c>
      <c r="AO156" s="750">
        <f t="shared" ca="1" si="100"/>
        <v>0</v>
      </c>
      <c r="AP156" s="126">
        <f t="shared" ca="1" si="101"/>
        <v>0</v>
      </c>
      <c r="AQ156" s="126">
        <f t="shared" ca="1" si="102"/>
        <v>0</v>
      </c>
      <c r="AR156" s="126">
        <f t="shared" ca="1" si="83"/>
        <v>10000</v>
      </c>
      <c r="AS156" s="750">
        <f t="shared" ca="1" si="84"/>
        <v>0</v>
      </c>
      <c r="AT156" s="750">
        <f t="shared" ca="1" si="85"/>
        <v>0</v>
      </c>
      <c r="AU156" s="126">
        <f t="shared" ca="1" si="103"/>
        <v>1236.3520933520449</v>
      </c>
      <c r="AV156" s="126">
        <f t="shared" ca="1" si="104"/>
        <v>7418.1125601122694</v>
      </c>
      <c r="AW156" s="126">
        <f t="shared" ca="1" si="86"/>
        <v>10000</v>
      </c>
      <c r="AX156" s="750">
        <f t="shared" ca="1" si="105"/>
        <v>1236.3520933520449</v>
      </c>
      <c r="AY156" s="750">
        <f t="shared" ca="1" si="106"/>
        <v>0</v>
      </c>
      <c r="AZ156">
        <f t="shared" si="107"/>
        <v>5750</v>
      </c>
    </row>
    <row r="157" spans="4:52">
      <c r="D157">
        <v>150</v>
      </c>
      <c r="E157" s="6">
        <f t="shared" ca="1" si="108"/>
        <v>48214</v>
      </c>
      <c r="F157" s="7">
        <f t="shared" ca="1" si="87"/>
        <v>1.2800845441963566</v>
      </c>
      <c r="G157" s="125">
        <f ca="1">IF('Simulador - 1º Pilar'!$E$99="Sí",IF('Aportaciones PPE'!$B$13&lt;'Aportaciones PPE'!E157,0,F157*$B$8/12),F157*$B$8/12)</f>
        <v>22401.479523436239</v>
      </c>
      <c r="H157" s="125">
        <f t="shared" ca="1" si="77"/>
        <v>1120.0739761718121</v>
      </c>
      <c r="I157" s="125">
        <f t="shared" ca="1" si="88"/>
        <v>0</v>
      </c>
      <c r="J157" s="125">
        <f t="shared" ca="1" si="89"/>
        <v>0</v>
      </c>
      <c r="K157" s="125">
        <f t="shared" ca="1" si="90"/>
        <v>1434.6595511537912</v>
      </c>
      <c r="L157" s="125">
        <f t="shared" ca="1" si="109"/>
        <v>0</v>
      </c>
      <c r="M157" s="125">
        <f t="shared" ca="1" si="91"/>
        <v>0</v>
      </c>
      <c r="N157" s="125">
        <f t="shared" ca="1" si="92"/>
        <v>1434.6595511537912</v>
      </c>
      <c r="R157">
        <f t="shared" si="110"/>
        <v>150</v>
      </c>
      <c r="U157" s="55"/>
      <c r="V157">
        <f t="shared" si="111"/>
        <v>7</v>
      </c>
      <c r="W157">
        <f t="shared" ca="1" si="112"/>
        <v>2036</v>
      </c>
      <c r="X157" s="123">
        <f t="shared" ca="1" si="93"/>
        <v>49857</v>
      </c>
      <c r="Y157" s="64">
        <f t="shared" ca="1" si="94"/>
        <v>1236.3520933520449</v>
      </c>
      <c r="Z157" s="64">
        <f t="shared" ca="1" si="95"/>
        <v>0</v>
      </c>
      <c r="AA157" s="64">
        <f t="shared" ca="1" si="96"/>
        <v>1451.0202327525826</v>
      </c>
      <c r="AB157" s="64">
        <f t="shared" ca="1" si="97"/>
        <v>0</v>
      </c>
      <c r="AF157" t="str">
        <f t="shared" ca="1" si="78"/>
        <v>12032</v>
      </c>
      <c r="AG157" s="126">
        <f t="shared" ca="1" si="79"/>
        <v>0</v>
      </c>
      <c r="AH157" s="126">
        <f t="shared" ca="1" si="80"/>
        <v>0</v>
      </c>
      <c r="AI157" s="126">
        <f t="shared" ca="1" si="81"/>
        <v>1120.0739761718121</v>
      </c>
      <c r="AJ157" t="str">
        <f t="shared" ca="1" si="82"/>
        <v>72036</v>
      </c>
      <c r="AK157" s="126">
        <f t="shared" ca="1" si="98"/>
        <v>0</v>
      </c>
      <c r="AL157" s="126">
        <f t="shared" ca="1" si="99"/>
        <v>0</v>
      </c>
      <c r="AM157" s="126">
        <f t="shared" ca="1" si="113"/>
        <v>0</v>
      </c>
      <c r="AN157" s="753">
        <f t="shared" ca="1" si="114"/>
        <v>0</v>
      </c>
      <c r="AO157" s="750">
        <f t="shared" ca="1" si="100"/>
        <v>0</v>
      </c>
      <c r="AP157" s="126">
        <f t="shared" ca="1" si="101"/>
        <v>0</v>
      </c>
      <c r="AQ157" s="126">
        <f t="shared" ca="1" si="102"/>
        <v>0</v>
      </c>
      <c r="AR157" s="126">
        <f t="shared" ca="1" si="83"/>
        <v>10000</v>
      </c>
      <c r="AS157" s="750">
        <f t="shared" ca="1" si="84"/>
        <v>0</v>
      </c>
      <c r="AT157" s="750">
        <f t="shared" ca="1" si="85"/>
        <v>0</v>
      </c>
      <c r="AU157" s="126">
        <f t="shared" ca="1" si="103"/>
        <v>1236.3520933520449</v>
      </c>
      <c r="AV157" s="126">
        <f t="shared" ca="1" si="104"/>
        <v>8654.4646534643143</v>
      </c>
      <c r="AW157" s="126">
        <f t="shared" ca="1" si="86"/>
        <v>10000</v>
      </c>
      <c r="AX157" s="750">
        <f t="shared" ca="1" si="105"/>
        <v>1236.3520933520449</v>
      </c>
      <c r="AY157" s="750">
        <f t="shared" ca="1" si="106"/>
        <v>0</v>
      </c>
      <c r="AZ157">
        <f t="shared" si="107"/>
        <v>5750</v>
      </c>
    </row>
    <row r="158" spans="4:52">
      <c r="D158">
        <v>151</v>
      </c>
      <c r="E158" s="6">
        <f t="shared" ca="1" si="108"/>
        <v>48183</v>
      </c>
      <c r="F158" s="7">
        <f t="shared" ca="1" si="87"/>
        <v>1.2488629699476652</v>
      </c>
      <c r="G158" s="125">
        <f ca="1">IF('Simulador - 1º Pilar'!$E$99="Sí",IF('Aportaciones PPE'!$B$13&lt;'Aportaciones PPE'!E158,0,F158*$B$8/12),F158*$B$8/12)</f>
        <v>21855.10197408414</v>
      </c>
      <c r="H158" s="125">
        <f t="shared" ca="1" si="77"/>
        <v>1092.7550987042071</v>
      </c>
      <c r="I158" s="125">
        <f t="shared" ca="1" si="88"/>
        <v>0</v>
      </c>
      <c r="J158" s="125">
        <f t="shared" ca="1" si="89"/>
        <v>0</v>
      </c>
      <c r="K158" s="125">
        <f t="shared" ca="1" si="90"/>
        <v>1401.9795200420472</v>
      </c>
      <c r="L158" s="125">
        <f t="shared" ca="1" si="109"/>
        <v>0</v>
      </c>
      <c r="M158" s="125">
        <f t="shared" ca="1" si="91"/>
        <v>0</v>
      </c>
      <c r="N158" s="125">
        <f t="shared" ca="1" si="92"/>
        <v>1401.9795200420472</v>
      </c>
      <c r="R158">
        <f t="shared" si="110"/>
        <v>151</v>
      </c>
      <c r="U158" s="55"/>
      <c r="V158">
        <f t="shared" si="111"/>
        <v>8</v>
      </c>
      <c r="W158">
        <f t="shared" ca="1" si="112"/>
        <v>2036</v>
      </c>
      <c r="X158" s="123">
        <f t="shared" ca="1" si="93"/>
        <v>49888</v>
      </c>
      <c r="Y158" s="64">
        <f t="shared" ca="1" si="94"/>
        <v>1236.3520933520449</v>
      </c>
      <c r="Z158" s="64">
        <f t="shared" ca="1" si="95"/>
        <v>0</v>
      </c>
      <c r="AA158" s="64">
        <f t="shared" ca="1" si="96"/>
        <v>1448.5835283977121</v>
      </c>
      <c r="AB158" s="64">
        <f t="shared" ca="1" si="97"/>
        <v>0</v>
      </c>
      <c r="AF158" t="str">
        <f t="shared" ca="1" si="78"/>
        <v>122031</v>
      </c>
      <c r="AG158" s="126">
        <f t="shared" ca="1" si="79"/>
        <v>0</v>
      </c>
      <c r="AH158" s="126">
        <f t="shared" ca="1" si="80"/>
        <v>0</v>
      </c>
      <c r="AI158" s="126">
        <f t="shared" ca="1" si="81"/>
        <v>1092.7550987042071</v>
      </c>
      <c r="AJ158" t="str">
        <f t="shared" ca="1" si="82"/>
        <v>82036</v>
      </c>
      <c r="AK158" s="126">
        <f t="shared" ca="1" si="98"/>
        <v>0</v>
      </c>
      <c r="AL158" s="126">
        <f t="shared" ca="1" si="99"/>
        <v>0</v>
      </c>
      <c r="AM158" s="126">
        <f t="shared" ca="1" si="113"/>
        <v>0</v>
      </c>
      <c r="AN158" s="753">
        <f t="shared" ca="1" si="114"/>
        <v>0</v>
      </c>
      <c r="AO158" s="750">
        <f t="shared" ca="1" si="100"/>
        <v>0</v>
      </c>
      <c r="AP158" s="126">
        <f t="shared" ca="1" si="101"/>
        <v>0</v>
      </c>
      <c r="AQ158" s="126">
        <f t="shared" ca="1" si="102"/>
        <v>0</v>
      </c>
      <c r="AR158" s="126">
        <f t="shared" ca="1" si="83"/>
        <v>10000</v>
      </c>
      <c r="AS158" s="750">
        <f t="shared" ca="1" si="84"/>
        <v>0</v>
      </c>
      <c r="AT158" s="750">
        <f t="shared" ca="1" si="85"/>
        <v>0</v>
      </c>
      <c r="AU158" s="126">
        <f t="shared" ca="1" si="103"/>
        <v>1236.3520933520449</v>
      </c>
      <c r="AV158" s="126">
        <f t="shared" ca="1" si="104"/>
        <v>9890.8167468163592</v>
      </c>
      <c r="AW158" s="126">
        <f t="shared" ca="1" si="86"/>
        <v>10000</v>
      </c>
      <c r="AX158" s="750">
        <f t="shared" ca="1" si="105"/>
        <v>1236.3520933520449</v>
      </c>
      <c r="AY158" s="750">
        <f t="shared" ca="1" si="106"/>
        <v>0</v>
      </c>
      <c r="AZ158">
        <f t="shared" si="107"/>
        <v>5750</v>
      </c>
    </row>
    <row r="159" spans="4:52">
      <c r="D159">
        <v>152</v>
      </c>
      <c r="E159" s="6">
        <f t="shared" ca="1" si="108"/>
        <v>48153</v>
      </c>
      <c r="F159" s="7">
        <f t="shared" ca="1" si="87"/>
        <v>1.2488629699476652</v>
      </c>
      <c r="G159" s="125">
        <f ca="1">IF('Simulador - 1º Pilar'!$E$99="Sí",IF('Aportaciones PPE'!$B$13&lt;'Aportaciones PPE'!E159,0,F159*$B$8/12),F159*$B$8/12)</f>
        <v>21855.10197408414</v>
      </c>
      <c r="H159" s="125">
        <f t="shared" ca="1" si="77"/>
        <v>1092.7550987042071</v>
      </c>
      <c r="I159" s="125">
        <f t="shared" ca="1" si="88"/>
        <v>0</v>
      </c>
      <c r="J159" s="125">
        <f t="shared" ca="1" si="89"/>
        <v>0</v>
      </c>
      <c r="K159" s="125">
        <f t="shared" ca="1" si="90"/>
        <v>1404.2950032030235</v>
      </c>
      <c r="L159" s="125">
        <f t="shared" ca="1" si="109"/>
        <v>0</v>
      </c>
      <c r="M159" s="125">
        <f t="shared" ca="1" si="91"/>
        <v>0</v>
      </c>
      <c r="N159" s="125">
        <f t="shared" ca="1" si="92"/>
        <v>1404.2950032030235</v>
      </c>
      <c r="R159">
        <f t="shared" si="110"/>
        <v>152</v>
      </c>
      <c r="U159" s="55"/>
      <c r="V159">
        <f t="shared" si="111"/>
        <v>9</v>
      </c>
      <c r="W159">
        <f t="shared" ca="1" si="112"/>
        <v>2036</v>
      </c>
      <c r="X159" s="123">
        <f t="shared" ca="1" si="93"/>
        <v>49919</v>
      </c>
      <c r="Y159" s="64">
        <f t="shared" ca="1" si="94"/>
        <v>109.18325318364077</v>
      </c>
      <c r="Z159" s="64">
        <f t="shared" ca="1" si="95"/>
        <v>1127.1688401684041</v>
      </c>
      <c r="AA159" s="64">
        <f t="shared" ca="1" si="96"/>
        <v>127.71075687384089</v>
      </c>
      <c r="AB159" s="64">
        <f t="shared" ca="1" si="97"/>
        <v>1318.4401591368312</v>
      </c>
      <c r="AF159" t="str">
        <f t="shared" ca="1" si="78"/>
        <v>112031</v>
      </c>
      <c r="AG159" s="126">
        <f t="shared" ca="1" si="79"/>
        <v>0</v>
      </c>
      <c r="AH159" s="126">
        <f t="shared" ca="1" si="80"/>
        <v>0</v>
      </c>
      <c r="AI159" s="126">
        <f t="shared" ca="1" si="81"/>
        <v>1092.7550987042071</v>
      </c>
      <c r="AJ159" t="str">
        <f t="shared" ca="1" si="82"/>
        <v>92036</v>
      </c>
      <c r="AK159" s="126">
        <f t="shared" ca="1" si="98"/>
        <v>0</v>
      </c>
      <c r="AL159" s="126">
        <f t="shared" ca="1" si="99"/>
        <v>0</v>
      </c>
      <c r="AM159" s="126">
        <f t="shared" ca="1" si="113"/>
        <v>0</v>
      </c>
      <c r="AN159" s="753">
        <f t="shared" ca="1" si="114"/>
        <v>0</v>
      </c>
      <c r="AO159" s="750">
        <f t="shared" ca="1" si="100"/>
        <v>0</v>
      </c>
      <c r="AP159" s="126">
        <f t="shared" ca="1" si="101"/>
        <v>0</v>
      </c>
      <c r="AQ159" s="126">
        <f t="shared" ca="1" si="102"/>
        <v>0</v>
      </c>
      <c r="AR159" s="126">
        <f t="shared" ca="1" si="83"/>
        <v>10000</v>
      </c>
      <c r="AS159" s="750">
        <f t="shared" ca="1" si="84"/>
        <v>0</v>
      </c>
      <c r="AT159" s="750">
        <f t="shared" ca="1" si="85"/>
        <v>0</v>
      </c>
      <c r="AU159" s="126">
        <f t="shared" ca="1" si="103"/>
        <v>1236.3520933520449</v>
      </c>
      <c r="AV159" s="126">
        <f t="shared" ca="1" si="104"/>
        <v>11127.168840168404</v>
      </c>
      <c r="AW159" s="126">
        <f t="shared" ca="1" si="86"/>
        <v>10000</v>
      </c>
      <c r="AX159" s="750">
        <f t="shared" ca="1" si="105"/>
        <v>109.18325318364077</v>
      </c>
      <c r="AY159" s="750">
        <f t="shared" ca="1" si="106"/>
        <v>1127.1688401684041</v>
      </c>
      <c r="AZ159">
        <f t="shared" si="107"/>
        <v>5750</v>
      </c>
    </row>
    <row r="160" spans="4:52">
      <c r="D160">
        <v>153</v>
      </c>
      <c r="E160" s="6">
        <f t="shared" ca="1" si="108"/>
        <v>48122</v>
      </c>
      <c r="F160" s="7">
        <f t="shared" ca="1" si="87"/>
        <v>1.2488629699476652</v>
      </c>
      <c r="G160" s="125">
        <f ca="1">IF('Simulador - 1º Pilar'!$E$99="Sí",IF('Aportaciones PPE'!$B$13&lt;'Aportaciones PPE'!E160,0,F160*$B$8/12),F160*$B$8/12)</f>
        <v>21855.10197408414</v>
      </c>
      <c r="H160" s="125">
        <f t="shared" ca="1" si="77"/>
        <v>1092.7550987042071</v>
      </c>
      <c r="I160" s="125">
        <f t="shared" ca="1" si="88"/>
        <v>0</v>
      </c>
      <c r="J160" s="125">
        <f t="shared" ca="1" si="89"/>
        <v>0</v>
      </c>
      <c r="K160" s="125">
        <f t="shared" ca="1" si="90"/>
        <v>1406.6143105726937</v>
      </c>
      <c r="L160" s="125">
        <f t="shared" ca="1" si="109"/>
        <v>0</v>
      </c>
      <c r="M160" s="125">
        <f t="shared" ca="1" si="91"/>
        <v>0</v>
      </c>
      <c r="N160" s="125">
        <f t="shared" ca="1" si="92"/>
        <v>1406.6143105726937</v>
      </c>
      <c r="R160">
        <f t="shared" si="110"/>
        <v>153</v>
      </c>
      <c r="U160" s="55"/>
      <c r="V160">
        <f t="shared" si="111"/>
        <v>10</v>
      </c>
      <c r="W160">
        <f t="shared" ca="1" si="112"/>
        <v>2036</v>
      </c>
      <c r="X160" s="123">
        <f t="shared" ca="1" si="93"/>
        <v>49949</v>
      </c>
      <c r="Y160" s="64">
        <f t="shared" ca="1" si="94"/>
        <v>0</v>
      </c>
      <c r="Z160" s="64">
        <f t="shared" ca="1" si="95"/>
        <v>1236.3520933520449</v>
      </c>
      <c r="AA160" s="64">
        <f t="shared" ca="1" si="96"/>
        <v>0</v>
      </c>
      <c r="AB160" s="64">
        <f t="shared" ca="1" si="97"/>
        <v>1443.8006646168878</v>
      </c>
      <c r="AF160" t="str">
        <f t="shared" ca="1" si="78"/>
        <v>102031</v>
      </c>
      <c r="AG160" s="126">
        <f t="shared" ca="1" si="79"/>
        <v>0</v>
      </c>
      <c r="AH160" s="126">
        <f t="shared" ca="1" si="80"/>
        <v>0</v>
      </c>
      <c r="AI160" s="126">
        <f t="shared" ca="1" si="81"/>
        <v>1092.7550987042071</v>
      </c>
      <c r="AJ160" t="str">
        <f t="shared" ca="1" si="82"/>
        <v>102036</v>
      </c>
      <c r="AK160" s="126">
        <f t="shared" ca="1" si="98"/>
        <v>0</v>
      </c>
      <c r="AL160" s="126">
        <f t="shared" ca="1" si="99"/>
        <v>0</v>
      </c>
      <c r="AM160" s="126">
        <f t="shared" ca="1" si="113"/>
        <v>0</v>
      </c>
      <c r="AN160" s="753">
        <f t="shared" ca="1" si="114"/>
        <v>0</v>
      </c>
      <c r="AO160" s="750">
        <f t="shared" ca="1" si="100"/>
        <v>0</v>
      </c>
      <c r="AP160" s="126">
        <f t="shared" ca="1" si="101"/>
        <v>0</v>
      </c>
      <c r="AQ160" s="126">
        <f t="shared" ca="1" si="102"/>
        <v>0</v>
      </c>
      <c r="AR160" s="126">
        <f t="shared" ca="1" si="83"/>
        <v>10000</v>
      </c>
      <c r="AS160" s="750">
        <f t="shared" ca="1" si="84"/>
        <v>0</v>
      </c>
      <c r="AT160" s="750">
        <f t="shared" ca="1" si="85"/>
        <v>0</v>
      </c>
      <c r="AU160" s="126">
        <f t="shared" ca="1" si="103"/>
        <v>1236.3520933520449</v>
      </c>
      <c r="AV160" s="126">
        <f t="shared" ca="1" si="104"/>
        <v>12363.520933520449</v>
      </c>
      <c r="AW160" s="126">
        <f t="shared" ca="1" si="86"/>
        <v>10000</v>
      </c>
      <c r="AX160" s="750">
        <f t="shared" ca="1" si="105"/>
        <v>0</v>
      </c>
      <c r="AY160" s="750">
        <f t="shared" ca="1" si="106"/>
        <v>1236.3520933520449</v>
      </c>
      <c r="AZ160">
        <f t="shared" si="107"/>
        <v>5750</v>
      </c>
    </row>
    <row r="161" spans="4:52">
      <c r="D161">
        <v>154</v>
      </c>
      <c r="E161" s="6">
        <f t="shared" ca="1" si="108"/>
        <v>48092</v>
      </c>
      <c r="F161" s="7">
        <f t="shared" ca="1" si="87"/>
        <v>1.2488629699476652</v>
      </c>
      <c r="G161" s="125">
        <f ca="1">IF('Simulador - 1º Pilar'!$E$99="Sí",IF('Aportaciones PPE'!$B$13&lt;'Aportaciones PPE'!E161,0,F161*$B$8/12),F161*$B$8/12)</f>
        <v>21855.10197408414</v>
      </c>
      <c r="H161" s="125">
        <f t="shared" ca="1" si="77"/>
        <v>1092.7550987042071</v>
      </c>
      <c r="I161" s="125">
        <f t="shared" ca="1" si="88"/>
        <v>0</v>
      </c>
      <c r="J161" s="125">
        <f t="shared" ca="1" si="89"/>
        <v>0</v>
      </c>
      <c r="K161" s="125">
        <f t="shared" ca="1" si="90"/>
        <v>1408.9374484670489</v>
      </c>
      <c r="L161" s="125">
        <f t="shared" ca="1" si="109"/>
        <v>0</v>
      </c>
      <c r="M161" s="125">
        <f t="shared" ca="1" si="91"/>
        <v>0</v>
      </c>
      <c r="N161" s="125">
        <f t="shared" ca="1" si="92"/>
        <v>1408.9374484670489</v>
      </c>
      <c r="R161">
        <f t="shared" si="110"/>
        <v>154</v>
      </c>
      <c r="U161" s="55"/>
      <c r="V161">
        <f t="shared" si="111"/>
        <v>11</v>
      </c>
      <c r="W161">
        <f t="shared" ca="1" si="112"/>
        <v>2036</v>
      </c>
      <c r="X161" s="123">
        <f t="shared" ca="1" si="93"/>
        <v>49980</v>
      </c>
      <c r="Y161" s="64">
        <f t="shared" ca="1" si="94"/>
        <v>0</v>
      </c>
      <c r="Z161" s="64">
        <f t="shared" ca="1" si="95"/>
        <v>1236.3520933520449</v>
      </c>
      <c r="AA161" s="64">
        <f t="shared" ca="1" si="96"/>
        <v>0</v>
      </c>
      <c r="AB161" s="64">
        <f t="shared" ca="1" si="97"/>
        <v>1441.376084113029</v>
      </c>
      <c r="AF161" t="str">
        <f t="shared" ca="1" si="78"/>
        <v>92031</v>
      </c>
      <c r="AG161" s="126">
        <f t="shared" ca="1" si="79"/>
        <v>0</v>
      </c>
      <c r="AH161" s="126">
        <f t="shared" ca="1" si="80"/>
        <v>0</v>
      </c>
      <c r="AI161" s="126">
        <f t="shared" ca="1" si="81"/>
        <v>1092.7550987042071</v>
      </c>
      <c r="AJ161" t="str">
        <f t="shared" ca="1" si="82"/>
        <v>112036</v>
      </c>
      <c r="AK161" s="126">
        <f t="shared" ca="1" si="98"/>
        <v>0</v>
      </c>
      <c r="AL161" s="126">
        <f t="shared" ca="1" si="99"/>
        <v>0</v>
      </c>
      <c r="AM161" s="126">
        <f t="shared" ca="1" si="113"/>
        <v>0</v>
      </c>
      <c r="AN161" s="753">
        <f t="shared" ca="1" si="114"/>
        <v>0</v>
      </c>
      <c r="AO161" s="750">
        <f t="shared" ca="1" si="100"/>
        <v>0</v>
      </c>
      <c r="AP161" s="126">
        <f t="shared" ca="1" si="101"/>
        <v>0</v>
      </c>
      <c r="AQ161" s="126">
        <f t="shared" ca="1" si="102"/>
        <v>0</v>
      </c>
      <c r="AR161" s="126">
        <f t="shared" ca="1" si="83"/>
        <v>10000</v>
      </c>
      <c r="AS161" s="750">
        <f t="shared" ca="1" si="84"/>
        <v>0</v>
      </c>
      <c r="AT161" s="750">
        <f t="shared" ca="1" si="85"/>
        <v>0</v>
      </c>
      <c r="AU161" s="126">
        <f t="shared" ca="1" si="103"/>
        <v>1236.3520933520449</v>
      </c>
      <c r="AV161" s="126">
        <f t="shared" ca="1" si="104"/>
        <v>13599.873026872494</v>
      </c>
      <c r="AW161" s="126">
        <f t="shared" ca="1" si="86"/>
        <v>10000</v>
      </c>
      <c r="AX161" s="750">
        <f t="shared" ca="1" si="105"/>
        <v>0</v>
      </c>
      <c r="AY161" s="750">
        <f t="shared" ca="1" si="106"/>
        <v>1236.3520933520449</v>
      </c>
      <c r="AZ161">
        <f t="shared" si="107"/>
        <v>5750</v>
      </c>
    </row>
    <row r="162" spans="4:52">
      <c r="D162">
        <v>155</v>
      </c>
      <c r="E162" s="6">
        <f t="shared" ca="1" si="108"/>
        <v>48061</v>
      </c>
      <c r="F162" s="7">
        <f t="shared" ca="1" si="87"/>
        <v>1.2488629699476652</v>
      </c>
      <c r="G162" s="125">
        <f ca="1">IF('Simulador - 1º Pilar'!$E$99="Sí",IF('Aportaciones PPE'!$B$13&lt;'Aportaciones PPE'!E162,0,F162*$B$8/12),F162*$B$8/12)</f>
        <v>21855.10197408414</v>
      </c>
      <c r="H162" s="125">
        <f t="shared" ca="1" si="77"/>
        <v>1092.7550987042071</v>
      </c>
      <c r="I162" s="125">
        <f t="shared" ca="1" si="88"/>
        <v>0</v>
      </c>
      <c r="J162" s="125">
        <f t="shared" ca="1" si="89"/>
        <v>0</v>
      </c>
      <c r="K162" s="125">
        <f t="shared" ca="1" si="90"/>
        <v>1411.2644232125122</v>
      </c>
      <c r="L162" s="125">
        <f t="shared" ca="1" si="109"/>
        <v>0</v>
      </c>
      <c r="M162" s="125">
        <f t="shared" ca="1" si="91"/>
        <v>0</v>
      </c>
      <c r="N162" s="125">
        <f t="shared" ca="1" si="92"/>
        <v>1411.2644232125122</v>
      </c>
      <c r="R162">
        <f t="shared" si="110"/>
        <v>155</v>
      </c>
      <c r="U162" s="55"/>
      <c r="V162">
        <f t="shared" si="111"/>
        <v>12</v>
      </c>
      <c r="W162">
        <f t="shared" ca="1" si="112"/>
        <v>2036</v>
      </c>
      <c r="X162" s="123">
        <f t="shared" ca="1" si="93"/>
        <v>50010</v>
      </c>
      <c r="Y162" s="64">
        <f t="shared" ca="1" si="94"/>
        <v>0</v>
      </c>
      <c r="Z162" s="64">
        <f t="shared" ca="1" si="95"/>
        <v>1236.3520933520449</v>
      </c>
      <c r="AA162" s="64">
        <f t="shared" ca="1" si="96"/>
        <v>0</v>
      </c>
      <c r="AB162" s="64">
        <f t="shared" ca="1" si="97"/>
        <v>1439.0335926668397</v>
      </c>
      <c r="AF162" t="str">
        <f t="shared" ca="1" si="78"/>
        <v>82031</v>
      </c>
      <c r="AG162" s="126">
        <f t="shared" ca="1" si="79"/>
        <v>0</v>
      </c>
      <c r="AH162" s="126">
        <f t="shared" ca="1" si="80"/>
        <v>0</v>
      </c>
      <c r="AI162" s="126">
        <f t="shared" ca="1" si="81"/>
        <v>1092.7550987042071</v>
      </c>
      <c r="AJ162" t="str">
        <f t="shared" ca="1" si="82"/>
        <v>122036</v>
      </c>
      <c r="AK162" s="126">
        <f t="shared" ca="1" si="98"/>
        <v>0</v>
      </c>
      <c r="AL162" s="126">
        <f t="shared" ca="1" si="99"/>
        <v>0</v>
      </c>
      <c r="AM162" s="126">
        <f t="shared" ca="1" si="113"/>
        <v>0</v>
      </c>
      <c r="AN162" s="753">
        <f t="shared" ca="1" si="114"/>
        <v>0</v>
      </c>
      <c r="AO162" s="750">
        <f t="shared" ca="1" si="100"/>
        <v>0</v>
      </c>
      <c r="AP162" s="126">
        <f t="shared" ca="1" si="101"/>
        <v>0</v>
      </c>
      <c r="AQ162" s="126">
        <f t="shared" ca="1" si="102"/>
        <v>0</v>
      </c>
      <c r="AR162" s="126">
        <f t="shared" ca="1" si="83"/>
        <v>10000</v>
      </c>
      <c r="AS162" s="750">
        <f t="shared" ca="1" si="84"/>
        <v>0</v>
      </c>
      <c r="AT162" s="750">
        <f t="shared" ca="1" si="85"/>
        <v>0</v>
      </c>
      <c r="AU162" s="126">
        <f t="shared" ca="1" si="103"/>
        <v>1236.3520933520449</v>
      </c>
      <c r="AV162" s="126">
        <f t="shared" ca="1" si="104"/>
        <v>14836.225120224539</v>
      </c>
      <c r="AW162" s="126">
        <f t="shared" ca="1" si="86"/>
        <v>10000</v>
      </c>
      <c r="AX162" s="750">
        <f t="shared" ca="1" si="105"/>
        <v>0</v>
      </c>
      <c r="AY162" s="750">
        <f t="shared" ca="1" si="106"/>
        <v>1236.3520933520449</v>
      </c>
      <c r="AZ162">
        <f t="shared" si="107"/>
        <v>5750</v>
      </c>
    </row>
    <row r="163" spans="4:52">
      <c r="D163">
        <v>156</v>
      </c>
      <c r="E163" s="6">
        <f t="shared" ca="1" si="108"/>
        <v>48030</v>
      </c>
      <c r="F163" s="7">
        <f t="shared" ca="1" si="87"/>
        <v>1.2488629699476652</v>
      </c>
      <c r="G163" s="125">
        <f ca="1">IF('Simulador - 1º Pilar'!$E$99="Sí",IF('Aportaciones PPE'!$B$13&lt;'Aportaciones PPE'!E163,0,F163*$B$8/12),F163*$B$8/12)</f>
        <v>21855.10197408414</v>
      </c>
      <c r="H163" s="125">
        <f t="shared" ca="1" si="77"/>
        <v>1092.7550987042071</v>
      </c>
      <c r="I163" s="125">
        <f t="shared" ca="1" si="88"/>
        <v>0</v>
      </c>
      <c r="J163" s="125">
        <f t="shared" ca="1" si="89"/>
        <v>0</v>
      </c>
      <c r="K163" s="125">
        <f t="shared" ca="1" si="90"/>
        <v>1413.5952411459546</v>
      </c>
      <c r="L163" s="125">
        <f t="shared" ca="1" si="109"/>
        <v>0</v>
      </c>
      <c r="M163" s="125">
        <f t="shared" ca="1" si="91"/>
        <v>0</v>
      </c>
      <c r="N163" s="125">
        <f t="shared" ca="1" si="92"/>
        <v>1413.5952411459546</v>
      </c>
      <c r="R163">
        <f t="shared" si="110"/>
        <v>156</v>
      </c>
      <c r="U163" s="55"/>
      <c r="V163">
        <f t="shared" si="111"/>
        <v>1</v>
      </c>
      <c r="W163">
        <f t="shared" ca="1" si="112"/>
        <v>2037</v>
      </c>
      <c r="X163" s="123">
        <f t="shared" ca="1" si="93"/>
        <v>50041</v>
      </c>
      <c r="Y163" s="64">
        <f t="shared" ca="1" si="94"/>
        <v>1267.260895685846</v>
      </c>
      <c r="Z163" s="64">
        <f t="shared" ca="1" si="95"/>
        <v>0</v>
      </c>
      <c r="AA163" s="64">
        <f t="shared" ca="1" si="96"/>
        <v>1472.5324429650466</v>
      </c>
      <c r="AB163" s="64">
        <f t="shared" ca="1" si="97"/>
        <v>0</v>
      </c>
      <c r="AF163" t="str">
        <f t="shared" ca="1" si="78"/>
        <v>72031</v>
      </c>
      <c r="AG163" s="126">
        <f t="shared" ca="1" si="79"/>
        <v>0</v>
      </c>
      <c r="AH163" s="126">
        <f t="shared" ca="1" si="80"/>
        <v>0</v>
      </c>
      <c r="AI163" s="126">
        <f t="shared" ca="1" si="81"/>
        <v>1092.7550987042071</v>
      </c>
      <c r="AJ163" t="str">
        <f t="shared" ca="1" si="82"/>
        <v>12037</v>
      </c>
      <c r="AK163" s="126">
        <f t="shared" ca="1" si="98"/>
        <v>0</v>
      </c>
      <c r="AL163" s="126">
        <f t="shared" ca="1" si="99"/>
        <v>0</v>
      </c>
      <c r="AM163" s="126">
        <f t="shared" ca="1" si="113"/>
        <v>0</v>
      </c>
      <c r="AN163" s="753">
        <f t="shared" ca="1" si="114"/>
        <v>0</v>
      </c>
      <c r="AO163" s="750">
        <f t="shared" ca="1" si="100"/>
        <v>0</v>
      </c>
      <c r="AP163" s="126">
        <f t="shared" ca="1" si="101"/>
        <v>0</v>
      </c>
      <c r="AQ163" s="126">
        <f t="shared" ca="1" si="102"/>
        <v>0</v>
      </c>
      <c r="AR163" s="126">
        <f t="shared" ca="1" si="83"/>
        <v>10000</v>
      </c>
      <c r="AS163" s="750">
        <f t="shared" ca="1" si="84"/>
        <v>0</v>
      </c>
      <c r="AT163" s="750">
        <f t="shared" ca="1" si="85"/>
        <v>0</v>
      </c>
      <c r="AU163" s="126">
        <f t="shared" ca="1" si="103"/>
        <v>1267.260895685846</v>
      </c>
      <c r="AV163" s="126">
        <f t="shared" ca="1" si="104"/>
        <v>1267.260895685846</v>
      </c>
      <c r="AW163" s="126">
        <f t="shared" ca="1" si="86"/>
        <v>10000</v>
      </c>
      <c r="AX163" s="750">
        <f t="shared" ca="1" si="105"/>
        <v>1267.260895685846</v>
      </c>
      <c r="AY163" s="750">
        <f t="shared" ca="1" si="106"/>
        <v>0</v>
      </c>
      <c r="AZ163">
        <f t="shared" si="107"/>
        <v>5750</v>
      </c>
    </row>
    <row r="164" spans="4:52">
      <c r="D164">
        <v>157</v>
      </c>
      <c r="E164" s="6">
        <f t="shared" ca="1" si="108"/>
        <v>48000</v>
      </c>
      <c r="F164" s="7">
        <f t="shared" ca="1" si="87"/>
        <v>1.2488629699476652</v>
      </c>
      <c r="G164" s="125">
        <f ca="1">IF('Simulador - 1º Pilar'!$E$99="Sí",IF('Aportaciones PPE'!$B$13&lt;'Aportaciones PPE'!E164,0,F164*$B$8/12),F164*$B$8/12)</f>
        <v>21855.10197408414</v>
      </c>
      <c r="H164" s="125">
        <f t="shared" ca="1" si="77"/>
        <v>1092.7550987042071</v>
      </c>
      <c r="I164" s="125">
        <f t="shared" ca="1" si="88"/>
        <v>0</v>
      </c>
      <c r="J164" s="125">
        <f t="shared" ca="1" si="89"/>
        <v>0</v>
      </c>
      <c r="K164" s="125">
        <f t="shared" ca="1" si="90"/>
        <v>1415.929908614715</v>
      </c>
      <c r="L164" s="125">
        <f t="shared" ca="1" si="109"/>
        <v>0</v>
      </c>
      <c r="M164" s="125">
        <f t="shared" ca="1" si="91"/>
        <v>0</v>
      </c>
      <c r="N164" s="125">
        <f t="shared" ca="1" si="92"/>
        <v>1415.929908614715</v>
      </c>
      <c r="R164">
        <f t="shared" si="110"/>
        <v>157</v>
      </c>
      <c r="U164" s="55"/>
      <c r="V164">
        <f t="shared" si="111"/>
        <v>2</v>
      </c>
      <c r="W164">
        <f t="shared" ca="1" si="112"/>
        <v>2037</v>
      </c>
      <c r="X164" s="123">
        <f t="shared" ca="1" si="93"/>
        <v>50072</v>
      </c>
      <c r="Y164" s="64">
        <f t="shared" ca="1" si="94"/>
        <v>1267.260895685846</v>
      </c>
      <c r="Z164" s="64">
        <f t="shared" ca="1" si="95"/>
        <v>0</v>
      </c>
      <c r="AA164" s="64">
        <f t="shared" ca="1" si="96"/>
        <v>1470.0596130654565</v>
      </c>
      <c r="AB164" s="64">
        <f t="shared" ca="1" si="97"/>
        <v>0</v>
      </c>
      <c r="AF164" t="str">
        <f t="shared" ca="1" si="78"/>
        <v>62031</v>
      </c>
      <c r="AG164" s="126">
        <f t="shared" ca="1" si="79"/>
        <v>0</v>
      </c>
      <c r="AH164" s="126">
        <f t="shared" ca="1" si="80"/>
        <v>0</v>
      </c>
      <c r="AI164" s="126">
        <f t="shared" ca="1" si="81"/>
        <v>1092.7550987042071</v>
      </c>
      <c r="AJ164" t="str">
        <f t="shared" ca="1" si="82"/>
        <v>22037</v>
      </c>
      <c r="AK164" s="126">
        <f t="shared" ca="1" si="98"/>
        <v>0</v>
      </c>
      <c r="AL164" s="126">
        <f t="shared" ca="1" si="99"/>
        <v>0</v>
      </c>
      <c r="AM164" s="126">
        <f t="shared" ca="1" si="113"/>
        <v>0</v>
      </c>
      <c r="AN164" s="753">
        <f t="shared" ca="1" si="114"/>
        <v>0</v>
      </c>
      <c r="AO164" s="750">
        <f t="shared" ca="1" si="100"/>
        <v>0</v>
      </c>
      <c r="AP164" s="126">
        <f t="shared" ca="1" si="101"/>
        <v>0</v>
      </c>
      <c r="AQ164" s="126">
        <f t="shared" ca="1" si="102"/>
        <v>0</v>
      </c>
      <c r="AR164" s="126">
        <f t="shared" ca="1" si="83"/>
        <v>10000</v>
      </c>
      <c r="AS164" s="750">
        <f t="shared" ca="1" si="84"/>
        <v>0</v>
      </c>
      <c r="AT164" s="750">
        <f t="shared" ca="1" si="85"/>
        <v>0</v>
      </c>
      <c r="AU164" s="126">
        <f t="shared" ca="1" si="103"/>
        <v>1267.260895685846</v>
      </c>
      <c r="AV164" s="126">
        <f t="shared" ca="1" si="104"/>
        <v>2534.521791371692</v>
      </c>
      <c r="AW164" s="126">
        <f t="shared" ca="1" si="86"/>
        <v>10000</v>
      </c>
      <c r="AX164" s="750">
        <f t="shared" ca="1" si="105"/>
        <v>1267.260895685846</v>
      </c>
      <c r="AY164" s="750">
        <f t="shared" ca="1" si="106"/>
        <v>0</v>
      </c>
      <c r="AZ164">
        <f t="shared" si="107"/>
        <v>5750</v>
      </c>
    </row>
    <row r="165" spans="4:52">
      <c r="D165">
        <v>158</v>
      </c>
      <c r="E165" s="6">
        <f t="shared" ca="1" si="108"/>
        <v>47969</v>
      </c>
      <c r="F165" s="7">
        <f t="shared" ca="1" si="87"/>
        <v>1.2488629699476652</v>
      </c>
      <c r="G165" s="125">
        <f ca="1">IF('Simulador - 1º Pilar'!$E$99="Sí",IF('Aportaciones PPE'!$B$13&lt;'Aportaciones PPE'!E165,0,F165*$B$8/12),F165*$B$8/12)</f>
        <v>21855.10197408414</v>
      </c>
      <c r="H165" s="125">
        <f t="shared" ca="1" si="77"/>
        <v>1092.7550987042071</v>
      </c>
      <c r="I165" s="125">
        <f t="shared" ca="1" si="88"/>
        <v>0</v>
      </c>
      <c r="J165" s="125">
        <f t="shared" ca="1" si="89"/>
        <v>0</v>
      </c>
      <c r="K165" s="125">
        <f t="shared" ca="1" si="90"/>
        <v>1418.2684319766126</v>
      </c>
      <c r="L165" s="125">
        <f t="shared" ca="1" si="109"/>
        <v>0</v>
      </c>
      <c r="M165" s="125">
        <f t="shared" ca="1" si="91"/>
        <v>0</v>
      </c>
      <c r="N165" s="125">
        <f t="shared" ca="1" si="92"/>
        <v>1418.2684319766126</v>
      </c>
      <c r="R165">
        <f t="shared" si="110"/>
        <v>158</v>
      </c>
      <c r="U165" s="55"/>
      <c r="V165">
        <f t="shared" si="111"/>
        <v>3</v>
      </c>
      <c r="W165">
        <f t="shared" ca="1" si="112"/>
        <v>2037</v>
      </c>
      <c r="X165" s="123">
        <f t="shared" ca="1" si="93"/>
        <v>50100</v>
      </c>
      <c r="Y165" s="64">
        <f t="shared" ca="1" si="94"/>
        <v>1267.260895685846</v>
      </c>
      <c r="Z165" s="64">
        <f t="shared" ca="1" si="95"/>
        <v>0</v>
      </c>
      <c r="AA165" s="64">
        <f t="shared" ca="1" si="96"/>
        <v>1467.8296587557927</v>
      </c>
      <c r="AB165" s="64">
        <f t="shared" ca="1" si="97"/>
        <v>0</v>
      </c>
      <c r="AF165" t="str">
        <f t="shared" ca="1" si="78"/>
        <v>52031</v>
      </c>
      <c r="AG165" s="126">
        <f t="shared" ca="1" si="79"/>
        <v>0</v>
      </c>
      <c r="AH165" s="126">
        <f t="shared" ca="1" si="80"/>
        <v>0</v>
      </c>
      <c r="AI165" s="126">
        <f t="shared" ca="1" si="81"/>
        <v>1092.7550987042071</v>
      </c>
      <c r="AJ165" t="str">
        <f t="shared" ca="1" si="82"/>
        <v>32037</v>
      </c>
      <c r="AK165" s="126">
        <f t="shared" ca="1" si="98"/>
        <v>0</v>
      </c>
      <c r="AL165" s="126">
        <f t="shared" ca="1" si="99"/>
        <v>0</v>
      </c>
      <c r="AM165" s="126">
        <f t="shared" ca="1" si="113"/>
        <v>0</v>
      </c>
      <c r="AN165" s="753">
        <f t="shared" ca="1" si="114"/>
        <v>0</v>
      </c>
      <c r="AO165" s="750">
        <f t="shared" ca="1" si="100"/>
        <v>0</v>
      </c>
      <c r="AP165" s="126">
        <f t="shared" ca="1" si="101"/>
        <v>0</v>
      </c>
      <c r="AQ165" s="126">
        <f t="shared" ca="1" si="102"/>
        <v>0</v>
      </c>
      <c r="AR165" s="126">
        <f t="shared" ca="1" si="83"/>
        <v>10000</v>
      </c>
      <c r="AS165" s="750">
        <f t="shared" ca="1" si="84"/>
        <v>0</v>
      </c>
      <c r="AT165" s="750">
        <f t="shared" ca="1" si="85"/>
        <v>0</v>
      </c>
      <c r="AU165" s="126">
        <f t="shared" ca="1" si="103"/>
        <v>1267.260895685846</v>
      </c>
      <c r="AV165" s="126">
        <f t="shared" ca="1" si="104"/>
        <v>3801.7826870575382</v>
      </c>
      <c r="AW165" s="126">
        <f t="shared" ca="1" si="86"/>
        <v>10000</v>
      </c>
      <c r="AX165" s="750">
        <f t="shared" ca="1" si="105"/>
        <v>1267.260895685846</v>
      </c>
      <c r="AY165" s="750">
        <f t="shared" ca="1" si="106"/>
        <v>0</v>
      </c>
      <c r="AZ165">
        <f t="shared" si="107"/>
        <v>5750</v>
      </c>
    </row>
    <row r="166" spans="4:52">
      <c r="D166">
        <v>159</v>
      </c>
      <c r="E166" s="6">
        <f t="shared" ca="1" si="108"/>
        <v>47939</v>
      </c>
      <c r="F166" s="7">
        <f t="shared" ca="1" si="87"/>
        <v>1.2488629699476652</v>
      </c>
      <c r="G166" s="125">
        <f ca="1">IF('Simulador - 1º Pilar'!$E$99="Sí",IF('Aportaciones PPE'!$B$13&lt;'Aportaciones PPE'!E166,0,F166*$B$8/12),F166*$B$8/12)</f>
        <v>21855.10197408414</v>
      </c>
      <c r="H166" s="125">
        <f t="shared" ca="1" si="77"/>
        <v>1092.7550987042071</v>
      </c>
      <c r="I166" s="125">
        <f t="shared" ca="1" si="88"/>
        <v>0</v>
      </c>
      <c r="J166" s="125">
        <f t="shared" ca="1" si="89"/>
        <v>0</v>
      </c>
      <c r="K166" s="125">
        <f t="shared" ca="1" si="90"/>
        <v>1420.6108175999691</v>
      </c>
      <c r="L166" s="125">
        <f t="shared" ca="1" si="109"/>
        <v>0</v>
      </c>
      <c r="M166" s="125">
        <f t="shared" ca="1" si="91"/>
        <v>0</v>
      </c>
      <c r="N166" s="125">
        <f t="shared" ca="1" si="92"/>
        <v>1420.6108175999691</v>
      </c>
      <c r="R166">
        <f t="shared" si="110"/>
        <v>159</v>
      </c>
      <c r="U166" s="55"/>
      <c r="V166">
        <f t="shared" si="111"/>
        <v>4</v>
      </c>
      <c r="W166">
        <f t="shared" ca="1" si="112"/>
        <v>2037</v>
      </c>
      <c r="X166" s="123">
        <f t="shared" ca="1" si="93"/>
        <v>50131</v>
      </c>
      <c r="Y166" s="64">
        <f t="shared" ca="1" si="94"/>
        <v>1267.260895685846</v>
      </c>
      <c r="Z166" s="64">
        <f t="shared" ca="1" si="95"/>
        <v>0</v>
      </c>
      <c r="AA166" s="64">
        <f t="shared" ca="1" si="96"/>
        <v>1465.3647262614243</v>
      </c>
      <c r="AB166" s="64">
        <f t="shared" ca="1" si="97"/>
        <v>0</v>
      </c>
      <c r="AF166" t="str">
        <f t="shared" ca="1" si="78"/>
        <v>42031</v>
      </c>
      <c r="AG166" s="126">
        <f t="shared" ca="1" si="79"/>
        <v>0</v>
      </c>
      <c r="AH166" s="126">
        <f t="shared" ca="1" si="80"/>
        <v>0</v>
      </c>
      <c r="AI166" s="126">
        <f t="shared" ca="1" si="81"/>
        <v>1092.7550987042071</v>
      </c>
      <c r="AJ166" t="str">
        <f t="shared" ca="1" si="82"/>
        <v>42037</v>
      </c>
      <c r="AK166" s="126">
        <f t="shared" ca="1" si="98"/>
        <v>0</v>
      </c>
      <c r="AL166" s="126">
        <f t="shared" ca="1" si="99"/>
        <v>0</v>
      </c>
      <c r="AM166" s="126">
        <f t="shared" ca="1" si="113"/>
        <v>0</v>
      </c>
      <c r="AN166" s="753">
        <f t="shared" ca="1" si="114"/>
        <v>0</v>
      </c>
      <c r="AO166" s="750">
        <f t="shared" ca="1" si="100"/>
        <v>0</v>
      </c>
      <c r="AP166" s="126">
        <f t="shared" ca="1" si="101"/>
        <v>0</v>
      </c>
      <c r="AQ166" s="126">
        <f t="shared" ca="1" si="102"/>
        <v>0</v>
      </c>
      <c r="AR166" s="126">
        <f t="shared" ca="1" si="83"/>
        <v>10000</v>
      </c>
      <c r="AS166" s="750">
        <f t="shared" ca="1" si="84"/>
        <v>0</v>
      </c>
      <c r="AT166" s="750">
        <f t="shared" ca="1" si="85"/>
        <v>0</v>
      </c>
      <c r="AU166" s="126">
        <f t="shared" ca="1" si="103"/>
        <v>1267.260895685846</v>
      </c>
      <c r="AV166" s="126">
        <f t="shared" ca="1" si="104"/>
        <v>5069.0435827433839</v>
      </c>
      <c r="AW166" s="126">
        <f t="shared" ca="1" si="86"/>
        <v>10000</v>
      </c>
      <c r="AX166" s="750">
        <f t="shared" ca="1" si="105"/>
        <v>1267.260895685846</v>
      </c>
      <c r="AY166" s="750">
        <f t="shared" ca="1" si="106"/>
        <v>0</v>
      </c>
      <c r="AZ166">
        <f t="shared" si="107"/>
        <v>5750</v>
      </c>
    </row>
    <row r="167" spans="4:52">
      <c r="D167">
        <v>160</v>
      </c>
      <c r="E167" s="6">
        <f t="shared" ca="1" si="108"/>
        <v>47908</v>
      </c>
      <c r="F167" s="7">
        <f t="shared" ca="1" si="87"/>
        <v>1.2488629699476652</v>
      </c>
      <c r="G167" s="125">
        <f ca="1">IF('Simulador - 1º Pilar'!$E$99="Sí",IF('Aportaciones PPE'!$B$13&lt;'Aportaciones PPE'!E167,0,F167*$B$8/12),F167*$B$8/12)</f>
        <v>21855.10197408414</v>
      </c>
      <c r="H167" s="125">
        <f t="shared" ca="1" si="77"/>
        <v>1092.7550987042071</v>
      </c>
      <c r="I167" s="125">
        <f t="shared" ca="1" si="88"/>
        <v>0</v>
      </c>
      <c r="J167" s="125">
        <f t="shared" ca="1" si="89"/>
        <v>0</v>
      </c>
      <c r="K167" s="125">
        <f t="shared" ca="1" si="90"/>
        <v>1422.9570718636228</v>
      </c>
      <c r="L167" s="125">
        <f t="shared" ca="1" si="109"/>
        <v>0</v>
      </c>
      <c r="M167" s="125">
        <f t="shared" ca="1" si="91"/>
        <v>0</v>
      </c>
      <c r="N167" s="125">
        <f t="shared" ca="1" si="92"/>
        <v>1422.9570718636228</v>
      </c>
      <c r="R167">
        <f t="shared" si="110"/>
        <v>160</v>
      </c>
      <c r="U167" s="55"/>
      <c r="V167">
        <f t="shared" si="111"/>
        <v>5</v>
      </c>
      <c r="W167">
        <f t="shared" ca="1" si="112"/>
        <v>2037</v>
      </c>
      <c r="X167" s="123">
        <f t="shared" ca="1" si="93"/>
        <v>50161</v>
      </c>
      <c r="Y167" s="64">
        <f t="shared" ca="1" si="94"/>
        <v>1267.260895685846</v>
      </c>
      <c r="Z167" s="64">
        <f t="shared" ca="1" si="95"/>
        <v>0</v>
      </c>
      <c r="AA167" s="64">
        <f t="shared" ca="1" si="96"/>
        <v>1462.9832490226595</v>
      </c>
      <c r="AB167" s="64">
        <f t="shared" ca="1" si="97"/>
        <v>0</v>
      </c>
      <c r="AF167" t="str">
        <f t="shared" ca="1" si="78"/>
        <v>32031</v>
      </c>
      <c r="AG167" s="126">
        <f t="shared" ca="1" si="79"/>
        <v>0</v>
      </c>
      <c r="AH167" s="126">
        <f t="shared" ca="1" si="80"/>
        <v>0</v>
      </c>
      <c r="AI167" s="126">
        <f t="shared" ca="1" si="81"/>
        <v>1092.7550987042071</v>
      </c>
      <c r="AJ167" t="str">
        <f t="shared" ca="1" si="82"/>
        <v>52037</v>
      </c>
      <c r="AK167" s="126">
        <f t="shared" ca="1" si="98"/>
        <v>0</v>
      </c>
      <c r="AL167" s="126">
        <f t="shared" ca="1" si="99"/>
        <v>0</v>
      </c>
      <c r="AM167" s="126">
        <f t="shared" ca="1" si="113"/>
        <v>0</v>
      </c>
      <c r="AN167" s="753">
        <f t="shared" ca="1" si="114"/>
        <v>0</v>
      </c>
      <c r="AO167" s="750">
        <f t="shared" ca="1" si="100"/>
        <v>0</v>
      </c>
      <c r="AP167" s="126">
        <f t="shared" ca="1" si="101"/>
        <v>0</v>
      </c>
      <c r="AQ167" s="126">
        <f t="shared" ca="1" si="102"/>
        <v>0</v>
      </c>
      <c r="AR167" s="126">
        <f t="shared" ca="1" si="83"/>
        <v>10000</v>
      </c>
      <c r="AS167" s="750">
        <f t="shared" ca="1" si="84"/>
        <v>0</v>
      </c>
      <c r="AT167" s="750">
        <f t="shared" ca="1" si="85"/>
        <v>0</v>
      </c>
      <c r="AU167" s="126">
        <f t="shared" ca="1" si="103"/>
        <v>1267.260895685846</v>
      </c>
      <c r="AV167" s="126">
        <f t="shared" ca="1" si="104"/>
        <v>6336.3044784292297</v>
      </c>
      <c r="AW167" s="126">
        <f t="shared" ca="1" si="86"/>
        <v>10000</v>
      </c>
      <c r="AX167" s="750">
        <f t="shared" ca="1" si="105"/>
        <v>1267.260895685846</v>
      </c>
      <c r="AY167" s="750">
        <f t="shared" ca="1" si="106"/>
        <v>0</v>
      </c>
      <c r="AZ167">
        <f t="shared" si="107"/>
        <v>5750</v>
      </c>
    </row>
    <row r="168" spans="4:52">
      <c r="D168">
        <v>161</v>
      </c>
      <c r="E168" s="6">
        <f t="shared" ca="1" si="108"/>
        <v>47880</v>
      </c>
      <c r="F168" s="7">
        <f t="shared" ca="1" si="87"/>
        <v>1.2488629699476652</v>
      </c>
      <c r="G168" s="125">
        <f ca="1">IF('Simulador - 1º Pilar'!$E$99="Sí",IF('Aportaciones PPE'!$B$13&lt;'Aportaciones PPE'!E168,0,F168*$B$8/12),F168*$B$8/12)</f>
        <v>21855.10197408414</v>
      </c>
      <c r="H168" s="125">
        <f t="shared" ca="1" si="77"/>
        <v>1092.7550987042071</v>
      </c>
      <c r="I168" s="125">
        <f t="shared" ca="1" si="88"/>
        <v>0</v>
      </c>
      <c r="J168" s="125">
        <f t="shared" ca="1" si="89"/>
        <v>0</v>
      </c>
      <c r="K168" s="125">
        <f t="shared" ca="1" si="90"/>
        <v>1425.3072011569477</v>
      </c>
      <c r="L168" s="125">
        <f t="shared" ca="1" si="109"/>
        <v>0</v>
      </c>
      <c r="M168" s="125">
        <f t="shared" ca="1" si="91"/>
        <v>0</v>
      </c>
      <c r="N168" s="125">
        <f t="shared" ca="1" si="92"/>
        <v>1425.3072011569477</v>
      </c>
      <c r="R168">
        <f t="shared" si="110"/>
        <v>161</v>
      </c>
      <c r="U168" s="55"/>
      <c r="V168">
        <f t="shared" si="111"/>
        <v>6</v>
      </c>
      <c r="W168">
        <f t="shared" ca="1" si="112"/>
        <v>2037</v>
      </c>
      <c r="X168" s="123">
        <f t="shared" ca="1" si="93"/>
        <v>50192</v>
      </c>
      <c r="Y168" s="64">
        <f t="shared" ca="1" si="94"/>
        <v>1267.260895685846</v>
      </c>
      <c r="Z168" s="64">
        <f t="shared" ca="1" si="95"/>
        <v>0</v>
      </c>
      <c r="AA168" s="64">
        <f t="shared" ca="1" si="96"/>
        <v>1460.5264551244563</v>
      </c>
      <c r="AB168" s="64">
        <f t="shared" ca="1" si="97"/>
        <v>0</v>
      </c>
      <c r="AF168" t="str">
        <f t="shared" ca="1" si="78"/>
        <v>22031</v>
      </c>
      <c r="AG168" s="126">
        <f t="shared" ca="1" si="79"/>
        <v>0</v>
      </c>
      <c r="AH168" s="126">
        <f t="shared" ca="1" si="80"/>
        <v>0</v>
      </c>
      <c r="AI168" s="126">
        <f t="shared" ca="1" si="81"/>
        <v>1092.7550987042071</v>
      </c>
      <c r="AJ168" t="str">
        <f t="shared" ca="1" si="82"/>
        <v>62037</v>
      </c>
      <c r="AK168" s="126">
        <f t="shared" ca="1" si="98"/>
        <v>0</v>
      </c>
      <c r="AL168" s="126">
        <f t="shared" ca="1" si="99"/>
        <v>0</v>
      </c>
      <c r="AM168" s="126">
        <f t="shared" ca="1" si="113"/>
        <v>0</v>
      </c>
      <c r="AN168" s="753">
        <f t="shared" ca="1" si="114"/>
        <v>0</v>
      </c>
      <c r="AO168" s="750">
        <f t="shared" ca="1" si="100"/>
        <v>0</v>
      </c>
      <c r="AP168" s="126">
        <f t="shared" ca="1" si="101"/>
        <v>0</v>
      </c>
      <c r="AQ168" s="126">
        <f t="shared" ca="1" si="102"/>
        <v>0</v>
      </c>
      <c r="AR168" s="126">
        <f t="shared" ca="1" si="83"/>
        <v>10000</v>
      </c>
      <c r="AS168" s="750">
        <f t="shared" ca="1" si="84"/>
        <v>0</v>
      </c>
      <c r="AT168" s="750">
        <f t="shared" ca="1" si="85"/>
        <v>0</v>
      </c>
      <c r="AU168" s="126">
        <f t="shared" ca="1" si="103"/>
        <v>1267.260895685846</v>
      </c>
      <c r="AV168" s="126">
        <f t="shared" ca="1" si="104"/>
        <v>7603.5653741150754</v>
      </c>
      <c r="AW168" s="126">
        <f t="shared" ca="1" si="86"/>
        <v>10000</v>
      </c>
      <c r="AX168" s="750">
        <f t="shared" ca="1" si="105"/>
        <v>1267.260895685846</v>
      </c>
      <c r="AY168" s="750">
        <f t="shared" ca="1" si="106"/>
        <v>0</v>
      </c>
      <c r="AZ168">
        <f t="shared" si="107"/>
        <v>5750</v>
      </c>
    </row>
    <row r="169" spans="4:52">
      <c r="D169">
        <v>162</v>
      </c>
      <c r="E169" s="6">
        <f t="shared" ca="1" si="108"/>
        <v>47849</v>
      </c>
      <c r="F169" s="7">
        <f t="shared" ca="1" si="87"/>
        <v>1.2488629699476652</v>
      </c>
      <c r="G169" s="125">
        <f ca="1">IF('Simulador - 1º Pilar'!$E$99="Sí",IF('Aportaciones PPE'!$B$13&lt;'Aportaciones PPE'!E169,0,F169*$B$8/12),F169*$B$8/12)</f>
        <v>21855.10197408414</v>
      </c>
      <c r="H169" s="125">
        <f t="shared" ca="1" si="77"/>
        <v>1092.7550987042071</v>
      </c>
      <c r="I169" s="125">
        <f t="shared" ca="1" si="88"/>
        <v>0</v>
      </c>
      <c r="J169" s="125">
        <f t="shared" ca="1" si="89"/>
        <v>0</v>
      </c>
      <c r="K169" s="125">
        <f t="shared" ca="1" si="90"/>
        <v>1427.6612118798705</v>
      </c>
      <c r="L169" s="125">
        <f t="shared" ca="1" si="109"/>
        <v>0</v>
      </c>
      <c r="M169" s="125">
        <f t="shared" ca="1" si="91"/>
        <v>0</v>
      </c>
      <c r="N169" s="125">
        <f t="shared" ca="1" si="92"/>
        <v>1427.6612118798705</v>
      </c>
      <c r="R169">
        <f t="shared" si="110"/>
        <v>162</v>
      </c>
      <c r="U169" s="55"/>
      <c r="V169">
        <f t="shared" si="111"/>
        <v>7</v>
      </c>
      <c r="W169">
        <f t="shared" ca="1" si="112"/>
        <v>2037</v>
      </c>
      <c r="X169" s="123">
        <f t="shared" ca="1" si="93"/>
        <v>50222</v>
      </c>
      <c r="Y169" s="64">
        <f t="shared" ca="1" si="94"/>
        <v>1267.260895685846</v>
      </c>
      <c r="Z169" s="64">
        <f t="shared" ca="1" si="95"/>
        <v>0</v>
      </c>
      <c r="AA169" s="64">
        <f t="shared" ca="1" si="96"/>
        <v>1458.1528409332873</v>
      </c>
      <c r="AB169" s="64">
        <f t="shared" ca="1" si="97"/>
        <v>0</v>
      </c>
      <c r="AF169" t="str">
        <f t="shared" ca="1" si="78"/>
        <v>12031</v>
      </c>
      <c r="AG169" s="126">
        <f t="shared" ca="1" si="79"/>
        <v>0</v>
      </c>
      <c r="AH169" s="126">
        <f t="shared" ca="1" si="80"/>
        <v>0</v>
      </c>
      <c r="AI169" s="126">
        <f t="shared" ca="1" si="81"/>
        <v>1092.7550987042071</v>
      </c>
      <c r="AJ169" t="str">
        <f t="shared" ca="1" si="82"/>
        <v>72037</v>
      </c>
      <c r="AK169" s="126">
        <f t="shared" ca="1" si="98"/>
        <v>0</v>
      </c>
      <c r="AL169" s="126">
        <f t="shared" ca="1" si="99"/>
        <v>0</v>
      </c>
      <c r="AM169" s="126">
        <f t="shared" ca="1" si="113"/>
        <v>0</v>
      </c>
      <c r="AN169" s="753">
        <f t="shared" ca="1" si="114"/>
        <v>0</v>
      </c>
      <c r="AO169" s="750">
        <f t="shared" ca="1" si="100"/>
        <v>0</v>
      </c>
      <c r="AP169" s="126">
        <f t="shared" ca="1" si="101"/>
        <v>0</v>
      </c>
      <c r="AQ169" s="126">
        <f t="shared" ca="1" si="102"/>
        <v>0</v>
      </c>
      <c r="AR169" s="126">
        <f t="shared" ca="1" si="83"/>
        <v>10000</v>
      </c>
      <c r="AS169" s="750">
        <f t="shared" ca="1" si="84"/>
        <v>0</v>
      </c>
      <c r="AT169" s="750">
        <f t="shared" ca="1" si="85"/>
        <v>0</v>
      </c>
      <c r="AU169" s="126">
        <f t="shared" ca="1" si="103"/>
        <v>1267.260895685846</v>
      </c>
      <c r="AV169" s="126">
        <f t="shared" ca="1" si="104"/>
        <v>8870.8262698009221</v>
      </c>
      <c r="AW169" s="126">
        <f t="shared" ca="1" si="86"/>
        <v>10000</v>
      </c>
      <c r="AX169" s="750">
        <f t="shared" ca="1" si="105"/>
        <v>1267.260895685846</v>
      </c>
      <c r="AY169" s="750">
        <f t="shared" ca="1" si="106"/>
        <v>0</v>
      </c>
      <c r="AZ169">
        <f t="shared" si="107"/>
        <v>5750</v>
      </c>
    </row>
    <row r="170" spans="4:52">
      <c r="D170">
        <v>163</v>
      </c>
      <c r="E170" s="6">
        <f t="shared" ca="1" si="108"/>
        <v>47818</v>
      </c>
      <c r="F170" s="7">
        <f t="shared" ca="1" si="87"/>
        <v>1.2184028975099175</v>
      </c>
      <c r="G170" s="125">
        <f ca="1">IF('Simulador - 1º Pilar'!$E$99="Sí",IF('Aportaciones PPE'!$B$13&lt;'Aportaciones PPE'!E170,0,F170*$B$8/12),F170*$B$8/12)</f>
        <v>21322.050706423557</v>
      </c>
      <c r="H170" s="125">
        <f t="shared" ca="1" si="77"/>
        <v>1066.1025353211778</v>
      </c>
      <c r="I170" s="125">
        <f t="shared" ca="1" si="88"/>
        <v>0</v>
      </c>
      <c r="J170" s="125">
        <f t="shared" ca="1" si="89"/>
        <v>0</v>
      </c>
      <c r="K170" s="125">
        <f t="shared" ca="1" si="90"/>
        <v>1395.1405955540374</v>
      </c>
      <c r="L170" s="125">
        <f t="shared" ca="1" si="109"/>
        <v>0</v>
      </c>
      <c r="M170" s="125">
        <f t="shared" ca="1" si="91"/>
        <v>0</v>
      </c>
      <c r="N170" s="125">
        <f t="shared" ca="1" si="92"/>
        <v>1395.1405955540374</v>
      </c>
      <c r="R170">
        <f t="shared" si="110"/>
        <v>163</v>
      </c>
      <c r="U170" s="55"/>
      <c r="V170">
        <f t="shared" si="111"/>
        <v>8</v>
      </c>
      <c r="W170">
        <f t="shared" ca="1" si="112"/>
        <v>2037</v>
      </c>
      <c r="X170" s="123">
        <f t="shared" ca="1" si="93"/>
        <v>50253</v>
      </c>
      <c r="Y170" s="64">
        <f t="shared" ca="1" si="94"/>
        <v>1129.1737301990779</v>
      </c>
      <c r="Z170" s="64">
        <f t="shared" ca="1" si="95"/>
        <v>138.08716548676807</v>
      </c>
      <c r="AA170" s="64">
        <f t="shared" ca="1" si="96"/>
        <v>1297.0832609202496</v>
      </c>
      <c r="AB170" s="64">
        <f t="shared" ca="1" si="97"/>
        <v>158.62089783937265</v>
      </c>
      <c r="AF170" t="str">
        <f t="shared" ca="1" si="78"/>
        <v>122030</v>
      </c>
      <c r="AG170" s="126">
        <f t="shared" ca="1" si="79"/>
        <v>0</v>
      </c>
      <c r="AH170" s="126">
        <f t="shared" ca="1" si="80"/>
        <v>0</v>
      </c>
      <c r="AI170" s="126">
        <f t="shared" ca="1" si="81"/>
        <v>1066.1025353211778</v>
      </c>
      <c r="AJ170" t="str">
        <f t="shared" ca="1" si="82"/>
        <v>82037</v>
      </c>
      <c r="AK170" s="126">
        <f t="shared" ca="1" si="98"/>
        <v>0</v>
      </c>
      <c r="AL170" s="126">
        <f t="shared" ca="1" si="99"/>
        <v>0</v>
      </c>
      <c r="AM170" s="126">
        <f t="shared" ca="1" si="113"/>
        <v>0</v>
      </c>
      <c r="AN170" s="753">
        <f t="shared" ca="1" si="114"/>
        <v>0</v>
      </c>
      <c r="AO170" s="750">
        <f t="shared" ca="1" si="100"/>
        <v>0</v>
      </c>
      <c r="AP170" s="126">
        <f t="shared" ca="1" si="101"/>
        <v>0</v>
      </c>
      <c r="AQ170" s="126">
        <f t="shared" ca="1" si="102"/>
        <v>0</v>
      </c>
      <c r="AR170" s="126">
        <f t="shared" ca="1" si="83"/>
        <v>10000</v>
      </c>
      <c r="AS170" s="750">
        <f t="shared" ca="1" si="84"/>
        <v>0</v>
      </c>
      <c r="AT170" s="750">
        <f t="shared" ca="1" si="85"/>
        <v>0</v>
      </c>
      <c r="AU170" s="126">
        <f t="shared" ca="1" si="103"/>
        <v>1267.260895685846</v>
      </c>
      <c r="AV170" s="126">
        <f t="shared" ca="1" si="104"/>
        <v>10138.087165486768</v>
      </c>
      <c r="AW170" s="126">
        <f t="shared" ca="1" si="86"/>
        <v>10000</v>
      </c>
      <c r="AX170" s="750">
        <f t="shared" ca="1" si="105"/>
        <v>1129.1737301990779</v>
      </c>
      <c r="AY170" s="750">
        <f t="shared" ca="1" si="106"/>
        <v>138.08716548676807</v>
      </c>
      <c r="AZ170">
        <f t="shared" si="107"/>
        <v>5750</v>
      </c>
    </row>
    <row r="171" spans="4:52">
      <c r="D171">
        <v>164</v>
      </c>
      <c r="E171" s="6">
        <f t="shared" ca="1" si="108"/>
        <v>47788</v>
      </c>
      <c r="F171" s="7">
        <f t="shared" ca="1" si="87"/>
        <v>1.2184028975099175</v>
      </c>
      <c r="G171" s="125">
        <f ca="1">IF('Simulador - 1º Pilar'!$E$99="Sí",IF('Aportaciones PPE'!$B$13&lt;'Aportaciones PPE'!E171,0,F171*$B$8/12),F171*$B$8/12)</f>
        <v>21322.050706423557</v>
      </c>
      <c r="H171" s="125">
        <f t="shared" ca="1" si="77"/>
        <v>1066.1025353211778</v>
      </c>
      <c r="I171" s="125">
        <f t="shared" ca="1" si="88"/>
        <v>0</v>
      </c>
      <c r="J171" s="125">
        <f t="shared" ca="1" si="89"/>
        <v>0</v>
      </c>
      <c r="K171" s="125">
        <f t="shared" ca="1" si="90"/>
        <v>1397.4447836752042</v>
      </c>
      <c r="L171" s="125">
        <f t="shared" ca="1" si="109"/>
        <v>0</v>
      </c>
      <c r="M171" s="125">
        <f t="shared" ca="1" si="91"/>
        <v>0</v>
      </c>
      <c r="N171" s="125">
        <f t="shared" ca="1" si="92"/>
        <v>1397.4447836752042</v>
      </c>
      <c r="R171">
        <f t="shared" si="110"/>
        <v>164</v>
      </c>
      <c r="U171" s="55"/>
      <c r="V171">
        <f t="shared" si="111"/>
        <v>9</v>
      </c>
      <c r="W171">
        <f t="shared" ca="1" si="112"/>
        <v>2037</v>
      </c>
      <c r="X171" s="123">
        <f t="shared" ca="1" si="93"/>
        <v>50284</v>
      </c>
      <c r="Y171" s="64">
        <f t="shared" ca="1" si="94"/>
        <v>0</v>
      </c>
      <c r="Z171" s="64">
        <f t="shared" ca="1" si="95"/>
        <v>1267.260895685846</v>
      </c>
      <c r="AA171" s="64">
        <f t="shared" ca="1" si="96"/>
        <v>0</v>
      </c>
      <c r="AB171" s="64">
        <f t="shared" ca="1" si="97"/>
        <v>1453.2595886681884</v>
      </c>
      <c r="AF171" t="str">
        <f t="shared" ca="1" si="78"/>
        <v>112030</v>
      </c>
      <c r="AG171" s="126">
        <f t="shared" ca="1" si="79"/>
        <v>0</v>
      </c>
      <c r="AH171" s="126">
        <f t="shared" ca="1" si="80"/>
        <v>0</v>
      </c>
      <c r="AI171" s="126">
        <f t="shared" ca="1" si="81"/>
        <v>1066.1025353211778</v>
      </c>
      <c r="AJ171" t="str">
        <f t="shared" ca="1" si="82"/>
        <v>92037</v>
      </c>
      <c r="AK171" s="126">
        <f t="shared" ca="1" si="98"/>
        <v>0</v>
      </c>
      <c r="AL171" s="126">
        <f t="shared" ca="1" si="99"/>
        <v>0</v>
      </c>
      <c r="AM171" s="126">
        <f t="shared" ca="1" si="113"/>
        <v>0</v>
      </c>
      <c r="AN171" s="753">
        <f t="shared" ca="1" si="114"/>
        <v>0</v>
      </c>
      <c r="AO171" s="750">
        <f t="shared" ca="1" si="100"/>
        <v>0</v>
      </c>
      <c r="AP171" s="126">
        <f t="shared" ca="1" si="101"/>
        <v>0</v>
      </c>
      <c r="AQ171" s="126">
        <f t="shared" ca="1" si="102"/>
        <v>0</v>
      </c>
      <c r="AR171" s="126">
        <f t="shared" ca="1" si="83"/>
        <v>10000</v>
      </c>
      <c r="AS171" s="750">
        <f t="shared" ca="1" si="84"/>
        <v>0</v>
      </c>
      <c r="AT171" s="750">
        <f t="shared" ca="1" si="85"/>
        <v>0</v>
      </c>
      <c r="AU171" s="126">
        <f t="shared" ca="1" si="103"/>
        <v>1267.260895685846</v>
      </c>
      <c r="AV171" s="126">
        <f t="shared" ca="1" si="104"/>
        <v>11405.348061172614</v>
      </c>
      <c r="AW171" s="126">
        <f t="shared" ca="1" si="86"/>
        <v>10000</v>
      </c>
      <c r="AX171" s="750">
        <f t="shared" ca="1" si="105"/>
        <v>0</v>
      </c>
      <c r="AY171" s="750">
        <f t="shared" ca="1" si="106"/>
        <v>1267.260895685846</v>
      </c>
      <c r="AZ171">
        <f t="shared" si="107"/>
        <v>5750</v>
      </c>
    </row>
    <row r="172" spans="4:52">
      <c r="D172">
        <v>165</v>
      </c>
      <c r="E172" s="6">
        <f t="shared" ca="1" si="108"/>
        <v>47757</v>
      </c>
      <c r="F172" s="7">
        <f t="shared" ca="1" si="87"/>
        <v>1.2184028975099175</v>
      </c>
      <c r="G172" s="125">
        <f ca="1">IF('Simulador - 1º Pilar'!$E$99="Sí",IF('Aportaciones PPE'!$B$13&lt;'Aportaciones PPE'!E172,0,F172*$B$8/12),F172*$B$8/12)</f>
        <v>21322.050706423557</v>
      </c>
      <c r="H172" s="125">
        <f t="shared" ca="1" si="77"/>
        <v>1066.1025353211778</v>
      </c>
      <c r="I172" s="125">
        <f t="shared" ca="1" si="88"/>
        <v>0</v>
      </c>
      <c r="J172" s="125">
        <f t="shared" ca="1" si="89"/>
        <v>0</v>
      </c>
      <c r="K172" s="125">
        <f t="shared" ca="1" si="90"/>
        <v>1399.7527773503882</v>
      </c>
      <c r="L172" s="125">
        <f t="shared" ca="1" si="109"/>
        <v>0</v>
      </c>
      <c r="M172" s="125">
        <f t="shared" ca="1" si="91"/>
        <v>0</v>
      </c>
      <c r="N172" s="125">
        <f t="shared" ca="1" si="92"/>
        <v>1399.7527773503882</v>
      </c>
      <c r="R172">
        <f t="shared" si="110"/>
        <v>165</v>
      </c>
      <c r="U172" s="55"/>
      <c r="V172">
        <f t="shared" si="111"/>
        <v>10</v>
      </c>
      <c r="W172">
        <f t="shared" ca="1" si="112"/>
        <v>2037</v>
      </c>
      <c r="X172" s="123">
        <f t="shared" ca="1" si="93"/>
        <v>50314</v>
      </c>
      <c r="Y172" s="64">
        <f t="shared" ca="1" si="94"/>
        <v>0</v>
      </c>
      <c r="Z172" s="64">
        <f t="shared" ca="1" si="95"/>
        <v>1267.260895685846</v>
      </c>
      <c r="AA172" s="64">
        <f t="shared" ca="1" si="96"/>
        <v>0</v>
      </c>
      <c r="AB172" s="64">
        <f t="shared" ca="1" si="97"/>
        <v>1450.8977844221833</v>
      </c>
      <c r="AF172" t="str">
        <f t="shared" ca="1" si="78"/>
        <v>102030</v>
      </c>
      <c r="AG172" s="126">
        <f t="shared" ca="1" si="79"/>
        <v>0</v>
      </c>
      <c r="AH172" s="126">
        <f t="shared" ca="1" si="80"/>
        <v>0</v>
      </c>
      <c r="AI172" s="126">
        <f t="shared" ca="1" si="81"/>
        <v>1066.1025353211778</v>
      </c>
      <c r="AJ172" t="str">
        <f t="shared" ca="1" si="82"/>
        <v>102037</v>
      </c>
      <c r="AK172" s="126">
        <f t="shared" ca="1" si="98"/>
        <v>0</v>
      </c>
      <c r="AL172" s="126">
        <f t="shared" ca="1" si="99"/>
        <v>0</v>
      </c>
      <c r="AM172" s="126">
        <f t="shared" ca="1" si="113"/>
        <v>0</v>
      </c>
      <c r="AN172" s="753">
        <f t="shared" ca="1" si="114"/>
        <v>0</v>
      </c>
      <c r="AO172" s="750">
        <f t="shared" ca="1" si="100"/>
        <v>0</v>
      </c>
      <c r="AP172" s="126">
        <f t="shared" ca="1" si="101"/>
        <v>0</v>
      </c>
      <c r="AQ172" s="126">
        <f t="shared" ca="1" si="102"/>
        <v>0</v>
      </c>
      <c r="AR172" s="126">
        <f t="shared" ca="1" si="83"/>
        <v>10000</v>
      </c>
      <c r="AS172" s="750">
        <f t="shared" ca="1" si="84"/>
        <v>0</v>
      </c>
      <c r="AT172" s="750">
        <f t="shared" ca="1" si="85"/>
        <v>0</v>
      </c>
      <c r="AU172" s="126">
        <f t="shared" ca="1" si="103"/>
        <v>1267.260895685846</v>
      </c>
      <c r="AV172" s="126">
        <f t="shared" ca="1" si="104"/>
        <v>12672.608956858459</v>
      </c>
      <c r="AW172" s="126">
        <f t="shared" ca="1" si="86"/>
        <v>10000</v>
      </c>
      <c r="AX172" s="750">
        <f t="shared" ca="1" si="105"/>
        <v>0</v>
      </c>
      <c r="AY172" s="750">
        <f t="shared" ca="1" si="106"/>
        <v>1267.260895685846</v>
      </c>
      <c r="AZ172">
        <f t="shared" si="107"/>
        <v>5750</v>
      </c>
    </row>
    <row r="173" spans="4:52">
      <c r="D173">
        <v>166</v>
      </c>
      <c r="E173" s="6">
        <f t="shared" ca="1" si="108"/>
        <v>47727</v>
      </c>
      <c r="F173" s="7">
        <f t="shared" ca="1" si="87"/>
        <v>1.2184028975099175</v>
      </c>
      <c r="G173" s="125">
        <f ca="1">IF('Simulador - 1º Pilar'!$E$99="Sí",IF('Aportaciones PPE'!$B$13&lt;'Aportaciones PPE'!E173,0,F173*$B$8/12),F173*$B$8/12)</f>
        <v>21322.050706423557</v>
      </c>
      <c r="H173" s="125">
        <f t="shared" ca="1" si="77"/>
        <v>1066.1025353211778</v>
      </c>
      <c r="I173" s="125">
        <f t="shared" ca="1" si="88"/>
        <v>0</v>
      </c>
      <c r="J173" s="125">
        <f t="shared" ca="1" si="89"/>
        <v>0</v>
      </c>
      <c r="K173" s="125">
        <f t="shared" ca="1" si="90"/>
        <v>1402.064582864771</v>
      </c>
      <c r="L173" s="125">
        <f t="shared" ca="1" si="109"/>
        <v>0</v>
      </c>
      <c r="M173" s="125">
        <f t="shared" ca="1" si="91"/>
        <v>0</v>
      </c>
      <c r="N173" s="125">
        <f t="shared" ca="1" si="92"/>
        <v>1402.064582864771</v>
      </c>
      <c r="R173">
        <f t="shared" si="110"/>
        <v>166</v>
      </c>
      <c r="U173" s="55"/>
      <c r="V173">
        <f t="shared" si="111"/>
        <v>11</v>
      </c>
      <c r="W173">
        <f t="shared" ca="1" si="112"/>
        <v>2037</v>
      </c>
      <c r="X173" s="123">
        <f t="shared" ca="1" si="93"/>
        <v>50345</v>
      </c>
      <c r="Y173" s="64">
        <f t="shared" ca="1" si="94"/>
        <v>0</v>
      </c>
      <c r="Z173" s="64">
        <f t="shared" ca="1" si="95"/>
        <v>1267.260895685846</v>
      </c>
      <c r="AA173" s="64">
        <f t="shared" ca="1" si="96"/>
        <v>0</v>
      </c>
      <c r="AB173" s="64">
        <f t="shared" ca="1" si="97"/>
        <v>1448.4612856953074</v>
      </c>
      <c r="AF173" t="str">
        <f t="shared" ca="1" si="78"/>
        <v>92030</v>
      </c>
      <c r="AG173" s="126">
        <f t="shared" ca="1" si="79"/>
        <v>0</v>
      </c>
      <c r="AH173" s="126">
        <f t="shared" ca="1" si="80"/>
        <v>0</v>
      </c>
      <c r="AI173" s="126">
        <f t="shared" ca="1" si="81"/>
        <v>1066.1025353211778</v>
      </c>
      <c r="AJ173" t="str">
        <f t="shared" ca="1" si="82"/>
        <v>112037</v>
      </c>
      <c r="AK173" s="126">
        <f t="shared" ca="1" si="98"/>
        <v>0</v>
      </c>
      <c r="AL173" s="126">
        <f t="shared" ca="1" si="99"/>
        <v>0</v>
      </c>
      <c r="AM173" s="126">
        <f t="shared" ca="1" si="113"/>
        <v>0</v>
      </c>
      <c r="AN173" s="753">
        <f t="shared" ca="1" si="114"/>
        <v>0</v>
      </c>
      <c r="AO173" s="750">
        <f t="shared" ca="1" si="100"/>
        <v>0</v>
      </c>
      <c r="AP173" s="126">
        <f t="shared" ca="1" si="101"/>
        <v>0</v>
      </c>
      <c r="AQ173" s="126">
        <f t="shared" ca="1" si="102"/>
        <v>0</v>
      </c>
      <c r="AR173" s="126">
        <f t="shared" ca="1" si="83"/>
        <v>10000</v>
      </c>
      <c r="AS173" s="750">
        <f t="shared" ca="1" si="84"/>
        <v>0</v>
      </c>
      <c r="AT173" s="750">
        <f t="shared" ca="1" si="85"/>
        <v>0</v>
      </c>
      <c r="AU173" s="126">
        <f t="shared" ca="1" si="103"/>
        <v>1267.260895685846</v>
      </c>
      <c r="AV173" s="126">
        <f t="shared" ca="1" si="104"/>
        <v>13939.869852544305</v>
      </c>
      <c r="AW173" s="126">
        <f t="shared" ca="1" si="86"/>
        <v>10000</v>
      </c>
      <c r="AX173" s="750">
        <f t="shared" ca="1" si="105"/>
        <v>0</v>
      </c>
      <c r="AY173" s="750">
        <f t="shared" ca="1" si="106"/>
        <v>1267.260895685846</v>
      </c>
      <c r="AZ173">
        <f t="shared" si="107"/>
        <v>5750</v>
      </c>
    </row>
    <row r="174" spans="4:52">
      <c r="D174">
        <v>167</v>
      </c>
      <c r="E174" s="6">
        <f t="shared" ca="1" si="108"/>
        <v>47696</v>
      </c>
      <c r="F174" s="7">
        <f t="shared" ca="1" si="87"/>
        <v>1.2184028975099175</v>
      </c>
      <c r="G174" s="125">
        <f ca="1">IF('Simulador - 1º Pilar'!$E$99="Sí",IF('Aportaciones PPE'!$B$13&lt;'Aportaciones PPE'!E174,0,F174*$B$8/12),F174*$B$8/12)</f>
        <v>21322.050706423557</v>
      </c>
      <c r="H174" s="125">
        <f t="shared" ca="1" si="77"/>
        <v>1066.1025353211778</v>
      </c>
      <c r="I174" s="125">
        <f t="shared" ca="1" si="88"/>
        <v>0</v>
      </c>
      <c r="J174" s="125">
        <f t="shared" ca="1" si="89"/>
        <v>0</v>
      </c>
      <c r="K174" s="125">
        <f t="shared" ca="1" si="90"/>
        <v>1404.3802065139148</v>
      </c>
      <c r="L174" s="125">
        <f t="shared" ca="1" si="109"/>
        <v>0</v>
      </c>
      <c r="M174" s="125">
        <f t="shared" ca="1" si="91"/>
        <v>0</v>
      </c>
      <c r="N174" s="125">
        <f t="shared" ca="1" si="92"/>
        <v>1404.3802065139148</v>
      </c>
      <c r="R174">
        <f t="shared" si="110"/>
        <v>167</v>
      </c>
      <c r="U174" s="55"/>
      <c r="V174">
        <f t="shared" si="111"/>
        <v>12</v>
      </c>
      <c r="W174">
        <f t="shared" ca="1" si="112"/>
        <v>2037</v>
      </c>
      <c r="X174" s="123">
        <f t="shared" ca="1" si="93"/>
        <v>50375</v>
      </c>
      <c r="Y174" s="64">
        <f t="shared" ca="1" si="94"/>
        <v>0</v>
      </c>
      <c r="Z174" s="64">
        <f t="shared" ca="1" si="95"/>
        <v>1267.260895685846</v>
      </c>
      <c r="AA174" s="64">
        <f t="shared" ca="1" si="96"/>
        <v>0</v>
      </c>
      <c r="AB174" s="64">
        <f t="shared" ca="1" si="97"/>
        <v>1446.1072795415521</v>
      </c>
      <c r="AF174" t="str">
        <f t="shared" ca="1" si="78"/>
        <v>82030</v>
      </c>
      <c r="AG174" s="126">
        <f t="shared" ca="1" si="79"/>
        <v>0</v>
      </c>
      <c r="AH174" s="126">
        <f t="shared" ca="1" si="80"/>
        <v>0</v>
      </c>
      <c r="AI174" s="126">
        <f t="shared" ca="1" si="81"/>
        <v>1066.1025353211778</v>
      </c>
      <c r="AJ174" t="str">
        <f t="shared" ca="1" si="82"/>
        <v>122037</v>
      </c>
      <c r="AK174" s="126">
        <f t="shared" ca="1" si="98"/>
        <v>0</v>
      </c>
      <c r="AL174" s="126">
        <f t="shared" ca="1" si="99"/>
        <v>0</v>
      </c>
      <c r="AM174" s="126">
        <f t="shared" ca="1" si="113"/>
        <v>0</v>
      </c>
      <c r="AN174" s="753">
        <f t="shared" ca="1" si="114"/>
        <v>0</v>
      </c>
      <c r="AO174" s="750">
        <f t="shared" ca="1" si="100"/>
        <v>0</v>
      </c>
      <c r="AP174" s="126">
        <f t="shared" ca="1" si="101"/>
        <v>0</v>
      </c>
      <c r="AQ174" s="126">
        <f t="shared" ca="1" si="102"/>
        <v>0</v>
      </c>
      <c r="AR174" s="126">
        <f t="shared" ca="1" si="83"/>
        <v>10000</v>
      </c>
      <c r="AS174" s="750">
        <f t="shared" ca="1" si="84"/>
        <v>0</v>
      </c>
      <c r="AT174" s="750">
        <f t="shared" ca="1" si="85"/>
        <v>0</v>
      </c>
      <c r="AU174" s="126">
        <f t="shared" ca="1" si="103"/>
        <v>1267.260895685846</v>
      </c>
      <c r="AV174" s="126">
        <f t="shared" ca="1" si="104"/>
        <v>15207.130748230151</v>
      </c>
      <c r="AW174" s="126">
        <f t="shared" ca="1" si="86"/>
        <v>10000</v>
      </c>
      <c r="AX174" s="750">
        <f t="shared" ca="1" si="105"/>
        <v>0</v>
      </c>
      <c r="AY174" s="750">
        <f t="shared" ca="1" si="106"/>
        <v>1267.260895685846</v>
      </c>
      <c r="AZ174">
        <f t="shared" si="107"/>
        <v>5750</v>
      </c>
    </row>
    <row r="175" spans="4:52">
      <c r="D175">
        <v>168</v>
      </c>
      <c r="E175" s="6">
        <f t="shared" ca="1" si="108"/>
        <v>47665</v>
      </c>
      <c r="F175" s="7">
        <f t="shared" ca="1" si="87"/>
        <v>1.2184028975099175</v>
      </c>
      <c r="G175" s="125">
        <f ca="1">IF('Simulador - 1º Pilar'!$E$99="Sí",IF('Aportaciones PPE'!$B$13&lt;'Aportaciones PPE'!E175,0,F175*$B$8/12),F175*$B$8/12)</f>
        <v>21322.050706423557</v>
      </c>
      <c r="H175" s="125">
        <f t="shared" ca="1" si="77"/>
        <v>1066.1025353211778</v>
      </c>
      <c r="I175" s="125">
        <f t="shared" ca="1" si="88"/>
        <v>0</v>
      </c>
      <c r="J175" s="125">
        <f t="shared" ca="1" si="89"/>
        <v>0</v>
      </c>
      <c r="K175" s="125">
        <f t="shared" ca="1" si="90"/>
        <v>1406.6996546037797</v>
      </c>
      <c r="L175" s="125">
        <f t="shared" ca="1" si="109"/>
        <v>0</v>
      </c>
      <c r="M175" s="125">
        <f t="shared" ca="1" si="91"/>
        <v>0</v>
      </c>
      <c r="N175" s="125">
        <f t="shared" ca="1" si="92"/>
        <v>1406.6996546037797</v>
      </c>
      <c r="R175">
        <f t="shared" si="110"/>
        <v>168</v>
      </c>
      <c r="U175" s="55"/>
      <c r="V175">
        <f t="shared" si="111"/>
        <v>1</v>
      </c>
      <c r="W175">
        <f t="shared" ca="1" si="112"/>
        <v>2038</v>
      </c>
      <c r="X175" s="123">
        <f t="shared" ca="1" si="93"/>
        <v>50406</v>
      </c>
      <c r="Y175" s="64">
        <f t="shared" ca="1" si="94"/>
        <v>1298.942418077992</v>
      </c>
      <c r="Z175" s="64">
        <f t="shared" ca="1" si="95"/>
        <v>0</v>
      </c>
      <c r="AA175" s="64">
        <f t="shared" ca="1" si="96"/>
        <v>1479.7707961678279</v>
      </c>
      <c r="AB175" s="64">
        <f t="shared" ca="1" si="97"/>
        <v>0</v>
      </c>
      <c r="AF175" t="str">
        <f t="shared" ca="1" si="78"/>
        <v>72030</v>
      </c>
      <c r="AG175" s="126">
        <f t="shared" ca="1" si="79"/>
        <v>0</v>
      </c>
      <c r="AH175" s="126">
        <f t="shared" ca="1" si="80"/>
        <v>0</v>
      </c>
      <c r="AI175" s="126">
        <f t="shared" ca="1" si="81"/>
        <v>1066.1025353211778</v>
      </c>
      <c r="AJ175" t="str">
        <f t="shared" ca="1" si="82"/>
        <v>12038</v>
      </c>
      <c r="AK175" s="126">
        <f t="shared" ca="1" si="98"/>
        <v>0</v>
      </c>
      <c r="AL175" s="126">
        <f t="shared" ca="1" si="99"/>
        <v>0</v>
      </c>
      <c r="AM175" s="126">
        <f t="shared" ca="1" si="113"/>
        <v>0</v>
      </c>
      <c r="AN175" s="753">
        <f t="shared" ca="1" si="114"/>
        <v>0</v>
      </c>
      <c r="AO175" s="750">
        <f t="shared" ca="1" si="100"/>
        <v>0</v>
      </c>
      <c r="AP175" s="126">
        <f t="shared" ca="1" si="101"/>
        <v>0</v>
      </c>
      <c r="AQ175" s="126">
        <f t="shared" ca="1" si="102"/>
        <v>0</v>
      </c>
      <c r="AR175" s="126">
        <f t="shared" ca="1" si="83"/>
        <v>10000</v>
      </c>
      <c r="AS175" s="750">
        <f t="shared" ca="1" si="84"/>
        <v>0</v>
      </c>
      <c r="AT175" s="750">
        <f t="shared" ca="1" si="85"/>
        <v>0</v>
      </c>
      <c r="AU175" s="126">
        <f t="shared" ca="1" si="103"/>
        <v>1298.942418077992</v>
      </c>
      <c r="AV175" s="126">
        <f t="shared" ca="1" si="104"/>
        <v>1298.942418077992</v>
      </c>
      <c r="AW175" s="126">
        <f t="shared" ca="1" si="86"/>
        <v>10000</v>
      </c>
      <c r="AX175" s="750">
        <f t="shared" ca="1" si="105"/>
        <v>1298.942418077992</v>
      </c>
      <c r="AY175" s="750">
        <f t="shared" ca="1" si="106"/>
        <v>0</v>
      </c>
      <c r="AZ175">
        <f t="shared" si="107"/>
        <v>5750</v>
      </c>
    </row>
    <row r="176" spans="4:52">
      <c r="D176">
        <v>169</v>
      </c>
      <c r="E176" s="6">
        <f t="shared" ca="1" si="108"/>
        <v>47635</v>
      </c>
      <c r="F176" s="7">
        <f t="shared" ca="1" si="87"/>
        <v>1.2184028975099175</v>
      </c>
      <c r="G176" s="125">
        <f ca="1">IF('Simulador - 1º Pilar'!$E$99="Sí",IF('Aportaciones PPE'!$B$13&lt;'Aportaciones PPE'!E176,0,F176*$B$8/12),F176*$B$8/12)</f>
        <v>21322.050706423557</v>
      </c>
      <c r="H176" s="125">
        <f t="shared" ca="1" si="77"/>
        <v>1066.1025353211778</v>
      </c>
      <c r="I176" s="125">
        <f t="shared" ca="1" si="88"/>
        <v>0</v>
      </c>
      <c r="J176" s="125">
        <f t="shared" ca="1" si="89"/>
        <v>0</v>
      </c>
      <c r="K176" s="125">
        <f t="shared" ca="1" si="90"/>
        <v>1409.0229334507412</v>
      </c>
      <c r="L176" s="125">
        <f t="shared" ca="1" si="109"/>
        <v>0</v>
      </c>
      <c r="M176" s="125">
        <f t="shared" ca="1" si="91"/>
        <v>0</v>
      </c>
      <c r="N176" s="125">
        <f t="shared" ca="1" si="92"/>
        <v>1409.0229334507412</v>
      </c>
      <c r="R176">
        <f t="shared" si="110"/>
        <v>169</v>
      </c>
      <c r="U176" s="55"/>
      <c r="V176">
        <f t="shared" si="111"/>
        <v>2</v>
      </c>
      <c r="W176">
        <f t="shared" ca="1" si="112"/>
        <v>2038</v>
      </c>
      <c r="X176" s="123">
        <f t="shared" ca="1" si="93"/>
        <v>50437</v>
      </c>
      <c r="Y176" s="64">
        <f t="shared" ca="1" si="94"/>
        <v>1298.942418077992</v>
      </c>
      <c r="Z176" s="64">
        <f t="shared" ca="1" si="95"/>
        <v>0</v>
      </c>
      <c r="AA176" s="64">
        <f t="shared" ca="1" si="96"/>
        <v>1477.2858108713847</v>
      </c>
      <c r="AB176" s="64">
        <f t="shared" ca="1" si="97"/>
        <v>0</v>
      </c>
      <c r="AF176" t="str">
        <f t="shared" ca="1" si="78"/>
        <v>62030</v>
      </c>
      <c r="AG176" s="126">
        <f t="shared" ca="1" si="79"/>
        <v>0</v>
      </c>
      <c r="AH176" s="126">
        <f t="shared" ca="1" si="80"/>
        <v>0</v>
      </c>
      <c r="AI176" s="126">
        <f t="shared" ca="1" si="81"/>
        <v>1066.1025353211778</v>
      </c>
      <c r="AJ176" t="str">
        <f t="shared" ca="1" si="82"/>
        <v>22038</v>
      </c>
      <c r="AK176" s="126">
        <f t="shared" ca="1" si="98"/>
        <v>0</v>
      </c>
      <c r="AL176" s="126">
        <f t="shared" ca="1" si="99"/>
        <v>0</v>
      </c>
      <c r="AM176" s="126">
        <f t="shared" ca="1" si="113"/>
        <v>0</v>
      </c>
      <c r="AN176" s="753">
        <f t="shared" ca="1" si="114"/>
        <v>0</v>
      </c>
      <c r="AO176" s="750">
        <f t="shared" ca="1" si="100"/>
        <v>0</v>
      </c>
      <c r="AP176" s="126">
        <f t="shared" ca="1" si="101"/>
        <v>0</v>
      </c>
      <c r="AQ176" s="126">
        <f t="shared" ca="1" si="102"/>
        <v>0</v>
      </c>
      <c r="AR176" s="126">
        <f t="shared" ca="1" si="83"/>
        <v>10000</v>
      </c>
      <c r="AS176" s="750">
        <f t="shared" ca="1" si="84"/>
        <v>0</v>
      </c>
      <c r="AT176" s="750">
        <f t="shared" ca="1" si="85"/>
        <v>0</v>
      </c>
      <c r="AU176" s="126">
        <f t="shared" ca="1" si="103"/>
        <v>1298.942418077992</v>
      </c>
      <c r="AV176" s="126">
        <f t="shared" ca="1" si="104"/>
        <v>2597.884836155984</v>
      </c>
      <c r="AW176" s="126">
        <f t="shared" ca="1" si="86"/>
        <v>10000</v>
      </c>
      <c r="AX176" s="750">
        <f t="shared" ca="1" si="105"/>
        <v>1298.942418077992</v>
      </c>
      <c r="AY176" s="750">
        <f t="shared" ca="1" si="106"/>
        <v>0</v>
      </c>
      <c r="AZ176">
        <f t="shared" si="107"/>
        <v>5750</v>
      </c>
    </row>
    <row r="177" spans="4:52">
      <c r="D177">
        <v>170</v>
      </c>
      <c r="E177" s="6">
        <f t="shared" ca="1" si="108"/>
        <v>47604</v>
      </c>
      <c r="F177" s="7">
        <f t="shared" ca="1" si="87"/>
        <v>1.2184028975099175</v>
      </c>
      <c r="G177" s="125">
        <f ca="1">IF('Simulador - 1º Pilar'!$E$99="Sí",IF('Aportaciones PPE'!$B$13&lt;'Aportaciones PPE'!E177,0,F177*$B$8/12),F177*$B$8/12)</f>
        <v>21322.050706423557</v>
      </c>
      <c r="H177" s="125">
        <f t="shared" ca="1" si="77"/>
        <v>1066.1025353211778</v>
      </c>
      <c r="I177" s="125">
        <f t="shared" ca="1" si="88"/>
        <v>0</v>
      </c>
      <c r="J177" s="125">
        <f t="shared" ca="1" si="89"/>
        <v>0</v>
      </c>
      <c r="K177" s="125">
        <f t="shared" ca="1" si="90"/>
        <v>1411.350049381605</v>
      </c>
      <c r="L177" s="125">
        <f t="shared" ca="1" si="109"/>
        <v>0</v>
      </c>
      <c r="M177" s="125">
        <f t="shared" ca="1" si="91"/>
        <v>0</v>
      </c>
      <c r="N177" s="125">
        <f t="shared" ca="1" si="92"/>
        <v>1411.350049381605</v>
      </c>
      <c r="R177">
        <f t="shared" si="110"/>
        <v>170</v>
      </c>
      <c r="U177" s="55"/>
      <c r="V177">
        <f t="shared" si="111"/>
        <v>3</v>
      </c>
      <c r="W177">
        <f t="shared" ca="1" si="112"/>
        <v>2038</v>
      </c>
      <c r="X177" s="123">
        <f t="shared" ca="1" si="93"/>
        <v>50465</v>
      </c>
      <c r="Y177" s="64">
        <f t="shared" ca="1" si="94"/>
        <v>1298.942418077992</v>
      </c>
      <c r="Z177" s="64">
        <f t="shared" ca="1" si="95"/>
        <v>0</v>
      </c>
      <c r="AA177" s="64">
        <f t="shared" ca="1" si="96"/>
        <v>1475.0448950396187</v>
      </c>
      <c r="AB177" s="64">
        <f t="shared" ca="1" si="97"/>
        <v>0</v>
      </c>
      <c r="AF177" t="str">
        <f t="shared" ca="1" si="78"/>
        <v>52030</v>
      </c>
      <c r="AG177" s="126">
        <f t="shared" ca="1" si="79"/>
        <v>0</v>
      </c>
      <c r="AH177" s="126">
        <f t="shared" ca="1" si="80"/>
        <v>0</v>
      </c>
      <c r="AI177" s="126">
        <f t="shared" ca="1" si="81"/>
        <v>1066.1025353211778</v>
      </c>
      <c r="AJ177" t="str">
        <f t="shared" ca="1" si="82"/>
        <v>32038</v>
      </c>
      <c r="AK177" s="126">
        <f t="shared" ca="1" si="98"/>
        <v>0</v>
      </c>
      <c r="AL177" s="126">
        <f t="shared" ca="1" si="99"/>
        <v>0</v>
      </c>
      <c r="AM177" s="126">
        <f t="shared" ca="1" si="113"/>
        <v>0</v>
      </c>
      <c r="AN177" s="753">
        <f t="shared" ca="1" si="114"/>
        <v>0</v>
      </c>
      <c r="AO177" s="750">
        <f t="shared" ca="1" si="100"/>
        <v>0</v>
      </c>
      <c r="AP177" s="126">
        <f t="shared" ca="1" si="101"/>
        <v>0</v>
      </c>
      <c r="AQ177" s="126">
        <f t="shared" ca="1" si="102"/>
        <v>0</v>
      </c>
      <c r="AR177" s="126">
        <f t="shared" ca="1" si="83"/>
        <v>10000</v>
      </c>
      <c r="AS177" s="750">
        <f t="shared" ca="1" si="84"/>
        <v>0</v>
      </c>
      <c r="AT177" s="750">
        <f t="shared" ca="1" si="85"/>
        <v>0</v>
      </c>
      <c r="AU177" s="126">
        <f t="shared" ca="1" si="103"/>
        <v>1298.942418077992</v>
      </c>
      <c r="AV177" s="126">
        <f t="shared" ca="1" si="104"/>
        <v>3896.827254233976</v>
      </c>
      <c r="AW177" s="126">
        <f t="shared" ca="1" si="86"/>
        <v>10000</v>
      </c>
      <c r="AX177" s="750">
        <f t="shared" ca="1" si="105"/>
        <v>1298.942418077992</v>
      </c>
      <c r="AY177" s="750">
        <f t="shared" ca="1" si="106"/>
        <v>0</v>
      </c>
      <c r="AZ177">
        <f t="shared" si="107"/>
        <v>5750</v>
      </c>
    </row>
    <row r="178" spans="4:52">
      <c r="D178">
        <v>171</v>
      </c>
      <c r="E178" s="6">
        <f t="shared" ca="1" si="108"/>
        <v>47574</v>
      </c>
      <c r="F178" s="7">
        <f t="shared" ca="1" si="87"/>
        <v>1.2184028975099175</v>
      </c>
      <c r="G178" s="125">
        <f ca="1">IF('Simulador - 1º Pilar'!$E$99="Sí",IF('Aportaciones PPE'!$B$13&lt;'Aportaciones PPE'!E178,0,F178*$B$8/12),F178*$B$8/12)</f>
        <v>21322.050706423557</v>
      </c>
      <c r="H178" s="125">
        <f t="shared" ca="1" si="77"/>
        <v>1066.1025353211778</v>
      </c>
      <c r="I178" s="125">
        <f t="shared" ca="1" si="88"/>
        <v>0</v>
      </c>
      <c r="J178" s="125">
        <f t="shared" ca="1" si="89"/>
        <v>0</v>
      </c>
      <c r="K178" s="125">
        <f t="shared" ca="1" si="90"/>
        <v>1413.6810087336278</v>
      </c>
      <c r="L178" s="125">
        <f t="shared" ca="1" si="109"/>
        <v>0</v>
      </c>
      <c r="M178" s="125">
        <f t="shared" ca="1" si="91"/>
        <v>0</v>
      </c>
      <c r="N178" s="125">
        <f t="shared" ca="1" si="92"/>
        <v>1413.6810087336278</v>
      </c>
      <c r="R178">
        <f t="shared" si="110"/>
        <v>171</v>
      </c>
      <c r="U178" s="55"/>
      <c r="V178">
        <f t="shared" si="111"/>
        <v>4</v>
      </c>
      <c r="W178">
        <f t="shared" ca="1" si="112"/>
        <v>2038</v>
      </c>
      <c r="X178" s="123">
        <f t="shared" ca="1" si="93"/>
        <v>50496</v>
      </c>
      <c r="Y178" s="64">
        <f t="shared" ca="1" si="94"/>
        <v>1298.942418077992</v>
      </c>
      <c r="Z178" s="64">
        <f t="shared" ca="1" si="95"/>
        <v>0</v>
      </c>
      <c r="AA178" s="64">
        <f t="shared" ca="1" si="96"/>
        <v>1472.5678459687358</v>
      </c>
      <c r="AB178" s="64">
        <f t="shared" ca="1" si="97"/>
        <v>0</v>
      </c>
      <c r="AF178" t="str">
        <f t="shared" ca="1" si="78"/>
        <v>42030</v>
      </c>
      <c r="AG178" s="126">
        <f t="shared" ca="1" si="79"/>
        <v>0</v>
      </c>
      <c r="AH178" s="126">
        <f t="shared" ca="1" si="80"/>
        <v>0</v>
      </c>
      <c r="AI178" s="126">
        <f t="shared" ca="1" si="81"/>
        <v>1066.1025353211778</v>
      </c>
      <c r="AJ178" t="str">
        <f t="shared" ca="1" si="82"/>
        <v>42038</v>
      </c>
      <c r="AK178" s="126">
        <f t="shared" ca="1" si="98"/>
        <v>0</v>
      </c>
      <c r="AL178" s="126">
        <f t="shared" ca="1" si="99"/>
        <v>0</v>
      </c>
      <c r="AM178" s="126">
        <f t="shared" ca="1" si="113"/>
        <v>0</v>
      </c>
      <c r="AN178" s="753">
        <f t="shared" ca="1" si="114"/>
        <v>0</v>
      </c>
      <c r="AO178" s="750">
        <f t="shared" ca="1" si="100"/>
        <v>0</v>
      </c>
      <c r="AP178" s="126">
        <f t="shared" ca="1" si="101"/>
        <v>0</v>
      </c>
      <c r="AQ178" s="126">
        <f t="shared" ca="1" si="102"/>
        <v>0</v>
      </c>
      <c r="AR178" s="126">
        <f t="shared" ca="1" si="83"/>
        <v>10000</v>
      </c>
      <c r="AS178" s="750">
        <f t="shared" ca="1" si="84"/>
        <v>0</v>
      </c>
      <c r="AT178" s="750">
        <f t="shared" ca="1" si="85"/>
        <v>0</v>
      </c>
      <c r="AU178" s="126">
        <f t="shared" ca="1" si="103"/>
        <v>1298.942418077992</v>
      </c>
      <c r="AV178" s="126">
        <f t="shared" ca="1" si="104"/>
        <v>5195.769672311968</v>
      </c>
      <c r="AW178" s="126">
        <f t="shared" ca="1" si="86"/>
        <v>10000</v>
      </c>
      <c r="AX178" s="750">
        <f t="shared" ca="1" si="105"/>
        <v>1298.942418077992</v>
      </c>
      <c r="AY178" s="750">
        <f t="shared" ca="1" si="106"/>
        <v>0</v>
      </c>
      <c r="AZ178">
        <f t="shared" si="107"/>
        <v>5750</v>
      </c>
    </row>
    <row r="179" spans="4:52">
      <c r="D179">
        <v>172</v>
      </c>
      <c r="E179" s="6">
        <f t="shared" ca="1" si="108"/>
        <v>47543</v>
      </c>
      <c r="F179" s="7">
        <f t="shared" ca="1" si="87"/>
        <v>1.2184028975099175</v>
      </c>
      <c r="G179" s="125">
        <f ca="1">IF('Simulador - 1º Pilar'!$E$99="Sí",IF('Aportaciones PPE'!$B$13&lt;'Aportaciones PPE'!E179,0,F179*$B$8/12),F179*$B$8/12)</f>
        <v>21322.050706423557</v>
      </c>
      <c r="H179" s="125">
        <f t="shared" ca="1" si="77"/>
        <v>1066.1025353211778</v>
      </c>
      <c r="I179" s="125">
        <f t="shared" ca="1" si="88"/>
        <v>0</v>
      </c>
      <c r="J179" s="125">
        <f t="shared" ca="1" si="89"/>
        <v>0</v>
      </c>
      <c r="K179" s="125">
        <f t="shared" ca="1" si="90"/>
        <v>1416.0158178545321</v>
      </c>
      <c r="L179" s="125">
        <f t="shared" ca="1" si="109"/>
        <v>0</v>
      </c>
      <c r="M179" s="125">
        <f t="shared" ca="1" si="91"/>
        <v>0</v>
      </c>
      <c r="N179" s="125">
        <f t="shared" ca="1" si="92"/>
        <v>1416.0158178545321</v>
      </c>
      <c r="R179">
        <f t="shared" si="110"/>
        <v>172</v>
      </c>
      <c r="U179" s="55"/>
      <c r="V179">
        <f t="shared" si="111"/>
        <v>5</v>
      </c>
      <c r="W179">
        <f t="shared" ca="1" si="112"/>
        <v>2038</v>
      </c>
      <c r="X179" s="123">
        <f t="shared" ca="1" si="93"/>
        <v>50526</v>
      </c>
      <c r="Y179" s="64">
        <f t="shared" ca="1" si="94"/>
        <v>1298.942418077992</v>
      </c>
      <c r="Z179" s="64">
        <f t="shared" ca="1" si="95"/>
        <v>0</v>
      </c>
      <c r="AA179" s="64">
        <f t="shared" ca="1" si="96"/>
        <v>1470.1746623845652</v>
      </c>
      <c r="AB179" s="64">
        <f t="shared" ca="1" si="97"/>
        <v>0</v>
      </c>
      <c r="AF179" t="str">
        <f t="shared" ca="1" si="78"/>
        <v>32030</v>
      </c>
      <c r="AG179" s="126">
        <f t="shared" ca="1" si="79"/>
        <v>0</v>
      </c>
      <c r="AH179" s="126">
        <f t="shared" ca="1" si="80"/>
        <v>0</v>
      </c>
      <c r="AI179" s="126">
        <f t="shared" ca="1" si="81"/>
        <v>1066.1025353211778</v>
      </c>
      <c r="AJ179" t="str">
        <f t="shared" ca="1" si="82"/>
        <v>52038</v>
      </c>
      <c r="AK179" s="126">
        <f t="shared" ca="1" si="98"/>
        <v>0</v>
      </c>
      <c r="AL179" s="126">
        <f t="shared" ca="1" si="99"/>
        <v>0</v>
      </c>
      <c r="AM179" s="126">
        <f t="shared" ca="1" si="113"/>
        <v>0</v>
      </c>
      <c r="AN179" s="753">
        <f t="shared" ca="1" si="114"/>
        <v>0</v>
      </c>
      <c r="AO179" s="750">
        <f t="shared" ca="1" si="100"/>
        <v>0</v>
      </c>
      <c r="AP179" s="126">
        <f t="shared" ca="1" si="101"/>
        <v>0</v>
      </c>
      <c r="AQ179" s="126">
        <f t="shared" ca="1" si="102"/>
        <v>0</v>
      </c>
      <c r="AR179" s="126">
        <f t="shared" ca="1" si="83"/>
        <v>10000</v>
      </c>
      <c r="AS179" s="750">
        <f t="shared" ca="1" si="84"/>
        <v>0</v>
      </c>
      <c r="AT179" s="750">
        <f t="shared" ca="1" si="85"/>
        <v>0</v>
      </c>
      <c r="AU179" s="126">
        <f t="shared" ca="1" si="103"/>
        <v>1298.942418077992</v>
      </c>
      <c r="AV179" s="126">
        <f t="shared" ca="1" si="104"/>
        <v>6494.7120903899595</v>
      </c>
      <c r="AW179" s="126">
        <f t="shared" ca="1" si="86"/>
        <v>10000</v>
      </c>
      <c r="AX179" s="750">
        <f t="shared" ca="1" si="105"/>
        <v>1298.942418077992</v>
      </c>
      <c r="AY179" s="750">
        <f t="shared" ca="1" si="106"/>
        <v>0</v>
      </c>
      <c r="AZ179">
        <f t="shared" si="107"/>
        <v>5750</v>
      </c>
    </row>
    <row r="180" spans="4:52">
      <c r="D180">
        <v>173</v>
      </c>
      <c r="E180" s="6">
        <f t="shared" ca="1" si="108"/>
        <v>47515</v>
      </c>
      <c r="F180" s="7">
        <f t="shared" ca="1" si="87"/>
        <v>1.2184028975099175</v>
      </c>
      <c r="G180" s="125">
        <f ca="1">IF('Simulador - 1º Pilar'!$E$99="Sí",IF('Aportaciones PPE'!$B$13&lt;'Aportaciones PPE'!E180,0,F180*$B$8/12),F180*$B$8/12)</f>
        <v>21322.050706423557</v>
      </c>
      <c r="H180" s="125">
        <f t="shared" ca="1" si="77"/>
        <v>1066.1025353211778</v>
      </c>
      <c r="I180" s="125">
        <f t="shared" ca="1" si="88"/>
        <v>0</v>
      </c>
      <c r="J180" s="125">
        <f t="shared" ca="1" si="89"/>
        <v>0</v>
      </c>
      <c r="K180" s="125">
        <f t="shared" ca="1" si="90"/>
        <v>1418.3544831025238</v>
      </c>
      <c r="L180" s="125">
        <f t="shared" ca="1" si="109"/>
        <v>0</v>
      </c>
      <c r="M180" s="125">
        <f t="shared" ca="1" si="91"/>
        <v>0</v>
      </c>
      <c r="N180" s="125">
        <f t="shared" ca="1" si="92"/>
        <v>1418.3544831025238</v>
      </c>
      <c r="R180">
        <f t="shared" si="110"/>
        <v>173</v>
      </c>
      <c r="U180" s="55"/>
      <c r="V180">
        <f t="shared" si="111"/>
        <v>6</v>
      </c>
      <c r="W180">
        <f t="shared" ca="1" si="112"/>
        <v>2038</v>
      </c>
      <c r="X180" s="123">
        <f t="shared" ca="1" si="93"/>
        <v>50557</v>
      </c>
      <c r="Y180" s="64">
        <f t="shared" ca="1" si="94"/>
        <v>1298.942418077992</v>
      </c>
      <c r="Z180" s="64">
        <f t="shared" ca="1" si="95"/>
        <v>0</v>
      </c>
      <c r="AA180" s="64">
        <f t="shared" ca="1" si="96"/>
        <v>1467.7057919157803</v>
      </c>
      <c r="AB180" s="64">
        <f t="shared" ca="1" si="97"/>
        <v>0</v>
      </c>
      <c r="AF180" t="str">
        <f t="shared" ca="1" si="78"/>
        <v>22030</v>
      </c>
      <c r="AG180" s="126">
        <f t="shared" ca="1" si="79"/>
        <v>0</v>
      </c>
      <c r="AH180" s="126">
        <f t="shared" ca="1" si="80"/>
        <v>0</v>
      </c>
      <c r="AI180" s="126">
        <f t="shared" ca="1" si="81"/>
        <v>1066.1025353211778</v>
      </c>
      <c r="AJ180" t="str">
        <f t="shared" ca="1" si="82"/>
        <v>62038</v>
      </c>
      <c r="AK180" s="126">
        <f t="shared" ca="1" si="98"/>
        <v>0</v>
      </c>
      <c r="AL180" s="126">
        <f t="shared" ca="1" si="99"/>
        <v>0</v>
      </c>
      <c r="AM180" s="126">
        <f t="shared" ca="1" si="113"/>
        <v>0</v>
      </c>
      <c r="AN180" s="753">
        <f t="shared" ca="1" si="114"/>
        <v>0</v>
      </c>
      <c r="AO180" s="750">
        <f t="shared" ca="1" si="100"/>
        <v>0</v>
      </c>
      <c r="AP180" s="126">
        <f t="shared" ca="1" si="101"/>
        <v>0</v>
      </c>
      <c r="AQ180" s="126">
        <f t="shared" ca="1" si="102"/>
        <v>0</v>
      </c>
      <c r="AR180" s="126">
        <f t="shared" ca="1" si="83"/>
        <v>10000</v>
      </c>
      <c r="AS180" s="750">
        <f t="shared" ca="1" si="84"/>
        <v>0</v>
      </c>
      <c r="AT180" s="750">
        <f t="shared" ca="1" si="85"/>
        <v>0</v>
      </c>
      <c r="AU180" s="126">
        <f t="shared" ca="1" si="103"/>
        <v>1298.942418077992</v>
      </c>
      <c r="AV180" s="126">
        <f t="shared" ca="1" si="104"/>
        <v>7793.654508467951</v>
      </c>
      <c r="AW180" s="126">
        <f t="shared" ca="1" si="86"/>
        <v>10000</v>
      </c>
      <c r="AX180" s="750">
        <f t="shared" ca="1" si="105"/>
        <v>1298.942418077992</v>
      </c>
      <c r="AY180" s="750">
        <f t="shared" ca="1" si="106"/>
        <v>0</v>
      </c>
      <c r="AZ180">
        <f t="shared" si="107"/>
        <v>5750</v>
      </c>
    </row>
    <row r="181" spans="4:52">
      <c r="D181">
        <v>174</v>
      </c>
      <c r="E181" s="6">
        <f t="shared" ca="1" si="108"/>
        <v>47484</v>
      </c>
      <c r="F181" s="7">
        <f t="shared" ca="1" si="87"/>
        <v>1.2184028975099175</v>
      </c>
      <c r="G181" s="125">
        <f ca="1">IF('Simulador - 1º Pilar'!$E$99="Sí",IF('Aportaciones PPE'!$B$13&lt;'Aportaciones PPE'!E181,0,F181*$B$8/12),F181*$B$8/12)</f>
        <v>21322.050706423557</v>
      </c>
      <c r="H181" s="125">
        <f t="shared" ca="1" si="77"/>
        <v>1066.1025353211778</v>
      </c>
      <c r="I181" s="125">
        <f t="shared" ca="1" si="88"/>
        <v>0</v>
      </c>
      <c r="J181" s="125">
        <f t="shared" ca="1" si="89"/>
        <v>0</v>
      </c>
      <c r="K181" s="125">
        <f t="shared" ca="1" si="90"/>
        <v>1420.6970108463106</v>
      </c>
      <c r="L181" s="125">
        <f t="shared" ca="1" si="109"/>
        <v>0</v>
      </c>
      <c r="M181" s="125">
        <f t="shared" ca="1" si="91"/>
        <v>0</v>
      </c>
      <c r="N181" s="125">
        <f t="shared" ca="1" si="92"/>
        <v>1420.6970108463106</v>
      </c>
      <c r="R181">
        <f t="shared" si="110"/>
        <v>174</v>
      </c>
      <c r="U181" s="55"/>
      <c r="V181">
        <f t="shared" si="111"/>
        <v>7</v>
      </c>
      <c r="W181">
        <f t="shared" ca="1" si="112"/>
        <v>2038</v>
      </c>
      <c r="X181" s="123">
        <f t="shared" ca="1" si="93"/>
        <v>50587</v>
      </c>
      <c r="Y181" s="64">
        <f t="shared" ca="1" si="94"/>
        <v>1298.942418077992</v>
      </c>
      <c r="Z181" s="64">
        <f t="shared" ca="1" si="95"/>
        <v>0</v>
      </c>
      <c r="AA181" s="64">
        <f t="shared" ca="1" si="96"/>
        <v>1465.3205100306564</v>
      </c>
      <c r="AB181" s="64">
        <f t="shared" ca="1" si="97"/>
        <v>0</v>
      </c>
      <c r="AF181" t="str">
        <f t="shared" ca="1" si="78"/>
        <v>12030</v>
      </c>
      <c r="AG181" s="126">
        <f t="shared" ca="1" si="79"/>
        <v>0</v>
      </c>
      <c r="AH181" s="126">
        <f t="shared" ca="1" si="80"/>
        <v>0</v>
      </c>
      <c r="AI181" s="126">
        <f t="shared" ca="1" si="81"/>
        <v>1066.1025353211778</v>
      </c>
      <c r="AJ181" t="str">
        <f t="shared" ca="1" si="82"/>
        <v>72038</v>
      </c>
      <c r="AK181" s="126">
        <f t="shared" ca="1" si="98"/>
        <v>0</v>
      </c>
      <c r="AL181" s="126">
        <f t="shared" ca="1" si="99"/>
        <v>0</v>
      </c>
      <c r="AM181" s="126">
        <f t="shared" ca="1" si="113"/>
        <v>0</v>
      </c>
      <c r="AN181" s="753">
        <f t="shared" ca="1" si="114"/>
        <v>0</v>
      </c>
      <c r="AO181" s="750">
        <f t="shared" ca="1" si="100"/>
        <v>0</v>
      </c>
      <c r="AP181" s="126">
        <f t="shared" ca="1" si="101"/>
        <v>0</v>
      </c>
      <c r="AQ181" s="126">
        <f t="shared" ca="1" si="102"/>
        <v>0</v>
      </c>
      <c r="AR181" s="126">
        <f t="shared" ca="1" si="83"/>
        <v>10000</v>
      </c>
      <c r="AS181" s="750">
        <f t="shared" ca="1" si="84"/>
        <v>0</v>
      </c>
      <c r="AT181" s="750">
        <f t="shared" ca="1" si="85"/>
        <v>0</v>
      </c>
      <c r="AU181" s="126">
        <f t="shared" ca="1" si="103"/>
        <v>1298.942418077992</v>
      </c>
      <c r="AV181" s="126">
        <f t="shared" ca="1" si="104"/>
        <v>9092.5969265459426</v>
      </c>
      <c r="AW181" s="126">
        <f t="shared" ca="1" si="86"/>
        <v>10000</v>
      </c>
      <c r="AX181" s="750">
        <f t="shared" ca="1" si="105"/>
        <v>1298.942418077992</v>
      </c>
      <c r="AY181" s="750">
        <f t="shared" ca="1" si="106"/>
        <v>0</v>
      </c>
      <c r="AZ181">
        <f t="shared" si="107"/>
        <v>5750</v>
      </c>
    </row>
    <row r="182" spans="4:52">
      <c r="D182">
        <v>175</v>
      </c>
      <c r="E182" s="6">
        <f t="shared" ca="1" si="108"/>
        <v>47453</v>
      </c>
      <c r="F182" s="7">
        <f t="shared" ca="1" si="87"/>
        <v>1.1886857536682123</v>
      </c>
      <c r="G182" s="125">
        <f ca="1">IF('Simulador - 1º Pilar'!$E$99="Sí",IF('Aportaciones PPE'!$B$13&lt;'Aportaciones PPE'!E182,0,F182*$B$8/12),F182*$B$8/12)</f>
        <v>20802.000689193716</v>
      </c>
      <c r="H182" s="125">
        <f t="shared" ca="1" si="77"/>
        <v>1040.1000344596857</v>
      </c>
      <c r="I182" s="125">
        <f t="shared" ca="1" si="88"/>
        <v>0</v>
      </c>
      <c r="J182" s="125">
        <f t="shared" ca="1" si="89"/>
        <v>0</v>
      </c>
      <c r="K182" s="125">
        <f t="shared" ca="1" si="90"/>
        <v>1388.335031673286</v>
      </c>
      <c r="L182" s="125">
        <f t="shared" ca="1" si="109"/>
        <v>0</v>
      </c>
      <c r="M182" s="125">
        <f t="shared" ca="1" si="91"/>
        <v>0</v>
      </c>
      <c r="N182" s="125">
        <f t="shared" ca="1" si="92"/>
        <v>1388.335031673286</v>
      </c>
      <c r="R182">
        <f t="shared" si="110"/>
        <v>175</v>
      </c>
      <c r="U182" s="55"/>
      <c r="V182">
        <f t="shared" si="111"/>
        <v>8</v>
      </c>
      <c r="W182">
        <f t="shared" ca="1" si="112"/>
        <v>2038</v>
      </c>
      <c r="X182" s="123">
        <f t="shared" ca="1" si="93"/>
        <v>50618</v>
      </c>
      <c r="Y182" s="64">
        <f t="shared" ca="1" si="94"/>
        <v>907.40307345405745</v>
      </c>
      <c r="Z182" s="64">
        <f t="shared" ca="1" si="95"/>
        <v>391.53934462393454</v>
      </c>
      <c r="AA182" s="64">
        <f t="shared" ca="1" si="96"/>
        <v>1021.9109423613208</v>
      </c>
      <c r="AB182" s="64">
        <f t="shared" ca="1" si="97"/>
        <v>440.94884879893152</v>
      </c>
      <c r="AF182" t="str">
        <f t="shared" ca="1" si="78"/>
        <v>122029</v>
      </c>
      <c r="AG182" s="126">
        <f t="shared" ca="1" si="79"/>
        <v>0</v>
      </c>
      <c r="AH182" s="126">
        <f t="shared" ca="1" si="80"/>
        <v>0</v>
      </c>
      <c r="AI182" s="126">
        <f t="shared" ca="1" si="81"/>
        <v>1040.1000344596857</v>
      </c>
      <c r="AJ182" t="str">
        <f t="shared" ca="1" si="82"/>
        <v>82038</v>
      </c>
      <c r="AK182" s="126">
        <f t="shared" ca="1" si="98"/>
        <v>0</v>
      </c>
      <c r="AL182" s="126">
        <f t="shared" ca="1" si="99"/>
        <v>0</v>
      </c>
      <c r="AM182" s="126">
        <f t="shared" ca="1" si="113"/>
        <v>0</v>
      </c>
      <c r="AN182" s="753">
        <f t="shared" ca="1" si="114"/>
        <v>0</v>
      </c>
      <c r="AO182" s="750">
        <f t="shared" ca="1" si="100"/>
        <v>0</v>
      </c>
      <c r="AP182" s="126">
        <f t="shared" ca="1" si="101"/>
        <v>0</v>
      </c>
      <c r="AQ182" s="126">
        <f t="shared" ca="1" si="102"/>
        <v>0</v>
      </c>
      <c r="AR182" s="126">
        <f t="shared" ca="1" si="83"/>
        <v>10000</v>
      </c>
      <c r="AS182" s="750">
        <f t="shared" ca="1" si="84"/>
        <v>0</v>
      </c>
      <c r="AT182" s="750">
        <f t="shared" ca="1" si="85"/>
        <v>0</v>
      </c>
      <c r="AU182" s="126">
        <f t="shared" ca="1" si="103"/>
        <v>1298.942418077992</v>
      </c>
      <c r="AV182" s="126">
        <f t="shared" ca="1" si="104"/>
        <v>10391.539344623934</v>
      </c>
      <c r="AW182" s="126">
        <f t="shared" ca="1" si="86"/>
        <v>10000</v>
      </c>
      <c r="AX182" s="750">
        <f t="shared" ca="1" si="105"/>
        <v>907.40307345405745</v>
      </c>
      <c r="AY182" s="750">
        <f t="shared" ca="1" si="106"/>
        <v>391.53934462393454</v>
      </c>
      <c r="AZ182">
        <f t="shared" si="107"/>
        <v>5750</v>
      </c>
    </row>
    <row r="183" spans="4:52">
      <c r="D183">
        <v>176</v>
      </c>
      <c r="E183" s="6">
        <f t="shared" ca="1" si="108"/>
        <v>47423</v>
      </c>
      <c r="F183" s="7">
        <f t="shared" ca="1" si="87"/>
        <v>1.1886857536682123</v>
      </c>
      <c r="G183" s="125">
        <f ca="1">IF('Simulador - 1º Pilar'!$E$99="Sí",IF('Aportaciones PPE'!$B$13&lt;'Aportaciones PPE'!E183,0,F183*$B$8/12),F183*$B$8/12)</f>
        <v>20802.000689193716</v>
      </c>
      <c r="H183" s="125">
        <f t="shared" ca="1" si="77"/>
        <v>1040.1000344596857</v>
      </c>
      <c r="I183" s="125">
        <f t="shared" ca="1" si="88"/>
        <v>0</v>
      </c>
      <c r="J183" s="125">
        <f t="shared" ca="1" si="89"/>
        <v>0</v>
      </c>
      <c r="K183" s="125">
        <f t="shared" ca="1" si="90"/>
        <v>1390.6279798523985</v>
      </c>
      <c r="L183" s="125">
        <f t="shared" ca="1" si="109"/>
        <v>0</v>
      </c>
      <c r="M183" s="125">
        <f t="shared" ca="1" si="91"/>
        <v>0</v>
      </c>
      <c r="N183" s="125">
        <f t="shared" ca="1" si="92"/>
        <v>1390.6279798523985</v>
      </c>
      <c r="R183">
        <f t="shared" si="110"/>
        <v>176</v>
      </c>
      <c r="U183" s="55"/>
      <c r="V183">
        <f t="shared" si="111"/>
        <v>9</v>
      </c>
      <c r="W183">
        <f t="shared" ca="1" si="112"/>
        <v>2038</v>
      </c>
      <c r="X183" s="123">
        <f t="shared" ca="1" si="93"/>
        <v>50649</v>
      </c>
      <c r="Y183" s="64">
        <f t="shared" ca="1" si="94"/>
        <v>0</v>
      </c>
      <c r="Z183" s="64">
        <f t="shared" ca="1" si="95"/>
        <v>1298.942418077992</v>
      </c>
      <c r="AA183" s="64">
        <f t="shared" ca="1" si="96"/>
        <v>0</v>
      </c>
      <c r="AB183" s="64">
        <f t="shared" ca="1" si="97"/>
        <v>1460.4032045853546</v>
      </c>
      <c r="AF183" t="str">
        <f t="shared" ca="1" si="78"/>
        <v>112029</v>
      </c>
      <c r="AG183" s="126">
        <f t="shared" ca="1" si="79"/>
        <v>0</v>
      </c>
      <c r="AH183" s="126">
        <f t="shared" ca="1" si="80"/>
        <v>0</v>
      </c>
      <c r="AI183" s="126">
        <f t="shared" ca="1" si="81"/>
        <v>1040.1000344596857</v>
      </c>
      <c r="AJ183" t="str">
        <f t="shared" ca="1" si="82"/>
        <v>92038</v>
      </c>
      <c r="AK183" s="126">
        <f t="shared" ca="1" si="98"/>
        <v>0</v>
      </c>
      <c r="AL183" s="126">
        <f t="shared" ca="1" si="99"/>
        <v>0</v>
      </c>
      <c r="AM183" s="126">
        <f t="shared" ca="1" si="113"/>
        <v>0</v>
      </c>
      <c r="AN183" s="753">
        <f t="shared" ca="1" si="114"/>
        <v>0</v>
      </c>
      <c r="AO183" s="750">
        <f t="shared" ca="1" si="100"/>
        <v>0</v>
      </c>
      <c r="AP183" s="126">
        <f t="shared" ca="1" si="101"/>
        <v>0</v>
      </c>
      <c r="AQ183" s="126">
        <f t="shared" ca="1" si="102"/>
        <v>0</v>
      </c>
      <c r="AR183" s="126">
        <f t="shared" ca="1" si="83"/>
        <v>10000</v>
      </c>
      <c r="AS183" s="750">
        <f t="shared" ca="1" si="84"/>
        <v>0</v>
      </c>
      <c r="AT183" s="750">
        <f t="shared" ca="1" si="85"/>
        <v>0</v>
      </c>
      <c r="AU183" s="126">
        <f t="shared" ca="1" si="103"/>
        <v>1298.942418077992</v>
      </c>
      <c r="AV183" s="126">
        <f t="shared" ca="1" si="104"/>
        <v>11690.481762701926</v>
      </c>
      <c r="AW183" s="126">
        <f t="shared" ca="1" si="86"/>
        <v>10000</v>
      </c>
      <c r="AX183" s="750">
        <f t="shared" ca="1" si="105"/>
        <v>0</v>
      </c>
      <c r="AY183" s="750">
        <f t="shared" ca="1" si="106"/>
        <v>1298.942418077992</v>
      </c>
      <c r="AZ183">
        <f t="shared" si="107"/>
        <v>5750</v>
      </c>
    </row>
    <row r="184" spans="4:52">
      <c r="D184">
        <v>177</v>
      </c>
      <c r="E184" s="6">
        <f t="shared" ca="1" si="108"/>
        <v>47392</v>
      </c>
      <c r="F184" s="7">
        <f t="shared" ca="1" si="87"/>
        <v>1.1886857536682123</v>
      </c>
      <c r="G184" s="125">
        <f ca="1">IF('Simulador - 1º Pilar'!$E$99="Sí",IF('Aportaciones PPE'!$B$13&lt;'Aportaciones PPE'!E184,0,F184*$B$8/12),F184*$B$8/12)</f>
        <v>20802.000689193716</v>
      </c>
      <c r="H184" s="125">
        <f t="shared" ca="1" si="77"/>
        <v>1040.1000344596857</v>
      </c>
      <c r="I184" s="125">
        <f t="shared" ca="1" si="88"/>
        <v>0</v>
      </c>
      <c r="J184" s="125">
        <f t="shared" ca="1" si="89"/>
        <v>0</v>
      </c>
      <c r="K184" s="125">
        <f t="shared" ca="1" si="90"/>
        <v>1392.9247150218498</v>
      </c>
      <c r="L184" s="125">
        <f t="shared" ca="1" si="109"/>
        <v>0</v>
      </c>
      <c r="M184" s="125">
        <f t="shared" ca="1" si="91"/>
        <v>0</v>
      </c>
      <c r="N184" s="125">
        <f t="shared" ca="1" si="92"/>
        <v>1392.9247150218498</v>
      </c>
      <c r="R184">
        <f t="shared" si="110"/>
        <v>177</v>
      </c>
      <c r="U184" s="55"/>
      <c r="V184">
        <f t="shared" si="111"/>
        <v>10</v>
      </c>
      <c r="W184">
        <f t="shared" ca="1" si="112"/>
        <v>2038</v>
      </c>
      <c r="X184" s="123">
        <f t="shared" ca="1" si="93"/>
        <v>50679</v>
      </c>
      <c r="Y184" s="64">
        <f t="shared" ca="1" si="94"/>
        <v>0</v>
      </c>
      <c r="Z184" s="64">
        <f t="shared" ca="1" si="95"/>
        <v>1298.942418077992</v>
      </c>
      <c r="AA184" s="64">
        <f t="shared" ca="1" si="96"/>
        <v>0</v>
      </c>
      <c r="AB184" s="64">
        <f t="shared" ca="1" si="97"/>
        <v>1458.029790698143</v>
      </c>
      <c r="AF184" t="str">
        <f t="shared" ca="1" si="78"/>
        <v>102029</v>
      </c>
      <c r="AG184" s="126">
        <f t="shared" ca="1" si="79"/>
        <v>0</v>
      </c>
      <c r="AH184" s="126">
        <f t="shared" ca="1" si="80"/>
        <v>0</v>
      </c>
      <c r="AI184" s="126">
        <f t="shared" ca="1" si="81"/>
        <v>1040.1000344596857</v>
      </c>
      <c r="AJ184" t="str">
        <f t="shared" ca="1" si="82"/>
        <v>102038</v>
      </c>
      <c r="AK184" s="126">
        <f t="shared" ca="1" si="98"/>
        <v>0</v>
      </c>
      <c r="AL184" s="126">
        <f t="shared" ca="1" si="99"/>
        <v>0</v>
      </c>
      <c r="AM184" s="126">
        <f t="shared" ca="1" si="113"/>
        <v>0</v>
      </c>
      <c r="AN184" s="753">
        <f t="shared" ca="1" si="114"/>
        <v>0</v>
      </c>
      <c r="AO184" s="750">
        <f t="shared" ca="1" si="100"/>
        <v>0</v>
      </c>
      <c r="AP184" s="126">
        <f t="shared" ca="1" si="101"/>
        <v>0</v>
      </c>
      <c r="AQ184" s="126">
        <f t="shared" ca="1" si="102"/>
        <v>0</v>
      </c>
      <c r="AR184" s="126">
        <f t="shared" ca="1" si="83"/>
        <v>10000</v>
      </c>
      <c r="AS184" s="750">
        <f t="shared" ca="1" si="84"/>
        <v>0</v>
      </c>
      <c r="AT184" s="750">
        <f t="shared" ca="1" si="85"/>
        <v>0</v>
      </c>
      <c r="AU184" s="126">
        <f t="shared" ca="1" si="103"/>
        <v>1298.942418077992</v>
      </c>
      <c r="AV184" s="126">
        <f t="shared" ca="1" si="104"/>
        <v>12989.424180779917</v>
      </c>
      <c r="AW184" s="126">
        <f t="shared" ca="1" si="86"/>
        <v>10000</v>
      </c>
      <c r="AX184" s="750">
        <f t="shared" ca="1" si="105"/>
        <v>0</v>
      </c>
      <c r="AY184" s="750">
        <f t="shared" ca="1" si="106"/>
        <v>1298.942418077992</v>
      </c>
      <c r="AZ184">
        <f t="shared" si="107"/>
        <v>5750</v>
      </c>
    </row>
    <row r="185" spans="4:52">
      <c r="D185">
        <v>178</v>
      </c>
      <c r="E185" s="6">
        <f t="shared" ca="1" si="108"/>
        <v>47362</v>
      </c>
      <c r="F185" s="7">
        <f t="shared" ca="1" si="87"/>
        <v>1.1886857536682123</v>
      </c>
      <c r="G185" s="125">
        <f ca="1">IF('Simulador - 1º Pilar'!$E$99="Sí",IF('Aportaciones PPE'!$B$13&lt;'Aportaciones PPE'!E185,0,F185*$B$8/12),F185*$B$8/12)</f>
        <v>20802.000689193716</v>
      </c>
      <c r="H185" s="125">
        <f t="shared" ca="1" si="77"/>
        <v>1040.1000344596857</v>
      </c>
      <c r="I185" s="125">
        <f t="shared" ca="1" si="88"/>
        <v>0</v>
      </c>
      <c r="J185" s="125">
        <f t="shared" ca="1" si="89"/>
        <v>0</v>
      </c>
      <c r="K185" s="125">
        <f t="shared" ca="1" si="90"/>
        <v>1395.2252434361624</v>
      </c>
      <c r="L185" s="125">
        <f t="shared" ca="1" si="109"/>
        <v>0</v>
      </c>
      <c r="M185" s="125">
        <f t="shared" ca="1" si="91"/>
        <v>0</v>
      </c>
      <c r="N185" s="125">
        <f t="shared" ca="1" si="92"/>
        <v>1395.2252434361624</v>
      </c>
      <c r="R185">
        <f t="shared" si="110"/>
        <v>178</v>
      </c>
      <c r="U185" s="55"/>
      <c r="V185">
        <f t="shared" si="111"/>
        <v>11</v>
      </c>
      <c r="W185">
        <f t="shared" ca="1" si="112"/>
        <v>2038</v>
      </c>
      <c r="X185" s="123">
        <f t="shared" ca="1" si="93"/>
        <v>50710</v>
      </c>
      <c r="Y185" s="64">
        <f t="shared" ca="1" si="94"/>
        <v>0</v>
      </c>
      <c r="Z185" s="64">
        <f t="shared" ca="1" si="95"/>
        <v>1298.942418077992</v>
      </c>
      <c r="AA185" s="64">
        <f t="shared" ca="1" si="96"/>
        <v>0</v>
      </c>
      <c r="AB185" s="64">
        <f t="shared" ca="1" si="97"/>
        <v>1455.5813151632533</v>
      </c>
      <c r="AF185" t="str">
        <f t="shared" ca="1" si="78"/>
        <v>92029</v>
      </c>
      <c r="AG185" s="126">
        <f t="shared" ca="1" si="79"/>
        <v>0</v>
      </c>
      <c r="AH185" s="126">
        <f t="shared" ca="1" si="80"/>
        <v>0</v>
      </c>
      <c r="AI185" s="126">
        <f t="shared" ca="1" si="81"/>
        <v>1040.1000344596857</v>
      </c>
      <c r="AJ185" t="str">
        <f t="shared" ca="1" si="82"/>
        <v>112038</v>
      </c>
      <c r="AK185" s="126">
        <f t="shared" ca="1" si="98"/>
        <v>0</v>
      </c>
      <c r="AL185" s="126">
        <f t="shared" ca="1" si="99"/>
        <v>0</v>
      </c>
      <c r="AM185" s="126">
        <f t="shared" ca="1" si="113"/>
        <v>0</v>
      </c>
      <c r="AN185" s="753">
        <f t="shared" ca="1" si="114"/>
        <v>0</v>
      </c>
      <c r="AO185" s="750">
        <f t="shared" ca="1" si="100"/>
        <v>0</v>
      </c>
      <c r="AP185" s="126">
        <f t="shared" ca="1" si="101"/>
        <v>0</v>
      </c>
      <c r="AQ185" s="126">
        <f t="shared" ca="1" si="102"/>
        <v>0</v>
      </c>
      <c r="AR185" s="126">
        <f t="shared" ca="1" si="83"/>
        <v>10000</v>
      </c>
      <c r="AS185" s="750">
        <f t="shared" ca="1" si="84"/>
        <v>0</v>
      </c>
      <c r="AT185" s="750">
        <f t="shared" ca="1" si="85"/>
        <v>0</v>
      </c>
      <c r="AU185" s="126">
        <f t="shared" ca="1" si="103"/>
        <v>1298.942418077992</v>
      </c>
      <c r="AV185" s="126">
        <f t="shared" ca="1" si="104"/>
        <v>14288.366598857909</v>
      </c>
      <c r="AW185" s="126">
        <f t="shared" ca="1" si="86"/>
        <v>10000</v>
      </c>
      <c r="AX185" s="750">
        <f t="shared" ca="1" si="105"/>
        <v>0</v>
      </c>
      <c r="AY185" s="750">
        <f t="shared" ca="1" si="106"/>
        <v>1298.942418077992</v>
      </c>
      <c r="AZ185">
        <f t="shared" si="107"/>
        <v>5750</v>
      </c>
    </row>
    <row r="186" spans="4:52">
      <c r="D186">
        <v>179</v>
      </c>
      <c r="E186" s="6">
        <f t="shared" ca="1" si="108"/>
        <v>47331</v>
      </c>
      <c r="F186" s="7">
        <f t="shared" ca="1" si="87"/>
        <v>1.1886857536682123</v>
      </c>
      <c r="G186" s="125">
        <f ca="1">IF('Simulador - 1º Pilar'!$E$99="Sí",IF('Aportaciones PPE'!$B$13&lt;'Aportaciones PPE'!E186,0,F186*$B$8/12),F186*$B$8/12)</f>
        <v>20802.000689193716</v>
      </c>
      <c r="H186" s="125">
        <f t="shared" ca="1" si="77"/>
        <v>1040.1000344596857</v>
      </c>
      <c r="I186" s="125">
        <f t="shared" ca="1" si="88"/>
        <v>0</v>
      </c>
      <c r="J186" s="125">
        <f t="shared" ca="1" si="89"/>
        <v>0</v>
      </c>
      <c r="K186" s="125">
        <f t="shared" ca="1" si="90"/>
        <v>1397.5295713601884</v>
      </c>
      <c r="L186" s="125">
        <f t="shared" ca="1" si="109"/>
        <v>0</v>
      </c>
      <c r="M186" s="125">
        <f t="shared" ca="1" si="91"/>
        <v>0</v>
      </c>
      <c r="N186" s="125">
        <f t="shared" ca="1" si="92"/>
        <v>1397.5295713601884</v>
      </c>
      <c r="R186">
        <f t="shared" si="110"/>
        <v>179</v>
      </c>
      <c r="U186" s="55"/>
      <c r="V186">
        <f t="shared" si="111"/>
        <v>12</v>
      </c>
      <c r="W186">
        <f t="shared" ca="1" si="112"/>
        <v>2038</v>
      </c>
      <c r="X186" s="123">
        <f t="shared" ca="1" si="93"/>
        <v>50740</v>
      </c>
      <c r="Y186" s="64">
        <f t="shared" ca="1" si="94"/>
        <v>0</v>
      </c>
      <c r="Z186" s="64">
        <f t="shared" ca="1" si="95"/>
        <v>1298.942418077992</v>
      </c>
      <c r="AA186" s="64">
        <f t="shared" ca="1" si="96"/>
        <v>0</v>
      </c>
      <c r="AB186" s="64">
        <f t="shared" ca="1" si="97"/>
        <v>1453.2157377004487</v>
      </c>
      <c r="AF186" t="str">
        <f t="shared" ca="1" si="78"/>
        <v>82029</v>
      </c>
      <c r="AG186" s="126">
        <f t="shared" ca="1" si="79"/>
        <v>0</v>
      </c>
      <c r="AH186" s="126">
        <f t="shared" ca="1" si="80"/>
        <v>0</v>
      </c>
      <c r="AI186" s="126">
        <f t="shared" ca="1" si="81"/>
        <v>1040.1000344596857</v>
      </c>
      <c r="AJ186" t="str">
        <f t="shared" ca="1" si="82"/>
        <v>122038</v>
      </c>
      <c r="AK186" s="126">
        <f t="shared" ca="1" si="98"/>
        <v>0</v>
      </c>
      <c r="AL186" s="126">
        <f t="shared" ca="1" si="99"/>
        <v>0</v>
      </c>
      <c r="AM186" s="126">
        <f t="shared" ca="1" si="113"/>
        <v>0</v>
      </c>
      <c r="AN186" s="753">
        <f t="shared" ca="1" si="114"/>
        <v>0</v>
      </c>
      <c r="AO186" s="750">
        <f t="shared" ca="1" si="100"/>
        <v>0</v>
      </c>
      <c r="AP186" s="126">
        <f t="shared" ca="1" si="101"/>
        <v>0</v>
      </c>
      <c r="AQ186" s="126">
        <f t="shared" ca="1" si="102"/>
        <v>0</v>
      </c>
      <c r="AR186" s="126">
        <f t="shared" ca="1" si="83"/>
        <v>10000</v>
      </c>
      <c r="AS186" s="750">
        <f t="shared" ca="1" si="84"/>
        <v>0</v>
      </c>
      <c r="AT186" s="750">
        <f t="shared" ca="1" si="85"/>
        <v>0</v>
      </c>
      <c r="AU186" s="126">
        <f t="shared" ca="1" si="103"/>
        <v>1298.942418077992</v>
      </c>
      <c r="AV186" s="126">
        <f t="shared" ca="1" si="104"/>
        <v>15587.3090169359</v>
      </c>
      <c r="AW186" s="126">
        <f t="shared" ca="1" si="86"/>
        <v>10000</v>
      </c>
      <c r="AX186" s="750">
        <f t="shared" ca="1" si="105"/>
        <v>0</v>
      </c>
      <c r="AY186" s="750">
        <f t="shared" ca="1" si="106"/>
        <v>1298.942418077992</v>
      </c>
      <c r="AZ186">
        <f t="shared" si="107"/>
        <v>5750</v>
      </c>
    </row>
    <row r="187" spans="4:52">
      <c r="D187">
        <v>180</v>
      </c>
      <c r="E187" s="6">
        <f t="shared" ca="1" si="108"/>
        <v>47300</v>
      </c>
      <c r="F187" s="7">
        <f t="shared" ca="1" si="87"/>
        <v>1.1886857536682123</v>
      </c>
      <c r="G187" s="125">
        <f ca="1">IF('Simulador - 1º Pilar'!$E$99="Sí",IF('Aportaciones PPE'!$B$13&lt;'Aportaciones PPE'!E187,0,F187*$B$8/12),F187*$B$8/12)</f>
        <v>20802.000689193716</v>
      </c>
      <c r="H187" s="125">
        <f t="shared" ca="1" si="77"/>
        <v>1040.1000344596857</v>
      </c>
      <c r="I187" s="125">
        <f t="shared" ca="1" si="88"/>
        <v>0</v>
      </c>
      <c r="J187" s="125">
        <f t="shared" ca="1" si="89"/>
        <v>0</v>
      </c>
      <c r="K187" s="125">
        <f t="shared" ca="1" si="90"/>
        <v>1399.8377050691267</v>
      </c>
      <c r="L187" s="125">
        <f t="shared" ca="1" si="109"/>
        <v>0</v>
      </c>
      <c r="M187" s="125">
        <f t="shared" ca="1" si="91"/>
        <v>0</v>
      </c>
      <c r="N187" s="125">
        <f t="shared" ca="1" si="92"/>
        <v>1399.8377050691267</v>
      </c>
      <c r="R187">
        <f t="shared" si="110"/>
        <v>180</v>
      </c>
      <c r="U187" s="55"/>
      <c r="V187">
        <f t="shared" si="111"/>
        <v>1</v>
      </c>
      <c r="W187">
        <f t="shared" ca="1" si="112"/>
        <v>2039</v>
      </c>
      <c r="X187" s="123">
        <f t="shared" ca="1" si="93"/>
        <v>50771</v>
      </c>
      <c r="Y187" s="64">
        <f t="shared" ca="1" si="94"/>
        <v>1331.4159785299416</v>
      </c>
      <c r="Z187" s="64">
        <f t="shared" ca="1" si="95"/>
        <v>0</v>
      </c>
      <c r="AA187" s="64">
        <f t="shared" ca="1" si="96"/>
        <v>1487.044730085546</v>
      </c>
      <c r="AB187" s="64">
        <f t="shared" ca="1" si="97"/>
        <v>0</v>
      </c>
      <c r="AF187" t="str">
        <f t="shared" ca="1" si="78"/>
        <v>72029</v>
      </c>
      <c r="AG187" s="126">
        <f t="shared" ca="1" si="79"/>
        <v>0</v>
      </c>
      <c r="AH187" s="126">
        <f t="shared" ca="1" si="80"/>
        <v>0</v>
      </c>
      <c r="AI187" s="126">
        <f t="shared" ca="1" si="81"/>
        <v>1040.1000344596857</v>
      </c>
      <c r="AJ187" t="str">
        <f t="shared" ca="1" si="82"/>
        <v>12039</v>
      </c>
      <c r="AK187" s="126">
        <f t="shared" ca="1" si="98"/>
        <v>0</v>
      </c>
      <c r="AL187" s="126">
        <f t="shared" ca="1" si="99"/>
        <v>0</v>
      </c>
      <c r="AM187" s="126">
        <f t="shared" ca="1" si="113"/>
        <v>0</v>
      </c>
      <c r="AN187" s="753">
        <f t="shared" ca="1" si="114"/>
        <v>0</v>
      </c>
      <c r="AO187" s="750">
        <f t="shared" ca="1" si="100"/>
        <v>0</v>
      </c>
      <c r="AP187" s="126">
        <f t="shared" ca="1" si="101"/>
        <v>0</v>
      </c>
      <c r="AQ187" s="126">
        <f t="shared" ca="1" si="102"/>
        <v>0</v>
      </c>
      <c r="AR187" s="126">
        <f t="shared" ca="1" si="83"/>
        <v>10000</v>
      </c>
      <c r="AS187" s="750">
        <f t="shared" ca="1" si="84"/>
        <v>0</v>
      </c>
      <c r="AT187" s="750">
        <f t="shared" ca="1" si="85"/>
        <v>0</v>
      </c>
      <c r="AU187" s="126">
        <f t="shared" ca="1" si="103"/>
        <v>1331.4159785299416</v>
      </c>
      <c r="AV187" s="126">
        <f t="shared" ca="1" si="104"/>
        <v>1331.4159785299416</v>
      </c>
      <c r="AW187" s="126">
        <f t="shared" ca="1" si="86"/>
        <v>10000</v>
      </c>
      <c r="AX187" s="750">
        <f t="shared" ca="1" si="105"/>
        <v>1331.4159785299416</v>
      </c>
      <c r="AY187" s="750">
        <f t="shared" ca="1" si="106"/>
        <v>0</v>
      </c>
      <c r="AZ187">
        <f t="shared" si="107"/>
        <v>5750</v>
      </c>
    </row>
    <row r="188" spans="4:52">
      <c r="D188">
        <v>181</v>
      </c>
      <c r="E188" s="6">
        <f t="shared" ca="1" si="108"/>
        <v>47270</v>
      </c>
      <c r="F188" s="7">
        <f t="shared" ca="1" si="87"/>
        <v>1.1886857536682123</v>
      </c>
      <c r="G188" s="125">
        <f ca="1">IF('Simulador - 1º Pilar'!$E$99="Sí",IF('Aportaciones PPE'!$B$13&lt;'Aportaciones PPE'!E188,0,F188*$B$8/12),F188*$B$8/12)</f>
        <v>20802.000689193716</v>
      </c>
      <c r="H188" s="125">
        <f t="shared" ca="1" si="77"/>
        <v>1040.1000344596857</v>
      </c>
      <c r="I188" s="125">
        <f t="shared" ca="1" si="88"/>
        <v>0</v>
      </c>
      <c r="J188" s="125">
        <f t="shared" ca="1" si="89"/>
        <v>0</v>
      </c>
      <c r="K188" s="125">
        <f t="shared" ca="1" si="90"/>
        <v>1402.1496508485425</v>
      </c>
      <c r="L188" s="125">
        <f t="shared" ca="1" si="109"/>
        <v>0</v>
      </c>
      <c r="M188" s="125">
        <f t="shared" ca="1" si="91"/>
        <v>0</v>
      </c>
      <c r="N188" s="125">
        <f t="shared" ca="1" si="92"/>
        <v>1402.1496508485425</v>
      </c>
      <c r="R188">
        <f t="shared" si="110"/>
        <v>181</v>
      </c>
      <c r="U188" s="55"/>
      <c r="V188">
        <f t="shared" si="111"/>
        <v>2</v>
      </c>
      <c r="W188">
        <f t="shared" ca="1" si="112"/>
        <v>2039</v>
      </c>
      <c r="X188" s="123">
        <f t="shared" ca="1" si="93"/>
        <v>50802</v>
      </c>
      <c r="Y188" s="64">
        <f t="shared" ca="1" si="94"/>
        <v>1331.4159785299416</v>
      </c>
      <c r="Z188" s="64">
        <f t="shared" ca="1" si="95"/>
        <v>0</v>
      </c>
      <c r="AA188" s="64">
        <f t="shared" ca="1" si="96"/>
        <v>1484.5475296414058</v>
      </c>
      <c r="AB188" s="64">
        <f t="shared" ca="1" si="97"/>
        <v>0</v>
      </c>
      <c r="AF188" t="str">
        <f t="shared" ca="1" si="78"/>
        <v>62029</v>
      </c>
      <c r="AG188" s="126">
        <f t="shared" ca="1" si="79"/>
        <v>0</v>
      </c>
      <c r="AH188" s="126">
        <f t="shared" ca="1" si="80"/>
        <v>0</v>
      </c>
      <c r="AI188" s="126">
        <f t="shared" ca="1" si="81"/>
        <v>1040.1000344596857</v>
      </c>
      <c r="AJ188" t="str">
        <f t="shared" ca="1" si="82"/>
        <v>22039</v>
      </c>
      <c r="AK188" s="126">
        <f t="shared" ca="1" si="98"/>
        <v>0</v>
      </c>
      <c r="AL188" s="126">
        <f t="shared" ca="1" si="99"/>
        <v>0</v>
      </c>
      <c r="AM188" s="126">
        <f t="shared" ca="1" si="113"/>
        <v>0</v>
      </c>
      <c r="AN188" s="753">
        <f t="shared" ca="1" si="114"/>
        <v>0</v>
      </c>
      <c r="AO188" s="750">
        <f t="shared" ca="1" si="100"/>
        <v>0</v>
      </c>
      <c r="AP188" s="126">
        <f t="shared" ca="1" si="101"/>
        <v>0</v>
      </c>
      <c r="AQ188" s="126">
        <f t="shared" ca="1" si="102"/>
        <v>0</v>
      </c>
      <c r="AR188" s="126">
        <f t="shared" ca="1" si="83"/>
        <v>10000</v>
      </c>
      <c r="AS188" s="750">
        <f t="shared" ca="1" si="84"/>
        <v>0</v>
      </c>
      <c r="AT188" s="750">
        <f t="shared" ca="1" si="85"/>
        <v>0</v>
      </c>
      <c r="AU188" s="126">
        <f t="shared" ca="1" si="103"/>
        <v>1331.4159785299416</v>
      </c>
      <c r="AV188" s="126">
        <f t="shared" ca="1" si="104"/>
        <v>2662.8319570598833</v>
      </c>
      <c r="AW188" s="126">
        <f t="shared" ca="1" si="86"/>
        <v>10000</v>
      </c>
      <c r="AX188" s="750">
        <f t="shared" ca="1" si="105"/>
        <v>1331.4159785299416</v>
      </c>
      <c r="AY188" s="750">
        <f t="shared" ca="1" si="106"/>
        <v>0</v>
      </c>
      <c r="AZ188">
        <f t="shared" si="107"/>
        <v>5750</v>
      </c>
    </row>
    <row r="189" spans="4:52">
      <c r="D189">
        <v>182</v>
      </c>
      <c r="E189" s="6">
        <f t="shared" ca="1" si="108"/>
        <v>47239</v>
      </c>
      <c r="F189" s="7">
        <f t="shared" ca="1" si="87"/>
        <v>1.1886857536682123</v>
      </c>
      <c r="G189" s="125">
        <f ca="1">IF('Simulador - 1º Pilar'!$E$99="Sí",IF('Aportaciones PPE'!$B$13&lt;'Aportaciones PPE'!E189,0,F189*$B$8/12),F189*$B$8/12)</f>
        <v>20802.000689193716</v>
      </c>
      <c r="H189" s="125">
        <f t="shared" ca="1" si="77"/>
        <v>1040.1000344596857</v>
      </c>
      <c r="I189" s="125">
        <f t="shared" ca="1" si="88"/>
        <v>0</v>
      </c>
      <c r="J189" s="125">
        <f t="shared" ca="1" si="89"/>
        <v>0</v>
      </c>
      <c r="K189" s="125">
        <f t="shared" ca="1" si="90"/>
        <v>1404.4654149943779</v>
      </c>
      <c r="L189" s="125">
        <f t="shared" ca="1" si="109"/>
        <v>0</v>
      </c>
      <c r="M189" s="125">
        <f t="shared" ca="1" si="91"/>
        <v>0</v>
      </c>
      <c r="N189" s="125">
        <f t="shared" ca="1" si="92"/>
        <v>1404.4654149943779</v>
      </c>
      <c r="R189">
        <f t="shared" si="110"/>
        <v>182</v>
      </c>
      <c r="U189" s="55"/>
      <c r="V189">
        <f t="shared" si="111"/>
        <v>3</v>
      </c>
      <c r="W189">
        <f t="shared" ca="1" si="112"/>
        <v>2039</v>
      </c>
      <c r="X189" s="123">
        <f t="shared" ca="1" si="93"/>
        <v>50830</v>
      </c>
      <c r="Y189" s="64">
        <f t="shared" ca="1" si="94"/>
        <v>1331.4159785299416</v>
      </c>
      <c r="Z189" s="64">
        <f t="shared" ca="1" si="95"/>
        <v>0</v>
      </c>
      <c r="AA189" s="64">
        <f t="shared" ca="1" si="96"/>
        <v>1482.295598405283</v>
      </c>
      <c r="AB189" s="64">
        <f t="shared" ca="1" si="97"/>
        <v>0</v>
      </c>
      <c r="AF189" t="str">
        <f t="shared" ca="1" si="78"/>
        <v>52029</v>
      </c>
      <c r="AG189" s="126">
        <f t="shared" ca="1" si="79"/>
        <v>0</v>
      </c>
      <c r="AH189" s="126">
        <f t="shared" ca="1" si="80"/>
        <v>0</v>
      </c>
      <c r="AI189" s="126">
        <f t="shared" ca="1" si="81"/>
        <v>1040.1000344596857</v>
      </c>
      <c r="AJ189" t="str">
        <f t="shared" ca="1" si="82"/>
        <v>32039</v>
      </c>
      <c r="AK189" s="126">
        <f t="shared" ca="1" si="98"/>
        <v>0</v>
      </c>
      <c r="AL189" s="126">
        <f t="shared" ca="1" si="99"/>
        <v>0</v>
      </c>
      <c r="AM189" s="126">
        <f t="shared" ca="1" si="113"/>
        <v>0</v>
      </c>
      <c r="AN189" s="753">
        <f t="shared" ca="1" si="114"/>
        <v>0</v>
      </c>
      <c r="AO189" s="750">
        <f t="shared" ca="1" si="100"/>
        <v>0</v>
      </c>
      <c r="AP189" s="126">
        <f t="shared" ca="1" si="101"/>
        <v>0</v>
      </c>
      <c r="AQ189" s="126">
        <f t="shared" ca="1" si="102"/>
        <v>0</v>
      </c>
      <c r="AR189" s="126">
        <f t="shared" ca="1" si="83"/>
        <v>10000</v>
      </c>
      <c r="AS189" s="750">
        <f t="shared" ca="1" si="84"/>
        <v>0</v>
      </c>
      <c r="AT189" s="750">
        <f t="shared" ca="1" si="85"/>
        <v>0</v>
      </c>
      <c r="AU189" s="126">
        <f t="shared" ca="1" si="103"/>
        <v>1331.4159785299416</v>
      </c>
      <c r="AV189" s="126">
        <f t="shared" ca="1" si="104"/>
        <v>3994.2479355898249</v>
      </c>
      <c r="AW189" s="126">
        <f t="shared" ca="1" si="86"/>
        <v>10000</v>
      </c>
      <c r="AX189" s="750">
        <f t="shared" ca="1" si="105"/>
        <v>1331.4159785299416</v>
      </c>
      <c r="AY189" s="750">
        <f t="shared" ca="1" si="106"/>
        <v>0</v>
      </c>
      <c r="AZ189">
        <f t="shared" si="107"/>
        <v>5750</v>
      </c>
    </row>
    <row r="190" spans="4:52">
      <c r="D190">
        <v>183</v>
      </c>
      <c r="E190" s="6">
        <f t="shared" ca="1" si="108"/>
        <v>47209</v>
      </c>
      <c r="F190" s="7">
        <f t="shared" ca="1" si="87"/>
        <v>1.1886857536682123</v>
      </c>
      <c r="G190" s="125">
        <f ca="1">IF('Simulador - 1º Pilar'!$E$99="Sí",IF('Aportaciones PPE'!$B$13&lt;'Aportaciones PPE'!E190,0,F190*$B$8/12),F190*$B$8/12)</f>
        <v>20802.000689193716</v>
      </c>
      <c r="H190" s="125">
        <f t="shared" ca="1" si="77"/>
        <v>1040.1000344596857</v>
      </c>
      <c r="I190" s="125">
        <f t="shared" ca="1" si="88"/>
        <v>0</v>
      </c>
      <c r="J190" s="125">
        <f t="shared" ca="1" si="89"/>
        <v>0</v>
      </c>
      <c r="K190" s="125">
        <f t="shared" ca="1" si="90"/>
        <v>1406.7850038129761</v>
      </c>
      <c r="L190" s="125">
        <f t="shared" ca="1" si="109"/>
        <v>0</v>
      </c>
      <c r="M190" s="125">
        <f t="shared" ca="1" si="91"/>
        <v>0</v>
      </c>
      <c r="N190" s="125">
        <f t="shared" ca="1" si="92"/>
        <v>1406.7850038129761</v>
      </c>
      <c r="R190">
        <f t="shared" si="110"/>
        <v>183</v>
      </c>
      <c r="U190" s="55"/>
      <c r="V190">
        <f t="shared" si="111"/>
        <v>4</v>
      </c>
      <c r="W190">
        <f t="shared" ca="1" si="112"/>
        <v>2039</v>
      </c>
      <c r="X190" s="123">
        <f t="shared" ca="1" si="93"/>
        <v>50861</v>
      </c>
      <c r="Y190" s="64">
        <f t="shared" ca="1" si="94"/>
        <v>1331.4159785299416</v>
      </c>
      <c r="Z190" s="64">
        <f t="shared" ca="1" si="95"/>
        <v>0</v>
      </c>
      <c r="AA190" s="64">
        <f t="shared" ca="1" si="96"/>
        <v>1479.8063731978664</v>
      </c>
      <c r="AB190" s="64">
        <f t="shared" ca="1" si="97"/>
        <v>0</v>
      </c>
      <c r="AF190" t="str">
        <f t="shared" ca="1" si="78"/>
        <v>42029</v>
      </c>
      <c r="AG190" s="126">
        <f t="shared" ca="1" si="79"/>
        <v>0</v>
      </c>
      <c r="AH190" s="126">
        <f t="shared" ca="1" si="80"/>
        <v>0</v>
      </c>
      <c r="AI190" s="126">
        <f t="shared" ca="1" si="81"/>
        <v>1040.1000344596857</v>
      </c>
      <c r="AJ190" t="str">
        <f t="shared" ca="1" si="82"/>
        <v>42039</v>
      </c>
      <c r="AK190" s="126">
        <f t="shared" ca="1" si="98"/>
        <v>0</v>
      </c>
      <c r="AL190" s="126">
        <f t="shared" ca="1" si="99"/>
        <v>0</v>
      </c>
      <c r="AM190" s="126">
        <f t="shared" ca="1" si="113"/>
        <v>0</v>
      </c>
      <c r="AN190" s="753">
        <f t="shared" ca="1" si="114"/>
        <v>0</v>
      </c>
      <c r="AO190" s="750">
        <f t="shared" ca="1" si="100"/>
        <v>0</v>
      </c>
      <c r="AP190" s="126">
        <f t="shared" ca="1" si="101"/>
        <v>0</v>
      </c>
      <c r="AQ190" s="126">
        <f t="shared" ca="1" si="102"/>
        <v>0</v>
      </c>
      <c r="AR190" s="126">
        <f t="shared" ca="1" si="83"/>
        <v>10000</v>
      </c>
      <c r="AS190" s="750">
        <f t="shared" ca="1" si="84"/>
        <v>0</v>
      </c>
      <c r="AT190" s="750">
        <f t="shared" ca="1" si="85"/>
        <v>0</v>
      </c>
      <c r="AU190" s="126">
        <f t="shared" ca="1" si="103"/>
        <v>1331.4159785299416</v>
      </c>
      <c r="AV190" s="126">
        <f t="shared" ca="1" si="104"/>
        <v>5325.6639141197666</v>
      </c>
      <c r="AW190" s="126">
        <f t="shared" ca="1" si="86"/>
        <v>10000</v>
      </c>
      <c r="AX190" s="750">
        <f t="shared" ca="1" si="105"/>
        <v>1331.4159785299416</v>
      </c>
      <c r="AY190" s="750">
        <f t="shared" ca="1" si="106"/>
        <v>0</v>
      </c>
      <c r="AZ190">
        <f t="shared" si="107"/>
        <v>5750</v>
      </c>
    </row>
    <row r="191" spans="4:52">
      <c r="D191">
        <v>184</v>
      </c>
      <c r="E191" s="6">
        <f t="shared" ca="1" si="108"/>
        <v>47178</v>
      </c>
      <c r="F191" s="7">
        <f t="shared" ca="1" si="87"/>
        <v>1.1886857536682123</v>
      </c>
      <c r="G191" s="125">
        <f ca="1">IF('Simulador - 1º Pilar'!$E$99="Sí",IF('Aportaciones PPE'!$B$13&lt;'Aportaciones PPE'!E191,0,F191*$B$8/12),F191*$B$8/12)</f>
        <v>20802.000689193716</v>
      </c>
      <c r="H191" s="125">
        <f t="shared" ca="1" si="77"/>
        <v>1040.1000344596857</v>
      </c>
      <c r="I191" s="125">
        <f t="shared" ca="1" si="88"/>
        <v>0</v>
      </c>
      <c r="J191" s="125">
        <f t="shared" ca="1" si="89"/>
        <v>0</v>
      </c>
      <c r="K191" s="125">
        <f t="shared" ca="1" si="90"/>
        <v>1409.1084236210954</v>
      </c>
      <c r="L191" s="125">
        <f t="shared" ca="1" si="109"/>
        <v>0</v>
      </c>
      <c r="M191" s="125">
        <f t="shared" ca="1" si="91"/>
        <v>0</v>
      </c>
      <c r="N191" s="125">
        <f t="shared" ca="1" si="92"/>
        <v>1409.1084236210954</v>
      </c>
      <c r="R191">
        <f t="shared" si="110"/>
        <v>184</v>
      </c>
      <c r="U191" s="55"/>
      <c r="V191">
        <f t="shared" si="111"/>
        <v>5</v>
      </c>
      <c r="W191">
        <f t="shared" ca="1" si="112"/>
        <v>2039</v>
      </c>
      <c r="X191" s="123">
        <f t="shared" ca="1" si="93"/>
        <v>50891</v>
      </c>
      <c r="Y191" s="64">
        <f t="shared" ca="1" si="94"/>
        <v>1331.4159785299416</v>
      </c>
      <c r="Z191" s="64">
        <f t="shared" ca="1" si="95"/>
        <v>0</v>
      </c>
      <c r="AA191" s="64">
        <f t="shared" ca="1" si="96"/>
        <v>1477.4014257247954</v>
      </c>
      <c r="AB191" s="64">
        <f t="shared" ca="1" si="97"/>
        <v>0</v>
      </c>
      <c r="AF191" t="str">
        <f t="shared" ca="1" si="78"/>
        <v>32029</v>
      </c>
      <c r="AG191" s="126">
        <f t="shared" ca="1" si="79"/>
        <v>0</v>
      </c>
      <c r="AH191" s="126">
        <f t="shared" ca="1" si="80"/>
        <v>0</v>
      </c>
      <c r="AI191" s="126">
        <f t="shared" ca="1" si="81"/>
        <v>1040.1000344596857</v>
      </c>
      <c r="AJ191" t="str">
        <f t="shared" ca="1" si="82"/>
        <v>52039</v>
      </c>
      <c r="AK191" s="126">
        <f t="shared" ca="1" si="98"/>
        <v>0</v>
      </c>
      <c r="AL191" s="126">
        <f t="shared" ca="1" si="99"/>
        <v>0</v>
      </c>
      <c r="AM191" s="126">
        <f t="shared" ca="1" si="113"/>
        <v>0</v>
      </c>
      <c r="AN191" s="753">
        <f t="shared" ca="1" si="114"/>
        <v>0</v>
      </c>
      <c r="AO191" s="750">
        <f t="shared" ca="1" si="100"/>
        <v>0</v>
      </c>
      <c r="AP191" s="126">
        <f t="shared" ca="1" si="101"/>
        <v>0</v>
      </c>
      <c r="AQ191" s="126">
        <f t="shared" ca="1" si="102"/>
        <v>0</v>
      </c>
      <c r="AR191" s="126">
        <f t="shared" ca="1" si="83"/>
        <v>10000</v>
      </c>
      <c r="AS191" s="750">
        <f t="shared" ca="1" si="84"/>
        <v>0</v>
      </c>
      <c r="AT191" s="750">
        <f t="shared" ca="1" si="85"/>
        <v>0</v>
      </c>
      <c r="AU191" s="126">
        <f t="shared" ca="1" si="103"/>
        <v>1331.4159785299416</v>
      </c>
      <c r="AV191" s="126">
        <f t="shared" ca="1" si="104"/>
        <v>6657.0798926497082</v>
      </c>
      <c r="AW191" s="126">
        <f t="shared" ca="1" si="86"/>
        <v>10000</v>
      </c>
      <c r="AX191" s="750">
        <f t="shared" ca="1" si="105"/>
        <v>1331.4159785299416</v>
      </c>
      <c r="AY191" s="750">
        <f t="shared" ca="1" si="106"/>
        <v>0</v>
      </c>
      <c r="AZ191">
        <f t="shared" si="107"/>
        <v>5750</v>
      </c>
    </row>
    <row r="192" spans="4:52">
      <c r="D192">
        <v>185</v>
      </c>
      <c r="E192" s="6">
        <f t="shared" ca="1" si="108"/>
        <v>47150</v>
      </c>
      <c r="F192" s="7">
        <f t="shared" ca="1" si="87"/>
        <v>1.1886857536682123</v>
      </c>
      <c r="G192" s="125">
        <f ca="1">IF('Simulador - 1º Pilar'!$E$99="Sí",IF('Aportaciones PPE'!$B$13&lt;'Aportaciones PPE'!E192,0,F192*$B$8/12),F192*$B$8/12)</f>
        <v>20802.000689193716</v>
      </c>
      <c r="H192" s="125">
        <f t="shared" ca="1" si="77"/>
        <v>1040.1000344596857</v>
      </c>
      <c r="I192" s="125">
        <f t="shared" ca="1" si="88"/>
        <v>0</v>
      </c>
      <c r="J192" s="125">
        <f t="shared" ca="1" si="89"/>
        <v>0</v>
      </c>
      <c r="K192" s="125">
        <f t="shared" ca="1" si="90"/>
        <v>1411.4356807459262</v>
      </c>
      <c r="L192" s="125">
        <f t="shared" ca="1" si="109"/>
        <v>0</v>
      </c>
      <c r="M192" s="125">
        <f t="shared" ca="1" si="91"/>
        <v>0</v>
      </c>
      <c r="N192" s="125">
        <f t="shared" ca="1" si="92"/>
        <v>1411.4356807459262</v>
      </c>
      <c r="R192">
        <f t="shared" si="110"/>
        <v>185</v>
      </c>
      <c r="U192" s="55"/>
      <c r="V192">
        <f t="shared" si="111"/>
        <v>6</v>
      </c>
      <c r="W192">
        <f t="shared" ca="1" si="112"/>
        <v>2039</v>
      </c>
      <c r="X192" s="123">
        <f t="shared" ca="1" si="93"/>
        <v>50922</v>
      </c>
      <c r="Y192" s="64">
        <f t="shared" ca="1" si="94"/>
        <v>1331.4159785299416</v>
      </c>
      <c r="Z192" s="64">
        <f t="shared" ca="1" si="95"/>
        <v>0</v>
      </c>
      <c r="AA192" s="64">
        <f t="shared" ca="1" si="96"/>
        <v>1474.9204193220617</v>
      </c>
      <c r="AB192" s="64">
        <f t="shared" ca="1" si="97"/>
        <v>0</v>
      </c>
      <c r="AF192" t="str">
        <f t="shared" ca="1" si="78"/>
        <v>22029</v>
      </c>
      <c r="AG192" s="126">
        <f t="shared" ca="1" si="79"/>
        <v>0</v>
      </c>
      <c r="AH192" s="126">
        <f t="shared" ca="1" si="80"/>
        <v>0</v>
      </c>
      <c r="AI192" s="126">
        <f t="shared" ca="1" si="81"/>
        <v>1040.1000344596857</v>
      </c>
      <c r="AJ192" t="str">
        <f t="shared" ca="1" si="82"/>
        <v>62039</v>
      </c>
      <c r="AK192" s="126">
        <f t="shared" ca="1" si="98"/>
        <v>0</v>
      </c>
      <c r="AL192" s="126">
        <f t="shared" ca="1" si="99"/>
        <v>0</v>
      </c>
      <c r="AM192" s="126">
        <f t="shared" ca="1" si="113"/>
        <v>0</v>
      </c>
      <c r="AN192" s="753">
        <f t="shared" ca="1" si="114"/>
        <v>0</v>
      </c>
      <c r="AO192" s="750">
        <f t="shared" ca="1" si="100"/>
        <v>0</v>
      </c>
      <c r="AP192" s="126">
        <f t="shared" ca="1" si="101"/>
        <v>0</v>
      </c>
      <c r="AQ192" s="126">
        <f t="shared" ca="1" si="102"/>
        <v>0</v>
      </c>
      <c r="AR192" s="126">
        <f t="shared" ca="1" si="83"/>
        <v>10000</v>
      </c>
      <c r="AS192" s="750">
        <f t="shared" ca="1" si="84"/>
        <v>0</v>
      </c>
      <c r="AT192" s="750">
        <f t="shared" ca="1" si="85"/>
        <v>0</v>
      </c>
      <c r="AU192" s="126">
        <f t="shared" ca="1" si="103"/>
        <v>1331.4159785299416</v>
      </c>
      <c r="AV192" s="126">
        <f t="shared" ca="1" si="104"/>
        <v>7988.4958711796498</v>
      </c>
      <c r="AW192" s="126">
        <f t="shared" ca="1" si="86"/>
        <v>10000</v>
      </c>
      <c r="AX192" s="750">
        <f t="shared" ca="1" si="105"/>
        <v>1331.4159785299416</v>
      </c>
      <c r="AY192" s="750">
        <f t="shared" ca="1" si="106"/>
        <v>0</v>
      </c>
      <c r="AZ192">
        <f t="shared" si="107"/>
        <v>5750</v>
      </c>
    </row>
    <row r="193" spans="4:52">
      <c r="D193">
        <v>186</v>
      </c>
      <c r="E193" s="6">
        <f t="shared" ca="1" si="108"/>
        <v>47119</v>
      </c>
      <c r="F193" s="7">
        <f t="shared" ca="1" si="87"/>
        <v>1.1886857536682123</v>
      </c>
      <c r="G193" s="125">
        <f ca="1">IF('Simulador - 1º Pilar'!$E$99="Sí",IF('Aportaciones PPE'!$B$13&lt;'Aportaciones PPE'!E193,0,F193*$B$8/12),F193*$B$8/12)</f>
        <v>20802.000689193716</v>
      </c>
      <c r="H193" s="125">
        <f t="shared" ca="1" si="77"/>
        <v>1040.1000344596857</v>
      </c>
      <c r="I193" s="125">
        <f t="shared" ca="1" si="88"/>
        <v>0</v>
      </c>
      <c r="J193" s="125">
        <f t="shared" ca="1" si="89"/>
        <v>0</v>
      </c>
      <c r="K193" s="125">
        <f t="shared" ca="1" si="90"/>
        <v>1413.7667815251093</v>
      </c>
      <c r="L193" s="125">
        <f t="shared" ca="1" si="109"/>
        <v>0</v>
      </c>
      <c r="M193" s="125">
        <f t="shared" ca="1" si="91"/>
        <v>0</v>
      </c>
      <c r="N193" s="125">
        <f t="shared" ca="1" si="92"/>
        <v>1413.7667815251093</v>
      </c>
      <c r="R193">
        <f t="shared" si="110"/>
        <v>186</v>
      </c>
      <c r="U193" s="55"/>
      <c r="V193">
        <f t="shared" si="111"/>
        <v>7</v>
      </c>
      <c r="W193">
        <f t="shared" ca="1" si="112"/>
        <v>2039</v>
      </c>
      <c r="X193" s="123">
        <f t="shared" ca="1" si="93"/>
        <v>50952</v>
      </c>
      <c r="Y193" s="64">
        <f t="shared" ca="1" si="94"/>
        <v>1331.4159785299416</v>
      </c>
      <c r="Z193" s="64">
        <f t="shared" ca="1" si="95"/>
        <v>0</v>
      </c>
      <c r="AA193" s="64">
        <f t="shared" ca="1" si="96"/>
        <v>1472.5234123894829</v>
      </c>
      <c r="AB193" s="64">
        <f t="shared" ca="1" si="97"/>
        <v>0</v>
      </c>
      <c r="AF193" t="str">
        <f t="shared" ca="1" si="78"/>
        <v>12029</v>
      </c>
      <c r="AG193" s="126">
        <f t="shared" ca="1" si="79"/>
        <v>0</v>
      </c>
      <c r="AH193" s="126">
        <f t="shared" ca="1" si="80"/>
        <v>0</v>
      </c>
      <c r="AI193" s="126">
        <f t="shared" ca="1" si="81"/>
        <v>1040.1000344596857</v>
      </c>
      <c r="AJ193" t="str">
        <f t="shared" ca="1" si="82"/>
        <v>72039</v>
      </c>
      <c r="AK193" s="126">
        <f t="shared" ca="1" si="98"/>
        <v>0</v>
      </c>
      <c r="AL193" s="126">
        <f t="shared" ca="1" si="99"/>
        <v>0</v>
      </c>
      <c r="AM193" s="126">
        <f t="shared" ca="1" si="113"/>
        <v>0</v>
      </c>
      <c r="AN193" s="753">
        <f t="shared" ca="1" si="114"/>
        <v>0</v>
      </c>
      <c r="AO193" s="750">
        <f t="shared" ca="1" si="100"/>
        <v>0</v>
      </c>
      <c r="AP193" s="126">
        <f t="shared" ca="1" si="101"/>
        <v>0</v>
      </c>
      <c r="AQ193" s="126">
        <f t="shared" ca="1" si="102"/>
        <v>0</v>
      </c>
      <c r="AR193" s="126">
        <f t="shared" ca="1" si="83"/>
        <v>10000</v>
      </c>
      <c r="AS193" s="750">
        <f t="shared" ca="1" si="84"/>
        <v>0</v>
      </c>
      <c r="AT193" s="750">
        <f t="shared" ca="1" si="85"/>
        <v>0</v>
      </c>
      <c r="AU193" s="126">
        <f t="shared" ca="1" si="103"/>
        <v>1331.4159785299416</v>
      </c>
      <c r="AV193" s="126">
        <f t="shared" ca="1" si="104"/>
        <v>9319.9118497095915</v>
      </c>
      <c r="AW193" s="126">
        <f t="shared" ca="1" si="86"/>
        <v>10000</v>
      </c>
      <c r="AX193" s="750">
        <f t="shared" ca="1" si="105"/>
        <v>1331.4159785299416</v>
      </c>
      <c r="AY193" s="750">
        <f t="shared" ca="1" si="106"/>
        <v>0</v>
      </c>
      <c r="AZ193">
        <f t="shared" si="107"/>
        <v>5750</v>
      </c>
    </row>
    <row r="194" spans="4:52">
      <c r="D194">
        <v>187</v>
      </c>
      <c r="E194" s="6">
        <f t="shared" ca="1" si="108"/>
        <v>47088</v>
      </c>
      <c r="F194" s="7">
        <f t="shared" ca="1" si="87"/>
        <v>1.1596934182128902</v>
      </c>
      <c r="G194" s="125">
        <f ca="1">IF('Simulador - 1º Pilar'!$E$99="Sí",IF('Aportaciones PPE'!$B$13&lt;'Aportaciones PPE'!E194,0,F194*$B$8/12),F194*$B$8/12)</f>
        <v>20294.634818725579</v>
      </c>
      <c r="H194" s="125">
        <f t="shared" ca="1" si="77"/>
        <v>1014.731740936279</v>
      </c>
      <c r="I194" s="125">
        <f t="shared" ca="1" si="88"/>
        <v>0</v>
      </c>
      <c r="J194" s="125">
        <f t="shared" ca="1" si="89"/>
        <v>0</v>
      </c>
      <c r="K194" s="125">
        <f t="shared" ca="1" si="90"/>
        <v>1381.5626656651241</v>
      </c>
      <c r="L194" s="125">
        <f t="shared" ca="1" si="109"/>
        <v>0</v>
      </c>
      <c r="M194" s="125">
        <f t="shared" ca="1" si="91"/>
        <v>0</v>
      </c>
      <c r="N194" s="125">
        <f t="shared" ca="1" si="92"/>
        <v>1381.5626656651241</v>
      </c>
      <c r="R194">
        <f t="shared" si="110"/>
        <v>187</v>
      </c>
      <c r="U194" s="55"/>
      <c r="V194">
        <f t="shared" si="111"/>
        <v>8</v>
      </c>
      <c r="W194">
        <f t="shared" ca="1" si="112"/>
        <v>2039</v>
      </c>
      <c r="X194" s="123">
        <f t="shared" ca="1" si="93"/>
        <v>50983</v>
      </c>
      <c r="Y194" s="64">
        <f t="shared" ca="1" si="94"/>
        <v>680.08815029040852</v>
      </c>
      <c r="Z194" s="64">
        <f t="shared" ca="1" si="95"/>
        <v>651.32782823953312</v>
      </c>
      <c r="AA194" s="64">
        <f t="shared" ca="1" si="96"/>
        <v>750.90280416820099</v>
      </c>
      <c r="AB194" s="64">
        <f t="shared" ca="1" si="97"/>
        <v>719.14779348677541</v>
      </c>
      <c r="AF194" t="str">
        <f t="shared" ca="1" si="78"/>
        <v>122028</v>
      </c>
      <c r="AG194" s="126">
        <f t="shared" ca="1" si="79"/>
        <v>0</v>
      </c>
      <c r="AH194" s="126">
        <f t="shared" ca="1" si="80"/>
        <v>0</v>
      </c>
      <c r="AI194" s="126">
        <f t="shared" ca="1" si="81"/>
        <v>1014.731740936279</v>
      </c>
      <c r="AJ194" t="str">
        <f t="shared" ca="1" si="82"/>
        <v>82039</v>
      </c>
      <c r="AK194" s="126">
        <f t="shared" ca="1" si="98"/>
        <v>0</v>
      </c>
      <c r="AL194" s="126">
        <f t="shared" ca="1" si="99"/>
        <v>0</v>
      </c>
      <c r="AM194" s="126">
        <f t="shared" ca="1" si="113"/>
        <v>0</v>
      </c>
      <c r="AN194" s="753">
        <f t="shared" ca="1" si="114"/>
        <v>0</v>
      </c>
      <c r="AO194" s="750">
        <f t="shared" ca="1" si="100"/>
        <v>0</v>
      </c>
      <c r="AP194" s="126">
        <f t="shared" ca="1" si="101"/>
        <v>0</v>
      </c>
      <c r="AQ194" s="126">
        <f t="shared" ca="1" si="102"/>
        <v>0</v>
      </c>
      <c r="AR194" s="126">
        <f t="shared" ca="1" si="83"/>
        <v>10000</v>
      </c>
      <c r="AS194" s="750">
        <f t="shared" ca="1" si="84"/>
        <v>0</v>
      </c>
      <c r="AT194" s="750">
        <f t="shared" ca="1" si="85"/>
        <v>0</v>
      </c>
      <c r="AU194" s="126">
        <f t="shared" ca="1" si="103"/>
        <v>1331.4159785299416</v>
      </c>
      <c r="AV194" s="126">
        <f t="shared" ca="1" si="104"/>
        <v>10651.327828239533</v>
      </c>
      <c r="AW194" s="126">
        <f t="shared" ca="1" si="86"/>
        <v>10000</v>
      </c>
      <c r="AX194" s="750">
        <f t="shared" ca="1" si="105"/>
        <v>680.08815029040852</v>
      </c>
      <c r="AY194" s="750">
        <f t="shared" ca="1" si="106"/>
        <v>651.32782823953312</v>
      </c>
      <c r="AZ194">
        <f t="shared" si="107"/>
        <v>5750</v>
      </c>
    </row>
    <row r="195" spans="4:52">
      <c r="D195">
        <v>188</v>
      </c>
      <c r="E195" s="6">
        <f t="shared" ca="1" si="108"/>
        <v>47058</v>
      </c>
      <c r="F195" s="7">
        <f t="shared" ca="1" si="87"/>
        <v>1.1596934182128902</v>
      </c>
      <c r="G195" s="125">
        <f ca="1">IF('Simulador - 1º Pilar'!$E$99="Sí",IF('Aportaciones PPE'!$B$13&lt;'Aportaciones PPE'!E195,0,F195*$B$8/12),F195*$B$8/12)</f>
        <v>20294.634818725579</v>
      </c>
      <c r="H195" s="125">
        <f t="shared" ca="1" si="77"/>
        <v>1014.731740936279</v>
      </c>
      <c r="I195" s="125">
        <f t="shared" ca="1" si="88"/>
        <v>0</v>
      </c>
      <c r="J195" s="125">
        <f t="shared" ca="1" si="89"/>
        <v>0</v>
      </c>
      <c r="K195" s="125">
        <f t="shared" ca="1" si="90"/>
        <v>1383.8444287311677</v>
      </c>
      <c r="L195" s="125">
        <f t="shared" ca="1" si="109"/>
        <v>0</v>
      </c>
      <c r="M195" s="125">
        <f t="shared" ca="1" si="91"/>
        <v>0</v>
      </c>
      <c r="N195" s="125">
        <f t="shared" ca="1" si="92"/>
        <v>1383.8444287311677</v>
      </c>
      <c r="R195">
        <f t="shared" si="110"/>
        <v>188</v>
      </c>
      <c r="U195" s="55"/>
      <c r="V195">
        <f t="shared" si="111"/>
        <v>9</v>
      </c>
      <c r="W195">
        <f t="shared" ca="1" si="112"/>
        <v>2039</v>
      </c>
      <c r="X195" s="123">
        <f t="shared" ca="1" si="93"/>
        <v>51014</v>
      </c>
      <c r="Y195" s="64">
        <f t="shared" ca="1" si="94"/>
        <v>0</v>
      </c>
      <c r="Z195" s="64">
        <f t="shared" ca="1" si="95"/>
        <v>1331.4159785299416</v>
      </c>
      <c r="AA195" s="64">
        <f t="shared" ca="1" si="96"/>
        <v>0</v>
      </c>
      <c r="AB195" s="64">
        <f t="shared" ca="1" si="97"/>
        <v>1467.5819355286114</v>
      </c>
      <c r="AF195" t="str">
        <f t="shared" ca="1" si="78"/>
        <v>112028</v>
      </c>
      <c r="AG195" s="126">
        <f t="shared" ca="1" si="79"/>
        <v>0</v>
      </c>
      <c r="AH195" s="126">
        <f t="shared" ca="1" si="80"/>
        <v>0</v>
      </c>
      <c r="AI195" s="126">
        <f t="shared" ca="1" si="81"/>
        <v>1014.731740936279</v>
      </c>
      <c r="AJ195" t="str">
        <f t="shared" ca="1" si="82"/>
        <v>92039</v>
      </c>
      <c r="AK195" s="126">
        <f t="shared" ca="1" si="98"/>
        <v>0</v>
      </c>
      <c r="AL195" s="126">
        <f t="shared" ca="1" si="99"/>
        <v>0</v>
      </c>
      <c r="AM195" s="126">
        <f t="shared" ca="1" si="113"/>
        <v>0</v>
      </c>
      <c r="AN195" s="753">
        <f t="shared" ca="1" si="114"/>
        <v>0</v>
      </c>
      <c r="AO195" s="750">
        <f t="shared" ca="1" si="100"/>
        <v>0</v>
      </c>
      <c r="AP195" s="126">
        <f t="shared" ca="1" si="101"/>
        <v>0</v>
      </c>
      <c r="AQ195" s="126">
        <f t="shared" ca="1" si="102"/>
        <v>0</v>
      </c>
      <c r="AR195" s="126">
        <f t="shared" ca="1" si="83"/>
        <v>10000</v>
      </c>
      <c r="AS195" s="750">
        <f t="shared" ca="1" si="84"/>
        <v>0</v>
      </c>
      <c r="AT195" s="750">
        <f t="shared" ca="1" si="85"/>
        <v>0</v>
      </c>
      <c r="AU195" s="126">
        <f t="shared" ca="1" si="103"/>
        <v>1331.4159785299416</v>
      </c>
      <c r="AV195" s="126">
        <f t="shared" ca="1" si="104"/>
        <v>11982.743806769475</v>
      </c>
      <c r="AW195" s="126">
        <f t="shared" ca="1" si="86"/>
        <v>10000</v>
      </c>
      <c r="AX195" s="750">
        <f t="shared" ca="1" si="105"/>
        <v>0</v>
      </c>
      <c r="AY195" s="750">
        <f t="shared" ca="1" si="106"/>
        <v>1331.4159785299416</v>
      </c>
      <c r="AZ195">
        <f t="shared" si="107"/>
        <v>5750</v>
      </c>
    </row>
    <row r="196" spans="4:52">
      <c r="D196">
        <v>189</v>
      </c>
      <c r="E196" s="6">
        <f t="shared" ca="1" si="108"/>
        <v>47027</v>
      </c>
      <c r="F196" s="7">
        <f t="shared" ca="1" si="87"/>
        <v>1.1596934182128902</v>
      </c>
      <c r="G196" s="125">
        <f ca="1">IF('Simulador - 1º Pilar'!$E$99="Sí",IF('Aportaciones PPE'!$B$13&lt;'Aportaciones PPE'!E196,0,F196*$B$8/12),F196*$B$8/12)</f>
        <v>20294.634818725579</v>
      </c>
      <c r="H196" s="125">
        <f t="shared" ca="1" si="77"/>
        <v>1014.731740936279</v>
      </c>
      <c r="I196" s="125">
        <f t="shared" ca="1" si="88"/>
        <v>0</v>
      </c>
      <c r="J196" s="125">
        <f t="shared" ca="1" si="89"/>
        <v>0</v>
      </c>
      <c r="K196" s="125">
        <f t="shared" ca="1" si="90"/>
        <v>1386.1299603144266</v>
      </c>
      <c r="L196" s="125">
        <f t="shared" ca="1" si="109"/>
        <v>0</v>
      </c>
      <c r="M196" s="125">
        <f t="shared" ca="1" si="91"/>
        <v>0</v>
      </c>
      <c r="N196" s="125">
        <f t="shared" ca="1" si="92"/>
        <v>1386.1299603144266</v>
      </c>
      <c r="R196">
        <f t="shared" si="110"/>
        <v>189</v>
      </c>
      <c r="U196" s="55"/>
      <c r="V196">
        <f t="shared" si="111"/>
        <v>10</v>
      </c>
      <c r="W196">
        <f t="shared" ca="1" si="112"/>
        <v>2039</v>
      </c>
      <c r="X196" s="123">
        <f t="shared" ca="1" si="93"/>
        <v>51044</v>
      </c>
      <c r="Y196" s="64">
        <f t="shared" ca="1" si="94"/>
        <v>0</v>
      </c>
      <c r="Z196" s="64">
        <f t="shared" ca="1" si="95"/>
        <v>1331.4159785299416</v>
      </c>
      <c r="AA196" s="64">
        <f t="shared" ca="1" si="96"/>
        <v>0</v>
      </c>
      <c r="AB196" s="64">
        <f t="shared" ca="1" si="97"/>
        <v>1465.1968549320554</v>
      </c>
      <c r="AF196" t="str">
        <f t="shared" ca="1" si="78"/>
        <v>102028</v>
      </c>
      <c r="AG196" s="126">
        <f t="shared" ca="1" si="79"/>
        <v>0</v>
      </c>
      <c r="AH196" s="126">
        <f t="shared" ca="1" si="80"/>
        <v>0</v>
      </c>
      <c r="AI196" s="126">
        <f t="shared" ca="1" si="81"/>
        <v>1014.731740936279</v>
      </c>
      <c r="AJ196" t="str">
        <f t="shared" ca="1" si="82"/>
        <v>102039</v>
      </c>
      <c r="AK196" s="126">
        <f t="shared" ca="1" si="98"/>
        <v>0</v>
      </c>
      <c r="AL196" s="126">
        <f t="shared" ca="1" si="99"/>
        <v>0</v>
      </c>
      <c r="AM196" s="126">
        <f t="shared" ca="1" si="113"/>
        <v>0</v>
      </c>
      <c r="AN196" s="753">
        <f t="shared" ca="1" si="114"/>
        <v>0</v>
      </c>
      <c r="AO196" s="750">
        <f t="shared" ca="1" si="100"/>
        <v>0</v>
      </c>
      <c r="AP196" s="126">
        <f t="shared" ca="1" si="101"/>
        <v>0</v>
      </c>
      <c r="AQ196" s="126">
        <f t="shared" ca="1" si="102"/>
        <v>0</v>
      </c>
      <c r="AR196" s="126">
        <f t="shared" ca="1" si="83"/>
        <v>10000</v>
      </c>
      <c r="AS196" s="750">
        <f t="shared" ca="1" si="84"/>
        <v>0</v>
      </c>
      <c r="AT196" s="750">
        <f t="shared" ca="1" si="85"/>
        <v>0</v>
      </c>
      <c r="AU196" s="126">
        <f t="shared" ca="1" si="103"/>
        <v>1331.4159785299416</v>
      </c>
      <c r="AV196" s="126">
        <f t="shared" ca="1" si="104"/>
        <v>13314.159785299416</v>
      </c>
      <c r="AW196" s="126">
        <f t="shared" ca="1" si="86"/>
        <v>10000</v>
      </c>
      <c r="AX196" s="750">
        <f t="shared" ca="1" si="105"/>
        <v>0</v>
      </c>
      <c r="AY196" s="750">
        <f t="shared" ca="1" si="106"/>
        <v>1331.4159785299416</v>
      </c>
      <c r="AZ196">
        <f t="shared" si="107"/>
        <v>5750</v>
      </c>
    </row>
    <row r="197" spans="4:52">
      <c r="D197">
        <v>190</v>
      </c>
      <c r="E197" s="6">
        <f t="shared" ca="1" si="108"/>
        <v>46997</v>
      </c>
      <c r="F197" s="7">
        <f t="shared" ca="1" si="87"/>
        <v>1.1596934182128902</v>
      </c>
      <c r="G197" s="125">
        <f ca="1">IF('Simulador - 1º Pilar'!$E$99="Sí",IF('Aportaciones PPE'!$B$13&lt;'Aportaciones PPE'!E197,0,F197*$B$8/12),F197*$B$8/12)</f>
        <v>20294.634818725579</v>
      </c>
      <c r="H197" s="125">
        <f t="shared" ca="1" si="77"/>
        <v>1014.731740936279</v>
      </c>
      <c r="I197" s="125">
        <f t="shared" ca="1" si="88"/>
        <v>0</v>
      </c>
      <c r="J197" s="125">
        <f t="shared" ca="1" si="89"/>
        <v>0</v>
      </c>
      <c r="K197" s="125">
        <f t="shared" ca="1" si="90"/>
        <v>1388.4192666389131</v>
      </c>
      <c r="L197" s="125">
        <f t="shared" ca="1" si="109"/>
        <v>0</v>
      </c>
      <c r="M197" s="125">
        <f t="shared" ca="1" si="91"/>
        <v>0</v>
      </c>
      <c r="N197" s="125">
        <f t="shared" ca="1" si="92"/>
        <v>1388.4192666389131</v>
      </c>
      <c r="R197">
        <f t="shared" si="110"/>
        <v>190</v>
      </c>
      <c r="U197" s="55"/>
      <c r="V197">
        <f t="shared" si="111"/>
        <v>11</v>
      </c>
      <c r="W197">
        <f t="shared" ca="1" si="112"/>
        <v>2039</v>
      </c>
      <c r="X197" s="123">
        <f t="shared" ca="1" si="93"/>
        <v>51075</v>
      </c>
      <c r="Y197" s="64">
        <f t="shared" ca="1" si="94"/>
        <v>0</v>
      </c>
      <c r="Z197" s="64">
        <f t="shared" ca="1" si="95"/>
        <v>1331.4159785299416</v>
      </c>
      <c r="AA197" s="64">
        <f t="shared" ca="1" si="96"/>
        <v>0</v>
      </c>
      <c r="AB197" s="64">
        <f t="shared" ca="1" si="97"/>
        <v>1462.7363437161762</v>
      </c>
      <c r="AF197" t="str">
        <f t="shared" ca="1" si="78"/>
        <v>92028</v>
      </c>
      <c r="AG197" s="126">
        <f t="shared" ca="1" si="79"/>
        <v>0</v>
      </c>
      <c r="AH197" s="126">
        <f t="shared" ca="1" si="80"/>
        <v>0</v>
      </c>
      <c r="AI197" s="126">
        <f t="shared" ca="1" si="81"/>
        <v>1014.731740936279</v>
      </c>
      <c r="AJ197" t="str">
        <f t="shared" ca="1" si="82"/>
        <v>112039</v>
      </c>
      <c r="AK197" s="126">
        <f t="shared" ca="1" si="98"/>
        <v>0</v>
      </c>
      <c r="AL197" s="126">
        <f t="shared" ca="1" si="99"/>
        <v>0</v>
      </c>
      <c r="AM197" s="126">
        <f t="shared" ca="1" si="113"/>
        <v>0</v>
      </c>
      <c r="AN197" s="753">
        <f t="shared" ca="1" si="114"/>
        <v>0</v>
      </c>
      <c r="AO197" s="750">
        <f t="shared" ca="1" si="100"/>
        <v>0</v>
      </c>
      <c r="AP197" s="126">
        <f t="shared" ca="1" si="101"/>
        <v>0</v>
      </c>
      <c r="AQ197" s="126">
        <f t="shared" ca="1" si="102"/>
        <v>0</v>
      </c>
      <c r="AR197" s="126">
        <f t="shared" ca="1" si="83"/>
        <v>10000</v>
      </c>
      <c r="AS197" s="750">
        <f t="shared" ca="1" si="84"/>
        <v>0</v>
      </c>
      <c r="AT197" s="750">
        <f t="shared" ca="1" si="85"/>
        <v>0</v>
      </c>
      <c r="AU197" s="126">
        <f t="shared" ca="1" si="103"/>
        <v>1331.4159785299416</v>
      </c>
      <c r="AV197" s="126">
        <f t="shared" ca="1" si="104"/>
        <v>14645.575763829358</v>
      </c>
      <c r="AW197" s="126">
        <f t="shared" ca="1" si="86"/>
        <v>10000</v>
      </c>
      <c r="AX197" s="750">
        <f t="shared" ca="1" si="105"/>
        <v>0</v>
      </c>
      <c r="AY197" s="750">
        <f t="shared" ca="1" si="106"/>
        <v>1331.4159785299416</v>
      </c>
      <c r="AZ197">
        <f t="shared" si="107"/>
        <v>5750</v>
      </c>
    </row>
    <row r="198" spans="4:52">
      <c r="D198">
        <v>191</v>
      </c>
      <c r="E198" s="6">
        <f t="shared" ca="1" si="108"/>
        <v>46966</v>
      </c>
      <c r="F198" s="7">
        <f t="shared" ca="1" si="87"/>
        <v>1.1596934182128902</v>
      </c>
      <c r="G198" s="125">
        <f ca="1">IF('Simulador - 1º Pilar'!$E$99="Sí",IF('Aportaciones PPE'!$B$13&lt;'Aportaciones PPE'!E198,0,F198*$B$8/12),F198*$B$8/12)</f>
        <v>20294.634818725579</v>
      </c>
      <c r="H198" s="125">
        <f t="shared" ca="1" si="77"/>
        <v>1014.731740936279</v>
      </c>
      <c r="I198" s="125">
        <f t="shared" ca="1" si="88"/>
        <v>0</v>
      </c>
      <c r="J198" s="125">
        <f t="shared" ca="1" si="89"/>
        <v>0</v>
      </c>
      <c r="K198" s="125">
        <f t="shared" ca="1" si="90"/>
        <v>1390.7123539389197</v>
      </c>
      <c r="L198" s="125">
        <f t="shared" ca="1" si="109"/>
        <v>0</v>
      </c>
      <c r="M198" s="125">
        <f t="shared" ca="1" si="91"/>
        <v>0</v>
      </c>
      <c r="N198" s="125">
        <f t="shared" ca="1" si="92"/>
        <v>1390.7123539389197</v>
      </c>
      <c r="R198">
        <f t="shared" si="110"/>
        <v>191</v>
      </c>
      <c r="U198" s="55"/>
      <c r="V198">
        <f t="shared" si="111"/>
        <v>12</v>
      </c>
      <c r="W198">
        <f t="shared" ca="1" si="112"/>
        <v>2039</v>
      </c>
      <c r="X198" s="123">
        <f t="shared" ca="1" si="93"/>
        <v>51105</v>
      </c>
      <c r="Y198" s="64">
        <f t="shared" ca="1" si="94"/>
        <v>0</v>
      </c>
      <c r="Z198" s="64">
        <f t="shared" ca="1" si="95"/>
        <v>1331.4159785299416</v>
      </c>
      <c r="AA198" s="64">
        <f t="shared" ca="1" si="96"/>
        <v>0</v>
      </c>
      <c r="AB198" s="64">
        <f t="shared" ca="1" si="97"/>
        <v>1460.3591380646103</v>
      </c>
      <c r="AF198" t="str">
        <f t="shared" ca="1" si="78"/>
        <v>82028</v>
      </c>
      <c r="AG198" s="126">
        <f t="shared" ca="1" si="79"/>
        <v>0</v>
      </c>
      <c r="AH198" s="126">
        <f t="shared" ca="1" si="80"/>
        <v>0</v>
      </c>
      <c r="AI198" s="126">
        <f t="shared" ca="1" si="81"/>
        <v>1014.731740936279</v>
      </c>
      <c r="AJ198" t="str">
        <f t="shared" ca="1" si="82"/>
        <v>122039</v>
      </c>
      <c r="AK198" s="126">
        <f t="shared" ca="1" si="98"/>
        <v>0</v>
      </c>
      <c r="AL198" s="126">
        <f t="shared" ca="1" si="99"/>
        <v>0</v>
      </c>
      <c r="AM198" s="126">
        <f t="shared" ca="1" si="113"/>
        <v>0</v>
      </c>
      <c r="AN198" s="753">
        <f t="shared" ca="1" si="114"/>
        <v>0</v>
      </c>
      <c r="AO198" s="750">
        <f t="shared" ca="1" si="100"/>
        <v>0</v>
      </c>
      <c r="AP198" s="126">
        <f t="shared" ca="1" si="101"/>
        <v>0</v>
      </c>
      <c r="AQ198" s="126">
        <f t="shared" ca="1" si="102"/>
        <v>0</v>
      </c>
      <c r="AR198" s="126">
        <f t="shared" ca="1" si="83"/>
        <v>10000</v>
      </c>
      <c r="AS198" s="750">
        <f t="shared" ca="1" si="84"/>
        <v>0</v>
      </c>
      <c r="AT198" s="750">
        <f t="shared" ca="1" si="85"/>
        <v>0</v>
      </c>
      <c r="AU198" s="126">
        <f t="shared" ca="1" si="103"/>
        <v>1331.4159785299416</v>
      </c>
      <c r="AV198" s="126">
        <f t="shared" ca="1" si="104"/>
        <v>15976.9917423593</v>
      </c>
      <c r="AW198" s="126">
        <f t="shared" ca="1" si="86"/>
        <v>10000</v>
      </c>
      <c r="AX198" s="750">
        <f t="shared" ca="1" si="105"/>
        <v>0</v>
      </c>
      <c r="AY198" s="750">
        <f t="shared" ca="1" si="106"/>
        <v>1331.4159785299416</v>
      </c>
      <c r="AZ198">
        <f t="shared" si="107"/>
        <v>5750</v>
      </c>
    </row>
    <row r="199" spans="4:52">
      <c r="D199">
        <v>192</v>
      </c>
      <c r="E199" s="6">
        <f t="shared" ca="1" si="108"/>
        <v>46935</v>
      </c>
      <c r="F199" s="7">
        <f t="shared" ca="1" si="87"/>
        <v>1.1596934182128902</v>
      </c>
      <c r="G199" s="125">
        <f ca="1">IF('Simulador - 1º Pilar'!$E$99="Sí",IF('Aportaciones PPE'!$B$13&lt;'Aportaciones PPE'!E199,0,F199*$B$8/12),F199*$B$8/12)</f>
        <v>20294.634818725579</v>
      </c>
      <c r="H199" s="125">
        <f t="shared" ref="H199:H262" ca="1" si="115">$H$5*G199</f>
        <v>1014.731740936279</v>
      </c>
      <c r="I199" s="125">
        <f t="shared" ca="1" si="88"/>
        <v>0</v>
      </c>
      <c r="J199" s="125">
        <f t="shared" ca="1" si="89"/>
        <v>0</v>
      </c>
      <c r="K199" s="125">
        <f t="shared" ca="1" si="90"/>
        <v>1393.0092284590341</v>
      </c>
      <c r="L199" s="125">
        <f t="shared" ca="1" si="109"/>
        <v>0</v>
      </c>
      <c r="M199" s="125">
        <f t="shared" ca="1" si="91"/>
        <v>0</v>
      </c>
      <c r="N199" s="125">
        <f t="shared" ca="1" si="92"/>
        <v>1393.0092284590341</v>
      </c>
      <c r="R199">
        <f t="shared" si="110"/>
        <v>192</v>
      </c>
      <c r="U199" s="55"/>
      <c r="V199">
        <f t="shared" si="111"/>
        <v>1</v>
      </c>
      <c r="W199">
        <f t="shared" ca="1" si="112"/>
        <v>2040</v>
      </c>
      <c r="X199" s="123">
        <f t="shared" ca="1" si="93"/>
        <v>51136</v>
      </c>
      <c r="Y199" s="64">
        <f t="shared" ca="1" si="94"/>
        <v>1364.7013779931901</v>
      </c>
      <c r="Z199" s="64">
        <f t="shared" ca="1" si="95"/>
        <v>0</v>
      </c>
      <c r="AA199" s="64">
        <f t="shared" ca="1" si="96"/>
        <v>1494.3544196181044</v>
      </c>
      <c r="AB199" s="64">
        <f t="shared" ca="1" si="97"/>
        <v>0</v>
      </c>
      <c r="AF199" t="str">
        <f t="shared" ref="AF199:AF262" ca="1" si="116">+MONTH(E199)&amp;YEAR(E199)</f>
        <v>72028</v>
      </c>
      <c r="AG199" s="126">
        <f t="shared" ref="AG199:AG262" ca="1" si="117">+I199</f>
        <v>0</v>
      </c>
      <c r="AH199" s="126">
        <f t="shared" ref="AH199:AH262" ca="1" si="118">+J199</f>
        <v>0</v>
      </c>
      <c r="AI199" s="126">
        <f t="shared" ref="AI199:AI262" ca="1" si="119">+H199</f>
        <v>1014.731740936279</v>
      </c>
      <c r="AJ199" t="str">
        <f t="shared" ref="AJ199:AJ262" ca="1" si="120">+V199&amp;W199</f>
        <v>12040</v>
      </c>
      <c r="AK199" s="126">
        <f t="shared" ca="1" si="98"/>
        <v>0</v>
      </c>
      <c r="AL199" s="126">
        <f t="shared" ca="1" si="99"/>
        <v>0</v>
      </c>
      <c r="AM199" s="126">
        <f t="shared" ca="1" si="113"/>
        <v>0</v>
      </c>
      <c r="AN199" s="753">
        <f t="shared" ca="1" si="114"/>
        <v>0</v>
      </c>
      <c r="AO199" s="750">
        <f t="shared" ca="1" si="100"/>
        <v>0</v>
      </c>
      <c r="AP199" s="126">
        <f t="shared" ca="1" si="101"/>
        <v>0</v>
      </c>
      <c r="AQ199" s="126">
        <f t="shared" ca="1" si="102"/>
        <v>0</v>
      </c>
      <c r="AR199" s="126">
        <f t="shared" ref="AR199:AR262" ca="1" si="121">+MAX($AM$2-SUMIF($W$7:$W$1066,W199,$AN$7:$AN$1066),0)</f>
        <v>10000</v>
      </c>
      <c r="AS199" s="750">
        <f t="shared" ref="AS199:AS262" ca="1" si="122">+MAX(IF(AQ199&gt;AR199,AR199-AQ198,AP199),0)</f>
        <v>0</v>
      </c>
      <c r="AT199" s="750">
        <f t="shared" ref="AT199:AT262" ca="1" si="123">+AP199-AS199</f>
        <v>0</v>
      </c>
      <c r="AU199" s="126">
        <f t="shared" ca="1" si="103"/>
        <v>1364.7013779931901</v>
      </c>
      <c r="AV199" s="126">
        <f t="shared" ca="1" si="104"/>
        <v>1364.7013779931901</v>
      </c>
      <c r="AW199" s="126">
        <f t="shared" ref="AW199:AW262" ca="1" si="124">+MAX($AM$2-SUMIF($W$7:$W$1066,W199,$AN$7:$AN$1066)-SUMIF($W$7:$W$1066,W199,$AS$7:$AS$1066),0)</f>
        <v>10000</v>
      </c>
      <c r="AX199" s="750">
        <f t="shared" ca="1" si="105"/>
        <v>1364.7013779931901</v>
      </c>
      <c r="AY199" s="750">
        <f t="shared" ca="1" si="106"/>
        <v>0</v>
      </c>
      <c r="AZ199">
        <f t="shared" si="107"/>
        <v>5750</v>
      </c>
    </row>
    <row r="200" spans="4:52">
      <c r="D200">
        <v>193</v>
      </c>
      <c r="E200" s="6">
        <f t="shared" ca="1" si="108"/>
        <v>46905</v>
      </c>
      <c r="F200" s="7">
        <f t="shared" ref="F200:F263" ca="1" si="125">IF(DATE(YEAR($B$6),MONTH($B$6)+1,DAY(1))=E200,1,IF(MONTH(E200)=1,F201*(1+$F$5),F201))</f>
        <v>1.1596934182128902</v>
      </c>
      <c r="G200" s="125">
        <f ca="1">IF('Simulador - 1º Pilar'!$E$99="Sí",IF('Aportaciones PPE'!$B$13&lt;'Aportaciones PPE'!E200,0,F200*$B$8/12),F200*$B$8/12)</f>
        <v>20294.634818725579</v>
      </c>
      <c r="H200" s="125">
        <f t="shared" ca="1" si="115"/>
        <v>1014.731740936279</v>
      </c>
      <c r="I200" s="125">
        <f t="shared" ref="I200:I263" ca="1" si="126">$I$5*G200</f>
        <v>0</v>
      </c>
      <c r="J200" s="125">
        <f t="shared" ref="J200:J263" ca="1" si="127">+I200</f>
        <v>0</v>
      </c>
      <c r="K200" s="125">
        <f t="shared" ref="K200:K263" ca="1" si="128">(1+$O$5)^(D200/12)*(H200+IF(AND(F200=1,F201=0),$S$4,0))</f>
        <v>1395.3098964541598</v>
      </c>
      <c r="L200" s="125">
        <f t="shared" ca="1" si="109"/>
        <v>0</v>
      </c>
      <c r="M200" s="125">
        <f t="shared" ref="M200:M263" ca="1" si="129">+L200</f>
        <v>0</v>
      </c>
      <c r="N200" s="125">
        <f t="shared" ref="N200:N263" ca="1" si="130">L200+K200+M200</f>
        <v>1395.3098964541598</v>
      </c>
      <c r="R200">
        <f t="shared" si="110"/>
        <v>193</v>
      </c>
      <c r="U200" s="55"/>
      <c r="V200">
        <f t="shared" si="111"/>
        <v>2</v>
      </c>
      <c r="W200">
        <f t="shared" ca="1" si="112"/>
        <v>2040</v>
      </c>
      <c r="X200" s="123">
        <f t="shared" ref="X200:X263" ca="1" si="131">+DATE(W200,V200,1)</f>
        <v>51167</v>
      </c>
      <c r="Y200" s="64">
        <f t="shared" ref="Y200:Y263" ca="1" si="132">+_xlfn.IFNA(AN200+AS200+AX200,0)</f>
        <v>1364.7013779931901</v>
      </c>
      <c r="Z200" s="64">
        <f t="shared" ref="Z200:Z263" ca="1" si="133">+_xlfn.IFNA(AO200+AT200+AY200,0)</f>
        <v>0</v>
      </c>
      <c r="AA200" s="64">
        <f t="shared" ref="AA200:AA263" ca="1" si="134">Y200*(1+$O$5)^(($B$7-X200)/365.25)</f>
        <v>1491.8449439817134</v>
      </c>
      <c r="AB200" s="64">
        <f t="shared" ref="AB200:AB263" ca="1" si="135">Z200*(1+$O$5)^(($B$7-X200)/365.25)</f>
        <v>0</v>
      </c>
      <c r="AF200" t="str">
        <f t="shared" ca="1" si="116"/>
        <v>62028</v>
      </c>
      <c r="AG200" s="126">
        <f t="shared" ca="1" si="117"/>
        <v>0</v>
      </c>
      <c r="AH200" s="126">
        <f t="shared" ca="1" si="118"/>
        <v>0</v>
      </c>
      <c r="AI200" s="126">
        <f t="shared" ca="1" si="119"/>
        <v>1014.731740936279</v>
      </c>
      <c r="AJ200" t="str">
        <f t="shared" ca="1" si="120"/>
        <v>22040</v>
      </c>
      <c r="AK200" s="126">
        <f t="shared" ref="AK200:AK263" ca="1" si="136">+_xlfn.IFNA(VLOOKUP(AJ200,$AF$7:$AG$1066,2,0),0)</f>
        <v>0</v>
      </c>
      <c r="AL200" s="126">
        <f t="shared" ref="AL200:AL263" ca="1" si="137">+IF(W200&gt;W199,AK200,AL199+AK200)</f>
        <v>0</v>
      </c>
      <c r="AM200" s="126">
        <f t="shared" ca="1" si="113"/>
        <v>0</v>
      </c>
      <c r="AN200" s="753">
        <f t="shared" ca="1" si="114"/>
        <v>0</v>
      </c>
      <c r="AO200" s="750">
        <f t="shared" ref="AO200:AO263" ca="1" si="138">+AK200-AN200</f>
        <v>0</v>
      </c>
      <c r="AP200" s="126">
        <f t="shared" ref="AP200:AP263" ca="1" si="139">+_xlfn.IFNA(VLOOKUP(AJ200,$AF$7:$AI$1066,3,0),0)</f>
        <v>0</v>
      </c>
      <c r="AQ200" s="126">
        <f t="shared" ref="AQ200:AQ263" ca="1" si="140">+IF(W200&gt;W199,AP200,AQ199+AP200)</f>
        <v>0</v>
      </c>
      <c r="AR200" s="126">
        <f t="shared" ca="1" si="121"/>
        <v>10000</v>
      </c>
      <c r="AS200" s="750">
        <f t="shared" ca="1" si="122"/>
        <v>0</v>
      </c>
      <c r="AT200" s="750">
        <f t="shared" ca="1" si="123"/>
        <v>0</v>
      </c>
      <c r="AU200" s="126">
        <f t="shared" ref="AU200:AU263" ca="1" si="141">+_xlfn.IFNA(VLOOKUP(AJ200,$AF$7:$AI$1066,4,0),0)</f>
        <v>1364.7013779931901</v>
      </c>
      <c r="AV200" s="126">
        <f t="shared" ref="AV200:AV263" ca="1" si="142">+IF(W200&gt;W199,AU200,AV199+AU200)</f>
        <v>2729.4027559863803</v>
      </c>
      <c r="AW200" s="126">
        <f t="shared" ca="1" si="124"/>
        <v>10000</v>
      </c>
      <c r="AX200" s="750">
        <f t="shared" ref="AX200:AX263" ca="1" si="143">+MAX(IF(AV200&gt;AW200,AW200-AV199,AU200),0)</f>
        <v>1364.7013779931901</v>
      </c>
      <c r="AY200" s="750">
        <f t="shared" ref="AY200:AY263" ca="1" si="144">+AU200-AX200</f>
        <v>0</v>
      </c>
      <c r="AZ200">
        <f t="shared" ref="AZ200:AZ263" si="145">+$AM$1+IF($AP$1&gt;$AP$2,$AM$3/2)</f>
        <v>5750</v>
      </c>
    </row>
    <row r="201" spans="4:52">
      <c r="D201">
        <v>194</v>
      </c>
      <c r="E201" s="6">
        <f t="shared" ref="E201:E264" ca="1" si="146">+DATE(YEAR(E200),MONTH(E200)-1,DAY(E200))</f>
        <v>46874</v>
      </c>
      <c r="F201" s="7">
        <f t="shared" ca="1" si="125"/>
        <v>1.1596934182128902</v>
      </c>
      <c r="G201" s="125">
        <f ca="1">IF('Simulador - 1º Pilar'!$E$99="Sí",IF('Aportaciones PPE'!$B$13&lt;'Aportaciones PPE'!E201,0,F201*$B$8/12),F201*$B$8/12)</f>
        <v>20294.634818725579</v>
      </c>
      <c r="H201" s="125">
        <f t="shared" ca="1" si="115"/>
        <v>1014.731740936279</v>
      </c>
      <c r="I201" s="125">
        <f t="shared" ca="1" si="126"/>
        <v>0</v>
      </c>
      <c r="J201" s="125">
        <f t="shared" ca="1" si="127"/>
        <v>0</v>
      </c>
      <c r="K201" s="125">
        <f t="shared" ca="1" si="128"/>
        <v>1397.6143641895278</v>
      </c>
      <c r="L201" s="125">
        <f t="shared" ref="L201:L264" ca="1" si="147">(1+$O$5)^(D201/12)*(I201+IF(AND(F201=1,F202=0),0))</f>
        <v>0</v>
      </c>
      <c r="M201" s="125">
        <f t="shared" ca="1" si="129"/>
        <v>0</v>
      </c>
      <c r="N201" s="125">
        <f t="shared" ca="1" si="130"/>
        <v>1397.6143641895278</v>
      </c>
      <c r="R201">
        <f t="shared" ref="R201:R264" si="148">D201</f>
        <v>194</v>
      </c>
      <c r="U201" s="55"/>
      <c r="V201">
        <f t="shared" ref="V201:V264" si="149">+IF(V200=11,12,IF(V200=12,1,V200+1))</f>
        <v>3</v>
      </c>
      <c r="W201">
        <f t="shared" ref="W201:W264" ca="1" si="150">+W200+IF(V200=12,1,0)</f>
        <v>2040</v>
      </c>
      <c r="X201" s="123">
        <f t="shared" ca="1" si="131"/>
        <v>51196</v>
      </c>
      <c r="Y201" s="64">
        <f t="shared" ca="1" si="132"/>
        <v>1364.7013779931901</v>
      </c>
      <c r="Z201" s="64">
        <f t="shared" ca="1" si="133"/>
        <v>0</v>
      </c>
      <c r="AA201" s="64">
        <f t="shared" ca="1" si="134"/>
        <v>1489.5011852572745</v>
      </c>
      <c r="AB201" s="64">
        <f t="shared" ca="1" si="135"/>
        <v>0</v>
      </c>
      <c r="AF201" t="str">
        <f t="shared" ca="1" si="116"/>
        <v>52028</v>
      </c>
      <c r="AG201" s="126">
        <f t="shared" ca="1" si="117"/>
        <v>0</v>
      </c>
      <c r="AH201" s="126">
        <f t="shared" ca="1" si="118"/>
        <v>0</v>
      </c>
      <c r="AI201" s="126">
        <f t="shared" ca="1" si="119"/>
        <v>1014.731740936279</v>
      </c>
      <c r="AJ201" t="str">
        <f t="shared" ca="1" si="120"/>
        <v>32040</v>
      </c>
      <c r="AK201" s="126">
        <f t="shared" ca="1" si="136"/>
        <v>0</v>
      </c>
      <c r="AL201" s="126">
        <f t="shared" ca="1" si="137"/>
        <v>0</v>
      </c>
      <c r="AM201" s="126">
        <f t="shared" ref="AM201:AM264" ca="1" si="151">IF(W201&gt;W200,IF(AL201&gt;=$AZ$8,$AZ$8,AL201),IF(OR(AM200=$AZ$8,AM200=0),0,IF(AL201&gt;=$AZ$8,$AZ$8,AL201)))</f>
        <v>0</v>
      </c>
      <c r="AN201" s="753">
        <f t="shared" ref="AN201:AN264" ca="1" si="152">+IF(OR(AM201&gt;AZ200,AM201=0),0,IF(AM201=AL201,AK201,$AZ$7-AL200))</f>
        <v>0</v>
      </c>
      <c r="AO201" s="750">
        <f t="shared" ca="1" si="138"/>
        <v>0</v>
      </c>
      <c r="AP201" s="126">
        <f t="shared" ca="1" si="139"/>
        <v>0</v>
      </c>
      <c r="AQ201" s="126">
        <f t="shared" ca="1" si="140"/>
        <v>0</v>
      </c>
      <c r="AR201" s="126">
        <f t="shared" ca="1" si="121"/>
        <v>10000</v>
      </c>
      <c r="AS201" s="750">
        <f t="shared" ca="1" si="122"/>
        <v>0</v>
      </c>
      <c r="AT201" s="750">
        <f t="shared" ca="1" si="123"/>
        <v>0</v>
      </c>
      <c r="AU201" s="126">
        <f t="shared" ca="1" si="141"/>
        <v>1364.7013779931901</v>
      </c>
      <c r="AV201" s="126">
        <f t="shared" ca="1" si="142"/>
        <v>4094.1041339795702</v>
      </c>
      <c r="AW201" s="126">
        <f t="shared" ca="1" si="124"/>
        <v>10000</v>
      </c>
      <c r="AX201" s="750">
        <f t="shared" ca="1" si="143"/>
        <v>1364.7013779931901</v>
      </c>
      <c r="AY201" s="750">
        <f t="shared" ca="1" si="144"/>
        <v>0</v>
      </c>
      <c r="AZ201">
        <f t="shared" si="145"/>
        <v>5750</v>
      </c>
    </row>
    <row r="202" spans="4:52">
      <c r="D202">
        <v>195</v>
      </c>
      <c r="E202" s="6">
        <f t="shared" ca="1" si="146"/>
        <v>46844</v>
      </c>
      <c r="F202" s="7">
        <f t="shared" ca="1" si="125"/>
        <v>1.1596934182128902</v>
      </c>
      <c r="G202" s="125">
        <f ca="1">IF('Simulador - 1º Pilar'!$E$99="Sí",IF('Aportaciones PPE'!$B$13&lt;'Aportaciones PPE'!E202,0,F202*$B$8/12),F202*$B$8/12)</f>
        <v>20294.634818725579</v>
      </c>
      <c r="H202" s="125">
        <f t="shared" ca="1" si="115"/>
        <v>1014.731740936279</v>
      </c>
      <c r="I202" s="125">
        <f t="shared" ca="1" si="126"/>
        <v>0</v>
      </c>
      <c r="J202" s="125">
        <f t="shared" ca="1" si="127"/>
        <v>0</v>
      </c>
      <c r="K202" s="125">
        <f t="shared" ca="1" si="128"/>
        <v>1399.9226379407182</v>
      </c>
      <c r="L202" s="125">
        <f t="shared" ca="1" si="147"/>
        <v>0</v>
      </c>
      <c r="M202" s="125">
        <f t="shared" ca="1" si="129"/>
        <v>0</v>
      </c>
      <c r="N202" s="125">
        <f t="shared" ca="1" si="130"/>
        <v>1399.9226379407182</v>
      </c>
      <c r="R202">
        <f t="shared" si="148"/>
        <v>195</v>
      </c>
      <c r="U202" s="55"/>
      <c r="V202">
        <f t="shared" si="149"/>
        <v>4</v>
      </c>
      <c r="W202">
        <f t="shared" ca="1" si="150"/>
        <v>2040</v>
      </c>
      <c r="X202" s="123">
        <f t="shared" ca="1" si="131"/>
        <v>51227</v>
      </c>
      <c r="Y202" s="64">
        <f t="shared" ca="1" si="132"/>
        <v>1364.7013779931901</v>
      </c>
      <c r="Z202" s="64">
        <f t="shared" ca="1" si="133"/>
        <v>0</v>
      </c>
      <c r="AA202" s="64">
        <f t="shared" ca="1" si="134"/>
        <v>1486.9998596776747</v>
      </c>
      <c r="AB202" s="64">
        <f t="shared" ca="1" si="135"/>
        <v>0</v>
      </c>
      <c r="AF202" t="str">
        <f t="shared" ca="1" si="116"/>
        <v>42028</v>
      </c>
      <c r="AG202" s="126">
        <f t="shared" ca="1" si="117"/>
        <v>0</v>
      </c>
      <c r="AH202" s="126">
        <f t="shared" ca="1" si="118"/>
        <v>0</v>
      </c>
      <c r="AI202" s="126">
        <f t="shared" ca="1" si="119"/>
        <v>1014.731740936279</v>
      </c>
      <c r="AJ202" t="str">
        <f t="shared" ca="1" si="120"/>
        <v>42040</v>
      </c>
      <c r="AK202" s="126">
        <f t="shared" ca="1" si="136"/>
        <v>0</v>
      </c>
      <c r="AL202" s="126">
        <f t="shared" ca="1" si="137"/>
        <v>0</v>
      </c>
      <c r="AM202" s="126">
        <f t="shared" ca="1" si="151"/>
        <v>0</v>
      </c>
      <c r="AN202" s="753">
        <f t="shared" ca="1" si="152"/>
        <v>0</v>
      </c>
      <c r="AO202" s="750">
        <f t="shared" ca="1" si="138"/>
        <v>0</v>
      </c>
      <c r="AP202" s="126">
        <f t="shared" ca="1" si="139"/>
        <v>0</v>
      </c>
      <c r="AQ202" s="126">
        <f t="shared" ca="1" si="140"/>
        <v>0</v>
      </c>
      <c r="AR202" s="126">
        <f t="shared" ca="1" si="121"/>
        <v>10000</v>
      </c>
      <c r="AS202" s="750">
        <f t="shared" ca="1" si="122"/>
        <v>0</v>
      </c>
      <c r="AT202" s="750">
        <f t="shared" ca="1" si="123"/>
        <v>0</v>
      </c>
      <c r="AU202" s="126">
        <f t="shared" ca="1" si="141"/>
        <v>1364.7013779931901</v>
      </c>
      <c r="AV202" s="126">
        <f t="shared" ca="1" si="142"/>
        <v>5458.8055119727605</v>
      </c>
      <c r="AW202" s="126">
        <f t="shared" ca="1" si="124"/>
        <v>10000</v>
      </c>
      <c r="AX202" s="750">
        <f t="shared" ca="1" si="143"/>
        <v>1364.7013779931901</v>
      </c>
      <c r="AY202" s="750">
        <f t="shared" ca="1" si="144"/>
        <v>0</v>
      </c>
      <c r="AZ202">
        <f t="shared" si="145"/>
        <v>5750</v>
      </c>
    </row>
    <row r="203" spans="4:52">
      <c r="D203">
        <v>196</v>
      </c>
      <c r="E203" s="6">
        <f t="shared" ca="1" si="146"/>
        <v>46813</v>
      </c>
      <c r="F203" s="7">
        <f t="shared" ca="1" si="125"/>
        <v>1.1596934182128902</v>
      </c>
      <c r="G203" s="125">
        <f ca="1">IF('Simulador - 1º Pilar'!$E$99="Sí",IF('Aportaciones PPE'!$B$13&lt;'Aportaciones PPE'!E203,0,F203*$B$8/12),F203*$B$8/12)</f>
        <v>20294.634818725579</v>
      </c>
      <c r="H203" s="125">
        <f t="shared" ca="1" si="115"/>
        <v>1014.731740936279</v>
      </c>
      <c r="I203" s="125">
        <f t="shared" ca="1" si="126"/>
        <v>0</v>
      </c>
      <c r="J203" s="125">
        <f t="shared" ca="1" si="127"/>
        <v>0</v>
      </c>
      <c r="K203" s="125">
        <f t="shared" ca="1" si="128"/>
        <v>1402.2347239936757</v>
      </c>
      <c r="L203" s="125">
        <f t="shared" ca="1" si="147"/>
        <v>0</v>
      </c>
      <c r="M203" s="125">
        <f t="shared" ca="1" si="129"/>
        <v>0</v>
      </c>
      <c r="N203" s="125">
        <f t="shared" ca="1" si="130"/>
        <v>1402.2347239936757</v>
      </c>
      <c r="R203">
        <f t="shared" si="148"/>
        <v>196</v>
      </c>
      <c r="U203" s="55"/>
      <c r="V203">
        <f t="shared" si="149"/>
        <v>5</v>
      </c>
      <c r="W203">
        <f t="shared" ca="1" si="150"/>
        <v>2040</v>
      </c>
      <c r="X203" s="123">
        <f t="shared" ca="1" si="131"/>
        <v>51257</v>
      </c>
      <c r="Y203" s="64">
        <f t="shared" ca="1" si="132"/>
        <v>1364.7013779931901</v>
      </c>
      <c r="Z203" s="64">
        <f t="shared" ca="1" si="133"/>
        <v>0</v>
      </c>
      <c r="AA203" s="64">
        <f t="shared" ca="1" si="134"/>
        <v>1484.5832215148989</v>
      </c>
      <c r="AB203" s="64">
        <f t="shared" ca="1" si="135"/>
        <v>0</v>
      </c>
      <c r="AF203" t="str">
        <f t="shared" ca="1" si="116"/>
        <v>32028</v>
      </c>
      <c r="AG203" s="126">
        <f t="shared" ca="1" si="117"/>
        <v>0</v>
      </c>
      <c r="AH203" s="126">
        <f t="shared" ca="1" si="118"/>
        <v>0</v>
      </c>
      <c r="AI203" s="126">
        <f t="shared" ca="1" si="119"/>
        <v>1014.731740936279</v>
      </c>
      <c r="AJ203" t="str">
        <f t="shared" ca="1" si="120"/>
        <v>52040</v>
      </c>
      <c r="AK203" s="126">
        <f t="shared" ca="1" si="136"/>
        <v>0</v>
      </c>
      <c r="AL203" s="126">
        <f t="shared" ca="1" si="137"/>
        <v>0</v>
      </c>
      <c r="AM203" s="126">
        <f t="shared" ca="1" si="151"/>
        <v>0</v>
      </c>
      <c r="AN203" s="753">
        <f t="shared" ca="1" si="152"/>
        <v>0</v>
      </c>
      <c r="AO203" s="750">
        <f t="shared" ca="1" si="138"/>
        <v>0</v>
      </c>
      <c r="AP203" s="126">
        <f t="shared" ca="1" si="139"/>
        <v>0</v>
      </c>
      <c r="AQ203" s="126">
        <f t="shared" ca="1" si="140"/>
        <v>0</v>
      </c>
      <c r="AR203" s="126">
        <f t="shared" ca="1" si="121"/>
        <v>10000</v>
      </c>
      <c r="AS203" s="750">
        <f t="shared" ca="1" si="122"/>
        <v>0</v>
      </c>
      <c r="AT203" s="750">
        <f t="shared" ca="1" si="123"/>
        <v>0</v>
      </c>
      <c r="AU203" s="126">
        <f t="shared" ca="1" si="141"/>
        <v>1364.7013779931901</v>
      </c>
      <c r="AV203" s="126">
        <f t="shared" ca="1" si="142"/>
        <v>6823.5068899659509</v>
      </c>
      <c r="AW203" s="126">
        <f t="shared" ca="1" si="124"/>
        <v>10000</v>
      </c>
      <c r="AX203" s="750">
        <f t="shared" ca="1" si="143"/>
        <v>1364.7013779931901</v>
      </c>
      <c r="AY203" s="750">
        <f t="shared" ca="1" si="144"/>
        <v>0</v>
      </c>
      <c r="AZ203">
        <f t="shared" si="145"/>
        <v>5750</v>
      </c>
    </row>
    <row r="204" spans="4:52">
      <c r="D204">
        <v>197</v>
      </c>
      <c r="E204" s="6">
        <f t="shared" ca="1" si="146"/>
        <v>46784</v>
      </c>
      <c r="F204" s="7">
        <f t="shared" ca="1" si="125"/>
        <v>1.1596934182128902</v>
      </c>
      <c r="G204" s="125">
        <f ca="1">IF('Simulador - 1º Pilar'!$E$99="Sí",IF('Aportaciones PPE'!$B$13&lt;'Aportaciones PPE'!E204,0,F204*$B$8/12),F204*$B$8/12)</f>
        <v>20294.634818725579</v>
      </c>
      <c r="H204" s="125">
        <f t="shared" ca="1" si="115"/>
        <v>1014.731740936279</v>
      </c>
      <c r="I204" s="125">
        <f t="shared" ca="1" si="126"/>
        <v>0</v>
      </c>
      <c r="J204" s="125">
        <f t="shared" ca="1" si="127"/>
        <v>0</v>
      </c>
      <c r="K204" s="125">
        <f t="shared" ca="1" si="128"/>
        <v>1404.5506286447271</v>
      </c>
      <c r="L204" s="125">
        <f t="shared" ca="1" si="147"/>
        <v>0</v>
      </c>
      <c r="M204" s="125">
        <f t="shared" ca="1" si="129"/>
        <v>0</v>
      </c>
      <c r="N204" s="125">
        <f t="shared" ca="1" si="130"/>
        <v>1404.5506286447271</v>
      </c>
      <c r="R204">
        <f t="shared" si="148"/>
        <v>197</v>
      </c>
      <c r="U204" s="55"/>
      <c r="V204">
        <f t="shared" si="149"/>
        <v>6</v>
      </c>
      <c r="W204">
        <f t="shared" ca="1" si="150"/>
        <v>2040</v>
      </c>
      <c r="X204" s="123">
        <f t="shared" ca="1" si="131"/>
        <v>51288</v>
      </c>
      <c r="Y204" s="64">
        <f t="shared" ca="1" si="132"/>
        <v>1364.7013779931901</v>
      </c>
      <c r="Z204" s="64">
        <f t="shared" ca="1" si="133"/>
        <v>0</v>
      </c>
      <c r="AA204" s="64">
        <f t="shared" ca="1" si="134"/>
        <v>1482.0901546924119</v>
      </c>
      <c r="AB204" s="64">
        <f t="shared" ca="1" si="135"/>
        <v>0</v>
      </c>
      <c r="AF204" t="str">
        <f t="shared" ca="1" si="116"/>
        <v>22028</v>
      </c>
      <c r="AG204" s="126">
        <f t="shared" ca="1" si="117"/>
        <v>0</v>
      </c>
      <c r="AH204" s="126">
        <f t="shared" ca="1" si="118"/>
        <v>0</v>
      </c>
      <c r="AI204" s="126">
        <f t="shared" ca="1" si="119"/>
        <v>1014.731740936279</v>
      </c>
      <c r="AJ204" t="str">
        <f t="shared" ca="1" si="120"/>
        <v>62040</v>
      </c>
      <c r="AK204" s="126">
        <f t="shared" ca="1" si="136"/>
        <v>0</v>
      </c>
      <c r="AL204" s="126">
        <f t="shared" ca="1" si="137"/>
        <v>0</v>
      </c>
      <c r="AM204" s="126">
        <f t="shared" ca="1" si="151"/>
        <v>0</v>
      </c>
      <c r="AN204" s="753">
        <f t="shared" ca="1" si="152"/>
        <v>0</v>
      </c>
      <c r="AO204" s="750">
        <f t="shared" ca="1" si="138"/>
        <v>0</v>
      </c>
      <c r="AP204" s="126">
        <f t="shared" ca="1" si="139"/>
        <v>0</v>
      </c>
      <c r="AQ204" s="126">
        <f t="shared" ca="1" si="140"/>
        <v>0</v>
      </c>
      <c r="AR204" s="126">
        <f t="shared" ca="1" si="121"/>
        <v>10000</v>
      </c>
      <c r="AS204" s="750">
        <f t="shared" ca="1" si="122"/>
        <v>0</v>
      </c>
      <c r="AT204" s="750">
        <f t="shared" ca="1" si="123"/>
        <v>0</v>
      </c>
      <c r="AU204" s="126">
        <f t="shared" ca="1" si="141"/>
        <v>1364.7013779931901</v>
      </c>
      <c r="AV204" s="126">
        <f t="shared" ca="1" si="142"/>
        <v>8188.2082679591413</v>
      </c>
      <c r="AW204" s="126">
        <f t="shared" ca="1" si="124"/>
        <v>10000</v>
      </c>
      <c r="AX204" s="750">
        <f t="shared" ca="1" si="143"/>
        <v>1364.7013779931901</v>
      </c>
      <c r="AY204" s="750">
        <f t="shared" ca="1" si="144"/>
        <v>0</v>
      </c>
      <c r="AZ204">
        <f t="shared" si="145"/>
        <v>5750</v>
      </c>
    </row>
    <row r="205" spans="4:52">
      <c r="D205">
        <v>198</v>
      </c>
      <c r="E205" s="6">
        <f t="shared" ca="1" si="146"/>
        <v>46753</v>
      </c>
      <c r="F205" s="7">
        <f t="shared" ca="1" si="125"/>
        <v>1.1596934182128902</v>
      </c>
      <c r="G205" s="125">
        <f ca="1">IF('Simulador - 1º Pilar'!$E$99="Sí",IF('Aportaciones PPE'!$B$13&lt;'Aportaciones PPE'!E205,0,F205*$B$8/12),F205*$B$8/12)</f>
        <v>20294.634818725579</v>
      </c>
      <c r="H205" s="125">
        <f t="shared" ca="1" si="115"/>
        <v>1014.731740936279</v>
      </c>
      <c r="I205" s="125">
        <f t="shared" ca="1" si="126"/>
        <v>0</v>
      </c>
      <c r="J205" s="125">
        <f t="shared" ca="1" si="127"/>
        <v>0</v>
      </c>
      <c r="K205" s="125">
        <f t="shared" ca="1" si="128"/>
        <v>1406.8703582005969</v>
      </c>
      <c r="L205" s="125">
        <f t="shared" ca="1" si="147"/>
        <v>0</v>
      </c>
      <c r="M205" s="125">
        <f t="shared" ca="1" si="129"/>
        <v>0</v>
      </c>
      <c r="N205" s="125">
        <f t="shared" ca="1" si="130"/>
        <v>1406.8703582005969</v>
      </c>
      <c r="R205">
        <f t="shared" si="148"/>
        <v>198</v>
      </c>
      <c r="U205" s="55"/>
      <c r="V205">
        <f t="shared" si="149"/>
        <v>7</v>
      </c>
      <c r="W205">
        <f t="shared" ca="1" si="150"/>
        <v>2040</v>
      </c>
      <c r="X205" s="123">
        <f t="shared" ca="1" si="131"/>
        <v>51318</v>
      </c>
      <c r="Y205" s="64">
        <f t="shared" ca="1" si="132"/>
        <v>1364.7013779931901</v>
      </c>
      <c r="Z205" s="64">
        <f t="shared" ca="1" si="133"/>
        <v>0</v>
      </c>
      <c r="AA205" s="64">
        <f t="shared" ca="1" si="134"/>
        <v>1479.6814956698884</v>
      </c>
      <c r="AB205" s="64">
        <f t="shared" ca="1" si="135"/>
        <v>0</v>
      </c>
      <c r="AF205" t="str">
        <f t="shared" ca="1" si="116"/>
        <v>12028</v>
      </c>
      <c r="AG205" s="126">
        <f t="shared" ca="1" si="117"/>
        <v>0</v>
      </c>
      <c r="AH205" s="126">
        <f t="shared" ca="1" si="118"/>
        <v>0</v>
      </c>
      <c r="AI205" s="126">
        <f t="shared" ca="1" si="119"/>
        <v>1014.731740936279</v>
      </c>
      <c r="AJ205" t="str">
        <f t="shared" ca="1" si="120"/>
        <v>72040</v>
      </c>
      <c r="AK205" s="126">
        <f t="shared" ca="1" si="136"/>
        <v>0</v>
      </c>
      <c r="AL205" s="126">
        <f t="shared" ca="1" si="137"/>
        <v>0</v>
      </c>
      <c r="AM205" s="126">
        <f t="shared" ca="1" si="151"/>
        <v>0</v>
      </c>
      <c r="AN205" s="753">
        <f t="shared" ca="1" si="152"/>
        <v>0</v>
      </c>
      <c r="AO205" s="750">
        <f t="shared" ca="1" si="138"/>
        <v>0</v>
      </c>
      <c r="AP205" s="126">
        <f t="shared" ca="1" si="139"/>
        <v>0</v>
      </c>
      <c r="AQ205" s="126">
        <f t="shared" ca="1" si="140"/>
        <v>0</v>
      </c>
      <c r="AR205" s="126">
        <f t="shared" ca="1" si="121"/>
        <v>10000</v>
      </c>
      <c r="AS205" s="750">
        <f t="shared" ca="1" si="122"/>
        <v>0</v>
      </c>
      <c r="AT205" s="750">
        <f t="shared" ca="1" si="123"/>
        <v>0</v>
      </c>
      <c r="AU205" s="126">
        <f t="shared" ca="1" si="141"/>
        <v>1364.7013779931901</v>
      </c>
      <c r="AV205" s="126">
        <f t="shared" ca="1" si="142"/>
        <v>9552.9096459523316</v>
      </c>
      <c r="AW205" s="126">
        <f t="shared" ca="1" si="124"/>
        <v>10000</v>
      </c>
      <c r="AX205" s="750">
        <f t="shared" ca="1" si="143"/>
        <v>1364.7013779931901</v>
      </c>
      <c r="AY205" s="750">
        <f t="shared" ca="1" si="144"/>
        <v>0</v>
      </c>
      <c r="AZ205">
        <f t="shared" si="145"/>
        <v>5750</v>
      </c>
    </row>
    <row r="206" spans="4:52">
      <c r="D206">
        <v>199</v>
      </c>
      <c r="E206" s="6">
        <f t="shared" ca="1" si="146"/>
        <v>46722</v>
      </c>
      <c r="F206" s="7">
        <f t="shared" ca="1" si="125"/>
        <v>1.1314082128906247</v>
      </c>
      <c r="G206" s="125">
        <f ca="1">IF('Simulador - 1º Pilar'!$E$99="Sí",IF('Aportaciones PPE'!$B$13&lt;'Aportaciones PPE'!E206,0,F206*$B$8/12),F206*$B$8/12)</f>
        <v>19799.643725585931</v>
      </c>
      <c r="H206" s="125">
        <f t="shared" ca="1" si="115"/>
        <v>989.98218627929657</v>
      </c>
      <c r="I206" s="125">
        <f t="shared" ca="1" si="126"/>
        <v>0</v>
      </c>
      <c r="J206" s="125">
        <f t="shared" ca="1" si="127"/>
        <v>0</v>
      </c>
      <c r="K206" s="125">
        <f t="shared" ca="1" si="128"/>
        <v>1374.8233355887087</v>
      </c>
      <c r="L206" s="125">
        <f t="shared" ca="1" si="147"/>
        <v>0</v>
      </c>
      <c r="M206" s="125">
        <f t="shared" ca="1" si="129"/>
        <v>0</v>
      </c>
      <c r="N206" s="125">
        <f t="shared" ca="1" si="130"/>
        <v>1374.8233355887087</v>
      </c>
      <c r="R206">
        <f t="shared" si="148"/>
        <v>199</v>
      </c>
      <c r="U206" s="55"/>
      <c r="V206">
        <f t="shared" si="149"/>
        <v>8</v>
      </c>
      <c r="W206">
        <f t="shared" ca="1" si="150"/>
        <v>2040</v>
      </c>
      <c r="X206" s="123">
        <f t="shared" ca="1" si="131"/>
        <v>51349</v>
      </c>
      <c r="Y206" s="64">
        <f t="shared" ca="1" si="132"/>
        <v>447.09035404766837</v>
      </c>
      <c r="Z206" s="64">
        <f t="shared" ca="1" si="133"/>
        <v>917.61102394552177</v>
      </c>
      <c r="AA206" s="64">
        <f t="shared" ca="1" si="134"/>
        <v>483.94497764698241</v>
      </c>
      <c r="AB206" s="64">
        <f t="shared" ca="1" si="135"/>
        <v>993.25168268916286</v>
      </c>
      <c r="AF206" t="str">
        <f t="shared" ca="1" si="116"/>
        <v>122027</v>
      </c>
      <c r="AG206" s="126">
        <f t="shared" ca="1" si="117"/>
        <v>0</v>
      </c>
      <c r="AH206" s="126">
        <f t="shared" ca="1" si="118"/>
        <v>0</v>
      </c>
      <c r="AI206" s="126">
        <f t="shared" ca="1" si="119"/>
        <v>989.98218627929657</v>
      </c>
      <c r="AJ206" t="str">
        <f t="shared" ca="1" si="120"/>
        <v>82040</v>
      </c>
      <c r="AK206" s="126">
        <f t="shared" ca="1" si="136"/>
        <v>0</v>
      </c>
      <c r="AL206" s="126">
        <f t="shared" ca="1" si="137"/>
        <v>0</v>
      </c>
      <c r="AM206" s="126">
        <f t="shared" ca="1" si="151"/>
        <v>0</v>
      </c>
      <c r="AN206" s="753">
        <f t="shared" ca="1" si="152"/>
        <v>0</v>
      </c>
      <c r="AO206" s="750">
        <f t="shared" ca="1" si="138"/>
        <v>0</v>
      </c>
      <c r="AP206" s="126">
        <f t="shared" ca="1" si="139"/>
        <v>0</v>
      </c>
      <c r="AQ206" s="126">
        <f t="shared" ca="1" si="140"/>
        <v>0</v>
      </c>
      <c r="AR206" s="126">
        <f t="shared" ca="1" si="121"/>
        <v>10000</v>
      </c>
      <c r="AS206" s="750">
        <f t="shared" ca="1" si="122"/>
        <v>0</v>
      </c>
      <c r="AT206" s="750">
        <f t="shared" ca="1" si="123"/>
        <v>0</v>
      </c>
      <c r="AU206" s="126">
        <f t="shared" ca="1" si="141"/>
        <v>1364.7013779931901</v>
      </c>
      <c r="AV206" s="126">
        <f t="shared" ca="1" si="142"/>
        <v>10917.611023945521</v>
      </c>
      <c r="AW206" s="126">
        <f t="shared" ca="1" si="124"/>
        <v>10000</v>
      </c>
      <c r="AX206" s="750">
        <f t="shared" ca="1" si="143"/>
        <v>447.09035404766837</v>
      </c>
      <c r="AY206" s="750">
        <f t="shared" ca="1" si="144"/>
        <v>917.61102394552177</v>
      </c>
      <c r="AZ206">
        <f t="shared" si="145"/>
        <v>5750</v>
      </c>
    </row>
    <row r="207" spans="4:52">
      <c r="D207">
        <v>200</v>
      </c>
      <c r="E207" s="6">
        <f t="shared" ca="1" si="146"/>
        <v>46692</v>
      </c>
      <c r="F207" s="7">
        <f t="shared" ca="1" si="125"/>
        <v>1.1314082128906247</v>
      </c>
      <c r="G207" s="125">
        <f ca="1">IF('Simulador - 1º Pilar'!$E$99="Sí",IF('Aportaciones PPE'!$B$13&lt;'Aportaciones PPE'!E207,0,F207*$B$8/12),F207*$B$8/12)</f>
        <v>19799.643725585931</v>
      </c>
      <c r="H207" s="125">
        <f t="shared" ca="1" si="115"/>
        <v>989.98218627929657</v>
      </c>
      <c r="I207" s="125">
        <f t="shared" ca="1" si="126"/>
        <v>0</v>
      </c>
      <c r="J207" s="125">
        <f t="shared" ca="1" si="127"/>
        <v>0</v>
      </c>
      <c r="K207" s="125">
        <f t="shared" ca="1" si="128"/>
        <v>1377.0939681032107</v>
      </c>
      <c r="L207" s="125">
        <f t="shared" ca="1" si="147"/>
        <v>0</v>
      </c>
      <c r="M207" s="125">
        <f t="shared" ca="1" si="129"/>
        <v>0</v>
      </c>
      <c r="N207" s="125">
        <f t="shared" ca="1" si="130"/>
        <v>1377.0939681032107</v>
      </c>
      <c r="R207">
        <f t="shared" si="148"/>
        <v>200</v>
      </c>
      <c r="U207" s="55"/>
      <c r="V207">
        <f t="shared" si="149"/>
        <v>9</v>
      </c>
      <c r="W207">
        <f t="shared" ca="1" si="150"/>
        <v>2040</v>
      </c>
      <c r="X207" s="123">
        <f t="shared" ca="1" si="131"/>
        <v>51380</v>
      </c>
      <c r="Y207" s="64">
        <f t="shared" ca="1" si="132"/>
        <v>0</v>
      </c>
      <c r="Z207" s="64">
        <f t="shared" ca="1" si="133"/>
        <v>1364.7013779931901</v>
      </c>
      <c r="AA207" s="64">
        <f t="shared" ca="1" si="134"/>
        <v>0</v>
      </c>
      <c r="AB207" s="64">
        <f t="shared" ca="1" si="135"/>
        <v>1474.7159977967867</v>
      </c>
      <c r="AF207" t="str">
        <f t="shared" ca="1" si="116"/>
        <v>112027</v>
      </c>
      <c r="AG207" s="126">
        <f t="shared" ca="1" si="117"/>
        <v>0</v>
      </c>
      <c r="AH207" s="126">
        <f t="shared" ca="1" si="118"/>
        <v>0</v>
      </c>
      <c r="AI207" s="126">
        <f t="shared" ca="1" si="119"/>
        <v>989.98218627929657</v>
      </c>
      <c r="AJ207" t="str">
        <f t="shared" ca="1" si="120"/>
        <v>92040</v>
      </c>
      <c r="AK207" s="126">
        <f t="shared" ca="1" si="136"/>
        <v>0</v>
      </c>
      <c r="AL207" s="126">
        <f t="shared" ca="1" si="137"/>
        <v>0</v>
      </c>
      <c r="AM207" s="126">
        <f t="shared" ca="1" si="151"/>
        <v>0</v>
      </c>
      <c r="AN207" s="753">
        <f t="shared" ca="1" si="152"/>
        <v>0</v>
      </c>
      <c r="AO207" s="750">
        <f t="shared" ca="1" si="138"/>
        <v>0</v>
      </c>
      <c r="AP207" s="126">
        <f t="shared" ca="1" si="139"/>
        <v>0</v>
      </c>
      <c r="AQ207" s="126">
        <f t="shared" ca="1" si="140"/>
        <v>0</v>
      </c>
      <c r="AR207" s="126">
        <f t="shared" ca="1" si="121"/>
        <v>10000</v>
      </c>
      <c r="AS207" s="750">
        <f t="shared" ca="1" si="122"/>
        <v>0</v>
      </c>
      <c r="AT207" s="750">
        <f t="shared" ca="1" si="123"/>
        <v>0</v>
      </c>
      <c r="AU207" s="126">
        <f t="shared" ca="1" si="141"/>
        <v>1364.7013779931901</v>
      </c>
      <c r="AV207" s="126">
        <f t="shared" ca="1" si="142"/>
        <v>12282.312401938711</v>
      </c>
      <c r="AW207" s="126">
        <f t="shared" ca="1" si="124"/>
        <v>10000</v>
      </c>
      <c r="AX207" s="750">
        <f t="shared" ca="1" si="143"/>
        <v>0</v>
      </c>
      <c r="AY207" s="750">
        <f t="shared" ca="1" si="144"/>
        <v>1364.7013779931901</v>
      </c>
      <c r="AZ207">
        <f t="shared" si="145"/>
        <v>5750</v>
      </c>
    </row>
    <row r="208" spans="4:52">
      <c r="D208">
        <v>201</v>
      </c>
      <c r="E208" s="6">
        <f t="shared" ca="1" si="146"/>
        <v>46661</v>
      </c>
      <c r="F208" s="7">
        <f t="shared" ca="1" si="125"/>
        <v>1.1314082128906247</v>
      </c>
      <c r="G208" s="125">
        <f ca="1">IF('Simulador - 1º Pilar'!$E$99="Sí",IF('Aportaciones PPE'!$B$13&lt;'Aportaciones PPE'!E208,0,F208*$B$8/12),F208*$B$8/12)</f>
        <v>19799.643725585931</v>
      </c>
      <c r="H208" s="125">
        <f t="shared" ca="1" si="115"/>
        <v>989.98218627929657</v>
      </c>
      <c r="I208" s="125">
        <f t="shared" ca="1" si="126"/>
        <v>0</v>
      </c>
      <c r="J208" s="125">
        <f t="shared" ca="1" si="127"/>
        <v>0</v>
      </c>
      <c r="K208" s="125">
        <f t="shared" ca="1" si="128"/>
        <v>1379.3683507519172</v>
      </c>
      <c r="L208" s="125">
        <f t="shared" ca="1" si="147"/>
        <v>0</v>
      </c>
      <c r="M208" s="125">
        <f t="shared" ca="1" si="129"/>
        <v>0</v>
      </c>
      <c r="N208" s="125">
        <f t="shared" ca="1" si="130"/>
        <v>1379.3683507519172</v>
      </c>
      <c r="R208">
        <f t="shared" si="148"/>
        <v>201</v>
      </c>
      <c r="U208" s="55"/>
      <c r="V208">
        <f t="shared" si="149"/>
        <v>10</v>
      </c>
      <c r="W208">
        <f t="shared" ca="1" si="150"/>
        <v>2040</v>
      </c>
      <c r="X208" s="123">
        <f t="shared" ca="1" si="131"/>
        <v>51410</v>
      </c>
      <c r="Y208" s="64">
        <f t="shared" ca="1" si="132"/>
        <v>0</v>
      </c>
      <c r="Z208" s="64">
        <f t="shared" ca="1" si="133"/>
        <v>1364.7013779931901</v>
      </c>
      <c r="AA208" s="64">
        <f t="shared" ca="1" si="134"/>
        <v>0</v>
      </c>
      <c r="AB208" s="64">
        <f t="shared" ca="1" si="135"/>
        <v>1472.3193230853956</v>
      </c>
      <c r="AF208" t="str">
        <f t="shared" ca="1" si="116"/>
        <v>102027</v>
      </c>
      <c r="AG208" s="126">
        <f t="shared" ca="1" si="117"/>
        <v>0</v>
      </c>
      <c r="AH208" s="126">
        <f t="shared" ca="1" si="118"/>
        <v>0</v>
      </c>
      <c r="AI208" s="126">
        <f t="shared" ca="1" si="119"/>
        <v>989.98218627929657</v>
      </c>
      <c r="AJ208" t="str">
        <f t="shared" ca="1" si="120"/>
        <v>102040</v>
      </c>
      <c r="AK208" s="126">
        <f t="shared" ca="1" si="136"/>
        <v>0</v>
      </c>
      <c r="AL208" s="126">
        <f t="shared" ca="1" si="137"/>
        <v>0</v>
      </c>
      <c r="AM208" s="126">
        <f t="shared" ca="1" si="151"/>
        <v>0</v>
      </c>
      <c r="AN208" s="753">
        <f t="shared" ca="1" si="152"/>
        <v>0</v>
      </c>
      <c r="AO208" s="750">
        <f t="shared" ca="1" si="138"/>
        <v>0</v>
      </c>
      <c r="AP208" s="126">
        <f t="shared" ca="1" si="139"/>
        <v>0</v>
      </c>
      <c r="AQ208" s="126">
        <f t="shared" ca="1" si="140"/>
        <v>0</v>
      </c>
      <c r="AR208" s="126">
        <f t="shared" ca="1" si="121"/>
        <v>10000</v>
      </c>
      <c r="AS208" s="750">
        <f t="shared" ca="1" si="122"/>
        <v>0</v>
      </c>
      <c r="AT208" s="750">
        <f t="shared" ca="1" si="123"/>
        <v>0</v>
      </c>
      <c r="AU208" s="126">
        <f t="shared" ca="1" si="141"/>
        <v>1364.7013779931901</v>
      </c>
      <c r="AV208" s="126">
        <f t="shared" ca="1" si="142"/>
        <v>13647.0137799319</v>
      </c>
      <c r="AW208" s="126">
        <f t="shared" ca="1" si="124"/>
        <v>10000</v>
      </c>
      <c r="AX208" s="750">
        <f t="shared" ca="1" si="143"/>
        <v>0</v>
      </c>
      <c r="AY208" s="750">
        <f t="shared" ca="1" si="144"/>
        <v>1364.7013779931901</v>
      </c>
      <c r="AZ208">
        <f t="shared" si="145"/>
        <v>5750</v>
      </c>
    </row>
    <row r="209" spans="4:52">
      <c r="D209">
        <v>202</v>
      </c>
      <c r="E209" s="6">
        <f t="shared" ca="1" si="146"/>
        <v>46631</v>
      </c>
      <c r="F209" s="7">
        <f t="shared" ca="1" si="125"/>
        <v>1.1314082128906247</v>
      </c>
      <c r="G209" s="125">
        <f ca="1">IF('Simulador - 1º Pilar'!$E$99="Sí",IF('Aportaciones PPE'!$B$13&lt;'Aportaciones PPE'!E209,0,F209*$B$8/12),F209*$B$8/12)</f>
        <v>19799.643725585931</v>
      </c>
      <c r="H209" s="125">
        <f t="shared" ca="1" si="115"/>
        <v>989.98218627929657</v>
      </c>
      <c r="I209" s="125">
        <f t="shared" ca="1" si="126"/>
        <v>0</v>
      </c>
      <c r="J209" s="125">
        <f t="shared" ca="1" si="127"/>
        <v>0</v>
      </c>
      <c r="K209" s="125">
        <f t="shared" ca="1" si="128"/>
        <v>1381.6464897284793</v>
      </c>
      <c r="L209" s="125">
        <f t="shared" ca="1" si="147"/>
        <v>0</v>
      </c>
      <c r="M209" s="125">
        <f t="shared" ca="1" si="129"/>
        <v>0</v>
      </c>
      <c r="N209" s="125">
        <f t="shared" ca="1" si="130"/>
        <v>1381.6464897284793</v>
      </c>
      <c r="R209">
        <f t="shared" si="148"/>
        <v>202</v>
      </c>
      <c r="U209" s="55"/>
      <c r="V209">
        <f t="shared" si="149"/>
        <v>11</v>
      </c>
      <c r="W209">
        <f t="shared" ca="1" si="150"/>
        <v>2040</v>
      </c>
      <c r="X209" s="123">
        <f t="shared" ca="1" si="131"/>
        <v>51441</v>
      </c>
      <c r="Y209" s="64">
        <f t="shared" ca="1" si="132"/>
        <v>0</v>
      </c>
      <c r="Z209" s="64">
        <f t="shared" ca="1" si="133"/>
        <v>1364.7013779931901</v>
      </c>
      <c r="AA209" s="64">
        <f t="shared" ca="1" si="134"/>
        <v>0</v>
      </c>
      <c r="AB209" s="64">
        <f t="shared" ca="1" si="135"/>
        <v>1469.8468510789121</v>
      </c>
      <c r="AF209" t="str">
        <f t="shared" ca="1" si="116"/>
        <v>92027</v>
      </c>
      <c r="AG209" s="126">
        <f t="shared" ca="1" si="117"/>
        <v>0</v>
      </c>
      <c r="AH209" s="126">
        <f t="shared" ca="1" si="118"/>
        <v>0</v>
      </c>
      <c r="AI209" s="126">
        <f t="shared" ca="1" si="119"/>
        <v>989.98218627929657</v>
      </c>
      <c r="AJ209" t="str">
        <f t="shared" ca="1" si="120"/>
        <v>112040</v>
      </c>
      <c r="AK209" s="126">
        <f t="shared" ca="1" si="136"/>
        <v>0</v>
      </c>
      <c r="AL209" s="126">
        <f t="shared" ca="1" si="137"/>
        <v>0</v>
      </c>
      <c r="AM209" s="126">
        <f t="shared" ca="1" si="151"/>
        <v>0</v>
      </c>
      <c r="AN209" s="753">
        <f t="shared" ca="1" si="152"/>
        <v>0</v>
      </c>
      <c r="AO209" s="750">
        <f t="shared" ca="1" si="138"/>
        <v>0</v>
      </c>
      <c r="AP209" s="126">
        <f t="shared" ca="1" si="139"/>
        <v>0</v>
      </c>
      <c r="AQ209" s="126">
        <f t="shared" ca="1" si="140"/>
        <v>0</v>
      </c>
      <c r="AR209" s="126">
        <f t="shared" ca="1" si="121"/>
        <v>10000</v>
      </c>
      <c r="AS209" s="750">
        <f t="shared" ca="1" si="122"/>
        <v>0</v>
      </c>
      <c r="AT209" s="750">
        <f t="shared" ca="1" si="123"/>
        <v>0</v>
      </c>
      <c r="AU209" s="126">
        <f t="shared" ca="1" si="141"/>
        <v>1364.7013779931901</v>
      </c>
      <c r="AV209" s="126">
        <f t="shared" ca="1" si="142"/>
        <v>15011.715157925089</v>
      </c>
      <c r="AW209" s="126">
        <f t="shared" ca="1" si="124"/>
        <v>10000</v>
      </c>
      <c r="AX209" s="750">
        <f t="shared" ca="1" si="143"/>
        <v>0</v>
      </c>
      <c r="AY209" s="750">
        <f t="shared" ca="1" si="144"/>
        <v>1364.7013779931901</v>
      </c>
      <c r="AZ209">
        <f t="shared" si="145"/>
        <v>5750</v>
      </c>
    </row>
    <row r="210" spans="4:52">
      <c r="D210">
        <v>203</v>
      </c>
      <c r="E210" s="6">
        <f t="shared" ca="1" si="146"/>
        <v>46600</v>
      </c>
      <c r="F210" s="7">
        <f t="shared" ca="1" si="125"/>
        <v>1.1314082128906247</v>
      </c>
      <c r="G210" s="125">
        <f ca="1">IF('Simulador - 1º Pilar'!$E$99="Sí",IF('Aportaciones PPE'!$B$13&lt;'Aportaciones PPE'!E210,0,F210*$B$8/12),F210*$B$8/12)</f>
        <v>19799.643725585931</v>
      </c>
      <c r="H210" s="125">
        <f t="shared" ca="1" si="115"/>
        <v>989.98218627929657</v>
      </c>
      <c r="I210" s="125">
        <f t="shared" ca="1" si="126"/>
        <v>0</v>
      </c>
      <c r="J210" s="125">
        <f t="shared" ca="1" si="127"/>
        <v>0</v>
      </c>
      <c r="K210" s="125">
        <f t="shared" ca="1" si="128"/>
        <v>1383.9283912367785</v>
      </c>
      <c r="L210" s="125">
        <f t="shared" ca="1" si="147"/>
        <v>0</v>
      </c>
      <c r="M210" s="125">
        <f t="shared" ca="1" si="129"/>
        <v>0</v>
      </c>
      <c r="N210" s="125">
        <f t="shared" ca="1" si="130"/>
        <v>1383.9283912367785</v>
      </c>
      <c r="R210">
        <f t="shared" si="148"/>
        <v>203</v>
      </c>
      <c r="U210" s="55"/>
      <c r="V210">
        <f t="shared" si="149"/>
        <v>12</v>
      </c>
      <c r="W210">
        <f t="shared" ca="1" si="150"/>
        <v>2040</v>
      </c>
      <c r="X210" s="123">
        <f t="shared" ca="1" si="131"/>
        <v>51471</v>
      </c>
      <c r="Y210" s="64">
        <f t="shared" ca="1" si="132"/>
        <v>0</v>
      </c>
      <c r="Z210" s="64">
        <f t="shared" ca="1" si="133"/>
        <v>1364.7013779931901</v>
      </c>
      <c r="AA210" s="64">
        <f t="shared" ca="1" si="134"/>
        <v>0</v>
      </c>
      <c r="AB210" s="64">
        <f t="shared" ca="1" si="135"/>
        <v>1467.4580895934046</v>
      </c>
      <c r="AF210" t="str">
        <f t="shared" ca="1" si="116"/>
        <v>82027</v>
      </c>
      <c r="AG210" s="126">
        <f t="shared" ca="1" si="117"/>
        <v>0</v>
      </c>
      <c r="AH210" s="126">
        <f t="shared" ca="1" si="118"/>
        <v>0</v>
      </c>
      <c r="AI210" s="126">
        <f t="shared" ca="1" si="119"/>
        <v>989.98218627929657</v>
      </c>
      <c r="AJ210" t="str">
        <f t="shared" ca="1" si="120"/>
        <v>122040</v>
      </c>
      <c r="AK210" s="126">
        <f t="shared" ca="1" si="136"/>
        <v>0</v>
      </c>
      <c r="AL210" s="126">
        <f t="shared" ca="1" si="137"/>
        <v>0</v>
      </c>
      <c r="AM210" s="126">
        <f t="shared" ca="1" si="151"/>
        <v>0</v>
      </c>
      <c r="AN210" s="753">
        <f t="shared" ca="1" si="152"/>
        <v>0</v>
      </c>
      <c r="AO210" s="750">
        <f t="shared" ca="1" si="138"/>
        <v>0</v>
      </c>
      <c r="AP210" s="126">
        <f t="shared" ca="1" si="139"/>
        <v>0</v>
      </c>
      <c r="AQ210" s="126">
        <f t="shared" ca="1" si="140"/>
        <v>0</v>
      </c>
      <c r="AR210" s="126">
        <f t="shared" ca="1" si="121"/>
        <v>10000</v>
      </c>
      <c r="AS210" s="750">
        <f t="shared" ca="1" si="122"/>
        <v>0</v>
      </c>
      <c r="AT210" s="750">
        <f t="shared" ca="1" si="123"/>
        <v>0</v>
      </c>
      <c r="AU210" s="126">
        <f t="shared" ca="1" si="141"/>
        <v>1364.7013779931901</v>
      </c>
      <c r="AV210" s="126">
        <f t="shared" ca="1" si="142"/>
        <v>16376.416535918279</v>
      </c>
      <c r="AW210" s="126">
        <f t="shared" ca="1" si="124"/>
        <v>10000</v>
      </c>
      <c r="AX210" s="750">
        <f t="shared" ca="1" si="143"/>
        <v>0</v>
      </c>
      <c r="AY210" s="750">
        <f t="shared" ca="1" si="144"/>
        <v>1364.7013779931901</v>
      </c>
      <c r="AZ210">
        <f t="shared" si="145"/>
        <v>5750</v>
      </c>
    </row>
    <row r="211" spans="4:52">
      <c r="D211">
        <v>204</v>
      </c>
      <c r="E211" s="6">
        <f t="shared" ca="1" si="146"/>
        <v>46569</v>
      </c>
      <c r="F211" s="7">
        <f t="shared" ca="1" si="125"/>
        <v>1.1314082128906247</v>
      </c>
      <c r="G211" s="125">
        <f ca="1">IF('Simulador - 1º Pilar'!$E$99="Sí",IF('Aportaciones PPE'!$B$13&lt;'Aportaciones PPE'!E211,0,F211*$B$8/12),F211*$B$8/12)</f>
        <v>19799.643725585931</v>
      </c>
      <c r="H211" s="125">
        <f t="shared" ca="1" si="115"/>
        <v>989.98218627929657</v>
      </c>
      <c r="I211" s="125">
        <f t="shared" ca="1" si="126"/>
        <v>0</v>
      </c>
      <c r="J211" s="125">
        <f t="shared" ca="1" si="127"/>
        <v>0</v>
      </c>
      <c r="K211" s="125">
        <f t="shared" ca="1" si="128"/>
        <v>1386.2140614909413</v>
      </c>
      <c r="L211" s="125">
        <f t="shared" ca="1" si="147"/>
        <v>0</v>
      </c>
      <c r="M211" s="125">
        <f t="shared" ca="1" si="129"/>
        <v>0</v>
      </c>
      <c r="N211" s="125">
        <f t="shared" ca="1" si="130"/>
        <v>1386.2140614909413</v>
      </c>
      <c r="R211">
        <f t="shared" si="148"/>
        <v>204</v>
      </c>
      <c r="U211" s="55"/>
      <c r="V211">
        <f t="shared" si="149"/>
        <v>1</v>
      </c>
      <c r="W211">
        <f t="shared" ca="1" si="150"/>
        <v>2041</v>
      </c>
      <c r="X211" s="123">
        <f t="shared" ca="1" si="131"/>
        <v>51502</v>
      </c>
      <c r="Y211" s="64">
        <f t="shared" ca="1" si="132"/>
        <v>1398.8189124430196</v>
      </c>
      <c r="Z211" s="64">
        <f t="shared" ca="1" si="133"/>
        <v>0</v>
      </c>
      <c r="AA211" s="64">
        <f t="shared" ca="1" si="134"/>
        <v>1501.6186256036037</v>
      </c>
      <c r="AB211" s="64">
        <f t="shared" ca="1" si="135"/>
        <v>0</v>
      </c>
      <c r="AF211" t="str">
        <f t="shared" ca="1" si="116"/>
        <v>72027</v>
      </c>
      <c r="AG211" s="126">
        <f t="shared" ca="1" si="117"/>
        <v>0</v>
      </c>
      <c r="AH211" s="126">
        <f t="shared" ca="1" si="118"/>
        <v>0</v>
      </c>
      <c r="AI211" s="126">
        <f t="shared" ca="1" si="119"/>
        <v>989.98218627929657</v>
      </c>
      <c r="AJ211" t="str">
        <f t="shared" ca="1" si="120"/>
        <v>12041</v>
      </c>
      <c r="AK211" s="126">
        <f t="shared" ca="1" si="136"/>
        <v>0</v>
      </c>
      <c r="AL211" s="126">
        <f t="shared" ca="1" si="137"/>
        <v>0</v>
      </c>
      <c r="AM211" s="126">
        <f t="shared" ca="1" si="151"/>
        <v>0</v>
      </c>
      <c r="AN211" s="753">
        <f t="shared" ca="1" si="152"/>
        <v>0</v>
      </c>
      <c r="AO211" s="750">
        <f t="shared" ca="1" si="138"/>
        <v>0</v>
      </c>
      <c r="AP211" s="126">
        <f t="shared" ca="1" si="139"/>
        <v>0</v>
      </c>
      <c r="AQ211" s="126">
        <f t="shared" ca="1" si="140"/>
        <v>0</v>
      </c>
      <c r="AR211" s="126">
        <f t="shared" ca="1" si="121"/>
        <v>10000</v>
      </c>
      <c r="AS211" s="750">
        <f t="shared" ca="1" si="122"/>
        <v>0</v>
      </c>
      <c r="AT211" s="750">
        <f t="shared" ca="1" si="123"/>
        <v>0</v>
      </c>
      <c r="AU211" s="126">
        <f t="shared" ca="1" si="141"/>
        <v>1398.8189124430196</v>
      </c>
      <c r="AV211" s="126">
        <f t="shared" ca="1" si="142"/>
        <v>1398.8189124430196</v>
      </c>
      <c r="AW211" s="126">
        <f t="shared" ca="1" si="124"/>
        <v>10000</v>
      </c>
      <c r="AX211" s="750">
        <f t="shared" ca="1" si="143"/>
        <v>1398.8189124430196</v>
      </c>
      <c r="AY211" s="750">
        <f t="shared" ca="1" si="144"/>
        <v>0</v>
      </c>
      <c r="AZ211">
        <f t="shared" si="145"/>
        <v>5750</v>
      </c>
    </row>
    <row r="212" spans="4:52">
      <c r="D212">
        <v>205</v>
      </c>
      <c r="E212" s="6">
        <f t="shared" ca="1" si="146"/>
        <v>46539</v>
      </c>
      <c r="F212" s="7">
        <f t="shared" ca="1" si="125"/>
        <v>1.1314082128906247</v>
      </c>
      <c r="G212" s="125">
        <f ca="1">IF('Simulador - 1º Pilar'!$E$99="Sí",IF('Aportaciones PPE'!$B$13&lt;'Aportaciones PPE'!E212,0,F212*$B$8/12),F212*$B$8/12)</f>
        <v>19799.643725585931</v>
      </c>
      <c r="H212" s="125">
        <f t="shared" ca="1" si="115"/>
        <v>989.98218627929657</v>
      </c>
      <c r="I212" s="125">
        <f t="shared" ca="1" si="126"/>
        <v>0</v>
      </c>
      <c r="J212" s="125">
        <f t="shared" ca="1" si="127"/>
        <v>0</v>
      </c>
      <c r="K212" s="125">
        <f t="shared" ca="1" si="128"/>
        <v>1388.503506715359</v>
      </c>
      <c r="L212" s="125">
        <f t="shared" ca="1" si="147"/>
        <v>0</v>
      </c>
      <c r="M212" s="125">
        <f t="shared" ca="1" si="129"/>
        <v>0</v>
      </c>
      <c r="N212" s="125">
        <f t="shared" ca="1" si="130"/>
        <v>1388.503506715359</v>
      </c>
      <c r="R212">
        <f t="shared" si="148"/>
        <v>205</v>
      </c>
      <c r="U212" s="55"/>
      <c r="V212">
        <f t="shared" si="149"/>
        <v>2</v>
      </c>
      <c r="W212">
        <f t="shared" ca="1" si="150"/>
        <v>2041</v>
      </c>
      <c r="X212" s="123">
        <f t="shared" ca="1" si="131"/>
        <v>51533</v>
      </c>
      <c r="Y212" s="64">
        <f t="shared" ca="1" si="132"/>
        <v>1398.8189124430196</v>
      </c>
      <c r="Z212" s="64">
        <f t="shared" ca="1" si="133"/>
        <v>0</v>
      </c>
      <c r="AA212" s="64">
        <f t="shared" ca="1" si="134"/>
        <v>1499.0969511556732</v>
      </c>
      <c r="AB212" s="64">
        <f t="shared" ca="1" si="135"/>
        <v>0</v>
      </c>
      <c r="AF212" t="str">
        <f t="shared" ca="1" si="116"/>
        <v>62027</v>
      </c>
      <c r="AG212" s="126">
        <f t="shared" ca="1" si="117"/>
        <v>0</v>
      </c>
      <c r="AH212" s="126">
        <f t="shared" ca="1" si="118"/>
        <v>0</v>
      </c>
      <c r="AI212" s="126">
        <f t="shared" ca="1" si="119"/>
        <v>989.98218627929657</v>
      </c>
      <c r="AJ212" t="str">
        <f t="shared" ca="1" si="120"/>
        <v>22041</v>
      </c>
      <c r="AK212" s="126">
        <f t="shared" ca="1" si="136"/>
        <v>0</v>
      </c>
      <c r="AL212" s="126">
        <f t="shared" ca="1" si="137"/>
        <v>0</v>
      </c>
      <c r="AM212" s="126">
        <f t="shared" ca="1" si="151"/>
        <v>0</v>
      </c>
      <c r="AN212" s="753">
        <f t="shared" ca="1" si="152"/>
        <v>0</v>
      </c>
      <c r="AO212" s="750">
        <f t="shared" ca="1" si="138"/>
        <v>0</v>
      </c>
      <c r="AP212" s="126">
        <f t="shared" ca="1" si="139"/>
        <v>0</v>
      </c>
      <c r="AQ212" s="126">
        <f t="shared" ca="1" si="140"/>
        <v>0</v>
      </c>
      <c r="AR212" s="126">
        <f t="shared" ca="1" si="121"/>
        <v>10000</v>
      </c>
      <c r="AS212" s="750">
        <f t="shared" ca="1" si="122"/>
        <v>0</v>
      </c>
      <c r="AT212" s="750">
        <f t="shared" ca="1" si="123"/>
        <v>0</v>
      </c>
      <c r="AU212" s="126">
        <f t="shared" ca="1" si="141"/>
        <v>1398.8189124430196</v>
      </c>
      <c r="AV212" s="126">
        <f t="shared" ca="1" si="142"/>
        <v>2797.6378248860392</v>
      </c>
      <c r="AW212" s="126">
        <f t="shared" ca="1" si="124"/>
        <v>10000</v>
      </c>
      <c r="AX212" s="750">
        <f t="shared" ca="1" si="143"/>
        <v>1398.8189124430196</v>
      </c>
      <c r="AY212" s="750">
        <f t="shared" ca="1" si="144"/>
        <v>0</v>
      </c>
      <c r="AZ212">
        <f t="shared" si="145"/>
        <v>5750</v>
      </c>
    </row>
    <row r="213" spans="4:52">
      <c r="D213">
        <v>206</v>
      </c>
      <c r="E213" s="6">
        <f t="shared" ca="1" si="146"/>
        <v>46508</v>
      </c>
      <c r="F213" s="7">
        <f t="shared" ca="1" si="125"/>
        <v>1.1314082128906247</v>
      </c>
      <c r="G213" s="125">
        <f ca="1">IF('Simulador - 1º Pilar'!$E$99="Sí",IF('Aportaciones PPE'!$B$13&lt;'Aportaciones PPE'!E213,0,F213*$B$8/12),F213*$B$8/12)</f>
        <v>19799.643725585931</v>
      </c>
      <c r="H213" s="125">
        <f t="shared" ca="1" si="115"/>
        <v>989.98218627929657</v>
      </c>
      <c r="I213" s="125">
        <f t="shared" ca="1" si="126"/>
        <v>0</v>
      </c>
      <c r="J213" s="125">
        <f t="shared" ca="1" si="127"/>
        <v>0</v>
      </c>
      <c r="K213" s="125">
        <f t="shared" ca="1" si="128"/>
        <v>1390.7967331447007</v>
      </c>
      <c r="L213" s="125">
        <f t="shared" ca="1" si="147"/>
        <v>0</v>
      </c>
      <c r="M213" s="125">
        <f t="shared" ca="1" si="129"/>
        <v>0</v>
      </c>
      <c r="N213" s="125">
        <f t="shared" ca="1" si="130"/>
        <v>1390.7967331447007</v>
      </c>
      <c r="R213">
        <f t="shared" si="148"/>
        <v>206</v>
      </c>
      <c r="U213" s="55"/>
      <c r="V213">
        <f t="shared" si="149"/>
        <v>3</v>
      </c>
      <c r="W213">
        <f t="shared" ca="1" si="150"/>
        <v>2041</v>
      </c>
      <c r="X213" s="123">
        <f t="shared" ca="1" si="131"/>
        <v>51561</v>
      </c>
      <c r="Y213" s="64">
        <f t="shared" ca="1" si="132"/>
        <v>1398.8189124430196</v>
      </c>
      <c r="Z213" s="64">
        <f t="shared" ca="1" si="133"/>
        <v>0</v>
      </c>
      <c r="AA213" s="64">
        <f t="shared" ca="1" si="134"/>
        <v>1496.8229496953768</v>
      </c>
      <c r="AB213" s="64">
        <f t="shared" ca="1" si="135"/>
        <v>0</v>
      </c>
      <c r="AF213" t="str">
        <f t="shared" ca="1" si="116"/>
        <v>52027</v>
      </c>
      <c r="AG213" s="126">
        <f t="shared" ca="1" si="117"/>
        <v>0</v>
      </c>
      <c r="AH213" s="126">
        <f t="shared" ca="1" si="118"/>
        <v>0</v>
      </c>
      <c r="AI213" s="126">
        <f t="shared" ca="1" si="119"/>
        <v>989.98218627929657</v>
      </c>
      <c r="AJ213" t="str">
        <f t="shared" ca="1" si="120"/>
        <v>32041</v>
      </c>
      <c r="AK213" s="126">
        <f t="shared" ca="1" si="136"/>
        <v>0</v>
      </c>
      <c r="AL213" s="126">
        <f t="shared" ca="1" si="137"/>
        <v>0</v>
      </c>
      <c r="AM213" s="126">
        <f t="shared" ca="1" si="151"/>
        <v>0</v>
      </c>
      <c r="AN213" s="753">
        <f t="shared" ca="1" si="152"/>
        <v>0</v>
      </c>
      <c r="AO213" s="750">
        <f t="shared" ca="1" si="138"/>
        <v>0</v>
      </c>
      <c r="AP213" s="126">
        <f t="shared" ca="1" si="139"/>
        <v>0</v>
      </c>
      <c r="AQ213" s="126">
        <f t="shared" ca="1" si="140"/>
        <v>0</v>
      </c>
      <c r="AR213" s="126">
        <f t="shared" ca="1" si="121"/>
        <v>10000</v>
      </c>
      <c r="AS213" s="750">
        <f t="shared" ca="1" si="122"/>
        <v>0</v>
      </c>
      <c r="AT213" s="750">
        <f t="shared" ca="1" si="123"/>
        <v>0</v>
      </c>
      <c r="AU213" s="126">
        <f t="shared" ca="1" si="141"/>
        <v>1398.8189124430196</v>
      </c>
      <c r="AV213" s="126">
        <f t="shared" ca="1" si="142"/>
        <v>4196.4567373290593</v>
      </c>
      <c r="AW213" s="126">
        <f t="shared" ca="1" si="124"/>
        <v>10000</v>
      </c>
      <c r="AX213" s="750">
        <f t="shared" ca="1" si="143"/>
        <v>1398.8189124430196</v>
      </c>
      <c r="AY213" s="750">
        <f t="shared" ca="1" si="144"/>
        <v>0</v>
      </c>
      <c r="AZ213">
        <f t="shared" si="145"/>
        <v>5750</v>
      </c>
    </row>
    <row r="214" spans="4:52">
      <c r="D214">
        <v>207</v>
      </c>
      <c r="E214" s="6">
        <f t="shared" ca="1" si="146"/>
        <v>46478</v>
      </c>
      <c r="F214" s="7">
        <f t="shared" ca="1" si="125"/>
        <v>1.1314082128906247</v>
      </c>
      <c r="G214" s="125">
        <f ca="1">IF('Simulador - 1º Pilar'!$E$99="Sí",IF('Aportaciones PPE'!$B$13&lt;'Aportaciones PPE'!E214,0,F214*$B$8/12),F214*$B$8/12)</f>
        <v>19799.643725585931</v>
      </c>
      <c r="H214" s="125">
        <f t="shared" ca="1" si="115"/>
        <v>989.98218627929657</v>
      </c>
      <c r="I214" s="125">
        <f t="shared" ca="1" si="126"/>
        <v>0</v>
      </c>
      <c r="J214" s="125">
        <f t="shared" ca="1" si="127"/>
        <v>0</v>
      </c>
      <c r="K214" s="125">
        <f t="shared" ca="1" si="128"/>
        <v>1393.0937470239339</v>
      </c>
      <c r="L214" s="125">
        <f t="shared" ca="1" si="147"/>
        <v>0</v>
      </c>
      <c r="M214" s="125">
        <f t="shared" ca="1" si="129"/>
        <v>0</v>
      </c>
      <c r="N214" s="125">
        <f t="shared" ca="1" si="130"/>
        <v>1393.0937470239339</v>
      </c>
      <c r="R214">
        <f t="shared" si="148"/>
        <v>207</v>
      </c>
      <c r="U214" s="55"/>
      <c r="V214">
        <f t="shared" si="149"/>
        <v>4</v>
      </c>
      <c r="W214">
        <f t="shared" ca="1" si="150"/>
        <v>2041</v>
      </c>
      <c r="X214" s="123">
        <f t="shared" ca="1" si="131"/>
        <v>51592</v>
      </c>
      <c r="Y214" s="64">
        <f t="shared" ca="1" si="132"/>
        <v>1398.8189124430196</v>
      </c>
      <c r="Z214" s="64">
        <f t="shared" ca="1" si="133"/>
        <v>0</v>
      </c>
      <c r="AA214" s="64">
        <f t="shared" ca="1" si="134"/>
        <v>1494.3093286460869</v>
      </c>
      <c r="AB214" s="64">
        <f t="shared" ca="1" si="135"/>
        <v>0</v>
      </c>
      <c r="AF214" t="str">
        <f t="shared" ca="1" si="116"/>
        <v>42027</v>
      </c>
      <c r="AG214" s="126">
        <f t="shared" ca="1" si="117"/>
        <v>0</v>
      </c>
      <c r="AH214" s="126">
        <f t="shared" ca="1" si="118"/>
        <v>0</v>
      </c>
      <c r="AI214" s="126">
        <f t="shared" ca="1" si="119"/>
        <v>989.98218627929657</v>
      </c>
      <c r="AJ214" t="str">
        <f t="shared" ca="1" si="120"/>
        <v>42041</v>
      </c>
      <c r="AK214" s="126">
        <f t="shared" ca="1" si="136"/>
        <v>0</v>
      </c>
      <c r="AL214" s="126">
        <f t="shared" ca="1" si="137"/>
        <v>0</v>
      </c>
      <c r="AM214" s="126">
        <f t="shared" ca="1" si="151"/>
        <v>0</v>
      </c>
      <c r="AN214" s="753">
        <f t="shared" ca="1" si="152"/>
        <v>0</v>
      </c>
      <c r="AO214" s="750">
        <f t="shared" ca="1" si="138"/>
        <v>0</v>
      </c>
      <c r="AP214" s="126">
        <f t="shared" ca="1" si="139"/>
        <v>0</v>
      </c>
      <c r="AQ214" s="126">
        <f t="shared" ca="1" si="140"/>
        <v>0</v>
      </c>
      <c r="AR214" s="126">
        <f t="shared" ca="1" si="121"/>
        <v>10000</v>
      </c>
      <c r="AS214" s="750">
        <f t="shared" ca="1" si="122"/>
        <v>0</v>
      </c>
      <c r="AT214" s="750">
        <f t="shared" ca="1" si="123"/>
        <v>0</v>
      </c>
      <c r="AU214" s="126">
        <f t="shared" ca="1" si="141"/>
        <v>1398.8189124430196</v>
      </c>
      <c r="AV214" s="126">
        <f t="shared" ca="1" si="142"/>
        <v>5595.2756497720784</v>
      </c>
      <c r="AW214" s="126">
        <f t="shared" ca="1" si="124"/>
        <v>10000</v>
      </c>
      <c r="AX214" s="750">
        <f t="shared" ca="1" si="143"/>
        <v>1398.8189124430196</v>
      </c>
      <c r="AY214" s="750">
        <f t="shared" ca="1" si="144"/>
        <v>0</v>
      </c>
      <c r="AZ214">
        <f t="shared" si="145"/>
        <v>5750</v>
      </c>
    </row>
    <row r="215" spans="4:52">
      <c r="D215">
        <v>208</v>
      </c>
      <c r="E215" s="6">
        <f t="shared" ca="1" si="146"/>
        <v>46447</v>
      </c>
      <c r="F215" s="7">
        <f t="shared" ca="1" si="125"/>
        <v>1.1314082128906247</v>
      </c>
      <c r="G215" s="125">
        <f ca="1">IF('Simulador - 1º Pilar'!$E$99="Sí",IF('Aportaciones PPE'!$B$13&lt;'Aportaciones PPE'!E215,0,F215*$B$8/12),F215*$B$8/12)</f>
        <v>19799.643725585931</v>
      </c>
      <c r="H215" s="125">
        <f t="shared" ca="1" si="115"/>
        <v>989.98218627929657</v>
      </c>
      <c r="I215" s="125">
        <f t="shared" ca="1" si="126"/>
        <v>0</v>
      </c>
      <c r="J215" s="125">
        <f t="shared" ca="1" si="127"/>
        <v>0</v>
      </c>
      <c r="K215" s="125">
        <f t="shared" ca="1" si="128"/>
        <v>1395.3945546083407</v>
      </c>
      <c r="L215" s="125">
        <f t="shared" ca="1" si="147"/>
        <v>0</v>
      </c>
      <c r="M215" s="125">
        <f t="shared" ca="1" si="129"/>
        <v>0</v>
      </c>
      <c r="N215" s="125">
        <f t="shared" ca="1" si="130"/>
        <v>1395.3945546083407</v>
      </c>
      <c r="R215">
        <f t="shared" si="148"/>
        <v>208</v>
      </c>
      <c r="U215" s="55"/>
      <c r="V215">
        <f t="shared" si="149"/>
        <v>5</v>
      </c>
      <c r="W215">
        <f t="shared" ca="1" si="150"/>
        <v>2041</v>
      </c>
      <c r="X215" s="123">
        <f t="shared" ca="1" si="131"/>
        <v>51622</v>
      </c>
      <c r="Y215" s="64">
        <f t="shared" ca="1" si="132"/>
        <v>1398.8189124430196</v>
      </c>
      <c r="Z215" s="64">
        <f t="shared" ca="1" si="133"/>
        <v>0</v>
      </c>
      <c r="AA215" s="64">
        <f t="shared" ca="1" si="134"/>
        <v>1491.8808113015184</v>
      </c>
      <c r="AB215" s="64">
        <f t="shared" ca="1" si="135"/>
        <v>0</v>
      </c>
      <c r="AF215" t="str">
        <f t="shared" ca="1" si="116"/>
        <v>32027</v>
      </c>
      <c r="AG215" s="126">
        <f t="shared" ca="1" si="117"/>
        <v>0</v>
      </c>
      <c r="AH215" s="126">
        <f t="shared" ca="1" si="118"/>
        <v>0</v>
      </c>
      <c r="AI215" s="126">
        <f t="shared" ca="1" si="119"/>
        <v>989.98218627929657</v>
      </c>
      <c r="AJ215" t="str">
        <f t="shared" ca="1" si="120"/>
        <v>52041</v>
      </c>
      <c r="AK215" s="126">
        <f t="shared" ca="1" si="136"/>
        <v>0</v>
      </c>
      <c r="AL215" s="126">
        <f t="shared" ca="1" si="137"/>
        <v>0</v>
      </c>
      <c r="AM215" s="126">
        <f t="shared" ca="1" si="151"/>
        <v>0</v>
      </c>
      <c r="AN215" s="753">
        <f t="shared" ca="1" si="152"/>
        <v>0</v>
      </c>
      <c r="AO215" s="750">
        <f t="shared" ca="1" si="138"/>
        <v>0</v>
      </c>
      <c r="AP215" s="126">
        <f t="shared" ca="1" si="139"/>
        <v>0</v>
      </c>
      <c r="AQ215" s="126">
        <f t="shared" ca="1" si="140"/>
        <v>0</v>
      </c>
      <c r="AR215" s="126">
        <f t="shared" ca="1" si="121"/>
        <v>10000</v>
      </c>
      <c r="AS215" s="750">
        <f t="shared" ca="1" si="122"/>
        <v>0</v>
      </c>
      <c r="AT215" s="750">
        <f t="shared" ca="1" si="123"/>
        <v>0</v>
      </c>
      <c r="AU215" s="126">
        <f t="shared" ca="1" si="141"/>
        <v>1398.8189124430196</v>
      </c>
      <c r="AV215" s="126">
        <f t="shared" ca="1" si="142"/>
        <v>6994.0945622150975</v>
      </c>
      <c r="AW215" s="126">
        <f t="shared" ca="1" si="124"/>
        <v>10000</v>
      </c>
      <c r="AX215" s="750">
        <f t="shared" ca="1" si="143"/>
        <v>1398.8189124430196</v>
      </c>
      <c r="AY215" s="750">
        <f t="shared" ca="1" si="144"/>
        <v>0</v>
      </c>
      <c r="AZ215">
        <f t="shared" si="145"/>
        <v>5750</v>
      </c>
    </row>
    <row r="216" spans="4:52">
      <c r="D216">
        <v>209</v>
      </c>
      <c r="E216" s="6">
        <f t="shared" ca="1" si="146"/>
        <v>46419</v>
      </c>
      <c r="F216" s="7">
        <f t="shared" ca="1" si="125"/>
        <v>1.1314082128906247</v>
      </c>
      <c r="G216" s="125">
        <f ca="1">IF('Simulador - 1º Pilar'!$E$99="Sí",IF('Aportaciones PPE'!$B$13&lt;'Aportaciones PPE'!E216,0,F216*$B$8/12),F216*$B$8/12)</f>
        <v>19799.643725585931</v>
      </c>
      <c r="H216" s="125">
        <f t="shared" ca="1" si="115"/>
        <v>989.98218627929657</v>
      </c>
      <c r="I216" s="125">
        <f t="shared" ca="1" si="126"/>
        <v>0</v>
      </c>
      <c r="J216" s="125">
        <f t="shared" ca="1" si="127"/>
        <v>0</v>
      </c>
      <c r="K216" s="125">
        <f t="shared" ca="1" si="128"/>
        <v>1397.6991621635332</v>
      </c>
      <c r="L216" s="125">
        <f t="shared" ca="1" si="147"/>
        <v>0</v>
      </c>
      <c r="M216" s="125">
        <f t="shared" ca="1" si="129"/>
        <v>0</v>
      </c>
      <c r="N216" s="125">
        <f t="shared" ca="1" si="130"/>
        <v>1397.6991621635332</v>
      </c>
      <c r="R216">
        <f t="shared" si="148"/>
        <v>209</v>
      </c>
      <c r="U216" s="55"/>
      <c r="V216">
        <f t="shared" si="149"/>
        <v>6</v>
      </c>
      <c r="W216">
        <f t="shared" ca="1" si="150"/>
        <v>2041</v>
      </c>
      <c r="X216" s="123">
        <f t="shared" ca="1" si="131"/>
        <v>51653</v>
      </c>
      <c r="Y216" s="64">
        <f t="shared" ca="1" si="132"/>
        <v>1398.8189124430196</v>
      </c>
      <c r="Z216" s="64">
        <f t="shared" ca="1" si="133"/>
        <v>0</v>
      </c>
      <c r="AA216" s="64">
        <f t="shared" ca="1" si="134"/>
        <v>1489.3754896059347</v>
      </c>
      <c r="AB216" s="64">
        <f t="shared" ca="1" si="135"/>
        <v>0</v>
      </c>
      <c r="AF216" t="str">
        <f t="shared" ca="1" si="116"/>
        <v>22027</v>
      </c>
      <c r="AG216" s="126">
        <f t="shared" ca="1" si="117"/>
        <v>0</v>
      </c>
      <c r="AH216" s="126">
        <f t="shared" ca="1" si="118"/>
        <v>0</v>
      </c>
      <c r="AI216" s="126">
        <f t="shared" ca="1" si="119"/>
        <v>989.98218627929657</v>
      </c>
      <c r="AJ216" t="str">
        <f t="shared" ca="1" si="120"/>
        <v>62041</v>
      </c>
      <c r="AK216" s="126">
        <f t="shared" ca="1" si="136"/>
        <v>0</v>
      </c>
      <c r="AL216" s="126">
        <f t="shared" ca="1" si="137"/>
        <v>0</v>
      </c>
      <c r="AM216" s="126">
        <f t="shared" ca="1" si="151"/>
        <v>0</v>
      </c>
      <c r="AN216" s="753">
        <f t="shared" ca="1" si="152"/>
        <v>0</v>
      </c>
      <c r="AO216" s="750">
        <f t="shared" ca="1" si="138"/>
        <v>0</v>
      </c>
      <c r="AP216" s="126">
        <f t="shared" ca="1" si="139"/>
        <v>0</v>
      </c>
      <c r="AQ216" s="126">
        <f t="shared" ca="1" si="140"/>
        <v>0</v>
      </c>
      <c r="AR216" s="126">
        <f t="shared" ca="1" si="121"/>
        <v>10000</v>
      </c>
      <c r="AS216" s="750">
        <f t="shared" ca="1" si="122"/>
        <v>0</v>
      </c>
      <c r="AT216" s="750">
        <f t="shared" ca="1" si="123"/>
        <v>0</v>
      </c>
      <c r="AU216" s="126">
        <f t="shared" ca="1" si="141"/>
        <v>1398.8189124430196</v>
      </c>
      <c r="AV216" s="126">
        <f t="shared" ca="1" si="142"/>
        <v>8392.9134746581167</v>
      </c>
      <c r="AW216" s="126">
        <f t="shared" ca="1" si="124"/>
        <v>10000</v>
      </c>
      <c r="AX216" s="750">
        <f t="shared" ca="1" si="143"/>
        <v>1398.8189124430196</v>
      </c>
      <c r="AY216" s="750">
        <f t="shared" ca="1" si="144"/>
        <v>0</v>
      </c>
      <c r="AZ216">
        <f t="shared" si="145"/>
        <v>5750</v>
      </c>
    </row>
    <row r="217" spans="4:52">
      <c r="D217">
        <v>210</v>
      </c>
      <c r="E217" s="6">
        <f t="shared" ca="1" si="146"/>
        <v>46388</v>
      </c>
      <c r="F217" s="7">
        <f t="shared" ca="1" si="125"/>
        <v>1.1314082128906247</v>
      </c>
      <c r="G217" s="125">
        <f ca="1">IF('Simulador - 1º Pilar'!$E$99="Sí",IF('Aportaciones PPE'!$B$13&lt;'Aportaciones PPE'!E217,0,F217*$B$8/12),F217*$B$8/12)</f>
        <v>19799.643725585931</v>
      </c>
      <c r="H217" s="125">
        <f t="shared" ca="1" si="115"/>
        <v>989.98218627929657</v>
      </c>
      <c r="I217" s="125">
        <f t="shared" ca="1" si="126"/>
        <v>0</v>
      </c>
      <c r="J217" s="125">
        <f t="shared" ca="1" si="127"/>
        <v>0</v>
      </c>
      <c r="K217" s="125">
        <f t="shared" ca="1" si="128"/>
        <v>1400.0075759654719</v>
      </c>
      <c r="L217" s="125">
        <f t="shared" ca="1" si="147"/>
        <v>0</v>
      </c>
      <c r="M217" s="125">
        <f t="shared" ca="1" si="129"/>
        <v>0</v>
      </c>
      <c r="N217" s="125">
        <f t="shared" ca="1" si="130"/>
        <v>1400.0075759654719</v>
      </c>
      <c r="R217">
        <f t="shared" si="148"/>
        <v>210</v>
      </c>
      <c r="U217" s="55"/>
      <c r="V217">
        <f t="shared" si="149"/>
        <v>7</v>
      </c>
      <c r="W217">
        <f t="shared" ca="1" si="150"/>
        <v>2041</v>
      </c>
      <c r="X217" s="123">
        <f t="shared" ca="1" si="131"/>
        <v>51683</v>
      </c>
      <c r="Y217" s="64">
        <f t="shared" ca="1" si="132"/>
        <v>1398.8189124430196</v>
      </c>
      <c r="Z217" s="64">
        <f t="shared" ca="1" si="133"/>
        <v>0</v>
      </c>
      <c r="AA217" s="64">
        <f t="shared" ca="1" si="134"/>
        <v>1486.9549906237326</v>
      </c>
      <c r="AB217" s="64">
        <f t="shared" ca="1" si="135"/>
        <v>0</v>
      </c>
      <c r="AF217" t="str">
        <f t="shared" ca="1" si="116"/>
        <v>12027</v>
      </c>
      <c r="AG217" s="126">
        <f t="shared" ca="1" si="117"/>
        <v>0</v>
      </c>
      <c r="AH217" s="126">
        <f t="shared" ca="1" si="118"/>
        <v>0</v>
      </c>
      <c r="AI217" s="126">
        <f t="shared" ca="1" si="119"/>
        <v>989.98218627929657</v>
      </c>
      <c r="AJ217" t="str">
        <f t="shared" ca="1" si="120"/>
        <v>72041</v>
      </c>
      <c r="AK217" s="126">
        <f t="shared" ca="1" si="136"/>
        <v>0</v>
      </c>
      <c r="AL217" s="126">
        <f t="shared" ca="1" si="137"/>
        <v>0</v>
      </c>
      <c r="AM217" s="126">
        <f t="shared" ca="1" si="151"/>
        <v>0</v>
      </c>
      <c r="AN217" s="753">
        <f t="shared" ca="1" si="152"/>
        <v>0</v>
      </c>
      <c r="AO217" s="750">
        <f t="shared" ca="1" si="138"/>
        <v>0</v>
      </c>
      <c r="AP217" s="126">
        <f t="shared" ca="1" si="139"/>
        <v>0</v>
      </c>
      <c r="AQ217" s="126">
        <f t="shared" ca="1" si="140"/>
        <v>0</v>
      </c>
      <c r="AR217" s="126">
        <f t="shared" ca="1" si="121"/>
        <v>10000</v>
      </c>
      <c r="AS217" s="750">
        <f t="shared" ca="1" si="122"/>
        <v>0</v>
      </c>
      <c r="AT217" s="750">
        <f t="shared" ca="1" si="123"/>
        <v>0</v>
      </c>
      <c r="AU217" s="126">
        <f t="shared" ca="1" si="141"/>
        <v>1398.8189124430196</v>
      </c>
      <c r="AV217" s="126">
        <f t="shared" ca="1" si="142"/>
        <v>9791.7323871011358</v>
      </c>
      <c r="AW217" s="126">
        <f t="shared" ca="1" si="124"/>
        <v>10000</v>
      </c>
      <c r="AX217" s="750">
        <f t="shared" ca="1" si="143"/>
        <v>1398.8189124430196</v>
      </c>
      <c r="AY217" s="750">
        <f t="shared" ca="1" si="144"/>
        <v>0</v>
      </c>
      <c r="AZ217">
        <f t="shared" si="145"/>
        <v>5750</v>
      </c>
    </row>
    <row r="218" spans="4:52">
      <c r="D218">
        <v>211</v>
      </c>
      <c r="E218" s="6">
        <f t="shared" ca="1" si="146"/>
        <v>46357</v>
      </c>
      <c r="F218" s="7">
        <f t="shared" ca="1" si="125"/>
        <v>1.1038128906249998</v>
      </c>
      <c r="G218" s="125">
        <f ca="1">IF('Simulador - 1º Pilar'!$E$99="Sí",IF('Aportaciones PPE'!$B$13&lt;'Aportaciones PPE'!E218,0,F218*$B$8/12),F218*$B$8/12)</f>
        <v>19316.725585937496</v>
      </c>
      <c r="H218" s="125">
        <f t="shared" ca="1" si="115"/>
        <v>965.83627929687486</v>
      </c>
      <c r="I218" s="125">
        <f t="shared" ca="1" si="126"/>
        <v>0</v>
      </c>
      <c r="J218" s="125">
        <f t="shared" ca="1" si="127"/>
        <v>0</v>
      </c>
      <c r="K218" s="125">
        <f t="shared" ca="1" si="128"/>
        <v>1368.1168802931545</v>
      </c>
      <c r="L218" s="125">
        <f t="shared" ca="1" si="147"/>
        <v>0</v>
      </c>
      <c r="M218" s="125">
        <f t="shared" ca="1" si="129"/>
        <v>0</v>
      </c>
      <c r="N218" s="125">
        <f t="shared" ca="1" si="130"/>
        <v>1368.1168802931545</v>
      </c>
      <c r="R218">
        <f t="shared" si="148"/>
        <v>211</v>
      </c>
      <c r="U218" s="55"/>
      <c r="V218">
        <f t="shared" si="149"/>
        <v>8</v>
      </c>
      <c r="W218">
        <f t="shared" ca="1" si="150"/>
        <v>2041</v>
      </c>
      <c r="X218" s="123">
        <f t="shared" ca="1" si="131"/>
        <v>51714</v>
      </c>
      <c r="Y218" s="64">
        <f t="shared" ca="1" si="132"/>
        <v>208.26761289886417</v>
      </c>
      <c r="Z218" s="64">
        <f t="shared" ca="1" si="133"/>
        <v>1190.5512995441554</v>
      </c>
      <c r="AA218" s="64">
        <f t="shared" ca="1" si="134"/>
        <v>221.01825264556484</v>
      </c>
      <c r="AB218" s="64">
        <f t="shared" ca="1" si="135"/>
        <v>1263.4396882338817</v>
      </c>
      <c r="AF218" t="str">
        <f t="shared" ca="1" si="116"/>
        <v>122026</v>
      </c>
      <c r="AG218" s="126">
        <f t="shared" ca="1" si="117"/>
        <v>0</v>
      </c>
      <c r="AH218" s="126">
        <f t="shared" ca="1" si="118"/>
        <v>0</v>
      </c>
      <c r="AI218" s="126">
        <f t="shared" ca="1" si="119"/>
        <v>965.83627929687486</v>
      </c>
      <c r="AJ218" t="str">
        <f t="shared" ca="1" si="120"/>
        <v>82041</v>
      </c>
      <c r="AK218" s="126">
        <f t="shared" ca="1" si="136"/>
        <v>0</v>
      </c>
      <c r="AL218" s="126">
        <f t="shared" ca="1" si="137"/>
        <v>0</v>
      </c>
      <c r="AM218" s="126">
        <f t="shared" ca="1" si="151"/>
        <v>0</v>
      </c>
      <c r="AN218" s="753">
        <f t="shared" ca="1" si="152"/>
        <v>0</v>
      </c>
      <c r="AO218" s="750">
        <f t="shared" ca="1" si="138"/>
        <v>0</v>
      </c>
      <c r="AP218" s="126">
        <f t="shared" ca="1" si="139"/>
        <v>0</v>
      </c>
      <c r="AQ218" s="126">
        <f t="shared" ca="1" si="140"/>
        <v>0</v>
      </c>
      <c r="AR218" s="126">
        <f t="shared" ca="1" si="121"/>
        <v>10000</v>
      </c>
      <c r="AS218" s="750">
        <f t="shared" ca="1" si="122"/>
        <v>0</v>
      </c>
      <c r="AT218" s="750">
        <f t="shared" ca="1" si="123"/>
        <v>0</v>
      </c>
      <c r="AU218" s="126">
        <f t="shared" ca="1" si="141"/>
        <v>1398.8189124430196</v>
      </c>
      <c r="AV218" s="126">
        <f t="shared" ca="1" si="142"/>
        <v>11190.551299544155</v>
      </c>
      <c r="AW218" s="126">
        <f t="shared" ca="1" si="124"/>
        <v>10000</v>
      </c>
      <c r="AX218" s="750">
        <f t="shared" ca="1" si="143"/>
        <v>208.26761289886417</v>
      </c>
      <c r="AY218" s="750">
        <f t="shared" ca="1" si="144"/>
        <v>1190.5512995441554</v>
      </c>
      <c r="AZ218">
        <f t="shared" si="145"/>
        <v>5750</v>
      </c>
    </row>
    <row r="219" spans="4:52">
      <c r="D219">
        <v>212</v>
      </c>
      <c r="E219" s="6">
        <f t="shared" ca="1" si="146"/>
        <v>46327</v>
      </c>
      <c r="F219" s="7">
        <f t="shared" ca="1" si="125"/>
        <v>1.1038128906249998</v>
      </c>
      <c r="G219" s="125">
        <f ca="1">IF('Simulador - 1º Pilar'!$E$99="Sí",IF('Aportaciones PPE'!$B$13&lt;'Aportaciones PPE'!E219,0,F219*$B$8/12),F219*$B$8/12)</f>
        <v>19316.725585937496</v>
      </c>
      <c r="H219" s="125">
        <f t="shared" ca="1" si="115"/>
        <v>965.83627929687486</v>
      </c>
      <c r="I219" s="125">
        <f t="shared" ca="1" si="126"/>
        <v>0</v>
      </c>
      <c r="J219" s="125">
        <f t="shared" ca="1" si="127"/>
        <v>0</v>
      </c>
      <c r="K219" s="125">
        <f t="shared" ca="1" si="128"/>
        <v>1370.3764365514878</v>
      </c>
      <c r="L219" s="125">
        <f t="shared" ca="1" si="147"/>
        <v>0</v>
      </c>
      <c r="M219" s="125">
        <f t="shared" ca="1" si="129"/>
        <v>0</v>
      </c>
      <c r="N219" s="125">
        <f t="shared" ca="1" si="130"/>
        <v>1370.3764365514878</v>
      </c>
      <c r="R219">
        <f t="shared" si="148"/>
        <v>212</v>
      </c>
      <c r="U219" s="55"/>
      <c r="V219">
        <f t="shared" si="149"/>
        <v>9</v>
      </c>
      <c r="W219">
        <f t="shared" ca="1" si="150"/>
        <v>2041</v>
      </c>
      <c r="X219" s="123">
        <f t="shared" ca="1" si="131"/>
        <v>51745</v>
      </c>
      <c r="Y219" s="64">
        <f t="shared" ca="1" si="132"/>
        <v>0</v>
      </c>
      <c r="Z219" s="64">
        <f t="shared" ca="1" si="133"/>
        <v>1398.8189124430196</v>
      </c>
      <c r="AA219" s="64">
        <f t="shared" ca="1" si="134"/>
        <v>0</v>
      </c>
      <c r="AB219" s="64">
        <f t="shared" ca="1" si="135"/>
        <v>1481.9650844412556</v>
      </c>
      <c r="AF219" t="str">
        <f t="shared" ca="1" si="116"/>
        <v>112026</v>
      </c>
      <c r="AG219" s="126">
        <f t="shared" ca="1" si="117"/>
        <v>0</v>
      </c>
      <c r="AH219" s="126">
        <f t="shared" ca="1" si="118"/>
        <v>0</v>
      </c>
      <c r="AI219" s="126">
        <f t="shared" ca="1" si="119"/>
        <v>965.83627929687486</v>
      </c>
      <c r="AJ219" t="str">
        <f t="shared" ca="1" si="120"/>
        <v>92041</v>
      </c>
      <c r="AK219" s="126">
        <f t="shared" ca="1" si="136"/>
        <v>0</v>
      </c>
      <c r="AL219" s="126">
        <f t="shared" ca="1" si="137"/>
        <v>0</v>
      </c>
      <c r="AM219" s="126">
        <f t="shared" ca="1" si="151"/>
        <v>0</v>
      </c>
      <c r="AN219" s="753">
        <f t="shared" ca="1" si="152"/>
        <v>0</v>
      </c>
      <c r="AO219" s="750">
        <f t="shared" ca="1" si="138"/>
        <v>0</v>
      </c>
      <c r="AP219" s="126">
        <f t="shared" ca="1" si="139"/>
        <v>0</v>
      </c>
      <c r="AQ219" s="126">
        <f t="shared" ca="1" si="140"/>
        <v>0</v>
      </c>
      <c r="AR219" s="126">
        <f t="shared" ca="1" si="121"/>
        <v>10000</v>
      </c>
      <c r="AS219" s="750">
        <f t="shared" ca="1" si="122"/>
        <v>0</v>
      </c>
      <c r="AT219" s="750">
        <f t="shared" ca="1" si="123"/>
        <v>0</v>
      </c>
      <c r="AU219" s="126">
        <f t="shared" ca="1" si="141"/>
        <v>1398.8189124430196</v>
      </c>
      <c r="AV219" s="126">
        <f t="shared" ca="1" si="142"/>
        <v>12589.370211987174</v>
      </c>
      <c r="AW219" s="126">
        <f t="shared" ca="1" si="124"/>
        <v>10000</v>
      </c>
      <c r="AX219" s="750">
        <f t="shared" ca="1" si="143"/>
        <v>0</v>
      </c>
      <c r="AY219" s="750">
        <f t="shared" ca="1" si="144"/>
        <v>1398.8189124430196</v>
      </c>
      <c r="AZ219">
        <f t="shared" si="145"/>
        <v>5750</v>
      </c>
    </row>
    <row r="220" spans="4:52">
      <c r="D220">
        <v>213</v>
      </c>
      <c r="E220" s="6">
        <f t="shared" ca="1" si="146"/>
        <v>46296</v>
      </c>
      <c r="F220" s="7">
        <f t="shared" ca="1" si="125"/>
        <v>1.1038128906249998</v>
      </c>
      <c r="G220" s="125">
        <f ca="1">IF('Simulador - 1º Pilar'!$E$99="Sí",IF('Aportaciones PPE'!$B$13&lt;'Aportaciones PPE'!E220,0,F220*$B$8/12),F220*$B$8/12)</f>
        <v>19316.725585937496</v>
      </c>
      <c r="H220" s="125">
        <f t="shared" ca="1" si="115"/>
        <v>965.83627929687486</v>
      </c>
      <c r="I220" s="125">
        <f t="shared" ca="1" si="126"/>
        <v>0</v>
      </c>
      <c r="J220" s="125">
        <f t="shared" ca="1" si="127"/>
        <v>0</v>
      </c>
      <c r="K220" s="125">
        <f t="shared" ca="1" si="128"/>
        <v>1372.6397246506885</v>
      </c>
      <c r="L220" s="125">
        <f t="shared" ca="1" si="147"/>
        <v>0</v>
      </c>
      <c r="M220" s="125">
        <f t="shared" ca="1" si="129"/>
        <v>0</v>
      </c>
      <c r="N220" s="125">
        <f t="shared" ca="1" si="130"/>
        <v>1372.6397246506885</v>
      </c>
      <c r="R220">
        <f t="shared" si="148"/>
        <v>213</v>
      </c>
      <c r="U220" s="55"/>
      <c r="V220">
        <f t="shared" si="149"/>
        <v>10</v>
      </c>
      <c r="W220">
        <f t="shared" ca="1" si="150"/>
        <v>2041</v>
      </c>
      <c r="X220" s="123">
        <f t="shared" ca="1" si="131"/>
        <v>51775</v>
      </c>
      <c r="Y220" s="64">
        <f t="shared" ca="1" si="132"/>
        <v>0</v>
      </c>
      <c r="Z220" s="64">
        <f t="shared" ca="1" si="133"/>
        <v>1398.8189124430196</v>
      </c>
      <c r="AA220" s="64">
        <f t="shared" ca="1" si="134"/>
        <v>0</v>
      </c>
      <c r="AB220" s="64">
        <f t="shared" ca="1" si="135"/>
        <v>1479.5566286800436</v>
      </c>
      <c r="AF220" t="str">
        <f t="shared" ca="1" si="116"/>
        <v>102026</v>
      </c>
      <c r="AG220" s="126">
        <f t="shared" ca="1" si="117"/>
        <v>0</v>
      </c>
      <c r="AH220" s="126">
        <f t="shared" ca="1" si="118"/>
        <v>0</v>
      </c>
      <c r="AI220" s="126">
        <f t="shared" ca="1" si="119"/>
        <v>965.83627929687486</v>
      </c>
      <c r="AJ220" t="str">
        <f t="shared" ca="1" si="120"/>
        <v>102041</v>
      </c>
      <c r="AK220" s="126">
        <f t="shared" ca="1" si="136"/>
        <v>0</v>
      </c>
      <c r="AL220" s="126">
        <f t="shared" ca="1" si="137"/>
        <v>0</v>
      </c>
      <c r="AM220" s="126">
        <f t="shared" ca="1" si="151"/>
        <v>0</v>
      </c>
      <c r="AN220" s="753">
        <f t="shared" ca="1" si="152"/>
        <v>0</v>
      </c>
      <c r="AO220" s="750">
        <f t="shared" ca="1" si="138"/>
        <v>0</v>
      </c>
      <c r="AP220" s="126">
        <f t="shared" ca="1" si="139"/>
        <v>0</v>
      </c>
      <c r="AQ220" s="126">
        <f t="shared" ca="1" si="140"/>
        <v>0</v>
      </c>
      <c r="AR220" s="126">
        <f t="shared" ca="1" si="121"/>
        <v>10000</v>
      </c>
      <c r="AS220" s="750">
        <f t="shared" ca="1" si="122"/>
        <v>0</v>
      </c>
      <c r="AT220" s="750">
        <f t="shared" ca="1" si="123"/>
        <v>0</v>
      </c>
      <c r="AU220" s="126">
        <f t="shared" ca="1" si="141"/>
        <v>1398.8189124430196</v>
      </c>
      <c r="AV220" s="126">
        <f t="shared" ca="1" si="142"/>
        <v>13988.189124430193</v>
      </c>
      <c r="AW220" s="126">
        <f t="shared" ca="1" si="124"/>
        <v>10000</v>
      </c>
      <c r="AX220" s="750">
        <f t="shared" ca="1" si="143"/>
        <v>0</v>
      </c>
      <c r="AY220" s="750">
        <f t="shared" ca="1" si="144"/>
        <v>1398.8189124430196</v>
      </c>
      <c r="AZ220">
        <f t="shared" si="145"/>
        <v>5750</v>
      </c>
    </row>
    <row r="221" spans="4:52">
      <c r="D221">
        <v>214</v>
      </c>
      <c r="E221" s="6">
        <f t="shared" ca="1" si="146"/>
        <v>46266</v>
      </c>
      <c r="F221" s="7">
        <f t="shared" ca="1" si="125"/>
        <v>1.1038128906249998</v>
      </c>
      <c r="G221" s="125">
        <f ca="1">IF('Simulador - 1º Pilar'!$E$99="Sí",IF('Aportaciones PPE'!$B$13&lt;'Aportaciones PPE'!E221,0,F221*$B$8/12),F221*$B$8/12)</f>
        <v>19316.725585937496</v>
      </c>
      <c r="H221" s="125">
        <f t="shared" ca="1" si="115"/>
        <v>965.83627929687486</v>
      </c>
      <c r="I221" s="125">
        <f t="shared" ca="1" si="126"/>
        <v>0</v>
      </c>
      <c r="J221" s="125">
        <f t="shared" ca="1" si="127"/>
        <v>0</v>
      </c>
      <c r="K221" s="125">
        <f t="shared" ca="1" si="128"/>
        <v>1374.9067507541943</v>
      </c>
      <c r="L221" s="125">
        <f t="shared" ca="1" si="147"/>
        <v>0</v>
      </c>
      <c r="M221" s="125">
        <f t="shared" ca="1" si="129"/>
        <v>0</v>
      </c>
      <c r="N221" s="125">
        <f t="shared" ca="1" si="130"/>
        <v>1374.9067507541943</v>
      </c>
      <c r="R221">
        <f t="shared" si="148"/>
        <v>214</v>
      </c>
      <c r="U221" s="55"/>
      <c r="V221">
        <f t="shared" si="149"/>
        <v>11</v>
      </c>
      <c r="W221">
        <f t="shared" ca="1" si="150"/>
        <v>2041</v>
      </c>
      <c r="X221" s="123">
        <f t="shared" ca="1" si="131"/>
        <v>51806</v>
      </c>
      <c r="Y221" s="64">
        <f t="shared" ca="1" si="132"/>
        <v>0</v>
      </c>
      <c r="Z221" s="64">
        <f t="shared" ca="1" si="133"/>
        <v>1398.8189124430196</v>
      </c>
      <c r="AA221" s="64">
        <f t="shared" ca="1" si="134"/>
        <v>0</v>
      </c>
      <c r="AB221" s="64">
        <f t="shared" ca="1" si="135"/>
        <v>1477.0720030359596</v>
      </c>
      <c r="AF221" t="str">
        <f t="shared" ca="1" si="116"/>
        <v>92026</v>
      </c>
      <c r="AG221" s="126">
        <f t="shared" ca="1" si="117"/>
        <v>0</v>
      </c>
      <c r="AH221" s="126">
        <f t="shared" ca="1" si="118"/>
        <v>0</v>
      </c>
      <c r="AI221" s="126">
        <f t="shared" ca="1" si="119"/>
        <v>965.83627929687486</v>
      </c>
      <c r="AJ221" t="str">
        <f t="shared" ca="1" si="120"/>
        <v>112041</v>
      </c>
      <c r="AK221" s="126">
        <f t="shared" ca="1" si="136"/>
        <v>0</v>
      </c>
      <c r="AL221" s="126">
        <f t="shared" ca="1" si="137"/>
        <v>0</v>
      </c>
      <c r="AM221" s="126">
        <f t="shared" ca="1" si="151"/>
        <v>0</v>
      </c>
      <c r="AN221" s="753">
        <f t="shared" ca="1" si="152"/>
        <v>0</v>
      </c>
      <c r="AO221" s="750">
        <f t="shared" ca="1" si="138"/>
        <v>0</v>
      </c>
      <c r="AP221" s="126">
        <f t="shared" ca="1" si="139"/>
        <v>0</v>
      </c>
      <c r="AQ221" s="126">
        <f t="shared" ca="1" si="140"/>
        <v>0</v>
      </c>
      <c r="AR221" s="126">
        <f t="shared" ca="1" si="121"/>
        <v>10000</v>
      </c>
      <c r="AS221" s="750">
        <f t="shared" ca="1" si="122"/>
        <v>0</v>
      </c>
      <c r="AT221" s="750">
        <f t="shared" ca="1" si="123"/>
        <v>0</v>
      </c>
      <c r="AU221" s="126">
        <f t="shared" ca="1" si="141"/>
        <v>1398.8189124430196</v>
      </c>
      <c r="AV221" s="126">
        <f t="shared" ca="1" si="142"/>
        <v>15387.008036873212</v>
      </c>
      <c r="AW221" s="126">
        <f t="shared" ca="1" si="124"/>
        <v>10000</v>
      </c>
      <c r="AX221" s="750">
        <f t="shared" ca="1" si="143"/>
        <v>0</v>
      </c>
      <c r="AY221" s="750">
        <f t="shared" ca="1" si="144"/>
        <v>1398.8189124430196</v>
      </c>
      <c r="AZ221">
        <f t="shared" si="145"/>
        <v>5750</v>
      </c>
    </row>
    <row r="222" spans="4:52">
      <c r="D222">
        <v>215</v>
      </c>
      <c r="E222" s="6">
        <f t="shared" ca="1" si="146"/>
        <v>46235</v>
      </c>
      <c r="F222" s="7">
        <f t="shared" ca="1" si="125"/>
        <v>1.1038128906249998</v>
      </c>
      <c r="G222" s="125">
        <f ca="1">IF('Simulador - 1º Pilar'!$E$99="Sí",IF('Aportaciones PPE'!$B$13&lt;'Aportaciones PPE'!E222,0,F222*$B$8/12),F222*$B$8/12)</f>
        <v>19316.725585937496</v>
      </c>
      <c r="H222" s="125">
        <f t="shared" ca="1" si="115"/>
        <v>965.83627929687486</v>
      </c>
      <c r="I222" s="125">
        <f t="shared" ca="1" si="126"/>
        <v>0</v>
      </c>
      <c r="J222" s="125">
        <f t="shared" ca="1" si="127"/>
        <v>0</v>
      </c>
      <c r="K222" s="125">
        <f t="shared" ca="1" si="128"/>
        <v>1377.1775210356238</v>
      </c>
      <c r="L222" s="125">
        <f t="shared" ca="1" si="147"/>
        <v>0</v>
      </c>
      <c r="M222" s="125">
        <f t="shared" ca="1" si="129"/>
        <v>0</v>
      </c>
      <c r="N222" s="125">
        <f t="shared" ca="1" si="130"/>
        <v>1377.1775210356238</v>
      </c>
      <c r="R222">
        <f t="shared" si="148"/>
        <v>215</v>
      </c>
      <c r="U222" s="55"/>
      <c r="V222">
        <f t="shared" si="149"/>
        <v>12</v>
      </c>
      <c r="W222">
        <f t="shared" ca="1" si="150"/>
        <v>2041</v>
      </c>
      <c r="X222" s="123">
        <f t="shared" ca="1" si="131"/>
        <v>51836</v>
      </c>
      <c r="Y222" s="64">
        <f t="shared" ca="1" si="132"/>
        <v>0</v>
      </c>
      <c r="Z222" s="64">
        <f t="shared" ca="1" si="133"/>
        <v>1398.8189124430196</v>
      </c>
      <c r="AA222" s="64">
        <f t="shared" ca="1" si="134"/>
        <v>0</v>
      </c>
      <c r="AB222" s="64">
        <f t="shared" ca="1" si="135"/>
        <v>1474.671499398738</v>
      </c>
      <c r="AF222" t="str">
        <f t="shared" ca="1" si="116"/>
        <v>82026</v>
      </c>
      <c r="AG222" s="126">
        <f t="shared" ca="1" si="117"/>
        <v>0</v>
      </c>
      <c r="AH222" s="126">
        <f t="shared" ca="1" si="118"/>
        <v>0</v>
      </c>
      <c r="AI222" s="126">
        <f t="shared" ca="1" si="119"/>
        <v>965.83627929687486</v>
      </c>
      <c r="AJ222" t="str">
        <f t="shared" ca="1" si="120"/>
        <v>122041</v>
      </c>
      <c r="AK222" s="126">
        <f t="shared" ca="1" si="136"/>
        <v>0</v>
      </c>
      <c r="AL222" s="126">
        <f t="shared" ca="1" si="137"/>
        <v>0</v>
      </c>
      <c r="AM222" s="126">
        <f t="shared" ca="1" si="151"/>
        <v>0</v>
      </c>
      <c r="AN222" s="753">
        <f t="shared" ca="1" si="152"/>
        <v>0</v>
      </c>
      <c r="AO222" s="750">
        <f t="shared" ca="1" si="138"/>
        <v>0</v>
      </c>
      <c r="AP222" s="126">
        <f t="shared" ca="1" si="139"/>
        <v>0</v>
      </c>
      <c r="AQ222" s="126">
        <f t="shared" ca="1" si="140"/>
        <v>0</v>
      </c>
      <c r="AR222" s="126">
        <f t="shared" ca="1" si="121"/>
        <v>10000</v>
      </c>
      <c r="AS222" s="750">
        <f t="shared" ca="1" si="122"/>
        <v>0</v>
      </c>
      <c r="AT222" s="750">
        <f t="shared" ca="1" si="123"/>
        <v>0</v>
      </c>
      <c r="AU222" s="126">
        <f t="shared" ca="1" si="141"/>
        <v>1398.8189124430196</v>
      </c>
      <c r="AV222" s="126">
        <f t="shared" ca="1" si="142"/>
        <v>16785.826949316233</v>
      </c>
      <c r="AW222" s="126">
        <f t="shared" ca="1" si="124"/>
        <v>10000</v>
      </c>
      <c r="AX222" s="750">
        <f t="shared" ca="1" si="143"/>
        <v>0</v>
      </c>
      <c r="AY222" s="750">
        <f t="shared" ca="1" si="144"/>
        <v>1398.8189124430196</v>
      </c>
      <c r="AZ222">
        <f t="shared" si="145"/>
        <v>5750</v>
      </c>
    </row>
    <row r="223" spans="4:52">
      <c r="D223">
        <v>216</v>
      </c>
      <c r="E223" s="6">
        <f t="shared" ca="1" si="146"/>
        <v>46204</v>
      </c>
      <c r="F223" s="7">
        <f t="shared" ca="1" si="125"/>
        <v>1.1038128906249998</v>
      </c>
      <c r="G223" s="125">
        <f ca="1">IF('Simulador - 1º Pilar'!$E$99="Sí",IF('Aportaciones PPE'!$B$13&lt;'Aportaciones PPE'!E223,0,F223*$B$8/12),F223*$B$8/12)</f>
        <v>19316.725585937496</v>
      </c>
      <c r="H223" s="125">
        <f t="shared" ca="1" si="115"/>
        <v>965.83627929687486</v>
      </c>
      <c r="I223" s="125">
        <f t="shared" ca="1" si="126"/>
        <v>0</v>
      </c>
      <c r="J223" s="125">
        <f t="shared" ca="1" si="127"/>
        <v>0</v>
      </c>
      <c r="K223" s="125">
        <f t="shared" ca="1" si="128"/>
        <v>1379.4520416787905</v>
      </c>
      <c r="L223" s="125">
        <f t="shared" ca="1" si="147"/>
        <v>0</v>
      </c>
      <c r="M223" s="125">
        <f t="shared" ca="1" si="129"/>
        <v>0</v>
      </c>
      <c r="N223" s="125">
        <f t="shared" ca="1" si="130"/>
        <v>1379.4520416787905</v>
      </c>
      <c r="R223">
        <f t="shared" si="148"/>
        <v>216</v>
      </c>
      <c r="U223" s="55"/>
      <c r="V223">
        <f t="shared" si="149"/>
        <v>1</v>
      </c>
      <c r="W223">
        <f t="shared" ca="1" si="150"/>
        <v>2042</v>
      </c>
      <c r="X223" s="123">
        <f t="shared" ca="1" si="131"/>
        <v>51867</v>
      </c>
      <c r="Y223" s="64">
        <f t="shared" ca="1" si="132"/>
        <v>1433.7893852540949</v>
      </c>
      <c r="Z223" s="64">
        <f t="shared" ca="1" si="133"/>
        <v>0</v>
      </c>
      <c r="AA223" s="64">
        <f t="shared" ca="1" si="134"/>
        <v>1508.9999543070367</v>
      </c>
      <c r="AB223" s="64">
        <f t="shared" ca="1" si="135"/>
        <v>0</v>
      </c>
      <c r="AF223" t="str">
        <f t="shared" ca="1" si="116"/>
        <v>72026</v>
      </c>
      <c r="AG223" s="126">
        <f t="shared" ca="1" si="117"/>
        <v>0</v>
      </c>
      <c r="AH223" s="126">
        <f t="shared" ca="1" si="118"/>
        <v>0</v>
      </c>
      <c r="AI223" s="126">
        <f t="shared" ca="1" si="119"/>
        <v>965.83627929687486</v>
      </c>
      <c r="AJ223" t="str">
        <f t="shared" ca="1" si="120"/>
        <v>12042</v>
      </c>
      <c r="AK223" s="126">
        <f t="shared" ca="1" si="136"/>
        <v>0</v>
      </c>
      <c r="AL223" s="126">
        <f t="shared" ca="1" si="137"/>
        <v>0</v>
      </c>
      <c r="AM223" s="126">
        <f t="shared" ca="1" si="151"/>
        <v>0</v>
      </c>
      <c r="AN223" s="753">
        <f t="shared" ca="1" si="152"/>
        <v>0</v>
      </c>
      <c r="AO223" s="750">
        <f t="shared" ca="1" si="138"/>
        <v>0</v>
      </c>
      <c r="AP223" s="126">
        <f t="shared" ca="1" si="139"/>
        <v>0</v>
      </c>
      <c r="AQ223" s="126">
        <f t="shared" ca="1" si="140"/>
        <v>0</v>
      </c>
      <c r="AR223" s="126">
        <f t="shared" ca="1" si="121"/>
        <v>10000</v>
      </c>
      <c r="AS223" s="750">
        <f t="shared" ca="1" si="122"/>
        <v>0</v>
      </c>
      <c r="AT223" s="750">
        <f t="shared" ca="1" si="123"/>
        <v>0</v>
      </c>
      <c r="AU223" s="126">
        <f t="shared" ca="1" si="141"/>
        <v>1433.7893852540949</v>
      </c>
      <c r="AV223" s="126">
        <f t="shared" ca="1" si="142"/>
        <v>1433.7893852540949</v>
      </c>
      <c r="AW223" s="126">
        <f t="shared" ca="1" si="124"/>
        <v>10000</v>
      </c>
      <c r="AX223" s="750">
        <f t="shared" ca="1" si="143"/>
        <v>1433.7893852540949</v>
      </c>
      <c r="AY223" s="750">
        <f t="shared" ca="1" si="144"/>
        <v>0</v>
      </c>
      <c r="AZ223">
        <f t="shared" si="145"/>
        <v>5750</v>
      </c>
    </row>
    <row r="224" spans="4:52">
      <c r="D224">
        <v>217</v>
      </c>
      <c r="E224" s="6">
        <f t="shared" ca="1" si="146"/>
        <v>46174</v>
      </c>
      <c r="F224" s="7">
        <f t="shared" ca="1" si="125"/>
        <v>1.1038128906249998</v>
      </c>
      <c r="G224" s="125">
        <f ca="1">IF('Simulador - 1º Pilar'!$E$99="Sí",IF('Aportaciones PPE'!$B$13&lt;'Aportaciones PPE'!E224,0,F224*$B$8/12),F224*$B$8/12)</f>
        <v>19316.725585937496</v>
      </c>
      <c r="H224" s="125">
        <f t="shared" ca="1" si="115"/>
        <v>965.83627929687486</v>
      </c>
      <c r="I224" s="125">
        <f t="shared" ca="1" si="126"/>
        <v>0</v>
      </c>
      <c r="J224" s="125">
        <f t="shared" ca="1" si="127"/>
        <v>0</v>
      </c>
      <c r="K224" s="125">
        <f t="shared" ca="1" si="128"/>
        <v>1381.7303188777232</v>
      </c>
      <c r="L224" s="125">
        <f t="shared" ca="1" si="147"/>
        <v>0</v>
      </c>
      <c r="M224" s="125">
        <f t="shared" ca="1" si="129"/>
        <v>0</v>
      </c>
      <c r="N224" s="125">
        <f t="shared" ca="1" si="130"/>
        <v>1381.7303188777232</v>
      </c>
      <c r="R224">
        <f t="shared" si="148"/>
        <v>217</v>
      </c>
      <c r="U224" s="55"/>
      <c r="V224">
        <f t="shared" si="149"/>
        <v>2</v>
      </c>
      <c r="W224">
        <f t="shared" ca="1" si="150"/>
        <v>2042</v>
      </c>
      <c r="X224" s="123">
        <f t="shared" ca="1" si="131"/>
        <v>51898</v>
      </c>
      <c r="Y224" s="64">
        <f t="shared" ca="1" si="132"/>
        <v>1433.7893852540949</v>
      </c>
      <c r="Z224" s="64">
        <f t="shared" ca="1" si="133"/>
        <v>0</v>
      </c>
      <c r="AA224" s="64">
        <f t="shared" ca="1" si="134"/>
        <v>1506.4658843628954</v>
      </c>
      <c r="AB224" s="64">
        <f t="shared" ca="1" si="135"/>
        <v>0</v>
      </c>
      <c r="AF224" t="str">
        <f t="shared" ca="1" si="116"/>
        <v>62026</v>
      </c>
      <c r="AG224" s="126">
        <f t="shared" ca="1" si="117"/>
        <v>0</v>
      </c>
      <c r="AH224" s="126">
        <f t="shared" ca="1" si="118"/>
        <v>0</v>
      </c>
      <c r="AI224" s="126">
        <f t="shared" ca="1" si="119"/>
        <v>965.83627929687486</v>
      </c>
      <c r="AJ224" t="str">
        <f t="shared" ca="1" si="120"/>
        <v>22042</v>
      </c>
      <c r="AK224" s="126">
        <f t="shared" ca="1" si="136"/>
        <v>0</v>
      </c>
      <c r="AL224" s="126">
        <f t="shared" ca="1" si="137"/>
        <v>0</v>
      </c>
      <c r="AM224" s="126">
        <f t="shared" ca="1" si="151"/>
        <v>0</v>
      </c>
      <c r="AN224" s="753">
        <f t="shared" ca="1" si="152"/>
        <v>0</v>
      </c>
      <c r="AO224" s="750">
        <f t="shared" ca="1" si="138"/>
        <v>0</v>
      </c>
      <c r="AP224" s="126">
        <f t="shared" ca="1" si="139"/>
        <v>0</v>
      </c>
      <c r="AQ224" s="126">
        <f t="shared" ca="1" si="140"/>
        <v>0</v>
      </c>
      <c r="AR224" s="126">
        <f t="shared" ca="1" si="121"/>
        <v>10000</v>
      </c>
      <c r="AS224" s="750">
        <f t="shared" ca="1" si="122"/>
        <v>0</v>
      </c>
      <c r="AT224" s="750">
        <f t="shared" ca="1" si="123"/>
        <v>0</v>
      </c>
      <c r="AU224" s="126">
        <f t="shared" ca="1" si="141"/>
        <v>1433.7893852540949</v>
      </c>
      <c r="AV224" s="126">
        <f t="shared" ca="1" si="142"/>
        <v>2867.5787705081898</v>
      </c>
      <c r="AW224" s="126">
        <f t="shared" ca="1" si="124"/>
        <v>10000</v>
      </c>
      <c r="AX224" s="750">
        <f t="shared" ca="1" si="143"/>
        <v>1433.7893852540949</v>
      </c>
      <c r="AY224" s="750">
        <f t="shared" ca="1" si="144"/>
        <v>0</v>
      </c>
      <c r="AZ224">
        <f t="shared" si="145"/>
        <v>5750</v>
      </c>
    </row>
    <row r="225" spans="4:52">
      <c r="D225">
        <v>218</v>
      </c>
      <c r="E225" s="6">
        <f t="shared" ca="1" si="146"/>
        <v>46143</v>
      </c>
      <c r="F225" s="7">
        <f t="shared" ca="1" si="125"/>
        <v>1.1038128906249998</v>
      </c>
      <c r="G225" s="125">
        <f ca="1">IF('Simulador - 1º Pilar'!$E$99="Sí",IF('Aportaciones PPE'!$B$13&lt;'Aportaciones PPE'!E225,0,F225*$B$8/12),F225*$B$8/12)</f>
        <v>19316.725585937496</v>
      </c>
      <c r="H225" s="125">
        <f t="shared" ca="1" si="115"/>
        <v>965.83627929687486</v>
      </c>
      <c r="I225" s="125">
        <f t="shared" ca="1" si="126"/>
        <v>0</v>
      </c>
      <c r="J225" s="125">
        <f t="shared" ca="1" si="127"/>
        <v>0</v>
      </c>
      <c r="K225" s="125">
        <f t="shared" ca="1" si="128"/>
        <v>1384.012358836678</v>
      </c>
      <c r="L225" s="125">
        <f t="shared" ca="1" si="147"/>
        <v>0</v>
      </c>
      <c r="M225" s="125">
        <f t="shared" ca="1" si="129"/>
        <v>0</v>
      </c>
      <c r="N225" s="125">
        <f t="shared" ca="1" si="130"/>
        <v>1384.012358836678</v>
      </c>
      <c r="R225">
        <f t="shared" si="148"/>
        <v>218</v>
      </c>
      <c r="U225" s="55"/>
      <c r="V225">
        <f t="shared" si="149"/>
        <v>3</v>
      </c>
      <c r="W225">
        <f t="shared" ca="1" si="150"/>
        <v>2042</v>
      </c>
      <c r="X225" s="123">
        <f t="shared" ca="1" si="131"/>
        <v>51926</v>
      </c>
      <c r="Y225" s="64">
        <f t="shared" ca="1" si="132"/>
        <v>1433.7893852540949</v>
      </c>
      <c r="Z225" s="64">
        <f t="shared" ca="1" si="133"/>
        <v>0</v>
      </c>
      <c r="AA225" s="64">
        <f t="shared" ca="1" si="134"/>
        <v>1504.1807048631395</v>
      </c>
      <c r="AB225" s="64">
        <f t="shared" ca="1" si="135"/>
        <v>0</v>
      </c>
      <c r="AF225" t="str">
        <f t="shared" ca="1" si="116"/>
        <v>52026</v>
      </c>
      <c r="AG225" s="126">
        <f t="shared" ca="1" si="117"/>
        <v>0</v>
      </c>
      <c r="AH225" s="126">
        <f t="shared" ca="1" si="118"/>
        <v>0</v>
      </c>
      <c r="AI225" s="126">
        <f t="shared" ca="1" si="119"/>
        <v>965.83627929687486</v>
      </c>
      <c r="AJ225" t="str">
        <f t="shared" ca="1" si="120"/>
        <v>32042</v>
      </c>
      <c r="AK225" s="126">
        <f t="shared" ca="1" si="136"/>
        <v>0</v>
      </c>
      <c r="AL225" s="126">
        <f t="shared" ca="1" si="137"/>
        <v>0</v>
      </c>
      <c r="AM225" s="126">
        <f t="shared" ca="1" si="151"/>
        <v>0</v>
      </c>
      <c r="AN225" s="753">
        <f t="shared" ca="1" si="152"/>
        <v>0</v>
      </c>
      <c r="AO225" s="750">
        <f t="shared" ca="1" si="138"/>
        <v>0</v>
      </c>
      <c r="AP225" s="126">
        <f t="shared" ca="1" si="139"/>
        <v>0</v>
      </c>
      <c r="AQ225" s="126">
        <f t="shared" ca="1" si="140"/>
        <v>0</v>
      </c>
      <c r="AR225" s="126">
        <f t="shared" ca="1" si="121"/>
        <v>10000</v>
      </c>
      <c r="AS225" s="750">
        <f t="shared" ca="1" si="122"/>
        <v>0</v>
      </c>
      <c r="AT225" s="750">
        <f t="shared" ca="1" si="123"/>
        <v>0</v>
      </c>
      <c r="AU225" s="126">
        <f t="shared" ca="1" si="141"/>
        <v>1433.7893852540949</v>
      </c>
      <c r="AV225" s="126">
        <f t="shared" ca="1" si="142"/>
        <v>4301.3681557622849</v>
      </c>
      <c r="AW225" s="126">
        <f t="shared" ca="1" si="124"/>
        <v>10000</v>
      </c>
      <c r="AX225" s="750">
        <f t="shared" ca="1" si="143"/>
        <v>1433.7893852540949</v>
      </c>
      <c r="AY225" s="750">
        <f t="shared" ca="1" si="144"/>
        <v>0</v>
      </c>
      <c r="AZ225">
        <f t="shared" si="145"/>
        <v>5750</v>
      </c>
    </row>
    <row r="226" spans="4:52">
      <c r="D226">
        <v>219</v>
      </c>
      <c r="E226" s="6">
        <f t="shared" ca="1" si="146"/>
        <v>46113</v>
      </c>
      <c r="F226" s="7">
        <f t="shared" ca="1" si="125"/>
        <v>1.1038128906249998</v>
      </c>
      <c r="G226" s="125">
        <f ca="1">IF('Simulador - 1º Pilar'!$E$99="Sí",IF('Aportaciones PPE'!$B$13&lt;'Aportaciones PPE'!E226,0,F226*$B$8/12),F226*$B$8/12)</f>
        <v>19316.725585937496</v>
      </c>
      <c r="H226" s="125">
        <f t="shared" ca="1" si="115"/>
        <v>965.83627929687486</v>
      </c>
      <c r="I226" s="125">
        <f t="shared" ca="1" si="126"/>
        <v>0</v>
      </c>
      <c r="J226" s="125">
        <f t="shared" ca="1" si="127"/>
        <v>0</v>
      </c>
      <c r="K226" s="125">
        <f t="shared" ca="1" si="128"/>
        <v>1386.2981677701591</v>
      </c>
      <c r="L226" s="125">
        <f t="shared" ca="1" si="147"/>
        <v>0</v>
      </c>
      <c r="M226" s="125">
        <f t="shared" ca="1" si="129"/>
        <v>0</v>
      </c>
      <c r="N226" s="125">
        <f t="shared" ca="1" si="130"/>
        <v>1386.2981677701591</v>
      </c>
      <c r="R226">
        <f t="shared" si="148"/>
        <v>219</v>
      </c>
      <c r="U226" s="55"/>
      <c r="V226">
        <f t="shared" si="149"/>
        <v>4</v>
      </c>
      <c r="W226">
        <f t="shared" ca="1" si="150"/>
        <v>2042</v>
      </c>
      <c r="X226" s="123">
        <f t="shared" ca="1" si="131"/>
        <v>51957</v>
      </c>
      <c r="Y226" s="64">
        <f t="shared" ca="1" si="132"/>
        <v>1433.7893852540949</v>
      </c>
      <c r="Z226" s="64">
        <f t="shared" ca="1" si="133"/>
        <v>0</v>
      </c>
      <c r="AA226" s="64">
        <f t="shared" ca="1" si="134"/>
        <v>1501.6547279047763</v>
      </c>
      <c r="AB226" s="64">
        <f t="shared" ca="1" si="135"/>
        <v>0</v>
      </c>
      <c r="AF226" t="str">
        <f t="shared" ca="1" si="116"/>
        <v>42026</v>
      </c>
      <c r="AG226" s="126">
        <f t="shared" ca="1" si="117"/>
        <v>0</v>
      </c>
      <c r="AH226" s="126">
        <f t="shared" ca="1" si="118"/>
        <v>0</v>
      </c>
      <c r="AI226" s="126">
        <f t="shared" ca="1" si="119"/>
        <v>965.83627929687486</v>
      </c>
      <c r="AJ226" t="str">
        <f t="shared" ca="1" si="120"/>
        <v>42042</v>
      </c>
      <c r="AK226" s="126">
        <f t="shared" ca="1" si="136"/>
        <v>0</v>
      </c>
      <c r="AL226" s="126">
        <f t="shared" ca="1" si="137"/>
        <v>0</v>
      </c>
      <c r="AM226" s="126">
        <f t="shared" ca="1" si="151"/>
        <v>0</v>
      </c>
      <c r="AN226" s="753">
        <f t="shared" ca="1" si="152"/>
        <v>0</v>
      </c>
      <c r="AO226" s="750">
        <f t="shared" ca="1" si="138"/>
        <v>0</v>
      </c>
      <c r="AP226" s="126">
        <f t="shared" ca="1" si="139"/>
        <v>0</v>
      </c>
      <c r="AQ226" s="126">
        <f t="shared" ca="1" si="140"/>
        <v>0</v>
      </c>
      <c r="AR226" s="126">
        <f t="shared" ca="1" si="121"/>
        <v>10000</v>
      </c>
      <c r="AS226" s="750">
        <f t="shared" ca="1" si="122"/>
        <v>0</v>
      </c>
      <c r="AT226" s="750">
        <f t="shared" ca="1" si="123"/>
        <v>0</v>
      </c>
      <c r="AU226" s="126">
        <f t="shared" ca="1" si="141"/>
        <v>1433.7893852540949</v>
      </c>
      <c r="AV226" s="126">
        <f t="shared" ca="1" si="142"/>
        <v>5735.1575410163796</v>
      </c>
      <c r="AW226" s="126">
        <f t="shared" ca="1" si="124"/>
        <v>10000</v>
      </c>
      <c r="AX226" s="750">
        <f t="shared" ca="1" si="143"/>
        <v>1433.7893852540949</v>
      </c>
      <c r="AY226" s="750">
        <f t="shared" ca="1" si="144"/>
        <v>0</v>
      </c>
      <c r="AZ226">
        <f t="shared" si="145"/>
        <v>5750</v>
      </c>
    </row>
    <row r="227" spans="4:52">
      <c r="D227">
        <v>220</v>
      </c>
      <c r="E227" s="6">
        <f t="shared" ca="1" si="146"/>
        <v>46082</v>
      </c>
      <c r="F227" s="7">
        <f t="shared" ca="1" si="125"/>
        <v>1.1038128906249998</v>
      </c>
      <c r="G227" s="125">
        <f ca="1">IF('Simulador - 1º Pilar'!$E$99="Sí",IF('Aportaciones PPE'!$B$13&lt;'Aportaciones PPE'!E227,0,F227*$B$8/12),F227*$B$8/12)</f>
        <v>19316.725585937496</v>
      </c>
      <c r="H227" s="125">
        <f t="shared" ca="1" si="115"/>
        <v>965.83627929687486</v>
      </c>
      <c r="I227" s="125">
        <f t="shared" ca="1" si="126"/>
        <v>0</v>
      </c>
      <c r="J227" s="125">
        <f t="shared" ca="1" si="127"/>
        <v>0</v>
      </c>
      <c r="K227" s="125">
        <f t="shared" ca="1" si="128"/>
        <v>1388.5877519029345</v>
      </c>
      <c r="L227" s="125">
        <f t="shared" ca="1" si="147"/>
        <v>0</v>
      </c>
      <c r="M227" s="125">
        <f t="shared" ca="1" si="129"/>
        <v>0</v>
      </c>
      <c r="N227" s="125">
        <f t="shared" ca="1" si="130"/>
        <v>1388.5877519029345</v>
      </c>
      <c r="R227">
        <f t="shared" si="148"/>
        <v>220</v>
      </c>
      <c r="U227" s="55"/>
      <c r="V227">
        <f t="shared" si="149"/>
        <v>5</v>
      </c>
      <c r="W227">
        <f t="shared" ca="1" si="150"/>
        <v>2042</v>
      </c>
      <c r="X227" s="123">
        <f t="shared" ca="1" si="131"/>
        <v>51987</v>
      </c>
      <c r="Y227" s="64">
        <f t="shared" ca="1" si="132"/>
        <v>1433.7893852540949</v>
      </c>
      <c r="Z227" s="64">
        <f t="shared" ca="1" si="133"/>
        <v>0</v>
      </c>
      <c r="AA227" s="64">
        <f t="shared" ca="1" si="134"/>
        <v>1499.2142729853292</v>
      </c>
      <c r="AB227" s="64">
        <f t="shared" ca="1" si="135"/>
        <v>0</v>
      </c>
      <c r="AF227" t="str">
        <f t="shared" ca="1" si="116"/>
        <v>32026</v>
      </c>
      <c r="AG227" s="126">
        <f t="shared" ca="1" si="117"/>
        <v>0</v>
      </c>
      <c r="AH227" s="126">
        <f t="shared" ca="1" si="118"/>
        <v>0</v>
      </c>
      <c r="AI227" s="126">
        <f t="shared" ca="1" si="119"/>
        <v>965.83627929687486</v>
      </c>
      <c r="AJ227" t="str">
        <f t="shared" ca="1" si="120"/>
        <v>52042</v>
      </c>
      <c r="AK227" s="126">
        <f t="shared" ca="1" si="136"/>
        <v>0</v>
      </c>
      <c r="AL227" s="126">
        <f t="shared" ca="1" si="137"/>
        <v>0</v>
      </c>
      <c r="AM227" s="126">
        <f t="shared" ca="1" si="151"/>
        <v>0</v>
      </c>
      <c r="AN227" s="753">
        <f t="shared" ca="1" si="152"/>
        <v>0</v>
      </c>
      <c r="AO227" s="750">
        <f t="shared" ca="1" si="138"/>
        <v>0</v>
      </c>
      <c r="AP227" s="126">
        <f t="shared" ca="1" si="139"/>
        <v>0</v>
      </c>
      <c r="AQ227" s="126">
        <f t="shared" ca="1" si="140"/>
        <v>0</v>
      </c>
      <c r="AR227" s="126">
        <f t="shared" ca="1" si="121"/>
        <v>10000</v>
      </c>
      <c r="AS227" s="750">
        <f t="shared" ca="1" si="122"/>
        <v>0</v>
      </c>
      <c r="AT227" s="750">
        <f t="shared" ca="1" si="123"/>
        <v>0</v>
      </c>
      <c r="AU227" s="126">
        <f t="shared" ca="1" si="141"/>
        <v>1433.7893852540949</v>
      </c>
      <c r="AV227" s="126">
        <f t="shared" ca="1" si="142"/>
        <v>7168.9469262704743</v>
      </c>
      <c r="AW227" s="126">
        <f t="shared" ca="1" si="124"/>
        <v>10000</v>
      </c>
      <c r="AX227" s="750">
        <f t="shared" ca="1" si="143"/>
        <v>1433.7893852540949</v>
      </c>
      <c r="AY227" s="750">
        <f t="shared" ca="1" si="144"/>
        <v>0</v>
      </c>
      <c r="AZ227">
        <f t="shared" si="145"/>
        <v>5750</v>
      </c>
    </row>
    <row r="228" spans="4:52">
      <c r="D228">
        <v>221</v>
      </c>
      <c r="E228" s="6">
        <f t="shared" ca="1" si="146"/>
        <v>46054</v>
      </c>
      <c r="F228" s="7">
        <f t="shared" ca="1" si="125"/>
        <v>1.1038128906249998</v>
      </c>
      <c r="G228" s="125">
        <f ca="1">IF('Simulador - 1º Pilar'!$E$99="Sí",IF('Aportaciones PPE'!$B$13&lt;'Aportaciones PPE'!E228,0,F228*$B$8/12),F228*$B$8/12)</f>
        <v>19316.725585937496</v>
      </c>
      <c r="H228" s="125">
        <f t="shared" ca="1" si="115"/>
        <v>965.83627929687486</v>
      </c>
      <c r="I228" s="125">
        <f t="shared" ca="1" si="126"/>
        <v>0</v>
      </c>
      <c r="J228" s="125">
        <f t="shared" ca="1" si="127"/>
        <v>0</v>
      </c>
      <c r="K228" s="125">
        <f t="shared" ca="1" si="128"/>
        <v>1390.8811174700527</v>
      </c>
      <c r="L228" s="125">
        <f t="shared" ca="1" si="147"/>
        <v>0</v>
      </c>
      <c r="M228" s="125">
        <f t="shared" ca="1" si="129"/>
        <v>0</v>
      </c>
      <c r="N228" s="125">
        <f t="shared" ca="1" si="130"/>
        <v>1390.8811174700527</v>
      </c>
      <c r="R228">
        <f t="shared" si="148"/>
        <v>221</v>
      </c>
      <c r="U228" s="55"/>
      <c r="V228">
        <f t="shared" si="149"/>
        <v>6</v>
      </c>
      <c r="W228">
        <f t="shared" ca="1" si="150"/>
        <v>2042</v>
      </c>
      <c r="X228" s="123">
        <f t="shared" ca="1" si="131"/>
        <v>52018</v>
      </c>
      <c r="Y228" s="64">
        <f t="shared" ca="1" si="132"/>
        <v>1433.7893852540949</v>
      </c>
      <c r="Z228" s="64">
        <f t="shared" ca="1" si="133"/>
        <v>0</v>
      </c>
      <c r="AA228" s="64">
        <f t="shared" ca="1" si="134"/>
        <v>1496.6966361768218</v>
      </c>
      <c r="AB228" s="64">
        <f t="shared" ca="1" si="135"/>
        <v>0</v>
      </c>
      <c r="AF228" t="str">
        <f t="shared" ca="1" si="116"/>
        <v>22026</v>
      </c>
      <c r="AG228" s="126">
        <f t="shared" ca="1" si="117"/>
        <v>0</v>
      </c>
      <c r="AH228" s="126">
        <f t="shared" ca="1" si="118"/>
        <v>0</v>
      </c>
      <c r="AI228" s="126">
        <f t="shared" ca="1" si="119"/>
        <v>965.83627929687486</v>
      </c>
      <c r="AJ228" t="str">
        <f t="shared" ca="1" si="120"/>
        <v>62042</v>
      </c>
      <c r="AK228" s="126">
        <f t="shared" ca="1" si="136"/>
        <v>0</v>
      </c>
      <c r="AL228" s="126">
        <f t="shared" ca="1" si="137"/>
        <v>0</v>
      </c>
      <c r="AM228" s="126">
        <f t="shared" ca="1" si="151"/>
        <v>0</v>
      </c>
      <c r="AN228" s="753">
        <f t="shared" ca="1" si="152"/>
        <v>0</v>
      </c>
      <c r="AO228" s="750">
        <f t="shared" ca="1" si="138"/>
        <v>0</v>
      </c>
      <c r="AP228" s="126">
        <f t="shared" ca="1" si="139"/>
        <v>0</v>
      </c>
      <c r="AQ228" s="126">
        <f t="shared" ca="1" si="140"/>
        <v>0</v>
      </c>
      <c r="AR228" s="126">
        <f t="shared" ca="1" si="121"/>
        <v>10000</v>
      </c>
      <c r="AS228" s="750">
        <f t="shared" ca="1" si="122"/>
        <v>0</v>
      </c>
      <c r="AT228" s="750">
        <f t="shared" ca="1" si="123"/>
        <v>0</v>
      </c>
      <c r="AU228" s="126">
        <f t="shared" ca="1" si="141"/>
        <v>1433.7893852540949</v>
      </c>
      <c r="AV228" s="126">
        <f t="shared" ca="1" si="142"/>
        <v>8602.7363115245698</v>
      </c>
      <c r="AW228" s="126">
        <f t="shared" ca="1" si="124"/>
        <v>10000</v>
      </c>
      <c r="AX228" s="750">
        <f t="shared" ca="1" si="143"/>
        <v>1433.7893852540949</v>
      </c>
      <c r="AY228" s="750">
        <f t="shared" ca="1" si="144"/>
        <v>0</v>
      </c>
      <c r="AZ228">
        <f t="shared" si="145"/>
        <v>5750</v>
      </c>
    </row>
    <row r="229" spans="4:52">
      <c r="D229">
        <v>222</v>
      </c>
      <c r="E229" s="6">
        <f t="shared" ca="1" si="146"/>
        <v>46023</v>
      </c>
      <c r="F229" s="7">
        <f t="shared" ca="1" si="125"/>
        <v>1.1038128906249998</v>
      </c>
      <c r="G229" s="125">
        <f ca="1">IF('Simulador - 1º Pilar'!$E$99="Sí",IF('Aportaciones PPE'!$B$13&lt;'Aportaciones PPE'!E229,0,F229*$B$8/12),F229*$B$8/12)</f>
        <v>19316.725585937496</v>
      </c>
      <c r="H229" s="125">
        <f t="shared" ca="1" si="115"/>
        <v>965.83627929687486</v>
      </c>
      <c r="I229" s="125">
        <f t="shared" ca="1" si="126"/>
        <v>0</v>
      </c>
      <c r="J229" s="125">
        <f t="shared" ca="1" si="127"/>
        <v>0</v>
      </c>
      <c r="K229" s="125">
        <f t="shared" ca="1" si="128"/>
        <v>1393.17827071686</v>
      </c>
      <c r="L229" s="125">
        <f t="shared" ca="1" si="147"/>
        <v>0</v>
      </c>
      <c r="M229" s="125">
        <f t="shared" ca="1" si="129"/>
        <v>0</v>
      </c>
      <c r="N229" s="125">
        <f t="shared" ca="1" si="130"/>
        <v>1393.17827071686</v>
      </c>
      <c r="R229">
        <f t="shared" si="148"/>
        <v>222</v>
      </c>
      <c r="U229" s="55"/>
      <c r="V229">
        <f t="shared" si="149"/>
        <v>7</v>
      </c>
      <c r="W229">
        <f t="shared" ca="1" si="150"/>
        <v>2042</v>
      </c>
      <c r="X229" s="123">
        <f t="shared" ca="1" si="131"/>
        <v>52048</v>
      </c>
      <c r="Y229" s="64">
        <f t="shared" ca="1" si="132"/>
        <v>1397.2636884754302</v>
      </c>
      <c r="Z229" s="64">
        <f t="shared" ca="1" si="133"/>
        <v>36.525696778664724</v>
      </c>
      <c r="AA229" s="64">
        <f t="shared" ca="1" si="134"/>
        <v>1456.1979490596389</v>
      </c>
      <c r="AB229" s="64">
        <f t="shared" ca="1" si="135"/>
        <v>38.066289975015771</v>
      </c>
      <c r="AF229" t="str">
        <f t="shared" ca="1" si="116"/>
        <v>12026</v>
      </c>
      <c r="AG229" s="126">
        <f t="shared" ca="1" si="117"/>
        <v>0</v>
      </c>
      <c r="AH229" s="126">
        <f t="shared" ca="1" si="118"/>
        <v>0</v>
      </c>
      <c r="AI229" s="126">
        <f t="shared" ca="1" si="119"/>
        <v>965.83627929687486</v>
      </c>
      <c r="AJ229" t="str">
        <f t="shared" ca="1" si="120"/>
        <v>72042</v>
      </c>
      <c r="AK229" s="126">
        <f t="shared" ca="1" si="136"/>
        <v>0</v>
      </c>
      <c r="AL229" s="126">
        <f t="shared" ca="1" si="137"/>
        <v>0</v>
      </c>
      <c r="AM229" s="126">
        <f t="shared" ca="1" si="151"/>
        <v>0</v>
      </c>
      <c r="AN229" s="753">
        <f t="shared" ca="1" si="152"/>
        <v>0</v>
      </c>
      <c r="AO229" s="750">
        <f t="shared" ca="1" si="138"/>
        <v>0</v>
      </c>
      <c r="AP229" s="126">
        <f t="shared" ca="1" si="139"/>
        <v>0</v>
      </c>
      <c r="AQ229" s="126">
        <f t="shared" ca="1" si="140"/>
        <v>0</v>
      </c>
      <c r="AR229" s="126">
        <f t="shared" ca="1" si="121"/>
        <v>10000</v>
      </c>
      <c r="AS229" s="750">
        <f t="shared" ca="1" si="122"/>
        <v>0</v>
      </c>
      <c r="AT229" s="750">
        <f t="shared" ca="1" si="123"/>
        <v>0</v>
      </c>
      <c r="AU229" s="126">
        <f t="shared" ca="1" si="141"/>
        <v>1433.7893852540949</v>
      </c>
      <c r="AV229" s="126">
        <f t="shared" ca="1" si="142"/>
        <v>10036.525696778664</v>
      </c>
      <c r="AW229" s="126">
        <f t="shared" ca="1" si="124"/>
        <v>10000</v>
      </c>
      <c r="AX229" s="750">
        <f t="shared" ca="1" si="143"/>
        <v>1397.2636884754302</v>
      </c>
      <c r="AY229" s="750">
        <f t="shared" ca="1" si="144"/>
        <v>36.525696778664724</v>
      </c>
      <c r="AZ229">
        <f t="shared" si="145"/>
        <v>5750</v>
      </c>
    </row>
    <row r="230" spans="4:52">
      <c r="D230">
        <v>223</v>
      </c>
      <c r="E230" s="6">
        <f t="shared" ca="1" si="146"/>
        <v>45992</v>
      </c>
      <c r="F230" s="7">
        <f t="shared" ca="1" si="125"/>
        <v>1.0768906249999999</v>
      </c>
      <c r="G230" s="125">
        <f ca="1">IF('Simulador - 1º Pilar'!$E$99="Sí",IF('Aportaciones PPE'!$B$13&lt;'Aportaciones PPE'!E230,0,F230*$B$8/12),F230*$B$8/12)</f>
        <v>18845.585937499996</v>
      </c>
      <c r="H230" s="125">
        <f t="shared" ca="1" si="115"/>
        <v>942.27929687499989</v>
      </c>
      <c r="I230" s="125">
        <f t="shared" ca="1" si="126"/>
        <v>0</v>
      </c>
      <c r="J230" s="125">
        <f t="shared" ca="1" si="127"/>
        <v>0</v>
      </c>
      <c r="K230" s="125">
        <f t="shared" ca="1" si="128"/>
        <v>1361.4431394136757</v>
      </c>
      <c r="L230" s="125">
        <f t="shared" ca="1" si="147"/>
        <v>0</v>
      </c>
      <c r="M230" s="125">
        <f t="shared" ca="1" si="129"/>
        <v>0</v>
      </c>
      <c r="N230" s="125">
        <f t="shared" ca="1" si="130"/>
        <v>1361.4431394136757</v>
      </c>
      <c r="R230">
        <f t="shared" si="148"/>
        <v>223</v>
      </c>
      <c r="U230" s="55"/>
      <c r="V230">
        <f t="shared" si="149"/>
        <v>8</v>
      </c>
      <c r="W230">
        <f t="shared" ca="1" si="150"/>
        <v>2042</v>
      </c>
      <c r="X230" s="123">
        <f t="shared" ca="1" si="131"/>
        <v>52079</v>
      </c>
      <c r="Y230" s="64">
        <f t="shared" ca="1" si="132"/>
        <v>0</v>
      </c>
      <c r="Z230" s="64">
        <f t="shared" ca="1" si="133"/>
        <v>1433.7893852540949</v>
      </c>
      <c r="AA230" s="64">
        <f t="shared" ca="1" si="134"/>
        <v>0</v>
      </c>
      <c r="AB230" s="64">
        <f t="shared" ca="1" si="135"/>
        <v>1491.7549148388948</v>
      </c>
      <c r="AF230" t="str">
        <f t="shared" ca="1" si="116"/>
        <v>122025</v>
      </c>
      <c r="AG230" s="126">
        <f t="shared" ca="1" si="117"/>
        <v>0</v>
      </c>
      <c r="AH230" s="126">
        <f t="shared" ca="1" si="118"/>
        <v>0</v>
      </c>
      <c r="AI230" s="126">
        <f t="shared" ca="1" si="119"/>
        <v>942.27929687499989</v>
      </c>
      <c r="AJ230" t="str">
        <f t="shared" ca="1" si="120"/>
        <v>82042</v>
      </c>
      <c r="AK230" s="126">
        <f t="shared" ca="1" si="136"/>
        <v>0</v>
      </c>
      <c r="AL230" s="126">
        <f t="shared" ca="1" si="137"/>
        <v>0</v>
      </c>
      <c r="AM230" s="126">
        <f t="shared" ca="1" si="151"/>
        <v>0</v>
      </c>
      <c r="AN230" s="753">
        <f t="shared" ca="1" si="152"/>
        <v>0</v>
      </c>
      <c r="AO230" s="750">
        <f t="shared" ca="1" si="138"/>
        <v>0</v>
      </c>
      <c r="AP230" s="126">
        <f t="shared" ca="1" si="139"/>
        <v>0</v>
      </c>
      <c r="AQ230" s="126">
        <f t="shared" ca="1" si="140"/>
        <v>0</v>
      </c>
      <c r="AR230" s="126">
        <f t="shared" ca="1" si="121"/>
        <v>10000</v>
      </c>
      <c r="AS230" s="750">
        <f t="shared" ca="1" si="122"/>
        <v>0</v>
      </c>
      <c r="AT230" s="750">
        <f t="shared" ca="1" si="123"/>
        <v>0</v>
      </c>
      <c r="AU230" s="126">
        <f t="shared" ca="1" si="141"/>
        <v>1433.7893852540949</v>
      </c>
      <c r="AV230" s="126">
        <f t="shared" ca="1" si="142"/>
        <v>11470.315082032759</v>
      </c>
      <c r="AW230" s="126">
        <f t="shared" ca="1" si="124"/>
        <v>10000</v>
      </c>
      <c r="AX230" s="750">
        <f t="shared" ca="1" si="143"/>
        <v>0</v>
      </c>
      <c r="AY230" s="750">
        <f t="shared" ca="1" si="144"/>
        <v>1433.7893852540949</v>
      </c>
      <c r="AZ230">
        <f t="shared" si="145"/>
        <v>5750</v>
      </c>
    </row>
    <row r="231" spans="4:52">
      <c r="D231">
        <v>224</v>
      </c>
      <c r="E231" s="6">
        <f t="shared" ca="1" si="146"/>
        <v>45962</v>
      </c>
      <c r="F231" s="7">
        <f t="shared" ca="1" si="125"/>
        <v>1.0768906249999999</v>
      </c>
      <c r="G231" s="125">
        <f ca="1">IF('Simulador - 1º Pilar'!$E$99="Sí",IF('Aportaciones PPE'!$B$13&lt;'Aportaciones PPE'!E231,0,F231*$B$8/12),F231*$B$8/12)</f>
        <v>18845.585937499996</v>
      </c>
      <c r="H231" s="125">
        <f t="shared" ca="1" si="115"/>
        <v>942.27929687499989</v>
      </c>
      <c r="I231" s="125">
        <f t="shared" ca="1" si="126"/>
        <v>0</v>
      </c>
      <c r="J231" s="125">
        <f t="shared" ca="1" si="127"/>
        <v>0</v>
      </c>
      <c r="K231" s="125">
        <f t="shared" ca="1" si="128"/>
        <v>1363.6916734463589</v>
      </c>
      <c r="L231" s="125">
        <f t="shared" ca="1" si="147"/>
        <v>0</v>
      </c>
      <c r="M231" s="125">
        <f t="shared" ca="1" si="129"/>
        <v>0</v>
      </c>
      <c r="N231" s="125">
        <f t="shared" ca="1" si="130"/>
        <v>1363.6916734463589</v>
      </c>
      <c r="R231">
        <f t="shared" si="148"/>
        <v>224</v>
      </c>
      <c r="U231" s="55"/>
      <c r="V231">
        <f t="shared" si="149"/>
        <v>9</v>
      </c>
      <c r="W231">
        <f t="shared" ca="1" si="150"/>
        <v>2042</v>
      </c>
      <c r="X231" s="123">
        <f t="shared" ca="1" si="131"/>
        <v>52110</v>
      </c>
      <c r="Y231" s="64">
        <f t="shared" ca="1" si="132"/>
        <v>0</v>
      </c>
      <c r="Z231" s="64">
        <f t="shared" ca="1" si="133"/>
        <v>1433.7893852540949</v>
      </c>
      <c r="AA231" s="64">
        <f t="shared" ca="1" si="134"/>
        <v>0</v>
      </c>
      <c r="AB231" s="64">
        <f t="shared" ca="1" si="135"/>
        <v>1489.2498045617685</v>
      </c>
      <c r="AF231" t="str">
        <f t="shared" ca="1" si="116"/>
        <v>112025</v>
      </c>
      <c r="AG231" s="126">
        <f t="shared" ca="1" si="117"/>
        <v>0</v>
      </c>
      <c r="AH231" s="126">
        <f t="shared" ca="1" si="118"/>
        <v>0</v>
      </c>
      <c r="AI231" s="126">
        <f t="shared" ca="1" si="119"/>
        <v>942.27929687499989</v>
      </c>
      <c r="AJ231" t="str">
        <f t="shared" ca="1" si="120"/>
        <v>92042</v>
      </c>
      <c r="AK231" s="126">
        <f t="shared" ca="1" si="136"/>
        <v>0</v>
      </c>
      <c r="AL231" s="126">
        <f t="shared" ca="1" si="137"/>
        <v>0</v>
      </c>
      <c r="AM231" s="126">
        <f t="shared" ca="1" si="151"/>
        <v>0</v>
      </c>
      <c r="AN231" s="753">
        <f t="shared" ca="1" si="152"/>
        <v>0</v>
      </c>
      <c r="AO231" s="750">
        <f t="shared" ca="1" si="138"/>
        <v>0</v>
      </c>
      <c r="AP231" s="126">
        <f t="shared" ca="1" si="139"/>
        <v>0</v>
      </c>
      <c r="AQ231" s="126">
        <f t="shared" ca="1" si="140"/>
        <v>0</v>
      </c>
      <c r="AR231" s="126">
        <f t="shared" ca="1" si="121"/>
        <v>10000</v>
      </c>
      <c r="AS231" s="750">
        <f t="shared" ca="1" si="122"/>
        <v>0</v>
      </c>
      <c r="AT231" s="750">
        <f t="shared" ca="1" si="123"/>
        <v>0</v>
      </c>
      <c r="AU231" s="126">
        <f t="shared" ca="1" si="141"/>
        <v>1433.7893852540949</v>
      </c>
      <c r="AV231" s="126">
        <f t="shared" ca="1" si="142"/>
        <v>12904.104467286854</v>
      </c>
      <c r="AW231" s="126">
        <f t="shared" ca="1" si="124"/>
        <v>10000</v>
      </c>
      <c r="AX231" s="750">
        <f t="shared" ca="1" si="143"/>
        <v>0</v>
      </c>
      <c r="AY231" s="750">
        <f t="shared" ca="1" si="144"/>
        <v>1433.7893852540949</v>
      </c>
      <c r="AZ231">
        <f t="shared" si="145"/>
        <v>5750</v>
      </c>
    </row>
    <row r="232" spans="4:52">
      <c r="D232">
        <v>225</v>
      </c>
      <c r="E232" s="6">
        <f t="shared" ca="1" si="146"/>
        <v>45931</v>
      </c>
      <c r="F232" s="7">
        <f t="shared" ca="1" si="125"/>
        <v>1.0768906249999999</v>
      </c>
      <c r="G232" s="125">
        <f ca="1">IF('Simulador - 1º Pilar'!$E$99="Sí",IF('Aportaciones PPE'!$B$13&lt;'Aportaciones PPE'!E232,0,F232*$B$8/12),F232*$B$8/12)</f>
        <v>18845.585937499996</v>
      </c>
      <c r="H232" s="125">
        <f t="shared" ca="1" si="115"/>
        <v>942.27929687499989</v>
      </c>
      <c r="I232" s="125">
        <f t="shared" ca="1" si="126"/>
        <v>0</v>
      </c>
      <c r="J232" s="125">
        <f t="shared" ca="1" si="127"/>
        <v>0</v>
      </c>
      <c r="K232" s="125">
        <f t="shared" ca="1" si="128"/>
        <v>1365.9439211158071</v>
      </c>
      <c r="L232" s="125">
        <f t="shared" ca="1" si="147"/>
        <v>0</v>
      </c>
      <c r="M232" s="125">
        <f t="shared" ca="1" si="129"/>
        <v>0</v>
      </c>
      <c r="N232" s="125">
        <f t="shared" ca="1" si="130"/>
        <v>1365.9439211158071</v>
      </c>
      <c r="R232">
        <f t="shared" si="148"/>
        <v>225</v>
      </c>
      <c r="U232" s="55"/>
      <c r="V232">
        <f t="shared" si="149"/>
        <v>10</v>
      </c>
      <c r="W232">
        <f t="shared" ca="1" si="150"/>
        <v>2042</v>
      </c>
      <c r="X232" s="123">
        <f t="shared" ca="1" si="131"/>
        <v>52140</v>
      </c>
      <c r="Y232" s="64">
        <f t="shared" ca="1" si="132"/>
        <v>0</v>
      </c>
      <c r="Z232" s="64">
        <f t="shared" ca="1" si="133"/>
        <v>1433.7893852540949</v>
      </c>
      <c r="AA232" s="64">
        <f t="shared" ca="1" si="134"/>
        <v>0</v>
      </c>
      <c r="AB232" s="64">
        <f t="shared" ca="1" si="135"/>
        <v>1486.8295098400254</v>
      </c>
      <c r="AF232" t="str">
        <f t="shared" ca="1" si="116"/>
        <v>102025</v>
      </c>
      <c r="AG232" s="126">
        <f t="shared" ca="1" si="117"/>
        <v>0</v>
      </c>
      <c r="AH232" s="126">
        <f t="shared" ca="1" si="118"/>
        <v>0</v>
      </c>
      <c r="AI232" s="126">
        <f t="shared" ca="1" si="119"/>
        <v>942.27929687499989</v>
      </c>
      <c r="AJ232" t="str">
        <f t="shared" ca="1" si="120"/>
        <v>102042</v>
      </c>
      <c r="AK232" s="126">
        <f t="shared" ca="1" si="136"/>
        <v>0</v>
      </c>
      <c r="AL232" s="126">
        <f t="shared" ca="1" si="137"/>
        <v>0</v>
      </c>
      <c r="AM232" s="126">
        <f t="shared" ca="1" si="151"/>
        <v>0</v>
      </c>
      <c r="AN232" s="753">
        <f t="shared" ca="1" si="152"/>
        <v>0</v>
      </c>
      <c r="AO232" s="750">
        <f t="shared" ca="1" si="138"/>
        <v>0</v>
      </c>
      <c r="AP232" s="126">
        <f t="shared" ca="1" si="139"/>
        <v>0</v>
      </c>
      <c r="AQ232" s="126">
        <f t="shared" ca="1" si="140"/>
        <v>0</v>
      </c>
      <c r="AR232" s="126">
        <f t="shared" ca="1" si="121"/>
        <v>10000</v>
      </c>
      <c r="AS232" s="750">
        <f t="shared" ca="1" si="122"/>
        <v>0</v>
      </c>
      <c r="AT232" s="750">
        <f t="shared" ca="1" si="123"/>
        <v>0</v>
      </c>
      <c r="AU232" s="126">
        <f t="shared" ca="1" si="141"/>
        <v>1433.7893852540949</v>
      </c>
      <c r="AV232" s="126">
        <f t="shared" ca="1" si="142"/>
        <v>14337.893852540949</v>
      </c>
      <c r="AW232" s="126">
        <f t="shared" ca="1" si="124"/>
        <v>10000</v>
      </c>
      <c r="AX232" s="750">
        <f t="shared" ca="1" si="143"/>
        <v>0</v>
      </c>
      <c r="AY232" s="750">
        <f t="shared" ca="1" si="144"/>
        <v>1433.7893852540949</v>
      </c>
      <c r="AZ232">
        <f t="shared" si="145"/>
        <v>5750</v>
      </c>
    </row>
    <row r="233" spans="4:52">
      <c r="D233">
        <v>226</v>
      </c>
      <c r="E233" s="6">
        <f t="shared" ca="1" si="146"/>
        <v>45901</v>
      </c>
      <c r="F233" s="7">
        <f t="shared" ca="1" si="125"/>
        <v>1.0768906249999999</v>
      </c>
      <c r="G233" s="125">
        <f ca="1">IF('Simulador - 1º Pilar'!$E$99="Sí",IF('Aportaciones PPE'!$B$13&lt;'Aportaciones PPE'!E233,0,F233*$B$8/12),F233*$B$8/12)</f>
        <v>18845.585937499996</v>
      </c>
      <c r="H233" s="125">
        <f t="shared" ca="1" si="115"/>
        <v>942.27929687499989</v>
      </c>
      <c r="I233" s="125">
        <f t="shared" ca="1" si="126"/>
        <v>0</v>
      </c>
      <c r="J233" s="125">
        <f t="shared" ca="1" si="127"/>
        <v>0</v>
      </c>
      <c r="K233" s="125">
        <f t="shared" ca="1" si="128"/>
        <v>1368.1998885553935</v>
      </c>
      <c r="L233" s="125">
        <f t="shared" ca="1" si="147"/>
        <v>0</v>
      </c>
      <c r="M233" s="125">
        <f t="shared" ca="1" si="129"/>
        <v>0</v>
      </c>
      <c r="N233" s="125">
        <f t="shared" ca="1" si="130"/>
        <v>1368.1998885553935</v>
      </c>
      <c r="R233">
        <f t="shared" si="148"/>
        <v>226</v>
      </c>
      <c r="U233" s="55"/>
      <c r="V233">
        <f t="shared" si="149"/>
        <v>11</v>
      </c>
      <c r="W233">
        <f t="shared" ca="1" si="150"/>
        <v>2042</v>
      </c>
      <c r="X233" s="123">
        <f t="shared" ca="1" si="131"/>
        <v>52171</v>
      </c>
      <c r="Y233" s="64">
        <f t="shared" ca="1" si="132"/>
        <v>0</v>
      </c>
      <c r="Z233" s="64">
        <f t="shared" ca="1" si="133"/>
        <v>1433.7893852540949</v>
      </c>
      <c r="AA233" s="64">
        <f t="shared" ca="1" si="134"/>
        <v>0</v>
      </c>
      <c r="AB233" s="64">
        <f t="shared" ca="1" si="135"/>
        <v>1484.3326708161449</v>
      </c>
      <c r="AF233" t="str">
        <f t="shared" ca="1" si="116"/>
        <v>92025</v>
      </c>
      <c r="AG233" s="126">
        <f t="shared" ca="1" si="117"/>
        <v>0</v>
      </c>
      <c r="AH233" s="126">
        <f t="shared" ca="1" si="118"/>
        <v>0</v>
      </c>
      <c r="AI233" s="126">
        <f t="shared" ca="1" si="119"/>
        <v>942.27929687499989</v>
      </c>
      <c r="AJ233" t="str">
        <f t="shared" ca="1" si="120"/>
        <v>112042</v>
      </c>
      <c r="AK233" s="126">
        <f t="shared" ca="1" si="136"/>
        <v>0</v>
      </c>
      <c r="AL233" s="126">
        <f t="shared" ca="1" si="137"/>
        <v>0</v>
      </c>
      <c r="AM233" s="126">
        <f t="shared" ca="1" si="151"/>
        <v>0</v>
      </c>
      <c r="AN233" s="753">
        <f t="shared" ca="1" si="152"/>
        <v>0</v>
      </c>
      <c r="AO233" s="750">
        <f t="shared" ca="1" si="138"/>
        <v>0</v>
      </c>
      <c r="AP233" s="126">
        <f t="shared" ca="1" si="139"/>
        <v>0</v>
      </c>
      <c r="AQ233" s="126">
        <f t="shared" ca="1" si="140"/>
        <v>0</v>
      </c>
      <c r="AR233" s="126">
        <f t="shared" ca="1" si="121"/>
        <v>10000</v>
      </c>
      <c r="AS233" s="750">
        <f t="shared" ca="1" si="122"/>
        <v>0</v>
      </c>
      <c r="AT233" s="750">
        <f t="shared" ca="1" si="123"/>
        <v>0</v>
      </c>
      <c r="AU233" s="126">
        <f t="shared" ca="1" si="141"/>
        <v>1433.7893852540949</v>
      </c>
      <c r="AV233" s="126">
        <f t="shared" ca="1" si="142"/>
        <v>15771.683237795043</v>
      </c>
      <c r="AW233" s="126">
        <f t="shared" ca="1" si="124"/>
        <v>10000</v>
      </c>
      <c r="AX233" s="750">
        <f t="shared" ca="1" si="143"/>
        <v>0</v>
      </c>
      <c r="AY233" s="750">
        <f t="shared" ca="1" si="144"/>
        <v>1433.7893852540949</v>
      </c>
      <c r="AZ233">
        <f t="shared" si="145"/>
        <v>5750</v>
      </c>
    </row>
    <row r="234" spans="4:52">
      <c r="D234">
        <v>227</v>
      </c>
      <c r="E234" s="6">
        <f t="shared" ca="1" si="146"/>
        <v>45870</v>
      </c>
      <c r="F234" s="7">
        <f t="shared" ca="1" si="125"/>
        <v>1.0768906249999999</v>
      </c>
      <c r="G234" s="125">
        <f ca="1">IF('Simulador - 1º Pilar'!$E$99="Sí",IF('Aportaciones PPE'!$B$13&lt;'Aportaciones PPE'!E234,0,F234*$B$8/12),F234*$B$8/12)</f>
        <v>18845.585937499996</v>
      </c>
      <c r="H234" s="125">
        <f t="shared" ca="1" si="115"/>
        <v>942.27929687499989</v>
      </c>
      <c r="I234" s="125">
        <f t="shared" ca="1" si="126"/>
        <v>0</v>
      </c>
      <c r="J234" s="125">
        <f t="shared" ca="1" si="127"/>
        <v>0</v>
      </c>
      <c r="K234" s="125">
        <f t="shared" ca="1" si="128"/>
        <v>1370.4595819086207</v>
      </c>
      <c r="L234" s="125">
        <f t="shared" ca="1" si="147"/>
        <v>0</v>
      </c>
      <c r="M234" s="125">
        <f t="shared" ca="1" si="129"/>
        <v>0</v>
      </c>
      <c r="N234" s="125">
        <f t="shared" ca="1" si="130"/>
        <v>1370.4595819086207</v>
      </c>
      <c r="R234">
        <f t="shared" si="148"/>
        <v>227</v>
      </c>
      <c r="U234" s="55"/>
      <c r="V234">
        <f t="shared" si="149"/>
        <v>12</v>
      </c>
      <c r="W234">
        <f t="shared" ca="1" si="150"/>
        <v>2042</v>
      </c>
      <c r="X234" s="123">
        <f t="shared" ca="1" si="131"/>
        <v>52201</v>
      </c>
      <c r="Y234" s="64">
        <f t="shared" ca="1" si="132"/>
        <v>0</v>
      </c>
      <c r="Z234" s="64">
        <f t="shared" ca="1" si="133"/>
        <v>1433.7893852540949</v>
      </c>
      <c r="AA234" s="64">
        <f t="shared" ca="1" si="134"/>
        <v>0</v>
      </c>
      <c r="AB234" s="64">
        <f t="shared" ca="1" si="135"/>
        <v>1481.9203673077056</v>
      </c>
      <c r="AF234" t="str">
        <f t="shared" ca="1" si="116"/>
        <v>82025</v>
      </c>
      <c r="AG234" s="126">
        <f t="shared" ca="1" si="117"/>
        <v>0</v>
      </c>
      <c r="AH234" s="126">
        <f t="shared" ca="1" si="118"/>
        <v>0</v>
      </c>
      <c r="AI234" s="126">
        <f t="shared" ca="1" si="119"/>
        <v>942.27929687499989</v>
      </c>
      <c r="AJ234" t="str">
        <f t="shared" ca="1" si="120"/>
        <v>122042</v>
      </c>
      <c r="AK234" s="126">
        <f t="shared" ca="1" si="136"/>
        <v>0</v>
      </c>
      <c r="AL234" s="126">
        <f t="shared" ca="1" si="137"/>
        <v>0</v>
      </c>
      <c r="AM234" s="126">
        <f t="shared" ca="1" si="151"/>
        <v>0</v>
      </c>
      <c r="AN234" s="753">
        <f t="shared" ca="1" si="152"/>
        <v>0</v>
      </c>
      <c r="AO234" s="750">
        <f t="shared" ca="1" si="138"/>
        <v>0</v>
      </c>
      <c r="AP234" s="126">
        <f t="shared" ca="1" si="139"/>
        <v>0</v>
      </c>
      <c r="AQ234" s="126">
        <f t="shared" ca="1" si="140"/>
        <v>0</v>
      </c>
      <c r="AR234" s="126">
        <f t="shared" ca="1" si="121"/>
        <v>10000</v>
      </c>
      <c r="AS234" s="750">
        <f t="shared" ca="1" si="122"/>
        <v>0</v>
      </c>
      <c r="AT234" s="750">
        <f t="shared" ca="1" si="123"/>
        <v>0</v>
      </c>
      <c r="AU234" s="126">
        <f t="shared" ca="1" si="141"/>
        <v>1433.7893852540949</v>
      </c>
      <c r="AV234" s="126">
        <f t="shared" ca="1" si="142"/>
        <v>17205.47262304914</v>
      </c>
      <c r="AW234" s="126">
        <f t="shared" ca="1" si="124"/>
        <v>10000</v>
      </c>
      <c r="AX234" s="750">
        <f t="shared" ca="1" si="143"/>
        <v>0</v>
      </c>
      <c r="AY234" s="750">
        <f t="shared" ca="1" si="144"/>
        <v>1433.7893852540949</v>
      </c>
      <c r="AZ234">
        <f t="shared" si="145"/>
        <v>5750</v>
      </c>
    </row>
    <row r="235" spans="4:52">
      <c r="D235">
        <v>228</v>
      </c>
      <c r="E235" s="6">
        <f t="shared" ca="1" si="146"/>
        <v>45839</v>
      </c>
      <c r="F235" s="7">
        <f t="shared" ca="1" si="125"/>
        <v>1.0768906249999999</v>
      </c>
      <c r="G235" s="125">
        <f ca="1">IF('Simulador - 1º Pilar'!$E$99="Sí",IF('Aportaciones PPE'!$B$13&lt;'Aportaciones PPE'!E235,0,F235*$B$8/12),F235*$B$8/12)</f>
        <v>18845.585937499996</v>
      </c>
      <c r="H235" s="125">
        <f t="shared" ca="1" si="115"/>
        <v>942.27929687499989</v>
      </c>
      <c r="I235" s="125">
        <f t="shared" ca="1" si="126"/>
        <v>0</v>
      </c>
      <c r="J235" s="125">
        <f t="shared" ca="1" si="127"/>
        <v>0</v>
      </c>
      <c r="K235" s="125">
        <f t="shared" ca="1" si="128"/>
        <v>1372.7230073291378</v>
      </c>
      <c r="L235" s="125">
        <f t="shared" ca="1" si="147"/>
        <v>0</v>
      </c>
      <c r="M235" s="125">
        <f t="shared" ca="1" si="129"/>
        <v>0</v>
      </c>
      <c r="N235" s="125">
        <f t="shared" ca="1" si="130"/>
        <v>1372.7230073291378</v>
      </c>
      <c r="R235">
        <f t="shared" si="148"/>
        <v>228</v>
      </c>
      <c r="U235" s="55"/>
      <c r="V235">
        <f t="shared" si="149"/>
        <v>1</v>
      </c>
      <c r="W235">
        <f t="shared" ca="1" si="150"/>
        <v>2043</v>
      </c>
      <c r="X235" s="123">
        <f t="shared" ca="1" si="131"/>
        <v>52232</v>
      </c>
      <c r="Y235" s="64">
        <f t="shared" ca="1" si="132"/>
        <v>1469.634119885447</v>
      </c>
      <c r="Z235" s="64">
        <f t="shared" ca="1" si="133"/>
        <v>0</v>
      </c>
      <c r="AA235" s="64">
        <f t="shared" ca="1" si="134"/>
        <v>1516.417566533129</v>
      </c>
      <c r="AB235" s="64">
        <f t="shared" ca="1" si="135"/>
        <v>0</v>
      </c>
      <c r="AF235" t="str">
        <f t="shared" ca="1" si="116"/>
        <v>72025</v>
      </c>
      <c r="AG235" s="126">
        <f t="shared" ca="1" si="117"/>
        <v>0</v>
      </c>
      <c r="AH235" s="126">
        <f t="shared" ca="1" si="118"/>
        <v>0</v>
      </c>
      <c r="AI235" s="126">
        <f t="shared" ca="1" si="119"/>
        <v>942.27929687499989</v>
      </c>
      <c r="AJ235" t="str">
        <f t="shared" ca="1" si="120"/>
        <v>12043</v>
      </c>
      <c r="AK235" s="126">
        <f t="shared" ca="1" si="136"/>
        <v>0</v>
      </c>
      <c r="AL235" s="126">
        <f t="shared" ca="1" si="137"/>
        <v>0</v>
      </c>
      <c r="AM235" s="126">
        <f t="shared" ca="1" si="151"/>
        <v>0</v>
      </c>
      <c r="AN235" s="753">
        <f t="shared" ca="1" si="152"/>
        <v>0</v>
      </c>
      <c r="AO235" s="750">
        <f t="shared" ca="1" si="138"/>
        <v>0</v>
      </c>
      <c r="AP235" s="126">
        <f t="shared" ca="1" si="139"/>
        <v>0</v>
      </c>
      <c r="AQ235" s="126">
        <f t="shared" ca="1" si="140"/>
        <v>0</v>
      </c>
      <c r="AR235" s="126">
        <f t="shared" ca="1" si="121"/>
        <v>10000</v>
      </c>
      <c r="AS235" s="750">
        <f t="shared" ca="1" si="122"/>
        <v>0</v>
      </c>
      <c r="AT235" s="750">
        <f t="shared" ca="1" si="123"/>
        <v>0</v>
      </c>
      <c r="AU235" s="126">
        <f t="shared" ca="1" si="141"/>
        <v>1469.634119885447</v>
      </c>
      <c r="AV235" s="126">
        <f t="shared" ca="1" si="142"/>
        <v>1469.634119885447</v>
      </c>
      <c r="AW235" s="126">
        <f t="shared" ca="1" si="124"/>
        <v>10000</v>
      </c>
      <c r="AX235" s="750">
        <f t="shared" ca="1" si="143"/>
        <v>1469.634119885447</v>
      </c>
      <c r="AY235" s="750">
        <f t="shared" ca="1" si="144"/>
        <v>0</v>
      </c>
      <c r="AZ235">
        <f t="shared" si="145"/>
        <v>5750</v>
      </c>
    </row>
    <row r="236" spans="4:52">
      <c r="D236">
        <v>229</v>
      </c>
      <c r="E236" s="6">
        <f t="shared" ca="1" si="146"/>
        <v>45809</v>
      </c>
      <c r="F236" s="7">
        <f t="shared" ca="1" si="125"/>
        <v>1.0768906249999999</v>
      </c>
      <c r="G236" s="125">
        <f ca="1">IF('Simulador - 1º Pilar'!$E$99="Sí",IF('Aportaciones PPE'!$B$13&lt;'Aportaciones PPE'!E236,0,F236*$B$8/12),F236*$B$8/12)</f>
        <v>18845.585937499996</v>
      </c>
      <c r="H236" s="125">
        <f t="shared" ca="1" si="115"/>
        <v>942.27929687499989</v>
      </c>
      <c r="I236" s="125">
        <f t="shared" ca="1" si="126"/>
        <v>0</v>
      </c>
      <c r="J236" s="125">
        <f t="shared" ca="1" si="127"/>
        <v>0</v>
      </c>
      <c r="K236" s="125">
        <f t="shared" ca="1" si="128"/>
        <v>1374.9901709807589</v>
      </c>
      <c r="L236" s="125">
        <f t="shared" ca="1" si="147"/>
        <v>0</v>
      </c>
      <c r="M236" s="125">
        <f t="shared" ca="1" si="129"/>
        <v>0</v>
      </c>
      <c r="N236" s="125">
        <f t="shared" ca="1" si="130"/>
        <v>1374.9901709807589</v>
      </c>
      <c r="R236">
        <f t="shared" si="148"/>
        <v>229</v>
      </c>
      <c r="U236" s="55"/>
      <c r="V236">
        <f t="shared" si="149"/>
        <v>2</v>
      </c>
      <c r="W236">
        <f t="shared" ca="1" si="150"/>
        <v>2043</v>
      </c>
      <c r="X236" s="123">
        <f t="shared" ca="1" si="131"/>
        <v>52263</v>
      </c>
      <c r="Y236" s="64">
        <f t="shared" ca="1" si="132"/>
        <v>1469.634119885447</v>
      </c>
      <c r="Z236" s="64">
        <f t="shared" ca="1" si="133"/>
        <v>0</v>
      </c>
      <c r="AA236" s="64">
        <f t="shared" ca="1" si="134"/>
        <v>1513.8710401617059</v>
      </c>
      <c r="AB236" s="64">
        <f t="shared" ca="1" si="135"/>
        <v>0</v>
      </c>
      <c r="AF236" t="str">
        <f t="shared" ca="1" si="116"/>
        <v>62025</v>
      </c>
      <c r="AG236" s="126">
        <f t="shared" ca="1" si="117"/>
        <v>0</v>
      </c>
      <c r="AH236" s="126">
        <f t="shared" ca="1" si="118"/>
        <v>0</v>
      </c>
      <c r="AI236" s="126">
        <f t="shared" ca="1" si="119"/>
        <v>942.27929687499989</v>
      </c>
      <c r="AJ236" t="str">
        <f t="shared" ca="1" si="120"/>
        <v>22043</v>
      </c>
      <c r="AK236" s="126">
        <f t="shared" ca="1" si="136"/>
        <v>0</v>
      </c>
      <c r="AL236" s="126">
        <f t="shared" ca="1" si="137"/>
        <v>0</v>
      </c>
      <c r="AM236" s="126">
        <f t="shared" ca="1" si="151"/>
        <v>0</v>
      </c>
      <c r="AN236" s="753">
        <f t="shared" ca="1" si="152"/>
        <v>0</v>
      </c>
      <c r="AO236" s="750">
        <f t="shared" ca="1" si="138"/>
        <v>0</v>
      </c>
      <c r="AP236" s="126">
        <f t="shared" ca="1" si="139"/>
        <v>0</v>
      </c>
      <c r="AQ236" s="126">
        <f t="shared" ca="1" si="140"/>
        <v>0</v>
      </c>
      <c r="AR236" s="126">
        <f t="shared" ca="1" si="121"/>
        <v>10000</v>
      </c>
      <c r="AS236" s="750">
        <f t="shared" ca="1" si="122"/>
        <v>0</v>
      </c>
      <c r="AT236" s="750">
        <f t="shared" ca="1" si="123"/>
        <v>0</v>
      </c>
      <c r="AU236" s="126">
        <f t="shared" ca="1" si="141"/>
        <v>1469.634119885447</v>
      </c>
      <c r="AV236" s="126">
        <f t="shared" ca="1" si="142"/>
        <v>2939.2682397708941</v>
      </c>
      <c r="AW236" s="126">
        <f t="shared" ca="1" si="124"/>
        <v>10000</v>
      </c>
      <c r="AX236" s="750">
        <f t="shared" ca="1" si="143"/>
        <v>1469.634119885447</v>
      </c>
      <c r="AY236" s="750">
        <f t="shared" ca="1" si="144"/>
        <v>0</v>
      </c>
      <c r="AZ236">
        <f t="shared" si="145"/>
        <v>5750</v>
      </c>
    </row>
    <row r="237" spans="4:52">
      <c r="D237">
        <v>230</v>
      </c>
      <c r="E237" s="6">
        <f t="shared" ca="1" si="146"/>
        <v>45778</v>
      </c>
      <c r="F237" s="7">
        <f t="shared" ca="1" si="125"/>
        <v>1.0768906249999999</v>
      </c>
      <c r="G237" s="125">
        <f ca="1">IF('Simulador - 1º Pilar'!$E$99="Sí",IF('Aportaciones PPE'!$B$13&lt;'Aportaciones PPE'!E237,0,F237*$B$8/12),F237*$B$8/12)</f>
        <v>18845.585937499996</v>
      </c>
      <c r="H237" s="125">
        <f t="shared" ca="1" si="115"/>
        <v>942.27929687499989</v>
      </c>
      <c r="I237" s="125">
        <f t="shared" ca="1" si="126"/>
        <v>0</v>
      </c>
      <c r="J237" s="125">
        <f t="shared" ca="1" si="127"/>
        <v>0</v>
      </c>
      <c r="K237" s="125">
        <f t="shared" ca="1" si="128"/>
        <v>1377.2610790374747</v>
      </c>
      <c r="L237" s="125">
        <f t="shared" ca="1" si="147"/>
        <v>0</v>
      </c>
      <c r="M237" s="125">
        <f t="shared" ca="1" si="129"/>
        <v>0</v>
      </c>
      <c r="N237" s="125">
        <f t="shared" ca="1" si="130"/>
        <v>1377.2610790374747</v>
      </c>
      <c r="R237">
        <f t="shared" si="148"/>
        <v>230</v>
      </c>
      <c r="U237" s="55"/>
      <c r="V237">
        <f t="shared" si="149"/>
        <v>3</v>
      </c>
      <c r="W237">
        <f t="shared" ca="1" si="150"/>
        <v>2043</v>
      </c>
      <c r="X237" s="123">
        <f t="shared" ca="1" si="131"/>
        <v>52291</v>
      </c>
      <c r="Y237" s="64">
        <f t="shared" ca="1" si="132"/>
        <v>1469.634119885447</v>
      </c>
      <c r="Z237" s="64">
        <f t="shared" ca="1" si="133"/>
        <v>0</v>
      </c>
      <c r="AA237" s="64">
        <f t="shared" ca="1" si="134"/>
        <v>1511.5746276759262</v>
      </c>
      <c r="AB237" s="64">
        <f t="shared" ca="1" si="135"/>
        <v>0</v>
      </c>
      <c r="AF237" t="str">
        <f t="shared" ca="1" si="116"/>
        <v>52025</v>
      </c>
      <c r="AG237" s="126">
        <f t="shared" ca="1" si="117"/>
        <v>0</v>
      </c>
      <c r="AH237" s="126">
        <f t="shared" ca="1" si="118"/>
        <v>0</v>
      </c>
      <c r="AI237" s="126">
        <f t="shared" ca="1" si="119"/>
        <v>942.27929687499989</v>
      </c>
      <c r="AJ237" t="str">
        <f t="shared" ca="1" si="120"/>
        <v>32043</v>
      </c>
      <c r="AK237" s="126">
        <f t="shared" ca="1" si="136"/>
        <v>0</v>
      </c>
      <c r="AL237" s="126">
        <f t="shared" ca="1" si="137"/>
        <v>0</v>
      </c>
      <c r="AM237" s="126">
        <f t="shared" ca="1" si="151"/>
        <v>0</v>
      </c>
      <c r="AN237" s="753">
        <f t="shared" ca="1" si="152"/>
        <v>0</v>
      </c>
      <c r="AO237" s="750">
        <f t="shared" ca="1" si="138"/>
        <v>0</v>
      </c>
      <c r="AP237" s="126">
        <f t="shared" ca="1" si="139"/>
        <v>0</v>
      </c>
      <c r="AQ237" s="126">
        <f t="shared" ca="1" si="140"/>
        <v>0</v>
      </c>
      <c r="AR237" s="126">
        <f t="shared" ca="1" si="121"/>
        <v>10000</v>
      </c>
      <c r="AS237" s="750">
        <f t="shared" ca="1" si="122"/>
        <v>0</v>
      </c>
      <c r="AT237" s="750">
        <f t="shared" ca="1" si="123"/>
        <v>0</v>
      </c>
      <c r="AU237" s="126">
        <f t="shared" ca="1" si="141"/>
        <v>1469.634119885447</v>
      </c>
      <c r="AV237" s="126">
        <f t="shared" ca="1" si="142"/>
        <v>4408.9023596563411</v>
      </c>
      <c r="AW237" s="126">
        <f t="shared" ca="1" si="124"/>
        <v>10000</v>
      </c>
      <c r="AX237" s="750">
        <f t="shared" ca="1" si="143"/>
        <v>1469.634119885447</v>
      </c>
      <c r="AY237" s="750">
        <f t="shared" ca="1" si="144"/>
        <v>0</v>
      </c>
      <c r="AZ237">
        <f t="shared" si="145"/>
        <v>5750</v>
      </c>
    </row>
    <row r="238" spans="4:52">
      <c r="D238">
        <v>231</v>
      </c>
      <c r="E238" s="6">
        <f t="shared" ca="1" si="146"/>
        <v>45748</v>
      </c>
      <c r="F238" s="7">
        <f t="shared" ca="1" si="125"/>
        <v>1.0768906249999999</v>
      </c>
      <c r="G238" s="125">
        <f ca="1">IF('Simulador - 1º Pilar'!$E$99="Sí",IF('Aportaciones PPE'!$B$13&lt;'Aportaciones PPE'!E238,0,F238*$B$8/12),F238*$B$8/12)</f>
        <v>18845.585937499996</v>
      </c>
      <c r="H238" s="125">
        <f t="shared" ca="1" si="115"/>
        <v>942.27929687499989</v>
      </c>
      <c r="I238" s="125">
        <f t="shared" ca="1" si="126"/>
        <v>0</v>
      </c>
      <c r="J238" s="125">
        <f t="shared" ca="1" si="127"/>
        <v>0</v>
      </c>
      <c r="K238" s="125">
        <f t="shared" ca="1" si="128"/>
        <v>1379.5357376834754</v>
      </c>
      <c r="L238" s="125">
        <f t="shared" ca="1" si="147"/>
        <v>0</v>
      </c>
      <c r="M238" s="125">
        <f t="shared" ca="1" si="129"/>
        <v>0</v>
      </c>
      <c r="N238" s="125">
        <f t="shared" ca="1" si="130"/>
        <v>1379.5357376834754</v>
      </c>
      <c r="R238">
        <f t="shared" si="148"/>
        <v>231</v>
      </c>
      <c r="U238" s="55"/>
      <c r="V238">
        <f t="shared" si="149"/>
        <v>4</v>
      </c>
      <c r="W238">
        <f t="shared" ca="1" si="150"/>
        <v>2043</v>
      </c>
      <c r="X238" s="123">
        <f t="shared" ca="1" si="131"/>
        <v>52322</v>
      </c>
      <c r="Y238" s="64">
        <f t="shared" ca="1" si="132"/>
        <v>1469.634119885447</v>
      </c>
      <c r="Z238" s="64">
        <f t="shared" ca="1" si="133"/>
        <v>0</v>
      </c>
      <c r="AA238" s="64">
        <f t="shared" ca="1" si="134"/>
        <v>1509.0362340720119</v>
      </c>
      <c r="AB238" s="64">
        <f t="shared" ca="1" si="135"/>
        <v>0</v>
      </c>
      <c r="AF238" t="str">
        <f t="shared" ca="1" si="116"/>
        <v>42025</v>
      </c>
      <c r="AG238" s="126">
        <f t="shared" ca="1" si="117"/>
        <v>0</v>
      </c>
      <c r="AH238" s="126">
        <f t="shared" ca="1" si="118"/>
        <v>0</v>
      </c>
      <c r="AI238" s="126">
        <f t="shared" ca="1" si="119"/>
        <v>942.27929687499989</v>
      </c>
      <c r="AJ238" t="str">
        <f t="shared" ca="1" si="120"/>
        <v>42043</v>
      </c>
      <c r="AK238" s="126">
        <f t="shared" ca="1" si="136"/>
        <v>0</v>
      </c>
      <c r="AL238" s="126">
        <f t="shared" ca="1" si="137"/>
        <v>0</v>
      </c>
      <c r="AM238" s="126">
        <f t="shared" ca="1" si="151"/>
        <v>0</v>
      </c>
      <c r="AN238" s="753">
        <f t="shared" ca="1" si="152"/>
        <v>0</v>
      </c>
      <c r="AO238" s="750">
        <f t="shared" ca="1" si="138"/>
        <v>0</v>
      </c>
      <c r="AP238" s="126">
        <f t="shared" ca="1" si="139"/>
        <v>0</v>
      </c>
      <c r="AQ238" s="126">
        <f t="shared" ca="1" si="140"/>
        <v>0</v>
      </c>
      <c r="AR238" s="126">
        <f t="shared" ca="1" si="121"/>
        <v>10000</v>
      </c>
      <c r="AS238" s="750">
        <f t="shared" ca="1" si="122"/>
        <v>0</v>
      </c>
      <c r="AT238" s="750">
        <f t="shared" ca="1" si="123"/>
        <v>0</v>
      </c>
      <c r="AU238" s="126">
        <f t="shared" ca="1" si="141"/>
        <v>1469.634119885447</v>
      </c>
      <c r="AV238" s="126">
        <f t="shared" ca="1" si="142"/>
        <v>5878.5364795417881</v>
      </c>
      <c r="AW238" s="126">
        <f t="shared" ca="1" si="124"/>
        <v>10000</v>
      </c>
      <c r="AX238" s="750">
        <f t="shared" ca="1" si="143"/>
        <v>1469.634119885447</v>
      </c>
      <c r="AY238" s="750">
        <f t="shared" ca="1" si="144"/>
        <v>0</v>
      </c>
      <c r="AZ238">
        <f t="shared" si="145"/>
        <v>5750</v>
      </c>
    </row>
    <row r="239" spans="4:52">
      <c r="D239">
        <v>232</v>
      </c>
      <c r="E239" s="6">
        <f t="shared" ca="1" si="146"/>
        <v>45717</v>
      </c>
      <c r="F239" s="7">
        <f t="shared" ca="1" si="125"/>
        <v>1.0768906249999999</v>
      </c>
      <c r="G239" s="125">
        <f ca="1">IF('Simulador - 1º Pilar'!$E$99="Sí",IF('Aportaciones PPE'!$B$13&lt;'Aportaciones PPE'!E239,0,F239*$B$8/12),F239*$B$8/12)</f>
        <v>18845.585937499996</v>
      </c>
      <c r="H239" s="125">
        <f t="shared" ca="1" si="115"/>
        <v>942.27929687499989</v>
      </c>
      <c r="I239" s="125">
        <f t="shared" ca="1" si="126"/>
        <v>0</v>
      </c>
      <c r="J239" s="125">
        <f t="shared" ca="1" si="127"/>
        <v>0</v>
      </c>
      <c r="K239" s="125">
        <f t="shared" ca="1" si="128"/>
        <v>1381.8141531131639</v>
      </c>
      <c r="L239" s="125">
        <f t="shared" ca="1" si="147"/>
        <v>0</v>
      </c>
      <c r="M239" s="125">
        <f t="shared" ca="1" si="129"/>
        <v>0</v>
      </c>
      <c r="N239" s="125">
        <f t="shared" ca="1" si="130"/>
        <v>1381.8141531131639</v>
      </c>
      <c r="R239">
        <f t="shared" si="148"/>
        <v>232</v>
      </c>
      <c r="U239" s="55"/>
      <c r="V239">
        <f t="shared" si="149"/>
        <v>5</v>
      </c>
      <c r="W239">
        <f t="shared" ca="1" si="150"/>
        <v>2043</v>
      </c>
      <c r="X239" s="123">
        <f t="shared" ca="1" si="131"/>
        <v>52352</v>
      </c>
      <c r="Y239" s="64">
        <f t="shared" ca="1" si="132"/>
        <v>1469.634119885447</v>
      </c>
      <c r="Z239" s="64">
        <f t="shared" ca="1" si="133"/>
        <v>0</v>
      </c>
      <c r="AA239" s="64">
        <f t="shared" ca="1" si="134"/>
        <v>1506.5837828975643</v>
      </c>
      <c r="AB239" s="64">
        <f t="shared" ca="1" si="135"/>
        <v>0</v>
      </c>
      <c r="AF239" t="str">
        <f t="shared" ca="1" si="116"/>
        <v>32025</v>
      </c>
      <c r="AG239" s="126">
        <f t="shared" ca="1" si="117"/>
        <v>0</v>
      </c>
      <c r="AH239" s="126">
        <f t="shared" ca="1" si="118"/>
        <v>0</v>
      </c>
      <c r="AI239" s="126">
        <f t="shared" ca="1" si="119"/>
        <v>942.27929687499989</v>
      </c>
      <c r="AJ239" t="str">
        <f t="shared" ca="1" si="120"/>
        <v>52043</v>
      </c>
      <c r="AK239" s="126">
        <f t="shared" ca="1" si="136"/>
        <v>0</v>
      </c>
      <c r="AL239" s="126">
        <f t="shared" ca="1" si="137"/>
        <v>0</v>
      </c>
      <c r="AM239" s="126">
        <f t="shared" ca="1" si="151"/>
        <v>0</v>
      </c>
      <c r="AN239" s="753">
        <f t="shared" ca="1" si="152"/>
        <v>0</v>
      </c>
      <c r="AO239" s="750">
        <f t="shared" ca="1" si="138"/>
        <v>0</v>
      </c>
      <c r="AP239" s="126">
        <f t="shared" ca="1" si="139"/>
        <v>0</v>
      </c>
      <c r="AQ239" s="126">
        <f t="shared" ca="1" si="140"/>
        <v>0</v>
      </c>
      <c r="AR239" s="126">
        <f t="shared" ca="1" si="121"/>
        <v>10000</v>
      </c>
      <c r="AS239" s="750">
        <f t="shared" ca="1" si="122"/>
        <v>0</v>
      </c>
      <c r="AT239" s="750">
        <f t="shared" ca="1" si="123"/>
        <v>0</v>
      </c>
      <c r="AU239" s="126">
        <f t="shared" ca="1" si="141"/>
        <v>1469.634119885447</v>
      </c>
      <c r="AV239" s="126">
        <f t="shared" ca="1" si="142"/>
        <v>7348.1705994272352</v>
      </c>
      <c r="AW239" s="126">
        <f t="shared" ca="1" si="124"/>
        <v>10000</v>
      </c>
      <c r="AX239" s="750">
        <f t="shared" ca="1" si="143"/>
        <v>1469.634119885447</v>
      </c>
      <c r="AY239" s="750">
        <f t="shared" ca="1" si="144"/>
        <v>0</v>
      </c>
      <c r="AZ239">
        <f t="shared" si="145"/>
        <v>5750</v>
      </c>
    </row>
    <row r="240" spans="4:52">
      <c r="D240">
        <v>233</v>
      </c>
      <c r="E240" s="6">
        <f t="shared" ca="1" si="146"/>
        <v>45689</v>
      </c>
      <c r="F240" s="7">
        <f t="shared" ca="1" si="125"/>
        <v>1.0768906249999999</v>
      </c>
      <c r="G240" s="125">
        <f ca="1">IF('Simulador - 1º Pilar'!$E$99="Sí",IF('Aportaciones PPE'!$B$13&lt;'Aportaciones PPE'!E240,0,F240*$B$8/12),F240*$B$8/12)</f>
        <v>18845.585937499996</v>
      </c>
      <c r="H240" s="125">
        <f t="shared" ca="1" si="115"/>
        <v>942.27929687499989</v>
      </c>
      <c r="I240" s="125">
        <f t="shared" ca="1" si="126"/>
        <v>0</v>
      </c>
      <c r="J240" s="125">
        <f t="shared" ca="1" si="127"/>
        <v>0</v>
      </c>
      <c r="K240" s="125">
        <f t="shared" ca="1" si="128"/>
        <v>1384.0963315311744</v>
      </c>
      <c r="L240" s="125">
        <f t="shared" ca="1" si="147"/>
        <v>0</v>
      </c>
      <c r="M240" s="125">
        <f t="shared" ca="1" si="129"/>
        <v>0</v>
      </c>
      <c r="N240" s="125">
        <f t="shared" ca="1" si="130"/>
        <v>1384.0963315311744</v>
      </c>
      <c r="R240">
        <f t="shared" si="148"/>
        <v>233</v>
      </c>
      <c r="U240" s="55"/>
      <c r="V240">
        <f t="shared" si="149"/>
        <v>6</v>
      </c>
      <c r="W240">
        <f t="shared" ca="1" si="150"/>
        <v>2043</v>
      </c>
      <c r="X240" s="123">
        <f t="shared" ca="1" si="131"/>
        <v>52383</v>
      </c>
      <c r="Y240" s="64">
        <f t="shared" ca="1" si="132"/>
        <v>1469.634119885447</v>
      </c>
      <c r="Z240" s="64">
        <f t="shared" ca="1" si="133"/>
        <v>0</v>
      </c>
      <c r="AA240" s="64">
        <f t="shared" ca="1" si="134"/>
        <v>1504.053770440192</v>
      </c>
      <c r="AB240" s="64">
        <f t="shared" ca="1" si="135"/>
        <v>0</v>
      </c>
      <c r="AF240" t="str">
        <f t="shared" ca="1" si="116"/>
        <v>22025</v>
      </c>
      <c r="AG240" s="126">
        <f t="shared" ca="1" si="117"/>
        <v>0</v>
      </c>
      <c r="AH240" s="126">
        <f t="shared" ca="1" si="118"/>
        <v>0</v>
      </c>
      <c r="AI240" s="126">
        <f t="shared" ca="1" si="119"/>
        <v>942.27929687499989</v>
      </c>
      <c r="AJ240" t="str">
        <f t="shared" ca="1" si="120"/>
        <v>62043</v>
      </c>
      <c r="AK240" s="126">
        <f t="shared" ca="1" si="136"/>
        <v>0</v>
      </c>
      <c r="AL240" s="126">
        <f t="shared" ca="1" si="137"/>
        <v>0</v>
      </c>
      <c r="AM240" s="126">
        <f t="shared" ca="1" si="151"/>
        <v>0</v>
      </c>
      <c r="AN240" s="753">
        <f t="shared" ca="1" si="152"/>
        <v>0</v>
      </c>
      <c r="AO240" s="750">
        <f t="shared" ca="1" si="138"/>
        <v>0</v>
      </c>
      <c r="AP240" s="126">
        <f t="shared" ca="1" si="139"/>
        <v>0</v>
      </c>
      <c r="AQ240" s="126">
        <f t="shared" ca="1" si="140"/>
        <v>0</v>
      </c>
      <c r="AR240" s="126">
        <f t="shared" ca="1" si="121"/>
        <v>10000</v>
      </c>
      <c r="AS240" s="750">
        <f t="shared" ca="1" si="122"/>
        <v>0</v>
      </c>
      <c r="AT240" s="750">
        <f t="shared" ca="1" si="123"/>
        <v>0</v>
      </c>
      <c r="AU240" s="126">
        <f t="shared" ca="1" si="141"/>
        <v>1469.634119885447</v>
      </c>
      <c r="AV240" s="126">
        <f t="shared" ca="1" si="142"/>
        <v>8817.8047193126822</v>
      </c>
      <c r="AW240" s="126">
        <f t="shared" ca="1" si="124"/>
        <v>10000</v>
      </c>
      <c r="AX240" s="750">
        <f t="shared" ca="1" si="143"/>
        <v>1469.634119885447</v>
      </c>
      <c r="AY240" s="750">
        <f t="shared" ca="1" si="144"/>
        <v>0</v>
      </c>
      <c r="AZ240">
        <f t="shared" si="145"/>
        <v>5750</v>
      </c>
    </row>
    <row r="241" spans="4:52">
      <c r="D241">
        <v>234</v>
      </c>
      <c r="E241" s="6">
        <f t="shared" ca="1" si="146"/>
        <v>45658</v>
      </c>
      <c r="F241" s="7">
        <f t="shared" ca="1" si="125"/>
        <v>1.0768906249999999</v>
      </c>
      <c r="G241" s="125">
        <f ca="1">IF('Simulador - 1º Pilar'!$E$99="Sí",IF('Aportaciones PPE'!$B$13&lt;'Aportaciones PPE'!E241,0,F241*$B$8/12),F241*$B$8/12)</f>
        <v>18845.585937499996</v>
      </c>
      <c r="H241" s="125">
        <f t="shared" ca="1" si="115"/>
        <v>942.27929687499989</v>
      </c>
      <c r="I241" s="125">
        <f t="shared" ca="1" si="126"/>
        <v>0</v>
      </c>
      <c r="J241" s="125">
        <f t="shared" ca="1" si="127"/>
        <v>0</v>
      </c>
      <c r="K241" s="125">
        <f ca="1">(1+$O$5)^(D241/12)*(H241+IF(AND(F241=1,F242=0),$S$4,0))</f>
        <v>1386.3822791523878</v>
      </c>
      <c r="L241" s="125">
        <f t="shared" ca="1" si="147"/>
        <v>0</v>
      </c>
      <c r="M241" s="125">
        <f t="shared" ca="1" si="129"/>
        <v>0</v>
      </c>
      <c r="N241" s="125">
        <f t="shared" ca="1" si="130"/>
        <v>1386.3822791523878</v>
      </c>
      <c r="R241">
        <f t="shared" si="148"/>
        <v>234</v>
      </c>
      <c r="U241" s="55"/>
      <c r="V241">
        <f t="shared" si="149"/>
        <v>7</v>
      </c>
      <c r="W241">
        <f t="shared" ca="1" si="150"/>
        <v>2043</v>
      </c>
      <c r="X241" s="123">
        <f t="shared" ca="1" si="131"/>
        <v>52413</v>
      </c>
      <c r="Y241" s="64">
        <f t="shared" ca="1" si="132"/>
        <v>1182.1952806873178</v>
      </c>
      <c r="Z241" s="64">
        <f t="shared" ca="1" si="133"/>
        <v>287.43883919812924</v>
      </c>
      <c r="AA241" s="64">
        <f t="shared" ca="1" si="134"/>
        <v>1207.9166792477768</v>
      </c>
      <c r="AB241" s="64">
        <f t="shared" ca="1" si="135"/>
        <v>293.69273740390821</v>
      </c>
      <c r="AF241" t="str">
        <f t="shared" ca="1" si="116"/>
        <v>12025</v>
      </c>
      <c r="AG241" s="126">
        <f t="shared" ca="1" si="117"/>
        <v>0</v>
      </c>
      <c r="AH241" s="126">
        <f t="shared" ca="1" si="118"/>
        <v>0</v>
      </c>
      <c r="AI241" s="126">
        <f t="shared" ca="1" si="119"/>
        <v>942.27929687499989</v>
      </c>
      <c r="AJ241" t="str">
        <f t="shared" ca="1" si="120"/>
        <v>72043</v>
      </c>
      <c r="AK241" s="126">
        <f t="shared" ca="1" si="136"/>
        <v>0</v>
      </c>
      <c r="AL241" s="126">
        <f t="shared" ca="1" si="137"/>
        <v>0</v>
      </c>
      <c r="AM241" s="126">
        <f t="shared" ca="1" si="151"/>
        <v>0</v>
      </c>
      <c r="AN241" s="753">
        <f t="shared" ca="1" si="152"/>
        <v>0</v>
      </c>
      <c r="AO241" s="750">
        <f t="shared" ca="1" si="138"/>
        <v>0</v>
      </c>
      <c r="AP241" s="126">
        <f t="shared" ca="1" si="139"/>
        <v>0</v>
      </c>
      <c r="AQ241" s="126">
        <f t="shared" ca="1" si="140"/>
        <v>0</v>
      </c>
      <c r="AR241" s="126">
        <f t="shared" ca="1" si="121"/>
        <v>10000</v>
      </c>
      <c r="AS241" s="750">
        <f t="shared" ca="1" si="122"/>
        <v>0</v>
      </c>
      <c r="AT241" s="750">
        <f t="shared" ca="1" si="123"/>
        <v>0</v>
      </c>
      <c r="AU241" s="126">
        <f t="shared" ca="1" si="141"/>
        <v>1469.634119885447</v>
      </c>
      <c r="AV241" s="126">
        <f t="shared" ca="1" si="142"/>
        <v>10287.43883919813</v>
      </c>
      <c r="AW241" s="126">
        <f t="shared" ca="1" si="124"/>
        <v>10000</v>
      </c>
      <c r="AX241" s="750">
        <f t="shared" ca="1" si="143"/>
        <v>1182.1952806873178</v>
      </c>
      <c r="AY241" s="750">
        <f t="shared" ca="1" si="144"/>
        <v>287.43883919812924</v>
      </c>
      <c r="AZ241">
        <f t="shared" si="145"/>
        <v>5750</v>
      </c>
    </row>
    <row r="242" spans="4:52">
      <c r="D242">
        <v>235</v>
      </c>
      <c r="E242" s="6">
        <f t="shared" ca="1" si="146"/>
        <v>45627</v>
      </c>
      <c r="F242" s="7">
        <f t="shared" ca="1" si="125"/>
        <v>1.0506249999999999</v>
      </c>
      <c r="G242" s="125">
        <f ca="1">IF('Simulador - 1º Pilar'!$E$99="Sí",IF('Aportaciones PPE'!$B$13&lt;'Aportaciones PPE'!E242,0,F242*$B$8/12),F242*$B$8/12)</f>
        <v>18385.937499999996</v>
      </c>
      <c r="H242" s="125">
        <f t="shared" ca="1" si="115"/>
        <v>919.29687499999989</v>
      </c>
      <c r="I242" s="125">
        <f t="shared" ca="1" si="126"/>
        <v>0</v>
      </c>
      <c r="J242" s="125">
        <f t="shared" ca="1" si="127"/>
        <v>0</v>
      </c>
      <c r="K242" s="125">
        <f t="shared" ca="1" si="128"/>
        <v>1354.8019533677552</v>
      </c>
      <c r="L242" s="125">
        <f t="shared" ca="1" si="147"/>
        <v>0</v>
      </c>
      <c r="M242" s="125">
        <f t="shared" ca="1" si="129"/>
        <v>0</v>
      </c>
      <c r="N242" s="125">
        <f t="shared" ca="1" si="130"/>
        <v>1354.8019533677552</v>
      </c>
      <c r="R242">
        <f t="shared" si="148"/>
        <v>235</v>
      </c>
      <c r="U242" s="55"/>
      <c r="V242">
        <f t="shared" si="149"/>
        <v>8</v>
      </c>
      <c r="W242">
        <f t="shared" ca="1" si="150"/>
        <v>2043</v>
      </c>
      <c r="X242" s="123">
        <f t="shared" ca="1" si="131"/>
        <v>52444</v>
      </c>
      <c r="Y242" s="64">
        <f t="shared" ca="1" si="132"/>
        <v>0</v>
      </c>
      <c r="Z242" s="64">
        <f t="shared" ca="1" si="133"/>
        <v>1469.634119885447</v>
      </c>
      <c r="AA242" s="64">
        <f t="shared" ca="1" si="134"/>
        <v>0</v>
      </c>
      <c r="AB242" s="64">
        <f t="shared" ca="1" si="135"/>
        <v>1499.0877576683858</v>
      </c>
      <c r="AF242" t="str">
        <f t="shared" ca="1" si="116"/>
        <v>122024</v>
      </c>
      <c r="AG242" s="126">
        <f t="shared" ca="1" si="117"/>
        <v>0</v>
      </c>
      <c r="AH242" s="126">
        <f t="shared" ca="1" si="118"/>
        <v>0</v>
      </c>
      <c r="AI242" s="126">
        <f t="shared" ca="1" si="119"/>
        <v>919.29687499999989</v>
      </c>
      <c r="AJ242" t="str">
        <f t="shared" ca="1" si="120"/>
        <v>82043</v>
      </c>
      <c r="AK242" s="126">
        <f t="shared" ca="1" si="136"/>
        <v>0</v>
      </c>
      <c r="AL242" s="126">
        <f t="shared" ca="1" si="137"/>
        <v>0</v>
      </c>
      <c r="AM242" s="126">
        <f t="shared" ca="1" si="151"/>
        <v>0</v>
      </c>
      <c r="AN242" s="753">
        <f t="shared" ca="1" si="152"/>
        <v>0</v>
      </c>
      <c r="AO242" s="750">
        <f t="shared" ca="1" si="138"/>
        <v>0</v>
      </c>
      <c r="AP242" s="126">
        <f t="shared" ca="1" si="139"/>
        <v>0</v>
      </c>
      <c r="AQ242" s="126">
        <f t="shared" ca="1" si="140"/>
        <v>0</v>
      </c>
      <c r="AR242" s="126">
        <f t="shared" ca="1" si="121"/>
        <v>10000</v>
      </c>
      <c r="AS242" s="750">
        <f t="shared" ca="1" si="122"/>
        <v>0</v>
      </c>
      <c r="AT242" s="750">
        <f t="shared" ca="1" si="123"/>
        <v>0</v>
      </c>
      <c r="AU242" s="126">
        <f t="shared" ca="1" si="141"/>
        <v>1469.634119885447</v>
      </c>
      <c r="AV242" s="126">
        <f t="shared" ca="1" si="142"/>
        <v>11757.072959083576</v>
      </c>
      <c r="AW242" s="126">
        <f t="shared" ca="1" si="124"/>
        <v>10000</v>
      </c>
      <c r="AX242" s="750">
        <f t="shared" ca="1" si="143"/>
        <v>0</v>
      </c>
      <c r="AY242" s="750">
        <f t="shared" ca="1" si="144"/>
        <v>1469.634119885447</v>
      </c>
      <c r="AZ242">
        <f t="shared" si="145"/>
        <v>5750</v>
      </c>
    </row>
    <row r="243" spans="4:52">
      <c r="D243">
        <v>236</v>
      </c>
      <c r="E243" s="6">
        <f t="shared" ca="1" si="146"/>
        <v>45597</v>
      </c>
      <c r="F243" s="7">
        <f t="shared" ca="1" si="125"/>
        <v>1.0506249999999999</v>
      </c>
      <c r="G243" s="125">
        <f ca="1">IF('Simulador - 1º Pilar'!$E$99="Sí",IF('Aportaciones PPE'!$B$13&lt;'Aportaciones PPE'!E243,0,F243*$B$8/12),F243*$B$8/12)</f>
        <v>18385.937499999996</v>
      </c>
      <c r="H243" s="125">
        <f t="shared" ca="1" si="115"/>
        <v>919.29687499999989</v>
      </c>
      <c r="I243" s="125">
        <f t="shared" ca="1" si="126"/>
        <v>0</v>
      </c>
      <c r="J243" s="125">
        <f t="shared" ca="1" si="127"/>
        <v>0</v>
      </c>
      <c r="K243" s="125">
        <f t="shared" ca="1" si="128"/>
        <v>1357.0395189417425</v>
      </c>
      <c r="L243" s="125">
        <f t="shared" ca="1" si="147"/>
        <v>0</v>
      </c>
      <c r="M243" s="125">
        <f t="shared" ca="1" si="129"/>
        <v>0</v>
      </c>
      <c r="N243" s="125">
        <f t="shared" ca="1" si="130"/>
        <v>1357.0395189417425</v>
      </c>
      <c r="R243">
        <f t="shared" si="148"/>
        <v>236</v>
      </c>
      <c r="U243" s="55"/>
      <c r="V243">
        <f t="shared" si="149"/>
        <v>9</v>
      </c>
      <c r="W243">
        <f t="shared" ca="1" si="150"/>
        <v>2043</v>
      </c>
      <c r="X243" s="123">
        <f t="shared" ca="1" si="131"/>
        <v>52475</v>
      </c>
      <c r="Y243" s="64">
        <f t="shared" ca="1" si="132"/>
        <v>0</v>
      </c>
      <c r="Z243" s="64">
        <f t="shared" ca="1" si="133"/>
        <v>1469.634119885447</v>
      </c>
      <c r="AA243" s="64">
        <f t="shared" ca="1" si="134"/>
        <v>0</v>
      </c>
      <c r="AB243" s="64">
        <f t="shared" ca="1" si="135"/>
        <v>1496.5703333175802</v>
      </c>
      <c r="AF243" t="str">
        <f t="shared" ca="1" si="116"/>
        <v>112024</v>
      </c>
      <c r="AG243" s="126">
        <f t="shared" ca="1" si="117"/>
        <v>0</v>
      </c>
      <c r="AH243" s="126">
        <f t="shared" ca="1" si="118"/>
        <v>0</v>
      </c>
      <c r="AI243" s="126">
        <f t="shared" ca="1" si="119"/>
        <v>919.29687499999989</v>
      </c>
      <c r="AJ243" t="str">
        <f t="shared" ca="1" si="120"/>
        <v>92043</v>
      </c>
      <c r="AK243" s="126">
        <f t="shared" ca="1" si="136"/>
        <v>0</v>
      </c>
      <c r="AL243" s="126">
        <f t="shared" ca="1" si="137"/>
        <v>0</v>
      </c>
      <c r="AM243" s="126">
        <f t="shared" ca="1" si="151"/>
        <v>0</v>
      </c>
      <c r="AN243" s="753">
        <f t="shared" ca="1" si="152"/>
        <v>0</v>
      </c>
      <c r="AO243" s="750">
        <f t="shared" ca="1" si="138"/>
        <v>0</v>
      </c>
      <c r="AP243" s="126">
        <f t="shared" ca="1" si="139"/>
        <v>0</v>
      </c>
      <c r="AQ243" s="126">
        <f t="shared" ca="1" si="140"/>
        <v>0</v>
      </c>
      <c r="AR243" s="126">
        <f t="shared" ca="1" si="121"/>
        <v>10000</v>
      </c>
      <c r="AS243" s="750">
        <f t="shared" ca="1" si="122"/>
        <v>0</v>
      </c>
      <c r="AT243" s="750">
        <f t="shared" ca="1" si="123"/>
        <v>0</v>
      </c>
      <c r="AU243" s="126">
        <f t="shared" ca="1" si="141"/>
        <v>1469.634119885447</v>
      </c>
      <c r="AV243" s="126">
        <f t="shared" ca="1" si="142"/>
        <v>13226.707078969022</v>
      </c>
      <c r="AW243" s="126">
        <f t="shared" ca="1" si="124"/>
        <v>10000</v>
      </c>
      <c r="AX243" s="750">
        <f t="shared" ca="1" si="143"/>
        <v>0</v>
      </c>
      <c r="AY243" s="750">
        <f t="shared" ca="1" si="144"/>
        <v>1469.634119885447</v>
      </c>
      <c r="AZ243">
        <f t="shared" si="145"/>
        <v>5750</v>
      </c>
    </row>
    <row r="244" spans="4:52">
      <c r="D244">
        <v>237</v>
      </c>
      <c r="E244" s="6">
        <f t="shared" ca="1" si="146"/>
        <v>45566</v>
      </c>
      <c r="F244" s="7">
        <f t="shared" ca="1" si="125"/>
        <v>1.0506249999999999</v>
      </c>
      <c r="G244" s="125">
        <f ca="1">IF('Simulador - 1º Pilar'!$E$99="Sí",IF('Aportaciones PPE'!$B$13&lt;'Aportaciones PPE'!E244,0,F244*$B$8/12),F244*$B$8/12)</f>
        <v>18385.937499999996</v>
      </c>
      <c r="H244" s="125">
        <f t="shared" ca="1" si="115"/>
        <v>919.29687499999989</v>
      </c>
      <c r="I244" s="125">
        <f t="shared" ca="1" si="126"/>
        <v>0</v>
      </c>
      <c r="J244" s="125">
        <f t="shared" ca="1" si="127"/>
        <v>0</v>
      </c>
      <c r="K244" s="125">
        <f t="shared" ca="1" si="128"/>
        <v>1359.2807800371934</v>
      </c>
      <c r="L244" s="125">
        <f t="shared" ca="1" si="147"/>
        <v>0</v>
      </c>
      <c r="M244" s="125">
        <f t="shared" ca="1" si="129"/>
        <v>0</v>
      </c>
      <c r="N244" s="125">
        <f t="shared" ca="1" si="130"/>
        <v>1359.2807800371934</v>
      </c>
      <c r="R244">
        <f t="shared" si="148"/>
        <v>237</v>
      </c>
      <c r="U244" s="55"/>
      <c r="V244">
        <f t="shared" si="149"/>
        <v>10</v>
      </c>
      <c r="W244">
        <f t="shared" ca="1" si="150"/>
        <v>2043</v>
      </c>
      <c r="X244" s="123">
        <f t="shared" ca="1" si="131"/>
        <v>52505</v>
      </c>
      <c r="Y244" s="64">
        <f t="shared" ca="1" si="132"/>
        <v>0</v>
      </c>
      <c r="Z244" s="64">
        <f t="shared" ca="1" si="133"/>
        <v>1469.634119885447</v>
      </c>
      <c r="AA244" s="64">
        <f t="shared" ca="1" si="134"/>
        <v>0</v>
      </c>
      <c r="AB244" s="64">
        <f t="shared" ca="1" si="135"/>
        <v>1494.1381414399309</v>
      </c>
      <c r="AF244" t="str">
        <f t="shared" ca="1" si="116"/>
        <v>102024</v>
      </c>
      <c r="AG244" s="126">
        <f t="shared" ca="1" si="117"/>
        <v>0</v>
      </c>
      <c r="AH244" s="126">
        <f t="shared" ca="1" si="118"/>
        <v>0</v>
      </c>
      <c r="AI244" s="126">
        <f t="shared" ca="1" si="119"/>
        <v>919.29687499999989</v>
      </c>
      <c r="AJ244" t="str">
        <f t="shared" ca="1" si="120"/>
        <v>102043</v>
      </c>
      <c r="AK244" s="126">
        <f t="shared" ca="1" si="136"/>
        <v>0</v>
      </c>
      <c r="AL244" s="126">
        <f t="shared" ca="1" si="137"/>
        <v>0</v>
      </c>
      <c r="AM244" s="126">
        <f t="shared" ca="1" si="151"/>
        <v>0</v>
      </c>
      <c r="AN244" s="753">
        <f t="shared" ca="1" si="152"/>
        <v>0</v>
      </c>
      <c r="AO244" s="750">
        <f t="shared" ca="1" si="138"/>
        <v>0</v>
      </c>
      <c r="AP244" s="126">
        <f t="shared" ca="1" si="139"/>
        <v>0</v>
      </c>
      <c r="AQ244" s="126">
        <f t="shared" ca="1" si="140"/>
        <v>0</v>
      </c>
      <c r="AR244" s="126">
        <f t="shared" ca="1" si="121"/>
        <v>10000</v>
      </c>
      <c r="AS244" s="750">
        <f t="shared" ca="1" si="122"/>
        <v>0</v>
      </c>
      <c r="AT244" s="750">
        <f t="shared" ca="1" si="123"/>
        <v>0</v>
      </c>
      <c r="AU244" s="126">
        <f t="shared" ca="1" si="141"/>
        <v>1469.634119885447</v>
      </c>
      <c r="AV244" s="126">
        <f t="shared" ca="1" si="142"/>
        <v>14696.341198854469</v>
      </c>
      <c r="AW244" s="126">
        <f t="shared" ca="1" si="124"/>
        <v>10000</v>
      </c>
      <c r="AX244" s="750">
        <f t="shared" ca="1" si="143"/>
        <v>0</v>
      </c>
      <c r="AY244" s="750">
        <f t="shared" ca="1" si="144"/>
        <v>1469.634119885447</v>
      </c>
      <c r="AZ244">
        <f t="shared" si="145"/>
        <v>5750</v>
      </c>
    </row>
    <row r="245" spans="4:52">
      <c r="D245">
        <v>238</v>
      </c>
      <c r="E245" s="6">
        <f t="shared" ca="1" si="146"/>
        <v>45536</v>
      </c>
      <c r="F245" s="7">
        <f t="shared" ca="1" si="125"/>
        <v>1.0506249999999999</v>
      </c>
      <c r="G245" s="125">
        <f ca="1">IF('Simulador - 1º Pilar'!$E$99="Sí",IF('Aportaciones PPE'!$B$13&lt;'Aportaciones PPE'!E245,0,F245*$B$8/12),F245*$B$8/12)</f>
        <v>18385.937499999996</v>
      </c>
      <c r="H245" s="125">
        <f t="shared" ca="1" si="115"/>
        <v>919.29687499999989</v>
      </c>
      <c r="I245" s="125">
        <f t="shared" ca="1" si="126"/>
        <v>0</v>
      </c>
      <c r="J245" s="125">
        <f t="shared" ca="1" si="127"/>
        <v>0</v>
      </c>
      <c r="K245" s="125">
        <f t="shared" ca="1" si="128"/>
        <v>1361.5257427575623</v>
      </c>
      <c r="L245" s="125">
        <f t="shared" ca="1" si="147"/>
        <v>0</v>
      </c>
      <c r="M245" s="125">
        <f t="shared" ca="1" si="129"/>
        <v>0</v>
      </c>
      <c r="N245" s="125">
        <f t="shared" ca="1" si="130"/>
        <v>1361.5257427575623</v>
      </c>
      <c r="R245">
        <f t="shared" si="148"/>
        <v>238</v>
      </c>
      <c r="U245" s="55"/>
      <c r="V245">
        <f t="shared" si="149"/>
        <v>11</v>
      </c>
      <c r="W245">
        <f t="shared" ca="1" si="150"/>
        <v>2043</v>
      </c>
      <c r="X245" s="123">
        <f t="shared" ca="1" si="131"/>
        <v>52536</v>
      </c>
      <c r="Y245" s="64">
        <f t="shared" ca="1" si="132"/>
        <v>0</v>
      </c>
      <c r="Z245" s="64">
        <f t="shared" ca="1" si="133"/>
        <v>1469.634119885447</v>
      </c>
      <c r="AA245" s="64">
        <f t="shared" ca="1" si="134"/>
        <v>0</v>
      </c>
      <c r="AB245" s="64">
        <f t="shared" ca="1" si="135"/>
        <v>1491.6290290003906</v>
      </c>
      <c r="AF245" t="str">
        <f t="shared" ca="1" si="116"/>
        <v>92024</v>
      </c>
      <c r="AG245" s="126">
        <f t="shared" ca="1" si="117"/>
        <v>0</v>
      </c>
      <c r="AH245" s="126">
        <f t="shared" ca="1" si="118"/>
        <v>0</v>
      </c>
      <c r="AI245" s="126">
        <f t="shared" ca="1" si="119"/>
        <v>919.29687499999989</v>
      </c>
      <c r="AJ245" t="str">
        <f t="shared" ca="1" si="120"/>
        <v>112043</v>
      </c>
      <c r="AK245" s="126">
        <f t="shared" ca="1" si="136"/>
        <v>0</v>
      </c>
      <c r="AL245" s="126">
        <f t="shared" ca="1" si="137"/>
        <v>0</v>
      </c>
      <c r="AM245" s="126">
        <f t="shared" ca="1" si="151"/>
        <v>0</v>
      </c>
      <c r="AN245" s="753">
        <f t="shared" ca="1" si="152"/>
        <v>0</v>
      </c>
      <c r="AO245" s="750">
        <f t="shared" ca="1" si="138"/>
        <v>0</v>
      </c>
      <c r="AP245" s="126">
        <f t="shared" ca="1" si="139"/>
        <v>0</v>
      </c>
      <c r="AQ245" s="126">
        <f t="shared" ca="1" si="140"/>
        <v>0</v>
      </c>
      <c r="AR245" s="126">
        <f t="shared" ca="1" si="121"/>
        <v>10000</v>
      </c>
      <c r="AS245" s="750">
        <f t="shared" ca="1" si="122"/>
        <v>0</v>
      </c>
      <c r="AT245" s="750">
        <f t="shared" ca="1" si="123"/>
        <v>0</v>
      </c>
      <c r="AU245" s="126">
        <f t="shared" ca="1" si="141"/>
        <v>1469.634119885447</v>
      </c>
      <c r="AV245" s="126">
        <f t="shared" ca="1" si="142"/>
        <v>16165.975318739915</v>
      </c>
      <c r="AW245" s="126">
        <f t="shared" ca="1" si="124"/>
        <v>10000</v>
      </c>
      <c r="AX245" s="750">
        <f t="shared" ca="1" si="143"/>
        <v>0</v>
      </c>
      <c r="AY245" s="750">
        <f t="shared" ca="1" si="144"/>
        <v>1469.634119885447</v>
      </c>
      <c r="AZ245">
        <f t="shared" si="145"/>
        <v>5750</v>
      </c>
    </row>
    <row r="246" spans="4:52">
      <c r="D246">
        <v>239</v>
      </c>
      <c r="E246" s="6">
        <f t="shared" ca="1" si="146"/>
        <v>45505</v>
      </c>
      <c r="F246" s="7">
        <f t="shared" ca="1" si="125"/>
        <v>1.0506249999999999</v>
      </c>
      <c r="G246" s="125">
        <f ca="1">IF('Simulador - 1º Pilar'!$E$99="Sí",IF('Aportaciones PPE'!$B$13&lt;'Aportaciones PPE'!E246,0,F246*$B$8/12),F246*$B$8/12)</f>
        <v>18385.937499999996</v>
      </c>
      <c r="H246" s="125">
        <f t="shared" ca="1" si="115"/>
        <v>919.29687499999989</v>
      </c>
      <c r="I246" s="125">
        <f t="shared" ca="1" si="126"/>
        <v>0</v>
      </c>
      <c r="J246" s="125">
        <f t="shared" ca="1" si="127"/>
        <v>0</v>
      </c>
      <c r="K246" s="125">
        <f t="shared" ca="1" si="128"/>
        <v>1363.7744132163837</v>
      </c>
      <c r="L246" s="125">
        <f t="shared" ca="1" si="147"/>
        <v>0</v>
      </c>
      <c r="M246" s="125">
        <f t="shared" ca="1" si="129"/>
        <v>0</v>
      </c>
      <c r="N246" s="125">
        <f t="shared" ca="1" si="130"/>
        <v>1363.7744132163837</v>
      </c>
      <c r="R246">
        <f t="shared" si="148"/>
        <v>239</v>
      </c>
      <c r="U246" s="55"/>
      <c r="V246">
        <f t="shared" si="149"/>
        <v>12</v>
      </c>
      <c r="W246">
        <f t="shared" ca="1" si="150"/>
        <v>2043</v>
      </c>
      <c r="X246" s="123">
        <f t="shared" ca="1" si="131"/>
        <v>52566</v>
      </c>
      <c r="Y246" s="64">
        <f t="shared" ca="1" si="132"/>
        <v>0</v>
      </c>
      <c r="Z246" s="64">
        <f t="shared" ca="1" si="133"/>
        <v>1469.634119885447</v>
      </c>
      <c r="AA246" s="64">
        <f t="shared" ca="1" si="134"/>
        <v>0</v>
      </c>
      <c r="AB246" s="64">
        <f t="shared" ca="1" si="135"/>
        <v>1489.204867617505</v>
      </c>
      <c r="AF246" t="str">
        <f t="shared" ca="1" si="116"/>
        <v>82024</v>
      </c>
      <c r="AG246" s="126">
        <f t="shared" ca="1" si="117"/>
        <v>0</v>
      </c>
      <c r="AH246" s="126">
        <f t="shared" ca="1" si="118"/>
        <v>0</v>
      </c>
      <c r="AI246" s="126">
        <f t="shared" ca="1" si="119"/>
        <v>919.29687499999989</v>
      </c>
      <c r="AJ246" t="str">
        <f t="shared" ca="1" si="120"/>
        <v>122043</v>
      </c>
      <c r="AK246" s="126">
        <f t="shared" ca="1" si="136"/>
        <v>0</v>
      </c>
      <c r="AL246" s="126">
        <f t="shared" ca="1" si="137"/>
        <v>0</v>
      </c>
      <c r="AM246" s="126">
        <f t="shared" ca="1" si="151"/>
        <v>0</v>
      </c>
      <c r="AN246" s="753">
        <f t="shared" ca="1" si="152"/>
        <v>0</v>
      </c>
      <c r="AO246" s="750">
        <f t="shared" ca="1" si="138"/>
        <v>0</v>
      </c>
      <c r="AP246" s="126">
        <f t="shared" ca="1" si="139"/>
        <v>0</v>
      </c>
      <c r="AQ246" s="126">
        <f t="shared" ca="1" si="140"/>
        <v>0</v>
      </c>
      <c r="AR246" s="126">
        <f t="shared" ca="1" si="121"/>
        <v>10000</v>
      </c>
      <c r="AS246" s="750">
        <f t="shared" ca="1" si="122"/>
        <v>0</v>
      </c>
      <c r="AT246" s="750">
        <f t="shared" ca="1" si="123"/>
        <v>0</v>
      </c>
      <c r="AU246" s="126">
        <f t="shared" ca="1" si="141"/>
        <v>1469.634119885447</v>
      </c>
      <c r="AV246" s="126">
        <f t="shared" ca="1" si="142"/>
        <v>17635.609438625361</v>
      </c>
      <c r="AW246" s="126">
        <f t="shared" ca="1" si="124"/>
        <v>10000</v>
      </c>
      <c r="AX246" s="750">
        <f t="shared" ca="1" si="143"/>
        <v>0</v>
      </c>
      <c r="AY246" s="750">
        <f t="shared" ca="1" si="144"/>
        <v>1469.634119885447</v>
      </c>
      <c r="AZ246">
        <f t="shared" si="145"/>
        <v>5750</v>
      </c>
    </row>
    <row r="247" spans="4:52">
      <c r="D247">
        <v>240</v>
      </c>
      <c r="E247" s="6">
        <f t="shared" ca="1" si="146"/>
        <v>45474</v>
      </c>
      <c r="F247" s="7">
        <f t="shared" ca="1" si="125"/>
        <v>1.0506249999999999</v>
      </c>
      <c r="G247" s="125">
        <f ca="1">IF('Simulador - 1º Pilar'!$E$99="Sí",IF('Aportaciones PPE'!$B$13&lt;'Aportaciones PPE'!E247,0,F247*$B$8/12),F247*$B$8/12)</f>
        <v>18385.937499999996</v>
      </c>
      <c r="H247" s="125">
        <f t="shared" ca="1" si="115"/>
        <v>919.29687499999989</v>
      </c>
      <c r="I247" s="125">
        <f t="shared" ca="1" si="126"/>
        <v>0</v>
      </c>
      <c r="J247" s="125">
        <f t="shared" ca="1" si="127"/>
        <v>0</v>
      </c>
      <c r="K247" s="125">
        <f t="shared" ca="1" si="128"/>
        <v>1366.0267975372885</v>
      </c>
      <c r="L247" s="125">
        <f t="shared" ca="1" si="147"/>
        <v>0</v>
      </c>
      <c r="M247" s="125">
        <f t="shared" ca="1" si="129"/>
        <v>0</v>
      </c>
      <c r="N247" s="125">
        <f t="shared" ca="1" si="130"/>
        <v>1366.0267975372885</v>
      </c>
      <c r="R247">
        <f t="shared" si="148"/>
        <v>240</v>
      </c>
      <c r="U247" s="55"/>
      <c r="V247">
        <f t="shared" si="149"/>
        <v>1</v>
      </c>
      <c r="W247">
        <f t="shared" ca="1" si="150"/>
        <v>2044</v>
      </c>
      <c r="X247" s="123">
        <f t="shared" ca="1" si="131"/>
        <v>52597</v>
      </c>
      <c r="Y247" s="64">
        <f t="shared" ca="1" si="132"/>
        <v>1506.3749728825833</v>
      </c>
      <c r="Z247" s="64">
        <f t="shared" ca="1" si="133"/>
        <v>0</v>
      </c>
      <c r="AA247" s="64">
        <f t="shared" ca="1" si="134"/>
        <v>1523.8716406364929</v>
      </c>
      <c r="AB247" s="64">
        <f t="shared" ca="1" si="135"/>
        <v>0</v>
      </c>
      <c r="AF247" t="str">
        <f t="shared" ca="1" si="116"/>
        <v>72024</v>
      </c>
      <c r="AG247" s="126">
        <f t="shared" ca="1" si="117"/>
        <v>0</v>
      </c>
      <c r="AH247" s="126">
        <f t="shared" ca="1" si="118"/>
        <v>0</v>
      </c>
      <c r="AI247" s="126">
        <f t="shared" ca="1" si="119"/>
        <v>919.29687499999989</v>
      </c>
      <c r="AJ247" t="str">
        <f t="shared" ca="1" si="120"/>
        <v>12044</v>
      </c>
      <c r="AK247" s="126">
        <f t="shared" ca="1" si="136"/>
        <v>0</v>
      </c>
      <c r="AL247" s="126">
        <f t="shared" ca="1" si="137"/>
        <v>0</v>
      </c>
      <c r="AM247" s="126">
        <f t="shared" ca="1" si="151"/>
        <v>0</v>
      </c>
      <c r="AN247" s="753">
        <f t="shared" ca="1" si="152"/>
        <v>0</v>
      </c>
      <c r="AO247" s="750">
        <f t="shared" ca="1" si="138"/>
        <v>0</v>
      </c>
      <c r="AP247" s="126">
        <f t="shared" ca="1" si="139"/>
        <v>0</v>
      </c>
      <c r="AQ247" s="126">
        <f t="shared" ca="1" si="140"/>
        <v>0</v>
      </c>
      <c r="AR247" s="126">
        <f t="shared" ca="1" si="121"/>
        <v>10000</v>
      </c>
      <c r="AS247" s="750">
        <f t="shared" ca="1" si="122"/>
        <v>0</v>
      </c>
      <c r="AT247" s="750">
        <f t="shared" ca="1" si="123"/>
        <v>0</v>
      </c>
      <c r="AU247" s="126">
        <f t="shared" ca="1" si="141"/>
        <v>1506.3749728825833</v>
      </c>
      <c r="AV247" s="126">
        <f t="shared" ca="1" si="142"/>
        <v>1506.3749728825833</v>
      </c>
      <c r="AW247" s="126">
        <f t="shared" ca="1" si="124"/>
        <v>10000</v>
      </c>
      <c r="AX247" s="750">
        <f t="shared" ca="1" si="143"/>
        <v>1506.3749728825833</v>
      </c>
      <c r="AY247" s="750">
        <f t="shared" ca="1" si="144"/>
        <v>0</v>
      </c>
      <c r="AZ247">
        <f t="shared" si="145"/>
        <v>5750</v>
      </c>
    </row>
    <row r="248" spans="4:52">
      <c r="D248">
        <v>241</v>
      </c>
      <c r="E248" s="6">
        <f t="shared" ca="1" si="146"/>
        <v>45444</v>
      </c>
      <c r="F248" s="7">
        <f t="shared" ca="1" si="125"/>
        <v>1.0506249999999999</v>
      </c>
      <c r="G248" s="125">
        <f ca="1">IF('Simulador - 1º Pilar'!$E$99="Sí",IF('Aportaciones PPE'!$B$13&lt;'Aportaciones PPE'!E248,0,F248*$B$8/12),F248*$B$8/12)</f>
        <v>18385.937499999996</v>
      </c>
      <c r="H248" s="125">
        <f t="shared" ca="1" si="115"/>
        <v>919.29687499999989</v>
      </c>
      <c r="I248" s="125">
        <f t="shared" ca="1" si="126"/>
        <v>0</v>
      </c>
      <c r="J248" s="125">
        <f t="shared" ca="1" si="127"/>
        <v>0</v>
      </c>
      <c r="K248" s="125">
        <f t="shared" ca="1" si="128"/>
        <v>1368.2829018540235</v>
      </c>
      <c r="L248" s="125">
        <f t="shared" ca="1" si="147"/>
        <v>0</v>
      </c>
      <c r="M248" s="125">
        <f t="shared" ca="1" si="129"/>
        <v>0</v>
      </c>
      <c r="N248" s="125">
        <f t="shared" ca="1" si="130"/>
        <v>1368.2829018540235</v>
      </c>
      <c r="R248">
        <f t="shared" si="148"/>
        <v>241</v>
      </c>
      <c r="U248" s="55"/>
      <c r="V248">
        <f t="shared" si="149"/>
        <v>2</v>
      </c>
      <c r="W248">
        <f t="shared" ca="1" si="150"/>
        <v>2044</v>
      </c>
      <c r="X248" s="123">
        <f t="shared" ca="1" si="131"/>
        <v>52628</v>
      </c>
      <c r="Y248" s="64">
        <f t="shared" ca="1" si="132"/>
        <v>1506.3749728825833</v>
      </c>
      <c r="Z248" s="64">
        <f t="shared" ca="1" si="133"/>
        <v>0</v>
      </c>
      <c r="AA248" s="64">
        <f t="shared" ca="1" si="134"/>
        <v>1521.3125966072046</v>
      </c>
      <c r="AB248" s="64">
        <f t="shared" ca="1" si="135"/>
        <v>0</v>
      </c>
      <c r="AF248" t="str">
        <f t="shared" ca="1" si="116"/>
        <v>62024</v>
      </c>
      <c r="AG248" s="126">
        <f t="shared" ca="1" si="117"/>
        <v>0</v>
      </c>
      <c r="AH248" s="126">
        <f t="shared" ca="1" si="118"/>
        <v>0</v>
      </c>
      <c r="AI248" s="126">
        <f t="shared" ca="1" si="119"/>
        <v>919.29687499999989</v>
      </c>
      <c r="AJ248" t="str">
        <f t="shared" ca="1" si="120"/>
        <v>22044</v>
      </c>
      <c r="AK248" s="126">
        <f t="shared" ca="1" si="136"/>
        <v>0</v>
      </c>
      <c r="AL248" s="126">
        <f t="shared" ca="1" si="137"/>
        <v>0</v>
      </c>
      <c r="AM248" s="126">
        <f t="shared" ca="1" si="151"/>
        <v>0</v>
      </c>
      <c r="AN248" s="753">
        <f t="shared" ca="1" si="152"/>
        <v>0</v>
      </c>
      <c r="AO248" s="750">
        <f t="shared" ca="1" si="138"/>
        <v>0</v>
      </c>
      <c r="AP248" s="126">
        <f t="shared" ca="1" si="139"/>
        <v>0</v>
      </c>
      <c r="AQ248" s="126">
        <f t="shared" ca="1" si="140"/>
        <v>0</v>
      </c>
      <c r="AR248" s="126">
        <f t="shared" ca="1" si="121"/>
        <v>10000</v>
      </c>
      <c r="AS248" s="750">
        <f t="shared" ca="1" si="122"/>
        <v>0</v>
      </c>
      <c r="AT248" s="750">
        <f t="shared" ca="1" si="123"/>
        <v>0</v>
      </c>
      <c r="AU248" s="126">
        <f t="shared" ca="1" si="141"/>
        <v>1506.3749728825833</v>
      </c>
      <c r="AV248" s="126">
        <f t="shared" ca="1" si="142"/>
        <v>3012.7499457651666</v>
      </c>
      <c r="AW248" s="126">
        <f t="shared" ca="1" si="124"/>
        <v>10000</v>
      </c>
      <c r="AX248" s="750">
        <f t="shared" ca="1" si="143"/>
        <v>1506.3749728825833</v>
      </c>
      <c r="AY248" s="750">
        <f t="shared" ca="1" si="144"/>
        <v>0</v>
      </c>
      <c r="AZ248">
        <f t="shared" si="145"/>
        <v>5750</v>
      </c>
    </row>
    <row r="249" spans="4:52">
      <c r="D249">
        <v>242</v>
      </c>
      <c r="E249" s="6">
        <f t="shared" ca="1" si="146"/>
        <v>45413</v>
      </c>
      <c r="F249" s="7">
        <f t="shared" ca="1" si="125"/>
        <v>1.0506249999999999</v>
      </c>
      <c r="G249" s="125">
        <f ca="1">IF('Simulador - 1º Pilar'!$E$99="Sí",IF('Aportaciones PPE'!$B$13&lt;'Aportaciones PPE'!E249,0,F249*$B$8/12),F249*$B$8/12)</f>
        <v>18385.937499999996</v>
      </c>
      <c r="H249" s="125">
        <f t="shared" ca="1" si="115"/>
        <v>919.29687499999989</v>
      </c>
      <c r="I249" s="125">
        <f t="shared" ca="1" si="126"/>
        <v>0</v>
      </c>
      <c r="J249" s="125">
        <f t="shared" ca="1" si="127"/>
        <v>0</v>
      </c>
      <c r="K249" s="125">
        <f t="shared" ca="1" si="128"/>
        <v>1370.5427323104627</v>
      </c>
      <c r="L249" s="125">
        <f t="shared" ca="1" si="147"/>
        <v>0</v>
      </c>
      <c r="M249" s="125">
        <f t="shared" ca="1" si="129"/>
        <v>0</v>
      </c>
      <c r="N249" s="125">
        <f t="shared" ca="1" si="130"/>
        <v>1370.5427323104627</v>
      </c>
      <c r="R249">
        <f t="shared" si="148"/>
        <v>242</v>
      </c>
      <c r="U249" s="55"/>
      <c r="V249">
        <f t="shared" si="149"/>
        <v>3</v>
      </c>
      <c r="W249">
        <f t="shared" ca="1" si="150"/>
        <v>2044</v>
      </c>
      <c r="X249" s="123">
        <f t="shared" ca="1" si="131"/>
        <v>52657</v>
      </c>
      <c r="Y249" s="64">
        <f t="shared" ca="1" si="132"/>
        <v>1506.3749728825833</v>
      </c>
      <c r="Z249" s="64">
        <f t="shared" ca="1" si="133"/>
        <v>0</v>
      </c>
      <c r="AA249" s="64">
        <f t="shared" ca="1" si="134"/>
        <v>1518.9225428115469</v>
      </c>
      <c r="AB249" s="64">
        <f t="shared" ca="1" si="135"/>
        <v>0</v>
      </c>
      <c r="AF249" t="str">
        <f t="shared" ca="1" si="116"/>
        <v>52024</v>
      </c>
      <c r="AG249" s="126">
        <f t="shared" ca="1" si="117"/>
        <v>0</v>
      </c>
      <c r="AH249" s="126">
        <f t="shared" ca="1" si="118"/>
        <v>0</v>
      </c>
      <c r="AI249" s="126">
        <f t="shared" ca="1" si="119"/>
        <v>919.29687499999989</v>
      </c>
      <c r="AJ249" t="str">
        <f t="shared" ca="1" si="120"/>
        <v>32044</v>
      </c>
      <c r="AK249" s="126">
        <f t="shared" ca="1" si="136"/>
        <v>0</v>
      </c>
      <c r="AL249" s="126">
        <f t="shared" ca="1" si="137"/>
        <v>0</v>
      </c>
      <c r="AM249" s="126">
        <f t="shared" ca="1" si="151"/>
        <v>0</v>
      </c>
      <c r="AN249" s="753">
        <f t="shared" ca="1" si="152"/>
        <v>0</v>
      </c>
      <c r="AO249" s="750">
        <f t="shared" ca="1" si="138"/>
        <v>0</v>
      </c>
      <c r="AP249" s="126">
        <f t="shared" ca="1" si="139"/>
        <v>0</v>
      </c>
      <c r="AQ249" s="126">
        <f t="shared" ca="1" si="140"/>
        <v>0</v>
      </c>
      <c r="AR249" s="126">
        <f t="shared" ca="1" si="121"/>
        <v>10000</v>
      </c>
      <c r="AS249" s="750">
        <f t="shared" ca="1" si="122"/>
        <v>0</v>
      </c>
      <c r="AT249" s="750">
        <f t="shared" ca="1" si="123"/>
        <v>0</v>
      </c>
      <c r="AU249" s="126">
        <f t="shared" ca="1" si="141"/>
        <v>1506.3749728825833</v>
      </c>
      <c r="AV249" s="126">
        <f t="shared" ca="1" si="142"/>
        <v>4519.1249186477498</v>
      </c>
      <c r="AW249" s="126">
        <f t="shared" ca="1" si="124"/>
        <v>10000</v>
      </c>
      <c r="AX249" s="750">
        <f t="shared" ca="1" si="143"/>
        <v>1506.3749728825833</v>
      </c>
      <c r="AY249" s="750">
        <f t="shared" ca="1" si="144"/>
        <v>0</v>
      </c>
      <c r="AZ249">
        <f t="shared" si="145"/>
        <v>5750</v>
      </c>
    </row>
    <row r="250" spans="4:52">
      <c r="D250">
        <v>243</v>
      </c>
      <c r="E250" s="6">
        <f t="shared" ca="1" si="146"/>
        <v>45383</v>
      </c>
      <c r="F250" s="7">
        <f t="shared" ca="1" si="125"/>
        <v>1.0506249999999999</v>
      </c>
      <c r="G250" s="125">
        <f ca="1">IF('Simulador - 1º Pilar'!$E$99="Sí",IF('Aportaciones PPE'!$B$13&lt;'Aportaciones PPE'!E250,0,F250*$B$8/12),F250*$B$8/12)</f>
        <v>18385.937499999996</v>
      </c>
      <c r="H250" s="125">
        <f t="shared" ca="1" si="115"/>
        <v>919.29687499999989</v>
      </c>
      <c r="I250" s="125">
        <f t="shared" ca="1" si="126"/>
        <v>0</v>
      </c>
      <c r="J250" s="125">
        <f t="shared" ca="1" si="127"/>
        <v>0</v>
      </c>
      <c r="K250" s="125">
        <f t="shared" ca="1" si="128"/>
        <v>1372.8062950606293</v>
      </c>
      <c r="L250" s="125">
        <f t="shared" ca="1" si="147"/>
        <v>0</v>
      </c>
      <c r="M250" s="125">
        <f t="shared" ca="1" si="129"/>
        <v>0</v>
      </c>
      <c r="N250" s="125">
        <f t="shared" ca="1" si="130"/>
        <v>1372.8062950606293</v>
      </c>
      <c r="R250">
        <f t="shared" si="148"/>
        <v>243</v>
      </c>
      <c r="U250" s="55"/>
      <c r="V250">
        <f t="shared" si="149"/>
        <v>4</v>
      </c>
      <c r="W250">
        <f t="shared" ca="1" si="150"/>
        <v>2044</v>
      </c>
      <c r="X250" s="123">
        <f t="shared" ca="1" si="131"/>
        <v>52688</v>
      </c>
      <c r="Y250" s="64">
        <f t="shared" ca="1" si="132"/>
        <v>1506.3749728825833</v>
      </c>
      <c r="Z250" s="64">
        <f t="shared" ca="1" si="133"/>
        <v>0</v>
      </c>
      <c r="AA250" s="64">
        <f t="shared" ca="1" si="134"/>
        <v>1516.3718098229663</v>
      </c>
      <c r="AB250" s="64">
        <f t="shared" ca="1" si="135"/>
        <v>0</v>
      </c>
      <c r="AF250" t="str">
        <f t="shared" ca="1" si="116"/>
        <v>42024</v>
      </c>
      <c r="AG250" s="126">
        <f t="shared" ca="1" si="117"/>
        <v>0</v>
      </c>
      <c r="AH250" s="126">
        <f t="shared" ca="1" si="118"/>
        <v>0</v>
      </c>
      <c r="AI250" s="126">
        <f t="shared" ca="1" si="119"/>
        <v>919.29687499999989</v>
      </c>
      <c r="AJ250" t="str">
        <f t="shared" ca="1" si="120"/>
        <v>42044</v>
      </c>
      <c r="AK250" s="126">
        <f t="shared" ca="1" si="136"/>
        <v>0</v>
      </c>
      <c r="AL250" s="126">
        <f t="shared" ca="1" si="137"/>
        <v>0</v>
      </c>
      <c r="AM250" s="126">
        <f t="shared" ca="1" si="151"/>
        <v>0</v>
      </c>
      <c r="AN250" s="753">
        <f t="shared" ca="1" si="152"/>
        <v>0</v>
      </c>
      <c r="AO250" s="750">
        <f t="shared" ca="1" si="138"/>
        <v>0</v>
      </c>
      <c r="AP250" s="126">
        <f t="shared" ca="1" si="139"/>
        <v>0</v>
      </c>
      <c r="AQ250" s="126">
        <f t="shared" ca="1" si="140"/>
        <v>0</v>
      </c>
      <c r="AR250" s="126">
        <f t="shared" ca="1" si="121"/>
        <v>10000</v>
      </c>
      <c r="AS250" s="750">
        <f t="shared" ca="1" si="122"/>
        <v>0</v>
      </c>
      <c r="AT250" s="750">
        <f t="shared" ca="1" si="123"/>
        <v>0</v>
      </c>
      <c r="AU250" s="126">
        <f t="shared" ca="1" si="141"/>
        <v>1506.3749728825833</v>
      </c>
      <c r="AV250" s="126">
        <f t="shared" ca="1" si="142"/>
        <v>6025.4998915303331</v>
      </c>
      <c r="AW250" s="126">
        <f t="shared" ca="1" si="124"/>
        <v>10000</v>
      </c>
      <c r="AX250" s="750">
        <f t="shared" ca="1" si="143"/>
        <v>1506.3749728825833</v>
      </c>
      <c r="AY250" s="750">
        <f t="shared" ca="1" si="144"/>
        <v>0</v>
      </c>
      <c r="AZ250">
        <f t="shared" si="145"/>
        <v>5750</v>
      </c>
    </row>
    <row r="251" spans="4:52">
      <c r="D251">
        <v>244</v>
      </c>
      <c r="E251" s="6">
        <f t="shared" ca="1" si="146"/>
        <v>45352</v>
      </c>
      <c r="F251" s="7">
        <f t="shared" ca="1" si="125"/>
        <v>1.0506249999999999</v>
      </c>
      <c r="G251" s="125">
        <f ca="1">IF('Simulador - 1º Pilar'!$E$99="Sí",IF('Aportaciones PPE'!$B$13&lt;'Aportaciones PPE'!E251,0,F251*$B$8/12),F251*$B$8/12)</f>
        <v>18385.937499999996</v>
      </c>
      <c r="H251" s="125">
        <f t="shared" ca="1" si="115"/>
        <v>919.29687499999989</v>
      </c>
      <c r="I251" s="125">
        <f t="shared" ca="1" si="126"/>
        <v>0</v>
      </c>
      <c r="J251" s="125">
        <f t="shared" ca="1" si="127"/>
        <v>0</v>
      </c>
      <c r="K251" s="125">
        <f t="shared" ca="1" si="128"/>
        <v>1375.0735962687097</v>
      </c>
      <c r="L251" s="125">
        <f t="shared" ca="1" si="147"/>
        <v>0</v>
      </c>
      <c r="M251" s="125">
        <f t="shared" ca="1" si="129"/>
        <v>0</v>
      </c>
      <c r="N251" s="125">
        <f t="shared" ca="1" si="130"/>
        <v>1375.0735962687097</v>
      </c>
      <c r="R251">
        <f t="shared" si="148"/>
        <v>244</v>
      </c>
      <c r="U251" s="55"/>
      <c r="V251">
        <f t="shared" si="149"/>
        <v>5</v>
      </c>
      <c r="W251">
        <f t="shared" ca="1" si="150"/>
        <v>2044</v>
      </c>
      <c r="X251" s="123">
        <f t="shared" ca="1" si="131"/>
        <v>52718</v>
      </c>
      <c r="Y251" s="64">
        <f t="shared" ca="1" si="132"/>
        <v>1506.3749728825833</v>
      </c>
      <c r="Z251" s="64">
        <f t="shared" ca="1" si="133"/>
        <v>0</v>
      </c>
      <c r="AA251" s="64">
        <f t="shared" ca="1" si="134"/>
        <v>1513.9074370385804</v>
      </c>
      <c r="AB251" s="64">
        <f t="shared" ca="1" si="135"/>
        <v>0</v>
      </c>
      <c r="AF251" t="str">
        <f t="shared" ca="1" si="116"/>
        <v>32024</v>
      </c>
      <c r="AG251" s="126">
        <f t="shared" ca="1" si="117"/>
        <v>0</v>
      </c>
      <c r="AH251" s="126">
        <f t="shared" ca="1" si="118"/>
        <v>0</v>
      </c>
      <c r="AI251" s="126">
        <f t="shared" ca="1" si="119"/>
        <v>919.29687499999989</v>
      </c>
      <c r="AJ251" t="str">
        <f t="shared" ca="1" si="120"/>
        <v>52044</v>
      </c>
      <c r="AK251" s="126">
        <f t="shared" ca="1" si="136"/>
        <v>0</v>
      </c>
      <c r="AL251" s="126">
        <f t="shared" ca="1" si="137"/>
        <v>0</v>
      </c>
      <c r="AM251" s="126">
        <f t="shared" ca="1" si="151"/>
        <v>0</v>
      </c>
      <c r="AN251" s="753">
        <f t="shared" ca="1" si="152"/>
        <v>0</v>
      </c>
      <c r="AO251" s="750">
        <f t="shared" ca="1" si="138"/>
        <v>0</v>
      </c>
      <c r="AP251" s="126">
        <f t="shared" ca="1" si="139"/>
        <v>0</v>
      </c>
      <c r="AQ251" s="126">
        <f t="shared" ca="1" si="140"/>
        <v>0</v>
      </c>
      <c r="AR251" s="126">
        <f t="shared" ca="1" si="121"/>
        <v>10000</v>
      </c>
      <c r="AS251" s="750">
        <f t="shared" ca="1" si="122"/>
        <v>0</v>
      </c>
      <c r="AT251" s="750">
        <f t="shared" ca="1" si="123"/>
        <v>0</v>
      </c>
      <c r="AU251" s="126">
        <f t="shared" ca="1" si="141"/>
        <v>1506.3749728825833</v>
      </c>
      <c r="AV251" s="126">
        <f t="shared" ca="1" si="142"/>
        <v>7531.8748644129164</v>
      </c>
      <c r="AW251" s="126">
        <f t="shared" ca="1" si="124"/>
        <v>10000</v>
      </c>
      <c r="AX251" s="750">
        <f t="shared" ca="1" si="143"/>
        <v>1506.3749728825833</v>
      </c>
      <c r="AY251" s="750">
        <f t="shared" ca="1" si="144"/>
        <v>0</v>
      </c>
      <c r="AZ251">
        <f t="shared" si="145"/>
        <v>5750</v>
      </c>
    </row>
    <row r="252" spans="4:52">
      <c r="D252">
        <v>245</v>
      </c>
      <c r="E252" s="6">
        <f t="shared" ca="1" si="146"/>
        <v>45323</v>
      </c>
      <c r="F252" s="7">
        <f t="shared" ca="1" si="125"/>
        <v>1.0506249999999999</v>
      </c>
      <c r="G252" s="125">
        <f ca="1">IF('Simulador - 1º Pilar'!$E$99="Sí",IF('Aportaciones PPE'!$B$13&lt;'Aportaciones PPE'!E252,0,F252*$B$8/12),F252*$B$8/12)</f>
        <v>18385.937499999996</v>
      </c>
      <c r="H252" s="125">
        <f t="shared" ca="1" si="115"/>
        <v>919.29687499999989</v>
      </c>
      <c r="I252" s="125">
        <f t="shared" ca="1" si="126"/>
        <v>0</v>
      </c>
      <c r="J252" s="125">
        <f t="shared" ca="1" si="127"/>
        <v>0</v>
      </c>
      <c r="K252" s="125">
        <f t="shared" ca="1" si="128"/>
        <v>1377.3446421090714</v>
      </c>
      <c r="L252" s="125">
        <f t="shared" ca="1" si="147"/>
        <v>0</v>
      </c>
      <c r="M252" s="125">
        <f t="shared" ca="1" si="129"/>
        <v>0</v>
      </c>
      <c r="N252" s="125">
        <f t="shared" ca="1" si="130"/>
        <v>1377.3446421090714</v>
      </c>
      <c r="R252">
        <f t="shared" si="148"/>
        <v>245</v>
      </c>
      <c r="U252" s="55"/>
      <c r="V252">
        <f t="shared" si="149"/>
        <v>6</v>
      </c>
      <c r="W252">
        <f t="shared" ca="1" si="150"/>
        <v>2044</v>
      </c>
      <c r="X252" s="123">
        <f t="shared" ca="1" si="131"/>
        <v>52749</v>
      </c>
      <c r="Y252" s="64">
        <f t="shared" ca="1" si="132"/>
        <v>1506.3749728825833</v>
      </c>
      <c r="Z252" s="64">
        <f t="shared" ca="1" si="133"/>
        <v>0</v>
      </c>
      <c r="AA252" s="64">
        <f t="shared" ca="1" si="134"/>
        <v>1511.3651259381315</v>
      </c>
      <c r="AB252" s="64">
        <f t="shared" ca="1" si="135"/>
        <v>0</v>
      </c>
      <c r="AF252" t="str">
        <f t="shared" ca="1" si="116"/>
        <v>22024</v>
      </c>
      <c r="AG252" s="126">
        <f t="shared" ca="1" si="117"/>
        <v>0</v>
      </c>
      <c r="AH252" s="126">
        <f t="shared" ca="1" si="118"/>
        <v>0</v>
      </c>
      <c r="AI252" s="126">
        <f t="shared" ca="1" si="119"/>
        <v>919.29687499999989</v>
      </c>
      <c r="AJ252" t="str">
        <f t="shared" ca="1" si="120"/>
        <v>62044</v>
      </c>
      <c r="AK252" s="126">
        <f t="shared" ca="1" si="136"/>
        <v>0</v>
      </c>
      <c r="AL252" s="126">
        <f t="shared" ca="1" si="137"/>
        <v>0</v>
      </c>
      <c r="AM252" s="126">
        <f t="shared" ca="1" si="151"/>
        <v>0</v>
      </c>
      <c r="AN252" s="753">
        <f t="shared" ca="1" si="152"/>
        <v>0</v>
      </c>
      <c r="AO252" s="750">
        <f t="shared" ca="1" si="138"/>
        <v>0</v>
      </c>
      <c r="AP252" s="126">
        <f t="shared" ca="1" si="139"/>
        <v>0</v>
      </c>
      <c r="AQ252" s="126">
        <f t="shared" ca="1" si="140"/>
        <v>0</v>
      </c>
      <c r="AR252" s="126">
        <f t="shared" ca="1" si="121"/>
        <v>10000</v>
      </c>
      <c r="AS252" s="750">
        <f t="shared" ca="1" si="122"/>
        <v>0</v>
      </c>
      <c r="AT252" s="750">
        <f t="shared" ca="1" si="123"/>
        <v>0</v>
      </c>
      <c r="AU252" s="126">
        <f t="shared" ca="1" si="141"/>
        <v>1506.3749728825833</v>
      </c>
      <c r="AV252" s="126">
        <f t="shared" ca="1" si="142"/>
        <v>9038.2498372954997</v>
      </c>
      <c r="AW252" s="126">
        <f t="shared" ca="1" si="124"/>
        <v>10000</v>
      </c>
      <c r="AX252" s="750">
        <f t="shared" ca="1" si="143"/>
        <v>1506.3749728825833</v>
      </c>
      <c r="AY252" s="750">
        <f t="shared" ca="1" si="144"/>
        <v>0</v>
      </c>
      <c r="AZ252">
        <f t="shared" si="145"/>
        <v>5750</v>
      </c>
    </row>
    <row r="253" spans="4:52">
      <c r="D253">
        <v>246</v>
      </c>
      <c r="E253" s="6">
        <f t="shared" ca="1" si="146"/>
        <v>45292</v>
      </c>
      <c r="F253" s="7">
        <f t="shared" ca="1" si="125"/>
        <v>1.0506249999999999</v>
      </c>
      <c r="G253" s="125">
        <f ca="1">IF('Simulador - 1º Pilar'!$E$99="Sí",IF('Aportaciones PPE'!$B$13&lt;'Aportaciones PPE'!E253,0,F253*$B$8/12),F253*$B$8/12)</f>
        <v>18385.937499999996</v>
      </c>
      <c r="H253" s="125">
        <f t="shared" ca="1" si="115"/>
        <v>919.29687499999989</v>
      </c>
      <c r="I253" s="125">
        <f t="shared" ca="1" si="126"/>
        <v>0</v>
      </c>
      <c r="J253" s="125">
        <f t="shared" ca="1" si="127"/>
        <v>0</v>
      </c>
      <c r="K253" s="125">
        <f t="shared" ca="1" si="128"/>
        <v>1379.6194387662783</v>
      </c>
      <c r="L253" s="125">
        <f t="shared" ca="1" si="147"/>
        <v>0</v>
      </c>
      <c r="M253" s="125">
        <f t="shared" ca="1" si="129"/>
        <v>0</v>
      </c>
      <c r="N253" s="125">
        <f t="shared" ca="1" si="130"/>
        <v>1379.6194387662783</v>
      </c>
      <c r="R253">
        <f t="shared" si="148"/>
        <v>246</v>
      </c>
      <c r="U253" s="55"/>
      <c r="V253">
        <f t="shared" si="149"/>
        <v>7</v>
      </c>
      <c r="W253">
        <f t="shared" ca="1" si="150"/>
        <v>2044</v>
      </c>
      <c r="X253" s="123">
        <f t="shared" ca="1" si="131"/>
        <v>52779</v>
      </c>
      <c r="Y253" s="64">
        <f t="shared" ca="1" si="132"/>
        <v>961.75016270450033</v>
      </c>
      <c r="Z253" s="64">
        <f t="shared" ca="1" si="133"/>
        <v>544.62481017808295</v>
      </c>
      <c r="AA253" s="64">
        <f t="shared" ca="1" si="134"/>
        <v>963.36795053918001</v>
      </c>
      <c r="AB253" s="64">
        <f t="shared" ca="1" si="135"/>
        <v>545.54093936270726</v>
      </c>
      <c r="AF253" t="str">
        <f t="shared" ca="1" si="116"/>
        <v>12024</v>
      </c>
      <c r="AG253" s="126">
        <f t="shared" ca="1" si="117"/>
        <v>0</v>
      </c>
      <c r="AH253" s="126">
        <f t="shared" ca="1" si="118"/>
        <v>0</v>
      </c>
      <c r="AI253" s="126">
        <f t="shared" ca="1" si="119"/>
        <v>919.29687499999989</v>
      </c>
      <c r="AJ253" t="str">
        <f t="shared" ca="1" si="120"/>
        <v>72044</v>
      </c>
      <c r="AK253" s="126">
        <f t="shared" ca="1" si="136"/>
        <v>0</v>
      </c>
      <c r="AL253" s="126">
        <f t="shared" ca="1" si="137"/>
        <v>0</v>
      </c>
      <c r="AM253" s="126">
        <f t="shared" ca="1" si="151"/>
        <v>0</v>
      </c>
      <c r="AN253" s="753">
        <f t="shared" ca="1" si="152"/>
        <v>0</v>
      </c>
      <c r="AO253" s="750">
        <f t="shared" ca="1" si="138"/>
        <v>0</v>
      </c>
      <c r="AP253" s="126">
        <f t="shared" ca="1" si="139"/>
        <v>0</v>
      </c>
      <c r="AQ253" s="126">
        <f t="shared" ca="1" si="140"/>
        <v>0</v>
      </c>
      <c r="AR253" s="126">
        <f t="shared" ca="1" si="121"/>
        <v>10000</v>
      </c>
      <c r="AS253" s="750">
        <f t="shared" ca="1" si="122"/>
        <v>0</v>
      </c>
      <c r="AT253" s="750">
        <f t="shared" ca="1" si="123"/>
        <v>0</v>
      </c>
      <c r="AU253" s="126">
        <f t="shared" ca="1" si="141"/>
        <v>1506.3749728825833</v>
      </c>
      <c r="AV253" s="126">
        <f t="shared" ca="1" si="142"/>
        <v>10544.624810178084</v>
      </c>
      <c r="AW253" s="126">
        <f t="shared" ca="1" si="124"/>
        <v>10000</v>
      </c>
      <c r="AX253" s="750">
        <f t="shared" ca="1" si="143"/>
        <v>961.75016270450033</v>
      </c>
      <c r="AY253" s="750">
        <f t="shared" ca="1" si="144"/>
        <v>544.62481017808295</v>
      </c>
      <c r="AZ253">
        <f t="shared" si="145"/>
        <v>5750</v>
      </c>
    </row>
    <row r="254" spans="4:52">
      <c r="D254">
        <v>247</v>
      </c>
      <c r="E254" s="6">
        <f t="shared" ca="1" si="146"/>
        <v>45261</v>
      </c>
      <c r="F254" s="7">
        <f t="shared" ca="1" si="125"/>
        <v>1.0249999999999999</v>
      </c>
      <c r="G254" s="125">
        <f ca="1">IF('Simulador - 1º Pilar'!$E$99="Sí",IF('Aportaciones PPE'!$B$13&lt;'Aportaciones PPE'!E254,0,F254*$B$8/12),F254*$B$8/12)</f>
        <v>17937.499999999996</v>
      </c>
      <c r="H254" s="125">
        <f t="shared" ca="1" si="115"/>
        <v>896.87499999999989</v>
      </c>
      <c r="I254" s="125">
        <f t="shared" ca="1" si="126"/>
        <v>0</v>
      </c>
      <c r="J254" s="125">
        <f t="shared" ca="1" si="127"/>
        <v>0</v>
      </c>
      <c r="K254" s="125">
        <f t="shared" ca="1" si="128"/>
        <v>1348.1931633513273</v>
      </c>
      <c r="L254" s="125">
        <f t="shared" ca="1" si="147"/>
        <v>0</v>
      </c>
      <c r="M254" s="125">
        <f t="shared" ca="1" si="129"/>
        <v>0</v>
      </c>
      <c r="N254" s="125">
        <f t="shared" ca="1" si="130"/>
        <v>1348.1931633513273</v>
      </c>
      <c r="R254">
        <f t="shared" si="148"/>
        <v>247</v>
      </c>
      <c r="U254" s="55"/>
      <c r="V254">
        <f t="shared" si="149"/>
        <v>8</v>
      </c>
      <c r="W254">
        <f t="shared" ca="1" si="150"/>
        <v>2044</v>
      </c>
      <c r="X254" s="123">
        <f t="shared" ca="1" si="131"/>
        <v>52810</v>
      </c>
      <c r="Y254" s="64">
        <f t="shared" ca="1" si="132"/>
        <v>0</v>
      </c>
      <c r="Z254" s="64">
        <f t="shared" ca="1" si="133"/>
        <v>0</v>
      </c>
      <c r="AA254" s="64">
        <f t="shared" ca="1" si="134"/>
        <v>0</v>
      </c>
      <c r="AB254" s="64">
        <f t="shared" ca="1" si="135"/>
        <v>0</v>
      </c>
      <c r="AF254" t="str">
        <f t="shared" ca="1" si="116"/>
        <v>122023</v>
      </c>
      <c r="AG254" s="126">
        <f t="shared" ca="1" si="117"/>
        <v>0</v>
      </c>
      <c r="AH254" s="126">
        <f t="shared" ca="1" si="118"/>
        <v>0</v>
      </c>
      <c r="AI254" s="126">
        <f t="shared" ca="1" si="119"/>
        <v>896.87499999999989</v>
      </c>
      <c r="AJ254" t="str">
        <f t="shared" ca="1" si="120"/>
        <v>82044</v>
      </c>
      <c r="AK254" s="126">
        <f t="shared" ca="1" si="136"/>
        <v>0</v>
      </c>
      <c r="AL254" s="126">
        <f t="shared" ca="1" si="137"/>
        <v>0</v>
      </c>
      <c r="AM254" s="126">
        <f t="shared" ca="1" si="151"/>
        <v>0</v>
      </c>
      <c r="AN254" s="753">
        <f t="shared" ca="1" si="152"/>
        <v>0</v>
      </c>
      <c r="AO254" s="750">
        <f t="shared" ca="1" si="138"/>
        <v>0</v>
      </c>
      <c r="AP254" s="126">
        <f t="shared" ca="1" si="139"/>
        <v>0</v>
      </c>
      <c r="AQ254" s="126">
        <f t="shared" ca="1" si="140"/>
        <v>0</v>
      </c>
      <c r="AR254" s="126">
        <f t="shared" ca="1" si="121"/>
        <v>10000</v>
      </c>
      <c r="AS254" s="750">
        <f t="shared" ca="1" si="122"/>
        <v>0</v>
      </c>
      <c r="AT254" s="750">
        <f t="shared" ca="1" si="123"/>
        <v>0</v>
      </c>
      <c r="AU254" s="126">
        <f t="shared" ca="1" si="141"/>
        <v>0</v>
      </c>
      <c r="AV254" s="126">
        <f t="shared" ca="1" si="142"/>
        <v>10544.624810178084</v>
      </c>
      <c r="AW254" s="126">
        <f t="shared" ca="1" si="124"/>
        <v>10000</v>
      </c>
      <c r="AX254" s="750">
        <f t="shared" ca="1" si="143"/>
        <v>0</v>
      </c>
      <c r="AY254" s="750">
        <f t="shared" ca="1" si="144"/>
        <v>0</v>
      </c>
      <c r="AZ254">
        <f t="shared" si="145"/>
        <v>5750</v>
      </c>
    </row>
    <row r="255" spans="4:52">
      <c r="D255">
        <v>248</v>
      </c>
      <c r="E255" s="6">
        <f t="shared" ca="1" si="146"/>
        <v>45231</v>
      </c>
      <c r="F255" s="7">
        <f t="shared" ca="1" si="125"/>
        <v>1.0249999999999999</v>
      </c>
      <c r="G255" s="125">
        <f ca="1">IF('Simulador - 1º Pilar'!$E$99="Sí",IF('Aportaciones PPE'!$B$13&lt;'Aportaciones PPE'!E255,0,F255*$B$8/12),F255*$B$8/12)</f>
        <v>17937.499999999996</v>
      </c>
      <c r="H255" s="125">
        <f t="shared" ca="1" si="115"/>
        <v>896.87499999999989</v>
      </c>
      <c r="I255" s="125">
        <f t="shared" ca="1" si="126"/>
        <v>0</v>
      </c>
      <c r="J255" s="125">
        <f t="shared" ca="1" si="127"/>
        <v>0</v>
      </c>
      <c r="K255" s="125">
        <f t="shared" ca="1" si="128"/>
        <v>1350.4198139712951</v>
      </c>
      <c r="L255" s="125">
        <f t="shared" ca="1" si="147"/>
        <v>0</v>
      </c>
      <c r="M255" s="125">
        <f t="shared" ca="1" si="129"/>
        <v>0</v>
      </c>
      <c r="N255" s="125">
        <f t="shared" ca="1" si="130"/>
        <v>1350.4198139712951</v>
      </c>
      <c r="R255">
        <f t="shared" si="148"/>
        <v>248</v>
      </c>
      <c r="U255" s="55"/>
      <c r="V255">
        <f t="shared" si="149"/>
        <v>9</v>
      </c>
      <c r="W255">
        <f t="shared" ca="1" si="150"/>
        <v>2044</v>
      </c>
      <c r="X255" s="123">
        <f t="shared" ca="1" si="131"/>
        <v>52841</v>
      </c>
      <c r="Y255" s="64">
        <f t="shared" ca="1" si="132"/>
        <v>0</v>
      </c>
      <c r="Z255" s="64">
        <f t="shared" ca="1" si="133"/>
        <v>0</v>
      </c>
      <c r="AA255" s="64">
        <f t="shared" ca="1" si="134"/>
        <v>0</v>
      </c>
      <c r="AB255" s="64">
        <f t="shared" ca="1" si="135"/>
        <v>0</v>
      </c>
      <c r="AF255" t="str">
        <f t="shared" ca="1" si="116"/>
        <v>112023</v>
      </c>
      <c r="AG255" s="126">
        <f t="shared" ca="1" si="117"/>
        <v>0</v>
      </c>
      <c r="AH255" s="126">
        <f t="shared" ca="1" si="118"/>
        <v>0</v>
      </c>
      <c r="AI255" s="126">
        <f t="shared" ca="1" si="119"/>
        <v>896.87499999999989</v>
      </c>
      <c r="AJ255" t="str">
        <f t="shared" ca="1" si="120"/>
        <v>92044</v>
      </c>
      <c r="AK255" s="126">
        <f t="shared" ca="1" si="136"/>
        <v>0</v>
      </c>
      <c r="AL255" s="126">
        <f t="shared" ca="1" si="137"/>
        <v>0</v>
      </c>
      <c r="AM255" s="126">
        <f t="shared" ca="1" si="151"/>
        <v>0</v>
      </c>
      <c r="AN255" s="753">
        <f t="shared" ca="1" si="152"/>
        <v>0</v>
      </c>
      <c r="AO255" s="750">
        <f t="shared" ca="1" si="138"/>
        <v>0</v>
      </c>
      <c r="AP255" s="126">
        <f t="shared" ca="1" si="139"/>
        <v>0</v>
      </c>
      <c r="AQ255" s="126">
        <f t="shared" ca="1" si="140"/>
        <v>0</v>
      </c>
      <c r="AR255" s="126">
        <f t="shared" ca="1" si="121"/>
        <v>10000</v>
      </c>
      <c r="AS255" s="750">
        <f t="shared" ca="1" si="122"/>
        <v>0</v>
      </c>
      <c r="AT255" s="750">
        <f t="shared" ca="1" si="123"/>
        <v>0</v>
      </c>
      <c r="AU255" s="126">
        <f t="shared" ca="1" si="141"/>
        <v>0</v>
      </c>
      <c r="AV255" s="126">
        <f t="shared" ca="1" si="142"/>
        <v>10544.624810178084</v>
      </c>
      <c r="AW255" s="126">
        <f t="shared" ca="1" si="124"/>
        <v>10000</v>
      </c>
      <c r="AX255" s="750">
        <f t="shared" ca="1" si="143"/>
        <v>0</v>
      </c>
      <c r="AY255" s="750">
        <f t="shared" ca="1" si="144"/>
        <v>0</v>
      </c>
      <c r="AZ255">
        <f t="shared" si="145"/>
        <v>5750</v>
      </c>
    </row>
    <row r="256" spans="4:52">
      <c r="D256">
        <v>249</v>
      </c>
      <c r="E256" s="6">
        <f t="shared" ca="1" si="146"/>
        <v>45200</v>
      </c>
      <c r="F256" s="7">
        <f t="shared" ca="1" si="125"/>
        <v>1.0249999999999999</v>
      </c>
      <c r="G256" s="125">
        <f ca="1">IF('Simulador - 1º Pilar'!$E$99="Sí",IF('Aportaciones PPE'!$B$13&lt;'Aportaciones PPE'!E256,0,F256*$B$8/12),F256*$B$8/12)</f>
        <v>17937.499999999996</v>
      </c>
      <c r="H256" s="125">
        <f t="shared" ca="1" si="115"/>
        <v>896.87499999999989</v>
      </c>
      <c r="I256" s="125">
        <f t="shared" ca="1" si="126"/>
        <v>0</v>
      </c>
      <c r="J256" s="125">
        <f t="shared" ca="1" si="127"/>
        <v>0</v>
      </c>
      <c r="K256" s="125">
        <f t="shared" ca="1" si="128"/>
        <v>1352.6501420857924</v>
      </c>
      <c r="L256" s="125">
        <f t="shared" ca="1" si="147"/>
        <v>0</v>
      </c>
      <c r="M256" s="125">
        <f t="shared" ca="1" si="129"/>
        <v>0</v>
      </c>
      <c r="N256" s="125">
        <f t="shared" ca="1" si="130"/>
        <v>1352.6501420857924</v>
      </c>
      <c r="R256">
        <f t="shared" si="148"/>
        <v>249</v>
      </c>
      <c r="U256" s="55"/>
      <c r="V256">
        <f t="shared" si="149"/>
        <v>10</v>
      </c>
      <c r="W256">
        <f t="shared" ca="1" si="150"/>
        <v>2044</v>
      </c>
      <c r="X256" s="123">
        <f t="shared" ca="1" si="131"/>
        <v>52871</v>
      </c>
      <c r="Y256" s="64">
        <f t="shared" ca="1" si="132"/>
        <v>0</v>
      </c>
      <c r="Z256" s="64">
        <f t="shared" ca="1" si="133"/>
        <v>0</v>
      </c>
      <c r="AA256" s="64">
        <f t="shared" ca="1" si="134"/>
        <v>0</v>
      </c>
      <c r="AB256" s="64">
        <f t="shared" ca="1" si="135"/>
        <v>0</v>
      </c>
      <c r="AF256" t="str">
        <f t="shared" ca="1" si="116"/>
        <v>102023</v>
      </c>
      <c r="AG256" s="126">
        <f t="shared" ca="1" si="117"/>
        <v>0</v>
      </c>
      <c r="AH256" s="126">
        <f t="shared" ca="1" si="118"/>
        <v>0</v>
      </c>
      <c r="AI256" s="126">
        <f t="shared" ca="1" si="119"/>
        <v>896.87499999999989</v>
      </c>
      <c r="AJ256" t="str">
        <f t="shared" ca="1" si="120"/>
        <v>102044</v>
      </c>
      <c r="AK256" s="126">
        <f t="shared" ca="1" si="136"/>
        <v>0</v>
      </c>
      <c r="AL256" s="126">
        <f t="shared" ca="1" si="137"/>
        <v>0</v>
      </c>
      <c r="AM256" s="126">
        <f t="shared" ca="1" si="151"/>
        <v>0</v>
      </c>
      <c r="AN256" s="753">
        <f t="shared" ca="1" si="152"/>
        <v>0</v>
      </c>
      <c r="AO256" s="750">
        <f t="shared" ca="1" si="138"/>
        <v>0</v>
      </c>
      <c r="AP256" s="126">
        <f t="shared" ca="1" si="139"/>
        <v>0</v>
      </c>
      <c r="AQ256" s="126">
        <f t="shared" ca="1" si="140"/>
        <v>0</v>
      </c>
      <c r="AR256" s="126">
        <f t="shared" ca="1" si="121"/>
        <v>10000</v>
      </c>
      <c r="AS256" s="750">
        <f t="shared" ca="1" si="122"/>
        <v>0</v>
      </c>
      <c r="AT256" s="750">
        <f t="shared" ca="1" si="123"/>
        <v>0</v>
      </c>
      <c r="AU256" s="126">
        <f t="shared" ca="1" si="141"/>
        <v>0</v>
      </c>
      <c r="AV256" s="126">
        <f t="shared" ca="1" si="142"/>
        <v>10544.624810178084</v>
      </c>
      <c r="AW256" s="126">
        <f t="shared" ca="1" si="124"/>
        <v>10000</v>
      </c>
      <c r="AX256" s="750">
        <f t="shared" ca="1" si="143"/>
        <v>0</v>
      </c>
      <c r="AY256" s="750">
        <f t="shared" ca="1" si="144"/>
        <v>0</v>
      </c>
      <c r="AZ256">
        <f t="shared" si="145"/>
        <v>5750</v>
      </c>
    </row>
    <row r="257" spans="4:52">
      <c r="D257">
        <v>250</v>
      </c>
      <c r="E257" s="6">
        <f t="shared" ca="1" si="146"/>
        <v>45170</v>
      </c>
      <c r="F257" s="7">
        <f t="shared" ca="1" si="125"/>
        <v>1.0249999999999999</v>
      </c>
      <c r="G257" s="125">
        <f ca="1">IF('Simulador - 1º Pilar'!$E$99="Sí",IF('Aportaciones PPE'!$B$13&lt;'Aportaciones PPE'!E257,0,F257*$B$8/12),F257*$B$8/12)</f>
        <v>17937.499999999996</v>
      </c>
      <c r="H257" s="125">
        <f t="shared" ca="1" si="115"/>
        <v>896.87499999999989</v>
      </c>
      <c r="I257" s="125">
        <f t="shared" ca="1" si="126"/>
        <v>0</v>
      </c>
      <c r="J257" s="125">
        <f t="shared" ca="1" si="127"/>
        <v>0</v>
      </c>
      <c r="K257" s="125">
        <f t="shared" ca="1" si="128"/>
        <v>1354.8841537685009</v>
      </c>
      <c r="L257" s="125">
        <f t="shared" ca="1" si="147"/>
        <v>0</v>
      </c>
      <c r="M257" s="125">
        <f t="shared" ca="1" si="129"/>
        <v>0</v>
      </c>
      <c r="N257" s="125">
        <f t="shared" ca="1" si="130"/>
        <v>1354.8841537685009</v>
      </c>
      <c r="R257">
        <f t="shared" si="148"/>
        <v>250</v>
      </c>
      <c r="U257" s="55"/>
      <c r="V257">
        <f t="shared" si="149"/>
        <v>11</v>
      </c>
      <c r="W257">
        <f t="shared" ca="1" si="150"/>
        <v>2044</v>
      </c>
      <c r="X257" s="123">
        <f t="shared" ca="1" si="131"/>
        <v>52902</v>
      </c>
      <c r="Y257" s="64">
        <f t="shared" ca="1" si="132"/>
        <v>0</v>
      </c>
      <c r="Z257" s="64">
        <f t="shared" ca="1" si="133"/>
        <v>0</v>
      </c>
      <c r="AA257" s="64">
        <f t="shared" ca="1" si="134"/>
        <v>0</v>
      </c>
      <c r="AB257" s="64">
        <f t="shared" ca="1" si="135"/>
        <v>0</v>
      </c>
      <c r="AF257" t="str">
        <f t="shared" ca="1" si="116"/>
        <v>92023</v>
      </c>
      <c r="AG257" s="126">
        <f t="shared" ca="1" si="117"/>
        <v>0</v>
      </c>
      <c r="AH257" s="126">
        <f t="shared" ca="1" si="118"/>
        <v>0</v>
      </c>
      <c r="AI257" s="126">
        <f t="shared" ca="1" si="119"/>
        <v>896.87499999999989</v>
      </c>
      <c r="AJ257" t="str">
        <f t="shared" ca="1" si="120"/>
        <v>112044</v>
      </c>
      <c r="AK257" s="126">
        <f t="shared" ca="1" si="136"/>
        <v>0</v>
      </c>
      <c r="AL257" s="126">
        <f t="shared" ca="1" si="137"/>
        <v>0</v>
      </c>
      <c r="AM257" s="126">
        <f t="shared" ca="1" si="151"/>
        <v>0</v>
      </c>
      <c r="AN257" s="753">
        <f t="shared" ca="1" si="152"/>
        <v>0</v>
      </c>
      <c r="AO257" s="750">
        <f t="shared" ca="1" si="138"/>
        <v>0</v>
      </c>
      <c r="AP257" s="126">
        <f t="shared" ca="1" si="139"/>
        <v>0</v>
      </c>
      <c r="AQ257" s="126">
        <f t="shared" ca="1" si="140"/>
        <v>0</v>
      </c>
      <c r="AR257" s="126">
        <f t="shared" ca="1" si="121"/>
        <v>10000</v>
      </c>
      <c r="AS257" s="750">
        <f t="shared" ca="1" si="122"/>
        <v>0</v>
      </c>
      <c r="AT257" s="750">
        <f t="shared" ca="1" si="123"/>
        <v>0</v>
      </c>
      <c r="AU257" s="126">
        <f t="shared" ca="1" si="141"/>
        <v>0</v>
      </c>
      <c r="AV257" s="126">
        <f t="shared" ca="1" si="142"/>
        <v>10544.624810178084</v>
      </c>
      <c r="AW257" s="126">
        <f t="shared" ca="1" si="124"/>
        <v>10000</v>
      </c>
      <c r="AX257" s="750">
        <f t="shared" ca="1" si="143"/>
        <v>0</v>
      </c>
      <c r="AY257" s="750">
        <f t="shared" ca="1" si="144"/>
        <v>0</v>
      </c>
      <c r="AZ257">
        <f t="shared" si="145"/>
        <v>5750</v>
      </c>
    </row>
    <row r="258" spans="4:52">
      <c r="D258">
        <v>251</v>
      </c>
      <c r="E258" s="6">
        <f t="shared" ca="1" si="146"/>
        <v>45139</v>
      </c>
      <c r="F258" s="7">
        <f t="shared" ca="1" si="125"/>
        <v>1.0249999999999999</v>
      </c>
      <c r="G258" s="125">
        <f ca="1">IF('Simulador - 1º Pilar'!$E$99="Sí",IF('Aportaciones PPE'!$B$13&lt;'Aportaciones PPE'!E258,0,F258*$B$8/12),F258*$B$8/12)</f>
        <v>17937.499999999996</v>
      </c>
      <c r="H258" s="125">
        <f t="shared" ca="1" si="115"/>
        <v>896.87499999999989</v>
      </c>
      <c r="I258" s="125">
        <f t="shared" ca="1" si="126"/>
        <v>0</v>
      </c>
      <c r="J258" s="125">
        <f t="shared" ca="1" si="127"/>
        <v>0</v>
      </c>
      <c r="K258" s="125">
        <f t="shared" ca="1" si="128"/>
        <v>1357.1218551031332</v>
      </c>
      <c r="L258" s="125">
        <f t="shared" ca="1" si="147"/>
        <v>0</v>
      </c>
      <c r="M258" s="125">
        <f t="shared" ca="1" si="129"/>
        <v>0</v>
      </c>
      <c r="N258" s="125">
        <f t="shared" ca="1" si="130"/>
        <v>1357.1218551031332</v>
      </c>
      <c r="R258">
        <f t="shared" si="148"/>
        <v>251</v>
      </c>
      <c r="U258" s="55"/>
      <c r="V258">
        <f t="shared" si="149"/>
        <v>12</v>
      </c>
      <c r="W258">
        <f t="shared" ca="1" si="150"/>
        <v>2044</v>
      </c>
      <c r="X258" s="123">
        <f t="shared" ca="1" si="131"/>
        <v>52932</v>
      </c>
      <c r="Y258" s="64">
        <f t="shared" ca="1" si="132"/>
        <v>0</v>
      </c>
      <c r="Z258" s="64">
        <f t="shared" ca="1" si="133"/>
        <v>0</v>
      </c>
      <c r="AA258" s="64">
        <f t="shared" ca="1" si="134"/>
        <v>0</v>
      </c>
      <c r="AB258" s="64">
        <f t="shared" ca="1" si="135"/>
        <v>0</v>
      </c>
      <c r="AF258" t="str">
        <f t="shared" ca="1" si="116"/>
        <v>82023</v>
      </c>
      <c r="AG258" s="126">
        <f t="shared" ca="1" si="117"/>
        <v>0</v>
      </c>
      <c r="AH258" s="126">
        <f t="shared" ca="1" si="118"/>
        <v>0</v>
      </c>
      <c r="AI258" s="126">
        <f t="shared" ca="1" si="119"/>
        <v>896.87499999999989</v>
      </c>
      <c r="AJ258" t="str">
        <f t="shared" ca="1" si="120"/>
        <v>122044</v>
      </c>
      <c r="AK258" s="126">
        <f t="shared" ca="1" si="136"/>
        <v>0</v>
      </c>
      <c r="AL258" s="126">
        <f t="shared" ca="1" si="137"/>
        <v>0</v>
      </c>
      <c r="AM258" s="126">
        <f t="shared" ca="1" si="151"/>
        <v>0</v>
      </c>
      <c r="AN258" s="753">
        <f t="shared" ca="1" si="152"/>
        <v>0</v>
      </c>
      <c r="AO258" s="750">
        <f t="shared" ca="1" si="138"/>
        <v>0</v>
      </c>
      <c r="AP258" s="126">
        <f t="shared" ca="1" si="139"/>
        <v>0</v>
      </c>
      <c r="AQ258" s="126">
        <f t="shared" ca="1" si="140"/>
        <v>0</v>
      </c>
      <c r="AR258" s="126">
        <f t="shared" ca="1" si="121"/>
        <v>10000</v>
      </c>
      <c r="AS258" s="750">
        <f t="shared" ca="1" si="122"/>
        <v>0</v>
      </c>
      <c r="AT258" s="750">
        <f t="shared" ca="1" si="123"/>
        <v>0</v>
      </c>
      <c r="AU258" s="126">
        <f t="shared" ca="1" si="141"/>
        <v>0</v>
      </c>
      <c r="AV258" s="126">
        <f t="shared" ca="1" si="142"/>
        <v>10544.624810178084</v>
      </c>
      <c r="AW258" s="126">
        <f t="shared" ca="1" si="124"/>
        <v>10000</v>
      </c>
      <c r="AX258" s="750">
        <f t="shared" ca="1" si="143"/>
        <v>0</v>
      </c>
      <c r="AY258" s="750">
        <f t="shared" ca="1" si="144"/>
        <v>0</v>
      </c>
      <c r="AZ258">
        <f t="shared" si="145"/>
        <v>5750</v>
      </c>
    </row>
    <row r="259" spans="4:52">
      <c r="D259">
        <v>252</v>
      </c>
      <c r="E259" s="6">
        <f t="shared" ca="1" si="146"/>
        <v>45108</v>
      </c>
      <c r="F259" s="7">
        <f t="shared" ca="1" si="125"/>
        <v>1.0249999999999999</v>
      </c>
      <c r="G259" s="125">
        <f ca="1">IF('Simulador - 1º Pilar'!$E$99="Sí",IF('Aportaciones PPE'!$B$13&lt;'Aportaciones PPE'!E259,0,F259*$B$8/12),F259*$B$8/12)</f>
        <v>17937.499999999996</v>
      </c>
      <c r="H259" s="125">
        <f t="shared" ca="1" si="115"/>
        <v>896.87499999999989</v>
      </c>
      <c r="I259" s="125">
        <f t="shared" ca="1" si="126"/>
        <v>0</v>
      </c>
      <c r="J259" s="125">
        <f t="shared" ca="1" si="127"/>
        <v>0</v>
      </c>
      <c r="K259" s="125">
        <f t="shared" ca="1" si="128"/>
        <v>1359.3632521834479</v>
      </c>
      <c r="L259" s="125">
        <f t="shared" ca="1" si="147"/>
        <v>0</v>
      </c>
      <c r="M259" s="125">
        <f t="shared" ca="1" si="129"/>
        <v>0</v>
      </c>
      <c r="N259" s="125">
        <f t="shared" ca="1" si="130"/>
        <v>1359.3632521834479</v>
      </c>
      <c r="R259">
        <f t="shared" si="148"/>
        <v>252</v>
      </c>
      <c r="U259" s="55"/>
      <c r="V259">
        <f t="shared" si="149"/>
        <v>1</v>
      </c>
      <c r="W259">
        <f t="shared" ca="1" si="150"/>
        <v>2045</v>
      </c>
      <c r="X259" s="123">
        <f t="shared" ca="1" si="131"/>
        <v>52963</v>
      </c>
      <c r="Y259" s="64">
        <f t="shared" ca="1" si="132"/>
        <v>0</v>
      </c>
      <c r="Z259" s="64">
        <f t="shared" ca="1" si="133"/>
        <v>0</v>
      </c>
      <c r="AA259" s="64">
        <f t="shared" ca="1" si="134"/>
        <v>0</v>
      </c>
      <c r="AB259" s="64">
        <f t="shared" ca="1" si="135"/>
        <v>0</v>
      </c>
      <c r="AF259" t="str">
        <f t="shared" ca="1" si="116"/>
        <v>72023</v>
      </c>
      <c r="AG259" s="126">
        <f t="shared" ca="1" si="117"/>
        <v>0</v>
      </c>
      <c r="AH259" s="126">
        <f t="shared" ca="1" si="118"/>
        <v>0</v>
      </c>
      <c r="AI259" s="126">
        <f t="shared" ca="1" si="119"/>
        <v>896.87499999999989</v>
      </c>
      <c r="AJ259" t="str">
        <f t="shared" ca="1" si="120"/>
        <v>12045</v>
      </c>
      <c r="AK259" s="126">
        <f t="shared" ca="1" si="136"/>
        <v>0</v>
      </c>
      <c r="AL259" s="126">
        <f t="shared" ca="1" si="137"/>
        <v>0</v>
      </c>
      <c r="AM259" s="126">
        <f t="shared" ca="1" si="151"/>
        <v>0</v>
      </c>
      <c r="AN259" s="753">
        <f t="shared" ca="1" si="152"/>
        <v>0</v>
      </c>
      <c r="AO259" s="750">
        <f t="shared" ca="1" si="138"/>
        <v>0</v>
      </c>
      <c r="AP259" s="126">
        <f t="shared" ca="1" si="139"/>
        <v>0</v>
      </c>
      <c r="AQ259" s="126">
        <f t="shared" ca="1" si="140"/>
        <v>0</v>
      </c>
      <c r="AR259" s="126">
        <f t="shared" ca="1" si="121"/>
        <v>10000</v>
      </c>
      <c r="AS259" s="750">
        <f t="shared" ca="1" si="122"/>
        <v>0</v>
      </c>
      <c r="AT259" s="750">
        <f t="shared" ca="1" si="123"/>
        <v>0</v>
      </c>
      <c r="AU259" s="126">
        <f t="shared" ca="1" si="141"/>
        <v>0</v>
      </c>
      <c r="AV259" s="126">
        <f t="shared" ca="1" si="142"/>
        <v>0</v>
      </c>
      <c r="AW259" s="126">
        <f t="shared" ca="1" si="124"/>
        <v>10000</v>
      </c>
      <c r="AX259" s="750">
        <f t="shared" ca="1" si="143"/>
        <v>0</v>
      </c>
      <c r="AY259" s="750">
        <f t="shared" ca="1" si="144"/>
        <v>0</v>
      </c>
      <c r="AZ259">
        <f t="shared" si="145"/>
        <v>5750</v>
      </c>
    </row>
    <row r="260" spans="4:52">
      <c r="D260">
        <v>253</v>
      </c>
      <c r="E260" s="6">
        <f t="shared" ca="1" si="146"/>
        <v>45078</v>
      </c>
      <c r="F260" s="7">
        <f t="shared" ca="1" si="125"/>
        <v>1.0249999999999999</v>
      </c>
      <c r="G260" s="125">
        <f ca="1">IF('Simulador - 1º Pilar'!$E$99="Sí",IF('Aportaciones PPE'!$B$13&lt;'Aportaciones PPE'!E260,0,F260*$B$8/12),F260*$B$8/12)</f>
        <v>17937.499999999996</v>
      </c>
      <c r="H260" s="125">
        <f t="shared" ca="1" si="115"/>
        <v>896.87499999999989</v>
      </c>
      <c r="I260" s="125">
        <f t="shared" ca="1" si="126"/>
        <v>0</v>
      </c>
      <c r="J260" s="125">
        <f t="shared" ca="1" si="127"/>
        <v>0</v>
      </c>
      <c r="K260" s="125">
        <f t="shared" ca="1" si="128"/>
        <v>1361.608351113272</v>
      </c>
      <c r="L260" s="125">
        <f t="shared" ca="1" si="147"/>
        <v>0</v>
      </c>
      <c r="M260" s="125">
        <f t="shared" ca="1" si="129"/>
        <v>0</v>
      </c>
      <c r="N260" s="125">
        <f t="shared" ca="1" si="130"/>
        <v>1361.608351113272</v>
      </c>
      <c r="R260">
        <f t="shared" si="148"/>
        <v>253</v>
      </c>
      <c r="U260" s="55"/>
      <c r="V260">
        <f t="shared" si="149"/>
        <v>2</v>
      </c>
      <c r="W260">
        <f t="shared" ca="1" si="150"/>
        <v>2045</v>
      </c>
      <c r="X260" s="123">
        <f t="shared" ca="1" si="131"/>
        <v>52994</v>
      </c>
      <c r="Y260" s="64">
        <f t="shared" ca="1" si="132"/>
        <v>0</v>
      </c>
      <c r="Z260" s="64">
        <f t="shared" ca="1" si="133"/>
        <v>0</v>
      </c>
      <c r="AA260" s="64">
        <f t="shared" ca="1" si="134"/>
        <v>0</v>
      </c>
      <c r="AB260" s="64">
        <f t="shared" ca="1" si="135"/>
        <v>0</v>
      </c>
      <c r="AF260" t="str">
        <f t="shared" ca="1" si="116"/>
        <v>62023</v>
      </c>
      <c r="AG260" s="126">
        <f t="shared" ca="1" si="117"/>
        <v>0</v>
      </c>
      <c r="AH260" s="126">
        <f t="shared" ca="1" si="118"/>
        <v>0</v>
      </c>
      <c r="AI260" s="126">
        <f t="shared" ca="1" si="119"/>
        <v>896.87499999999989</v>
      </c>
      <c r="AJ260" t="str">
        <f t="shared" ca="1" si="120"/>
        <v>22045</v>
      </c>
      <c r="AK260" s="126">
        <f t="shared" ca="1" si="136"/>
        <v>0</v>
      </c>
      <c r="AL260" s="126">
        <f t="shared" ca="1" si="137"/>
        <v>0</v>
      </c>
      <c r="AM260" s="126">
        <f t="shared" ca="1" si="151"/>
        <v>0</v>
      </c>
      <c r="AN260" s="753">
        <f t="shared" ca="1" si="152"/>
        <v>0</v>
      </c>
      <c r="AO260" s="750">
        <f t="shared" ca="1" si="138"/>
        <v>0</v>
      </c>
      <c r="AP260" s="126">
        <f t="shared" ca="1" si="139"/>
        <v>0</v>
      </c>
      <c r="AQ260" s="126">
        <f t="shared" ca="1" si="140"/>
        <v>0</v>
      </c>
      <c r="AR260" s="126">
        <f t="shared" ca="1" si="121"/>
        <v>10000</v>
      </c>
      <c r="AS260" s="750">
        <f t="shared" ca="1" si="122"/>
        <v>0</v>
      </c>
      <c r="AT260" s="750">
        <f t="shared" ca="1" si="123"/>
        <v>0</v>
      </c>
      <c r="AU260" s="126">
        <f t="shared" ca="1" si="141"/>
        <v>0</v>
      </c>
      <c r="AV260" s="126">
        <f t="shared" ca="1" si="142"/>
        <v>0</v>
      </c>
      <c r="AW260" s="126">
        <f t="shared" ca="1" si="124"/>
        <v>10000</v>
      </c>
      <c r="AX260" s="750">
        <f t="shared" ca="1" si="143"/>
        <v>0</v>
      </c>
      <c r="AY260" s="750">
        <f t="shared" ca="1" si="144"/>
        <v>0</v>
      </c>
      <c r="AZ260">
        <f t="shared" si="145"/>
        <v>5750</v>
      </c>
    </row>
    <row r="261" spans="4:52">
      <c r="D261">
        <v>254</v>
      </c>
      <c r="E261" s="6">
        <f t="shared" ca="1" si="146"/>
        <v>45047</v>
      </c>
      <c r="F261" s="7">
        <f t="shared" ca="1" si="125"/>
        <v>1.0249999999999999</v>
      </c>
      <c r="G261" s="125">
        <f ca="1">IF('Simulador - 1º Pilar'!$E$99="Sí",IF('Aportaciones PPE'!$B$13&lt;'Aportaciones PPE'!E261,0,F261*$B$8/12),F261*$B$8/12)</f>
        <v>17937.499999999996</v>
      </c>
      <c r="H261" s="125">
        <f t="shared" ca="1" si="115"/>
        <v>896.87499999999989</v>
      </c>
      <c r="I261" s="125">
        <f t="shared" ca="1" si="126"/>
        <v>0</v>
      </c>
      <c r="J261" s="125">
        <f t="shared" ca="1" si="127"/>
        <v>0</v>
      </c>
      <c r="K261" s="125">
        <f t="shared" ca="1" si="128"/>
        <v>1363.8571580065093</v>
      </c>
      <c r="L261" s="125">
        <f t="shared" ca="1" si="147"/>
        <v>0</v>
      </c>
      <c r="M261" s="125">
        <f t="shared" ca="1" si="129"/>
        <v>0</v>
      </c>
      <c r="N261" s="125">
        <f t="shared" ca="1" si="130"/>
        <v>1363.8571580065093</v>
      </c>
      <c r="R261">
        <f t="shared" si="148"/>
        <v>254</v>
      </c>
      <c r="U261" s="55"/>
      <c r="V261">
        <f t="shared" si="149"/>
        <v>3</v>
      </c>
      <c r="W261">
        <f t="shared" ca="1" si="150"/>
        <v>2045</v>
      </c>
      <c r="X261" s="123">
        <f t="shared" ca="1" si="131"/>
        <v>53022</v>
      </c>
      <c r="Y261" s="64">
        <f t="shared" ca="1" si="132"/>
        <v>0</v>
      </c>
      <c r="Z261" s="64">
        <f t="shared" ca="1" si="133"/>
        <v>0</v>
      </c>
      <c r="AA261" s="64">
        <f t="shared" ca="1" si="134"/>
        <v>0</v>
      </c>
      <c r="AB261" s="64">
        <f t="shared" ca="1" si="135"/>
        <v>0</v>
      </c>
      <c r="AF261" t="str">
        <f t="shared" ca="1" si="116"/>
        <v>52023</v>
      </c>
      <c r="AG261" s="126">
        <f t="shared" ca="1" si="117"/>
        <v>0</v>
      </c>
      <c r="AH261" s="126">
        <f t="shared" ca="1" si="118"/>
        <v>0</v>
      </c>
      <c r="AI261" s="126">
        <f t="shared" ca="1" si="119"/>
        <v>896.87499999999989</v>
      </c>
      <c r="AJ261" t="str">
        <f t="shared" ca="1" si="120"/>
        <v>32045</v>
      </c>
      <c r="AK261" s="126">
        <f t="shared" ca="1" si="136"/>
        <v>0</v>
      </c>
      <c r="AL261" s="126">
        <f t="shared" ca="1" si="137"/>
        <v>0</v>
      </c>
      <c r="AM261" s="126">
        <f t="shared" ca="1" si="151"/>
        <v>0</v>
      </c>
      <c r="AN261" s="753">
        <f t="shared" ca="1" si="152"/>
        <v>0</v>
      </c>
      <c r="AO261" s="750">
        <f t="shared" ca="1" si="138"/>
        <v>0</v>
      </c>
      <c r="AP261" s="126">
        <f t="shared" ca="1" si="139"/>
        <v>0</v>
      </c>
      <c r="AQ261" s="126">
        <f t="shared" ca="1" si="140"/>
        <v>0</v>
      </c>
      <c r="AR261" s="126">
        <f t="shared" ca="1" si="121"/>
        <v>10000</v>
      </c>
      <c r="AS261" s="750">
        <f t="shared" ca="1" si="122"/>
        <v>0</v>
      </c>
      <c r="AT261" s="750">
        <f t="shared" ca="1" si="123"/>
        <v>0</v>
      </c>
      <c r="AU261" s="126">
        <f t="shared" ca="1" si="141"/>
        <v>0</v>
      </c>
      <c r="AV261" s="126">
        <f t="shared" ca="1" si="142"/>
        <v>0</v>
      </c>
      <c r="AW261" s="126">
        <f t="shared" ca="1" si="124"/>
        <v>10000</v>
      </c>
      <c r="AX261" s="750">
        <f t="shared" ca="1" si="143"/>
        <v>0</v>
      </c>
      <c r="AY261" s="750">
        <f t="shared" ca="1" si="144"/>
        <v>0</v>
      </c>
      <c r="AZ261">
        <f t="shared" si="145"/>
        <v>5750</v>
      </c>
    </row>
    <row r="262" spans="4:52">
      <c r="D262">
        <v>255</v>
      </c>
      <c r="E262" s="6">
        <f t="shared" ca="1" si="146"/>
        <v>45017</v>
      </c>
      <c r="F262" s="7">
        <f t="shared" ca="1" si="125"/>
        <v>1.0249999999999999</v>
      </c>
      <c r="G262" s="125">
        <f ca="1">IF('Simulador - 1º Pilar'!$E$99="Sí",IF('Aportaciones PPE'!$B$13&lt;'Aportaciones PPE'!E262,0,F262*$B$8/12),F262*$B$8/12)</f>
        <v>17937.499999999996</v>
      </c>
      <c r="H262" s="125">
        <f t="shared" ca="1" si="115"/>
        <v>896.87499999999989</v>
      </c>
      <c r="I262" s="125">
        <f t="shared" ca="1" si="126"/>
        <v>0</v>
      </c>
      <c r="J262" s="125">
        <f t="shared" ca="1" si="127"/>
        <v>0</v>
      </c>
      <c r="K262" s="125">
        <f t="shared" ca="1" si="128"/>
        <v>1366.1096789871629</v>
      </c>
      <c r="L262" s="125">
        <f t="shared" ca="1" si="147"/>
        <v>0</v>
      </c>
      <c r="M262" s="125">
        <f t="shared" ca="1" si="129"/>
        <v>0</v>
      </c>
      <c r="N262" s="125">
        <f t="shared" ca="1" si="130"/>
        <v>1366.1096789871629</v>
      </c>
      <c r="R262">
        <f t="shared" si="148"/>
        <v>255</v>
      </c>
      <c r="U262" s="55"/>
      <c r="V262">
        <f t="shared" si="149"/>
        <v>4</v>
      </c>
      <c r="W262">
        <f t="shared" ca="1" si="150"/>
        <v>2045</v>
      </c>
      <c r="X262" s="123">
        <f t="shared" ca="1" si="131"/>
        <v>53053</v>
      </c>
      <c r="Y262" s="64">
        <f t="shared" ca="1" si="132"/>
        <v>0</v>
      </c>
      <c r="Z262" s="64">
        <f t="shared" ca="1" si="133"/>
        <v>0</v>
      </c>
      <c r="AA262" s="64">
        <f t="shared" ca="1" si="134"/>
        <v>0</v>
      </c>
      <c r="AB262" s="64">
        <f t="shared" ca="1" si="135"/>
        <v>0</v>
      </c>
      <c r="AF262" t="str">
        <f t="shared" ca="1" si="116"/>
        <v>42023</v>
      </c>
      <c r="AG262" s="126">
        <f t="shared" ca="1" si="117"/>
        <v>0</v>
      </c>
      <c r="AH262" s="126">
        <f t="shared" ca="1" si="118"/>
        <v>0</v>
      </c>
      <c r="AI262" s="126">
        <f t="shared" ca="1" si="119"/>
        <v>896.87499999999989</v>
      </c>
      <c r="AJ262" t="str">
        <f t="shared" ca="1" si="120"/>
        <v>42045</v>
      </c>
      <c r="AK262" s="126">
        <f t="shared" ca="1" si="136"/>
        <v>0</v>
      </c>
      <c r="AL262" s="126">
        <f t="shared" ca="1" si="137"/>
        <v>0</v>
      </c>
      <c r="AM262" s="126">
        <f t="shared" ca="1" si="151"/>
        <v>0</v>
      </c>
      <c r="AN262" s="753">
        <f t="shared" ca="1" si="152"/>
        <v>0</v>
      </c>
      <c r="AO262" s="750">
        <f t="shared" ca="1" si="138"/>
        <v>0</v>
      </c>
      <c r="AP262" s="126">
        <f t="shared" ca="1" si="139"/>
        <v>0</v>
      </c>
      <c r="AQ262" s="126">
        <f t="shared" ca="1" si="140"/>
        <v>0</v>
      </c>
      <c r="AR262" s="126">
        <f t="shared" ca="1" si="121"/>
        <v>10000</v>
      </c>
      <c r="AS262" s="750">
        <f t="shared" ca="1" si="122"/>
        <v>0</v>
      </c>
      <c r="AT262" s="750">
        <f t="shared" ca="1" si="123"/>
        <v>0</v>
      </c>
      <c r="AU262" s="126">
        <f t="shared" ca="1" si="141"/>
        <v>0</v>
      </c>
      <c r="AV262" s="126">
        <f t="shared" ca="1" si="142"/>
        <v>0</v>
      </c>
      <c r="AW262" s="126">
        <f t="shared" ca="1" si="124"/>
        <v>10000</v>
      </c>
      <c r="AX262" s="750">
        <f t="shared" ca="1" si="143"/>
        <v>0</v>
      </c>
      <c r="AY262" s="750">
        <f t="shared" ca="1" si="144"/>
        <v>0</v>
      </c>
      <c r="AZ262">
        <f t="shared" si="145"/>
        <v>5750</v>
      </c>
    </row>
    <row r="263" spans="4:52">
      <c r="D263">
        <v>256</v>
      </c>
      <c r="E263" s="6">
        <f t="shared" ca="1" si="146"/>
        <v>44986</v>
      </c>
      <c r="F263" s="7">
        <f t="shared" ca="1" si="125"/>
        <v>1.0249999999999999</v>
      </c>
      <c r="G263" s="125">
        <f ca="1">IF('Simulador - 1º Pilar'!$E$99="Sí",IF('Aportaciones PPE'!$B$13&lt;'Aportaciones PPE'!E263,0,F263*$B$8/12),F263*$B$8/12)</f>
        <v>17937.499999999996</v>
      </c>
      <c r="H263" s="125">
        <f t="shared" ref="H263:H326" ca="1" si="153">$H$5*G263</f>
        <v>896.87499999999989</v>
      </c>
      <c r="I263" s="125">
        <f t="shared" ca="1" si="126"/>
        <v>0</v>
      </c>
      <c r="J263" s="125">
        <f t="shared" ca="1" si="127"/>
        <v>0</v>
      </c>
      <c r="K263" s="125">
        <f t="shared" ca="1" si="128"/>
        <v>1368.3659201893499</v>
      </c>
      <c r="L263" s="125">
        <f t="shared" ca="1" si="147"/>
        <v>0</v>
      </c>
      <c r="M263" s="125">
        <f t="shared" ca="1" si="129"/>
        <v>0</v>
      </c>
      <c r="N263" s="125">
        <f t="shared" ca="1" si="130"/>
        <v>1368.3659201893499</v>
      </c>
      <c r="R263">
        <f t="shared" si="148"/>
        <v>256</v>
      </c>
      <c r="U263" s="55"/>
      <c r="V263">
        <f t="shared" si="149"/>
        <v>5</v>
      </c>
      <c r="W263">
        <f t="shared" ca="1" si="150"/>
        <v>2045</v>
      </c>
      <c r="X263" s="123">
        <f t="shared" ca="1" si="131"/>
        <v>53083</v>
      </c>
      <c r="Y263" s="64">
        <f t="shared" ca="1" si="132"/>
        <v>0</v>
      </c>
      <c r="Z263" s="64">
        <f t="shared" ca="1" si="133"/>
        <v>0</v>
      </c>
      <c r="AA263" s="64">
        <f t="shared" ca="1" si="134"/>
        <v>0</v>
      </c>
      <c r="AB263" s="64">
        <f t="shared" ca="1" si="135"/>
        <v>0</v>
      </c>
      <c r="AF263" t="str">
        <f t="shared" ref="AF263:AF326" ca="1" si="154">+MONTH(E263)&amp;YEAR(E263)</f>
        <v>32023</v>
      </c>
      <c r="AG263" s="126">
        <f t="shared" ref="AG263:AG326" ca="1" si="155">+I263</f>
        <v>0</v>
      </c>
      <c r="AH263" s="126">
        <f t="shared" ref="AH263:AH326" ca="1" si="156">+J263</f>
        <v>0</v>
      </c>
      <c r="AI263" s="126">
        <f t="shared" ref="AI263:AI326" ca="1" si="157">+H263</f>
        <v>896.87499999999989</v>
      </c>
      <c r="AJ263" t="str">
        <f t="shared" ref="AJ263:AJ326" ca="1" si="158">+V263&amp;W263</f>
        <v>52045</v>
      </c>
      <c r="AK263" s="126">
        <f t="shared" ca="1" si="136"/>
        <v>0</v>
      </c>
      <c r="AL263" s="126">
        <f t="shared" ca="1" si="137"/>
        <v>0</v>
      </c>
      <c r="AM263" s="126">
        <f t="shared" ca="1" si="151"/>
        <v>0</v>
      </c>
      <c r="AN263" s="753">
        <f t="shared" ca="1" si="152"/>
        <v>0</v>
      </c>
      <c r="AO263" s="750">
        <f t="shared" ca="1" si="138"/>
        <v>0</v>
      </c>
      <c r="AP263" s="126">
        <f t="shared" ca="1" si="139"/>
        <v>0</v>
      </c>
      <c r="AQ263" s="126">
        <f t="shared" ca="1" si="140"/>
        <v>0</v>
      </c>
      <c r="AR263" s="126">
        <f t="shared" ref="AR263:AR326" ca="1" si="159">+MAX($AM$2-SUMIF($W$7:$W$1066,W263,$AN$7:$AN$1066),0)</f>
        <v>10000</v>
      </c>
      <c r="AS263" s="750">
        <f t="shared" ref="AS263:AS326" ca="1" si="160">+MAX(IF(AQ263&gt;AR263,AR263-AQ262,AP263),0)</f>
        <v>0</v>
      </c>
      <c r="AT263" s="750">
        <f t="shared" ref="AT263:AT326" ca="1" si="161">+AP263-AS263</f>
        <v>0</v>
      </c>
      <c r="AU263" s="126">
        <f t="shared" ca="1" si="141"/>
        <v>0</v>
      </c>
      <c r="AV263" s="126">
        <f t="shared" ca="1" si="142"/>
        <v>0</v>
      </c>
      <c r="AW263" s="126">
        <f t="shared" ref="AW263:AW326" ca="1" si="162">+MAX($AM$2-SUMIF($W$7:$W$1066,W263,$AN$7:$AN$1066)-SUMIF($W$7:$W$1066,W263,$AS$7:$AS$1066),0)</f>
        <v>10000</v>
      </c>
      <c r="AX263" s="750">
        <f t="shared" ca="1" si="143"/>
        <v>0</v>
      </c>
      <c r="AY263" s="750">
        <f t="shared" ca="1" si="144"/>
        <v>0</v>
      </c>
      <c r="AZ263">
        <f t="shared" si="145"/>
        <v>5750</v>
      </c>
    </row>
    <row r="264" spans="4:52">
      <c r="D264">
        <v>257</v>
      </c>
      <c r="E264" s="6">
        <f t="shared" ca="1" si="146"/>
        <v>44958</v>
      </c>
      <c r="F264" s="7">
        <f t="shared" ref="F264:F327" ca="1" si="163">IF(DATE(YEAR($B$6),MONTH($B$6)+1,DAY(1))=E264,1,IF(MONTH(E264)=1,F265*(1+$F$5),F265))</f>
        <v>1.0249999999999999</v>
      </c>
      <c r="G264" s="125">
        <f ca="1">IF('Simulador - 1º Pilar'!$E$99="Sí",IF('Aportaciones PPE'!$B$13&lt;'Aportaciones PPE'!E264,0,F264*$B$8/12),F264*$B$8/12)</f>
        <v>17937.499999999996</v>
      </c>
      <c r="H264" s="125">
        <f t="shared" ca="1" si="153"/>
        <v>896.87499999999989</v>
      </c>
      <c r="I264" s="125">
        <f t="shared" ref="I264:I327" ca="1" si="164">$I$5*G264</f>
        <v>0</v>
      </c>
      <c r="J264" s="125">
        <f t="shared" ref="J264:J327" ca="1" si="165">+I264</f>
        <v>0</v>
      </c>
      <c r="K264" s="125">
        <f t="shared" ref="K264:K327" ca="1" si="166">(1+$O$5)^(D264/12)*(H264+IF(AND(F264=1,F265=0),$S$4,0))</f>
        <v>1370.6258877573198</v>
      </c>
      <c r="L264" s="125">
        <f t="shared" ca="1" si="147"/>
        <v>0</v>
      </c>
      <c r="M264" s="125">
        <f t="shared" ref="M264:M327" ca="1" si="167">+L264</f>
        <v>0</v>
      </c>
      <c r="N264" s="125">
        <f t="shared" ref="N264:N327" ca="1" si="168">L264+K264+M264</f>
        <v>1370.6258877573198</v>
      </c>
      <c r="R264">
        <f t="shared" si="148"/>
        <v>257</v>
      </c>
      <c r="U264" s="55"/>
      <c r="V264">
        <f t="shared" si="149"/>
        <v>6</v>
      </c>
      <c r="W264">
        <f t="shared" ca="1" si="150"/>
        <v>2045</v>
      </c>
      <c r="X264" s="123">
        <f t="shared" ref="X264:X327" ca="1" si="169">+DATE(W264,V264,1)</f>
        <v>53114</v>
      </c>
      <c r="Y264" s="64">
        <f t="shared" ref="Y264:Y327" ca="1" si="170">+_xlfn.IFNA(AN264+AS264+AX264,0)</f>
        <v>0</v>
      </c>
      <c r="Z264" s="64">
        <f t="shared" ref="Z264:Z327" ca="1" si="171">+_xlfn.IFNA(AO264+AT264+AY264,0)</f>
        <v>0</v>
      </c>
      <c r="AA264" s="64">
        <f t="shared" ref="AA264:AA327" ca="1" si="172">Y264*(1+$O$5)^(($B$7-X264)/365.25)</f>
        <v>0</v>
      </c>
      <c r="AB264" s="64">
        <f t="shared" ref="AB264:AB327" ca="1" si="173">Z264*(1+$O$5)^(($B$7-X264)/365.25)</f>
        <v>0</v>
      </c>
      <c r="AF264" t="str">
        <f t="shared" ca="1" si="154"/>
        <v>22023</v>
      </c>
      <c r="AG264" s="126">
        <f t="shared" ca="1" si="155"/>
        <v>0</v>
      </c>
      <c r="AH264" s="126">
        <f t="shared" ca="1" si="156"/>
        <v>0</v>
      </c>
      <c r="AI264" s="126">
        <f t="shared" ca="1" si="157"/>
        <v>896.87499999999989</v>
      </c>
      <c r="AJ264" t="str">
        <f t="shared" ca="1" si="158"/>
        <v>62045</v>
      </c>
      <c r="AK264" s="126">
        <f t="shared" ref="AK264:AK327" ca="1" si="174">+_xlfn.IFNA(VLOOKUP(AJ264,$AF$7:$AG$1066,2,0),0)</f>
        <v>0</v>
      </c>
      <c r="AL264" s="126">
        <f t="shared" ref="AL264:AL327" ca="1" si="175">+IF(W264&gt;W263,AK264,AL263+AK264)</f>
        <v>0</v>
      </c>
      <c r="AM264" s="126">
        <f t="shared" ca="1" si="151"/>
        <v>0</v>
      </c>
      <c r="AN264" s="753">
        <f t="shared" ca="1" si="152"/>
        <v>0</v>
      </c>
      <c r="AO264" s="750">
        <f t="shared" ref="AO264:AO327" ca="1" si="176">+AK264-AN264</f>
        <v>0</v>
      </c>
      <c r="AP264" s="126">
        <f t="shared" ref="AP264:AP327" ca="1" si="177">+_xlfn.IFNA(VLOOKUP(AJ264,$AF$7:$AI$1066,3,0),0)</f>
        <v>0</v>
      </c>
      <c r="AQ264" s="126">
        <f t="shared" ref="AQ264:AQ327" ca="1" si="178">+IF(W264&gt;W263,AP264,AQ263+AP264)</f>
        <v>0</v>
      </c>
      <c r="AR264" s="126">
        <f t="shared" ca="1" si="159"/>
        <v>10000</v>
      </c>
      <c r="AS264" s="750">
        <f t="shared" ca="1" si="160"/>
        <v>0</v>
      </c>
      <c r="AT264" s="750">
        <f t="shared" ca="1" si="161"/>
        <v>0</v>
      </c>
      <c r="AU264" s="126">
        <f t="shared" ref="AU264:AU327" ca="1" si="179">+_xlfn.IFNA(VLOOKUP(AJ264,$AF$7:$AI$1066,4,0),0)</f>
        <v>0</v>
      </c>
      <c r="AV264" s="126">
        <f t="shared" ref="AV264:AV327" ca="1" si="180">+IF(W264&gt;W263,AU264,AV263+AU264)</f>
        <v>0</v>
      </c>
      <c r="AW264" s="126">
        <f t="shared" ca="1" si="162"/>
        <v>10000</v>
      </c>
      <c r="AX264" s="750">
        <f t="shared" ref="AX264:AX327" ca="1" si="181">+MAX(IF(AV264&gt;AW264,AW264-AV263,AU264),0)</f>
        <v>0</v>
      </c>
      <c r="AY264" s="750">
        <f t="shared" ref="AY264:AY327" ca="1" si="182">+AU264-AX264</f>
        <v>0</v>
      </c>
      <c r="AZ264">
        <f t="shared" ref="AZ264:AZ327" si="183">+$AM$1+IF($AP$1&gt;$AP$2,$AM$3/2)</f>
        <v>5750</v>
      </c>
    </row>
    <row r="265" spans="4:52">
      <c r="D265">
        <v>258</v>
      </c>
      <c r="E265" s="6">
        <f t="shared" ref="E265:E315" ca="1" si="184">+DATE(YEAR(E264),MONTH(E264)-1,DAY(E264))</f>
        <v>44927</v>
      </c>
      <c r="F265" s="7">
        <f t="shared" ca="1" si="163"/>
        <v>1.0249999999999999</v>
      </c>
      <c r="G265" s="125">
        <f ca="1">IF('Simulador - 1º Pilar'!$E$99="Sí",IF('Aportaciones PPE'!$B$13&lt;'Aportaciones PPE'!E265,0,F265*$B$8/12),F265*$B$8/12)</f>
        <v>17937.499999999996</v>
      </c>
      <c r="H265" s="125">
        <f t="shared" ca="1" si="153"/>
        <v>896.87499999999989</v>
      </c>
      <c r="I265" s="125">
        <f t="shared" ca="1" si="164"/>
        <v>0</v>
      </c>
      <c r="J265" s="125">
        <f t="shared" ca="1" si="165"/>
        <v>0</v>
      </c>
      <c r="K265" s="125">
        <f t="shared" ca="1" si="166"/>
        <v>1372.8895878454675</v>
      </c>
      <c r="L265" s="125">
        <f t="shared" ref="L265:L328" ca="1" si="185">(1+$O$5)^(D265/12)*(I265+IF(AND(F265=1,F266=0),0))</f>
        <v>0</v>
      </c>
      <c r="M265" s="125">
        <f t="shared" ca="1" si="167"/>
        <v>0</v>
      </c>
      <c r="N265" s="125">
        <f t="shared" ca="1" si="168"/>
        <v>1372.8895878454675</v>
      </c>
      <c r="R265">
        <f t="shared" ref="R265:R328" si="186">D265</f>
        <v>258</v>
      </c>
      <c r="U265" s="55"/>
      <c r="V265">
        <f t="shared" ref="V265:V328" si="187">+IF(V264=11,12,IF(V264=12,1,V264+1))</f>
        <v>7</v>
      </c>
      <c r="W265">
        <f t="shared" ref="W265:W328" ca="1" si="188">+W264+IF(V264=12,1,0)</f>
        <v>2045</v>
      </c>
      <c r="X265" s="123">
        <f t="shared" ca="1" si="169"/>
        <v>53144</v>
      </c>
      <c r="Y265" s="64">
        <f t="shared" ca="1" si="170"/>
        <v>0</v>
      </c>
      <c r="Z265" s="64">
        <f t="shared" ca="1" si="171"/>
        <v>0</v>
      </c>
      <c r="AA265" s="64">
        <f t="shared" ca="1" si="172"/>
        <v>0</v>
      </c>
      <c r="AB265" s="64">
        <f t="shared" ca="1" si="173"/>
        <v>0</v>
      </c>
      <c r="AF265" t="str">
        <f t="shared" ca="1" si="154"/>
        <v>12023</v>
      </c>
      <c r="AG265" s="126">
        <f t="shared" ca="1" si="155"/>
        <v>0</v>
      </c>
      <c r="AH265" s="126">
        <f t="shared" ca="1" si="156"/>
        <v>0</v>
      </c>
      <c r="AI265" s="126">
        <f t="shared" ca="1" si="157"/>
        <v>896.87499999999989</v>
      </c>
      <c r="AJ265" t="str">
        <f t="shared" ca="1" si="158"/>
        <v>72045</v>
      </c>
      <c r="AK265" s="126">
        <f t="shared" ca="1" si="174"/>
        <v>0</v>
      </c>
      <c r="AL265" s="126">
        <f t="shared" ca="1" si="175"/>
        <v>0</v>
      </c>
      <c r="AM265" s="126">
        <f t="shared" ref="AM265:AM328" ca="1" si="189">IF(W265&gt;W264,IF(AL265&gt;=$AZ$8,$AZ$8,AL265),IF(OR(AM264=$AZ$8,AM264=0),0,IF(AL265&gt;=$AZ$8,$AZ$8,AL265)))</f>
        <v>0</v>
      </c>
      <c r="AN265" s="753">
        <f t="shared" ref="AN265:AN328" ca="1" si="190">+IF(OR(AM265&gt;AZ264,AM265=0),0,IF(AM265=AL265,AK265,$AZ$7-AL264))</f>
        <v>0</v>
      </c>
      <c r="AO265" s="750">
        <f t="shared" ca="1" si="176"/>
        <v>0</v>
      </c>
      <c r="AP265" s="126">
        <f t="shared" ca="1" si="177"/>
        <v>0</v>
      </c>
      <c r="AQ265" s="126">
        <f t="shared" ca="1" si="178"/>
        <v>0</v>
      </c>
      <c r="AR265" s="126">
        <f t="shared" ca="1" si="159"/>
        <v>10000</v>
      </c>
      <c r="AS265" s="750">
        <f t="shared" ca="1" si="160"/>
        <v>0</v>
      </c>
      <c r="AT265" s="750">
        <f t="shared" ca="1" si="161"/>
        <v>0</v>
      </c>
      <c r="AU265" s="126">
        <f t="shared" ca="1" si="179"/>
        <v>0</v>
      </c>
      <c r="AV265" s="126">
        <f t="shared" ca="1" si="180"/>
        <v>0</v>
      </c>
      <c r="AW265" s="126">
        <f t="shared" ca="1" si="162"/>
        <v>10000</v>
      </c>
      <c r="AX265" s="750">
        <f t="shared" ca="1" si="181"/>
        <v>0</v>
      </c>
      <c r="AY265" s="750">
        <f t="shared" ca="1" si="182"/>
        <v>0</v>
      </c>
      <c r="AZ265">
        <f t="shared" si="183"/>
        <v>5750</v>
      </c>
    </row>
    <row r="266" spans="4:52">
      <c r="D266">
        <v>259</v>
      </c>
      <c r="E266" s="6">
        <f t="shared" ca="1" si="184"/>
        <v>44896</v>
      </c>
      <c r="F266" s="7">
        <f t="shared" ca="1" si="163"/>
        <v>1</v>
      </c>
      <c r="G266" s="125">
        <f ca="1">IF('Simulador - 1º Pilar'!$E$99="Sí",IF('Aportaciones PPE'!$B$13&lt;'Aportaciones PPE'!E266,0,F266*$B$8/12),F266*$B$8/12)</f>
        <v>17500</v>
      </c>
      <c r="H266" s="125">
        <f t="shared" ca="1" si="153"/>
        <v>875</v>
      </c>
      <c r="I266" s="125">
        <f t="shared" ca="1" si="164"/>
        <v>0</v>
      </c>
      <c r="J266" s="125">
        <f t="shared" ca="1" si="165"/>
        <v>0</v>
      </c>
      <c r="K266" s="125">
        <f t="shared" ca="1" si="166"/>
        <v>1341.6166113349796</v>
      </c>
      <c r="L266" s="125">
        <f t="shared" ca="1" si="185"/>
        <v>0</v>
      </c>
      <c r="M266" s="125">
        <f t="shared" ca="1" si="167"/>
        <v>0</v>
      </c>
      <c r="N266" s="125">
        <f t="shared" ca="1" si="168"/>
        <v>1341.6166113349796</v>
      </c>
      <c r="R266">
        <f t="shared" si="186"/>
        <v>259</v>
      </c>
      <c r="U266" s="55"/>
      <c r="V266">
        <f t="shared" si="187"/>
        <v>8</v>
      </c>
      <c r="W266">
        <f t="shared" ca="1" si="188"/>
        <v>2045</v>
      </c>
      <c r="X266" s="123">
        <f t="shared" ca="1" si="169"/>
        <v>53175</v>
      </c>
      <c r="Y266" s="64">
        <f t="shared" ca="1" si="170"/>
        <v>0</v>
      </c>
      <c r="Z266" s="64">
        <f t="shared" ca="1" si="171"/>
        <v>0</v>
      </c>
      <c r="AA266" s="64">
        <f t="shared" ca="1" si="172"/>
        <v>0</v>
      </c>
      <c r="AB266" s="64">
        <f t="shared" ca="1" si="173"/>
        <v>0</v>
      </c>
      <c r="AF266" t="str">
        <f t="shared" ca="1" si="154"/>
        <v>122022</v>
      </c>
      <c r="AG266" s="126">
        <f t="shared" ca="1" si="155"/>
        <v>0</v>
      </c>
      <c r="AH266" s="126">
        <f t="shared" ca="1" si="156"/>
        <v>0</v>
      </c>
      <c r="AI266" s="126">
        <f t="shared" ca="1" si="157"/>
        <v>875</v>
      </c>
      <c r="AJ266" t="str">
        <f t="shared" ca="1" si="158"/>
        <v>82045</v>
      </c>
      <c r="AK266" s="126">
        <f t="shared" ca="1" si="174"/>
        <v>0</v>
      </c>
      <c r="AL266" s="126">
        <f t="shared" ca="1" si="175"/>
        <v>0</v>
      </c>
      <c r="AM266" s="126">
        <f t="shared" ca="1" si="189"/>
        <v>0</v>
      </c>
      <c r="AN266" s="753">
        <f t="shared" ca="1" si="190"/>
        <v>0</v>
      </c>
      <c r="AO266" s="750">
        <f t="shared" ca="1" si="176"/>
        <v>0</v>
      </c>
      <c r="AP266" s="126">
        <f t="shared" ca="1" si="177"/>
        <v>0</v>
      </c>
      <c r="AQ266" s="126">
        <f t="shared" ca="1" si="178"/>
        <v>0</v>
      </c>
      <c r="AR266" s="126">
        <f t="shared" ca="1" si="159"/>
        <v>10000</v>
      </c>
      <c r="AS266" s="750">
        <f t="shared" ca="1" si="160"/>
        <v>0</v>
      </c>
      <c r="AT266" s="750">
        <f t="shared" ca="1" si="161"/>
        <v>0</v>
      </c>
      <c r="AU266" s="126">
        <f t="shared" ca="1" si="179"/>
        <v>0</v>
      </c>
      <c r="AV266" s="126">
        <f t="shared" ca="1" si="180"/>
        <v>0</v>
      </c>
      <c r="AW266" s="126">
        <f t="shared" ca="1" si="162"/>
        <v>10000</v>
      </c>
      <c r="AX266" s="750">
        <f t="shared" ca="1" si="181"/>
        <v>0</v>
      </c>
      <c r="AY266" s="750">
        <f t="shared" ca="1" si="182"/>
        <v>0</v>
      </c>
      <c r="AZ266">
        <f t="shared" si="183"/>
        <v>5750</v>
      </c>
    </row>
    <row r="267" spans="4:52">
      <c r="D267">
        <v>260</v>
      </c>
      <c r="E267" s="6">
        <f t="shared" ca="1" si="184"/>
        <v>44866</v>
      </c>
      <c r="F267" s="7">
        <f t="shared" ca="1" si="163"/>
        <v>1</v>
      </c>
      <c r="G267" s="125">
        <f ca="1">IF('Simulador - 1º Pilar'!$E$99="Sí",IF('Aportaciones PPE'!$B$13&lt;'Aportaciones PPE'!E267,0,F267*$B$8/12),F267*$B$8/12)</f>
        <v>17500</v>
      </c>
      <c r="H267" s="125">
        <f t="shared" ca="1" si="153"/>
        <v>875</v>
      </c>
      <c r="I267" s="125">
        <f t="shared" ca="1" si="164"/>
        <v>0</v>
      </c>
      <c r="J267" s="125">
        <f t="shared" ca="1" si="165"/>
        <v>0</v>
      </c>
      <c r="K267" s="125">
        <f t="shared" ca="1" si="166"/>
        <v>1343.8324002446061</v>
      </c>
      <c r="L267" s="125">
        <f t="shared" ca="1" si="185"/>
        <v>0</v>
      </c>
      <c r="M267" s="125">
        <f t="shared" ca="1" si="167"/>
        <v>0</v>
      </c>
      <c r="N267" s="125">
        <f t="shared" ca="1" si="168"/>
        <v>1343.8324002446061</v>
      </c>
      <c r="R267">
        <f t="shared" si="186"/>
        <v>260</v>
      </c>
      <c r="U267" s="55"/>
      <c r="V267">
        <f t="shared" si="187"/>
        <v>9</v>
      </c>
      <c r="W267">
        <f t="shared" ca="1" si="188"/>
        <v>2045</v>
      </c>
      <c r="X267" s="123">
        <f t="shared" ca="1" si="169"/>
        <v>53206</v>
      </c>
      <c r="Y267" s="64">
        <f t="shared" ca="1" si="170"/>
        <v>0</v>
      </c>
      <c r="Z267" s="64">
        <f t="shared" ca="1" si="171"/>
        <v>0</v>
      </c>
      <c r="AA267" s="64">
        <f t="shared" ca="1" si="172"/>
        <v>0</v>
      </c>
      <c r="AB267" s="64">
        <f t="shared" ca="1" si="173"/>
        <v>0</v>
      </c>
      <c r="AF267" t="str">
        <f t="shared" ca="1" si="154"/>
        <v>112022</v>
      </c>
      <c r="AG267" s="126">
        <f t="shared" ca="1" si="155"/>
        <v>0</v>
      </c>
      <c r="AH267" s="126">
        <f t="shared" ca="1" si="156"/>
        <v>0</v>
      </c>
      <c r="AI267" s="126">
        <f t="shared" ca="1" si="157"/>
        <v>875</v>
      </c>
      <c r="AJ267" t="str">
        <f t="shared" ca="1" si="158"/>
        <v>92045</v>
      </c>
      <c r="AK267" s="126">
        <f t="shared" ca="1" si="174"/>
        <v>0</v>
      </c>
      <c r="AL267" s="126">
        <f t="shared" ca="1" si="175"/>
        <v>0</v>
      </c>
      <c r="AM267" s="126">
        <f t="shared" ca="1" si="189"/>
        <v>0</v>
      </c>
      <c r="AN267" s="753">
        <f t="shared" ca="1" si="190"/>
        <v>0</v>
      </c>
      <c r="AO267" s="750">
        <f t="shared" ca="1" si="176"/>
        <v>0</v>
      </c>
      <c r="AP267" s="126">
        <f t="shared" ca="1" si="177"/>
        <v>0</v>
      </c>
      <c r="AQ267" s="126">
        <f t="shared" ca="1" si="178"/>
        <v>0</v>
      </c>
      <c r="AR267" s="126">
        <f t="shared" ca="1" si="159"/>
        <v>10000</v>
      </c>
      <c r="AS267" s="750">
        <f t="shared" ca="1" si="160"/>
        <v>0</v>
      </c>
      <c r="AT267" s="750">
        <f t="shared" ca="1" si="161"/>
        <v>0</v>
      </c>
      <c r="AU267" s="126">
        <f t="shared" ca="1" si="179"/>
        <v>0</v>
      </c>
      <c r="AV267" s="126">
        <f t="shared" ca="1" si="180"/>
        <v>0</v>
      </c>
      <c r="AW267" s="126">
        <f t="shared" ca="1" si="162"/>
        <v>10000</v>
      </c>
      <c r="AX267" s="750">
        <f t="shared" ca="1" si="181"/>
        <v>0</v>
      </c>
      <c r="AY267" s="750">
        <f t="shared" ca="1" si="182"/>
        <v>0</v>
      </c>
      <c r="AZ267">
        <f t="shared" si="183"/>
        <v>5750</v>
      </c>
    </row>
    <row r="268" spans="4:52">
      <c r="D268">
        <v>261</v>
      </c>
      <c r="E268" s="6">
        <f t="shared" ca="1" si="184"/>
        <v>44835</v>
      </c>
      <c r="F268" s="7">
        <f t="shared" ca="1" si="163"/>
        <v>1</v>
      </c>
      <c r="G268" s="125">
        <f ca="1">IF('Simulador - 1º Pilar'!$E$99="Sí",IF('Aportaciones PPE'!$B$13&lt;'Aportaciones PPE'!E268,0,F268*$B$8/12),F268*$B$8/12)</f>
        <v>17500</v>
      </c>
      <c r="H268" s="125">
        <f t="shared" ca="1" si="153"/>
        <v>875</v>
      </c>
      <c r="I268" s="125">
        <f t="shared" ca="1" si="164"/>
        <v>0</v>
      </c>
      <c r="J268" s="125">
        <f t="shared" ca="1" si="165"/>
        <v>0</v>
      </c>
      <c r="K268" s="125">
        <f t="shared" ca="1" si="166"/>
        <v>1346.0518487097643</v>
      </c>
      <c r="L268" s="125">
        <f t="shared" ca="1" si="185"/>
        <v>0</v>
      </c>
      <c r="M268" s="125">
        <f t="shared" ca="1" si="167"/>
        <v>0</v>
      </c>
      <c r="N268" s="125">
        <f t="shared" ca="1" si="168"/>
        <v>1346.0518487097643</v>
      </c>
      <c r="R268">
        <f t="shared" si="186"/>
        <v>261</v>
      </c>
      <c r="U268" s="55"/>
      <c r="V268">
        <f t="shared" si="187"/>
        <v>10</v>
      </c>
      <c r="W268">
        <f t="shared" ca="1" si="188"/>
        <v>2045</v>
      </c>
      <c r="X268" s="123">
        <f t="shared" ca="1" si="169"/>
        <v>53236</v>
      </c>
      <c r="Y268" s="64">
        <f t="shared" ca="1" si="170"/>
        <v>0</v>
      </c>
      <c r="Z268" s="64">
        <f t="shared" ca="1" si="171"/>
        <v>0</v>
      </c>
      <c r="AA268" s="64">
        <f t="shared" ca="1" si="172"/>
        <v>0</v>
      </c>
      <c r="AB268" s="64">
        <f t="shared" ca="1" si="173"/>
        <v>0</v>
      </c>
      <c r="AF268" t="str">
        <f t="shared" ca="1" si="154"/>
        <v>102022</v>
      </c>
      <c r="AG268" s="126">
        <f t="shared" ca="1" si="155"/>
        <v>0</v>
      </c>
      <c r="AH268" s="126">
        <f t="shared" ca="1" si="156"/>
        <v>0</v>
      </c>
      <c r="AI268" s="126">
        <f t="shared" ca="1" si="157"/>
        <v>875</v>
      </c>
      <c r="AJ268" t="str">
        <f t="shared" ca="1" si="158"/>
        <v>102045</v>
      </c>
      <c r="AK268" s="126">
        <f t="shared" ca="1" si="174"/>
        <v>0</v>
      </c>
      <c r="AL268" s="126">
        <f t="shared" ca="1" si="175"/>
        <v>0</v>
      </c>
      <c r="AM268" s="126">
        <f t="shared" ca="1" si="189"/>
        <v>0</v>
      </c>
      <c r="AN268" s="753">
        <f t="shared" ca="1" si="190"/>
        <v>0</v>
      </c>
      <c r="AO268" s="750">
        <f t="shared" ca="1" si="176"/>
        <v>0</v>
      </c>
      <c r="AP268" s="126">
        <f t="shared" ca="1" si="177"/>
        <v>0</v>
      </c>
      <c r="AQ268" s="126">
        <f t="shared" ca="1" si="178"/>
        <v>0</v>
      </c>
      <c r="AR268" s="126">
        <f t="shared" ca="1" si="159"/>
        <v>10000</v>
      </c>
      <c r="AS268" s="750">
        <f t="shared" ca="1" si="160"/>
        <v>0</v>
      </c>
      <c r="AT268" s="750">
        <f t="shared" ca="1" si="161"/>
        <v>0</v>
      </c>
      <c r="AU268" s="126">
        <f t="shared" ca="1" si="179"/>
        <v>0</v>
      </c>
      <c r="AV268" s="126">
        <f t="shared" ca="1" si="180"/>
        <v>0</v>
      </c>
      <c r="AW268" s="126">
        <f t="shared" ca="1" si="162"/>
        <v>10000</v>
      </c>
      <c r="AX268" s="750">
        <f t="shared" ca="1" si="181"/>
        <v>0</v>
      </c>
      <c r="AY268" s="750">
        <f t="shared" ca="1" si="182"/>
        <v>0</v>
      </c>
      <c r="AZ268">
        <f t="shared" si="183"/>
        <v>5750</v>
      </c>
    </row>
    <row r="269" spans="4:52">
      <c r="D269">
        <v>262</v>
      </c>
      <c r="E269" s="6">
        <f t="shared" ca="1" si="184"/>
        <v>44805</v>
      </c>
      <c r="F269" s="7">
        <f t="shared" ca="1" si="163"/>
        <v>1</v>
      </c>
      <c r="G269" s="125">
        <f ca="1">IF('Simulador - 1º Pilar'!$E$99="Sí",IF('Aportaciones PPE'!$B$13&lt;'Aportaciones PPE'!E269,0,F269*$B$8/12),F269*$B$8/12)</f>
        <v>17500</v>
      </c>
      <c r="H269" s="125">
        <f t="shared" ca="1" si="153"/>
        <v>875</v>
      </c>
      <c r="I269" s="125">
        <f t="shared" ca="1" si="164"/>
        <v>0</v>
      </c>
      <c r="J269" s="125">
        <f t="shared" ca="1" si="165"/>
        <v>0</v>
      </c>
      <c r="K269" s="125">
        <f t="shared" ca="1" si="166"/>
        <v>1348.2749627745084</v>
      </c>
      <c r="L269" s="125">
        <f t="shared" ca="1" si="185"/>
        <v>0</v>
      </c>
      <c r="M269" s="125">
        <f t="shared" ca="1" si="167"/>
        <v>0</v>
      </c>
      <c r="N269" s="125">
        <f t="shared" ca="1" si="168"/>
        <v>1348.2749627745084</v>
      </c>
      <c r="R269">
        <f t="shared" si="186"/>
        <v>262</v>
      </c>
      <c r="U269" s="55"/>
      <c r="V269">
        <f t="shared" si="187"/>
        <v>11</v>
      </c>
      <c r="W269">
        <f t="shared" ca="1" si="188"/>
        <v>2045</v>
      </c>
      <c r="X269" s="123">
        <f t="shared" ca="1" si="169"/>
        <v>53267</v>
      </c>
      <c r="Y269" s="64">
        <f t="shared" ca="1" si="170"/>
        <v>0</v>
      </c>
      <c r="Z269" s="64">
        <f t="shared" ca="1" si="171"/>
        <v>0</v>
      </c>
      <c r="AA269" s="64">
        <f t="shared" ca="1" si="172"/>
        <v>0</v>
      </c>
      <c r="AB269" s="64">
        <f t="shared" ca="1" si="173"/>
        <v>0</v>
      </c>
      <c r="AF269" t="str">
        <f t="shared" ca="1" si="154"/>
        <v>92022</v>
      </c>
      <c r="AG269" s="126">
        <f t="shared" ca="1" si="155"/>
        <v>0</v>
      </c>
      <c r="AH269" s="126">
        <f t="shared" ca="1" si="156"/>
        <v>0</v>
      </c>
      <c r="AI269" s="126">
        <f t="shared" ca="1" si="157"/>
        <v>875</v>
      </c>
      <c r="AJ269" t="str">
        <f t="shared" ca="1" si="158"/>
        <v>112045</v>
      </c>
      <c r="AK269" s="126">
        <f t="shared" ca="1" si="174"/>
        <v>0</v>
      </c>
      <c r="AL269" s="126">
        <f t="shared" ca="1" si="175"/>
        <v>0</v>
      </c>
      <c r="AM269" s="126">
        <f t="shared" ca="1" si="189"/>
        <v>0</v>
      </c>
      <c r="AN269" s="753">
        <f t="shared" ca="1" si="190"/>
        <v>0</v>
      </c>
      <c r="AO269" s="750">
        <f t="shared" ca="1" si="176"/>
        <v>0</v>
      </c>
      <c r="AP269" s="126">
        <f t="shared" ca="1" si="177"/>
        <v>0</v>
      </c>
      <c r="AQ269" s="126">
        <f t="shared" ca="1" si="178"/>
        <v>0</v>
      </c>
      <c r="AR269" s="126">
        <f t="shared" ca="1" si="159"/>
        <v>10000</v>
      </c>
      <c r="AS269" s="750">
        <f t="shared" ca="1" si="160"/>
        <v>0</v>
      </c>
      <c r="AT269" s="750">
        <f t="shared" ca="1" si="161"/>
        <v>0</v>
      </c>
      <c r="AU269" s="126">
        <f t="shared" ca="1" si="179"/>
        <v>0</v>
      </c>
      <c r="AV269" s="126">
        <f t="shared" ca="1" si="180"/>
        <v>0</v>
      </c>
      <c r="AW269" s="126">
        <f t="shared" ca="1" si="162"/>
        <v>10000</v>
      </c>
      <c r="AX269" s="750">
        <f t="shared" ca="1" si="181"/>
        <v>0</v>
      </c>
      <c r="AY269" s="750">
        <f t="shared" ca="1" si="182"/>
        <v>0</v>
      </c>
      <c r="AZ269">
        <f t="shared" si="183"/>
        <v>5750</v>
      </c>
    </row>
    <row r="270" spans="4:52">
      <c r="D270">
        <v>263</v>
      </c>
      <c r="E270" s="6">
        <f t="shared" ca="1" si="184"/>
        <v>44774</v>
      </c>
      <c r="F270" s="7">
        <f t="shared" ca="1" si="163"/>
        <v>1</v>
      </c>
      <c r="G270" s="125">
        <f ca="1">IF('Simulador - 1º Pilar'!$E$99="Sí",IF('Aportaciones PPE'!$B$13&lt;'Aportaciones PPE'!E270,0,F270*$B$8/12),F270*$B$8/12)</f>
        <v>17500</v>
      </c>
      <c r="H270" s="125">
        <f t="shared" ca="1" si="153"/>
        <v>875</v>
      </c>
      <c r="I270" s="125">
        <f t="shared" ca="1" si="164"/>
        <v>0</v>
      </c>
      <c r="J270" s="125">
        <f t="shared" ca="1" si="165"/>
        <v>0</v>
      </c>
      <c r="K270" s="125">
        <f t="shared" ca="1" si="166"/>
        <v>1350.5017484928742</v>
      </c>
      <c r="L270" s="125">
        <f t="shared" ca="1" si="185"/>
        <v>0</v>
      </c>
      <c r="M270" s="125">
        <f t="shared" ca="1" si="167"/>
        <v>0</v>
      </c>
      <c r="N270" s="125">
        <f t="shared" ca="1" si="168"/>
        <v>1350.5017484928742</v>
      </c>
      <c r="R270">
        <f t="shared" si="186"/>
        <v>263</v>
      </c>
      <c r="U270" s="55"/>
      <c r="V270">
        <f t="shared" si="187"/>
        <v>12</v>
      </c>
      <c r="W270">
        <f t="shared" ca="1" si="188"/>
        <v>2045</v>
      </c>
      <c r="X270" s="123">
        <f t="shared" ca="1" si="169"/>
        <v>53297</v>
      </c>
      <c r="Y270" s="64">
        <f t="shared" ca="1" si="170"/>
        <v>0</v>
      </c>
      <c r="Z270" s="64">
        <f t="shared" ca="1" si="171"/>
        <v>0</v>
      </c>
      <c r="AA270" s="64">
        <f t="shared" ca="1" si="172"/>
        <v>0</v>
      </c>
      <c r="AB270" s="64">
        <f t="shared" ca="1" si="173"/>
        <v>0</v>
      </c>
      <c r="AF270" t="str">
        <f t="shared" ca="1" si="154"/>
        <v>82022</v>
      </c>
      <c r="AG270" s="126">
        <f t="shared" ca="1" si="155"/>
        <v>0</v>
      </c>
      <c r="AH270" s="126">
        <f t="shared" ca="1" si="156"/>
        <v>0</v>
      </c>
      <c r="AI270" s="126">
        <f t="shared" ca="1" si="157"/>
        <v>875</v>
      </c>
      <c r="AJ270" t="str">
        <f t="shared" ca="1" si="158"/>
        <v>122045</v>
      </c>
      <c r="AK270" s="126">
        <f t="shared" ca="1" si="174"/>
        <v>0</v>
      </c>
      <c r="AL270" s="126">
        <f t="shared" ca="1" si="175"/>
        <v>0</v>
      </c>
      <c r="AM270" s="126">
        <f t="shared" ca="1" si="189"/>
        <v>0</v>
      </c>
      <c r="AN270" s="753">
        <f t="shared" ca="1" si="190"/>
        <v>0</v>
      </c>
      <c r="AO270" s="750">
        <f t="shared" ca="1" si="176"/>
        <v>0</v>
      </c>
      <c r="AP270" s="126">
        <f t="shared" ca="1" si="177"/>
        <v>0</v>
      </c>
      <c r="AQ270" s="126">
        <f t="shared" ca="1" si="178"/>
        <v>0</v>
      </c>
      <c r="AR270" s="126">
        <f t="shared" ca="1" si="159"/>
        <v>10000</v>
      </c>
      <c r="AS270" s="750">
        <f t="shared" ca="1" si="160"/>
        <v>0</v>
      </c>
      <c r="AT270" s="750">
        <f t="shared" ca="1" si="161"/>
        <v>0</v>
      </c>
      <c r="AU270" s="126">
        <f t="shared" ca="1" si="179"/>
        <v>0</v>
      </c>
      <c r="AV270" s="126">
        <f t="shared" ca="1" si="180"/>
        <v>0</v>
      </c>
      <c r="AW270" s="126">
        <f t="shared" ca="1" si="162"/>
        <v>10000</v>
      </c>
      <c r="AX270" s="750">
        <f t="shared" ca="1" si="181"/>
        <v>0</v>
      </c>
      <c r="AY270" s="750">
        <f t="shared" ca="1" si="182"/>
        <v>0</v>
      </c>
      <c r="AZ270">
        <f t="shared" si="183"/>
        <v>5750</v>
      </c>
    </row>
    <row r="271" spans="4:52">
      <c r="D271">
        <v>264</v>
      </c>
      <c r="E271" s="6">
        <f t="shared" ca="1" si="184"/>
        <v>44743</v>
      </c>
      <c r="F271" s="7">
        <f t="shared" ca="1" si="163"/>
        <v>1</v>
      </c>
      <c r="G271" s="125">
        <f ca="1">IF('Simulador - 1º Pilar'!$E$99="Sí",IF('Aportaciones PPE'!$B$13&lt;'Aportaciones PPE'!E271,0,F271*$B$8/12),F271*$B$8/12)</f>
        <v>17500</v>
      </c>
      <c r="H271" s="125">
        <f t="shared" ca="1" si="153"/>
        <v>875</v>
      </c>
      <c r="I271" s="125">
        <f t="shared" ca="1" si="164"/>
        <v>0</v>
      </c>
      <c r="J271" s="125">
        <f t="shared" ca="1" si="165"/>
        <v>0</v>
      </c>
      <c r="K271" s="125">
        <f t="shared" ca="1" si="166"/>
        <v>1352.7322119288947</v>
      </c>
      <c r="L271" s="125">
        <f t="shared" ca="1" si="185"/>
        <v>0</v>
      </c>
      <c r="M271" s="125">
        <f t="shared" ca="1" si="167"/>
        <v>0</v>
      </c>
      <c r="N271" s="125">
        <f t="shared" ca="1" si="168"/>
        <v>1352.7322119288947</v>
      </c>
      <c r="R271">
        <f t="shared" si="186"/>
        <v>264</v>
      </c>
      <c r="U271" s="55"/>
      <c r="V271">
        <f t="shared" si="187"/>
        <v>1</v>
      </c>
      <c r="W271">
        <f t="shared" ca="1" si="188"/>
        <v>2046</v>
      </c>
      <c r="X271" s="123">
        <f t="shared" ca="1" si="169"/>
        <v>53328</v>
      </c>
      <c r="Y271" s="64">
        <f t="shared" ca="1" si="170"/>
        <v>0</v>
      </c>
      <c r="Z271" s="64">
        <f t="shared" ca="1" si="171"/>
        <v>0</v>
      </c>
      <c r="AA271" s="64">
        <f t="shared" ca="1" si="172"/>
        <v>0</v>
      </c>
      <c r="AB271" s="64">
        <f t="shared" ca="1" si="173"/>
        <v>0</v>
      </c>
      <c r="AF271" t="str">
        <f t="shared" ca="1" si="154"/>
        <v>72022</v>
      </c>
      <c r="AG271" s="126">
        <f t="shared" ca="1" si="155"/>
        <v>0</v>
      </c>
      <c r="AH271" s="126">
        <f t="shared" ca="1" si="156"/>
        <v>0</v>
      </c>
      <c r="AI271" s="126">
        <f t="shared" ca="1" si="157"/>
        <v>875</v>
      </c>
      <c r="AJ271" t="str">
        <f t="shared" ca="1" si="158"/>
        <v>12046</v>
      </c>
      <c r="AK271" s="126">
        <f t="shared" ca="1" si="174"/>
        <v>0</v>
      </c>
      <c r="AL271" s="126">
        <f t="shared" ca="1" si="175"/>
        <v>0</v>
      </c>
      <c r="AM271" s="126">
        <f t="shared" ca="1" si="189"/>
        <v>0</v>
      </c>
      <c r="AN271" s="753">
        <f t="shared" ca="1" si="190"/>
        <v>0</v>
      </c>
      <c r="AO271" s="750">
        <f t="shared" ca="1" si="176"/>
        <v>0</v>
      </c>
      <c r="AP271" s="126">
        <f t="shared" ca="1" si="177"/>
        <v>0</v>
      </c>
      <c r="AQ271" s="126">
        <f t="shared" ca="1" si="178"/>
        <v>0</v>
      </c>
      <c r="AR271" s="126">
        <f t="shared" ca="1" si="159"/>
        <v>10000</v>
      </c>
      <c r="AS271" s="750">
        <f t="shared" ca="1" si="160"/>
        <v>0</v>
      </c>
      <c r="AT271" s="750">
        <f t="shared" ca="1" si="161"/>
        <v>0</v>
      </c>
      <c r="AU271" s="126">
        <f t="shared" ca="1" si="179"/>
        <v>0</v>
      </c>
      <c r="AV271" s="126">
        <f t="shared" ca="1" si="180"/>
        <v>0</v>
      </c>
      <c r="AW271" s="126">
        <f t="shared" ca="1" si="162"/>
        <v>10000</v>
      </c>
      <c r="AX271" s="750">
        <f t="shared" ca="1" si="181"/>
        <v>0</v>
      </c>
      <c r="AY271" s="750">
        <f t="shared" ca="1" si="182"/>
        <v>0</v>
      </c>
      <c r="AZ271">
        <f t="shared" si="183"/>
        <v>5750</v>
      </c>
    </row>
    <row r="272" spans="4:52">
      <c r="D272">
        <v>265</v>
      </c>
      <c r="E272" s="6">
        <f t="shared" ca="1" si="184"/>
        <v>44713</v>
      </c>
      <c r="F272" s="7">
        <f t="shared" ca="1" si="163"/>
        <v>1</v>
      </c>
      <c r="G272" s="125">
        <f ca="1">IF('Simulador - 1º Pilar'!$E$99="Sí",IF('Aportaciones PPE'!$B$13&lt;'Aportaciones PPE'!E272,0,F272*$B$8/12),F272*$B$8/12)</f>
        <v>17500</v>
      </c>
      <c r="H272" s="125">
        <f t="shared" ca="1" si="153"/>
        <v>875</v>
      </c>
      <c r="I272" s="125">
        <f t="shared" ca="1" si="164"/>
        <v>0</v>
      </c>
      <c r="J272" s="125">
        <f t="shared" ca="1" si="165"/>
        <v>0</v>
      </c>
      <c r="K272" s="125">
        <f t="shared" ca="1" si="166"/>
        <v>1354.9663591566223</v>
      </c>
      <c r="L272" s="125">
        <f t="shared" ca="1" si="185"/>
        <v>0</v>
      </c>
      <c r="M272" s="125">
        <f t="shared" ca="1" si="167"/>
        <v>0</v>
      </c>
      <c r="N272" s="125">
        <f t="shared" ca="1" si="168"/>
        <v>1354.9663591566223</v>
      </c>
      <c r="R272">
        <f t="shared" si="186"/>
        <v>265</v>
      </c>
      <c r="U272" s="55"/>
      <c r="V272">
        <f t="shared" si="187"/>
        <v>2</v>
      </c>
      <c r="W272">
        <f t="shared" ca="1" si="188"/>
        <v>2046</v>
      </c>
      <c r="X272" s="123">
        <f t="shared" ca="1" si="169"/>
        <v>53359</v>
      </c>
      <c r="Y272" s="64">
        <f t="shared" ca="1" si="170"/>
        <v>0</v>
      </c>
      <c r="Z272" s="64">
        <f t="shared" ca="1" si="171"/>
        <v>0</v>
      </c>
      <c r="AA272" s="64">
        <f t="shared" ca="1" si="172"/>
        <v>0</v>
      </c>
      <c r="AB272" s="64">
        <f t="shared" ca="1" si="173"/>
        <v>0</v>
      </c>
      <c r="AF272" t="str">
        <f t="shared" ca="1" si="154"/>
        <v>62022</v>
      </c>
      <c r="AG272" s="126">
        <f t="shared" ca="1" si="155"/>
        <v>0</v>
      </c>
      <c r="AH272" s="126">
        <f t="shared" ca="1" si="156"/>
        <v>0</v>
      </c>
      <c r="AI272" s="126">
        <f t="shared" ca="1" si="157"/>
        <v>875</v>
      </c>
      <c r="AJ272" t="str">
        <f t="shared" ca="1" si="158"/>
        <v>22046</v>
      </c>
      <c r="AK272" s="126">
        <f t="shared" ca="1" si="174"/>
        <v>0</v>
      </c>
      <c r="AL272" s="126">
        <f t="shared" ca="1" si="175"/>
        <v>0</v>
      </c>
      <c r="AM272" s="126">
        <f t="shared" ca="1" si="189"/>
        <v>0</v>
      </c>
      <c r="AN272" s="753">
        <f t="shared" ca="1" si="190"/>
        <v>0</v>
      </c>
      <c r="AO272" s="750">
        <f t="shared" ca="1" si="176"/>
        <v>0</v>
      </c>
      <c r="AP272" s="126">
        <f t="shared" ca="1" si="177"/>
        <v>0</v>
      </c>
      <c r="AQ272" s="126">
        <f t="shared" ca="1" si="178"/>
        <v>0</v>
      </c>
      <c r="AR272" s="126">
        <f t="shared" ca="1" si="159"/>
        <v>10000</v>
      </c>
      <c r="AS272" s="750">
        <f t="shared" ca="1" si="160"/>
        <v>0</v>
      </c>
      <c r="AT272" s="750">
        <f t="shared" ca="1" si="161"/>
        <v>0</v>
      </c>
      <c r="AU272" s="126">
        <f t="shared" ca="1" si="179"/>
        <v>0</v>
      </c>
      <c r="AV272" s="126">
        <f t="shared" ca="1" si="180"/>
        <v>0</v>
      </c>
      <c r="AW272" s="126">
        <f t="shared" ca="1" si="162"/>
        <v>10000</v>
      </c>
      <c r="AX272" s="750">
        <f t="shared" ca="1" si="181"/>
        <v>0</v>
      </c>
      <c r="AY272" s="750">
        <f t="shared" ca="1" si="182"/>
        <v>0</v>
      </c>
      <c r="AZ272">
        <f t="shared" si="183"/>
        <v>5750</v>
      </c>
    </row>
    <row r="273" spans="4:52">
      <c r="D273">
        <v>266</v>
      </c>
      <c r="E273" s="6">
        <f t="shared" ca="1" si="184"/>
        <v>44682</v>
      </c>
      <c r="F273" s="7">
        <f t="shared" ca="1" si="163"/>
        <v>1</v>
      </c>
      <c r="G273" s="125">
        <f ca="1">IF('Simulador - 1º Pilar'!$E$99="Sí",IF('Aportaciones PPE'!$B$13&lt;'Aportaciones PPE'!E273,0,F273*$B$8/12),F273*$B$8/12)</f>
        <v>17500</v>
      </c>
      <c r="H273" s="125">
        <f t="shared" ca="1" si="153"/>
        <v>875</v>
      </c>
      <c r="I273" s="125">
        <f t="shared" ca="1" si="164"/>
        <v>0</v>
      </c>
      <c r="J273" s="125">
        <f t="shared" ca="1" si="165"/>
        <v>0</v>
      </c>
      <c r="K273" s="125">
        <f t="shared" ca="1" si="166"/>
        <v>1357.2041962601363</v>
      </c>
      <c r="L273" s="125">
        <f t="shared" ca="1" si="185"/>
        <v>0</v>
      </c>
      <c r="M273" s="125">
        <f t="shared" ca="1" si="167"/>
        <v>0</v>
      </c>
      <c r="N273" s="125">
        <f t="shared" ca="1" si="168"/>
        <v>1357.2041962601363</v>
      </c>
      <c r="R273">
        <f t="shared" si="186"/>
        <v>266</v>
      </c>
      <c r="U273" s="55"/>
      <c r="V273">
        <f t="shared" si="187"/>
        <v>3</v>
      </c>
      <c r="W273">
        <f t="shared" ca="1" si="188"/>
        <v>2046</v>
      </c>
      <c r="X273" s="123">
        <f t="shared" ca="1" si="169"/>
        <v>53387</v>
      </c>
      <c r="Y273" s="64">
        <f t="shared" ca="1" si="170"/>
        <v>0</v>
      </c>
      <c r="Z273" s="64">
        <f t="shared" ca="1" si="171"/>
        <v>0</v>
      </c>
      <c r="AA273" s="64">
        <f t="shared" ca="1" si="172"/>
        <v>0</v>
      </c>
      <c r="AB273" s="64">
        <f t="shared" ca="1" si="173"/>
        <v>0</v>
      </c>
      <c r="AF273" t="str">
        <f t="shared" ca="1" si="154"/>
        <v>52022</v>
      </c>
      <c r="AG273" s="126">
        <f t="shared" ca="1" si="155"/>
        <v>0</v>
      </c>
      <c r="AH273" s="126">
        <f t="shared" ca="1" si="156"/>
        <v>0</v>
      </c>
      <c r="AI273" s="126">
        <f t="shared" ca="1" si="157"/>
        <v>875</v>
      </c>
      <c r="AJ273" t="str">
        <f t="shared" ca="1" si="158"/>
        <v>32046</v>
      </c>
      <c r="AK273" s="126">
        <f t="shared" ca="1" si="174"/>
        <v>0</v>
      </c>
      <c r="AL273" s="126">
        <f t="shared" ca="1" si="175"/>
        <v>0</v>
      </c>
      <c r="AM273" s="126">
        <f t="shared" ca="1" si="189"/>
        <v>0</v>
      </c>
      <c r="AN273" s="753">
        <f t="shared" ca="1" si="190"/>
        <v>0</v>
      </c>
      <c r="AO273" s="750">
        <f t="shared" ca="1" si="176"/>
        <v>0</v>
      </c>
      <c r="AP273" s="126">
        <f t="shared" ca="1" si="177"/>
        <v>0</v>
      </c>
      <c r="AQ273" s="126">
        <f t="shared" ca="1" si="178"/>
        <v>0</v>
      </c>
      <c r="AR273" s="126">
        <f t="shared" ca="1" si="159"/>
        <v>10000</v>
      </c>
      <c r="AS273" s="750">
        <f t="shared" ca="1" si="160"/>
        <v>0</v>
      </c>
      <c r="AT273" s="750">
        <f t="shared" ca="1" si="161"/>
        <v>0</v>
      </c>
      <c r="AU273" s="126">
        <f t="shared" ca="1" si="179"/>
        <v>0</v>
      </c>
      <c r="AV273" s="126">
        <f t="shared" ca="1" si="180"/>
        <v>0</v>
      </c>
      <c r="AW273" s="126">
        <f t="shared" ca="1" si="162"/>
        <v>10000</v>
      </c>
      <c r="AX273" s="750">
        <f t="shared" ca="1" si="181"/>
        <v>0</v>
      </c>
      <c r="AY273" s="750">
        <f t="shared" ca="1" si="182"/>
        <v>0</v>
      </c>
      <c r="AZ273">
        <f t="shared" si="183"/>
        <v>5750</v>
      </c>
    </row>
    <row r="274" spans="4:52">
      <c r="D274">
        <v>267</v>
      </c>
      <c r="E274" s="6">
        <f t="shared" ca="1" si="184"/>
        <v>44652</v>
      </c>
      <c r="F274" s="7">
        <f t="shared" ca="1" si="163"/>
        <v>1</v>
      </c>
      <c r="G274" s="125">
        <f ca="1">IF('Simulador - 1º Pilar'!$E$99="Sí",IF('Aportaciones PPE'!$B$13&lt;'Aportaciones PPE'!E274,0,F274*$B$8/12),F274*$B$8/12)</f>
        <v>17500</v>
      </c>
      <c r="H274" s="125">
        <f t="shared" ca="1" si="153"/>
        <v>875</v>
      </c>
      <c r="I274" s="125">
        <f t="shared" ca="1" si="164"/>
        <v>0</v>
      </c>
      <c r="J274" s="125">
        <f t="shared" ca="1" si="165"/>
        <v>0</v>
      </c>
      <c r="K274" s="125">
        <f t="shared" ca="1" si="166"/>
        <v>1359.445729333567</v>
      </c>
      <c r="L274" s="125">
        <f t="shared" ca="1" si="185"/>
        <v>0</v>
      </c>
      <c r="M274" s="125">
        <f t="shared" ca="1" si="167"/>
        <v>0</v>
      </c>
      <c r="N274" s="125">
        <f t="shared" ca="1" si="168"/>
        <v>1359.445729333567</v>
      </c>
      <c r="R274">
        <f t="shared" si="186"/>
        <v>267</v>
      </c>
      <c r="U274" s="55"/>
      <c r="V274">
        <f t="shared" si="187"/>
        <v>4</v>
      </c>
      <c r="W274">
        <f t="shared" ca="1" si="188"/>
        <v>2046</v>
      </c>
      <c r="X274" s="123">
        <f t="shared" ca="1" si="169"/>
        <v>53418</v>
      </c>
      <c r="Y274" s="64">
        <f t="shared" ca="1" si="170"/>
        <v>0</v>
      </c>
      <c r="Z274" s="64">
        <f t="shared" ca="1" si="171"/>
        <v>0</v>
      </c>
      <c r="AA274" s="64">
        <f t="shared" ca="1" si="172"/>
        <v>0</v>
      </c>
      <c r="AB274" s="64">
        <f t="shared" ca="1" si="173"/>
        <v>0</v>
      </c>
      <c r="AF274" t="str">
        <f t="shared" ca="1" si="154"/>
        <v>42022</v>
      </c>
      <c r="AG274" s="126">
        <f t="shared" ca="1" si="155"/>
        <v>0</v>
      </c>
      <c r="AH274" s="126">
        <f t="shared" ca="1" si="156"/>
        <v>0</v>
      </c>
      <c r="AI274" s="126">
        <f t="shared" ca="1" si="157"/>
        <v>875</v>
      </c>
      <c r="AJ274" t="str">
        <f t="shared" ca="1" si="158"/>
        <v>42046</v>
      </c>
      <c r="AK274" s="126">
        <f t="shared" ca="1" si="174"/>
        <v>0</v>
      </c>
      <c r="AL274" s="126">
        <f t="shared" ca="1" si="175"/>
        <v>0</v>
      </c>
      <c r="AM274" s="126">
        <f t="shared" ca="1" si="189"/>
        <v>0</v>
      </c>
      <c r="AN274" s="753">
        <f t="shared" ca="1" si="190"/>
        <v>0</v>
      </c>
      <c r="AO274" s="750">
        <f t="shared" ca="1" si="176"/>
        <v>0</v>
      </c>
      <c r="AP274" s="126">
        <f t="shared" ca="1" si="177"/>
        <v>0</v>
      </c>
      <c r="AQ274" s="126">
        <f t="shared" ca="1" si="178"/>
        <v>0</v>
      </c>
      <c r="AR274" s="126">
        <f t="shared" ca="1" si="159"/>
        <v>10000</v>
      </c>
      <c r="AS274" s="750">
        <f t="shared" ca="1" si="160"/>
        <v>0</v>
      </c>
      <c r="AT274" s="750">
        <f t="shared" ca="1" si="161"/>
        <v>0</v>
      </c>
      <c r="AU274" s="126">
        <f t="shared" ca="1" si="179"/>
        <v>0</v>
      </c>
      <c r="AV274" s="126">
        <f t="shared" ca="1" si="180"/>
        <v>0</v>
      </c>
      <c r="AW274" s="126">
        <f t="shared" ca="1" si="162"/>
        <v>10000</v>
      </c>
      <c r="AX274" s="750">
        <f t="shared" ca="1" si="181"/>
        <v>0</v>
      </c>
      <c r="AY274" s="750">
        <f t="shared" ca="1" si="182"/>
        <v>0</v>
      </c>
      <c r="AZ274">
        <f t="shared" si="183"/>
        <v>5750</v>
      </c>
    </row>
    <row r="275" spans="4:52">
      <c r="D275">
        <v>268</v>
      </c>
      <c r="E275" s="6">
        <f t="shared" ca="1" si="184"/>
        <v>44621</v>
      </c>
      <c r="F275" s="7">
        <f t="shared" ca="1" si="163"/>
        <v>1</v>
      </c>
      <c r="G275" s="125">
        <f ca="1">IF('Simulador - 1º Pilar'!$E$99="Sí",IF('Aportaciones PPE'!$B$13&lt;'Aportaciones PPE'!E275,0,F275*$B$8/12),F275*$B$8/12)</f>
        <v>17500</v>
      </c>
      <c r="H275" s="125">
        <f t="shared" ca="1" si="153"/>
        <v>875</v>
      </c>
      <c r="I275" s="125">
        <f t="shared" ca="1" si="164"/>
        <v>0</v>
      </c>
      <c r="J275" s="125">
        <f t="shared" ca="1" si="165"/>
        <v>0</v>
      </c>
      <c r="K275" s="125">
        <f t="shared" ca="1" si="166"/>
        <v>1361.6909644811096</v>
      </c>
      <c r="L275" s="125">
        <f t="shared" ca="1" si="185"/>
        <v>0</v>
      </c>
      <c r="M275" s="125">
        <f t="shared" ca="1" si="167"/>
        <v>0</v>
      </c>
      <c r="N275" s="125">
        <f t="shared" ca="1" si="168"/>
        <v>1361.6909644811096</v>
      </c>
      <c r="R275">
        <f t="shared" si="186"/>
        <v>268</v>
      </c>
      <c r="U275" s="55"/>
      <c r="V275">
        <f t="shared" si="187"/>
        <v>5</v>
      </c>
      <c r="W275">
        <f t="shared" ca="1" si="188"/>
        <v>2046</v>
      </c>
      <c r="X275" s="123">
        <f t="shared" ca="1" si="169"/>
        <v>53448</v>
      </c>
      <c r="Y275" s="64">
        <f t="shared" ca="1" si="170"/>
        <v>0</v>
      </c>
      <c r="Z275" s="64">
        <f t="shared" ca="1" si="171"/>
        <v>0</v>
      </c>
      <c r="AA275" s="64">
        <f t="shared" ca="1" si="172"/>
        <v>0</v>
      </c>
      <c r="AB275" s="64">
        <f t="shared" ca="1" si="173"/>
        <v>0</v>
      </c>
      <c r="AF275" t="str">
        <f t="shared" ca="1" si="154"/>
        <v>32022</v>
      </c>
      <c r="AG275" s="126">
        <f t="shared" ca="1" si="155"/>
        <v>0</v>
      </c>
      <c r="AH275" s="126">
        <f t="shared" ca="1" si="156"/>
        <v>0</v>
      </c>
      <c r="AI275" s="126">
        <f t="shared" ca="1" si="157"/>
        <v>875</v>
      </c>
      <c r="AJ275" t="str">
        <f t="shared" ca="1" si="158"/>
        <v>52046</v>
      </c>
      <c r="AK275" s="126">
        <f t="shared" ca="1" si="174"/>
        <v>0</v>
      </c>
      <c r="AL275" s="126">
        <f t="shared" ca="1" si="175"/>
        <v>0</v>
      </c>
      <c r="AM275" s="126">
        <f t="shared" ca="1" si="189"/>
        <v>0</v>
      </c>
      <c r="AN275" s="753">
        <f t="shared" ca="1" si="190"/>
        <v>0</v>
      </c>
      <c r="AO275" s="750">
        <f t="shared" ca="1" si="176"/>
        <v>0</v>
      </c>
      <c r="AP275" s="126">
        <f t="shared" ca="1" si="177"/>
        <v>0</v>
      </c>
      <c r="AQ275" s="126">
        <f t="shared" ca="1" si="178"/>
        <v>0</v>
      </c>
      <c r="AR275" s="126">
        <f t="shared" ca="1" si="159"/>
        <v>10000</v>
      </c>
      <c r="AS275" s="750">
        <f t="shared" ca="1" si="160"/>
        <v>0</v>
      </c>
      <c r="AT275" s="750">
        <f t="shared" ca="1" si="161"/>
        <v>0</v>
      </c>
      <c r="AU275" s="126">
        <f t="shared" ca="1" si="179"/>
        <v>0</v>
      </c>
      <c r="AV275" s="126">
        <f t="shared" ca="1" si="180"/>
        <v>0</v>
      </c>
      <c r="AW275" s="126">
        <f t="shared" ca="1" si="162"/>
        <v>10000</v>
      </c>
      <c r="AX275" s="750">
        <f t="shared" ca="1" si="181"/>
        <v>0</v>
      </c>
      <c r="AY275" s="750">
        <f t="shared" ca="1" si="182"/>
        <v>0</v>
      </c>
      <c r="AZ275">
        <f t="shared" si="183"/>
        <v>5750</v>
      </c>
    </row>
    <row r="276" spans="4:52">
      <c r="D276">
        <v>269</v>
      </c>
      <c r="E276" s="6">
        <f t="shared" ca="1" si="184"/>
        <v>44593</v>
      </c>
      <c r="F276" s="7">
        <f t="shared" ca="1" si="163"/>
        <v>1</v>
      </c>
      <c r="G276" s="125">
        <f ca="1">IF('Simulador - 1º Pilar'!$E$99="Sí",IF('Aportaciones PPE'!$B$13&lt;'Aportaciones PPE'!E276,0,F276*$B$8/12),F276*$B$8/12)</f>
        <v>17500</v>
      </c>
      <c r="H276" s="125">
        <f t="shared" ca="1" si="153"/>
        <v>875</v>
      </c>
      <c r="I276" s="125">
        <f t="shared" ca="1" si="164"/>
        <v>0</v>
      </c>
      <c r="J276" s="125">
        <f t="shared" ca="1" si="165"/>
        <v>0</v>
      </c>
      <c r="K276" s="125">
        <f t="shared" ca="1" si="166"/>
        <v>1363.9399078170402</v>
      </c>
      <c r="L276" s="125">
        <f t="shared" ca="1" si="185"/>
        <v>0</v>
      </c>
      <c r="M276" s="125">
        <f t="shared" ca="1" si="167"/>
        <v>0</v>
      </c>
      <c r="N276" s="125">
        <f t="shared" ca="1" si="168"/>
        <v>1363.9399078170402</v>
      </c>
      <c r="R276">
        <f t="shared" si="186"/>
        <v>269</v>
      </c>
      <c r="U276" s="55"/>
      <c r="V276">
        <f t="shared" si="187"/>
        <v>6</v>
      </c>
      <c r="W276">
        <f t="shared" ca="1" si="188"/>
        <v>2046</v>
      </c>
      <c r="X276" s="123">
        <f t="shared" ca="1" si="169"/>
        <v>53479</v>
      </c>
      <c r="Y276" s="64">
        <f t="shared" ca="1" si="170"/>
        <v>0</v>
      </c>
      <c r="Z276" s="64">
        <f t="shared" ca="1" si="171"/>
        <v>0</v>
      </c>
      <c r="AA276" s="64">
        <f t="shared" ca="1" si="172"/>
        <v>0</v>
      </c>
      <c r="AB276" s="64">
        <f t="shared" ca="1" si="173"/>
        <v>0</v>
      </c>
      <c r="AF276" t="str">
        <f t="shared" ca="1" si="154"/>
        <v>22022</v>
      </c>
      <c r="AG276" s="126">
        <f t="shared" ca="1" si="155"/>
        <v>0</v>
      </c>
      <c r="AH276" s="126">
        <f t="shared" ca="1" si="156"/>
        <v>0</v>
      </c>
      <c r="AI276" s="126">
        <f t="shared" ca="1" si="157"/>
        <v>875</v>
      </c>
      <c r="AJ276" t="str">
        <f t="shared" ca="1" si="158"/>
        <v>62046</v>
      </c>
      <c r="AK276" s="126">
        <f t="shared" ca="1" si="174"/>
        <v>0</v>
      </c>
      <c r="AL276" s="126">
        <f t="shared" ca="1" si="175"/>
        <v>0</v>
      </c>
      <c r="AM276" s="126">
        <f t="shared" ca="1" si="189"/>
        <v>0</v>
      </c>
      <c r="AN276" s="753">
        <f t="shared" ca="1" si="190"/>
        <v>0</v>
      </c>
      <c r="AO276" s="750">
        <f t="shared" ca="1" si="176"/>
        <v>0</v>
      </c>
      <c r="AP276" s="126">
        <f t="shared" ca="1" si="177"/>
        <v>0</v>
      </c>
      <c r="AQ276" s="126">
        <f t="shared" ca="1" si="178"/>
        <v>0</v>
      </c>
      <c r="AR276" s="126">
        <f t="shared" ca="1" si="159"/>
        <v>10000</v>
      </c>
      <c r="AS276" s="750">
        <f t="shared" ca="1" si="160"/>
        <v>0</v>
      </c>
      <c r="AT276" s="750">
        <f t="shared" ca="1" si="161"/>
        <v>0</v>
      </c>
      <c r="AU276" s="126">
        <f t="shared" ca="1" si="179"/>
        <v>0</v>
      </c>
      <c r="AV276" s="126">
        <f t="shared" ca="1" si="180"/>
        <v>0</v>
      </c>
      <c r="AW276" s="126">
        <f t="shared" ca="1" si="162"/>
        <v>10000</v>
      </c>
      <c r="AX276" s="750">
        <f t="shared" ca="1" si="181"/>
        <v>0</v>
      </c>
      <c r="AY276" s="750">
        <f t="shared" ca="1" si="182"/>
        <v>0</v>
      </c>
      <c r="AZ276">
        <f t="shared" si="183"/>
        <v>5750</v>
      </c>
    </row>
    <row r="277" spans="4:52">
      <c r="D277">
        <v>270</v>
      </c>
      <c r="E277" s="6">
        <f t="shared" ca="1" si="184"/>
        <v>44562</v>
      </c>
      <c r="F277" s="7">
        <f t="shared" ca="1" si="163"/>
        <v>1</v>
      </c>
      <c r="G277" s="125">
        <f ca="1">IF('Simulador - 1º Pilar'!$E$99="Sí",IF('Aportaciones PPE'!$B$13&lt;'Aportaciones PPE'!E277,0,F277*$B$8/12),F277*$B$8/12)</f>
        <v>17500</v>
      </c>
      <c r="H277" s="125">
        <f t="shared" ca="1" si="153"/>
        <v>875</v>
      </c>
      <c r="I277" s="125">
        <f t="shared" ca="1" si="164"/>
        <v>0</v>
      </c>
      <c r="J277" s="125">
        <f t="shared" ca="1" si="165"/>
        <v>0</v>
      </c>
      <c r="K277" s="125">
        <f t="shared" ca="1" si="166"/>
        <v>6050.2813613482485</v>
      </c>
      <c r="L277" s="125">
        <f t="shared" ca="1" si="185"/>
        <v>0</v>
      </c>
      <c r="M277" s="125">
        <f t="shared" ca="1" si="167"/>
        <v>0</v>
      </c>
      <c r="N277" s="125">
        <f t="shared" ca="1" si="168"/>
        <v>6050.2813613482485</v>
      </c>
      <c r="R277">
        <f t="shared" si="186"/>
        <v>270</v>
      </c>
      <c r="U277" s="55"/>
      <c r="V277">
        <f t="shared" si="187"/>
        <v>7</v>
      </c>
      <c r="W277">
        <f t="shared" ca="1" si="188"/>
        <v>2046</v>
      </c>
      <c r="X277" s="123">
        <f t="shared" ca="1" si="169"/>
        <v>53509</v>
      </c>
      <c r="Y277" s="64">
        <f t="shared" ca="1" si="170"/>
        <v>0</v>
      </c>
      <c r="Z277" s="64">
        <f t="shared" ca="1" si="171"/>
        <v>0</v>
      </c>
      <c r="AA277" s="64">
        <f t="shared" ca="1" si="172"/>
        <v>0</v>
      </c>
      <c r="AB277" s="64">
        <f t="shared" ca="1" si="173"/>
        <v>0</v>
      </c>
      <c r="AF277" t="str">
        <f t="shared" ca="1" si="154"/>
        <v>12022</v>
      </c>
      <c r="AG277" s="126">
        <f t="shared" ca="1" si="155"/>
        <v>0</v>
      </c>
      <c r="AH277" s="126">
        <f t="shared" ca="1" si="156"/>
        <v>0</v>
      </c>
      <c r="AI277" s="126">
        <f t="shared" ca="1" si="157"/>
        <v>875</v>
      </c>
      <c r="AJ277" t="str">
        <f t="shared" ca="1" si="158"/>
        <v>72046</v>
      </c>
      <c r="AK277" s="126">
        <f t="shared" ca="1" si="174"/>
        <v>0</v>
      </c>
      <c r="AL277" s="126">
        <f t="shared" ca="1" si="175"/>
        <v>0</v>
      </c>
      <c r="AM277" s="126">
        <f t="shared" ca="1" si="189"/>
        <v>0</v>
      </c>
      <c r="AN277" s="753">
        <f t="shared" ca="1" si="190"/>
        <v>0</v>
      </c>
      <c r="AO277" s="750">
        <f t="shared" ca="1" si="176"/>
        <v>0</v>
      </c>
      <c r="AP277" s="126">
        <f t="shared" ca="1" si="177"/>
        <v>0</v>
      </c>
      <c r="AQ277" s="126">
        <f t="shared" ca="1" si="178"/>
        <v>0</v>
      </c>
      <c r="AR277" s="126">
        <f t="shared" ca="1" si="159"/>
        <v>10000</v>
      </c>
      <c r="AS277" s="750">
        <f t="shared" ca="1" si="160"/>
        <v>0</v>
      </c>
      <c r="AT277" s="750">
        <f t="shared" ca="1" si="161"/>
        <v>0</v>
      </c>
      <c r="AU277" s="126">
        <f t="shared" ca="1" si="179"/>
        <v>0</v>
      </c>
      <c r="AV277" s="126">
        <f t="shared" ca="1" si="180"/>
        <v>0</v>
      </c>
      <c r="AW277" s="126">
        <f t="shared" ca="1" si="162"/>
        <v>10000</v>
      </c>
      <c r="AX277" s="750">
        <f t="shared" ca="1" si="181"/>
        <v>0</v>
      </c>
      <c r="AY277" s="750">
        <f t="shared" ca="1" si="182"/>
        <v>0</v>
      </c>
      <c r="AZ277">
        <f t="shared" si="183"/>
        <v>5750</v>
      </c>
    </row>
    <row r="278" spans="4:52">
      <c r="D278">
        <v>271</v>
      </c>
      <c r="E278" s="6">
        <f t="shared" ca="1" si="184"/>
        <v>44531</v>
      </c>
      <c r="F278" s="7">
        <f t="shared" ca="1" si="163"/>
        <v>0</v>
      </c>
      <c r="G278" s="125">
        <f ca="1">IF('Simulador - 1º Pilar'!$E$99="Sí",IF('Aportaciones PPE'!$B$13&lt;'Aportaciones PPE'!E278,0,F278*$B$8/12),F278*$B$8/12)</f>
        <v>0</v>
      </c>
      <c r="H278" s="125">
        <f t="shared" ca="1" si="153"/>
        <v>0</v>
      </c>
      <c r="I278" s="125">
        <f t="shared" ca="1" si="164"/>
        <v>0</v>
      </c>
      <c r="J278" s="125">
        <f t="shared" ca="1" si="165"/>
        <v>0</v>
      </c>
      <c r="K278" s="125">
        <f t="shared" ca="1" si="166"/>
        <v>0</v>
      </c>
      <c r="L278" s="125">
        <f t="shared" ca="1" si="185"/>
        <v>0</v>
      </c>
      <c r="M278" s="125">
        <f t="shared" ca="1" si="167"/>
        <v>0</v>
      </c>
      <c r="N278" s="125">
        <f t="shared" ca="1" si="168"/>
        <v>0</v>
      </c>
      <c r="R278">
        <f t="shared" si="186"/>
        <v>271</v>
      </c>
      <c r="U278" s="55"/>
      <c r="V278">
        <f t="shared" si="187"/>
        <v>8</v>
      </c>
      <c r="W278">
        <f t="shared" ca="1" si="188"/>
        <v>2046</v>
      </c>
      <c r="X278" s="123">
        <f t="shared" ca="1" si="169"/>
        <v>53540</v>
      </c>
      <c r="Y278" s="64">
        <f t="shared" ca="1" si="170"/>
        <v>0</v>
      </c>
      <c r="Z278" s="64">
        <f t="shared" ca="1" si="171"/>
        <v>0</v>
      </c>
      <c r="AA278" s="64">
        <f t="shared" ca="1" si="172"/>
        <v>0</v>
      </c>
      <c r="AB278" s="64">
        <f t="shared" ca="1" si="173"/>
        <v>0</v>
      </c>
      <c r="AF278" t="str">
        <f t="shared" ca="1" si="154"/>
        <v>122021</v>
      </c>
      <c r="AG278" s="126">
        <f t="shared" ca="1" si="155"/>
        <v>0</v>
      </c>
      <c r="AH278" s="126">
        <f t="shared" ca="1" si="156"/>
        <v>0</v>
      </c>
      <c r="AI278" s="126">
        <f t="shared" ca="1" si="157"/>
        <v>0</v>
      </c>
      <c r="AJ278" t="str">
        <f t="shared" ca="1" si="158"/>
        <v>82046</v>
      </c>
      <c r="AK278" s="126">
        <f t="shared" ca="1" si="174"/>
        <v>0</v>
      </c>
      <c r="AL278" s="126">
        <f t="shared" ca="1" si="175"/>
        <v>0</v>
      </c>
      <c r="AM278" s="126">
        <f t="shared" ca="1" si="189"/>
        <v>0</v>
      </c>
      <c r="AN278" s="753">
        <f t="shared" ca="1" si="190"/>
        <v>0</v>
      </c>
      <c r="AO278" s="750">
        <f t="shared" ca="1" si="176"/>
        <v>0</v>
      </c>
      <c r="AP278" s="126">
        <f t="shared" ca="1" si="177"/>
        <v>0</v>
      </c>
      <c r="AQ278" s="126">
        <f t="shared" ca="1" si="178"/>
        <v>0</v>
      </c>
      <c r="AR278" s="126">
        <f t="shared" ca="1" si="159"/>
        <v>10000</v>
      </c>
      <c r="AS278" s="750">
        <f t="shared" ca="1" si="160"/>
        <v>0</v>
      </c>
      <c r="AT278" s="750">
        <f t="shared" ca="1" si="161"/>
        <v>0</v>
      </c>
      <c r="AU278" s="126">
        <f t="shared" ca="1" si="179"/>
        <v>0</v>
      </c>
      <c r="AV278" s="126">
        <f t="shared" ca="1" si="180"/>
        <v>0</v>
      </c>
      <c r="AW278" s="126">
        <f t="shared" ca="1" si="162"/>
        <v>10000</v>
      </c>
      <c r="AX278" s="750">
        <f t="shared" ca="1" si="181"/>
        <v>0</v>
      </c>
      <c r="AY278" s="750">
        <f t="shared" ca="1" si="182"/>
        <v>0</v>
      </c>
      <c r="AZ278">
        <f t="shared" si="183"/>
        <v>5750</v>
      </c>
    </row>
    <row r="279" spans="4:52">
      <c r="D279">
        <v>272</v>
      </c>
      <c r="E279" s="6">
        <f t="shared" ca="1" si="184"/>
        <v>44501</v>
      </c>
      <c r="F279" s="7">
        <f t="shared" ca="1" si="163"/>
        <v>0</v>
      </c>
      <c r="G279" s="125">
        <f ca="1">IF('Simulador - 1º Pilar'!$E$99="Sí",IF('Aportaciones PPE'!$B$13&lt;'Aportaciones PPE'!E279,0,F279*$B$8/12),F279*$B$8/12)</f>
        <v>0</v>
      </c>
      <c r="H279" s="125">
        <f t="shared" ca="1" si="153"/>
        <v>0</v>
      </c>
      <c r="I279" s="125">
        <f t="shared" ca="1" si="164"/>
        <v>0</v>
      </c>
      <c r="J279" s="125">
        <f t="shared" ca="1" si="165"/>
        <v>0</v>
      </c>
      <c r="K279" s="125">
        <f t="shared" ca="1" si="166"/>
        <v>0</v>
      </c>
      <c r="L279" s="125">
        <f t="shared" ca="1" si="185"/>
        <v>0</v>
      </c>
      <c r="M279" s="125">
        <f t="shared" ca="1" si="167"/>
        <v>0</v>
      </c>
      <c r="N279" s="125">
        <f t="shared" ca="1" si="168"/>
        <v>0</v>
      </c>
      <c r="R279">
        <f t="shared" si="186"/>
        <v>272</v>
      </c>
      <c r="U279" s="55"/>
      <c r="V279">
        <f t="shared" si="187"/>
        <v>9</v>
      </c>
      <c r="W279">
        <f t="shared" ca="1" si="188"/>
        <v>2046</v>
      </c>
      <c r="X279" s="123">
        <f t="shared" ca="1" si="169"/>
        <v>53571</v>
      </c>
      <c r="Y279" s="64">
        <f t="shared" ca="1" si="170"/>
        <v>0</v>
      </c>
      <c r="Z279" s="64">
        <f t="shared" ca="1" si="171"/>
        <v>0</v>
      </c>
      <c r="AA279" s="64">
        <f t="shared" ca="1" si="172"/>
        <v>0</v>
      </c>
      <c r="AB279" s="64">
        <f t="shared" ca="1" si="173"/>
        <v>0</v>
      </c>
      <c r="AF279" t="str">
        <f t="shared" ca="1" si="154"/>
        <v>112021</v>
      </c>
      <c r="AG279" s="126">
        <f t="shared" ca="1" si="155"/>
        <v>0</v>
      </c>
      <c r="AH279" s="126">
        <f t="shared" ca="1" si="156"/>
        <v>0</v>
      </c>
      <c r="AI279" s="126">
        <f t="shared" ca="1" si="157"/>
        <v>0</v>
      </c>
      <c r="AJ279" t="str">
        <f t="shared" ca="1" si="158"/>
        <v>92046</v>
      </c>
      <c r="AK279" s="126">
        <f t="shared" ca="1" si="174"/>
        <v>0</v>
      </c>
      <c r="AL279" s="126">
        <f t="shared" ca="1" si="175"/>
        <v>0</v>
      </c>
      <c r="AM279" s="126">
        <f t="shared" ca="1" si="189"/>
        <v>0</v>
      </c>
      <c r="AN279" s="753">
        <f t="shared" ca="1" si="190"/>
        <v>0</v>
      </c>
      <c r="AO279" s="750">
        <f t="shared" ca="1" si="176"/>
        <v>0</v>
      </c>
      <c r="AP279" s="126">
        <f t="shared" ca="1" si="177"/>
        <v>0</v>
      </c>
      <c r="AQ279" s="126">
        <f t="shared" ca="1" si="178"/>
        <v>0</v>
      </c>
      <c r="AR279" s="126">
        <f t="shared" ca="1" si="159"/>
        <v>10000</v>
      </c>
      <c r="AS279" s="750">
        <f t="shared" ca="1" si="160"/>
        <v>0</v>
      </c>
      <c r="AT279" s="750">
        <f t="shared" ca="1" si="161"/>
        <v>0</v>
      </c>
      <c r="AU279" s="126">
        <f t="shared" ca="1" si="179"/>
        <v>0</v>
      </c>
      <c r="AV279" s="126">
        <f t="shared" ca="1" si="180"/>
        <v>0</v>
      </c>
      <c r="AW279" s="126">
        <f t="shared" ca="1" si="162"/>
        <v>10000</v>
      </c>
      <c r="AX279" s="750">
        <f t="shared" ca="1" si="181"/>
        <v>0</v>
      </c>
      <c r="AY279" s="750">
        <f t="shared" ca="1" si="182"/>
        <v>0</v>
      </c>
      <c r="AZ279">
        <f t="shared" si="183"/>
        <v>5750</v>
      </c>
    </row>
    <row r="280" spans="4:52">
      <c r="D280">
        <v>273</v>
      </c>
      <c r="E280" s="6">
        <f t="shared" ca="1" si="184"/>
        <v>44470</v>
      </c>
      <c r="F280" s="7">
        <f t="shared" ca="1" si="163"/>
        <v>0</v>
      </c>
      <c r="G280" s="125">
        <f ca="1">IF('Simulador - 1º Pilar'!$E$99="Sí",IF('Aportaciones PPE'!$B$13&lt;'Aportaciones PPE'!E280,0,F280*$B$8/12),F280*$B$8/12)</f>
        <v>0</v>
      </c>
      <c r="H280" s="125">
        <f t="shared" ca="1" si="153"/>
        <v>0</v>
      </c>
      <c r="I280" s="125">
        <f t="shared" ca="1" si="164"/>
        <v>0</v>
      </c>
      <c r="J280" s="125">
        <f t="shared" ca="1" si="165"/>
        <v>0</v>
      </c>
      <c r="K280" s="125">
        <f t="shared" ca="1" si="166"/>
        <v>0</v>
      </c>
      <c r="L280" s="125">
        <f t="shared" ca="1" si="185"/>
        <v>0</v>
      </c>
      <c r="M280" s="125">
        <f t="shared" ca="1" si="167"/>
        <v>0</v>
      </c>
      <c r="N280" s="125">
        <f t="shared" ca="1" si="168"/>
        <v>0</v>
      </c>
      <c r="R280">
        <f t="shared" si="186"/>
        <v>273</v>
      </c>
      <c r="U280" s="55"/>
      <c r="V280">
        <f t="shared" si="187"/>
        <v>10</v>
      </c>
      <c r="W280">
        <f t="shared" ca="1" si="188"/>
        <v>2046</v>
      </c>
      <c r="X280" s="123">
        <f t="shared" ca="1" si="169"/>
        <v>53601</v>
      </c>
      <c r="Y280" s="64">
        <f t="shared" ca="1" si="170"/>
        <v>0</v>
      </c>
      <c r="Z280" s="64">
        <f t="shared" ca="1" si="171"/>
        <v>0</v>
      </c>
      <c r="AA280" s="64">
        <f t="shared" ca="1" si="172"/>
        <v>0</v>
      </c>
      <c r="AB280" s="64">
        <f t="shared" ca="1" si="173"/>
        <v>0</v>
      </c>
      <c r="AF280" t="str">
        <f t="shared" ca="1" si="154"/>
        <v>102021</v>
      </c>
      <c r="AG280" s="126">
        <f t="shared" ca="1" si="155"/>
        <v>0</v>
      </c>
      <c r="AH280" s="126">
        <f t="shared" ca="1" si="156"/>
        <v>0</v>
      </c>
      <c r="AI280" s="126">
        <f t="shared" ca="1" si="157"/>
        <v>0</v>
      </c>
      <c r="AJ280" t="str">
        <f t="shared" ca="1" si="158"/>
        <v>102046</v>
      </c>
      <c r="AK280" s="126">
        <f t="shared" ca="1" si="174"/>
        <v>0</v>
      </c>
      <c r="AL280" s="126">
        <f t="shared" ca="1" si="175"/>
        <v>0</v>
      </c>
      <c r="AM280" s="126">
        <f t="shared" ca="1" si="189"/>
        <v>0</v>
      </c>
      <c r="AN280" s="753">
        <f t="shared" ca="1" si="190"/>
        <v>0</v>
      </c>
      <c r="AO280" s="750">
        <f t="shared" ca="1" si="176"/>
        <v>0</v>
      </c>
      <c r="AP280" s="126">
        <f t="shared" ca="1" si="177"/>
        <v>0</v>
      </c>
      <c r="AQ280" s="126">
        <f t="shared" ca="1" si="178"/>
        <v>0</v>
      </c>
      <c r="AR280" s="126">
        <f t="shared" ca="1" si="159"/>
        <v>10000</v>
      </c>
      <c r="AS280" s="750">
        <f t="shared" ca="1" si="160"/>
        <v>0</v>
      </c>
      <c r="AT280" s="750">
        <f t="shared" ca="1" si="161"/>
        <v>0</v>
      </c>
      <c r="AU280" s="126">
        <f t="shared" ca="1" si="179"/>
        <v>0</v>
      </c>
      <c r="AV280" s="126">
        <f t="shared" ca="1" si="180"/>
        <v>0</v>
      </c>
      <c r="AW280" s="126">
        <f t="shared" ca="1" si="162"/>
        <v>10000</v>
      </c>
      <c r="AX280" s="750">
        <f t="shared" ca="1" si="181"/>
        <v>0</v>
      </c>
      <c r="AY280" s="750">
        <f t="shared" ca="1" si="182"/>
        <v>0</v>
      </c>
      <c r="AZ280">
        <f t="shared" si="183"/>
        <v>5750</v>
      </c>
    </row>
    <row r="281" spans="4:52">
      <c r="D281">
        <v>274</v>
      </c>
      <c r="E281" s="6">
        <f t="shared" ca="1" si="184"/>
        <v>44440</v>
      </c>
      <c r="F281" s="7">
        <f t="shared" ca="1" si="163"/>
        <v>0</v>
      </c>
      <c r="G281" s="125">
        <f ca="1">IF('Simulador - 1º Pilar'!$E$99="Sí",IF('Aportaciones PPE'!$B$13&lt;'Aportaciones PPE'!E281,0,F281*$B$8/12),F281*$B$8/12)</f>
        <v>0</v>
      </c>
      <c r="H281" s="125">
        <f t="shared" ca="1" si="153"/>
        <v>0</v>
      </c>
      <c r="I281" s="125">
        <f t="shared" ca="1" si="164"/>
        <v>0</v>
      </c>
      <c r="J281" s="125">
        <f t="shared" ca="1" si="165"/>
        <v>0</v>
      </c>
      <c r="K281" s="125">
        <f t="shared" ca="1" si="166"/>
        <v>0</v>
      </c>
      <c r="L281" s="125">
        <f t="shared" ca="1" si="185"/>
        <v>0</v>
      </c>
      <c r="M281" s="125">
        <f t="shared" ca="1" si="167"/>
        <v>0</v>
      </c>
      <c r="N281" s="125">
        <f t="shared" ca="1" si="168"/>
        <v>0</v>
      </c>
      <c r="R281">
        <f t="shared" si="186"/>
        <v>274</v>
      </c>
      <c r="U281" s="55"/>
      <c r="V281">
        <f t="shared" si="187"/>
        <v>11</v>
      </c>
      <c r="W281">
        <f t="shared" ca="1" si="188"/>
        <v>2046</v>
      </c>
      <c r="X281" s="123">
        <f t="shared" ca="1" si="169"/>
        <v>53632</v>
      </c>
      <c r="Y281" s="64">
        <f t="shared" ca="1" si="170"/>
        <v>0</v>
      </c>
      <c r="Z281" s="64">
        <f t="shared" ca="1" si="171"/>
        <v>0</v>
      </c>
      <c r="AA281" s="64">
        <f t="shared" ca="1" si="172"/>
        <v>0</v>
      </c>
      <c r="AB281" s="64">
        <f t="shared" ca="1" si="173"/>
        <v>0</v>
      </c>
      <c r="AF281" t="str">
        <f t="shared" ca="1" si="154"/>
        <v>92021</v>
      </c>
      <c r="AG281" s="126">
        <f t="shared" ca="1" si="155"/>
        <v>0</v>
      </c>
      <c r="AH281" s="126">
        <f t="shared" ca="1" si="156"/>
        <v>0</v>
      </c>
      <c r="AI281" s="126">
        <f t="shared" ca="1" si="157"/>
        <v>0</v>
      </c>
      <c r="AJ281" t="str">
        <f t="shared" ca="1" si="158"/>
        <v>112046</v>
      </c>
      <c r="AK281" s="126">
        <f t="shared" ca="1" si="174"/>
        <v>0</v>
      </c>
      <c r="AL281" s="126">
        <f t="shared" ca="1" si="175"/>
        <v>0</v>
      </c>
      <c r="AM281" s="126">
        <f t="shared" ca="1" si="189"/>
        <v>0</v>
      </c>
      <c r="AN281" s="753">
        <f t="shared" ca="1" si="190"/>
        <v>0</v>
      </c>
      <c r="AO281" s="750">
        <f t="shared" ca="1" si="176"/>
        <v>0</v>
      </c>
      <c r="AP281" s="126">
        <f t="shared" ca="1" si="177"/>
        <v>0</v>
      </c>
      <c r="AQ281" s="126">
        <f t="shared" ca="1" si="178"/>
        <v>0</v>
      </c>
      <c r="AR281" s="126">
        <f t="shared" ca="1" si="159"/>
        <v>10000</v>
      </c>
      <c r="AS281" s="750">
        <f t="shared" ca="1" si="160"/>
        <v>0</v>
      </c>
      <c r="AT281" s="750">
        <f t="shared" ca="1" si="161"/>
        <v>0</v>
      </c>
      <c r="AU281" s="126">
        <f t="shared" ca="1" si="179"/>
        <v>0</v>
      </c>
      <c r="AV281" s="126">
        <f t="shared" ca="1" si="180"/>
        <v>0</v>
      </c>
      <c r="AW281" s="126">
        <f t="shared" ca="1" si="162"/>
        <v>10000</v>
      </c>
      <c r="AX281" s="750">
        <f t="shared" ca="1" si="181"/>
        <v>0</v>
      </c>
      <c r="AY281" s="750">
        <f t="shared" ca="1" si="182"/>
        <v>0</v>
      </c>
      <c r="AZ281">
        <f t="shared" si="183"/>
        <v>5750</v>
      </c>
    </row>
    <row r="282" spans="4:52">
      <c r="D282">
        <v>275</v>
      </c>
      <c r="E282" s="6">
        <f t="shared" ca="1" si="184"/>
        <v>44409</v>
      </c>
      <c r="F282" s="7">
        <f t="shared" ca="1" si="163"/>
        <v>0</v>
      </c>
      <c r="G282" s="125">
        <f ca="1">IF('Simulador - 1º Pilar'!$E$99="Sí",IF('Aportaciones PPE'!$B$13&lt;'Aportaciones PPE'!E282,0,F282*$B$8/12),F282*$B$8/12)</f>
        <v>0</v>
      </c>
      <c r="H282" s="125">
        <f t="shared" ca="1" si="153"/>
        <v>0</v>
      </c>
      <c r="I282" s="125">
        <f t="shared" ca="1" si="164"/>
        <v>0</v>
      </c>
      <c r="J282" s="125">
        <f t="shared" ca="1" si="165"/>
        <v>0</v>
      </c>
      <c r="K282" s="125">
        <f t="shared" ca="1" si="166"/>
        <v>0</v>
      </c>
      <c r="L282" s="125">
        <f t="shared" ca="1" si="185"/>
        <v>0</v>
      </c>
      <c r="M282" s="125">
        <f t="shared" ca="1" si="167"/>
        <v>0</v>
      </c>
      <c r="N282" s="125">
        <f t="shared" ca="1" si="168"/>
        <v>0</v>
      </c>
      <c r="R282">
        <f t="shared" si="186"/>
        <v>275</v>
      </c>
      <c r="U282" s="55"/>
      <c r="V282">
        <f t="shared" si="187"/>
        <v>12</v>
      </c>
      <c r="W282">
        <f t="shared" ca="1" si="188"/>
        <v>2046</v>
      </c>
      <c r="X282" s="123">
        <f t="shared" ca="1" si="169"/>
        <v>53662</v>
      </c>
      <c r="Y282" s="64">
        <f t="shared" ca="1" si="170"/>
        <v>0</v>
      </c>
      <c r="Z282" s="64">
        <f t="shared" ca="1" si="171"/>
        <v>0</v>
      </c>
      <c r="AA282" s="64">
        <f t="shared" ca="1" si="172"/>
        <v>0</v>
      </c>
      <c r="AB282" s="64">
        <f t="shared" ca="1" si="173"/>
        <v>0</v>
      </c>
      <c r="AF282" t="str">
        <f t="shared" ca="1" si="154"/>
        <v>82021</v>
      </c>
      <c r="AG282" s="126">
        <f t="shared" ca="1" si="155"/>
        <v>0</v>
      </c>
      <c r="AH282" s="126">
        <f t="shared" ca="1" si="156"/>
        <v>0</v>
      </c>
      <c r="AI282" s="126">
        <f t="shared" ca="1" si="157"/>
        <v>0</v>
      </c>
      <c r="AJ282" t="str">
        <f t="shared" ca="1" si="158"/>
        <v>122046</v>
      </c>
      <c r="AK282" s="126">
        <f t="shared" ca="1" si="174"/>
        <v>0</v>
      </c>
      <c r="AL282" s="126">
        <f t="shared" ca="1" si="175"/>
        <v>0</v>
      </c>
      <c r="AM282" s="126">
        <f t="shared" ca="1" si="189"/>
        <v>0</v>
      </c>
      <c r="AN282" s="753">
        <f t="shared" ca="1" si="190"/>
        <v>0</v>
      </c>
      <c r="AO282" s="750">
        <f t="shared" ca="1" si="176"/>
        <v>0</v>
      </c>
      <c r="AP282" s="126">
        <f t="shared" ca="1" si="177"/>
        <v>0</v>
      </c>
      <c r="AQ282" s="126">
        <f t="shared" ca="1" si="178"/>
        <v>0</v>
      </c>
      <c r="AR282" s="126">
        <f t="shared" ca="1" si="159"/>
        <v>10000</v>
      </c>
      <c r="AS282" s="750">
        <f t="shared" ca="1" si="160"/>
        <v>0</v>
      </c>
      <c r="AT282" s="750">
        <f t="shared" ca="1" si="161"/>
        <v>0</v>
      </c>
      <c r="AU282" s="126">
        <f t="shared" ca="1" si="179"/>
        <v>0</v>
      </c>
      <c r="AV282" s="126">
        <f t="shared" ca="1" si="180"/>
        <v>0</v>
      </c>
      <c r="AW282" s="126">
        <f t="shared" ca="1" si="162"/>
        <v>10000</v>
      </c>
      <c r="AX282" s="750">
        <f t="shared" ca="1" si="181"/>
        <v>0</v>
      </c>
      <c r="AY282" s="750">
        <f t="shared" ca="1" si="182"/>
        <v>0</v>
      </c>
      <c r="AZ282">
        <f t="shared" si="183"/>
        <v>5750</v>
      </c>
    </row>
    <row r="283" spans="4:52">
      <c r="D283">
        <v>276</v>
      </c>
      <c r="E283" s="6">
        <f t="shared" ca="1" si="184"/>
        <v>44378</v>
      </c>
      <c r="F283" s="7">
        <f t="shared" ca="1" si="163"/>
        <v>0</v>
      </c>
      <c r="G283" s="125">
        <f ca="1">IF('Simulador - 1º Pilar'!$E$99="Sí",IF('Aportaciones PPE'!$B$13&lt;'Aportaciones PPE'!E283,0,F283*$B$8/12),F283*$B$8/12)</f>
        <v>0</v>
      </c>
      <c r="H283" s="125">
        <f t="shared" ca="1" si="153"/>
        <v>0</v>
      </c>
      <c r="I283" s="125">
        <f t="shared" ca="1" si="164"/>
        <v>0</v>
      </c>
      <c r="J283" s="125">
        <f t="shared" ca="1" si="165"/>
        <v>0</v>
      </c>
      <c r="K283" s="125">
        <f t="shared" ca="1" si="166"/>
        <v>0</v>
      </c>
      <c r="L283" s="125">
        <f t="shared" ca="1" si="185"/>
        <v>0</v>
      </c>
      <c r="M283" s="125">
        <f t="shared" ca="1" si="167"/>
        <v>0</v>
      </c>
      <c r="N283" s="125">
        <f t="shared" ca="1" si="168"/>
        <v>0</v>
      </c>
      <c r="R283">
        <f t="shared" si="186"/>
        <v>276</v>
      </c>
      <c r="U283" s="55"/>
      <c r="V283">
        <f t="shared" si="187"/>
        <v>1</v>
      </c>
      <c r="W283">
        <f t="shared" ca="1" si="188"/>
        <v>2047</v>
      </c>
      <c r="X283" s="123">
        <f t="shared" ca="1" si="169"/>
        <v>53693</v>
      </c>
      <c r="Y283" s="64">
        <f t="shared" ca="1" si="170"/>
        <v>0</v>
      </c>
      <c r="Z283" s="64">
        <f t="shared" ca="1" si="171"/>
        <v>0</v>
      </c>
      <c r="AA283" s="64">
        <f t="shared" ca="1" si="172"/>
        <v>0</v>
      </c>
      <c r="AB283" s="64">
        <f t="shared" ca="1" si="173"/>
        <v>0</v>
      </c>
      <c r="AF283" t="str">
        <f t="shared" ca="1" si="154"/>
        <v>72021</v>
      </c>
      <c r="AG283" s="126">
        <f t="shared" ca="1" si="155"/>
        <v>0</v>
      </c>
      <c r="AH283" s="126">
        <f t="shared" ca="1" si="156"/>
        <v>0</v>
      </c>
      <c r="AI283" s="126">
        <f t="shared" ca="1" si="157"/>
        <v>0</v>
      </c>
      <c r="AJ283" t="str">
        <f t="shared" ca="1" si="158"/>
        <v>12047</v>
      </c>
      <c r="AK283" s="126">
        <f t="shared" ca="1" si="174"/>
        <v>0</v>
      </c>
      <c r="AL283" s="126">
        <f t="shared" ca="1" si="175"/>
        <v>0</v>
      </c>
      <c r="AM283" s="126">
        <f t="shared" ca="1" si="189"/>
        <v>0</v>
      </c>
      <c r="AN283" s="753">
        <f t="shared" ca="1" si="190"/>
        <v>0</v>
      </c>
      <c r="AO283" s="750">
        <f t="shared" ca="1" si="176"/>
        <v>0</v>
      </c>
      <c r="AP283" s="126">
        <f t="shared" ca="1" si="177"/>
        <v>0</v>
      </c>
      <c r="AQ283" s="126">
        <f t="shared" ca="1" si="178"/>
        <v>0</v>
      </c>
      <c r="AR283" s="126">
        <f t="shared" ca="1" si="159"/>
        <v>10000</v>
      </c>
      <c r="AS283" s="750">
        <f t="shared" ca="1" si="160"/>
        <v>0</v>
      </c>
      <c r="AT283" s="750">
        <f t="shared" ca="1" si="161"/>
        <v>0</v>
      </c>
      <c r="AU283" s="126">
        <f t="shared" ca="1" si="179"/>
        <v>0</v>
      </c>
      <c r="AV283" s="126">
        <f t="shared" ca="1" si="180"/>
        <v>0</v>
      </c>
      <c r="AW283" s="126">
        <f t="shared" ca="1" si="162"/>
        <v>10000</v>
      </c>
      <c r="AX283" s="750">
        <f t="shared" ca="1" si="181"/>
        <v>0</v>
      </c>
      <c r="AY283" s="750">
        <f t="shared" ca="1" si="182"/>
        <v>0</v>
      </c>
      <c r="AZ283">
        <f t="shared" si="183"/>
        <v>5750</v>
      </c>
    </row>
    <row r="284" spans="4:52">
      <c r="D284">
        <v>277</v>
      </c>
      <c r="E284" s="6">
        <f t="shared" ca="1" si="184"/>
        <v>44348</v>
      </c>
      <c r="F284" s="7">
        <f t="shared" ca="1" si="163"/>
        <v>0</v>
      </c>
      <c r="G284" s="125">
        <f ca="1">IF('Simulador - 1º Pilar'!$E$99="Sí",IF('Aportaciones PPE'!$B$13&lt;'Aportaciones PPE'!E284,0,F284*$B$8/12),F284*$B$8/12)</f>
        <v>0</v>
      </c>
      <c r="H284" s="125">
        <f t="shared" ca="1" si="153"/>
        <v>0</v>
      </c>
      <c r="I284" s="125">
        <f t="shared" ca="1" si="164"/>
        <v>0</v>
      </c>
      <c r="J284" s="125">
        <f t="shared" ca="1" si="165"/>
        <v>0</v>
      </c>
      <c r="K284" s="125">
        <f t="shared" ca="1" si="166"/>
        <v>0</v>
      </c>
      <c r="L284" s="125">
        <f t="shared" ca="1" si="185"/>
        <v>0</v>
      </c>
      <c r="M284" s="125">
        <f t="shared" ca="1" si="167"/>
        <v>0</v>
      </c>
      <c r="N284" s="125">
        <f t="shared" ca="1" si="168"/>
        <v>0</v>
      </c>
      <c r="R284">
        <f t="shared" si="186"/>
        <v>277</v>
      </c>
      <c r="U284" s="55"/>
      <c r="V284">
        <f t="shared" si="187"/>
        <v>2</v>
      </c>
      <c r="W284">
        <f t="shared" ca="1" si="188"/>
        <v>2047</v>
      </c>
      <c r="X284" s="123">
        <f t="shared" ca="1" si="169"/>
        <v>53724</v>
      </c>
      <c r="Y284" s="64">
        <f t="shared" ca="1" si="170"/>
        <v>0</v>
      </c>
      <c r="Z284" s="64">
        <f t="shared" ca="1" si="171"/>
        <v>0</v>
      </c>
      <c r="AA284" s="64">
        <f t="shared" ca="1" si="172"/>
        <v>0</v>
      </c>
      <c r="AB284" s="64">
        <f t="shared" ca="1" si="173"/>
        <v>0</v>
      </c>
      <c r="AF284" t="str">
        <f t="shared" ca="1" si="154"/>
        <v>62021</v>
      </c>
      <c r="AG284" s="126">
        <f t="shared" ca="1" si="155"/>
        <v>0</v>
      </c>
      <c r="AH284" s="126">
        <f t="shared" ca="1" si="156"/>
        <v>0</v>
      </c>
      <c r="AI284" s="126">
        <f t="shared" ca="1" si="157"/>
        <v>0</v>
      </c>
      <c r="AJ284" t="str">
        <f t="shared" ca="1" si="158"/>
        <v>22047</v>
      </c>
      <c r="AK284" s="126">
        <f t="shared" ca="1" si="174"/>
        <v>0</v>
      </c>
      <c r="AL284" s="126">
        <f t="shared" ca="1" si="175"/>
        <v>0</v>
      </c>
      <c r="AM284" s="126">
        <f t="shared" ca="1" si="189"/>
        <v>0</v>
      </c>
      <c r="AN284" s="753">
        <f t="shared" ca="1" si="190"/>
        <v>0</v>
      </c>
      <c r="AO284" s="750">
        <f t="shared" ca="1" si="176"/>
        <v>0</v>
      </c>
      <c r="AP284" s="126">
        <f t="shared" ca="1" si="177"/>
        <v>0</v>
      </c>
      <c r="AQ284" s="126">
        <f t="shared" ca="1" si="178"/>
        <v>0</v>
      </c>
      <c r="AR284" s="126">
        <f t="shared" ca="1" si="159"/>
        <v>10000</v>
      </c>
      <c r="AS284" s="750">
        <f t="shared" ca="1" si="160"/>
        <v>0</v>
      </c>
      <c r="AT284" s="750">
        <f t="shared" ca="1" si="161"/>
        <v>0</v>
      </c>
      <c r="AU284" s="126">
        <f t="shared" ca="1" si="179"/>
        <v>0</v>
      </c>
      <c r="AV284" s="126">
        <f t="shared" ca="1" si="180"/>
        <v>0</v>
      </c>
      <c r="AW284" s="126">
        <f t="shared" ca="1" si="162"/>
        <v>10000</v>
      </c>
      <c r="AX284" s="750">
        <f t="shared" ca="1" si="181"/>
        <v>0</v>
      </c>
      <c r="AY284" s="750">
        <f t="shared" ca="1" si="182"/>
        <v>0</v>
      </c>
      <c r="AZ284">
        <f t="shared" si="183"/>
        <v>5750</v>
      </c>
    </row>
    <row r="285" spans="4:52">
      <c r="D285">
        <v>278</v>
      </c>
      <c r="E285" s="6">
        <f t="shared" ca="1" si="184"/>
        <v>44317</v>
      </c>
      <c r="F285" s="7">
        <f t="shared" ca="1" si="163"/>
        <v>0</v>
      </c>
      <c r="G285" s="125">
        <f ca="1">IF('Simulador - 1º Pilar'!$E$99="Sí",IF('Aportaciones PPE'!$B$13&lt;'Aportaciones PPE'!E285,0,F285*$B$8/12),F285*$B$8/12)</f>
        <v>0</v>
      </c>
      <c r="H285" s="125">
        <f t="shared" ca="1" si="153"/>
        <v>0</v>
      </c>
      <c r="I285" s="125">
        <f t="shared" ca="1" si="164"/>
        <v>0</v>
      </c>
      <c r="J285" s="125">
        <f t="shared" ca="1" si="165"/>
        <v>0</v>
      </c>
      <c r="K285" s="125">
        <f t="shared" ca="1" si="166"/>
        <v>0</v>
      </c>
      <c r="L285" s="125">
        <f t="shared" ca="1" si="185"/>
        <v>0</v>
      </c>
      <c r="M285" s="125">
        <f t="shared" ca="1" si="167"/>
        <v>0</v>
      </c>
      <c r="N285" s="125">
        <f t="shared" ca="1" si="168"/>
        <v>0</v>
      </c>
      <c r="R285">
        <f t="shared" si="186"/>
        <v>278</v>
      </c>
      <c r="U285" s="55"/>
      <c r="V285">
        <f t="shared" si="187"/>
        <v>3</v>
      </c>
      <c r="W285">
        <f t="shared" ca="1" si="188"/>
        <v>2047</v>
      </c>
      <c r="X285" s="123">
        <f t="shared" ca="1" si="169"/>
        <v>53752</v>
      </c>
      <c r="Y285" s="64">
        <f t="shared" ca="1" si="170"/>
        <v>0</v>
      </c>
      <c r="Z285" s="64">
        <f t="shared" ca="1" si="171"/>
        <v>0</v>
      </c>
      <c r="AA285" s="64">
        <f t="shared" ca="1" si="172"/>
        <v>0</v>
      </c>
      <c r="AB285" s="64">
        <f t="shared" ca="1" si="173"/>
        <v>0</v>
      </c>
      <c r="AF285" t="str">
        <f t="shared" ca="1" si="154"/>
        <v>52021</v>
      </c>
      <c r="AG285" s="126">
        <f t="shared" ca="1" si="155"/>
        <v>0</v>
      </c>
      <c r="AH285" s="126">
        <f t="shared" ca="1" si="156"/>
        <v>0</v>
      </c>
      <c r="AI285" s="126">
        <f t="shared" ca="1" si="157"/>
        <v>0</v>
      </c>
      <c r="AJ285" t="str">
        <f t="shared" ca="1" si="158"/>
        <v>32047</v>
      </c>
      <c r="AK285" s="126">
        <f t="shared" ca="1" si="174"/>
        <v>0</v>
      </c>
      <c r="AL285" s="126">
        <f t="shared" ca="1" si="175"/>
        <v>0</v>
      </c>
      <c r="AM285" s="126">
        <f t="shared" ca="1" si="189"/>
        <v>0</v>
      </c>
      <c r="AN285" s="753">
        <f t="shared" ca="1" si="190"/>
        <v>0</v>
      </c>
      <c r="AO285" s="750">
        <f t="shared" ca="1" si="176"/>
        <v>0</v>
      </c>
      <c r="AP285" s="126">
        <f t="shared" ca="1" si="177"/>
        <v>0</v>
      </c>
      <c r="AQ285" s="126">
        <f t="shared" ca="1" si="178"/>
        <v>0</v>
      </c>
      <c r="AR285" s="126">
        <f t="shared" ca="1" si="159"/>
        <v>10000</v>
      </c>
      <c r="AS285" s="750">
        <f t="shared" ca="1" si="160"/>
        <v>0</v>
      </c>
      <c r="AT285" s="750">
        <f t="shared" ca="1" si="161"/>
        <v>0</v>
      </c>
      <c r="AU285" s="126">
        <f t="shared" ca="1" si="179"/>
        <v>0</v>
      </c>
      <c r="AV285" s="126">
        <f t="shared" ca="1" si="180"/>
        <v>0</v>
      </c>
      <c r="AW285" s="126">
        <f t="shared" ca="1" si="162"/>
        <v>10000</v>
      </c>
      <c r="AX285" s="750">
        <f t="shared" ca="1" si="181"/>
        <v>0</v>
      </c>
      <c r="AY285" s="750">
        <f t="shared" ca="1" si="182"/>
        <v>0</v>
      </c>
      <c r="AZ285">
        <f t="shared" si="183"/>
        <v>5750</v>
      </c>
    </row>
    <row r="286" spans="4:52">
      <c r="D286">
        <v>279</v>
      </c>
      <c r="E286" s="6">
        <f t="shared" ca="1" si="184"/>
        <v>44287</v>
      </c>
      <c r="F286" s="7">
        <f t="shared" ca="1" si="163"/>
        <v>0</v>
      </c>
      <c r="G286" s="125">
        <f ca="1">IF('Simulador - 1º Pilar'!$E$99="Sí",IF('Aportaciones PPE'!$B$13&lt;'Aportaciones PPE'!E286,0,F286*$B$8/12),F286*$B$8/12)</f>
        <v>0</v>
      </c>
      <c r="H286" s="125">
        <f t="shared" ca="1" si="153"/>
        <v>0</v>
      </c>
      <c r="I286" s="125">
        <f t="shared" ca="1" si="164"/>
        <v>0</v>
      </c>
      <c r="J286" s="125">
        <f t="shared" ca="1" si="165"/>
        <v>0</v>
      </c>
      <c r="K286" s="125">
        <f t="shared" ca="1" si="166"/>
        <v>0</v>
      </c>
      <c r="L286" s="125">
        <f t="shared" ca="1" si="185"/>
        <v>0</v>
      </c>
      <c r="M286" s="125">
        <f t="shared" ca="1" si="167"/>
        <v>0</v>
      </c>
      <c r="N286" s="125">
        <f t="shared" ca="1" si="168"/>
        <v>0</v>
      </c>
      <c r="R286">
        <f t="shared" si="186"/>
        <v>279</v>
      </c>
      <c r="U286" s="55"/>
      <c r="V286">
        <f t="shared" si="187"/>
        <v>4</v>
      </c>
      <c r="W286">
        <f t="shared" ca="1" si="188"/>
        <v>2047</v>
      </c>
      <c r="X286" s="123">
        <f t="shared" ca="1" si="169"/>
        <v>53783</v>
      </c>
      <c r="Y286" s="64">
        <f t="shared" ca="1" si="170"/>
        <v>0</v>
      </c>
      <c r="Z286" s="64">
        <f t="shared" ca="1" si="171"/>
        <v>0</v>
      </c>
      <c r="AA286" s="64">
        <f t="shared" ca="1" si="172"/>
        <v>0</v>
      </c>
      <c r="AB286" s="64">
        <f t="shared" ca="1" si="173"/>
        <v>0</v>
      </c>
      <c r="AF286" t="str">
        <f t="shared" ca="1" si="154"/>
        <v>42021</v>
      </c>
      <c r="AG286" s="126">
        <f t="shared" ca="1" si="155"/>
        <v>0</v>
      </c>
      <c r="AH286" s="126">
        <f t="shared" ca="1" si="156"/>
        <v>0</v>
      </c>
      <c r="AI286" s="126">
        <f t="shared" ca="1" si="157"/>
        <v>0</v>
      </c>
      <c r="AJ286" t="str">
        <f t="shared" ca="1" si="158"/>
        <v>42047</v>
      </c>
      <c r="AK286" s="126">
        <f t="shared" ca="1" si="174"/>
        <v>0</v>
      </c>
      <c r="AL286" s="126">
        <f t="shared" ca="1" si="175"/>
        <v>0</v>
      </c>
      <c r="AM286" s="126">
        <f t="shared" ca="1" si="189"/>
        <v>0</v>
      </c>
      <c r="AN286" s="753">
        <f t="shared" ca="1" si="190"/>
        <v>0</v>
      </c>
      <c r="AO286" s="750">
        <f t="shared" ca="1" si="176"/>
        <v>0</v>
      </c>
      <c r="AP286" s="126">
        <f t="shared" ca="1" si="177"/>
        <v>0</v>
      </c>
      <c r="AQ286" s="126">
        <f t="shared" ca="1" si="178"/>
        <v>0</v>
      </c>
      <c r="AR286" s="126">
        <f t="shared" ca="1" si="159"/>
        <v>10000</v>
      </c>
      <c r="AS286" s="750">
        <f t="shared" ca="1" si="160"/>
        <v>0</v>
      </c>
      <c r="AT286" s="750">
        <f t="shared" ca="1" si="161"/>
        <v>0</v>
      </c>
      <c r="AU286" s="126">
        <f t="shared" ca="1" si="179"/>
        <v>0</v>
      </c>
      <c r="AV286" s="126">
        <f t="shared" ca="1" si="180"/>
        <v>0</v>
      </c>
      <c r="AW286" s="126">
        <f t="shared" ca="1" si="162"/>
        <v>10000</v>
      </c>
      <c r="AX286" s="750">
        <f t="shared" ca="1" si="181"/>
        <v>0</v>
      </c>
      <c r="AY286" s="750">
        <f t="shared" ca="1" si="182"/>
        <v>0</v>
      </c>
      <c r="AZ286">
        <f t="shared" si="183"/>
        <v>5750</v>
      </c>
    </row>
    <row r="287" spans="4:52">
      <c r="D287">
        <v>280</v>
      </c>
      <c r="E287" s="6">
        <f t="shared" ca="1" si="184"/>
        <v>44256</v>
      </c>
      <c r="F287" s="7">
        <f t="shared" ca="1" si="163"/>
        <v>0</v>
      </c>
      <c r="G287" s="125">
        <f ca="1">IF('Simulador - 1º Pilar'!$E$99="Sí",IF('Aportaciones PPE'!$B$13&lt;'Aportaciones PPE'!E287,0,F287*$B$8/12),F287*$B$8/12)</f>
        <v>0</v>
      </c>
      <c r="H287" s="125">
        <f t="shared" ca="1" si="153"/>
        <v>0</v>
      </c>
      <c r="I287" s="125">
        <f t="shared" ca="1" si="164"/>
        <v>0</v>
      </c>
      <c r="J287" s="125">
        <f t="shared" ca="1" si="165"/>
        <v>0</v>
      </c>
      <c r="K287" s="125">
        <f t="shared" ca="1" si="166"/>
        <v>0</v>
      </c>
      <c r="L287" s="125">
        <f t="shared" ca="1" si="185"/>
        <v>0</v>
      </c>
      <c r="M287" s="125">
        <f t="shared" ca="1" si="167"/>
        <v>0</v>
      </c>
      <c r="N287" s="125">
        <f t="shared" ca="1" si="168"/>
        <v>0</v>
      </c>
      <c r="R287">
        <f t="shared" si="186"/>
        <v>280</v>
      </c>
      <c r="U287" s="55"/>
      <c r="V287">
        <f t="shared" si="187"/>
        <v>5</v>
      </c>
      <c r="W287">
        <f t="shared" ca="1" si="188"/>
        <v>2047</v>
      </c>
      <c r="X287" s="123">
        <f t="shared" ca="1" si="169"/>
        <v>53813</v>
      </c>
      <c r="Y287" s="64">
        <f t="shared" ca="1" si="170"/>
        <v>0</v>
      </c>
      <c r="Z287" s="64">
        <f t="shared" ca="1" si="171"/>
        <v>0</v>
      </c>
      <c r="AA287" s="64">
        <f t="shared" ca="1" si="172"/>
        <v>0</v>
      </c>
      <c r="AB287" s="64">
        <f t="shared" ca="1" si="173"/>
        <v>0</v>
      </c>
      <c r="AF287" t="str">
        <f t="shared" ca="1" si="154"/>
        <v>32021</v>
      </c>
      <c r="AG287" s="126">
        <f t="shared" ca="1" si="155"/>
        <v>0</v>
      </c>
      <c r="AH287" s="126">
        <f t="shared" ca="1" si="156"/>
        <v>0</v>
      </c>
      <c r="AI287" s="126">
        <f t="shared" ca="1" si="157"/>
        <v>0</v>
      </c>
      <c r="AJ287" t="str">
        <f t="shared" ca="1" si="158"/>
        <v>52047</v>
      </c>
      <c r="AK287" s="126">
        <f t="shared" ca="1" si="174"/>
        <v>0</v>
      </c>
      <c r="AL287" s="126">
        <f t="shared" ca="1" si="175"/>
        <v>0</v>
      </c>
      <c r="AM287" s="126">
        <f t="shared" ca="1" si="189"/>
        <v>0</v>
      </c>
      <c r="AN287" s="753">
        <f t="shared" ca="1" si="190"/>
        <v>0</v>
      </c>
      <c r="AO287" s="750">
        <f t="shared" ca="1" si="176"/>
        <v>0</v>
      </c>
      <c r="AP287" s="126">
        <f t="shared" ca="1" si="177"/>
        <v>0</v>
      </c>
      <c r="AQ287" s="126">
        <f t="shared" ca="1" si="178"/>
        <v>0</v>
      </c>
      <c r="AR287" s="126">
        <f t="shared" ca="1" si="159"/>
        <v>10000</v>
      </c>
      <c r="AS287" s="750">
        <f t="shared" ca="1" si="160"/>
        <v>0</v>
      </c>
      <c r="AT287" s="750">
        <f t="shared" ca="1" si="161"/>
        <v>0</v>
      </c>
      <c r="AU287" s="126">
        <f t="shared" ca="1" si="179"/>
        <v>0</v>
      </c>
      <c r="AV287" s="126">
        <f t="shared" ca="1" si="180"/>
        <v>0</v>
      </c>
      <c r="AW287" s="126">
        <f t="shared" ca="1" si="162"/>
        <v>10000</v>
      </c>
      <c r="AX287" s="750">
        <f t="shared" ca="1" si="181"/>
        <v>0</v>
      </c>
      <c r="AY287" s="750">
        <f t="shared" ca="1" si="182"/>
        <v>0</v>
      </c>
      <c r="AZ287">
        <f t="shared" si="183"/>
        <v>5750</v>
      </c>
    </row>
    <row r="288" spans="4:52">
      <c r="D288">
        <v>281</v>
      </c>
      <c r="E288" s="6">
        <f t="shared" ca="1" si="184"/>
        <v>44228</v>
      </c>
      <c r="F288" s="7">
        <f t="shared" ca="1" si="163"/>
        <v>0</v>
      </c>
      <c r="G288" s="125">
        <f ca="1">IF('Simulador - 1º Pilar'!$E$99="Sí",IF('Aportaciones PPE'!$B$13&lt;'Aportaciones PPE'!E288,0,F288*$B$8/12),F288*$B$8/12)</f>
        <v>0</v>
      </c>
      <c r="H288" s="125">
        <f t="shared" ca="1" si="153"/>
        <v>0</v>
      </c>
      <c r="I288" s="125">
        <f t="shared" ca="1" si="164"/>
        <v>0</v>
      </c>
      <c r="J288" s="125">
        <f t="shared" ca="1" si="165"/>
        <v>0</v>
      </c>
      <c r="K288" s="125">
        <f t="shared" ca="1" si="166"/>
        <v>0</v>
      </c>
      <c r="L288" s="125">
        <f t="shared" ca="1" si="185"/>
        <v>0</v>
      </c>
      <c r="M288" s="125">
        <f t="shared" ca="1" si="167"/>
        <v>0</v>
      </c>
      <c r="N288" s="125">
        <f t="shared" ca="1" si="168"/>
        <v>0</v>
      </c>
      <c r="R288">
        <f t="shared" si="186"/>
        <v>281</v>
      </c>
      <c r="U288" s="55"/>
      <c r="V288">
        <f t="shared" si="187"/>
        <v>6</v>
      </c>
      <c r="W288">
        <f t="shared" ca="1" si="188"/>
        <v>2047</v>
      </c>
      <c r="X288" s="123">
        <f t="shared" ca="1" si="169"/>
        <v>53844</v>
      </c>
      <c r="Y288" s="64">
        <f t="shared" ca="1" si="170"/>
        <v>0</v>
      </c>
      <c r="Z288" s="64">
        <f t="shared" ca="1" si="171"/>
        <v>0</v>
      </c>
      <c r="AA288" s="64">
        <f t="shared" ca="1" si="172"/>
        <v>0</v>
      </c>
      <c r="AB288" s="64">
        <f t="shared" ca="1" si="173"/>
        <v>0</v>
      </c>
      <c r="AF288" t="str">
        <f t="shared" ca="1" si="154"/>
        <v>22021</v>
      </c>
      <c r="AG288" s="126">
        <f t="shared" ca="1" si="155"/>
        <v>0</v>
      </c>
      <c r="AH288" s="126">
        <f t="shared" ca="1" si="156"/>
        <v>0</v>
      </c>
      <c r="AI288" s="126">
        <f t="shared" ca="1" si="157"/>
        <v>0</v>
      </c>
      <c r="AJ288" t="str">
        <f t="shared" ca="1" si="158"/>
        <v>62047</v>
      </c>
      <c r="AK288" s="126">
        <f t="shared" ca="1" si="174"/>
        <v>0</v>
      </c>
      <c r="AL288" s="126">
        <f t="shared" ca="1" si="175"/>
        <v>0</v>
      </c>
      <c r="AM288" s="126">
        <f t="shared" ca="1" si="189"/>
        <v>0</v>
      </c>
      <c r="AN288" s="753">
        <f t="shared" ca="1" si="190"/>
        <v>0</v>
      </c>
      <c r="AO288" s="750">
        <f t="shared" ca="1" si="176"/>
        <v>0</v>
      </c>
      <c r="AP288" s="126">
        <f t="shared" ca="1" si="177"/>
        <v>0</v>
      </c>
      <c r="AQ288" s="126">
        <f t="shared" ca="1" si="178"/>
        <v>0</v>
      </c>
      <c r="AR288" s="126">
        <f t="shared" ca="1" si="159"/>
        <v>10000</v>
      </c>
      <c r="AS288" s="750">
        <f t="shared" ca="1" si="160"/>
        <v>0</v>
      </c>
      <c r="AT288" s="750">
        <f t="shared" ca="1" si="161"/>
        <v>0</v>
      </c>
      <c r="AU288" s="126">
        <f t="shared" ca="1" si="179"/>
        <v>0</v>
      </c>
      <c r="AV288" s="126">
        <f t="shared" ca="1" si="180"/>
        <v>0</v>
      </c>
      <c r="AW288" s="126">
        <f t="shared" ca="1" si="162"/>
        <v>10000</v>
      </c>
      <c r="AX288" s="750">
        <f t="shared" ca="1" si="181"/>
        <v>0</v>
      </c>
      <c r="AY288" s="750">
        <f t="shared" ca="1" si="182"/>
        <v>0</v>
      </c>
      <c r="AZ288">
        <f t="shared" si="183"/>
        <v>5750</v>
      </c>
    </row>
    <row r="289" spans="4:52">
      <c r="D289">
        <v>282</v>
      </c>
      <c r="E289" s="6">
        <f t="shared" ca="1" si="184"/>
        <v>44197</v>
      </c>
      <c r="F289" s="7">
        <f t="shared" ca="1" si="163"/>
        <v>0</v>
      </c>
      <c r="G289" s="125">
        <f ca="1">IF('Simulador - 1º Pilar'!$E$99="Sí",IF('Aportaciones PPE'!$B$13&lt;'Aportaciones PPE'!E289,0,F289*$B$8/12),F289*$B$8/12)</f>
        <v>0</v>
      </c>
      <c r="H289" s="125">
        <f t="shared" ca="1" si="153"/>
        <v>0</v>
      </c>
      <c r="I289" s="125">
        <f t="shared" ca="1" si="164"/>
        <v>0</v>
      </c>
      <c r="J289" s="125">
        <f t="shared" ca="1" si="165"/>
        <v>0</v>
      </c>
      <c r="K289" s="125">
        <f t="shared" ca="1" si="166"/>
        <v>0</v>
      </c>
      <c r="L289" s="125">
        <f t="shared" ca="1" si="185"/>
        <v>0</v>
      </c>
      <c r="M289" s="125">
        <f t="shared" ca="1" si="167"/>
        <v>0</v>
      </c>
      <c r="N289" s="125">
        <f t="shared" ca="1" si="168"/>
        <v>0</v>
      </c>
      <c r="R289">
        <f t="shared" si="186"/>
        <v>282</v>
      </c>
      <c r="U289" s="55"/>
      <c r="V289">
        <f t="shared" si="187"/>
        <v>7</v>
      </c>
      <c r="W289">
        <f t="shared" ca="1" si="188"/>
        <v>2047</v>
      </c>
      <c r="X289" s="123">
        <f t="shared" ca="1" si="169"/>
        <v>53874</v>
      </c>
      <c r="Y289" s="64">
        <f t="shared" ca="1" si="170"/>
        <v>0</v>
      </c>
      <c r="Z289" s="64">
        <f t="shared" ca="1" si="171"/>
        <v>0</v>
      </c>
      <c r="AA289" s="64">
        <f t="shared" ca="1" si="172"/>
        <v>0</v>
      </c>
      <c r="AB289" s="64">
        <f t="shared" ca="1" si="173"/>
        <v>0</v>
      </c>
      <c r="AF289" t="str">
        <f t="shared" ca="1" si="154"/>
        <v>12021</v>
      </c>
      <c r="AG289" s="126">
        <f t="shared" ca="1" si="155"/>
        <v>0</v>
      </c>
      <c r="AH289" s="126">
        <f t="shared" ca="1" si="156"/>
        <v>0</v>
      </c>
      <c r="AI289" s="126">
        <f t="shared" ca="1" si="157"/>
        <v>0</v>
      </c>
      <c r="AJ289" t="str">
        <f t="shared" ca="1" si="158"/>
        <v>72047</v>
      </c>
      <c r="AK289" s="126">
        <f t="shared" ca="1" si="174"/>
        <v>0</v>
      </c>
      <c r="AL289" s="126">
        <f t="shared" ca="1" si="175"/>
        <v>0</v>
      </c>
      <c r="AM289" s="126">
        <f t="shared" ca="1" si="189"/>
        <v>0</v>
      </c>
      <c r="AN289" s="753">
        <f t="shared" ca="1" si="190"/>
        <v>0</v>
      </c>
      <c r="AO289" s="750">
        <f t="shared" ca="1" si="176"/>
        <v>0</v>
      </c>
      <c r="AP289" s="126">
        <f t="shared" ca="1" si="177"/>
        <v>0</v>
      </c>
      <c r="AQ289" s="126">
        <f t="shared" ca="1" si="178"/>
        <v>0</v>
      </c>
      <c r="AR289" s="126">
        <f t="shared" ca="1" si="159"/>
        <v>10000</v>
      </c>
      <c r="AS289" s="750">
        <f t="shared" ca="1" si="160"/>
        <v>0</v>
      </c>
      <c r="AT289" s="750">
        <f t="shared" ca="1" si="161"/>
        <v>0</v>
      </c>
      <c r="AU289" s="126">
        <f t="shared" ca="1" si="179"/>
        <v>0</v>
      </c>
      <c r="AV289" s="126">
        <f t="shared" ca="1" si="180"/>
        <v>0</v>
      </c>
      <c r="AW289" s="126">
        <f t="shared" ca="1" si="162"/>
        <v>10000</v>
      </c>
      <c r="AX289" s="750">
        <f t="shared" ca="1" si="181"/>
        <v>0</v>
      </c>
      <c r="AY289" s="750">
        <f t="shared" ca="1" si="182"/>
        <v>0</v>
      </c>
      <c r="AZ289">
        <f t="shared" si="183"/>
        <v>5750</v>
      </c>
    </row>
    <row r="290" spans="4:52">
      <c r="D290">
        <v>283</v>
      </c>
      <c r="E290" s="6">
        <f t="shared" ca="1" si="184"/>
        <v>44166</v>
      </c>
      <c r="F290" s="7">
        <f t="shared" ca="1" si="163"/>
        <v>0</v>
      </c>
      <c r="G290" s="125">
        <f ca="1">IF('Simulador - 1º Pilar'!$E$99="Sí",IF('Aportaciones PPE'!$B$13&lt;'Aportaciones PPE'!E290,0,F290*$B$8/12),F290*$B$8/12)</f>
        <v>0</v>
      </c>
      <c r="H290" s="125">
        <f t="shared" ca="1" si="153"/>
        <v>0</v>
      </c>
      <c r="I290" s="125">
        <f t="shared" ca="1" si="164"/>
        <v>0</v>
      </c>
      <c r="J290" s="125">
        <f t="shared" ca="1" si="165"/>
        <v>0</v>
      </c>
      <c r="K290" s="125">
        <f t="shared" ca="1" si="166"/>
        <v>0</v>
      </c>
      <c r="L290" s="125">
        <f t="shared" ca="1" si="185"/>
        <v>0</v>
      </c>
      <c r="M290" s="125">
        <f t="shared" ca="1" si="167"/>
        <v>0</v>
      </c>
      <c r="N290" s="125">
        <f t="shared" ca="1" si="168"/>
        <v>0</v>
      </c>
      <c r="R290">
        <f t="shared" si="186"/>
        <v>283</v>
      </c>
      <c r="U290" s="55"/>
      <c r="V290">
        <f t="shared" si="187"/>
        <v>8</v>
      </c>
      <c r="W290">
        <f t="shared" ca="1" si="188"/>
        <v>2047</v>
      </c>
      <c r="X290" s="123">
        <f t="shared" ca="1" si="169"/>
        <v>53905</v>
      </c>
      <c r="Y290" s="64">
        <f t="shared" ca="1" si="170"/>
        <v>0</v>
      </c>
      <c r="Z290" s="64">
        <f t="shared" ca="1" si="171"/>
        <v>0</v>
      </c>
      <c r="AA290" s="64">
        <f t="shared" ca="1" si="172"/>
        <v>0</v>
      </c>
      <c r="AB290" s="64">
        <f t="shared" ca="1" si="173"/>
        <v>0</v>
      </c>
      <c r="AF290" t="str">
        <f t="shared" ca="1" si="154"/>
        <v>122020</v>
      </c>
      <c r="AG290" s="126">
        <f t="shared" ca="1" si="155"/>
        <v>0</v>
      </c>
      <c r="AH290" s="126">
        <f t="shared" ca="1" si="156"/>
        <v>0</v>
      </c>
      <c r="AI290" s="126">
        <f t="shared" ca="1" si="157"/>
        <v>0</v>
      </c>
      <c r="AJ290" t="str">
        <f t="shared" ca="1" si="158"/>
        <v>82047</v>
      </c>
      <c r="AK290" s="126">
        <f t="shared" ca="1" si="174"/>
        <v>0</v>
      </c>
      <c r="AL290" s="126">
        <f t="shared" ca="1" si="175"/>
        <v>0</v>
      </c>
      <c r="AM290" s="126">
        <f t="shared" ca="1" si="189"/>
        <v>0</v>
      </c>
      <c r="AN290" s="753">
        <f t="shared" ca="1" si="190"/>
        <v>0</v>
      </c>
      <c r="AO290" s="750">
        <f t="shared" ca="1" si="176"/>
        <v>0</v>
      </c>
      <c r="AP290" s="126">
        <f t="shared" ca="1" si="177"/>
        <v>0</v>
      </c>
      <c r="AQ290" s="126">
        <f t="shared" ca="1" si="178"/>
        <v>0</v>
      </c>
      <c r="AR290" s="126">
        <f t="shared" ca="1" si="159"/>
        <v>10000</v>
      </c>
      <c r="AS290" s="750">
        <f t="shared" ca="1" si="160"/>
        <v>0</v>
      </c>
      <c r="AT290" s="750">
        <f t="shared" ca="1" si="161"/>
        <v>0</v>
      </c>
      <c r="AU290" s="126">
        <f t="shared" ca="1" si="179"/>
        <v>0</v>
      </c>
      <c r="AV290" s="126">
        <f t="shared" ca="1" si="180"/>
        <v>0</v>
      </c>
      <c r="AW290" s="126">
        <f t="shared" ca="1" si="162"/>
        <v>10000</v>
      </c>
      <c r="AX290" s="750">
        <f t="shared" ca="1" si="181"/>
        <v>0</v>
      </c>
      <c r="AY290" s="750">
        <f t="shared" ca="1" si="182"/>
        <v>0</v>
      </c>
      <c r="AZ290">
        <f t="shared" si="183"/>
        <v>5750</v>
      </c>
    </row>
    <row r="291" spans="4:52">
      <c r="D291">
        <v>284</v>
      </c>
      <c r="E291" s="6">
        <f t="shared" ca="1" si="184"/>
        <v>44136</v>
      </c>
      <c r="F291" s="7">
        <f t="shared" ca="1" si="163"/>
        <v>0</v>
      </c>
      <c r="G291" s="125">
        <f ca="1">IF('Simulador - 1º Pilar'!$E$99="Sí",IF('Aportaciones PPE'!$B$13&lt;'Aportaciones PPE'!E291,0,F291*$B$8/12),F291*$B$8/12)</f>
        <v>0</v>
      </c>
      <c r="H291" s="125">
        <f t="shared" ca="1" si="153"/>
        <v>0</v>
      </c>
      <c r="I291" s="125">
        <f t="shared" ca="1" si="164"/>
        <v>0</v>
      </c>
      <c r="J291" s="125">
        <f t="shared" ca="1" si="165"/>
        <v>0</v>
      </c>
      <c r="K291" s="125">
        <f t="shared" ca="1" si="166"/>
        <v>0</v>
      </c>
      <c r="L291" s="125">
        <f t="shared" ca="1" si="185"/>
        <v>0</v>
      </c>
      <c r="M291" s="125">
        <f t="shared" ca="1" si="167"/>
        <v>0</v>
      </c>
      <c r="N291" s="125">
        <f t="shared" ca="1" si="168"/>
        <v>0</v>
      </c>
      <c r="R291">
        <f t="shared" si="186"/>
        <v>284</v>
      </c>
      <c r="U291" s="55"/>
      <c r="V291">
        <f t="shared" si="187"/>
        <v>9</v>
      </c>
      <c r="W291">
        <f t="shared" ca="1" si="188"/>
        <v>2047</v>
      </c>
      <c r="X291" s="123">
        <f t="shared" ca="1" si="169"/>
        <v>53936</v>
      </c>
      <c r="Y291" s="64">
        <f t="shared" ca="1" si="170"/>
        <v>0</v>
      </c>
      <c r="Z291" s="64">
        <f t="shared" ca="1" si="171"/>
        <v>0</v>
      </c>
      <c r="AA291" s="64">
        <f t="shared" ca="1" si="172"/>
        <v>0</v>
      </c>
      <c r="AB291" s="64">
        <f t="shared" ca="1" si="173"/>
        <v>0</v>
      </c>
      <c r="AF291" t="str">
        <f t="shared" ca="1" si="154"/>
        <v>112020</v>
      </c>
      <c r="AG291" s="126">
        <f t="shared" ca="1" si="155"/>
        <v>0</v>
      </c>
      <c r="AH291" s="126">
        <f t="shared" ca="1" si="156"/>
        <v>0</v>
      </c>
      <c r="AI291" s="126">
        <f t="shared" ca="1" si="157"/>
        <v>0</v>
      </c>
      <c r="AJ291" t="str">
        <f t="shared" ca="1" si="158"/>
        <v>92047</v>
      </c>
      <c r="AK291" s="126">
        <f t="shared" ca="1" si="174"/>
        <v>0</v>
      </c>
      <c r="AL291" s="126">
        <f t="shared" ca="1" si="175"/>
        <v>0</v>
      </c>
      <c r="AM291" s="126">
        <f t="shared" ca="1" si="189"/>
        <v>0</v>
      </c>
      <c r="AN291" s="753">
        <f t="shared" ca="1" si="190"/>
        <v>0</v>
      </c>
      <c r="AO291" s="750">
        <f t="shared" ca="1" si="176"/>
        <v>0</v>
      </c>
      <c r="AP291" s="126">
        <f t="shared" ca="1" si="177"/>
        <v>0</v>
      </c>
      <c r="AQ291" s="126">
        <f t="shared" ca="1" si="178"/>
        <v>0</v>
      </c>
      <c r="AR291" s="126">
        <f t="shared" ca="1" si="159"/>
        <v>10000</v>
      </c>
      <c r="AS291" s="750">
        <f t="shared" ca="1" si="160"/>
        <v>0</v>
      </c>
      <c r="AT291" s="750">
        <f t="shared" ca="1" si="161"/>
        <v>0</v>
      </c>
      <c r="AU291" s="126">
        <f t="shared" ca="1" si="179"/>
        <v>0</v>
      </c>
      <c r="AV291" s="126">
        <f t="shared" ca="1" si="180"/>
        <v>0</v>
      </c>
      <c r="AW291" s="126">
        <f t="shared" ca="1" si="162"/>
        <v>10000</v>
      </c>
      <c r="AX291" s="750">
        <f t="shared" ca="1" si="181"/>
        <v>0</v>
      </c>
      <c r="AY291" s="750">
        <f t="shared" ca="1" si="182"/>
        <v>0</v>
      </c>
      <c r="AZ291">
        <f t="shared" si="183"/>
        <v>5750</v>
      </c>
    </row>
    <row r="292" spans="4:52">
      <c r="D292">
        <v>285</v>
      </c>
      <c r="E292" s="6">
        <f t="shared" ca="1" si="184"/>
        <v>44105</v>
      </c>
      <c r="F292" s="7">
        <f t="shared" ca="1" si="163"/>
        <v>0</v>
      </c>
      <c r="G292" s="125">
        <f ca="1">IF('Simulador - 1º Pilar'!$E$99="Sí",IF('Aportaciones PPE'!$B$13&lt;'Aportaciones PPE'!E292,0,F292*$B$8/12),F292*$B$8/12)</f>
        <v>0</v>
      </c>
      <c r="H292" s="125">
        <f t="shared" ca="1" si="153"/>
        <v>0</v>
      </c>
      <c r="I292" s="125">
        <f t="shared" ca="1" si="164"/>
        <v>0</v>
      </c>
      <c r="J292" s="125">
        <f t="shared" ca="1" si="165"/>
        <v>0</v>
      </c>
      <c r="K292" s="125">
        <f t="shared" ca="1" si="166"/>
        <v>0</v>
      </c>
      <c r="L292" s="125">
        <f t="shared" ca="1" si="185"/>
        <v>0</v>
      </c>
      <c r="M292" s="125">
        <f t="shared" ca="1" si="167"/>
        <v>0</v>
      </c>
      <c r="N292" s="125">
        <f t="shared" ca="1" si="168"/>
        <v>0</v>
      </c>
      <c r="R292">
        <f t="shared" si="186"/>
        <v>285</v>
      </c>
      <c r="U292" s="55"/>
      <c r="V292">
        <f t="shared" si="187"/>
        <v>10</v>
      </c>
      <c r="W292">
        <f t="shared" ca="1" si="188"/>
        <v>2047</v>
      </c>
      <c r="X292" s="123">
        <f t="shared" ca="1" si="169"/>
        <v>53966</v>
      </c>
      <c r="Y292" s="64">
        <f t="shared" ca="1" si="170"/>
        <v>0</v>
      </c>
      <c r="Z292" s="64">
        <f t="shared" ca="1" si="171"/>
        <v>0</v>
      </c>
      <c r="AA292" s="64">
        <f t="shared" ca="1" si="172"/>
        <v>0</v>
      </c>
      <c r="AB292" s="64">
        <f t="shared" ca="1" si="173"/>
        <v>0</v>
      </c>
      <c r="AF292" t="str">
        <f t="shared" ca="1" si="154"/>
        <v>102020</v>
      </c>
      <c r="AG292" s="126">
        <f t="shared" ca="1" si="155"/>
        <v>0</v>
      </c>
      <c r="AH292" s="126">
        <f t="shared" ca="1" si="156"/>
        <v>0</v>
      </c>
      <c r="AI292" s="126">
        <f t="shared" ca="1" si="157"/>
        <v>0</v>
      </c>
      <c r="AJ292" t="str">
        <f t="shared" ca="1" si="158"/>
        <v>102047</v>
      </c>
      <c r="AK292" s="126">
        <f t="shared" ca="1" si="174"/>
        <v>0</v>
      </c>
      <c r="AL292" s="126">
        <f t="shared" ca="1" si="175"/>
        <v>0</v>
      </c>
      <c r="AM292" s="126">
        <f t="shared" ca="1" si="189"/>
        <v>0</v>
      </c>
      <c r="AN292" s="753">
        <f t="shared" ca="1" si="190"/>
        <v>0</v>
      </c>
      <c r="AO292" s="750">
        <f t="shared" ca="1" si="176"/>
        <v>0</v>
      </c>
      <c r="AP292" s="126">
        <f t="shared" ca="1" si="177"/>
        <v>0</v>
      </c>
      <c r="AQ292" s="126">
        <f t="shared" ca="1" si="178"/>
        <v>0</v>
      </c>
      <c r="AR292" s="126">
        <f t="shared" ca="1" si="159"/>
        <v>10000</v>
      </c>
      <c r="AS292" s="750">
        <f t="shared" ca="1" si="160"/>
        <v>0</v>
      </c>
      <c r="AT292" s="750">
        <f t="shared" ca="1" si="161"/>
        <v>0</v>
      </c>
      <c r="AU292" s="126">
        <f t="shared" ca="1" si="179"/>
        <v>0</v>
      </c>
      <c r="AV292" s="126">
        <f t="shared" ca="1" si="180"/>
        <v>0</v>
      </c>
      <c r="AW292" s="126">
        <f t="shared" ca="1" si="162"/>
        <v>10000</v>
      </c>
      <c r="AX292" s="750">
        <f t="shared" ca="1" si="181"/>
        <v>0</v>
      </c>
      <c r="AY292" s="750">
        <f t="shared" ca="1" si="182"/>
        <v>0</v>
      </c>
      <c r="AZ292">
        <f t="shared" si="183"/>
        <v>5750</v>
      </c>
    </row>
    <row r="293" spans="4:52">
      <c r="D293">
        <v>286</v>
      </c>
      <c r="E293" s="6">
        <f t="shared" ca="1" si="184"/>
        <v>44075</v>
      </c>
      <c r="F293" s="7">
        <f t="shared" ca="1" si="163"/>
        <v>0</v>
      </c>
      <c r="G293" s="125">
        <f ca="1">IF('Simulador - 1º Pilar'!$E$99="Sí",IF('Aportaciones PPE'!$B$13&lt;'Aportaciones PPE'!E293,0,F293*$B$8/12),F293*$B$8/12)</f>
        <v>0</v>
      </c>
      <c r="H293" s="125">
        <f t="shared" ca="1" si="153"/>
        <v>0</v>
      </c>
      <c r="I293" s="125">
        <f t="shared" ca="1" si="164"/>
        <v>0</v>
      </c>
      <c r="J293" s="125">
        <f t="shared" ca="1" si="165"/>
        <v>0</v>
      </c>
      <c r="K293" s="125">
        <f t="shared" ca="1" si="166"/>
        <v>0</v>
      </c>
      <c r="L293" s="125">
        <f t="shared" ca="1" si="185"/>
        <v>0</v>
      </c>
      <c r="M293" s="125">
        <f t="shared" ca="1" si="167"/>
        <v>0</v>
      </c>
      <c r="N293" s="125">
        <f t="shared" ca="1" si="168"/>
        <v>0</v>
      </c>
      <c r="R293">
        <f t="shared" si="186"/>
        <v>286</v>
      </c>
      <c r="U293" s="55"/>
      <c r="V293">
        <f t="shared" si="187"/>
        <v>11</v>
      </c>
      <c r="W293">
        <f t="shared" ca="1" si="188"/>
        <v>2047</v>
      </c>
      <c r="X293" s="123">
        <f t="shared" ca="1" si="169"/>
        <v>53997</v>
      </c>
      <c r="Y293" s="64">
        <f t="shared" ca="1" si="170"/>
        <v>0</v>
      </c>
      <c r="Z293" s="64">
        <f t="shared" ca="1" si="171"/>
        <v>0</v>
      </c>
      <c r="AA293" s="64">
        <f t="shared" ca="1" si="172"/>
        <v>0</v>
      </c>
      <c r="AB293" s="64">
        <f t="shared" ca="1" si="173"/>
        <v>0</v>
      </c>
      <c r="AF293" t="str">
        <f t="shared" ca="1" si="154"/>
        <v>92020</v>
      </c>
      <c r="AG293" s="126">
        <f t="shared" ca="1" si="155"/>
        <v>0</v>
      </c>
      <c r="AH293" s="126">
        <f t="shared" ca="1" si="156"/>
        <v>0</v>
      </c>
      <c r="AI293" s="126">
        <f t="shared" ca="1" si="157"/>
        <v>0</v>
      </c>
      <c r="AJ293" t="str">
        <f t="shared" ca="1" si="158"/>
        <v>112047</v>
      </c>
      <c r="AK293" s="126">
        <f t="shared" ca="1" si="174"/>
        <v>0</v>
      </c>
      <c r="AL293" s="126">
        <f t="shared" ca="1" si="175"/>
        <v>0</v>
      </c>
      <c r="AM293" s="126">
        <f t="shared" ca="1" si="189"/>
        <v>0</v>
      </c>
      <c r="AN293" s="753">
        <f t="shared" ca="1" si="190"/>
        <v>0</v>
      </c>
      <c r="AO293" s="750">
        <f t="shared" ca="1" si="176"/>
        <v>0</v>
      </c>
      <c r="AP293" s="126">
        <f t="shared" ca="1" si="177"/>
        <v>0</v>
      </c>
      <c r="AQ293" s="126">
        <f t="shared" ca="1" si="178"/>
        <v>0</v>
      </c>
      <c r="AR293" s="126">
        <f t="shared" ca="1" si="159"/>
        <v>10000</v>
      </c>
      <c r="AS293" s="750">
        <f t="shared" ca="1" si="160"/>
        <v>0</v>
      </c>
      <c r="AT293" s="750">
        <f t="shared" ca="1" si="161"/>
        <v>0</v>
      </c>
      <c r="AU293" s="126">
        <f t="shared" ca="1" si="179"/>
        <v>0</v>
      </c>
      <c r="AV293" s="126">
        <f t="shared" ca="1" si="180"/>
        <v>0</v>
      </c>
      <c r="AW293" s="126">
        <f t="shared" ca="1" si="162"/>
        <v>10000</v>
      </c>
      <c r="AX293" s="750">
        <f t="shared" ca="1" si="181"/>
        <v>0</v>
      </c>
      <c r="AY293" s="750">
        <f t="shared" ca="1" si="182"/>
        <v>0</v>
      </c>
      <c r="AZ293">
        <f t="shared" si="183"/>
        <v>5750</v>
      </c>
    </row>
    <row r="294" spans="4:52">
      <c r="D294">
        <v>287</v>
      </c>
      <c r="E294" s="6">
        <f t="shared" ca="1" si="184"/>
        <v>44044</v>
      </c>
      <c r="F294" s="7">
        <f t="shared" ca="1" si="163"/>
        <v>0</v>
      </c>
      <c r="G294" s="125">
        <f ca="1">IF('Simulador - 1º Pilar'!$E$99="Sí",IF('Aportaciones PPE'!$B$13&lt;'Aportaciones PPE'!E294,0,F294*$B$8/12),F294*$B$8/12)</f>
        <v>0</v>
      </c>
      <c r="H294" s="125">
        <f t="shared" ca="1" si="153"/>
        <v>0</v>
      </c>
      <c r="I294" s="125">
        <f t="shared" ca="1" si="164"/>
        <v>0</v>
      </c>
      <c r="J294" s="125">
        <f t="shared" ca="1" si="165"/>
        <v>0</v>
      </c>
      <c r="K294" s="125">
        <f t="shared" ca="1" si="166"/>
        <v>0</v>
      </c>
      <c r="L294" s="125">
        <f t="shared" ca="1" si="185"/>
        <v>0</v>
      </c>
      <c r="M294" s="125">
        <f t="shared" ca="1" si="167"/>
        <v>0</v>
      </c>
      <c r="N294" s="125">
        <f t="shared" ca="1" si="168"/>
        <v>0</v>
      </c>
      <c r="R294">
        <f t="shared" si="186"/>
        <v>287</v>
      </c>
      <c r="U294" s="55"/>
      <c r="V294">
        <f t="shared" si="187"/>
        <v>12</v>
      </c>
      <c r="W294">
        <f t="shared" ca="1" si="188"/>
        <v>2047</v>
      </c>
      <c r="X294" s="123">
        <f t="shared" ca="1" si="169"/>
        <v>54027</v>
      </c>
      <c r="Y294" s="64">
        <f t="shared" ca="1" si="170"/>
        <v>0</v>
      </c>
      <c r="Z294" s="64">
        <f t="shared" ca="1" si="171"/>
        <v>0</v>
      </c>
      <c r="AA294" s="64">
        <f t="shared" ca="1" si="172"/>
        <v>0</v>
      </c>
      <c r="AB294" s="64">
        <f t="shared" ca="1" si="173"/>
        <v>0</v>
      </c>
      <c r="AF294" t="str">
        <f t="shared" ca="1" si="154"/>
        <v>82020</v>
      </c>
      <c r="AG294" s="126">
        <f t="shared" ca="1" si="155"/>
        <v>0</v>
      </c>
      <c r="AH294" s="126">
        <f t="shared" ca="1" si="156"/>
        <v>0</v>
      </c>
      <c r="AI294" s="126">
        <f t="shared" ca="1" si="157"/>
        <v>0</v>
      </c>
      <c r="AJ294" t="str">
        <f t="shared" ca="1" si="158"/>
        <v>122047</v>
      </c>
      <c r="AK294" s="126">
        <f t="shared" ca="1" si="174"/>
        <v>0</v>
      </c>
      <c r="AL294" s="126">
        <f t="shared" ca="1" si="175"/>
        <v>0</v>
      </c>
      <c r="AM294" s="126">
        <f t="shared" ca="1" si="189"/>
        <v>0</v>
      </c>
      <c r="AN294" s="753">
        <f t="shared" ca="1" si="190"/>
        <v>0</v>
      </c>
      <c r="AO294" s="750">
        <f t="shared" ca="1" si="176"/>
        <v>0</v>
      </c>
      <c r="AP294" s="126">
        <f t="shared" ca="1" si="177"/>
        <v>0</v>
      </c>
      <c r="AQ294" s="126">
        <f t="shared" ca="1" si="178"/>
        <v>0</v>
      </c>
      <c r="AR294" s="126">
        <f t="shared" ca="1" si="159"/>
        <v>10000</v>
      </c>
      <c r="AS294" s="750">
        <f t="shared" ca="1" si="160"/>
        <v>0</v>
      </c>
      <c r="AT294" s="750">
        <f t="shared" ca="1" si="161"/>
        <v>0</v>
      </c>
      <c r="AU294" s="126">
        <f t="shared" ca="1" si="179"/>
        <v>0</v>
      </c>
      <c r="AV294" s="126">
        <f t="shared" ca="1" si="180"/>
        <v>0</v>
      </c>
      <c r="AW294" s="126">
        <f t="shared" ca="1" si="162"/>
        <v>10000</v>
      </c>
      <c r="AX294" s="750">
        <f t="shared" ca="1" si="181"/>
        <v>0</v>
      </c>
      <c r="AY294" s="750">
        <f t="shared" ca="1" si="182"/>
        <v>0</v>
      </c>
      <c r="AZ294">
        <f t="shared" si="183"/>
        <v>5750</v>
      </c>
    </row>
    <row r="295" spans="4:52">
      <c r="D295">
        <v>288</v>
      </c>
      <c r="E295" s="6">
        <f t="shared" ca="1" si="184"/>
        <v>44013</v>
      </c>
      <c r="F295" s="7">
        <f t="shared" ca="1" si="163"/>
        <v>0</v>
      </c>
      <c r="G295" s="125">
        <f ca="1">IF('Simulador - 1º Pilar'!$E$99="Sí",IF('Aportaciones PPE'!$B$13&lt;'Aportaciones PPE'!E295,0,F295*$B$8/12),F295*$B$8/12)</f>
        <v>0</v>
      </c>
      <c r="H295" s="125">
        <f t="shared" ca="1" si="153"/>
        <v>0</v>
      </c>
      <c r="I295" s="125">
        <f t="shared" ca="1" si="164"/>
        <v>0</v>
      </c>
      <c r="J295" s="125">
        <f t="shared" ca="1" si="165"/>
        <v>0</v>
      </c>
      <c r="K295" s="125">
        <f t="shared" ca="1" si="166"/>
        <v>0</v>
      </c>
      <c r="L295" s="125">
        <f t="shared" ca="1" si="185"/>
        <v>0</v>
      </c>
      <c r="M295" s="125">
        <f t="shared" ca="1" si="167"/>
        <v>0</v>
      </c>
      <c r="N295" s="125">
        <f t="shared" ca="1" si="168"/>
        <v>0</v>
      </c>
      <c r="R295">
        <f t="shared" si="186"/>
        <v>288</v>
      </c>
      <c r="U295" s="55"/>
      <c r="V295">
        <f t="shared" si="187"/>
        <v>1</v>
      </c>
      <c r="W295">
        <f t="shared" ca="1" si="188"/>
        <v>2048</v>
      </c>
      <c r="X295" s="123">
        <f t="shared" ca="1" si="169"/>
        <v>54058</v>
      </c>
      <c r="Y295" s="64">
        <f t="shared" ca="1" si="170"/>
        <v>0</v>
      </c>
      <c r="Z295" s="64">
        <f t="shared" ca="1" si="171"/>
        <v>0</v>
      </c>
      <c r="AA295" s="64">
        <f t="shared" ca="1" si="172"/>
        <v>0</v>
      </c>
      <c r="AB295" s="64">
        <f t="shared" ca="1" si="173"/>
        <v>0</v>
      </c>
      <c r="AF295" t="str">
        <f t="shared" ca="1" si="154"/>
        <v>72020</v>
      </c>
      <c r="AG295" s="126">
        <f t="shared" ca="1" si="155"/>
        <v>0</v>
      </c>
      <c r="AH295" s="126">
        <f t="shared" ca="1" si="156"/>
        <v>0</v>
      </c>
      <c r="AI295" s="126">
        <f t="shared" ca="1" si="157"/>
        <v>0</v>
      </c>
      <c r="AJ295" t="str">
        <f t="shared" ca="1" si="158"/>
        <v>12048</v>
      </c>
      <c r="AK295" s="126">
        <f t="shared" ca="1" si="174"/>
        <v>0</v>
      </c>
      <c r="AL295" s="126">
        <f t="shared" ca="1" si="175"/>
        <v>0</v>
      </c>
      <c r="AM295" s="126">
        <f t="shared" ca="1" si="189"/>
        <v>0</v>
      </c>
      <c r="AN295" s="753">
        <f t="shared" ca="1" si="190"/>
        <v>0</v>
      </c>
      <c r="AO295" s="750">
        <f t="shared" ca="1" si="176"/>
        <v>0</v>
      </c>
      <c r="AP295" s="126">
        <f t="shared" ca="1" si="177"/>
        <v>0</v>
      </c>
      <c r="AQ295" s="126">
        <f t="shared" ca="1" si="178"/>
        <v>0</v>
      </c>
      <c r="AR295" s="126">
        <f t="shared" ca="1" si="159"/>
        <v>10000</v>
      </c>
      <c r="AS295" s="750">
        <f t="shared" ca="1" si="160"/>
        <v>0</v>
      </c>
      <c r="AT295" s="750">
        <f t="shared" ca="1" si="161"/>
        <v>0</v>
      </c>
      <c r="AU295" s="126">
        <f t="shared" ca="1" si="179"/>
        <v>0</v>
      </c>
      <c r="AV295" s="126">
        <f t="shared" ca="1" si="180"/>
        <v>0</v>
      </c>
      <c r="AW295" s="126">
        <f t="shared" ca="1" si="162"/>
        <v>10000</v>
      </c>
      <c r="AX295" s="750">
        <f t="shared" ca="1" si="181"/>
        <v>0</v>
      </c>
      <c r="AY295" s="750">
        <f t="shared" ca="1" si="182"/>
        <v>0</v>
      </c>
      <c r="AZ295">
        <f t="shared" si="183"/>
        <v>5750</v>
      </c>
    </row>
    <row r="296" spans="4:52">
      <c r="D296">
        <v>289</v>
      </c>
      <c r="E296" s="6">
        <f t="shared" ca="1" si="184"/>
        <v>43983</v>
      </c>
      <c r="F296" s="7">
        <f t="shared" ca="1" si="163"/>
        <v>0</v>
      </c>
      <c r="G296" s="125">
        <f ca="1">IF('Simulador - 1º Pilar'!$E$99="Sí",IF('Aportaciones PPE'!$B$13&lt;'Aportaciones PPE'!E296,0,F296*$B$8/12),F296*$B$8/12)</f>
        <v>0</v>
      </c>
      <c r="H296" s="125">
        <f t="shared" ca="1" si="153"/>
        <v>0</v>
      </c>
      <c r="I296" s="125">
        <f t="shared" ca="1" si="164"/>
        <v>0</v>
      </c>
      <c r="J296" s="125">
        <f t="shared" ca="1" si="165"/>
        <v>0</v>
      </c>
      <c r="K296" s="125">
        <f t="shared" ca="1" si="166"/>
        <v>0</v>
      </c>
      <c r="L296" s="125">
        <f t="shared" ca="1" si="185"/>
        <v>0</v>
      </c>
      <c r="M296" s="125">
        <f t="shared" ca="1" si="167"/>
        <v>0</v>
      </c>
      <c r="N296" s="125">
        <f t="shared" ca="1" si="168"/>
        <v>0</v>
      </c>
      <c r="R296">
        <f t="shared" si="186"/>
        <v>289</v>
      </c>
      <c r="U296" s="55"/>
      <c r="V296">
        <f t="shared" si="187"/>
        <v>2</v>
      </c>
      <c r="W296">
        <f t="shared" ca="1" si="188"/>
        <v>2048</v>
      </c>
      <c r="X296" s="123">
        <f t="shared" ca="1" si="169"/>
        <v>54089</v>
      </c>
      <c r="Y296" s="64">
        <f t="shared" ca="1" si="170"/>
        <v>0</v>
      </c>
      <c r="Z296" s="64">
        <f t="shared" ca="1" si="171"/>
        <v>0</v>
      </c>
      <c r="AA296" s="64">
        <f t="shared" ca="1" si="172"/>
        <v>0</v>
      </c>
      <c r="AB296" s="64">
        <f t="shared" ca="1" si="173"/>
        <v>0</v>
      </c>
      <c r="AF296" t="str">
        <f t="shared" ca="1" si="154"/>
        <v>62020</v>
      </c>
      <c r="AG296" s="126">
        <f t="shared" ca="1" si="155"/>
        <v>0</v>
      </c>
      <c r="AH296" s="126">
        <f t="shared" ca="1" si="156"/>
        <v>0</v>
      </c>
      <c r="AI296" s="126">
        <f t="shared" ca="1" si="157"/>
        <v>0</v>
      </c>
      <c r="AJ296" t="str">
        <f t="shared" ca="1" si="158"/>
        <v>22048</v>
      </c>
      <c r="AK296" s="126">
        <f t="shared" ca="1" si="174"/>
        <v>0</v>
      </c>
      <c r="AL296" s="126">
        <f t="shared" ca="1" si="175"/>
        <v>0</v>
      </c>
      <c r="AM296" s="126">
        <f t="shared" ca="1" si="189"/>
        <v>0</v>
      </c>
      <c r="AN296" s="753">
        <f t="shared" ca="1" si="190"/>
        <v>0</v>
      </c>
      <c r="AO296" s="750">
        <f t="shared" ca="1" si="176"/>
        <v>0</v>
      </c>
      <c r="AP296" s="126">
        <f t="shared" ca="1" si="177"/>
        <v>0</v>
      </c>
      <c r="AQ296" s="126">
        <f t="shared" ca="1" si="178"/>
        <v>0</v>
      </c>
      <c r="AR296" s="126">
        <f t="shared" ca="1" si="159"/>
        <v>10000</v>
      </c>
      <c r="AS296" s="750">
        <f t="shared" ca="1" si="160"/>
        <v>0</v>
      </c>
      <c r="AT296" s="750">
        <f t="shared" ca="1" si="161"/>
        <v>0</v>
      </c>
      <c r="AU296" s="126">
        <f t="shared" ca="1" si="179"/>
        <v>0</v>
      </c>
      <c r="AV296" s="126">
        <f t="shared" ca="1" si="180"/>
        <v>0</v>
      </c>
      <c r="AW296" s="126">
        <f t="shared" ca="1" si="162"/>
        <v>10000</v>
      </c>
      <c r="AX296" s="750">
        <f t="shared" ca="1" si="181"/>
        <v>0</v>
      </c>
      <c r="AY296" s="750">
        <f t="shared" ca="1" si="182"/>
        <v>0</v>
      </c>
      <c r="AZ296">
        <f t="shared" si="183"/>
        <v>5750</v>
      </c>
    </row>
    <row r="297" spans="4:52">
      <c r="D297">
        <v>290</v>
      </c>
      <c r="E297" s="6">
        <f t="shared" ca="1" si="184"/>
        <v>43952</v>
      </c>
      <c r="F297" s="7">
        <f t="shared" ca="1" si="163"/>
        <v>0</v>
      </c>
      <c r="G297" s="125">
        <f ca="1">IF('Simulador - 1º Pilar'!$E$99="Sí",IF('Aportaciones PPE'!$B$13&lt;'Aportaciones PPE'!E297,0,F297*$B$8/12),F297*$B$8/12)</f>
        <v>0</v>
      </c>
      <c r="H297" s="125">
        <f t="shared" ca="1" si="153"/>
        <v>0</v>
      </c>
      <c r="I297" s="125">
        <f t="shared" ca="1" si="164"/>
        <v>0</v>
      </c>
      <c r="J297" s="125">
        <f t="shared" ca="1" si="165"/>
        <v>0</v>
      </c>
      <c r="K297" s="125">
        <f t="shared" ca="1" si="166"/>
        <v>0</v>
      </c>
      <c r="L297" s="125">
        <f t="shared" ca="1" si="185"/>
        <v>0</v>
      </c>
      <c r="M297" s="125">
        <f t="shared" ca="1" si="167"/>
        <v>0</v>
      </c>
      <c r="N297" s="125">
        <f t="shared" ca="1" si="168"/>
        <v>0</v>
      </c>
      <c r="R297">
        <f t="shared" si="186"/>
        <v>290</v>
      </c>
      <c r="U297" s="55"/>
      <c r="V297">
        <f t="shared" si="187"/>
        <v>3</v>
      </c>
      <c r="W297">
        <f t="shared" ca="1" si="188"/>
        <v>2048</v>
      </c>
      <c r="X297" s="123">
        <f t="shared" ca="1" si="169"/>
        <v>54118</v>
      </c>
      <c r="Y297" s="64">
        <f t="shared" ca="1" si="170"/>
        <v>0</v>
      </c>
      <c r="Z297" s="64">
        <f t="shared" ca="1" si="171"/>
        <v>0</v>
      </c>
      <c r="AA297" s="64">
        <f t="shared" ca="1" si="172"/>
        <v>0</v>
      </c>
      <c r="AB297" s="64">
        <f t="shared" ca="1" si="173"/>
        <v>0</v>
      </c>
      <c r="AF297" t="str">
        <f t="shared" ca="1" si="154"/>
        <v>52020</v>
      </c>
      <c r="AG297" s="126">
        <f t="shared" ca="1" si="155"/>
        <v>0</v>
      </c>
      <c r="AH297" s="126">
        <f t="shared" ca="1" si="156"/>
        <v>0</v>
      </c>
      <c r="AI297" s="126">
        <f t="shared" ca="1" si="157"/>
        <v>0</v>
      </c>
      <c r="AJ297" t="str">
        <f t="shared" ca="1" si="158"/>
        <v>32048</v>
      </c>
      <c r="AK297" s="126">
        <f t="shared" ca="1" si="174"/>
        <v>0</v>
      </c>
      <c r="AL297" s="126">
        <f t="shared" ca="1" si="175"/>
        <v>0</v>
      </c>
      <c r="AM297" s="126">
        <f t="shared" ca="1" si="189"/>
        <v>0</v>
      </c>
      <c r="AN297" s="753">
        <f t="shared" ca="1" si="190"/>
        <v>0</v>
      </c>
      <c r="AO297" s="750">
        <f t="shared" ca="1" si="176"/>
        <v>0</v>
      </c>
      <c r="AP297" s="126">
        <f t="shared" ca="1" si="177"/>
        <v>0</v>
      </c>
      <c r="AQ297" s="126">
        <f t="shared" ca="1" si="178"/>
        <v>0</v>
      </c>
      <c r="AR297" s="126">
        <f t="shared" ca="1" si="159"/>
        <v>10000</v>
      </c>
      <c r="AS297" s="750">
        <f t="shared" ca="1" si="160"/>
        <v>0</v>
      </c>
      <c r="AT297" s="750">
        <f t="shared" ca="1" si="161"/>
        <v>0</v>
      </c>
      <c r="AU297" s="126">
        <f t="shared" ca="1" si="179"/>
        <v>0</v>
      </c>
      <c r="AV297" s="126">
        <f t="shared" ca="1" si="180"/>
        <v>0</v>
      </c>
      <c r="AW297" s="126">
        <f t="shared" ca="1" si="162"/>
        <v>10000</v>
      </c>
      <c r="AX297" s="750">
        <f t="shared" ca="1" si="181"/>
        <v>0</v>
      </c>
      <c r="AY297" s="750">
        <f t="shared" ca="1" si="182"/>
        <v>0</v>
      </c>
      <c r="AZ297">
        <f t="shared" si="183"/>
        <v>5750</v>
      </c>
    </row>
    <row r="298" spans="4:52">
      <c r="D298">
        <v>291</v>
      </c>
      <c r="E298" s="6">
        <f t="shared" ca="1" si="184"/>
        <v>43922</v>
      </c>
      <c r="F298" s="7">
        <f t="shared" ca="1" si="163"/>
        <v>0</v>
      </c>
      <c r="G298" s="125">
        <f ca="1">IF('Simulador - 1º Pilar'!$E$99="Sí",IF('Aportaciones PPE'!$B$13&lt;'Aportaciones PPE'!E298,0,F298*$B$8/12),F298*$B$8/12)</f>
        <v>0</v>
      </c>
      <c r="H298" s="125">
        <f t="shared" ca="1" si="153"/>
        <v>0</v>
      </c>
      <c r="I298" s="125">
        <f t="shared" ca="1" si="164"/>
        <v>0</v>
      </c>
      <c r="J298" s="125">
        <f t="shared" ca="1" si="165"/>
        <v>0</v>
      </c>
      <c r="K298" s="125">
        <f t="shared" ca="1" si="166"/>
        <v>0</v>
      </c>
      <c r="L298" s="125">
        <f t="shared" ca="1" si="185"/>
        <v>0</v>
      </c>
      <c r="M298" s="125">
        <f t="shared" ca="1" si="167"/>
        <v>0</v>
      </c>
      <c r="N298" s="125">
        <f t="shared" ca="1" si="168"/>
        <v>0</v>
      </c>
      <c r="R298">
        <f t="shared" si="186"/>
        <v>291</v>
      </c>
      <c r="U298" s="55"/>
      <c r="V298">
        <f t="shared" si="187"/>
        <v>4</v>
      </c>
      <c r="W298">
        <f t="shared" ca="1" si="188"/>
        <v>2048</v>
      </c>
      <c r="X298" s="123">
        <f t="shared" ca="1" si="169"/>
        <v>54149</v>
      </c>
      <c r="Y298" s="64">
        <f t="shared" ca="1" si="170"/>
        <v>0</v>
      </c>
      <c r="Z298" s="64">
        <f t="shared" ca="1" si="171"/>
        <v>0</v>
      </c>
      <c r="AA298" s="64">
        <f t="shared" ca="1" si="172"/>
        <v>0</v>
      </c>
      <c r="AB298" s="64">
        <f t="shared" ca="1" si="173"/>
        <v>0</v>
      </c>
      <c r="AF298" t="str">
        <f t="shared" ca="1" si="154"/>
        <v>42020</v>
      </c>
      <c r="AG298" s="126">
        <f t="shared" ca="1" si="155"/>
        <v>0</v>
      </c>
      <c r="AH298" s="126">
        <f t="shared" ca="1" si="156"/>
        <v>0</v>
      </c>
      <c r="AI298" s="126">
        <f t="shared" ca="1" si="157"/>
        <v>0</v>
      </c>
      <c r="AJ298" t="str">
        <f t="shared" ca="1" si="158"/>
        <v>42048</v>
      </c>
      <c r="AK298" s="126">
        <f t="shared" ca="1" si="174"/>
        <v>0</v>
      </c>
      <c r="AL298" s="126">
        <f t="shared" ca="1" si="175"/>
        <v>0</v>
      </c>
      <c r="AM298" s="126">
        <f t="shared" ca="1" si="189"/>
        <v>0</v>
      </c>
      <c r="AN298" s="753">
        <f t="shared" ca="1" si="190"/>
        <v>0</v>
      </c>
      <c r="AO298" s="750">
        <f t="shared" ca="1" si="176"/>
        <v>0</v>
      </c>
      <c r="AP298" s="126">
        <f t="shared" ca="1" si="177"/>
        <v>0</v>
      </c>
      <c r="AQ298" s="126">
        <f t="shared" ca="1" si="178"/>
        <v>0</v>
      </c>
      <c r="AR298" s="126">
        <f t="shared" ca="1" si="159"/>
        <v>10000</v>
      </c>
      <c r="AS298" s="750">
        <f t="shared" ca="1" si="160"/>
        <v>0</v>
      </c>
      <c r="AT298" s="750">
        <f t="shared" ca="1" si="161"/>
        <v>0</v>
      </c>
      <c r="AU298" s="126">
        <f t="shared" ca="1" si="179"/>
        <v>0</v>
      </c>
      <c r="AV298" s="126">
        <f t="shared" ca="1" si="180"/>
        <v>0</v>
      </c>
      <c r="AW298" s="126">
        <f t="shared" ca="1" si="162"/>
        <v>10000</v>
      </c>
      <c r="AX298" s="750">
        <f t="shared" ca="1" si="181"/>
        <v>0</v>
      </c>
      <c r="AY298" s="750">
        <f t="shared" ca="1" si="182"/>
        <v>0</v>
      </c>
      <c r="AZ298">
        <f t="shared" si="183"/>
        <v>5750</v>
      </c>
    </row>
    <row r="299" spans="4:52">
      <c r="D299">
        <v>292</v>
      </c>
      <c r="E299" s="6">
        <f t="shared" ca="1" si="184"/>
        <v>43891</v>
      </c>
      <c r="F299" s="7">
        <f t="shared" ca="1" si="163"/>
        <v>0</v>
      </c>
      <c r="G299" s="125">
        <f ca="1">IF('Simulador - 1º Pilar'!$E$99="Sí",IF('Aportaciones PPE'!$B$13&lt;'Aportaciones PPE'!E299,0,F299*$B$8/12),F299*$B$8/12)</f>
        <v>0</v>
      </c>
      <c r="H299" s="125">
        <f t="shared" ca="1" si="153"/>
        <v>0</v>
      </c>
      <c r="I299" s="125">
        <f t="shared" ca="1" si="164"/>
        <v>0</v>
      </c>
      <c r="J299" s="125">
        <f t="shared" ca="1" si="165"/>
        <v>0</v>
      </c>
      <c r="K299" s="125">
        <f t="shared" ca="1" si="166"/>
        <v>0</v>
      </c>
      <c r="L299" s="125">
        <f t="shared" ca="1" si="185"/>
        <v>0</v>
      </c>
      <c r="M299" s="125">
        <f t="shared" ca="1" si="167"/>
        <v>0</v>
      </c>
      <c r="N299" s="125">
        <f t="shared" ca="1" si="168"/>
        <v>0</v>
      </c>
      <c r="R299">
        <f t="shared" si="186"/>
        <v>292</v>
      </c>
      <c r="U299" s="55"/>
      <c r="V299">
        <f t="shared" si="187"/>
        <v>5</v>
      </c>
      <c r="W299">
        <f t="shared" ca="1" si="188"/>
        <v>2048</v>
      </c>
      <c r="X299" s="123">
        <f t="shared" ca="1" si="169"/>
        <v>54179</v>
      </c>
      <c r="Y299" s="64">
        <f t="shared" ca="1" si="170"/>
        <v>0</v>
      </c>
      <c r="Z299" s="64">
        <f t="shared" ca="1" si="171"/>
        <v>0</v>
      </c>
      <c r="AA299" s="64">
        <f t="shared" ca="1" si="172"/>
        <v>0</v>
      </c>
      <c r="AB299" s="64">
        <f t="shared" ca="1" si="173"/>
        <v>0</v>
      </c>
      <c r="AF299" t="str">
        <f t="shared" ca="1" si="154"/>
        <v>32020</v>
      </c>
      <c r="AG299" s="126">
        <f t="shared" ca="1" si="155"/>
        <v>0</v>
      </c>
      <c r="AH299" s="126">
        <f t="shared" ca="1" si="156"/>
        <v>0</v>
      </c>
      <c r="AI299" s="126">
        <f t="shared" ca="1" si="157"/>
        <v>0</v>
      </c>
      <c r="AJ299" t="str">
        <f t="shared" ca="1" si="158"/>
        <v>52048</v>
      </c>
      <c r="AK299" s="126">
        <f t="shared" ca="1" si="174"/>
        <v>0</v>
      </c>
      <c r="AL299" s="126">
        <f t="shared" ca="1" si="175"/>
        <v>0</v>
      </c>
      <c r="AM299" s="126">
        <f t="shared" ca="1" si="189"/>
        <v>0</v>
      </c>
      <c r="AN299" s="753">
        <f t="shared" ca="1" si="190"/>
        <v>0</v>
      </c>
      <c r="AO299" s="750">
        <f t="shared" ca="1" si="176"/>
        <v>0</v>
      </c>
      <c r="AP299" s="126">
        <f t="shared" ca="1" si="177"/>
        <v>0</v>
      </c>
      <c r="AQ299" s="126">
        <f t="shared" ca="1" si="178"/>
        <v>0</v>
      </c>
      <c r="AR299" s="126">
        <f t="shared" ca="1" si="159"/>
        <v>10000</v>
      </c>
      <c r="AS299" s="750">
        <f t="shared" ca="1" si="160"/>
        <v>0</v>
      </c>
      <c r="AT299" s="750">
        <f t="shared" ca="1" si="161"/>
        <v>0</v>
      </c>
      <c r="AU299" s="126">
        <f t="shared" ca="1" si="179"/>
        <v>0</v>
      </c>
      <c r="AV299" s="126">
        <f t="shared" ca="1" si="180"/>
        <v>0</v>
      </c>
      <c r="AW299" s="126">
        <f t="shared" ca="1" si="162"/>
        <v>10000</v>
      </c>
      <c r="AX299" s="750">
        <f t="shared" ca="1" si="181"/>
        <v>0</v>
      </c>
      <c r="AY299" s="750">
        <f t="shared" ca="1" si="182"/>
        <v>0</v>
      </c>
      <c r="AZ299">
        <f t="shared" si="183"/>
        <v>5750</v>
      </c>
    </row>
    <row r="300" spans="4:52">
      <c r="D300">
        <v>293</v>
      </c>
      <c r="E300" s="6">
        <f t="shared" ca="1" si="184"/>
        <v>43862</v>
      </c>
      <c r="F300" s="7">
        <f t="shared" ca="1" si="163"/>
        <v>0</v>
      </c>
      <c r="G300" s="125">
        <f ca="1">IF('Simulador - 1º Pilar'!$E$99="Sí",IF('Aportaciones PPE'!$B$13&lt;'Aportaciones PPE'!E300,0,F300*$B$8/12),F300*$B$8/12)</f>
        <v>0</v>
      </c>
      <c r="H300" s="125">
        <f t="shared" ca="1" si="153"/>
        <v>0</v>
      </c>
      <c r="I300" s="125">
        <f t="shared" ca="1" si="164"/>
        <v>0</v>
      </c>
      <c r="J300" s="125">
        <f t="shared" ca="1" si="165"/>
        <v>0</v>
      </c>
      <c r="K300" s="125">
        <f t="shared" ca="1" si="166"/>
        <v>0</v>
      </c>
      <c r="L300" s="125">
        <f t="shared" ca="1" si="185"/>
        <v>0</v>
      </c>
      <c r="M300" s="125">
        <f t="shared" ca="1" si="167"/>
        <v>0</v>
      </c>
      <c r="N300" s="125">
        <f t="shared" ca="1" si="168"/>
        <v>0</v>
      </c>
      <c r="R300">
        <f t="shared" si="186"/>
        <v>293</v>
      </c>
      <c r="U300" s="55"/>
      <c r="V300">
        <f t="shared" si="187"/>
        <v>6</v>
      </c>
      <c r="W300">
        <f t="shared" ca="1" si="188"/>
        <v>2048</v>
      </c>
      <c r="X300" s="123">
        <f t="shared" ca="1" si="169"/>
        <v>54210</v>
      </c>
      <c r="Y300" s="64">
        <f t="shared" ca="1" si="170"/>
        <v>0</v>
      </c>
      <c r="Z300" s="64">
        <f t="shared" ca="1" si="171"/>
        <v>0</v>
      </c>
      <c r="AA300" s="64">
        <f t="shared" ca="1" si="172"/>
        <v>0</v>
      </c>
      <c r="AB300" s="64">
        <f t="shared" ca="1" si="173"/>
        <v>0</v>
      </c>
      <c r="AF300" t="str">
        <f t="shared" ca="1" si="154"/>
        <v>22020</v>
      </c>
      <c r="AG300" s="126">
        <f t="shared" ca="1" si="155"/>
        <v>0</v>
      </c>
      <c r="AH300" s="126">
        <f t="shared" ca="1" si="156"/>
        <v>0</v>
      </c>
      <c r="AI300" s="126">
        <f t="shared" ca="1" si="157"/>
        <v>0</v>
      </c>
      <c r="AJ300" t="str">
        <f t="shared" ca="1" si="158"/>
        <v>62048</v>
      </c>
      <c r="AK300" s="126">
        <f t="shared" ca="1" si="174"/>
        <v>0</v>
      </c>
      <c r="AL300" s="126">
        <f t="shared" ca="1" si="175"/>
        <v>0</v>
      </c>
      <c r="AM300" s="126">
        <f t="shared" ca="1" si="189"/>
        <v>0</v>
      </c>
      <c r="AN300" s="753">
        <f t="shared" ca="1" si="190"/>
        <v>0</v>
      </c>
      <c r="AO300" s="750">
        <f t="shared" ca="1" si="176"/>
        <v>0</v>
      </c>
      <c r="AP300" s="126">
        <f t="shared" ca="1" si="177"/>
        <v>0</v>
      </c>
      <c r="AQ300" s="126">
        <f t="shared" ca="1" si="178"/>
        <v>0</v>
      </c>
      <c r="AR300" s="126">
        <f t="shared" ca="1" si="159"/>
        <v>10000</v>
      </c>
      <c r="AS300" s="750">
        <f t="shared" ca="1" si="160"/>
        <v>0</v>
      </c>
      <c r="AT300" s="750">
        <f t="shared" ca="1" si="161"/>
        <v>0</v>
      </c>
      <c r="AU300" s="126">
        <f t="shared" ca="1" si="179"/>
        <v>0</v>
      </c>
      <c r="AV300" s="126">
        <f t="shared" ca="1" si="180"/>
        <v>0</v>
      </c>
      <c r="AW300" s="126">
        <f t="shared" ca="1" si="162"/>
        <v>10000</v>
      </c>
      <c r="AX300" s="750">
        <f t="shared" ca="1" si="181"/>
        <v>0</v>
      </c>
      <c r="AY300" s="750">
        <f t="shared" ca="1" si="182"/>
        <v>0</v>
      </c>
      <c r="AZ300">
        <f t="shared" si="183"/>
        <v>5750</v>
      </c>
    </row>
    <row r="301" spans="4:52">
      <c r="D301">
        <v>294</v>
      </c>
      <c r="E301" s="6">
        <f t="shared" ca="1" si="184"/>
        <v>43831</v>
      </c>
      <c r="F301" s="7">
        <f t="shared" ca="1" si="163"/>
        <v>0</v>
      </c>
      <c r="G301" s="125">
        <f ca="1">IF('Simulador - 1º Pilar'!$E$99="Sí",IF('Aportaciones PPE'!$B$13&lt;'Aportaciones PPE'!E301,0,F301*$B$8/12),F301*$B$8/12)</f>
        <v>0</v>
      </c>
      <c r="H301" s="125">
        <f t="shared" ca="1" si="153"/>
        <v>0</v>
      </c>
      <c r="I301" s="125">
        <f t="shared" ca="1" si="164"/>
        <v>0</v>
      </c>
      <c r="J301" s="125">
        <f t="shared" ca="1" si="165"/>
        <v>0</v>
      </c>
      <c r="K301" s="125">
        <f t="shared" ca="1" si="166"/>
        <v>0</v>
      </c>
      <c r="L301" s="125">
        <f t="shared" ca="1" si="185"/>
        <v>0</v>
      </c>
      <c r="M301" s="125">
        <f t="shared" ca="1" si="167"/>
        <v>0</v>
      </c>
      <c r="N301" s="125">
        <f t="shared" ca="1" si="168"/>
        <v>0</v>
      </c>
      <c r="R301">
        <f t="shared" si="186"/>
        <v>294</v>
      </c>
      <c r="U301" s="55"/>
      <c r="V301">
        <f t="shared" si="187"/>
        <v>7</v>
      </c>
      <c r="W301">
        <f t="shared" ca="1" si="188"/>
        <v>2048</v>
      </c>
      <c r="X301" s="123">
        <f t="shared" ca="1" si="169"/>
        <v>54240</v>
      </c>
      <c r="Y301" s="64">
        <f t="shared" ca="1" si="170"/>
        <v>0</v>
      </c>
      <c r="Z301" s="64">
        <f t="shared" ca="1" si="171"/>
        <v>0</v>
      </c>
      <c r="AA301" s="64">
        <f t="shared" ca="1" si="172"/>
        <v>0</v>
      </c>
      <c r="AB301" s="64">
        <f t="shared" ca="1" si="173"/>
        <v>0</v>
      </c>
      <c r="AF301" t="str">
        <f t="shared" ca="1" si="154"/>
        <v>12020</v>
      </c>
      <c r="AG301" s="126">
        <f t="shared" ca="1" si="155"/>
        <v>0</v>
      </c>
      <c r="AH301" s="126">
        <f t="shared" ca="1" si="156"/>
        <v>0</v>
      </c>
      <c r="AI301" s="126">
        <f t="shared" ca="1" si="157"/>
        <v>0</v>
      </c>
      <c r="AJ301" t="str">
        <f t="shared" ca="1" si="158"/>
        <v>72048</v>
      </c>
      <c r="AK301" s="126">
        <f t="shared" ca="1" si="174"/>
        <v>0</v>
      </c>
      <c r="AL301" s="126">
        <f t="shared" ca="1" si="175"/>
        <v>0</v>
      </c>
      <c r="AM301" s="126">
        <f t="shared" ca="1" si="189"/>
        <v>0</v>
      </c>
      <c r="AN301" s="753">
        <f t="shared" ca="1" si="190"/>
        <v>0</v>
      </c>
      <c r="AO301" s="750">
        <f t="shared" ca="1" si="176"/>
        <v>0</v>
      </c>
      <c r="AP301" s="126">
        <f t="shared" ca="1" si="177"/>
        <v>0</v>
      </c>
      <c r="AQ301" s="126">
        <f t="shared" ca="1" si="178"/>
        <v>0</v>
      </c>
      <c r="AR301" s="126">
        <f t="shared" ca="1" si="159"/>
        <v>10000</v>
      </c>
      <c r="AS301" s="750">
        <f t="shared" ca="1" si="160"/>
        <v>0</v>
      </c>
      <c r="AT301" s="750">
        <f t="shared" ca="1" si="161"/>
        <v>0</v>
      </c>
      <c r="AU301" s="126">
        <f t="shared" ca="1" si="179"/>
        <v>0</v>
      </c>
      <c r="AV301" s="126">
        <f t="shared" ca="1" si="180"/>
        <v>0</v>
      </c>
      <c r="AW301" s="126">
        <f t="shared" ca="1" si="162"/>
        <v>10000</v>
      </c>
      <c r="AX301" s="750">
        <f t="shared" ca="1" si="181"/>
        <v>0</v>
      </c>
      <c r="AY301" s="750">
        <f t="shared" ca="1" si="182"/>
        <v>0</v>
      </c>
      <c r="AZ301">
        <f t="shared" si="183"/>
        <v>5750</v>
      </c>
    </row>
    <row r="302" spans="4:52">
      <c r="D302">
        <v>295</v>
      </c>
      <c r="E302" s="6">
        <f t="shared" ca="1" si="184"/>
        <v>43800</v>
      </c>
      <c r="F302" s="7">
        <f t="shared" ca="1" si="163"/>
        <v>0</v>
      </c>
      <c r="G302" s="125">
        <f ca="1">IF('Simulador - 1º Pilar'!$E$99="Sí",IF('Aportaciones PPE'!$B$13&lt;'Aportaciones PPE'!E302,0,F302*$B$8/12),F302*$B$8/12)</f>
        <v>0</v>
      </c>
      <c r="H302" s="125">
        <f t="shared" ca="1" si="153"/>
        <v>0</v>
      </c>
      <c r="I302" s="125">
        <f t="shared" ca="1" si="164"/>
        <v>0</v>
      </c>
      <c r="J302" s="125">
        <f t="shared" ca="1" si="165"/>
        <v>0</v>
      </c>
      <c r="K302" s="125">
        <f t="shared" ca="1" si="166"/>
        <v>0</v>
      </c>
      <c r="L302" s="125">
        <f t="shared" ca="1" si="185"/>
        <v>0</v>
      </c>
      <c r="M302" s="125">
        <f t="shared" ca="1" si="167"/>
        <v>0</v>
      </c>
      <c r="N302" s="125">
        <f t="shared" ca="1" si="168"/>
        <v>0</v>
      </c>
      <c r="R302">
        <f t="shared" si="186"/>
        <v>295</v>
      </c>
      <c r="U302" s="55"/>
      <c r="V302">
        <f t="shared" si="187"/>
        <v>8</v>
      </c>
      <c r="W302">
        <f t="shared" ca="1" si="188"/>
        <v>2048</v>
      </c>
      <c r="X302" s="123">
        <f t="shared" ca="1" si="169"/>
        <v>54271</v>
      </c>
      <c r="Y302" s="64">
        <f t="shared" ca="1" si="170"/>
        <v>0</v>
      </c>
      <c r="Z302" s="64">
        <f t="shared" ca="1" si="171"/>
        <v>0</v>
      </c>
      <c r="AA302" s="64">
        <f t="shared" ca="1" si="172"/>
        <v>0</v>
      </c>
      <c r="AB302" s="64">
        <f t="shared" ca="1" si="173"/>
        <v>0</v>
      </c>
      <c r="AF302" t="str">
        <f t="shared" ca="1" si="154"/>
        <v>122019</v>
      </c>
      <c r="AG302" s="126">
        <f t="shared" ca="1" si="155"/>
        <v>0</v>
      </c>
      <c r="AH302" s="126">
        <f t="shared" ca="1" si="156"/>
        <v>0</v>
      </c>
      <c r="AI302" s="126">
        <f t="shared" ca="1" si="157"/>
        <v>0</v>
      </c>
      <c r="AJ302" t="str">
        <f t="shared" ca="1" si="158"/>
        <v>82048</v>
      </c>
      <c r="AK302" s="126">
        <f t="shared" ca="1" si="174"/>
        <v>0</v>
      </c>
      <c r="AL302" s="126">
        <f t="shared" ca="1" si="175"/>
        <v>0</v>
      </c>
      <c r="AM302" s="126">
        <f t="shared" ca="1" si="189"/>
        <v>0</v>
      </c>
      <c r="AN302" s="753">
        <f t="shared" ca="1" si="190"/>
        <v>0</v>
      </c>
      <c r="AO302" s="750">
        <f t="shared" ca="1" si="176"/>
        <v>0</v>
      </c>
      <c r="AP302" s="126">
        <f t="shared" ca="1" si="177"/>
        <v>0</v>
      </c>
      <c r="AQ302" s="126">
        <f t="shared" ca="1" si="178"/>
        <v>0</v>
      </c>
      <c r="AR302" s="126">
        <f t="shared" ca="1" si="159"/>
        <v>10000</v>
      </c>
      <c r="AS302" s="750">
        <f t="shared" ca="1" si="160"/>
        <v>0</v>
      </c>
      <c r="AT302" s="750">
        <f t="shared" ca="1" si="161"/>
        <v>0</v>
      </c>
      <c r="AU302" s="126">
        <f t="shared" ca="1" si="179"/>
        <v>0</v>
      </c>
      <c r="AV302" s="126">
        <f t="shared" ca="1" si="180"/>
        <v>0</v>
      </c>
      <c r="AW302" s="126">
        <f t="shared" ca="1" si="162"/>
        <v>10000</v>
      </c>
      <c r="AX302" s="750">
        <f t="shared" ca="1" si="181"/>
        <v>0</v>
      </c>
      <c r="AY302" s="750">
        <f t="shared" ca="1" si="182"/>
        <v>0</v>
      </c>
      <c r="AZ302">
        <f t="shared" si="183"/>
        <v>5750</v>
      </c>
    </row>
    <row r="303" spans="4:52">
      <c r="D303">
        <v>296</v>
      </c>
      <c r="E303" s="6">
        <f t="shared" ca="1" si="184"/>
        <v>43770</v>
      </c>
      <c r="F303" s="7">
        <f t="shared" ca="1" si="163"/>
        <v>0</v>
      </c>
      <c r="G303" s="125">
        <f ca="1">IF('Simulador - 1º Pilar'!$E$99="Sí",IF('Aportaciones PPE'!$B$13&lt;'Aportaciones PPE'!E303,0,F303*$B$8/12),F303*$B$8/12)</f>
        <v>0</v>
      </c>
      <c r="H303" s="125">
        <f t="shared" ca="1" si="153"/>
        <v>0</v>
      </c>
      <c r="I303" s="125">
        <f t="shared" ca="1" si="164"/>
        <v>0</v>
      </c>
      <c r="J303" s="125">
        <f t="shared" ca="1" si="165"/>
        <v>0</v>
      </c>
      <c r="K303" s="125">
        <f t="shared" ca="1" si="166"/>
        <v>0</v>
      </c>
      <c r="L303" s="125">
        <f t="shared" ca="1" si="185"/>
        <v>0</v>
      </c>
      <c r="M303" s="125">
        <f t="shared" ca="1" si="167"/>
        <v>0</v>
      </c>
      <c r="N303" s="125">
        <f t="shared" ca="1" si="168"/>
        <v>0</v>
      </c>
      <c r="R303">
        <f t="shared" si="186"/>
        <v>296</v>
      </c>
      <c r="U303" s="55"/>
      <c r="V303">
        <f t="shared" si="187"/>
        <v>9</v>
      </c>
      <c r="W303">
        <f t="shared" ca="1" si="188"/>
        <v>2048</v>
      </c>
      <c r="X303" s="123">
        <f t="shared" ca="1" si="169"/>
        <v>54302</v>
      </c>
      <c r="Y303" s="64">
        <f t="shared" ca="1" si="170"/>
        <v>0</v>
      </c>
      <c r="Z303" s="64">
        <f t="shared" ca="1" si="171"/>
        <v>0</v>
      </c>
      <c r="AA303" s="64">
        <f t="shared" ca="1" si="172"/>
        <v>0</v>
      </c>
      <c r="AB303" s="64">
        <f t="shared" ca="1" si="173"/>
        <v>0</v>
      </c>
      <c r="AF303" t="str">
        <f t="shared" ca="1" si="154"/>
        <v>112019</v>
      </c>
      <c r="AG303" s="126">
        <f t="shared" ca="1" si="155"/>
        <v>0</v>
      </c>
      <c r="AH303" s="126">
        <f t="shared" ca="1" si="156"/>
        <v>0</v>
      </c>
      <c r="AI303" s="126">
        <f t="shared" ca="1" si="157"/>
        <v>0</v>
      </c>
      <c r="AJ303" t="str">
        <f t="shared" ca="1" si="158"/>
        <v>92048</v>
      </c>
      <c r="AK303" s="126">
        <f t="shared" ca="1" si="174"/>
        <v>0</v>
      </c>
      <c r="AL303" s="126">
        <f t="shared" ca="1" si="175"/>
        <v>0</v>
      </c>
      <c r="AM303" s="126">
        <f t="shared" ca="1" si="189"/>
        <v>0</v>
      </c>
      <c r="AN303" s="753">
        <f t="shared" ca="1" si="190"/>
        <v>0</v>
      </c>
      <c r="AO303" s="750">
        <f t="shared" ca="1" si="176"/>
        <v>0</v>
      </c>
      <c r="AP303" s="126">
        <f t="shared" ca="1" si="177"/>
        <v>0</v>
      </c>
      <c r="AQ303" s="126">
        <f t="shared" ca="1" si="178"/>
        <v>0</v>
      </c>
      <c r="AR303" s="126">
        <f t="shared" ca="1" si="159"/>
        <v>10000</v>
      </c>
      <c r="AS303" s="750">
        <f t="shared" ca="1" si="160"/>
        <v>0</v>
      </c>
      <c r="AT303" s="750">
        <f t="shared" ca="1" si="161"/>
        <v>0</v>
      </c>
      <c r="AU303" s="126">
        <f t="shared" ca="1" si="179"/>
        <v>0</v>
      </c>
      <c r="AV303" s="126">
        <f t="shared" ca="1" si="180"/>
        <v>0</v>
      </c>
      <c r="AW303" s="126">
        <f t="shared" ca="1" si="162"/>
        <v>10000</v>
      </c>
      <c r="AX303" s="750">
        <f t="shared" ca="1" si="181"/>
        <v>0</v>
      </c>
      <c r="AY303" s="750">
        <f t="shared" ca="1" si="182"/>
        <v>0</v>
      </c>
      <c r="AZ303">
        <f t="shared" si="183"/>
        <v>5750</v>
      </c>
    </row>
    <row r="304" spans="4:52">
      <c r="D304">
        <v>297</v>
      </c>
      <c r="E304" s="6">
        <f t="shared" ca="1" si="184"/>
        <v>43739</v>
      </c>
      <c r="F304" s="7">
        <f t="shared" ca="1" si="163"/>
        <v>0</v>
      </c>
      <c r="G304" s="125">
        <f ca="1">IF('Simulador - 1º Pilar'!$E$99="Sí",IF('Aportaciones PPE'!$B$13&lt;'Aportaciones PPE'!E304,0,F304*$B$8/12),F304*$B$8/12)</f>
        <v>0</v>
      </c>
      <c r="H304" s="125">
        <f t="shared" ca="1" si="153"/>
        <v>0</v>
      </c>
      <c r="I304" s="125">
        <f t="shared" ca="1" si="164"/>
        <v>0</v>
      </c>
      <c r="J304" s="125">
        <f t="shared" ca="1" si="165"/>
        <v>0</v>
      </c>
      <c r="K304" s="125">
        <f t="shared" ca="1" si="166"/>
        <v>0</v>
      </c>
      <c r="L304" s="125">
        <f t="shared" ca="1" si="185"/>
        <v>0</v>
      </c>
      <c r="M304" s="125">
        <f t="shared" ca="1" si="167"/>
        <v>0</v>
      </c>
      <c r="N304" s="125">
        <f t="shared" ca="1" si="168"/>
        <v>0</v>
      </c>
      <c r="R304">
        <f t="shared" si="186"/>
        <v>297</v>
      </c>
      <c r="U304" s="55"/>
      <c r="V304">
        <f t="shared" si="187"/>
        <v>10</v>
      </c>
      <c r="W304">
        <f t="shared" ca="1" si="188"/>
        <v>2048</v>
      </c>
      <c r="X304" s="123">
        <f t="shared" ca="1" si="169"/>
        <v>54332</v>
      </c>
      <c r="Y304" s="64">
        <f t="shared" ca="1" si="170"/>
        <v>0</v>
      </c>
      <c r="Z304" s="64">
        <f t="shared" ca="1" si="171"/>
        <v>0</v>
      </c>
      <c r="AA304" s="64">
        <f t="shared" ca="1" si="172"/>
        <v>0</v>
      </c>
      <c r="AB304" s="64">
        <f t="shared" ca="1" si="173"/>
        <v>0</v>
      </c>
      <c r="AF304" t="str">
        <f t="shared" ca="1" si="154"/>
        <v>102019</v>
      </c>
      <c r="AG304" s="126">
        <f t="shared" ca="1" si="155"/>
        <v>0</v>
      </c>
      <c r="AH304" s="126">
        <f t="shared" ca="1" si="156"/>
        <v>0</v>
      </c>
      <c r="AI304" s="126">
        <f t="shared" ca="1" si="157"/>
        <v>0</v>
      </c>
      <c r="AJ304" t="str">
        <f t="shared" ca="1" si="158"/>
        <v>102048</v>
      </c>
      <c r="AK304" s="126">
        <f t="shared" ca="1" si="174"/>
        <v>0</v>
      </c>
      <c r="AL304" s="126">
        <f t="shared" ca="1" si="175"/>
        <v>0</v>
      </c>
      <c r="AM304" s="126">
        <f t="shared" ca="1" si="189"/>
        <v>0</v>
      </c>
      <c r="AN304" s="753">
        <f t="shared" ca="1" si="190"/>
        <v>0</v>
      </c>
      <c r="AO304" s="750">
        <f t="shared" ca="1" si="176"/>
        <v>0</v>
      </c>
      <c r="AP304" s="126">
        <f t="shared" ca="1" si="177"/>
        <v>0</v>
      </c>
      <c r="AQ304" s="126">
        <f t="shared" ca="1" si="178"/>
        <v>0</v>
      </c>
      <c r="AR304" s="126">
        <f t="shared" ca="1" si="159"/>
        <v>10000</v>
      </c>
      <c r="AS304" s="750">
        <f t="shared" ca="1" si="160"/>
        <v>0</v>
      </c>
      <c r="AT304" s="750">
        <f t="shared" ca="1" si="161"/>
        <v>0</v>
      </c>
      <c r="AU304" s="126">
        <f t="shared" ca="1" si="179"/>
        <v>0</v>
      </c>
      <c r="AV304" s="126">
        <f t="shared" ca="1" si="180"/>
        <v>0</v>
      </c>
      <c r="AW304" s="126">
        <f t="shared" ca="1" si="162"/>
        <v>10000</v>
      </c>
      <c r="AX304" s="750">
        <f t="shared" ca="1" si="181"/>
        <v>0</v>
      </c>
      <c r="AY304" s="750">
        <f t="shared" ca="1" si="182"/>
        <v>0</v>
      </c>
      <c r="AZ304">
        <f t="shared" si="183"/>
        <v>5750</v>
      </c>
    </row>
    <row r="305" spans="4:52">
      <c r="D305">
        <v>298</v>
      </c>
      <c r="E305" s="6">
        <f t="shared" ca="1" si="184"/>
        <v>43709</v>
      </c>
      <c r="F305" s="7">
        <f t="shared" ca="1" si="163"/>
        <v>0</v>
      </c>
      <c r="G305" s="125">
        <f ca="1">IF('Simulador - 1º Pilar'!$E$99="Sí",IF('Aportaciones PPE'!$B$13&lt;'Aportaciones PPE'!E305,0,F305*$B$8/12),F305*$B$8/12)</f>
        <v>0</v>
      </c>
      <c r="H305" s="125">
        <f t="shared" ca="1" si="153"/>
        <v>0</v>
      </c>
      <c r="I305" s="125">
        <f t="shared" ca="1" si="164"/>
        <v>0</v>
      </c>
      <c r="J305" s="125">
        <f t="shared" ca="1" si="165"/>
        <v>0</v>
      </c>
      <c r="K305" s="125">
        <f t="shared" ca="1" si="166"/>
        <v>0</v>
      </c>
      <c r="L305" s="125">
        <f t="shared" ca="1" si="185"/>
        <v>0</v>
      </c>
      <c r="M305" s="125">
        <f t="shared" ca="1" si="167"/>
        <v>0</v>
      </c>
      <c r="N305" s="125">
        <f t="shared" ca="1" si="168"/>
        <v>0</v>
      </c>
      <c r="R305">
        <f t="shared" si="186"/>
        <v>298</v>
      </c>
      <c r="U305" s="55"/>
      <c r="V305">
        <f t="shared" si="187"/>
        <v>11</v>
      </c>
      <c r="W305">
        <f t="shared" ca="1" si="188"/>
        <v>2048</v>
      </c>
      <c r="X305" s="123">
        <f t="shared" ca="1" si="169"/>
        <v>54363</v>
      </c>
      <c r="Y305" s="64">
        <f t="shared" ca="1" si="170"/>
        <v>0</v>
      </c>
      <c r="Z305" s="64">
        <f t="shared" ca="1" si="171"/>
        <v>0</v>
      </c>
      <c r="AA305" s="64">
        <f t="shared" ca="1" si="172"/>
        <v>0</v>
      </c>
      <c r="AB305" s="64">
        <f t="shared" ca="1" si="173"/>
        <v>0</v>
      </c>
      <c r="AF305" t="str">
        <f t="shared" ca="1" si="154"/>
        <v>92019</v>
      </c>
      <c r="AG305" s="126">
        <f t="shared" ca="1" si="155"/>
        <v>0</v>
      </c>
      <c r="AH305" s="126">
        <f t="shared" ca="1" si="156"/>
        <v>0</v>
      </c>
      <c r="AI305" s="126">
        <f t="shared" ca="1" si="157"/>
        <v>0</v>
      </c>
      <c r="AJ305" t="str">
        <f t="shared" ca="1" si="158"/>
        <v>112048</v>
      </c>
      <c r="AK305" s="126">
        <f t="shared" ca="1" si="174"/>
        <v>0</v>
      </c>
      <c r="AL305" s="126">
        <f t="shared" ca="1" si="175"/>
        <v>0</v>
      </c>
      <c r="AM305" s="126">
        <f t="shared" ca="1" si="189"/>
        <v>0</v>
      </c>
      <c r="AN305" s="753">
        <f t="shared" ca="1" si="190"/>
        <v>0</v>
      </c>
      <c r="AO305" s="750">
        <f t="shared" ca="1" si="176"/>
        <v>0</v>
      </c>
      <c r="AP305" s="126">
        <f t="shared" ca="1" si="177"/>
        <v>0</v>
      </c>
      <c r="AQ305" s="126">
        <f t="shared" ca="1" si="178"/>
        <v>0</v>
      </c>
      <c r="AR305" s="126">
        <f t="shared" ca="1" si="159"/>
        <v>10000</v>
      </c>
      <c r="AS305" s="750">
        <f t="shared" ca="1" si="160"/>
        <v>0</v>
      </c>
      <c r="AT305" s="750">
        <f t="shared" ca="1" si="161"/>
        <v>0</v>
      </c>
      <c r="AU305" s="126">
        <f t="shared" ca="1" si="179"/>
        <v>0</v>
      </c>
      <c r="AV305" s="126">
        <f t="shared" ca="1" si="180"/>
        <v>0</v>
      </c>
      <c r="AW305" s="126">
        <f t="shared" ca="1" si="162"/>
        <v>10000</v>
      </c>
      <c r="AX305" s="750">
        <f t="shared" ca="1" si="181"/>
        <v>0</v>
      </c>
      <c r="AY305" s="750">
        <f t="shared" ca="1" si="182"/>
        <v>0</v>
      </c>
      <c r="AZ305">
        <f t="shared" si="183"/>
        <v>5750</v>
      </c>
    </row>
    <row r="306" spans="4:52">
      <c r="D306">
        <v>299</v>
      </c>
      <c r="E306" s="6">
        <f t="shared" ca="1" si="184"/>
        <v>43678</v>
      </c>
      <c r="F306" s="7">
        <f t="shared" ca="1" si="163"/>
        <v>0</v>
      </c>
      <c r="G306" s="125">
        <f ca="1">IF('Simulador - 1º Pilar'!$E$99="Sí",IF('Aportaciones PPE'!$B$13&lt;'Aportaciones PPE'!E306,0,F306*$B$8/12),F306*$B$8/12)</f>
        <v>0</v>
      </c>
      <c r="H306" s="125">
        <f t="shared" ca="1" si="153"/>
        <v>0</v>
      </c>
      <c r="I306" s="125">
        <f t="shared" ca="1" si="164"/>
        <v>0</v>
      </c>
      <c r="J306" s="125">
        <f t="shared" ca="1" si="165"/>
        <v>0</v>
      </c>
      <c r="K306" s="125">
        <f t="shared" ca="1" si="166"/>
        <v>0</v>
      </c>
      <c r="L306" s="125">
        <f t="shared" ca="1" si="185"/>
        <v>0</v>
      </c>
      <c r="M306" s="125">
        <f t="shared" ca="1" si="167"/>
        <v>0</v>
      </c>
      <c r="N306" s="125">
        <f t="shared" ca="1" si="168"/>
        <v>0</v>
      </c>
      <c r="R306">
        <f t="shared" si="186"/>
        <v>299</v>
      </c>
      <c r="U306" s="55"/>
      <c r="V306">
        <f t="shared" si="187"/>
        <v>12</v>
      </c>
      <c r="W306">
        <f t="shared" ca="1" si="188"/>
        <v>2048</v>
      </c>
      <c r="X306" s="123">
        <f t="shared" ca="1" si="169"/>
        <v>54393</v>
      </c>
      <c r="Y306" s="64">
        <f t="shared" ca="1" si="170"/>
        <v>0</v>
      </c>
      <c r="Z306" s="64">
        <f t="shared" ca="1" si="171"/>
        <v>0</v>
      </c>
      <c r="AA306" s="64">
        <f t="shared" ca="1" si="172"/>
        <v>0</v>
      </c>
      <c r="AB306" s="64">
        <f t="shared" ca="1" si="173"/>
        <v>0</v>
      </c>
      <c r="AF306" t="str">
        <f t="shared" ca="1" si="154"/>
        <v>82019</v>
      </c>
      <c r="AG306" s="126">
        <f t="shared" ca="1" si="155"/>
        <v>0</v>
      </c>
      <c r="AH306" s="126">
        <f t="shared" ca="1" si="156"/>
        <v>0</v>
      </c>
      <c r="AI306" s="126">
        <f t="shared" ca="1" si="157"/>
        <v>0</v>
      </c>
      <c r="AJ306" t="str">
        <f t="shared" ca="1" si="158"/>
        <v>122048</v>
      </c>
      <c r="AK306" s="126">
        <f t="shared" ca="1" si="174"/>
        <v>0</v>
      </c>
      <c r="AL306" s="126">
        <f t="shared" ca="1" si="175"/>
        <v>0</v>
      </c>
      <c r="AM306" s="126">
        <f t="shared" ca="1" si="189"/>
        <v>0</v>
      </c>
      <c r="AN306" s="753">
        <f t="shared" ca="1" si="190"/>
        <v>0</v>
      </c>
      <c r="AO306" s="750">
        <f t="shared" ca="1" si="176"/>
        <v>0</v>
      </c>
      <c r="AP306" s="126">
        <f t="shared" ca="1" si="177"/>
        <v>0</v>
      </c>
      <c r="AQ306" s="126">
        <f t="shared" ca="1" si="178"/>
        <v>0</v>
      </c>
      <c r="AR306" s="126">
        <f t="shared" ca="1" si="159"/>
        <v>10000</v>
      </c>
      <c r="AS306" s="750">
        <f t="shared" ca="1" si="160"/>
        <v>0</v>
      </c>
      <c r="AT306" s="750">
        <f t="shared" ca="1" si="161"/>
        <v>0</v>
      </c>
      <c r="AU306" s="126">
        <f t="shared" ca="1" si="179"/>
        <v>0</v>
      </c>
      <c r="AV306" s="126">
        <f t="shared" ca="1" si="180"/>
        <v>0</v>
      </c>
      <c r="AW306" s="126">
        <f t="shared" ca="1" si="162"/>
        <v>10000</v>
      </c>
      <c r="AX306" s="750">
        <f t="shared" ca="1" si="181"/>
        <v>0</v>
      </c>
      <c r="AY306" s="750">
        <f t="shared" ca="1" si="182"/>
        <v>0</v>
      </c>
      <c r="AZ306">
        <f t="shared" si="183"/>
        <v>5750</v>
      </c>
    </row>
    <row r="307" spans="4:52">
      <c r="D307">
        <v>300</v>
      </c>
      <c r="E307" s="6">
        <f t="shared" ca="1" si="184"/>
        <v>43647</v>
      </c>
      <c r="F307" s="7">
        <f t="shared" ca="1" si="163"/>
        <v>0</v>
      </c>
      <c r="G307" s="125">
        <f ca="1">IF('Simulador - 1º Pilar'!$E$99="Sí",IF('Aportaciones PPE'!$B$13&lt;'Aportaciones PPE'!E307,0,F307*$B$8/12),F307*$B$8/12)</f>
        <v>0</v>
      </c>
      <c r="H307" s="125">
        <f t="shared" ca="1" si="153"/>
        <v>0</v>
      </c>
      <c r="I307" s="125">
        <f t="shared" ca="1" si="164"/>
        <v>0</v>
      </c>
      <c r="J307" s="125">
        <f t="shared" ca="1" si="165"/>
        <v>0</v>
      </c>
      <c r="K307" s="125">
        <f ca="1">(1+$O$5)^(D307/12)*(H307+IF(AND(F307=1,F308=0),$S$4,0))</f>
        <v>0</v>
      </c>
      <c r="L307" s="125">
        <f t="shared" ca="1" si="185"/>
        <v>0</v>
      </c>
      <c r="M307" s="125">
        <f t="shared" ca="1" si="167"/>
        <v>0</v>
      </c>
      <c r="N307" s="125">
        <f t="shared" ca="1" si="168"/>
        <v>0</v>
      </c>
      <c r="R307">
        <f t="shared" si="186"/>
        <v>300</v>
      </c>
      <c r="U307" s="55"/>
      <c r="V307">
        <f t="shared" si="187"/>
        <v>1</v>
      </c>
      <c r="W307">
        <f t="shared" ca="1" si="188"/>
        <v>2049</v>
      </c>
      <c r="X307" s="123">
        <f t="shared" ca="1" si="169"/>
        <v>54424</v>
      </c>
      <c r="Y307" s="64">
        <f t="shared" ca="1" si="170"/>
        <v>0</v>
      </c>
      <c r="Z307" s="64">
        <f t="shared" ca="1" si="171"/>
        <v>0</v>
      </c>
      <c r="AA307" s="64">
        <f t="shared" ca="1" si="172"/>
        <v>0</v>
      </c>
      <c r="AB307" s="64">
        <f t="shared" ca="1" si="173"/>
        <v>0</v>
      </c>
      <c r="AF307" t="str">
        <f t="shared" ca="1" si="154"/>
        <v>72019</v>
      </c>
      <c r="AG307" s="126">
        <f t="shared" ca="1" si="155"/>
        <v>0</v>
      </c>
      <c r="AH307" s="126">
        <f t="shared" ca="1" si="156"/>
        <v>0</v>
      </c>
      <c r="AI307" s="126">
        <f t="shared" ca="1" si="157"/>
        <v>0</v>
      </c>
      <c r="AJ307" t="str">
        <f t="shared" ca="1" si="158"/>
        <v>12049</v>
      </c>
      <c r="AK307" s="126">
        <f t="shared" ca="1" si="174"/>
        <v>0</v>
      </c>
      <c r="AL307" s="126">
        <f t="shared" ca="1" si="175"/>
        <v>0</v>
      </c>
      <c r="AM307" s="126">
        <f t="shared" ca="1" si="189"/>
        <v>0</v>
      </c>
      <c r="AN307" s="753">
        <f t="shared" ca="1" si="190"/>
        <v>0</v>
      </c>
      <c r="AO307" s="750">
        <f t="shared" ca="1" si="176"/>
        <v>0</v>
      </c>
      <c r="AP307" s="126">
        <f t="shared" ca="1" si="177"/>
        <v>0</v>
      </c>
      <c r="AQ307" s="126">
        <f t="shared" ca="1" si="178"/>
        <v>0</v>
      </c>
      <c r="AR307" s="126">
        <f t="shared" ca="1" si="159"/>
        <v>10000</v>
      </c>
      <c r="AS307" s="750">
        <f t="shared" ca="1" si="160"/>
        <v>0</v>
      </c>
      <c r="AT307" s="750">
        <f t="shared" ca="1" si="161"/>
        <v>0</v>
      </c>
      <c r="AU307" s="126">
        <f t="shared" ca="1" si="179"/>
        <v>0</v>
      </c>
      <c r="AV307" s="126">
        <f t="shared" ca="1" si="180"/>
        <v>0</v>
      </c>
      <c r="AW307" s="126">
        <f t="shared" ca="1" si="162"/>
        <v>10000</v>
      </c>
      <c r="AX307" s="750">
        <f t="shared" ca="1" si="181"/>
        <v>0</v>
      </c>
      <c r="AY307" s="750">
        <f t="shared" ca="1" si="182"/>
        <v>0</v>
      </c>
      <c r="AZ307">
        <f t="shared" si="183"/>
        <v>5750</v>
      </c>
    </row>
    <row r="308" spans="4:52">
      <c r="D308">
        <v>301</v>
      </c>
      <c r="E308" s="6">
        <f t="shared" ca="1" si="184"/>
        <v>43617</v>
      </c>
      <c r="F308" s="7">
        <f t="shared" ca="1" si="163"/>
        <v>0</v>
      </c>
      <c r="G308" s="125">
        <f ca="1">IF('Simulador - 1º Pilar'!$E$99="Sí",IF('Aportaciones PPE'!$B$13&lt;'Aportaciones PPE'!E308,0,F308*$B$8/12),F308*$B$8/12)</f>
        <v>0</v>
      </c>
      <c r="H308" s="125">
        <f t="shared" ca="1" si="153"/>
        <v>0</v>
      </c>
      <c r="I308" s="125">
        <f t="shared" ca="1" si="164"/>
        <v>0</v>
      </c>
      <c r="J308" s="125">
        <f t="shared" ca="1" si="165"/>
        <v>0</v>
      </c>
      <c r="K308" s="125">
        <f ca="1">(1+$O$5)^(D308/12)*(H308+IF(AND(F308=1,F309=0),$S$4,0))</f>
        <v>0</v>
      </c>
      <c r="L308" s="125">
        <f t="shared" ca="1" si="185"/>
        <v>0</v>
      </c>
      <c r="M308" s="125">
        <f t="shared" ca="1" si="167"/>
        <v>0</v>
      </c>
      <c r="N308" s="125">
        <f t="shared" ca="1" si="168"/>
        <v>0</v>
      </c>
      <c r="R308">
        <f t="shared" si="186"/>
        <v>301</v>
      </c>
      <c r="U308" s="55"/>
      <c r="V308">
        <f t="shared" si="187"/>
        <v>2</v>
      </c>
      <c r="W308">
        <f t="shared" ca="1" si="188"/>
        <v>2049</v>
      </c>
      <c r="X308" s="123">
        <f t="shared" ca="1" si="169"/>
        <v>54455</v>
      </c>
      <c r="Y308" s="64">
        <f t="shared" ca="1" si="170"/>
        <v>0</v>
      </c>
      <c r="Z308" s="64">
        <f t="shared" ca="1" si="171"/>
        <v>0</v>
      </c>
      <c r="AA308" s="64">
        <f t="shared" ca="1" si="172"/>
        <v>0</v>
      </c>
      <c r="AB308" s="64">
        <f t="shared" ca="1" si="173"/>
        <v>0</v>
      </c>
      <c r="AF308" t="str">
        <f t="shared" ca="1" si="154"/>
        <v>62019</v>
      </c>
      <c r="AG308" s="126">
        <f t="shared" ca="1" si="155"/>
        <v>0</v>
      </c>
      <c r="AH308" s="126">
        <f t="shared" ca="1" si="156"/>
        <v>0</v>
      </c>
      <c r="AI308" s="126">
        <f t="shared" ca="1" si="157"/>
        <v>0</v>
      </c>
      <c r="AJ308" t="str">
        <f t="shared" ca="1" si="158"/>
        <v>22049</v>
      </c>
      <c r="AK308" s="126">
        <f t="shared" ca="1" si="174"/>
        <v>0</v>
      </c>
      <c r="AL308" s="126">
        <f t="shared" ca="1" si="175"/>
        <v>0</v>
      </c>
      <c r="AM308" s="126">
        <f t="shared" ca="1" si="189"/>
        <v>0</v>
      </c>
      <c r="AN308" s="753">
        <f t="shared" ca="1" si="190"/>
        <v>0</v>
      </c>
      <c r="AO308" s="750">
        <f t="shared" ca="1" si="176"/>
        <v>0</v>
      </c>
      <c r="AP308" s="126">
        <f t="shared" ca="1" si="177"/>
        <v>0</v>
      </c>
      <c r="AQ308" s="126">
        <f t="shared" ca="1" si="178"/>
        <v>0</v>
      </c>
      <c r="AR308" s="126">
        <f t="shared" ca="1" si="159"/>
        <v>10000</v>
      </c>
      <c r="AS308" s="750">
        <f t="shared" ca="1" si="160"/>
        <v>0</v>
      </c>
      <c r="AT308" s="750">
        <f t="shared" ca="1" si="161"/>
        <v>0</v>
      </c>
      <c r="AU308" s="126">
        <f t="shared" ca="1" si="179"/>
        <v>0</v>
      </c>
      <c r="AV308" s="126">
        <f t="shared" ca="1" si="180"/>
        <v>0</v>
      </c>
      <c r="AW308" s="126">
        <f t="shared" ca="1" si="162"/>
        <v>10000</v>
      </c>
      <c r="AX308" s="750">
        <f t="shared" ca="1" si="181"/>
        <v>0</v>
      </c>
      <c r="AY308" s="750">
        <f t="shared" ca="1" si="182"/>
        <v>0</v>
      </c>
      <c r="AZ308">
        <f t="shared" si="183"/>
        <v>5750</v>
      </c>
    </row>
    <row r="309" spans="4:52">
      <c r="D309">
        <v>302</v>
      </c>
      <c r="E309" s="6">
        <f t="shared" ca="1" si="184"/>
        <v>43586</v>
      </c>
      <c r="F309" s="7">
        <f t="shared" ca="1" si="163"/>
        <v>0</v>
      </c>
      <c r="G309" s="125">
        <f ca="1">IF('Simulador - 1º Pilar'!$E$99="Sí",IF('Aportaciones PPE'!$B$13&lt;'Aportaciones PPE'!E309,0,F309*$B$8/12),F309*$B$8/12)</f>
        <v>0</v>
      </c>
      <c r="H309" s="125">
        <f t="shared" ca="1" si="153"/>
        <v>0</v>
      </c>
      <c r="I309" s="125">
        <f t="shared" ca="1" si="164"/>
        <v>0</v>
      </c>
      <c r="J309" s="125">
        <f t="shared" ca="1" si="165"/>
        <v>0</v>
      </c>
      <c r="K309" s="125">
        <f t="shared" ca="1" si="166"/>
        <v>0</v>
      </c>
      <c r="L309" s="125">
        <f t="shared" ca="1" si="185"/>
        <v>0</v>
      </c>
      <c r="M309" s="125">
        <f t="shared" ca="1" si="167"/>
        <v>0</v>
      </c>
      <c r="N309" s="125">
        <f t="shared" ca="1" si="168"/>
        <v>0</v>
      </c>
      <c r="R309">
        <f t="shared" si="186"/>
        <v>302</v>
      </c>
      <c r="U309" s="55"/>
      <c r="V309">
        <f t="shared" si="187"/>
        <v>3</v>
      </c>
      <c r="W309">
        <f t="shared" ca="1" si="188"/>
        <v>2049</v>
      </c>
      <c r="X309" s="123">
        <f t="shared" ca="1" si="169"/>
        <v>54483</v>
      </c>
      <c r="Y309" s="64">
        <f t="shared" ca="1" si="170"/>
        <v>0</v>
      </c>
      <c r="Z309" s="64">
        <f t="shared" ca="1" si="171"/>
        <v>0</v>
      </c>
      <c r="AA309" s="64">
        <f t="shared" ca="1" si="172"/>
        <v>0</v>
      </c>
      <c r="AB309" s="64">
        <f t="shared" ca="1" si="173"/>
        <v>0</v>
      </c>
      <c r="AF309" t="str">
        <f t="shared" ca="1" si="154"/>
        <v>52019</v>
      </c>
      <c r="AG309" s="126">
        <f t="shared" ca="1" si="155"/>
        <v>0</v>
      </c>
      <c r="AH309" s="126">
        <f t="shared" ca="1" si="156"/>
        <v>0</v>
      </c>
      <c r="AI309" s="126">
        <f t="shared" ca="1" si="157"/>
        <v>0</v>
      </c>
      <c r="AJ309" t="str">
        <f t="shared" ca="1" si="158"/>
        <v>32049</v>
      </c>
      <c r="AK309" s="126">
        <f t="shared" ca="1" si="174"/>
        <v>0</v>
      </c>
      <c r="AL309" s="126">
        <f t="shared" ca="1" si="175"/>
        <v>0</v>
      </c>
      <c r="AM309" s="126">
        <f t="shared" ca="1" si="189"/>
        <v>0</v>
      </c>
      <c r="AN309" s="753">
        <f t="shared" ca="1" si="190"/>
        <v>0</v>
      </c>
      <c r="AO309" s="750">
        <f t="shared" ca="1" si="176"/>
        <v>0</v>
      </c>
      <c r="AP309" s="126">
        <f t="shared" ca="1" si="177"/>
        <v>0</v>
      </c>
      <c r="AQ309" s="126">
        <f t="shared" ca="1" si="178"/>
        <v>0</v>
      </c>
      <c r="AR309" s="126">
        <f t="shared" ca="1" si="159"/>
        <v>10000</v>
      </c>
      <c r="AS309" s="750">
        <f t="shared" ca="1" si="160"/>
        <v>0</v>
      </c>
      <c r="AT309" s="750">
        <f t="shared" ca="1" si="161"/>
        <v>0</v>
      </c>
      <c r="AU309" s="126">
        <f t="shared" ca="1" si="179"/>
        <v>0</v>
      </c>
      <c r="AV309" s="126">
        <f t="shared" ca="1" si="180"/>
        <v>0</v>
      </c>
      <c r="AW309" s="126">
        <f t="shared" ca="1" si="162"/>
        <v>10000</v>
      </c>
      <c r="AX309" s="750">
        <f t="shared" ca="1" si="181"/>
        <v>0</v>
      </c>
      <c r="AY309" s="750">
        <f t="shared" ca="1" si="182"/>
        <v>0</v>
      </c>
      <c r="AZ309">
        <f t="shared" si="183"/>
        <v>5750</v>
      </c>
    </row>
    <row r="310" spans="4:52">
      <c r="D310">
        <v>303</v>
      </c>
      <c r="E310" s="6">
        <f t="shared" ca="1" si="184"/>
        <v>43556</v>
      </c>
      <c r="F310" s="7">
        <f t="shared" ca="1" si="163"/>
        <v>0</v>
      </c>
      <c r="G310" s="125">
        <f ca="1">IF('Simulador - 1º Pilar'!$E$99="Sí",IF('Aportaciones PPE'!$B$13&lt;'Aportaciones PPE'!E310,0,F310*$B$8/12),F310*$B$8/12)</f>
        <v>0</v>
      </c>
      <c r="H310" s="125">
        <f t="shared" ca="1" si="153"/>
        <v>0</v>
      </c>
      <c r="I310" s="125">
        <f t="shared" ca="1" si="164"/>
        <v>0</v>
      </c>
      <c r="J310" s="125">
        <f t="shared" ca="1" si="165"/>
        <v>0</v>
      </c>
      <c r="K310" s="125">
        <f t="shared" ca="1" si="166"/>
        <v>0</v>
      </c>
      <c r="L310" s="125">
        <f t="shared" ca="1" si="185"/>
        <v>0</v>
      </c>
      <c r="M310" s="125">
        <f t="shared" ca="1" si="167"/>
        <v>0</v>
      </c>
      <c r="N310" s="125">
        <f t="shared" ca="1" si="168"/>
        <v>0</v>
      </c>
      <c r="R310">
        <f t="shared" si="186"/>
        <v>303</v>
      </c>
      <c r="U310" s="55"/>
      <c r="V310">
        <f t="shared" si="187"/>
        <v>4</v>
      </c>
      <c r="W310">
        <f t="shared" ca="1" si="188"/>
        <v>2049</v>
      </c>
      <c r="X310" s="123">
        <f t="shared" ca="1" si="169"/>
        <v>54514</v>
      </c>
      <c r="Y310" s="64">
        <f t="shared" ca="1" si="170"/>
        <v>0</v>
      </c>
      <c r="Z310" s="64">
        <f t="shared" ca="1" si="171"/>
        <v>0</v>
      </c>
      <c r="AA310" s="64">
        <f t="shared" ca="1" si="172"/>
        <v>0</v>
      </c>
      <c r="AB310" s="64">
        <f t="shared" ca="1" si="173"/>
        <v>0</v>
      </c>
      <c r="AF310" t="str">
        <f t="shared" ca="1" si="154"/>
        <v>42019</v>
      </c>
      <c r="AG310" s="126">
        <f t="shared" ca="1" si="155"/>
        <v>0</v>
      </c>
      <c r="AH310" s="126">
        <f t="shared" ca="1" si="156"/>
        <v>0</v>
      </c>
      <c r="AI310" s="126">
        <f t="shared" ca="1" si="157"/>
        <v>0</v>
      </c>
      <c r="AJ310" t="str">
        <f t="shared" ca="1" si="158"/>
        <v>42049</v>
      </c>
      <c r="AK310" s="126">
        <f t="shared" ca="1" si="174"/>
        <v>0</v>
      </c>
      <c r="AL310" s="126">
        <f t="shared" ca="1" si="175"/>
        <v>0</v>
      </c>
      <c r="AM310" s="126">
        <f t="shared" ca="1" si="189"/>
        <v>0</v>
      </c>
      <c r="AN310" s="753">
        <f t="shared" ca="1" si="190"/>
        <v>0</v>
      </c>
      <c r="AO310" s="750">
        <f t="shared" ca="1" si="176"/>
        <v>0</v>
      </c>
      <c r="AP310" s="126">
        <f t="shared" ca="1" si="177"/>
        <v>0</v>
      </c>
      <c r="AQ310" s="126">
        <f t="shared" ca="1" si="178"/>
        <v>0</v>
      </c>
      <c r="AR310" s="126">
        <f t="shared" ca="1" si="159"/>
        <v>10000</v>
      </c>
      <c r="AS310" s="750">
        <f t="shared" ca="1" si="160"/>
        <v>0</v>
      </c>
      <c r="AT310" s="750">
        <f t="shared" ca="1" si="161"/>
        <v>0</v>
      </c>
      <c r="AU310" s="126">
        <f t="shared" ca="1" si="179"/>
        <v>0</v>
      </c>
      <c r="AV310" s="126">
        <f t="shared" ca="1" si="180"/>
        <v>0</v>
      </c>
      <c r="AW310" s="126">
        <f t="shared" ca="1" si="162"/>
        <v>10000</v>
      </c>
      <c r="AX310" s="750">
        <f t="shared" ca="1" si="181"/>
        <v>0</v>
      </c>
      <c r="AY310" s="750">
        <f t="shared" ca="1" si="182"/>
        <v>0</v>
      </c>
      <c r="AZ310">
        <f t="shared" si="183"/>
        <v>5750</v>
      </c>
    </row>
    <row r="311" spans="4:52">
      <c r="D311">
        <v>304</v>
      </c>
      <c r="E311" s="6">
        <f t="shared" ca="1" si="184"/>
        <v>43525</v>
      </c>
      <c r="F311" s="7">
        <f t="shared" ca="1" si="163"/>
        <v>0</v>
      </c>
      <c r="G311" s="125">
        <f ca="1">IF('Simulador - 1º Pilar'!$E$99="Sí",IF('Aportaciones PPE'!$B$13&lt;'Aportaciones PPE'!E311,0,F311*$B$8/12),F311*$B$8/12)</f>
        <v>0</v>
      </c>
      <c r="H311" s="125">
        <f t="shared" ca="1" si="153"/>
        <v>0</v>
      </c>
      <c r="I311" s="125">
        <f t="shared" ca="1" si="164"/>
        <v>0</v>
      </c>
      <c r="J311" s="125">
        <f t="shared" ca="1" si="165"/>
        <v>0</v>
      </c>
      <c r="K311" s="125">
        <f t="shared" ca="1" si="166"/>
        <v>0</v>
      </c>
      <c r="L311" s="125">
        <f t="shared" ca="1" si="185"/>
        <v>0</v>
      </c>
      <c r="M311" s="125">
        <f t="shared" ca="1" si="167"/>
        <v>0</v>
      </c>
      <c r="N311" s="125">
        <f t="shared" ca="1" si="168"/>
        <v>0</v>
      </c>
      <c r="R311">
        <f t="shared" si="186"/>
        <v>304</v>
      </c>
      <c r="U311" s="55"/>
      <c r="V311">
        <f t="shared" si="187"/>
        <v>5</v>
      </c>
      <c r="W311">
        <f t="shared" ca="1" si="188"/>
        <v>2049</v>
      </c>
      <c r="X311" s="123">
        <f t="shared" ca="1" si="169"/>
        <v>54544</v>
      </c>
      <c r="Y311" s="64">
        <f t="shared" ca="1" si="170"/>
        <v>0</v>
      </c>
      <c r="Z311" s="64">
        <f t="shared" ca="1" si="171"/>
        <v>0</v>
      </c>
      <c r="AA311" s="64">
        <f t="shared" ca="1" si="172"/>
        <v>0</v>
      </c>
      <c r="AB311" s="64">
        <f t="shared" ca="1" si="173"/>
        <v>0</v>
      </c>
      <c r="AF311" t="str">
        <f t="shared" ca="1" si="154"/>
        <v>32019</v>
      </c>
      <c r="AG311" s="126">
        <f t="shared" ca="1" si="155"/>
        <v>0</v>
      </c>
      <c r="AH311" s="126">
        <f t="shared" ca="1" si="156"/>
        <v>0</v>
      </c>
      <c r="AI311" s="126">
        <f t="shared" ca="1" si="157"/>
        <v>0</v>
      </c>
      <c r="AJ311" t="str">
        <f t="shared" ca="1" si="158"/>
        <v>52049</v>
      </c>
      <c r="AK311" s="126">
        <f t="shared" ca="1" si="174"/>
        <v>0</v>
      </c>
      <c r="AL311" s="126">
        <f t="shared" ca="1" si="175"/>
        <v>0</v>
      </c>
      <c r="AM311" s="126">
        <f t="shared" ca="1" si="189"/>
        <v>0</v>
      </c>
      <c r="AN311" s="753">
        <f t="shared" ca="1" si="190"/>
        <v>0</v>
      </c>
      <c r="AO311" s="750">
        <f t="shared" ca="1" si="176"/>
        <v>0</v>
      </c>
      <c r="AP311" s="126">
        <f t="shared" ca="1" si="177"/>
        <v>0</v>
      </c>
      <c r="AQ311" s="126">
        <f t="shared" ca="1" si="178"/>
        <v>0</v>
      </c>
      <c r="AR311" s="126">
        <f t="shared" ca="1" si="159"/>
        <v>10000</v>
      </c>
      <c r="AS311" s="750">
        <f t="shared" ca="1" si="160"/>
        <v>0</v>
      </c>
      <c r="AT311" s="750">
        <f t="shared" ca="1" si="161"/>
        <v>0</v>
      </c>
      <c r="AU311" s="126">
        <f t="shared" ca="1" si="179"/>
        <v>0</v>
      </c>
      <c r="AV311" s="126">
        <f t="shared" ca="1" si="180"/>
        <v>0</v>
      </c>
      <c r="AW311" s="126">
        <f t="shared" ca="1" si="162"/>
        <v>10000</v>
      </c>
      <c r="AX311" s="750">
        <f t="shared" ca="1" si="181"/>
        <v>0</v>
      </c>
      <c r="AY311" s="750">
        <f t="shared" ca="1" si="182"/>
        <v>0</v>
      </c>
      <c r="AZ311">
        <f t="shared" si="183"/>
        <v>5750</v>
      </c>
    </row>
    <row r="312" spans="4:52">
      <c r="D312">
        <v>305</v>
      </c>
      <c r="E312" s="6">
        <f t="shared" ca="1" si="184"/>
        <v>43497</v>
      </c>
      <c r="F312" s="7">
        <f t="shared" ca="1" si="163"/>
        <v>0</v>
      </c>
      <c r="G312" s="125">
        <f ca="1">IF('Simulador - 1º Pilar'!$E$99="Sí",IF('Aportaciones PPE'!$B$13&lt;'Aportaciones PPE'!E312,0,F312*$B$8/12),F312*$B$8/12)</f>
        <v>0</v>
      </c>
      <c r="H312" s="125">
        <f t="shared" ca="1" si="153"/>
        <v>0</v>
      </c>
      <c r="I312" s="125">
        <f t="shared" ca="1" si="164"/>
        <v>0</v>
      </c>
      <c r="J312" s="125">
        <f t="shared" ca="1" si="165"/>
        <v>0</v>
      </c>
      <c r="K312" s="125">
        <f t="shared" ca="1" si="166"/>
        <v>0</v>
      </c>
      <c r="L312" s="125">
        <f t="shared" ca="1" si="185"/>
        <v>0</v>
      </c>
      <c r="M312" s="125">
        <f t="shared" ca="1" si="167"/>
        <v>0</v>
      </c>
      <c r="N312" s="125">
        <f t="shared" ca="1" si="168"/>
        <v>0</v>
      </c>
      <c r="R312">
        <f t="shared" si="186"/>
        <v>305</v>
      </c>
      <c r="U312" s="55"/>
      <c r="V312">
        <f t="shared" si="187"/>
        <v>6</v>
      </c>
      <c r="W312">
        <f t="shared" ca="1" si="188"/>
        <v>2049</v>
      </c>
      <c r="X312" s="123">
        <f t="shared" ca="1" si="169"/>
        <v>54575</v>
      </c>
      <c r="Y312" s="64">
        <f t="shared" ca="1" si="170"/>
        <v>0</v>
      </c>
      <c r="Z312" s="64">
        <f t="shared" ca="1" si="171"/>
        <v>0</v>
      </c>
      <c r="AA312" s="64">
        <f t="shared" ca="1" si="172"/>
        <v>0</v>
      </c>
      <c r="AB312" s="64">
        <f t="shared" ca="1" si="173"/>
        <v>0</v>
      </c>
      <c r="AF312" t="str">
        <f t="shared" ca="1" si="154"/>
        <v>22019</v>
      </c>
      <c r="AG312" s="126">
        <f t="shared" ca="1" si="155"/>
        <v>0</v>
      </c>
      <c r="AH312" s="126">
        <f t="shared" ca="1" si="156"/>
        <v>0</v>
      </c>
      <c r="AI312" s="126">
        <f t="shared" ca="1" si="157"/>
        <v>0</v>
      </c>
      <c r="AJ312" t="str">
        <f t="shared" ca="1" si="158"/>
        <v>62049</v>
      </c>
      <c r="AK312" s="126">
        <f t="shared" ca="1" si="174"/>
        <v>0</v>
      </c>
      <c r="AL312" s="126">
        <f t="shared" ca="1" si="175"/>
        <v>0</v>
      </c>
      <c r="AM312" s="126">
        <f t="shared" ca="1" si="189"/>
        <v>0</v>
      </c>
      <c r="AN312" s="753">
        <f t="shared" ca="1" si="190"/>
        <v>0</v>
      </c>
      <c r="AO312" s="750">
        <f t="shared" ca="1" si="176"/>
        <v>0</v>
      </c>
      <c r="AP312" s="126">
        <f t="shared" ca="1" si="177"/>
        <v>0</v>
      </c>
      <c r="AQ312" s="126">
        <f t="shared" ca="1" si="178"/>
        <v>0</v>
      </c>
      <c r="AR312" s="126">
        <f t="shared" ca="1" si="159"/>
        <v>10000</v>
      </c>
      <c r="AS312" s="750">
        <f t="shared" ca="1" si="160"/>
        <v>0</v>
      </c>
      <c r="AT312" s="750">
        <f t="shared" ca="1" si="161"/>
        <v>0</v>
      </c>
      <c r="AU312" s="126">
        <f t="shared" ca="1" si="179"/>
        <v>0</v>
      </c>
      <c r="AV312" s="126">
        <f t="shared" ca="1" si="180"/>
        <v>0</v>
      </c>
      <c r="AW312" s="126">
        <f t="shared" ca="1" si="162"/>
        <v>10000</v>
      </c>
      <c r="AX312" s="750">
        <f t="shared" ca="1" si="181"/>
        <v>0</v>
      </c>
      <c r="AY312" s="750">
        <f t="shared" ca="1" si="182"/>
        <v>0</v>
      </c>
      <c r="AZ312">
        <f t="shared" si="183"/>
        <v>5750</v>
      </c>
    </row>
    <row r="313" spans="4:52">
      <c r="D313">
        <v>306</v>
      </c>
      <c r="E313" s="6">
        <f t="shared" ca="1" si="184"/>
        <v>43466</v>
      </c>
      <c r="F313" s="7">
        <f t="shared" ca="1" si="163"/>
        <v>0</v>
      </c>
      <c r="G313" s="125">
        <f ca="1">IF('Simulador - 1º Pilar'!$E$99="Sí",IF('Aportaciones PPE'!$B$13&lt;'Aportaciones PPE'!E313,0,F313*$B$8/12),F313*$B$8/12)</f>
        <v>0</v>
      </c>
      <c r="H313" s="125">
        <f t="shared" ca="1" si="153"/>
        <v>0</v>
      </c>
      <c r="I313" s="125">
        <f t="shared" ca="1" si="164"/>
        <v>0</v>
      </c>
      <c r="J313" s="125">
        <f t="shared" ca="1" si="165"/>
        <v>0</v>
      </c>
      <c r="K313" s="125">
        <f t="shared" ca="1" si="166"/>
        <v>0</v>
      </c>
      <c r="L313" s="125">
        <f t="shared" ca="1" si="185"/>
        <v>0</v>
      </c>
      <c r="M313" s="125">
        <f t="shared" ca="1" si="167"/>
        <v>0</v>
      </c>
      <c r="N313" s="125">
        <f t="shared" ca="1" si="168"/>
        <v>0</v>
      </c>
      <c r="O313" s="55"/>
      <c r="R313">
        <f t="shared" si="186"/>
        <v>306</v>
      </c>
      <c r="U313" s="55"/>
      <c r="V313">
        <f t="shared" si="187"/>
        <v>7</v>
      </c>
      <c r="W313">
        <f t="shared" ca="1" si="188"/>
        <v>2049</v>
      </c>
      <c r="X313" s="123">
        <f t="shared" ca="1" si="169"/>
        <v>54605</v>
      </c>
      <c r="Y313" s="64">
        <f t="shared" ca="1" si="170"/>
        <v>0</v>
      </c>
      <c r="Z313" s="64">
        <f t="shared" ca="1" si="171"/>
        <v>0</v>
      </c>
      <c r="AA313" s="64">
        <f t="shared" ca="1" si="172"/>
        <v>0</v>
      </c>
      <c r="AB313" s="64">
        <f t="shared" ca="1" si="173"/>
        <v>0</v>
      </c>
      <c r="AF313" t="str">
        <f t="shared" ca="1" si="154"/>
        <v>12019</v>
      </c>
      <c r="AG313" s="126">
        <f t="shared" ca="1" si="155"/>
        <v>0</v>
      </c>
      <c r="AH313" s="126">
        <f t="shared" ca="1" si="156"/>
        <v>0</v>
      </c>
      <c r="AI313" s="126">
        <f t="shared" ca="1" si="157"/>
        <v>0</v>
      </c>
      <c r="AJ313" t="str">
        <f t="shared" ca="1" si="158"/>
        <v>72049</v>
      </c>
      <c r="AK313" s="126">
        <f t="shared" ca="1" si="174"/>
        <v>0</v>
      </c>
      <c r="AL313" s="126">
        <f t="shared" ca="1" si="175"/>
        <v>0</v>
      </c>
      <c r="AM313" s="126">
        <f t="shared" ca="1" si="189"/>
        <v>0</v>
      </c>
      <c r="AN313" s="753">
        <f t="shared" ca="1" si="190"/>
        <v>0</v>
      </c>
      <c r="AO313" s="750">
        <f t="shared" ca="1" si="176"/>
        <v>0</v>
      </c>
      <c r="AP313" s="126">
        <f t="shared" ca="1" si="177"/>
        <v>0</v>
      </c>
      <c r="AQ313" s="126">
        <f t="shared" ca="1" si="178"/>
        <v>0</v>
      </c>
      <c r="AR313" s="126">
        <f t="shared" ca="1" si="159"/>
        <v>10000</v>
      </c>
      <c r="AS313" s="750">
        <f t="shared" ca="1" si="160"/>
        <v>0</v>
      </c>
      <c r="AT313" s="750">
        <f t="shared" ca="1" si="161"/>
        <v>0</v>
      </c>
      <c r="AU313" s="126">
        <f t="shared" ca="1" si="179"/>
        <v>0</v>
      </c>
      <c r="AV313" s="126">
        <f t="shared" ca="1" si="180"/>
        <v>0</v>
      </c>
      <c r="AW313" s="126">
        <f t="shared" ca="1" si="162"/>
        <v>10000</v>
      </c>
      <c r="AX313" s="750">
        <f t="shared" ca="1" si="181"/>
        <v>0</v>
      </c>
      <c r="AY313" s="750">
        <f t="shared" ca="1" si="182"/>
        <v>0</v>
      </c>
      <c r="AZ313">
        <f t="shared" si="183"/>
        <v>5750</v>
      </c>
    </row>
    <row r="314" spans="4:52">
      <c r="D314">
        <v>307</v>
      </c>
      <c r="E314" s="6">
        <f t="shared" ca="1" si="184"/>
        <v>43435</v>
      </c>
      <c r="F314" s="7">
        <f t="shared" ca="1" si="163"/>
        <v>0</v>
      </c>
      <c r="G314" s="125">
        <f ca="1">IF('Simulador - 1º Pilar'!$E$99="Sí",IF('Aportaciones PPE'!$B$13&lt;'Aportaciones PPE'!E314,0,F314*$B$8/12),F314*$B$8/12)</f>
        <v>0</v>
      </c>
      <c r="H314" s="125">
        <f t="shared" ca="1" si="153"/>
        <v>0</v>
      </c>
      <c r="I314" s="125">
        <f t="shared" ca="1" si="164"/>
        <v>0</v>
      </c>
      <c r="J314" s="125">
        <f t="shared" ca="1" si="165"/>
        <v>0</v>
      </c>
      <c r="K314" s="125">
        <f t="shared" ca="1" si="166"/>
        <v>0</v>
      </c>
      <c r="L314" s="125">
        <f t="shared" ca="1" si="185"/>
        <v>0</v>
      </c>
      <c r="M314" s="125">
        <f t="shared" ca="1" si="167"/>
        <v>0</v>
      </c>
      <c r="N314" s="125">
        <f t="shared" ca="1" si="168"/>
        <v>0</v>
      </c>
      <c r="R314">
        <f t="shared" si="186"/>
        <v>307</v>
      </c>
      <c r="U314" s="55"/>
      <c r="V314">
        <f t="shared" si="187"/>
        <v>8</v>
      </c>
      <c r="W314">
        <f t="shared" ca="1" si="188"/>
        <v>2049</v>
      </c>
      <c r="X314" s="123">
        <f t="shared" ca="1" si="169"/>
        <v>54636</v>
      </c>
      <c r="Y314" s="64">
        <f t="shared" ca="1" si="170"/>
        <v>0</v>
      </c>
      <c r="Z314" s="64">
        <f t="shared" ca="1" si="171"/>
        <v>0</v>
      </c>
      <c r="AA314" s="64">
        <f t="shared" ca="1" si="172"/>
        <v>0</v>
      </c>
      <c r="AB314" s="64">
        <f t="shared" ca="1" si="173"/>
        <v>0</v>
      </c>
      <c r="AF314" t="str">
        <f t="shared" ca="1" si="154"/>
        <v>122018</v>
      </c>
      <c r="AG314" s="126">
        <f t="shared" ca="1" si="155"/>
        <v>0</v>
      </c>
      <c r="AH314" s="126">
        <f t="shared" ca="1" si="156"/>
        <v>0</v>
      </c>
      <c r="AI314" s="126">
        <f t="shared" ca="1" si="157"/>
        <v>0</v>
      </c>
      <c r="AJ314" t="str">
        <f t="shared" ca="1" si="158"/>
        <v>82049</v>
      </c>
      <c r="AK314" s="126">
        <f t="shared" ca="1" si="174"/>
        <v>0</v>
      </c>
      <c r="AL314" s="126">
        <f t="shared" ca="1" si="175"/>
        <v>0</v>
      </c>
      <c r="AM314" s="126">
        <f t="shared" ca="1" si="189"/>
        <v>0</v>
      </c>
      <c r="AN314" s="753">
        <f t="shared" ca="1" si="190"/>
        <v>0</v>
      </c>
      <c r="AO314" s="750">
        <f t="shared" ca="1" si="176"/>
        <v>0</v>
      </c>
      <c r="AP314" s="126">
        <f t="shared" ca="1" si="177"/>
        <v>0</v>
      </c>
      <c r="AQ314" s="126">
        <f t="shared" ca="1" si="178"/>
        <v>0</v>
      </c>
      <c r="AR314" s="126">
        <f t="shared" ca="1" si="159"/>
        <v>10000</v>
      </c>
      <c r="AS314" s="750">
        <f t="shared" ca="1" si="160"/>
        <v>0</v>
      </c>
      <c r="AT314" s="750">
        <f t="shared" ca="1" si="161"/>
        <v>0</v>
      </c>
      <c r="AU314" s="126">
        <f t="shared" ca="1" si="179"/>
        <v>0</v>
      </c>
      <c r="AV314" s="126">
        <f t="shared" ca="1" si="180"/>
        <v>0</v>
      </c>
      <c r="AW314" s="126">
        <f t="shared" ca="1" si="162"/>
        <v>10000</v>
      </c>
      <c r="AX314" s="750">
        <f t="shared" ca="1" si="181"/>
        <v>0</v>
      </c>
      <c r="AY314" s="750">
        <f t="shared" ca="1" si="182"/>
        <v>0</v>
      </c>
      <c r="AZ314">
        <f t="shared" si="183"/>
        <v>5750</v>
      </c>
    </row>
    <row r="315" spans="4:52">
      <c r="D315">
        <v>308</v>
      </c>
      <c r="E315" s="6">
        <f t="shared" ca="1" si="184"/>
        <v>43405</v>
      </c>
      <c r="F315" s="7">
        <f t="shared" ca="1" si="163"/>
        <v>0</v>
      </c>
      <c r="G315" s="125">
        <f ca="1">IF('Simulador - 1º Pilar'!$E$99="Sí",IF('Aportaciones PPE'!$B$13&lt;'Aportaciones PPE'!E315,0,F315*$B$8/12),F315*$B$8/12)</f>
        <v>0</v>
      </c>
      <c r="H315" s="125">
        <f t="shared" ca="1" si="153"/>
        <v>0</v>
      </c>
      <c r="I315" s="125">
        <f t="shared" ca="1" si="164"/>
        <v>0</v>
      </c>
      <c r="J315" s="125">
        <f t="shared" ca="1" si="165"/>
        <v>0</v>
      </c>
      <c r="K315" s="125">
        <f t="shared" ca="1" si="166"/>
        <v>0</v>
      </c>
      <c r="L315" s="125">
        <f t="shared" ca="1" si="185"/>
        <v>0</v>
      </c>
      <c r="M315" s="125">
        <f t="shared" ca="1" si="167"/>
        <v>0</v>
      </c>
      <c r="N315" s="125">
        <f t="shared" ca="1" si="168"/>
        <v>0</v>
      </c>
      <c r="R315">
        <f t="shared" si="186"/>
        <v>308</v>
      </c>
      <c r="U315" s="55"/>
      <c r="V315">
        <f t="shared" si="187"/>
        <v>9</v>
      </c>
      <c r="W315">
        <f t="shared" ca="1" si="188"/>
        <v>2049</v>
      </c>
      <c r="X315" s="123">
        <f t="shared" ca="1" si="169"/>
        <v>54667</v>
      </c>
      <c r="Y315" s="64">
        <f t="shared" ca="1" si="170"/>
        <v>0</v>
      </c>
      <c r="Z315" s="64">
        <f t="shared" ca="1" si="171"/>
        <v>0</v>
      </c>
      <c r="AA315" s="64">
        <f t="shared" ca="1" si="172"/>
        <v>0</v>
      </c>
      <c r="AB315" s="64">
        <f t="shared" ca="1" si="173"/>
        <v>0</v>
      </c>
      <c r="AF315" t="str">
        <f t="shared" ca="1" si="154"/>
        <v>112018</v>
      </c>
      <c r="AG315" s="126">
        <f t="shared" ca="1" si="155"/>
        <v>0</v>
      </c>
      <c r="AH315" s="126">
        <f t="shared" ca="1" si="156"/>
        <v>0</v>
      </c>
      <c r="AI315" s="126">
        <f t="shared" ca="1" si="157"/>
        <v>0</v>
      </c>
      <c r="AJ315" t="str">
        <f t="shared" ca="1" si="158"/>
        <v>92049</v>
      </c>
      <c r="AK315" s="126">
        <f t="shared" ca="1" si="174"/>
        <v>0</v>
      </c>
      <c r="AL315" s="126">
        <f t="shared" ca="1" si="175"/>
        <v>0</v>
      </c>
      <c r="AM315" s="126">
        <f t="shared" ca="1" si="189"/>
        <v>0</v>
      </c>
      <c r="AN315" s="753">
        <f t="shared" ca="1" si="190"/>
        <v>0</v>
      </c>
      <c r="AO315" s="750">
        <f t="shared" ca="1" si="176"/>
        <v>0</v>
      </c>
      <c r="AP315" s="126">
        <f t="shared" ca="1" si="177"/>
        <v>0</v>
      </c>
      <c r="AQ315" s="126">
        <f t="shared" ca="1" si="178"/>
        <v>0</v>
      </c>
      <c r="AR315" s="126">
        <f t="shared" ca="1" si="159"/>
        <v>10000</v>
      </c>
      <c r="AS315" s="750">
        <f t="shared" ca="1" si="160"/>
        <v>0</v>
      </c>
      <c r="AT315" s="750">
        <f t="shared" ca="1" si="161"/>
        <v>0</v>
      </c>
      <c r="AU315" s="126">
        <f t="shared" ca="1" si="179"/>
        <v>0</v>
      </c>
      <c r="AV315" s="126">
        <f t="shared" ca="1" si="180"/>
        <v>0</v>
      </c>
      <c r="AW315" s="126">
        <f t="shared" ca="1" si="162"/>
        <v>10000</v>
      </c>
      <c r="AX315" s="750">
        <f t="shared" ca="1" si="181"/>
        <v>0</v>
      </c>
      <c r="AY315" s="750">
        <f t="shared" ca="1" si="182"/>
        <v>0</v>
      </c>
      <c r="AZ315">
        <f t="shared" si="183"/>
        <v>5750</v>
      </c>
    </row>
    <row r="316" spans="4:52">
      <c r="D316">
        <v>309</v>
      </c>
      <c r="E316" s="6">
        <f ca="1">+DATE(YEAR(E315),MONTH(E315)-1,DAY(E315))</f>
        <v>43374</v>
      </c>
      <c r="F316" s="7">
        <f t="shared" ca="1" si="163"/>
        <v>0</v>
      </c>
      <c r="G316" s="125">
        <f ca="1">IF('Simulador - 1º Pilar'!$E$99="Sí",IF('Aportaciones PPE'!$B$13&lt;'Aportaciones PPE'!E316,0,F316*$B$8/12),F316*$B$8/12)</f>
        <v>0</v>
      </c>
      <c r="H316" s="125">
        <f t="shared" ca="1" si="153"/>
        <v>0</v>
      </c>
      <c r="I316" s="125">
        <f t="shared" ca="1" si="164"/>
        <v>0</v>
      </c>
      <c r="J316" s="125">
        <f t="shared" ca="1" si="165"/>
        <v>0</v>
      </c>
      <c r="K316" s="125">
        <f t="shared" ca="1" si="166"/>
        <v>0</v>
      </c>
      <c r="L316" s="125">
        <f t="shared" ca="1" si="185"/>
        <v>0</v>
      </c>
      <c r="M316" s="125">
        <f t="shared" ca="1" si="167"/>
        <v>0</v>
      </c>
      <c r="N316" s="125">
        <f t="shared" ca="1" si="168"/>
        <v>0</v>
      </c>
      <c r="R316">
        <f t="shared" si="186"/>
        <v>309</v>
      </c>
      <c r="U316" s="55"/>
      <c r="V316">
        <f t="shared" si="187"/>
        <v>10</v>
      </c>
      <c r="W316">
        <f t="shared" ca="1" si="188"/>
        <v>2049</v>
      </c>
      <c r="X316" s="123">
        <f t="shared" ca="1" si="169"/>
        <v>54697</v>
      </c>
      <c r="Y316" s="64">
        <f t="shared" ca="1" si="170"/>
        <v>0</v>
      </c>
      <c r="Z316" s="64">
        <f t="shared" ca="1" si="171"/>
        <v>0</v>
      </c>
      <c r="AA316" s="64">
        <f t="shared" ca="1" si="172"/>
        <v>0</v>
      </c>
      <c r="AB316" s="64">
        <f t="shared" ca="1" si="173"/>
        <v>0</v>
      </c>
      <c r="AF316" t="str">
        <f t="shared" ca="1" si="154"/>
        <v>102018</v>
      </c>
      <c r="AG316" s="126">
        <f t="shared" ca="1" si="155"/>
        <v>0</v>
      </c>
      <c r="AH316" s="126">
        <f t="shared" ca="1" si="156"/>
        <v>0</v>
      </c>
      <c r="AI316" s="126">
        <f t="shared" ca="1" si="157"/>
        <v>0</v>
      </c>
      <c r="AJ316" t="str">
        <f t="shared" ca="1" si="158"/>
        <v>102049</v>
      </c>
      <c r="AK316" s="126">
        <f t="shared" ca="1" si="174"/>
        <v>0</v>
      </c>
      <c r="AL316" s="126">
        <f t="shared" ca="1" si="175"/>
        <v>0</v>
      </c>
      <c r="AM316" s="126">
        <f t="shared" ca="1" si="189"/>
        <v>0</v>
      </c>
      <c r="AN316" s="753">
        <f t="shared" ca="1" si="190"/>
        <v>0</v>
      </c>
      <c r="AO316" s="750">
        <f t="shared" ca="1" si="176"/>
        <v>0</v>
      </c>
      <c r="AP316" s="126">
        <f t="shared" ca="1" si="177"/>
        <v>0</v>
      </c>
      <c r="AQ316" s="126">
        <f t="shared" ca="1" si="178"/>
        <v>0</v>
      </c>
      <c r="AR316" s="126">
        <f t="shared" ca="1" si="159"/>
        <v>10000</v>
      </c>
      <c r="AS316" s="750">
        <f t="shared" ca="1" si="160"/>
        <v>0</v>
      </c>
      <c r="AT316" s="750">
        <f t="shared" ca="1" si="161"/>
        <v>0</v>
      </c>
      <c r="AU316" s="126">
        <f t="shared" ca="1" si="179"/>
        <v>0</v>
      </c>
      <c r="AV316" s="126">
        <f t="shared" ca="1" si="180"/>
        <v>0</v>
      </c>
      <c r="AW316" s="126">
        <f t="shared" ca="1" si="162"/>
        <v>10000</v>
      </c>
      <c r="AX316" s="750">
        <f t="shared" ca="1" si="181"/>
        <v>0</v>
      </c>
      <c r="AY316" s="750">
        <f t="shared" ca="1" si="182"/>
        <v>0</v>
      </c>
      <c r="AZ316">
        <f t="shared" si="183"/>
        <v>5750</v>
      </c>
    </row>
    <row r="317" spans="4:52">
      <c r="D317">
        <v>310</v>
      </c>
      <c r="E317" s="6">
        <f t="shared" ref="E317:E326" ca="1" si="191">+DATE(YEAR(E316),MONTH(E316)-1,DAY(E316))</f>
        <v>43344</v>
      </c>
      <c r="F317" s="7">
        <f t="shared" ca="1" si="163"/>
        <v>0</v>
      </c>
      <c r="G317" s="125">
        <f ca="1">IF('Simulador - 1º Pilar'!$E$99="Sí",IF('Aportaciones PPE'!$B$13&lt;'Aportaciones PPE'!E317,0,F317*$B$8/12),F317*$B$8/12)</f>
        <v>0</v>
      </c>
      <c r="H317" s="125">
        <f t="shared" ca="1" si="153"/>
        <v>0</v>
      </c>
      <c r="I317" s="125">
        <f t="shared" ca="1" si="164"/>
        <v>0</v>
      </c>
      <c r="J317" s="125">
        <f t="shared" ca="1" si="165"/>
        <v>0</v>
      </c>
      <c r="K317" s="125">
        <f t="shared" ca="1" si="166"/>
        <v>0</v>
      </c>
      <c r="L317" s="125">
        <f t="shared" ca="1" si="185"/>
        <v>0</v>
      </c>
      <c r="M317" s="125">
        <f t="shared" ca="1" si="167"/>
        <v>0</v>
      </c>
      <c r="N317" s="125">
        <f t="shared" ca="1" si="168"/>
        <v>0</v>
      </c>
      <c r="R317">
        <f t="shared" si="186"/>
        <v>310</v>
      </c>
      <c r="U317" s="55"/>
      <c r="V317">
        <f t="shared" si="187"/>
        <v>11</v>
      </c>
      <c r="W317">
        <f t="shared" ca="1" si="188"/>
        <v>2049</v>
      </c>
      <c r="X317" s="123">
        <f t="shared" ca="1" si="169"/>
        <v>54728</v>
      </c>
      <c r="Y317" s="64">
        <f t="shared" ca="1" si="170"/>
        <v>0</v>
      </c>
      <c r="Z317" s="64">
        <f t="shared" ca="1" si="171"/>
        <v>0</v>
      </c>
      <c r="AA317" s="64">
        <f t="shared" ca="1" si="172"/>
        <v>0</v>
      </c>
      <c r="AB317" s="64">
        <f t="shared" ca="1" si="173"/>
        <v>0</v>
      </c>
      <c r="AF317" t="str">
        <f t="shared" ca="1" si="154"/>
        <v>92018</v>
      </c>
      <c r="AG317" s="126">
        <f t="shared" ca="1" si="155"/>
        <v>0</v>
      </c>
      <c r="AH317" s="126">
        <f t="shared" ca="1" si="156"/>
        <v>0</v>
      </c>
      <c r="AI317" s="126">
        <f t="shared" ca="1" si="157"/>
        <v>0</v>
      </c>
      <c r="AJ317" t="str">
        <f t="shared" ca="1" si="158"/>
        <v>112049</v>
      </c>
      <c r="AK317" s="126">
        <f t="shared" ca="1" si="174"/>
        <v>0</v>
      </c>
      <c r="AL317" s="126">
        <f t="shared" ca="1" si="175"/>
        <v>0</v>
      </c>
      <c r="AM317" s="126">
        <f t="shared" ca="1" si="189"/>
        <v>0</v>
      </c>
      <c r="AN317" s="753">
        <f t="shared" ca="1" si="190"/>
        <v>0</v>
      </c>
      <c r="AO317" s="750">
        <f t="shared" ca="1" si="176"/>
        <v>0</v>
      </c>
      <c r="AP317" s="126">
        <f t="shared" ca="1" si="177"/>
        <v>0</v>
      </c>
      <c r="AQ317" s="126">
        <f t="shared" ca="1" si="178"/>
        <v>0</v>
      </c>
      <c r="AR317" s="126">
        <f t="shared" ca="1" si="159"/>
        <v>10000</v>
      </c>
      <c r="AS317" s="750">
        <f t="shared" ca="1" si="160"/>
        <v>0</v>
      </c>
      <c r="AT317" s="750">
        <f t="shared" ca="1" si="161"/>
        <v>0</v>
      </c>
      <c r="AU317" s="126">
        <f t="shared" ca="1" si="179"/>
        <v>0</v>
      </c>
      <c r="AV317" s="126">
        <f t="shared" ca="1" si="180"/>
        <v>0</v>
      </c>
      <c r="AW317" s="126">
        <f t="shared" ca="1" si="162"/>
        <v>10000</v>
      </c>
      <c r="AX317" s="750">
        <f t="shared" ca="1" si="181"/>
        <v>0</v>
      </c>
      <c r="AY317" s="750">
        <f t="shared" ca="1" si="182"/>
        <v>0</v>
      </c>
      <c r="AZ317">
        <f t="shared" si="183"/>
        <v>5750</v>
      </c>
    </row>
    <row r="318" spans="4:52">
      <c r="D318">
        <v>311</v>
      </c>
      <c r="E318" s="6">
        <f t="shared" ca="1" si="191"/>
        <v>43313</v>
      </c>
      <c r="F318" s="7">
        <f t="shared" ca="1" si="163"/>
        <v>0</v>
      </c>
      <c r="G318" s="125">
        <f ca="1">IF('Simulador - 1º Pilar'!$E$99="Sí",IF('Aportaciones PPE'!$B$13&lt;'Aportaciones PPE'!E318,0,F318*$B$8/12),F318*$B$8/12)</f>
        <v>0</v>
      </c>
      <c r="H318" s="125">
        <f t="shared" ca="1" si="153"/>
        <v>0</v>
      </c>
      <c r="I318" s="125">
        <f t="shared" ca="1" si="164"/>
        <v>0</v>
      </c>
      <c r="J318" s="125">
        <f t="shared" ca="1" si="165"/>
        <v>0</v>
      </c>
      <c r="K318" s="125">
        <f t="shared" ca="1" si="166"/>
        <v>0</v>
      </c>
      <c r="L318" s="125">
        <f t="shared" ca="1" si="185"/>
        <v>0</v>
      </c>
      <c r="M318" s="125">
        <f t="shared" ca="1" si="167"/>
        <v>0</v>
      </c>
      <c r="N318" s="125">
        <f t="shared" ca="1" si="168"/>
        <v>0</v>
      </c>
      <c r="R318">
        <f t="shared" si="186"/>
        <v>311</v>
      </c>
      <c r="U318" s="55"/>
      <c r="V318">
        <f t="shared" si="187"/>
        <v>12</v>
      </c>
      <c r="W318">
        <f t="shared" ca="1" si="188"/>
        <v>2049</v>
      </c>
      <c r="X318" s="123">
        <f t="shared" ca="1" si="169"/>
        <v>54758</v>
      </c>
      <c r="Y318" s="64">
        <f t="shared" ca="1" si="170"/>
        <v>0</v>
      </c>
      <c r="Z318" s="64">
        <f t="shared" ca="1" si="171"/>
        <v>0</v>
      </c>
      <c r="AA318" s="64">
        <f t="shared" ca="1" si="172"/>
        <v>0</v>
      </c>
      <c r="AB318" s="64">
        <f t="shared" ca="1" si="173"/>
        <v>0</v>
      </c>
      <c r="AF318" t="str">
        <f t="shared" ca="1" si="154"/>
        <v>82018</v>
      </c>
      <c r="AG318" s="126">
        <f t="shared" ca="1" si="155"/>
        <v>0</v>
      </c>
      <c r="AH318" s="126">
        <f t="shared" ca="1" si="156"/>
        <v>0</v>
      </c>
      <c r="AI318" s="126">
        <f t="shared" ca="1" si="157"/>
        <v>0</v>
      </c>
      <c r="AJ318" t="str">
        <f t="shared" ca="1" si="158"/>
        <v>122049</v>
      </c>
      <c r="AK318" s="126">
        <f t="shared" ca="1" si="174"/>
        <v>0</v>
      </c>
      <c r="AL318" s="126">
        <f t="shared" ca="1" si="175"/>
        <v>0</v>
      </c>
      <c r="AM318" s="126">
        <f t="shared" ca="1" si="189"/>
        <v>0</v>
      </c>
      <c r="AN318" s="753">
        <f t="shared" ca="1" si="190"/>
        <v>0</v>
      </c>
      <c r="AO318" s="750">
        <f t="shared" ca="1" si="176"/>
        <v>0</v>
      </c>
      <c r="AP318" s="126">
        <f t="shared" ca="1" si="177"/>
        <v>0</v>
      </c>
      <c r="AQ318" s="126">
        <f t="shared" ca="1" si="178"/>
        <v>0</v>
      </c>
      <c r="AR318" s="126">
        <f t="shared" ca="1" si="159"/>
        <v>10000</v>
      </c>
      <c r="AS318" s="750">
        <f t="shared" ca="1" si="160"/>
        <v>0</v>
      </c>
      <c r="AT318" s="750">
        <f t="shared" ca="1" si="161"/>
        <v>0</v>
      </c>
      <c r="AU318" s="126">
        <f t="shared" ca="1" si="179"/>
        <v>0</v>
      </c>
      <c r="AV318" s="126">
        <f t="shared" ca="1" si="180"/>
        <v>0</v>
      </c>
      <c r="AW318" s="126">
        <f t="shared" ca="1" si="162"/>
        <v>10000</v>
      </c>
      <c r="AX318" s="750">
        <f t="shared" ca="1" si="181"/>
        <v>0</v>
      </c>
      <c r="AY318" s="750">
        <f t="shared" ca="1" si="182"/>
        <v>0</v>
      </c>
      <c r="AZ318">
        <f t="shared" si="183"/>
        <v>5750</v>
      </c>
    </row>
    <row r="319" spans="4:52">
      <c r="D319">
        <v>312</v>
      </c>
      <c r="E319" s="6">
        <f t="shared" ca="1" si="191"/>
        <v>43282</v>
      </c>
      <c r="F319" s="7">
        <f t="shared" ca="1" si="163"/>
        <v>0</v>
      </c>
      <c r="G319" s="125">
        <f ca="1">IF('Simulador - 1º Pilar'!$E$99="Sí",IF('Aportaciones PPE'!$B$13&lt;'Aportaciones PPE'!E319,0,F319*$B$8/12),F319*$B$8/12)</f>
        <v>0</v>
      </c>
      <c r="H319" s="125">
        <f t="shared" ca="1" si="153"/>
        <v>0</v>
      </c>
      <c r="I319" s="125">
        <f t="shared" ca="1" si="164"/>
        <v>0</v>
      </c>
      <c r="J319" s="125">
        <f t="shared" ca="1" si="165"/>
        <v>0</v>
      </c>
      <c r="K319" s="125">
        <f t="shared" ca="1" si="166"/>
        <v>0</v>
      </c>
      <c r="L319" s="125">
        <f t="shared" ca="1" si="185"/>
        <v>0</v>
      </c>
      <c r="M319" s="125">
        <f t="shared" ca="1" si="167"/>
        <v>0</v>
      </c>
      <c r="N319" s="125">
        <f t="shared" ca="1" si="168"/>
        <v>0</v>
      </c>
      <c r="R319">
        <f t="shared" si="186"/>
        <v>312</v>
      </c>
      <c r="U319" s="55"/>
      <c r="V319">
        <f t="shared" si="187"/>
        <v>1</v>
      </c>
      <c r="W319">
        <f t="shared" ca="1" si="188"/>
        <v>2050</v>
      </c>
      <c r="X319" s="123">
        <f t="shared" ca="1" si="169"/>
        <v>54789</v>
      </c>
      <c r="Y319" s="64">
        <f t="shared" ca="1" si="170"/>
        <v>0</v>
      </c>
      <c r="Z319" s="64">
        <f t="shared" ca="1" si="171"/>
        <v>0</v>
      </c>
      <c r="AA319" s="64">
        <f t="shared" ca="1" si="172"/>
        <v>0</v>
      </c>
      <c r="AB319" s="64">
        <f t="shared" ca="1" si="173"/>
        <v>0</v>
      </c>
      <c r="AF319" t="str">
        <f t="shared" ca="1" si="154"/>
        <v>72018</v>
      </c>
      <c r="AG319" s="126">
        <f t="shared" ca="1" si="155"/>
        <v>0</v>
      </c>
      <c r="AH319" s="126">
        <f t="shared" ca="1" si="156"/>
        <v>0</v>
      </c>
      <c r="AI319" s="126">
        <f t="shared" ca="1" si="157"/>
        <v>0</v>
      </c>
      <c r="AJ319" t="str">
        <f t="shared" ca="1" si="158"/>
        <v>12050</v>
      </c>
      <c r="AK319" s="126">
        <f t="shared" ca="1" si="174"/>
        <v>0</v>
      </c>
      <c r="AL319" s="126">
        <f t="shared" ca="1" si="175"/>
        <v>0</v>
      </c>
      <c r="AM319" s="126">
        <f t="shared" ca="1" si="189"/>
        <v>0</v>
      </c>
      <c r="AN319" s="753">
        <f t="shared" ca="1" si="190"/>
        <v>0</v>
      </c>
      <c r="AO319" s="750">
        <f t="shared" ca="1" si="176"/>
        <v>0</v>
      </c>
      <c r="AP319" s="126">
        <f t="shared" ca="1" si="177"/>
        <v>0</v>
      </c>
      <c r="AQ319" s="126">
        <f t="shared" ca="1" si="178"/>
        <v>0</v>
      </c>
      <c r="AR319" s="126">
        <f t="shared" ca="1" si="159"/>
        <v>10000</v>
      </c>
      <c r="AS319" s="750">
        <f t="shared" ca="1" si="160"/>
        <v>0</v>
      </c>
      <c r="AT319" s="750">
        <f t="shared" ca="1" si="161"/>
        <v>0</v>
      </c>
      <c r="AU319" s="126">
        <f t="shared" ca="1" si="179"/>
        <v>0</v>
      </c>
      <c r="AV319" s="126">
        <f t="shared" ca="1" si="180"/>
        <v>0</v>
      </c>
      <c r="AW319" s="126">
        <f t="shared" ca="1" si="162"/>
        <v>10000</v>
      </c>
      <c r="AX319" s="750">
        <f t="shared" ca="1" si="181"/>
        <v>0</v>
      </c>
      <c r="AY319" s="750">
        <f t="shared" ca="1" si="182"/>
        <v>0</v>
      </c>
      <c r="AZ319">
        <f t="shared" si="183"/>
        <v>5750</v>
      </c>
    </row>
    <row r="320" spans="4:52">
      <c r="D320">
        <v>313</v>
      </c>
      <c r="E320" s="6">
        <f t="shared" ca="1" si="191"/>
        <v>43252</v>
      </c>
      <c r="F320" s="7">
        <f t="shared" ca="1" si="163"/>
        <v>0</v>
      </c>
      <c r="G320" s="125">
        <f ca="1">IF('Simulador - 1º Pilar'!$E$99="Sí",IF('Aportaciones PPE'!$B$13&lt;'Aportaciones PPE'!E320,0,F320*$B$8/12),F320*$B$8/12)</f>
        <v>0</v>
      </c>
      <c r="H320" s="125">
        <f t="shared" ca="1" si="153"/>
        <v>0</v>
      </c>
      <c r="I320" s="125">
        <f t="shared" ca="1" si="164"/>
        <v>0</v>
      </c>
      <c r="J320" s="125">
        <f t="shared" ca="1" si="165"/>
        <v>0</v>
      </c>
      <c r="K320" s="125">
        <f t="shared" ca="1" si="166"/>
        <v>0</v>
      </c>
      <c r="L320" s="125">
        <f t="shared" ca="1" si="185"/>
        <v>0</v>
      </c>
      <c r="M320" s="125">
        <f t="shared" ca="1" si="167"/>
        <v>0</v>
      </c>
      <c r="N320" s="125">
        <f t="shared" ca="1" si="168"/>
        <v>0</v>
      </c>
      <c r="R320">
        <f t="shared" si="186"/>
        <v>313</v>
      </c>
      <c r="U320" s="55"/>
      <c r="V320">
        <f t="shared" si="187"/>
        <v>2</v>
      </c>
      <c r="W320">
        <f t="shared" ca="1" si="188"/>
        <v>2050</v>
      </c>
      <c r="X320" s="123">
        <f t="shared" ca="1" si="169"/>
        <v>54820</v>
      </c>
      <c r="Y320" s="64">
        <f t="shared" ca="1" si="170"/>
        <v>0</v>
      </c>
      <c r="Z320" s="64">
        <f t="shared" ca="1" si="171"/>
        <v>0</v>
      </c>
      <c r="AA320" s="64">
        <f t="shared" ca="1" si="172"/>
        <v>0</v>
      </c>
      <c r="AB320" s="64">
        <f t="shared" ca="1" si="173"/>
        <v>0</v>
      </c>
      <c r="AF320" t="str">
        <f t="shared" ca="1" si="154"/>
        <v>62018</v>
      </c>
      <c r="AG320" s="126">
        <f t="shared" ca="1" si="155"/>
        <v>0</v>
      </c>
      <c r="AH320" s="126">
        <f t="shared" ca="1" si="156"/>
        <v>0</v>
      </c>
      <c r="AI320" s="126">
        <f t="shared" ca="1" si="157"/>
        <v>0</v>
      </c>
      <c r="AJ320" t="str">
        <f t="shared" ca="1" si="158"/>
        <v>22050</v>
      </c>
      <c r="AK320" s="126">
        <f t="shared" ca="1" si="174"/>
        <v>0</v>
      </c>
      <c r="AL320" s="126">
        <f t="shared" ca="1" si="175"/>
        <v>0</v>
      </c>
      <c r="AM320" s="126">
        <f t="shared" ca="1" si="189"/>
        <v>0</v>
      </c>
      <c r="AN320" s="753">
        <f t="shared" ca="1" si="190"/>
        <v>0</v>
      </c>
      <c r="AO320" s="750">
        <f t="shared" ca="1" si="176"/>
        <v>0</v>
      </c>
      <c r="AP320" s="126">
        <f t="shared" ca="1" si="177"/>
        <v>0</v>
      </c>
      <c r="AQ320" s="126">
        <f t="shared" ca="1" si="178"/>
        <v>0</v>
      </c>
      <c r="AR320" s="126">
        <f t="shared" ca="1" si="159"/>
        <v>10000</v>
      </c>
      <c r="AS320" s="750">
        <f t="shared" ca="1" si="160"/>
        <v>0</v>
      </c>
      <c r="AT320" s="750">
        <f t="shared" ca="1" si="161"/>
        <v>0</v>
      </c>
      <c r="AU320" s="126">
        <f t="shared" ca="1" si="179"/>
        <v>0</v>
      </c>
      <c r="AV320" s="126">
        <f t="shared" ca="1" si="180"/>
        <v>0</v>
      </c>
      <c r="AW320" s="126">
        <f t="shared" ca="1" si="162"/>
        <v>10000</v>
      </c>
      <c r="AX320" s="750">
        <f t="shared" ca="1" si="181"/>
        <v>0</v>
      </c>
      <c r="AY320" s="750">
        <f t="shared" ca="1" si="182"/>
        <v>0</v>
      </c>
      <c r="AZ320">
        <f t="shared" si="183"/>
        <v>5750</v>
      </c>
    </row>
    <row r="321" spans="4:52">
      <c r="D321">
        <v>314</v>
      </c>
      <c r="E321" s="6">
        <f t="shared" ca="1" si="191"/>
        <v>43221</v>
      </c>
      <c r="F321" s="7">
        <f t="shared" ca="1" si="163"/>
        <v>0</v>
      </c>
      <c r="G321" s="125">
        <f ca="1">IF('Simulador - 1º Pilar'!$E$99="Sí",IF('Aportaciones PPE'!$B$13&lt;'Aportaciones PPE'!E321,0,F321*$B$8/12),F321*$B$8/12)</f>
        <v>0</v>
      </c>
      <c r="H321" s="125">
        <f t="shared" ca="1" si="153"/>
        <v>0</v>
      </c>
      <c r="I321" s="125">
        <f t="shared" ca="1" si="164"/>
        <v>0</v>
      </c>
      <c r="J321" s="125">
        <f t="shared" ca="1" si="165"/>
        <v>0</v>
      </c>
      <c r="K321" s="125">
        <f t="shared" ca="1" si="166"/>
        <v>0</v>
      </c>
      <c r="L321" s="125">
        <f t="shared" ca="1" si="185"/>
        <v>0</v>
      </c>
      <c r="M321" s="125">
        <f t="shared" ca="1" si="167"/>
        <v>0</v>
      </c>
      <c r="N321" s="125">
        <f t="shared" ca="1" si="168"/>
        <v>0</v>
      </c>
      <c r="R321">
        <f t="shared" si="186"/>
        <v>314</v>
      </c>
      <c r="U321" s="55"/>
      <c r="V321">
        <f t="shared" si="187"/>
        <v>3</v>
      </c>
      <c r="W321">
        <f t="shared" ca="1" si="188"/>
        <v>2050</v>
      </c>
      <c r="X321" s="123">
        <f t="shared" ca="1" si="169"/>
        <v>54848</v>
      </c>
      <c r="Y321" s="64">
        <f t="shared" ca="1" si="170"/>
        <v>0</v>
      </c>
      <c r="Z321" s="64">
        <f t="shared" ca="1" si="171"/>
        <v>0</v>
      </c>
      <c r="AA321" s="64">
        <f t="shared" ca="1" si="172"/>
        <v>0</v>
      </c>
      <c r="AB321" s="64">
        <f t="shared" ca="1" si="173"/>
        <v>0</v>
      </c>
      <c r="AF321" t="str">
        <f t="shared" ca="1" si="154"/>
        <v>52018</v>
      </c>
      <c r="AG321" s="126">
        <f t="shared" ca="1" si="155"/>
        <v>0</v>
      </c>
      <c r="AH321" s="126">
        <f t="shared" ca="1" si="156"/>
        <v>0</v>
      </c>
      <c r="AI321" s="126">
        <f t="shared" ca="1" si="157"/>
        <v>0</v>
      </c>
      <c r="AJ321" t="str">
        <f t="shared" ca="1" si="158"/>
        <v>32050</v>
      </c>
      <c r="AK321" s="126">
        <f t="shared" ca="1" si="174"/>
        <v>0</v>
      </c>
      <c r="AL321" s="126">
        <f t="shared" ca="1" si="175"/>
        <v>0</v>
      </c>
      <c r="AM321" s="126">
        <f t="shared" ca="1" si="189"/>
        <v>0</v>
      </c>
      <c r="AN321" s="753">
        <f t="shared" ca="1" si="190"/>
        <v>0</v>
      </c>
      <c r="AO321" s="750">
        <f t="shared" ca="1" si="176"/>
        <v>0</v>
      </c>
      <c r="AP321" s="126">
        <f t="shared" ca="1" si="177"/>
        <v>0</v>
      </c>
      <c r="AQ321" s="126">
        <f t="shared" ca="1" si="178"/>
        <v>0</v>
      </c>
      <c r="AR321" s="126">
        <f t="shared" ca="1" si="159"/>
        <v>10000</v>
      </c>
      <c r="AS321" s="750">
        <f t="shared" ca="1" si="160"/>
        <v>0</v>
      </c>
      <c r="AT321" s="750">
        <f t="shared" ca="1" si="161"/>
        <v>0</v>
      </c>
      <c r="AU321" s="126">
        <f t="shared" ca="1" si="179"/>
        <v>0</v>
      </c>
      <c r="AV321" s="126">
        <f t="shared" ca="1" si="180"/>
        <v>0</v>
      </c>
      <c r="AW321" s="126">
        <f t="shared" ca="1" si="162"/>
        <v>10000</v>
      </c>
      <c r="AX321" s="750">
        <f t="shared" ca="1" si="181"/>
        <v>0</v>
      </c>
      <c r="AY321" s="750">
        <f t="shared" ca="1" si="182"/>
        <v>0</v>
      </c>
      <c r="AZ321">
        <f t="shared" si="183"/>
        <v>5750</v>
      </c>
    </row>
    <row r="322" spans="4:52">
      <c r="D322">
        <v>315</v>
      </c>
      <c r="E322" s="6">
        <f t="shared" ca="1" si="191"/>
        <v>43191</v>
      </c>
      <c r="F322" s="7">
        <f t="shared" ca="1" si="163"/>
        <v>0</v>
      </c>
      <c r="G322" s="125">
        <f ca="1">IF('Simulador - 1º Pilar'!$E$99="Sí",IF('Aportaciones PPE'!$B$13&lt;'Aportaciones PPE'!E322,0,F322*$B$8/12),F322*$B$8/12)</f>
        <v>0</v>
      </c>
      <c r="H322" s="125">
        <f t="shared" ca="1" si="153"/>
        <v>0</v>
      </c>
      <c r="I322" s="125">
        <f t="shared" ca="1" si="164"/>
        <v>0</v>
      </c>
      <c r="J322" s="125">
        <f t="shared" ca="1" si="165"/>
        <v>0</v>
      </c>
      <c r="K322" s="125">
        <f t="shared" ca="1" si="166"/>
        <v>0</v>
      </c>
      <c r="L322" s="125">
        <f t="shared" ca="1" si="185"/>
        <v>0</v>
      </c>
      <c r="M322" s="125">
        <f t="shared" ca="1" si="167"/>
        <v>0</v>
      </c>
      <c r="N322" s="125">
        <f t="shared" ca="1" si="168"/>
        <v>0</v>
      </c>
      <c r="R322">
        <f t="shared" si="186"/>
        <v>315</v>
      </c>
      <c r="U322" s="55"/>
      <c r="V322">
        <f t="shared" si="187"/>
        <v>4</v>
      </c>
      <c r="W322">
        <f t="shared" ca="1" si="188"/>
        <v>2050</v>
      </c>
      <c r="X322" s="123">
        <f t="shared" ca="1" si="169"/>
        <v>54879</v>
      </c>
      <c r="Y322" s="64">
        <f t="shared" ca="1" si="170"/>
        <v>0</v>
      </c>
      <c r="Z322" s="64">
        <f t="shared" ca="1" si="171"/>
        <v>0</v>
      </c>
      <c r="AA322" s="64">
        <f t="shared" ca="1" si="172"/>
        <v>0</v>
      </c>
      <c r="AB322" s="64">
        <f t="shared" ca="1" si="173"/>
        <v>0</v>
      </c>
      <c r="AF322" t="str">
        <f t="shared" ca="1" si="154"/>
        <v>42018</v>
      </c>
      <c r="AG322" s="126">
        <f t="shared" ca="1" si="155"/>
        <v>0</v>
      </c>
      <c r="AH322" s="126">
        <f t="shared" ca="1" si="156"/>
        <v>0</v>
      </c>
      <c r="AI322" s="126">
        <f t="shared" ca="1" si="157"/>
        <v>0</v>
      </c>
      <c r="AJ322" t="str">
        <f t="shared" ca="1" si="158"/>
        <v>42050</v>
      </c>
      <c r="AK322" s="126">
        <f t="shared" ca="1" si="174"/>
        <v>0</v>
      </c>
      <c r="AL322" s="126">
        <f t="shared" ca="1" si="175"/>
        <v>0</v>
      </c>
      <c r="AM322" s="126">
        <f t="shared" ca="1" si="189"/>
        <v>0</v>
      </c>
      <c r="AN322" s="753">
        <f t="shared" ca="1" si="190"/>
        <v>0</v>
      </c>
      <c r="AO322" s="750">
        <f t="shared" ca="1" si="176"/>
        <v>0</v>
      </c>
      <c r="AP322" s="126">
        <f t="shared" ca="1" si="177"/>
        <v>0</v>
      </c>
      <c r="AQ322" s="126">
        <f t="shared" ca="1" si="178"/>
        <v>0</v>
      </c>
      <c r="AR322" s="126">
        <f t="shared" ca="1" si="159"/>
        <v>10000</v>
      </c>
      <c r="AS322" s="750">
        <f t="shared" ca="1" si="160"/>
        <v>0</v>
      </c>
      <c r="AT322" s="750">
        <f t="shared" ca="1" si="161"/>
        <v>0</v>
      </c>
      <c r="AU322" s="126">
        <f t="shared" ca="1" si="179"/>
        <v>0</v>
      </c>
      <c r="AV322" s="126">
        <f t="shared" ca="1" si="180"/>
        <v>0</v>
      </c>
      <c r="AW322" s="126">
        <f t="shared" ca="1" si="162"/>
        <v>10000</v>
      </c>
      <c r="AX322" s="750">
        <f t="shared" ca="1" si="181"/>
        <v>0</v>
      </c>
      <c r="AY322" s="750">
        <f t="shared" ca="1" si="182"/>
        <v>0</v>
      </c>
      <c r="AZ322">
        <f t="shared" si="183"/>
        <v>5750</v>
      </c>
    </row>
    <row r="323" spans="4:52">
      <c r="D323">
        <v>316</v>
      </c>
      <c r="E323" s="6">
        <f t="shared" ca="1" si="191"/>
        <v>43160</v>
      </c>
      <c r="F323" s="7">
        <f t="shared" ca="1" si="163"/>
        <v>0</v>
      </c>
      <c r="G323" s="125">
        <f ca="1">IF('Simulador - 1º Pilar'!$E$99="Sí",IF('Aportaciones PPE'!$B$13&lt;'Aportaciones PPE'!E323,0,F323*$B$8/12),F323*$B$8/12)</f>
        <v>0</v>
      </c>
      <c r="H323" s="125">
        <f t="shared" ca="1" si="153"/>
        <v>0</v>
      </c>
      <c r="I323" s="125">
        <f t="shared" ca="1" si="164"/>
        <v>0</v>
      </c>
      <c r="J323" s="125">
        <f t="shared" ca="1" si="165"/>
        <v>0</v>
      </c>
      <c r="K323" s="125">
        <f t="shared" ca="1" si="166"/>
        <v>0</v>
      </c>
      <c r="L323" s="125">
        <f t="shared" ca="1" si="185"/>
        <v>0</v>
      </c>
      <c r="M323" s="125">
        <f t="shared" ca="1" si="167"/>
        <v>0</v>
      </c>
      <c r="N323" s="125">
        <f t="shared" ca="1" si="168"/>
        <v>0</v>
      </c>
      <c r="R323">
        <f t="shared" si="186"/>
        <v>316</v>
      </c>
      <c r="U323" s="55"/>
      <c r="V323">
        <f t="shared" si="187"/>
        <v>5</v>
      </c>
      <c r="W323">
        <f t="shared" ca="1" si="188"/>
        <v>2050</v>
      </c>
      <c r="X323" s="123">
        <f t="shared" ca="1" si="169"/>
        <v>54909</v>
      </c>
      <c r="Y323" s="64">
        <f t="shared" ca="1" si="170"/>
        <v>0</v>
      </c>
      <c r="Z323" s="64">
        <f t="shared" ca="1" si="171"/>
        <v>0</v>
      </c>
      <c r="AA323" s="64">
        <f t="shared" ca="1" si="172"/>
        <v>0</v>
      </c>
      <c r="AB323" s="64">
        <f t="shared" ca="1" si="173"/>
        <v>0</v>
      </c>
      <c r="AF323" t="str">
        <f t="shared" ca="1" si="154"/>
        <v>32018</v>
      </c>
      <c r="AG323" s="126">
        <f t="shared" ca="1" si="155"/>
        <v>0</v>
      </c>
      <c r="AH323" s="126">
        <f t="shared" ca="1" si="156"/>
        <v>0</v>
      </c>
      <c r="AI323" s="126">
        <f t="shared" ca="1" si="157"/>
        <v>0</v>
      </c>
      <c r="AJ323" t="str">
        <f t="shared" ca="1" si="158"/>
        <v>52050</v>
      </c>
      <c r="AK323" s="126">
        <f t="shared" ca="1" si="174"/>
        <v>0</v>
      </c>
      <c r="AL323" s="126">
        <f t="shared" ca="1" si="175"/>
        <v>0</v>
      </c>
      <c r="AM323" s="126">
        <f t="shared" ca="1" si="189"/>
        <v>0</v>
      </c>
      <c r="AN323" s="753">
        <f t="shared" ca="1" si="190"/>
        <v>0</v>
      </c>
      <c r="AO323" s="750">
        <f t="shared" ca="1" si="176"/>
        <v>0</v>
      </c>
      <c r="AP323" s="126">
        <f t="shared" ca="1" si="177"/>
        <v>0</v>
      </c>
      <c r="AQ323" s="126">
        <f t="shared" ca="1" si="178"/>
        <v>0</v>
      </c>
      <c r="AR323" s="126">
        <f t="shared" ca="1" si="159"/>
        <v>10000</v>
      </c>
      <c r="AS323" s="750">
        <f t="shared" ca="1" si="160"/>
        <v>0</v>
      </c>
      <c r="AT323" s="750">
        <f t="shared" ca="1" si="161"/>
        <v>0</v>
      </c>
      <c r="AU323" s="126">
        <f t="shared" ca="1" si="179"/>
        <v>0</v>
      </c>
      <c r="AV323" s="126">
        <f t="shared" ca="1" si="180"/>
        <v>0</v>
      </c>
      <c r="AW323" s="126">
        <f t="shared" ca="1" si="162"/>
        <v>10000</v>
      </c>
      <c r="AX323" s="750">
        <f t="shared" ca="1" si="181"/>
        <v>0</v>
      </c>
      <c r="AY323" s="750">
        <f t="shared" ca="1" si="182"/>
        <v>0</v>
      </c>
      <c r="AZ323">
        <f t="shared" si="183"/>
        <v>5750</v>
      </c>
    </row>
    <row r="324" spans="4:52">
      <c r="D324">
        <v>317</v>
      </c>
      <c r="E324" s="6">
        <f t="shared" ca="1" si="191"/>
        <v>43132</v>
      </c>
      <c r="F324" s="7">
        <f t="shared" ca="1" si="163"/>
        <v>0</v>
      </c>
      <c r="G324" s="125">
        <f ca="1">IF('Simulador - 1º Pilar'!$E$99="Sí",IF('Aportaciones PPE'!$B$13&lt;'Aportaciones PPE'!E324,0,F324*$B$8/12),F324*$B$8/12)</f>
        <v>0</v>
      </c>
      <c r="H324" s="125">
        <f t="shared" ca="1" si="153"/>
        <v>0</v>
      </c>
      <c r="I324" s="125">
        <f t="shared" ca="1" si="164"/>
        <v>0</v>
      </c>
      <c r="J324" s="125">
        <f t="shared" ca="1" si="165"/>
        <v>0</v>
      </c>
      <c r="K324" s="125">
        <f t="shared" ca="1" si="166"/>
        <v>0</v>
      </c>
      <c r="L324" s="125">
        <f t="shared" ca="1" si="185"/>
        <v>0</v>
      </c>
      <c r="M324" s="125">
        <f t="shared" ca="1" si="167"/>
        <v>0</v>
      </c>
      <c r="N324" s="125">
        <f t="shared" ca="1" si="168"/>
        <v>0</v>
      </c>
      <c r="R324">
        <f t="shared" si="186"/>
        <v>317</v>
      </c>
      <c r="U324" s="55"/>
      <c r="V324">
        <f t="shared" si="187"/>
        <v>6</v>
      </c>
      <c r="W324">
        <f t="shared" ca="1" si="188"/>
        <v>2050</v>
      </c>
      <c r="X324" s="123">
        <f t="shared" ca="1" si="169"/>
        <v>54940</v>
      </c>
      <c r="Y324" s="64">
        <f t="shared" ca="1" si="170"/>
        <v>0</v>
      </c>
      <c r="Z324" s="64">
        <f t="shared" ca="1" si="171"/>
        <v>0</v>
      </c>
      <c r="AA324" s="64">
        <f t="shared" ca="1" si="172"/>
        <v>0</v>
      </c>
      <c r="AB324" s="64">
        <f t="shared" ca="1" si="173"/>
        <v>0</v>
      </c>
      <c r="AF324" t="str">
        <f t="shared" ca="1" si="154"/>
        <v>22018</v>
      </c>
      <c r="AG324" s="126">
        <f t="shared" ca="1" si="155"/>
        <v>0</v>
      </c>
      <c r="AH324" s="126">
        <f t="shared" ca="1" si="156"/>
        <v>0</v>
      </c>
      <c r="AI324" s="126">
        <f t="shared" ca="1" si="157"/>
        <v>0</v>
      </c>
      <c r="AJ324" t="str">
        <f t="shared" ca="1" si="158"/>
        <v>62050</v>
      </c>
      <c r="AK324" s="126">
        <f t="shared" ca="1" si="174"/>
        <v>0</v>
      </c>
      <c r="AL324" s="126">
        <f t="shared" ca="1" si="175"/>
        <v>0</v>
      </c>
      <c r="AM324" s="126">
        <f t="shared" ca="1" si="189"/>
        <v>0</v>
      </c>
      <c r="AN324" s="753">
        <f t="shared" ca="1" si="190"/>
        <v>0</v>
      </c>
      <c r="AO324" s="750">
        <f t="shared" ca="1" si="176"/>
        <v>0</v>
      </c>
      <c r="AP324" s="126">
        <f t="shared" ca="1" si="177"/>
        <v>0</v>
      </c>
      <c r="AQ324" s="126">
        <f t="shared" ca="1" si="178"/>
        <v>0</v>
      </c>
      <c r="AR324" s="126">
        <f t="shared" ca="1" si="159"/>
        <v>10000</v>
      </c>
      <c r="AS324" s="750">
        <f t="shared" ca="1" si="160"/>
        <v>0</v>
      </c>
      <c r="AT324" s="750">
        <f t="shared" ca="1" si="161"/>
        <v>0</v>
      </c>
      <c r="AU324" s="126">
        <f t="shared" ca="1" si="179"/>
        <v>0</v>
      </c>
      <c r="AV324" s="126">
        <f t="shared" ca="1" si="180"/>
        <v>0</v>
      </c>
      <c r="AW324" s="126">
        <f t="shared" ca="1" si="162"/>
        <v>10000</v>
      </c>
      <c r="AX324" s="750">
        <f t="shared" ca="1" si="181"/>
        <v>0</v>
      </c>
      <c r="AY324" s="750">
        <f t="shared" ca="1" si="182"/>
        <v>0</v>
      </c>
      <c r="AZ324">
        <f t="shared" si="183"/>
        <v>5750</v>
      </c>
    </row>
    <row r="325" spans="4:52">
      <c r="D325">
        <v>318</v>
      </c>
      <c r="E325" s="6">
        <f t="shared" ca="1" si="191"/>
        <v>43101</v>
      </c>
      <c r="F325" s="7">
        <f t="shared" ca="1" si="163"/>
        <v>0</v>
      </c>
      <c r="G325" s="125">
        <f ca="1">IF('Simulador - 1º Pilar'!$E$99="Sí",IF('Aportaciones PPE'!$B$13&lt;'Aportaciones PPE'!E325,0,F325*$B$8/12),F325*$B$8/12)</f>
        <v>0</v>
      </c>
      <c r="H325" s="125">
        <f t="shared" ca="1" si="153"/>
        <v>0</v>
      </c>
      <c r="I325" s="125">
        <f t="shared" ca="1" si="164"/>
        <v>0</v>
      </c>
      <c r="J325" s="125">
        <f t="shared" ca="1" si="165"/>
        <v>0</v>
      </c>
      <c r="K325" s="125">
        <f t="shared" ca="1" si="166"/>
        <v>0</v>
      </c>
      <c r="L325" s="125">
        <f t="shared" ca="1" si="185"/>
        <v>0</v>
      </c>
      <c r="M325" s="125">
        <f t="shared" ca="1" si="167"/>
        <v>0</v>
      </c>
      <c r="N325" s="125">
        <f t="shared" ca="1" si="168"/>
        <v>0</v>
      </c>
      <c r="R325">
        <f t="shared" si="186"/>
        <v>318</v>
      </c>
      <c r="U325" s="55"/>
      <c r="V325">
        <f t="shared" si="187"/>
        <v>7</v>
      </c>
      <c r="W325">
        <f t="shared" ca="1" si="188"/>
        <v>2050</v>
      </c>
      <c r="X325" s="123">
        <f t="shared" ca="1" si="169"/>
        <v>54970</v>
      </c>
      <c r="Y325" s="64">
        <f t="shared" ca="1" si="170"/>
        <v>0</v>
      </c>
      <c r="Z325" s="64">
        <f t="shared" ca="1" si="171"/>
        <v>0</v>
      </c>
      <c r="AA325" s="64">
        <f t="shared" ca="1" si="172"/>
        <v>0</v>
      </c>
      <c r="AB325" s="64">
        <f t="shared" ca="1" si="173"/>
        <v>0</v>
      </c>
      <c r="AF325" t="str">
        <f t="shared" ca="1" si="154"/>
        <v>12018</v>
      </c>
      <c r="AG325" s="126">
        <f t="shared" ca="1" si="155"/>
        <v>0</v>
      </c>
      <c r="AH325" s="126">
        <f t="shared" ca="1" si="156"/>
        <v>0</v>
      </c>
      <c r="AI325" s="126">
        <f t="shared" ca="1" si="157"/>
        <v>0</v>
      </c>
      <c r="AJ325" t="str">
        <f t="shared" ca="1" si="158"/>
        <v>72050</v>
      </c>
      <c r="AK325" s="126">
        <f t="shared" ca="1" si="174"/>
        <v>0</v>
      </c>
      <c r="AL325" s="126">
        <f t="shared" ca="1" si="175"/>
        <v>0</v>
      </c>
      <c r="AM325" s="126">
        <f t="shared" ca="1" si="189"/>
        <v>0</v>
      </c>
      <c r="AN325" s="753">
        <f t="shared" ca="1" si="190"/>
        <v>0</v>
      </c>
      <c r="AO325" s="750">
        <f t="shared" ca="1" si="176"/>
        <v>0</v>
      </c>
      <c r="AP325" s="126">
        <f t="shared" ca="1" si="177"/>
        <v>0</v>
      </c>
      <c r="AQ325" s="126">
        <f t="shared" ca="1" si="178"/>
        <v>0</v>
      </c>
      <c r="AR325" s="126">
        <f t="shared" ca="1" si="159"/>
        <v>10000</v>
      </c>
      <c r="AS325" s="750">
        <f t="shared" ca="1" si="160"/>
        <v>0</v>
      </c>
      <c r="AT325" s="750">
        <f t="shared" ca="1" si="161"/>
        <v>0</v>
      </c>
      <c r="AU325" s="126">
        <f t="shared" ca="1" si="179"/>
        <v>0</v>
      </c>
      <c r="AV325" s="126">
        <f t="shared" ca="1" si="180"/>
        <v>0</v>
      </c>
      <c r="AW325" s="126">
        <f t="shared" ca="1" si="162"/>
        <v>10000</v>
      </c>
      <c r="AX325" s="750">
        <f t="shared" ca="1" si="181"/>
        <v>0</v>
      </c>
      <c r="AY325" s="750">
        <f t="shared" ca="1" si="182"/>
        <v>0</v>
      </c>
      <c r="AZ325">
        <f t="shared" si="183"/>
        <v>5750</v>
      </c>
    </row>
    <row r="326" spans="4:52">
      <c r="D326">
        <v>319</v>
      </c>
      <c r="E326" s="6">
        <f t="shared" ca="1" si="191"/>
        <v>43070</v>
      </c>
      <c r="F326" s="7">
        <f t="shared" ca="1" si="163"/>
        <v>0</v>
      </c>
      <c r="G326" s="125">
        <f ca="1">IF('Simulador - 1º Pilar'!$E$99="Sí",IF('Aportaciones PPE'!$B$13&lt;'Aportaciones PPE'!E326,0,F326*$B$8/12),F326*$B$8/12)</f>
        <v>0</v>
      </c>
      <c r="H326" s="125">
        <f t="shared" ca="1" si="153"/>
        <v>0</v>
      </c>
      <c r="I326" s="125">
        <f t="shared" ca="1" si="164"/>
        <v>0</v>
      </c>
      <c r="J326" s="125">
        <f t="shared" ca="1" si="165"/>
        <v>0</v>
      </c>
      <c r="K326" s="125">
        <f t="shared" ca="1" si="166"/>
        <v>0</v>
      </c>
      <c r="L326" s="125">
        <f t="shared" ca="1" si="185"/>
        <v>0</v>
      </c>
      <c r="M326" s="125">
        <f t="shared" ca="1" si="167"/>
        <v>0</v>
      </c>
      <c r="N326" s="125">
        <f t="shared" ca="1" si="168"/>
        <v>0</v>
      </c>
      <c r="R326">
        <f t="shared" si="186"/>
        <v>319</v>
      </c>
      <c r="U326" s="55"/>
      <c r="V326">
        <f t="shared" si="187"/>
        <v>8</v>
      </c>
      <c r="W326">
        <f t="shared" ca="1" si="188"/>
        <v>2050</v>
      </c>
      <c r="X326" s="123">
        <f t="shared" ca="1" si="169"/>
        <v>55001</v>
      </c>
      <c r="Y326" s="64">
        <f t="shared" ca="1" si="170"/>
        <v>0</v>
      </c>
      <c r="Z326" s="64">
        <f t="shared" ca="1" si="171"/>
        <v>0</v>
      </c>
      <c r="AA326" s="64">
        <f t="shared" ca="1" si="172"/>
        <v>0</v>
      </c>
      <c r="AB326" s="64">
        <f t="shared" ca="1" si="173"/>
        <v>0</v>
      </c>
      <c r="AF326" t="str">
        <f t="shared" ca="1" si="154"/>
        <v>122017</v>
      </c>
      <c r="AG326" s="126">
        <f t="shared" ca="1" si="155"/>
        <v>0</v>
      </c>
      <c r="AH326" s="126">
        <f t="shared" ca="1" si="156"/>
        <v>0</v>
      </c>
      <c r="AI326" s="126">
        <f t="shared" ca="1" si="157"/>
        <v>0</v>
      </c>
      <c r="AJ326" t="str">
        <f t="shared" ca="1" si="158"/>
        <v>82050</v>
      </c>
      <c r="AK326" s="126">
        <f t="shared" ca="1" si="174"/>
        <v>0</v>
      </c>
      <c r="AL326" s="126">
        <f t="shared" ca="1" si="175"/>
        <v>0</v>
      </c>
      <c r="AM326" s="126">
        <f t="shared" ca="1" si="189"/>
        <v>0</v>
      </c>
      <c r="AN326" s="753">
        <f t="shared" ca="1" si="190"/>
        <v>0</v>
      </c>
      <c r="AO326" s="750">
        <f t="shared" ca="1" si="176"/>
        <v>0</v>
      </c>
      <c r="AP326" s="126">
        <f t="shared" ca="1" si="177"/>
        <v>0</v>
      </c>
      <c r="AQ326" s="126">
        <f t="shared" ca="1" si="178"/>
        <v>0</v>
      </c>
      <c r="AR326" s="126">
        <f t="shared" ca="1" si="159"/>
        <v>10000</v>
      </c>
      <c r="AS326" s="750">
        <f t="shared" ca="1" si="160"/>
        <v>0</v>
      </c>
      <c r="AT326" s="750">
        <f t="shared" ca="1" si="161"/>
        <v>0</v>
      </c>
      <c r="AU326" s="126">
        <f t="shared" ca="1" si="179"/>
        <v>0</v>
      </c>
      <c r="AV326" s="126">
        <f t="shared" ca="1" si="180"/>
        <v>0</v>
      </c>
      <c r="AW326" s="126">
        <f t="shared" ca="1" si="162"/>
        <v>10000</v>
      </c>
      <c r="AX326" s="750">
        <f t="shared" ca="1" si="181"/>
        <v>0</v>
      </c>
      <c r="AY326" s="750">
        <f t="shared" ca="1" si="182"/>
        <v>0</v>
      </c>
      <c r="AZ326">
        <f t="shared" si="183"/>
        <v>5750</v>
      </c>
    </row>
    <row r="327" spans="4:52">
      <c r="D327">
        <v>320</v>
      </c>
      <c r="E327" s="6">
        <f ca="1">+DATE(YEAR(E326),MONTH(E326)-1,DAY(E326))</f>
        <v>43040</v>
      </c>
      <c r="F327" s="7">
        <f t="shared" ca="1" si="163"/>
        <v>0</v>
      </c>
      <c r="G327" s="125">
        <f ca="1">IF('Simulador - 1º Pilar'!$E$99="Sí",IF('Aportaciones PPE'!$B$13&lt;'Aportaciones PPE'!E327,0,F327*$B$8/12),F327*$B$8/12)</f>
        <v>0</v>
      </c>
      <c r="H327" s="125">
        <f t="shared" ref="H327:H390" ca="1" si="192">$H$5*G327</f>
        <v>0</v>
      </c>
      <c r="I327" s="125">
        <f t="shared" ca="1" si="164"/>
        <v>0</v>
      </c>
      <c r="J327" s="125">
        <f t="shared" ca="1" si="165"/>
        <v>0</v>
      </c>
      <c r="K327" s="125">
        <f t="shared" ca="1" si="166"/>
        <v>0</v>
      </c>
      <c r="L327" s="125">
        <f t="shared" ca="1" si="185"/>
        <v>0</v>
      </c>
      <c r="M327" s="125">
        <f t="shared" ca="1" si="167"/>
        <v>0</v>
      </c>
      <c r="N327" s="125">
        <f t="shared" ca="1" si="168"/>
        <v>0</v>
      </c>
      <c r="R327">
        <f t="shared" si="186"/>
        <v>320</v>
      </c>
      <c r="U327" s="55"/>
      <c r="V327">
        <f t="shared" si="187"/>
        <v>9</v>
      </c>
      <c r="W327">
        <f t="shared" ca="1" si="188"/>
        <v>2050</v>
      </c>
      <c r="X327" s="123">
        <f t="shared" ca="1" si="169"/>
        <v>55032</v>
      </c>
      <c r="Y327" s="64">
        <f t="shared" ca="1" si="170"/>
        <v>0</v>
      </c>
      <c r="Z327" s="64">
        <f t="shared" ca="1" si="171"/>
        <v>0</v>
      </c>
      <c r="AA327" s="64">
        <f t="shared" ca="1" si="172"/>
        <v>0</v>
      </c>
      <c r="AB327" s="64">
        <f t="shared" ca="1" si="173"/>
        <v>0</v>
      </c>
      <c r="AF327" t="str">
        <f t="shared" ref="AF327:AF390" ca="1" si="193">+MONTH(E327)&amp;YEAR(E327)</f>
        <v>112017</v>
      </c>
      <c r="AG327" s="126">
        <f t="shared" ref="AG327:AG390" ca="1" si="194">+I327</f>
        <v>0</v>
      </c>
      <c r="AH327" s="126">
        <f t="shared" ref="AH327:AH390" ca="1" si="195">+J327</f>
        <v>0</v>
      </c>
      <c r="AI327" s="126">
        <f t="shared" ref="AI327:AI390" ca="1" si="196">+H327</f>
        <v>0</v>
      </c>
      <c r="AJ327" t="str">
        <f t="shared" ref="AJ327:AJ390" ca="1" si="197">+V327&amp;W327</f>
        <v>92050</v>
      </c>
      <c r="AK327" s="126">
        <f t="shared" ca="1" si="174"/>
        <v>0</v>
      </c>
      <c r="AL327" s="126">
        <f t="shared" ca="1" si="175"/>
        <v>0</v>
      </c>
      <c r="AM327" s="126">
        <f t="shared" ca="1" si="189"/>
        <v>0</v>
      </c>
      <c r="AN327" s="753">
        <f t="shared" ca="1" si="190"/>
        <v>0</v>
      </c>
      <c r="AO327" s="750">
        <f t="shared" ca="1" si="176"/>
        <v>0</v>
      </c>
      <c r="AP327" s="126">
        <f t="shared" ca="1" si="177"/>
        <v>0</v>
      </c>
      <c r="AQ327" s="126">
        <f t="shared" ca="1" si="178"/>
        <v>0</v>
      </c>
      <c r="AR327" s="126">
        <f t="shared" ref="AR327:AR390" ca="1" si="198">+MAX($AM$2-SUMIF($W$7:$W$1066,W327,$AN$7:$AN$1066),0)</f>
        <v>10000</v>
      </c>
      <c r="AS327" s="750">
        <f t="shared" ref="AS327:AS390" ca="1" si="199">+MAX(IF(AQ327&gt;AR327,AR327-AQ326,AP327),0)</f>
        <v>0</v>
      </c>
      <c r="AT327" s="750">
        <f t="shared" ref="AT327:AT390" ca="1" si="200">+AP327-AS327</f>
        <v>0</v>
      </c>
      <c r="AU327" s="126">
        <f t="shared" ca="1" si="179"/>
        <v>0</v>
      </c>
      <c r="AV327" s="126">
        <f t="shared" ca="1" si="180"/>
        <v>0</v>
      </c>
      <c r="AW327" s="126">
        <f t="shared" ref="AW327:AW390" ca="1" si="201">+MAX($AM$2-SUMIF($W$7:$W$1066,W327,$AN$7:$AN$1066)-SUMIF($W$7:$W$1066,W327,$AS$7:$AS$1066),0)</f>
        <v>10000</v>
      </c>
      <c r="AX327" s="750">
        <f t="shared" ca="1" si="181"/>
        <v>0</v>
      </c>
      <c r="AY327" s="750">
        <f t="shared" ca="1" si="182"/>
        <v>0</v>
      </c>
      <c r="AZ327">
        <f t="shared" si="183"/>
        <v>5750</v>
      </c>
    </row>
    <row r="328" spans="4:52">
      <c r="D328">
        <v>321</v>
      </c>
      <c r="E328" s="6">
        <f t="shared" ref="E328:E391" ca="1" si="202">+DATE(YEAR(E327),MONTH(E327)-1,DAY(E327))</f>
        <v>43009</v>
      </c>
      <c r="F328" s="7">
        <f t="shared" ref="F328:F391" ca="1" si="203">IF(DATE(YEAR($B$6),MONTH($B$6)+1,DAY(1))=E328,1,IF(MONTH(E328)=1,F329*(1+$F$5),F329))</f>
        <v>0</v>
      </c>
      <c r="G328" s="125">
        <f ca="1">IF('Simulador - 1º Pilar'!$E$99="Sí",IF('Aportaciones PPE'!$B$13&lt;'Aportaciones PPE'!E328,0,F328*$B$8/12),F328*$B$8/12)</f>
        <v>0</v>
      </c>
      <c r="H328" s="125">
        <f t="shared" ca="1" si="192"/>
        <v>0</v>
      </c>
      <c r="I328" s="125">
        <f t="shared" ref="I328:I391" ca="1" si="204">$I$5*G328</f>
        <v>0</v>
      </c>
      <c r="J328" s="125">
        <f t="shared" ref="J328:J391" ca="1" si="205">+I328</f>
        <v>0</v>
      </c>
      <c r="K328" s="125">
        <f t="shared" ref="K328:K391" ca="1" si="206">(1+$O$5)^(D328/12)*(H328+IF(AND(F328=1,F329=0),$S$4,0))</f>
        <v>0</v>
      </c>
      <c r="L328" s="125">
        <f t="shared" ca="1" si="185"/>
        <v>0</v>
      </c>
      <c r="M328" s="125">
        <f t="shared" ref="M328:M391" ca="1" si="207">+L328</f>
        <v>0</v>
      </c>
      <c r="N328" s="125">
        <f t="shared" ref="N328:N391" ca="1" si="208">L328+K328+M328</f>
        <v>0</v>
      </c>
      <c r="R328">
        <f t="shared" si="186"/>
        <v>321</v>
      </c>
      <c r="U328" s="55"/>
      <c r="V328">
        <f t="shared" si="187"/>
        <v>10</v>
      </c>
      <c r="W328">
        <f t="shared" ca="1" si="188"/>
        <v>2050</v>
      </c>
      <c r="X328" s="123">
        <f t="shared" ref="X328:X391" ca="1" si="209">+DATE(W328,V328,1)</f>
        <v>55062</v>
      </c>
      <c r="Y328" s="64">
        <f t="shared" ref="Y328:Y391" ca="1" si="210">+_xlfn.IFNA(AN328+AS328+AX328,0)</f>
        <v>0</v>
      </c>
      <c r="Z328" s="64">
        <f t="shared" ref="Z328:Z391" ca="1" si="211">+_xlfn.IFNA(AO328+AT328+AY328,0)</f>
        <v>0</v>
      </c>
      <c r="AA328" s="64">
        <f t="shared" ref="AA328:AA391" ca="1" si="212">Y328*(1+$O$5)^(($B$7-X328)/365.25)</f>
        <v>0</v>
      </c>
      <c r="AB328" s="64">
        <f t="shared" ref="AB328:AB391" ca="1" si="213">Z328*(1+$O$5)^(($B$7-X328)/365.25)</f>
        <v>0</v>
      </c>
      <c r="AF328" t="str">
        <f t="shared" ca="1" si="193"/>
        <v>102017</v>
      </c>
      <c r="AG328" s="126">
        <f t="shared" ca="1" si="194"/>
        <v>0</v>
      </c>
      <c r="AH328" s="126">
        <f t="shared" ca="1" si="195"/>
        <v>0</v>
      </c>
      <c r="AI328" s="126">
        <f t="shared" ca="1" si="196"/>
        <v>0</v>
      </c>
      <c r="AJ328" t="str">
        <f t="shared" ca="1" si="197"/>
        <v>102050</v>
      </c>
      <c r="AK328" s="126">
        <f t="shared" ref="AK328:AK391" ca="1" si="214">+_xlfn.IFNA(VLOOKUP(AJ328,$AF$7:$AG$1066,2,0),0)</f>
        <v>0</v>
      </c>
      <c r="AL328" s="126">
        <f t="shared" ref="AL328:AL391" ca="1" si="215">+IF(W328&gt;W327,AK328,AL327+AK328)</f>
        <v>0</v>
      </c>
      <c r="AM328" s="126">
        <f t="shared" ca="1" si="189"/>
        <v>0</v>
      </c>
      <c r="AN328" s="753">
        <f t="shared" ca="1" si="190"/>
        <v>0</v>
      </c>
      <c r="AO328" s="750">
        <f t="shared" ref="AO328:AO391" ca="1" si="216">+AK328-AN328</f>
        <v>0</v>
      </c>
      <c r="AP328" s="126">
        <f t="shared" ref="AP328:AP391" ca="1" si="217">+_xlfn.IFNA(VLOOKUP(AJ328,$AF$7:$AI$1066,3,0),0)</f>
        <v>0</v>
      </c>
      <c r="AQ328" s="126">
        <f t="shared" ref="AQ328:AQ391" ca="1" si="218">+IF(W328&gt;W327,AP328,AQ327+AP328)</f>
        <v>0</v>
      </c>
      <c r="AR328" s="126">
        <f t="shared" ca="1" si="198"/>
        <v>10000</v>
      </c>
      <c r="AS328" s="750">
        <f t="shared" ca="1" si="199"/>
        <v>0</v>
      </c>
      <c r="AT328" s="750">
        <f t="shared" ca="1" si="200"/>
        <v>0</v>
      </c>
      <c r="AU328" s="126">
        <f t="shared" ref="AU328:AU391" ca="1" si="219">+_xlfn.IFNA(VLOOKUP(AJ328,$AF$7:$AI$1066,4,0),0)</f>
        <v>0</v>
      </c>
      <c r="AV328" s="126">
        <f t="shared" ref="AV328:AV391" ca="1" si="220">+IF(W328&gt;W327,AU328,AV327+AU328)</f>
        <v>0</v>
      </c>
      <c r="AW328" s="126">
        <f t="shared" ca="1" si="201"/>
        <v>10000</v>
      </c>
      <c r="AX328" s="750">
        <f t="shared" ref="AX328:AX391" ca="1" si="221">+MAX(IF(AV328&gt;AW328,AW328-AV327,AU328),0)</f>
        <v>0</v>
      </c>
      <c r="AY328" s="750">
        <f t="shared" ref="AY328:AY391" ca="1" si="222">+AU328-AX328</f>
        <v>0</v>
      </c>
      <c r="AZ328">
        <f t="shared" ref="AZ328:AZ391" si="223">+$AM$1+IF($AP$1&gt;$AP$2,$AM$3/2)</f>
        <v>5750</v>
      </c>
    </row>
    <row r="329" spans="4:52">
      <c r="D329">
        <v>322</v>
      </c>
      <c r="E329" s="6">
        <f t="shared" ca="1" si="202"/>
        <v>42979</v>
      </c>
      <c r="F329" s="7">
        <f t="shared" ca="1" si="203"/>
        <v>0</v>
      </c>
      <c r="G329" s="125">
        <f ca="1">IF('Simulador - 1º Pilar'!$E$99="Sí",IF('Aportaciones PPE'!$B$13&lt;'Aportaciones PPE'!E329,0,F329*$B$8/12),F329*$B$8/12)</f>
        <v>0</v>
      </c>
      <c r="H329" s="125">
        <f t="shared" ca="1" si="192"/>
        <v>0</v>
      </c>
      <c r="I329" s="125">
        <f t="shared" ca="1" si="204"/>
        <v>0</v>
      </c>
      <c r="J329" s="125">
        <f t="shared" ca="1" si="205"/>
        <v>0</v>
      </c>
      <c r="K329" s="125">
        <f t="shared" ca="1" si="206"/>
        <v>0</v>
      </c>
      <c r="L329" s="125">
        <f t="shared" ref="L329:L392" ca="1" si="224">(1+$O$5)^(D329/12)*(I329+IF(AND(F329=1,F330=0),0))</f>
        <v>0</v>
      </c>
      <c r="M329" s="125">
        <f t="shared" ca="1" si="207"/>
        <v>0</v>
      </c>
      <c r="N329" s="125">
        <f t="shared" ca="1" si="208"/>
        <v>0</v>
      </c>
      <c r="R329">
        <f t="shared" ref="R329:R392" si="225">D329</f>
        <v>322</v>
      </c>
      <c r="U329" s="55"/>
      <c r="V329">
        <f t="shared" ref="V329:V392" si="226">+IF(V328=11,12,IF(V328=12,1,V328+1))</f>
        <v>11</v>
      </c>
      <c r="W329">
        <f t="shared" ref="W329:W392" ca="1" si="227">+W328+IF(V328=12,1,0)</f>
        <v>2050</v>
      </c>
      <c r="X329" s="123">
        <f t="shared" ca="1" si="209"/>
        <v>55093</v>
      </c>
      <c r="Y329" s="64">
        <f t="shared" ca="1" si="210"/>
        <v>0</v>
      </c>
      <c r="Z329" s="64">
        <f t="shared" ca="1" si="211"/>
        <v>0</v>
      </c>
      <c r="AA329" s="64">
        <f t="shared" ca="1" si="212"/>
        <v>0</v>
      </c>
      <c r="AB329" s="64">
        <f t="shared" ca="1" si="213"/>
        <v>0</v>
      </c>
      <c r="AF329" t="str">
        <f t="shared" ca="1" si="193"/>
        <v>92017</v>
      </c>
      <c r="AG329" s="126">
        <f t="shared" ca="1" si="194"/>
        <v>0</v>
      </c>
      <c r="AH329" s="126">
        <f t="shared" ca="1" si="195"/>
        <v>0</v>
      </c>
      <c r="AI329" s="126">
        <f t="shared" ca="1" si="196"/>
        <v>0</v>
      </c>
      <c r="AJ329" t="str">
        <f t="shared" ca="1" si="197"/>
        <v>112050</v>
      </c>
      <c r="AK329" s="126">
        <f t="shared" ca="1" si="214"/>
        <v>0</v>
      </c>
      <c r="AL329" s="126">
        <f t="shared" ca="1" si="215"/>
        <v>0</v>
      </c>
      <c r="AM329" s="126">
        <f t="shared" ref="AM329:AM392" ca="1" si="228">IF(W329&gt;W328,IF(AL329&gt;=$AZ$8,$AZ$8,AL329),IF(OR(AM328=$AZ$8,AM328=0),0,IF(AL329&gt;=$AZ$8,$AZ$8,AL329)))</f>
        <v>0</v>
      </c>
      <c r="AN329" s="753">
        <f t="shared" ref="AN329:AN392" ca="1" si="229">+IF(OR(AM329&gt;AZ328,AM329=0),0,IF(AM329=AL329,AK329,$AZ$7-AL328))</f>
        <v>0</v>
      </c>
      <c r="AO329" s="750">
        <f t="shared" ca="1" si="216"/>
        <v>0</v>
      </c>
      <c r="AP329" s="126">
        <f t="shared" ca="1" si="217"/>
        <v>0</v>
      </c>
      <c r="AQ329" s="126">
        <f t="shared" ca="1" si="218"/>
        <v>0</v>
      </c>
      <c r="AR329" s="126">
        <f t="shared" ca="1" si="198"/>
        <v>10000</v>
      </c>
      <c r="AS329" s="750">
        <f t="shared" ca="1" si="199"/>
        <v>0</v>
      </c>
      <c r="AT329" s="750">
        <f t="shared" ca="1" si="200"/>
        <v>0</v>
      </c>
      <c r="AU329" s="126">
        <f t="shared" ca="1" si="219"/>
        <v>0</v>
      </c>
      <c r="AV329" s="126">
        <f t="shared" ca="1" si="220"/>
        <v>0</v>
      </c>
      <c r="AW329" s="126">
        <f t="shared" ca="1" si="201"/>
        <v>10000</v>
      </c>
      <c r="AX329" s="750">
        <f t="shared" ca="1" si="221"/>
        <v>0</v>
      </c>
      <c r="AY329" s="750">
        <f t="shared" ca="1" si="222"/>
        <v>0</v>
      </c>
      <c r="AZ329">
        <f t="shared" si="223"/>
        <v>5750</v>
      </c>
    </row>
    <row r="330" spans="4:52">
      <c r="D330">
        <v>323</v>
      </c>
      <c r="E330" s="6">
        <f t="shared" ca="1" si="202"/>
        <v>42948</v>
      </c>
      <c r="F330" s="7">
        <f t="shared" ca="1" si="203"/>
        <v>0</v>
      </c>
      <c r="G330" s="125">
        <f ca="1">IF('Simulador - 1º Pilar'!$E$99="Sí",IF('Aportaciones PPE'!$B$13&lt;'Aportaciones PPE'!E330,0,F330*$B$8/12),F330*$B$8/12)</f>
        <v>0</v>
      </c>
      <c r="H330" s="125">
        <f t="shared" ca="1" si="192"/>
        <v>0</v>
      </c>
      <c r="I330" s="125">
        <f t="shared" ca="1" si="204"/>
        <v>0</v>
      </c>
      <c r="J330" s="125">
        <f t="shared" ca="1" si="205"/>
        <v>0</v>
      </c>
      <c r="K330" s="125">
        <f t="shared" ca="1" si="206"/>
        <v>0</v>
      </c>
      <c r="L330" s="125">
        <f t="shared" ca="1" si="224"/>
        <v>0</v>
      </c>
      <c r="M330" s="125">
        <f t="shared" ca="1" si="207"/>
        <v>0</v>
      </c>
      <c r="N330" s="125">
        <f t="shared" ca="1" si="208"/>
        <v>0</v>
      </c>
      <c r="R330">
        <f t="shared" si="225"/>
        <v>323</v>
      </c>
      <c r="U330" s="55"/>
      <c r="V330">
        <f t="shared" si="226"/>
        <v>12</v>
      </c>
      <c r="W330">
        <f t="shared" ca="1" si="227"/>
        <v>2050</v>
      </c>
      <c r="X330" s="123">
        <f t="shared" ca="1" si="209"/>
        <v>55123</v>
      </c>
      <c r="Y330" s="64">
        <f t="shared" ca="1" si="210"/>
        <v>0</v>
      </c>
      <c r="Z330" s="64">
        <f t="shared" ca="1" si="211"/>
        <v>0</v>
      </c>
      <c r="AA330" s="64">
        <f t="shared" ca="1" si="212"/>
        <v>0</v>
      </c>
      <c r="AB330" s="64">
        <f t="shared" ca="1" si="213"/>
        <v>0</v>
      </c>
      <c r="AF330" t="str">
        <f t="shared" ca="1" si="193"/>
        <v>82017</v>
      </c>
      <c r="AG330" s="126">
        <f t="shared" ca="1" si="194"/>
        <v>0</v>
      </c>
      <c r="AH330" s="126">
        <f t="shared" ca="1" si="195"/>
        <v>0</v>
      </c>
      <c r="AI330" s="126">
        <f t="shared" ca="1" si="196"/>
        <v>0</v>
      </c>
      <c r="AJ330" t="str">
        <f t="shared" ca="1" si="197"/>
        <v>122050</v>
      </c>
      <c r="AK330" s="126">
        <f t="shared" ca="1" si="214"/>
        <v>0</v>
      </c>
      <c r="AL330" s="126">
        <f t="shared" ca="1" si="215"/>
        <v>0</v>
      </c>
      <c r="AM330" s="126">
        <f t="shared" ca="1" si="228"/>
        <v>0</v>
      </c>
      <c r="AN330" s="753">
        <f t="shared" ca="1" si="229"/>
        <v>0</v>
      </c>
      <c r="AO330" s="750">
        <f t="shared" ca="1" si="216"/>
        <v>0</v>
      </c>
      <c r="AP330" s="126">
        <f t="shared" ca="1" si="217"/>
        <v>0</v>
      </c>
      <c r="AQ330" s="126">
        <f t="shared" ca="1" si="218"/>
        <v>0</v>
      </c>
      <c r="AR330" s="126">
        <f t="shared" ca="1" si="198"/>
        <v>10000</v>
      </c>
      <c r="AS330" s="750">
        <f t="shared" ca="1" si="199"/>
        <v>0</v>
      </c>
      <c r="AT330" s="750">
        <f t="shared" ca="1" si="200"/>
        <v>0</v>
      </c>
      <c r="AU330" s="126">
        <f t="shared" ca="1" si="219"/>
        <v>0</v>
      </c>
      <c r="AV330" s="126">
        <f t="shared" ca="1" si="220"/>
        <v>0</v>
      </c>
      <c r="AW330" s="126">
        <f t="shared" ca="1" si="201"/>
        <v>10000</v>
      </c>
      <c r="AX330" s="750">
        <f t="shared" ca="1" si="221"/>
        <v>0</v>
      </c>
      <c r="AY330" s="750">
        <f t="shared" ca="1" si="222"/>
        <v>0</v>
      </c>
      <c r="AZ330">
        <f t="shared" si="223"/>
        <v>5750</v>
      </c>
    </row>
    <row r="331" spans="4:52">
      <c r="D331">
        <v>324</v>
      </c>
      <c r="E331" s="6">
        <f t="shared" ca="1" si="202"/>
        <v>42917</v>
      </c>
      <c r="F331" s="7">
        <f t="shared" ca="1" si="203"/>
        <v>0</v>
      </c>
      <c r="G331" s="125">
        <f ca="1">IF('Simulador - 1º Pilar'!$E$99="Sí",IF('Aportaciones PPE'!$B$13&lt;'Aportaciones PPE'!E331,0,F331*$B$8/12),F331*$B$8/12)</f>
        <v>0</v>
      </c>
      <c r="H331" s="125">
        <f t="shared" ca="1" si="192"/>
        <v>0</v>
      </c>
      <c r="I331" s="125">
        <f t="shared" ca="1" si="204"/>
        <v>0</v>
      </c>
      <c r="J331" s="125">
        <f t="shared" ca="1" si="205"/>
        <v>0</v>
      </c>
      <c r="K331" s="125">
        <f t="shared" ca="1" si="206"/>
        <v>0</v>
      </c>
      <c r="L331" s="125">
        <f t="shared" ca="1" si="224"/>
        <v>0</v>
      </c>
      <c r="M331" s="125">
        <f t="shared" ca="1" si="207"/>
        <v>0</v>
      </c>
      <c r="N331" s="125">
        <f t="shared" ca="1" si="208"/>
        <v>0</v>
      </c>
      <c r="R331">
        <f t="shared" si="225"/>
        <v>324</v>
      </c>
      <c r="U331" s="55"/>
      <c r="V331">
        <f t="shared" si="226"/>
        <v>1</v>
      </c>
      <c r="W331">
        <f t="shared" ca="1" si="227"/>
        <v>2051</v>
      </c>
      <c r="X331" s="123">
        <f t="shared" ca="1" si="209"/>
        <v>55154</v>
      </c>
      <c r="Y331" s="64">
        <f t="shared" ca="1" si="210"/>
        <v>0</v>
      </c>
      <c r="Z331" s="64">
        <f t="shared" ca="1" si="211"/>
        <v>0</v>
      </c>
      <c r="AA331" s="64">
        <f t="shared" ca="1" si="212"/>
        <v>0</v>
      </c>
      <c r="AB331" s="64">
        <f t="shared" ca="1" si="213"/>
        <v>0</v>
      </c>
      <c r="AF331" t="str">
        <f t="shared" ca="1" si="193"/>
        <v>72017</v>
      </c>
      <c r="AG331" s="126">
        <f t="shared" ca="1" si="194"/>
        <v>0</v>
      </c>
      <c r="AH331" s="126">
        <f t="shared" ca="1" si="195"/>
        <v>0</v>
      </c>
      <c r="AI331" s="126">
        <f t="shared" ca="1" si="196"/>
        <v>0</v>
      </c>
      <c r="AJ331" t="str">
        <f t="shared" ca="1" si="197"/>
        <v>12051</v>
      </c>
      <c r="AK331" s="126">
        <f t="shared" ca="1" si="214"/>
        <v>0</v>
      </c>
      <c r="AL331" s="126">
        <f t="shared" ca="1" si="215"/>
        <v>0</v>
      </c>
      <c r="AM331" s="126">
        <f t="shared" ca="1" si="228"/>
        <v>0</v>
      </c>
      <c r="AN331" s="753">
        <f t="shared" ca="1" si="229"/>
        <v>0</v>
      </c>
      <c r="AO331" s="750">
        <f t="shared" ca="1" si="216"/>
        <v>0</v>
      </c>
      <c r="AP331" s="126">
        <f t="shared" ca="1" si="217"/>
        <v>0</v>
      </c>
      <c r="AQ331" s="126">
        <f t="shared" ca="1" si="218"/>
        <v>0</v>
      </c>
      <c r="AR331" s="126">
        <f t="shared" ca="1" si="198"/>
        <v>10000</v>
      </c>
      <c r="AS331" s="750">
        <f t="shared" ca="1" si="199"/>
        <v>0</v>
      </c>
      <c r="AT331" s="750">
        <f t="shared" ca="1" si="200"/>
        <v>0</v>
      </c>
      <c r="AU331" s="126">
        <f t="shared" ca="1" si="219"/>
        <v>0</v>
      </c>
      <c r="AV331" s="126">
        <f t="shared" ca="1" si="220"/>
        <v>0</v>
      </c>
      <c r="AW331" s="126">
        <f t="shared" ca="1" si="201"/>
        <v>10000</v>
      </c>
      <c r="AX331" s="750">
        <f t="shared" ca="1" si="221"/>
        <v>0</v>
      </c>
      <c r="AY331" s="750">
        <f t="shared" ca="1" si="222"/>
        <v>0</v>
      </c>
      <c r="AZ331">
        <f t="shared" si="223"/>
        <v>5750</v>
      </c>
    </row>
    <row r="332" spans="4:52">
      <c r="D332">
        <v>325</v>
      </c>
      <c r="E332" s="6">
        <f t="shared" ca="1" si="202"/>
        <v>42887</v>
      </c>
      <c r="F332" s="7">
        <f t="shared" ca="1" si="203"/>
        <v>0</v>
      </c>
      <c r="G332" s="125">
        <f ca="1">IF('Simulador - 1º Pilar'!$E$99="Sí",IF('Aportaciones PPE'!$B$13&lt;'Aportaciones PPE'!E332,0,F332*$B$8/12),F332*$B$8/12)</f>
        <v>0</v>
      </c>
      <c r="H332" s="125">
        <f t="shared" ca="1" si="192"/>
        <v>0</v>
      </c>
      <c r="I332" s="125">
        <f t="shared" ca="1" si="204"/>
        <v>0</v>
      </c>
      <c r="J332" s="125">
        <f t="shared" ca="1" si="205"/>
        <v>0</v>
      </c>
      <c r="K332" s="125">
        <f t="shared" ca="1" si="206"/>
        <v>0</v>
      </c>
      <c r="L332" s="125">
        <f t="shared" ca="1" si="224"/>
        <v>0</v>
      </c>
      <c r="M332" s="125">
        <f t="shared" ca="1" si="207"/>
        <v>0</v>
      </c>
      <c r="N332" s="125">
        <f t="shared" ca="1" si="208"/>
        <v>0</v>
      </c>
      <c r="R332">
        <f t="shared" si="225"/>
        <v>325</v>
      </c>
      <c r="U332" s="55"/>
      <c r="V332">
        <f t="shared" si="226"/>
        <v>2</v>
      </c>
      <c r="W332">
        <f t="shared" ca="1" si="227"/>
        <v>2051</v>
      </c>
      <c r="X332" s="123">
        <f t="shared" ca="1" si="209"/>
        <v>55185</v>
      </c>
      <c r="Y332" s="64">
        <f t="shared" ca="1" si="210"/>
        <v>0</v>
      </c>
      <c r="Z332" s="64">
        <f t="shared" ca="1" si="211"/>
        <v>0</v>
      </c>
      <c r="AA332" s="64">
        <f t="shared" ca="1" si="212"/>
        <v>0</v>
      </c>
      <c r="AB332" s="64">
        <f t="shared" ca="1" si="213"/>
        <v>0</v>
      </c>
      <c r="AF332" t="str">
        <f t="shared" ca="1" si="193"/>
        <v>62017</v>
      </c>
      <c r="AG332" s="126">
        <f t="shared" ca="1" si="194"/>
        <v>0</v>
      </c>
      <c r="AH332" s="126">
        <f t="shared" ca="1" si="195"/>
        <v>0</v>
      </c>
      <c r="AI332" s="126">
        <f t="shared" ca="1" si="196"/>
        <v>0</v>
      </c>
      <c r="AJ332" t="str">
        <f t="shared" ca="1" si="197"/>
        <v>22051</v>
      </c>
      <c r="AK332" s="126">
        <f t="shared" ca="1" si="214"/>
        <v>0</v>
      </c>
      <c r="AL332" s="126">
        <f t="shared" ca="1" si="215"/>
        <v>0</v>
      </c>
      <c r="AM332" s="126">
        <f t="shared" ca="1" si="228"/>
        <v>0</v>
      </c>
      <c r="AN332" s="753">
        <f t="shared" ca="1" si="229"/>
        <v>0</v>
      </c>
      <c r="AO332" s="750">
        <f t="shared" ca="1" si="216"/>
        <v>0</v>
      </c>
      <c r="AP332" s="126">
        <f t="shared" ca="1" si="217"/>
        <v>0</v>
      </c>
      <c r="AQ332" s="126">
        <f t="shared" ca="1" si="218"/>
        <v>0</v>
      </c>
      <c r="AR332" s="126">
        <f t="shared" ca="1" si="198"/>
        <v>10000</v>
      </c>
      <c r="AS332" s="750">
        <f t="shared" ca="1" si="199"/>
        <v>0</v>
      </c>
      <c r="AT332" s="750">
        <f t="shared" ca="1" si="200"/>
        <v>0</v>
      </c>
      <c r="AU332" s="126">
        <f t="shared" ca="1" si="219"/>
        <v>0</v>
      </c>
      <c r="AV332" s="126">
        <f t="shared" ca="1" si="220"/>
        <v>0</v>
      </c>
      <c r="AW332" s="126">
        <f t="shared" ca="1" si="201"/>
        <v>10000</v>
      </c>
      <c r="AX332" s="750">
        <f t="shared" ca="1" si="221"/>
        <v>0</v>
      </c>
      <c r="AY332" s="750">
        <f t="shared" ca="1" si="222"/>
        <v>0</v>
      </c>
      <c r="AZ332">
        <f t="shared" si="223"/>
        <v>5750</v>
      </c>
    </row>
    <row r="333" spans="4:52">
      <c r="D333">
        <v>326</v>
      </c>
      <c r="E333" s="6">
        <f t="shared" ca="1" si="202"/>
        <v>42856</v>
      </c>
      <c r="F333" s="7">
        <f t="shared" ca="1" si="203"/>
        <v>0</v>
      </c>
      <c r="G333" s="125">
        <f ca="1">IF('Simulador - 1º Pilar'!$E$99="Sí",IF('Aportaciones PPE'!$B$13&lt;'Aportaciones PPE'!E333,0,F333*$B$8/12),F333*$B$8/12)</f>
        <v>0</v>
      </c>
      <c r="H333" s="125">
        <f t="shared" ca="1" si="192"/>
        <v>0</v>
      </c>
      <c r="I333" s="125">
        <f t="shared" ca="1" si="204"/>
        <v>0</v>
      </c>
      <c r="J333" s="125">
        <f t="shared" ca="1" si="205"/>
        <v>0</v>
      </c>
      <c r="K333" s="125">
        <f t="shared" ca="1" si="206"/>
        <v>0</v>
      </c>
      <c r="L333" s="125">
        <f t="shared" ca="1" si="224"/>
        <v>0</v>
      </c>
      <c r="M333" s="125">
        <f t="shared" ca="1" si="207"/>
        <v>0</v>
      </c>
      <c r="N333" s="125">
        <f t="shared" ca="1" si="208"/>
        <v>0</v>
      </c>
      <c r="R333">
        <f t="shared" si="225"/>
        <v>326</v>
      </c>
      <c r="U333" s="55"/>
      <c r="V333">
        <f t="shared" si="226"/>
        <v>3</v>
      </c>
      <c r="W333">
        <f t="shared" ca="1" si="227"/>
        <v>2051</v>
      </c>
      <c r="X333" s="123">
        <f t="shared" ca="1" si="209"/>
        <v>55213</v>
      </c>
      <c r="Y333" s="64">
        <f t="shared" ca="1" si="210"/>
        <v>0</v>
      </c>
      <c r="Z333" s="64">
        <f t="shared" ca="1" si="211"/>
        <v>0</v>
      </c>
      <c r="AA333" s="64">
        <f t="shared" ca="1" si="212"/>
        <v>0</v>
      </c>
      <c r="AB333" s="64">
        <f t="shared" ca="1" si="213"/>
        <v>0</v>
      </c>
      <c r="AF333" t="str">
        <f t="shared" ca="1" si="193"/>
        <v>52017</v>
      </c>
      <c r="AG333" s="126">
        <f t="shared" ca="1" si="194"/>
        <v>0</v>
      </c>
      <c r="AH333" s="126">
        <f t="shared" ca="1" si="195"/>
        <v>0</v>
      </c>
      <c r="AI333" s="126">
        <f t="shared" ca="1" si="196"/>
        <v>0</v>
      </c>
      <c r="AJ333" t="str">
        <f t="shared" ca="1" si="197"/>
        <v>32051</v>
      </c>
      <c r="AK333" s="126">
        <f t="shared" ca="1" si="214"/>
        <v>0</v>
      </c>
      <c r="AL333" s="126">
        <f t="shared" ca="1" si="215"/>
        <v>0</v>
      </c>
      <c r="AM333" s="126">
        <f t="shared" ca="1" si="228"/>
        <v>0</v>
      </c>
      <c r="AN333" s="753">
        <f t="shared" ca="1" si="229"/>
        <v>0</v>
      </c>
      <c r="AO333" s="750">
        <f t="shared" ca="1" si="216"/>
        <v>0</v>
      </c>
      <c r="AP333" s="126">
        <f t="shared" ca="1" si="217"/>
        <v>0</v>
      </c>
      <c r="AQ333" s="126">
        <f t="shared" ca="1" si="218"/>
        <v>0</v>
      </c>
      <c r="AR333" s="126">
        <f t="shared" ca="1" si="198"/>
        <v>10000</v>
      </c>
      <c r="AS333" s="750">
        <f t="shared" ca="1" si="199"/>
        <v>0</v>
      </c>
      <c r="AT333" s="750">
        <f t="shared" ca="1" si="200"/>
        <v>0</v>
      </c>
      <c r="AU333" s="126">
        <f t="shared" ca="1" si="219"/>
        <v>0</v>
      </c>
      <c r="AV333" s="126">
        <f t="shared" ca="1" si="220"/>
        <v>0</v>
      </c>
      <c r="AW333" s="126">
        <f t="shared" ca="1" si="201"/>
        <v>10000</v>
      </c>
      <c r="AX333" s="750">
        <f t="shared" ca="1" si="221"/>
        <v>0</v>
      </c>
      <c r="AY333" s="750">
        <f t="shared" ca="1" si="222"/>
        <v>0</v>
      </c>
      <c r="AZ333">
        <f t="shared" si="223"/>
        <v>5750</v>
      </c>
    </row>
    <row r="334" spans="4:52">
      <c r="D334">
        <v>327</v>
      </c>
      <c r="E334" s="6">
        <f t="shared" ca="1" si="202"/>
        <v>42826</v>
      </c>
      <c r="F334" s="7">
        <f t="shared" ca="1" si="203"/>
        <v>0</v>
      </c>
      <c r="G334" s="125">
        <f ca="1">IF('Simulador - 1º Pilar'!$E$99="Sí",IF('Aportaciones PPE'!$B$13&lt;'Aportaciones PPE'!E334,0,F334*$B$8/12),F334*$B$8/12)</f>
        <v>0</v>
      </c>
      <c r="H334" s="125">
        <f t="shared" ca="1" si="192"/>
        <v>0</v>
      </c>
      <c r="I334" s="125">
        <f t="shared" ca="1" si="204"/>
        <v>0</v>
      </c>
      <c r="J334" s="125">
        <f t="shared" ca="1" si="205"/>
        <v>0</v>
      </c>
      <c r="K334" s="125">
        <f t="shared" ca="1" si="206"/>
        <v>0</v>
      </c>
      <c r="L334" s="125">
        <f t="shared" ca="1" si="224"/>
        <v>0</v>
      </c>
      <c r="M334" s="125">
        <f t="shared" ca="1" si="207"/>
        <v>0</v>
      </c>
      <c r="N334" s="125">
        <f t="shared" ca="1" si="208"/>
        <v>0</v>
      </c>
      <c r="R334">
        <f t="shared" si="225"/>
        <v>327</v>
      </c>
      <c r="U334" s="55"/>
      <c r="V334">
        <f t="shared" si="226"/>
        <v>4</v>
      </c>
      <c r="W334">
        <f t="shared" ca="1" si="227"/>
        <v>2051</v>
      </c>
      <c r="X334" s="123">
        <f t="shared" ca="1" si="209"/>
        <v>55244</v>
      </c>
      <c r="Y334" s="64">
        <f t="shared" ca="1" si="210"/>
        <v>0</v>
      </c>
      <c r="Z334" s="64">
        <f t="shared" ca="1" si="211"/>
        <v>0</v>
      </c>
      <c r="AA334" s="64">
        <f t="shared" ca="1" si="212"/>
        <v>0</v>
      </c>
      <c r="AB334" s="64">
        <f t="shared" ca="1" si="213"/>
        <v>0</v>
      </c>
      <c r="AF334" t="str">
        <f t="shared" ca="1" si="193"/>
        <v>42017</v>
      </c>
      <c r="AG334" s="126">
        <f t="shared" ca="1" si="194"/>
        <v>0</v>
      </c>
      <c r="AH334" s="126">
        <f t="shared" ca="1" si="195"/>
        <v>0</v>
      </c>
      <c r="AI334" s="126">
        <f t="shared" ca="1" si="196"/>
        <v>0</v>
      </c>
      <c r="AJ334" t="str">
        <f t="shared" ca="1" si="197"/>
        <v>42051</v>
      </c>
      <c r="AK334" s="126">
        <f t="shared" ca="1" si="214"/>
        <v>0</v>
      </c>
      <c r="AL334" s="126">
        <f t="shared" ca="1" si="215"/>
        <v>0</v>
      </c>
      <c r="AM334" s="126">
        <f t="shared" ca="1" si="228"/>
        <v>0</v>
      </c>
      <c r="AN334" s="753">
        <f t="shared" ca="1" si="229"/>
        <v>0</v>
      </c>
      <c r="AO334" s="750">
        <f t="shared" ca="1" si="216"/>
        <v>0</v>
      </c>
      <c r="AP334" s="126">
        <f t="shared" ca="1" si="217"/>
        <v>0</v>
      </c>
      <c r="AQ334" s="126">
        <f t="shared" ca="1" si="218"/>
        <v>0</v>
      </c>
      <c r="AR334" s="126">
        <f t="shared" ca="1" si="198"/>
        <v>10000</v>
      </c>
      <c r="AS334" s="750">
        <f t="shared" ca="1" si="199"/>
        <v>0</v>
      </c>
      <c r="AT334" s="750">
        <f t="shared" ca="1" si="200"/>
        <v>0</v>
      </c>
      <c r="AU334" s="126">
        <f t="shared" ca="1" si="219"/>
        <v>0</v>
      </c>
      <c r="AV334" s="126">
        <f t="shared" ca="1" si="220"/>
        <v>0</v>
      </c>
      <c r="AW334" s="126">
        <f t="shared" ca="1" si="201"/>
        <v>10000</v>
      </c>
      <c r="AX334" s="750">
        <f t="shared" ca="1" si="221"/>
        <v>0</v>
      </c>
      <c r="AY334" s="750">
        <f t="shared" ca="1" si="222"/>
        <v>0</v>
      </c>
      <c r="AZ334">
        <f t="shared" si="223"/>
        <v>5750</v>
      </c>
    </row>
    <row r="335" spans="4:52">
      <c r="D335">
        <v>328</v>
      </c>
      <c r="E335" s="6">
        <f t="shared" ca="1" si="202"/>
        <v>42795</v>
      </c>
      <c r="F335" s="7">
        <f t="shared" ca="1" si="203"/>
        <v>0</v>
      </c>
      <c r="G335" s="125">
        <f ca="1">IF('Simulador - 1º Pilar'!$E$99="Sí",IF('Aportaciones PPE'!$B$13&lt;'Aportaciones PPE'!E335,0,F335*$B$8/12),F335*$B$8/12)</f>
        <v>0</v>
      </c>
      <c r="H335" s="125">
        <f t="shared" ca="1" si="192"/>
        <v>0</v>
      </c>
      <c r="I335" s="125">
        <f t="shared" ca="1" si="204"/>
        <v>0</v>
      </c>
      <c r="J335" s="125">
        <f t="shared" ca="1" si="205"/>
        <v>0</v>
      </c>
      <c r="K335" s="125">
        <f t="shared" ca="1" si="206"/>
        <v>0</v>
      </c>
      <c r="L335" s="125">
        <f t="shared" ca="1" si="224"/>
        <v>0</v>
      </c>
      <c r="M335" s="125">
        <f t="shared" ca="1" si="207"/>
        <v>0</v>
      </c>
      <c r="N335" s="125">
        <f t="shared" ca="1" si="208"/>
        <v>0</v>
      </c>
      <c r="R335">
        <f t="shared" si="225"/>
        <v>328</v>
      </c>
      <c r="U335" s="55"/>
      <c r="V335">
        <f t="shared" si="226"/>
        <v>5</v>
      </c>
      <c r="W335">
        <f t="shared" ca="1" si="227"/>
        <v>2051</v>
      </c>
      <c r="X335" s="123">
        <f t="shared" ca="1" si="209"/>
        <v>55274</v>
      </c>
      <c r="Y335" s="64">
        <f t="shared" ca="1" si="210"/>
        <v>0</v>
      </c>
      <c r="Z335" s="64">
        <f t="shared" ca="1" si="211"/>
        <v>0</v>
      </c>
      <c r="AA335" s="64">
        <f t="shared" ca="1" si="212"/>
        <v>0</v>
      </c>
      <c r="AB335" s="64">
        <f t="shared" ca="1" si="213"/>
        <v>0</v>
      </c>
      <c r="AF335" t="str">
        <f t="shared" ca="1" si="193"/>
        <v>32017</v>
      </c>
      <c r="AG335" s="126">
        <f t="shared" ca="1" si="194"/>
        <v>0</v>
      </c>
      <c r="AH335" s="126">
        <f t="shared" ca="1" si="195"/>
        <v>0</v>
      </c>
      <c r="AI335" s="126">
        <f t="shared" ca="1" si="196"/>
        <v>0</v>
      </c>
      <c r="AJ335" t="str">
        <f t="shared" ca="1" si="197"/>
        <v>52051</v>
      </c>
      <c r="AK335" s="126">
        <f t="shared" ca="1" si="214"/>
        <v>0</v>
      </c>
      <c r="AL335" s="126">
        <f t="shared" ca="1" si="215"/>
        <v>0</v>
      </c>
      <c r="AM335" s="126">
        <f t="shared" ca="1" si="228"/>
        <v>0</v>
      </c>
      <c r="AN335" s="753">
        <f t="shared" ca="1" si="229"/>
        <v>0</v>
      </c>
      <c r="AO335" s="750">
        <f t="shared" ca="1" si="216"/>
        <v>0</v>
      </c>
      <c r="AP335" s="126">
        <f t="shared" ca="1" si="217"/>
        <v>0</v>
      </c>
      <c r="AQ335" s="126">
        <f t="shared" ca="1" si="218"/>
        <v>0</v>
      </c>
      <c r="AR335" s="126">
        <f t="shared" ca="1" si="198"/>
        <v>10000</v>
      </c>
      <c r="AS335" s="750">
        <f t="shared" ca="1" si="199"/>
        <v>0</v>
      </c>
      <c r="AT335" s="750">
        <f t="shared" ca="1" si="200"/>
        <v>0</v>
      </c>
      <c r="AU335" s="126">
        <f t="shared" ca="1" si="219"/>
        <v>0</v>
      </c>
      <c r="AV335" s="126">
        <f t="shared" ca="1" si="220"/>
        <v>0</v>
      </c>
      <c r="AW335" s="126">
        <f t="shared" ca="1" si="201"/>
        <v>10000</v>
      </c>
      <c r="AX335" s="750">
        <f t="shared" ca="1" si="221"/>
        <v>0</v>
      </c>
      <c r="AY335" s="750">
        <f t="shared" ca="1" si="222"/>
        <v>0</v>
      </c>
      <c r="AZ335">
        <f t="shared" si="223"/>
        <v>5750</v>
      </c>
    </row>
    <row r="336" spans="4:52">
      <c r="D336">
        <v>329</v>
      </c>
      <c r="E336" s="6">
        <f t="shared" ca="1" si="202"/>
        <v>42767</v>
      </c>
      <c r="F336" s="7">
        <f t="shared" ca="1" si="203"/>
        <v>0</v>
      </c>
      <c r="G336" s="125">
        <f ca="1">IF('Simulador - 1º Pilar'!$E$99="Sí",IF('Aportaciones PPE'!$B$13&lt;'Aportaciones PPE'!E336,0,F336*$B$8/12),F336*$B$8/12)</f>
        <v>0</v>
      </c>
      <c r="H336" s="125">
        <f t="shared" ca="1" si="192"/>
        <v>0</v>
      </c>
      <c r="I336" s="125">
        <f t="shared" ca="1" si="204"/>
        <v>0</v>
      </c>
      <c r="J336" s="125">
        <f t="shared" ca="1" si="205"/>
        <v>0</v>
      </c>
      <c r="K336" s="125">
        <f t="shared" ca="1" si="206"/>
        <v>0</v>
      </c>
      <c r="L336" s="125">
        <f t="shared" ca="1" si="224"/>
        <v>0</v>
      </c>
      <c r="M336" s="125">
        <f t="shared" ca="1" si="207"/>
        <v>0</v>
      </c>
      <c r="N336" s="125">
        <f t="shared" ca="1" si="208"/>
        <v>0</v>
      </c>
      <c r="R336">
        <f t="shared" si="225"/>
        <v>329</v>
      </c>
      <c r="U336" s="55"/>
      <c r="V336">
        <f t="shared" si="226"/>
        <v>6</v>
      </c>
      <c r="W336">
        <f t="shared" ca="1" si="227"/>
        <v>2051</v>
      </c>
      <c r="X336" s="123">
        <f t="shared" ca="1" si="209"/>
        <v>55305</v>
      </c>
      <c r="Y336" s="64">
        <f t="shared" ca="1" si="210"/>
        <v>0</v>
      </c>
      <c r="Z336" s="64">
        <f t="shared" ca="1" si="211"/>
        <v>0</v>
      </c>
      <c r="AA336" s="64">
        <f t="shared" ca="1" si="212"/>
        <v>0</v>
      </c>
      <c r="AB336" s="64">
        <f t="shared" ca="1" si="213"/>
        <v>0</v>
      </c>
      <c r="AF336" t="str">
        <f t="shared" ca="1" si="193"/>
        <v>22017</v>
      </c>
      <c r="AG336" s="126">
        <f t="shared" ca="1" si="194"/>
        <v>0</v>
      </c>
      <c r="AH336" s="126">
        <f t="shared" ca="1" si="195"/>
        <v>0</v>
      </c>
      <c r="AI336" s="126">
        <f t="shared" ca="1" si="196"/>
        <v>0</v>
      </c>
      <c r="AJ336" t="str">
        <f t="shared" ca="1" si="197"/>
        <v>62051</v>
      </c>
      <c r="AK336" s="126">
        <f t="shared" ca="1" si="214"/>
        <v>0</v>
      </c>
      <c r="AL336" s="126">
        <f t="shared" ca="1" si="215"/>
        <v>0</v>
      </c>
      <c r="AM336" s="126">
        <f t="shared" ca="1" si="228"/>
        <v>0</v>
      </c>
      <c r="AN336" s="753">
        <f t="shared" ca="1" si="229"/>
        <v>0</v>
      </c>
      <c r="AO336" s="750">
        <f t="shared" ca="1" si="216"/>
        <v>0</v>
      </c>
      <c r="AP336" s="126">
        <f t="shared" ca="1" si="217"/>
        <v>0</v>
      </c>
      <c r="AQ336" s="126">
        <f t="shared" ca="1" si="218"/>
        <v>0</v>
      </c>
      <c r="AR336" s="126">
        <f t="shared" ca="1" si="198"/>
        <v>10000</v>
      </c>
      <c r="AS336" s="750">
        <f t="shared" ca="1" si="199"/>
        <v>0</v>
      </c>
      <c r="AT336" s="750">
        <f t="shared" ca="1" si="200"/>
        <v>0</v>
      </c>
      <c r="AU336" s="126">
        <f t="shared" ca="1" si="219"/>
        <v>0</v>
      </c>
      <c r="AV336" s="126">
        <f t="shared" ca="1" si="220"/>
        <v>0</v>
      </c>
      <c r="AW336" s="126">
        <f t="shared" ca="1" si="201"/>
        <v>10000</v>
      </c>
      <c r="AX336" s="750">
        <f t="shared" ca="1" si="221"/>
        <v>0</v>
      </c>
      <c r="AY336" s="750">
        <f t="shared" ca="1" si="222"/>
        <v>0</v>
      </c>
      <c r="AZ336">
        <f t="shared" si="223"/>
        <v>5750</v>
      </c>
    </row>
    <row r="337" spans="4:52">
      <c r="D337">
        <v>330</v>
      </c>
      <c r="E337" s="6">
        <f t="shared" ca="1" si="202"/>
        <v>42736</v>
      </c>
      <c r="F337" s="7">
        <f t="shared" ca="1" si="203"/>
        <v>0</v>
      </c>
      <c r="G337" s="125">
        <f ca="1">IF('Simulador - 1º Pilar'!$E$99="Sí",IF('Aportaciones PPE'!$B$13&lt;'Aportaciones PPE'!E337,0,F337*$B$8/12),F337*$B$8/12)</f>
        <v>0</v>
      </c>
      <c r="H337" s="125">
        <f t="shared" ca="1" si="192"/>
        <v>0</v>
      </c>
      <c r="I337" s="125">
        <f t="shared" ca="1" si="204"/>
        <v>0</v>
      </c>
      <c r="J337" s="125">
        <f t="shared" ca="1" si="205"/>
        <v>0</v>
      </c>
      <c r="K337" s="125">
        <f t="shared" ca="1" si="206"/>
        <v>0</v>
      </c>
      <c r="L337" s="125">
        <f t="shared" ca="1" si="224"/>
        <v>0</v>
      </c>
      <c r="M337" s="125">
        <f t="shared" ca="1" si="207"/>
        <v>0</v>
      </c>
      <c r="N337" s="125">
        <f t="shared" ca="1" si="208"/>
        <v>0</v>
      </c>
      <c r="R337">
        <f t="shared" si="225"/>
        <v>330</v>
      </c>
      <c r="U337" s="55"/>
      <c r="V337">
        <f t="shared" si="226"/>
        <v>7</v>
      </c>
      <c r="W337">
        <f t="shared" ca="1" si="227"/>
        <v>2051</v>
      </c>
      <c r="X337" s="123">
        <f t="shared" ca="1" si="209"/>
        <v>55335</v>
      </c>
      <c r="Y337" s="64">
        <f t="shared" ca="1" si="210"/>
        <v>0</v>
      </c>
      <c r="Z337" s="64">
        <f t="shared" ca="1" si="211"/>
        <v>0</v>
      </c>
      <c r="AA337" s="64">
        <f t="shared" ca="1" si="212"/>
        <v>0</v>
      </c>
      <c r="AB337" s="64">
        <f t="shared" ca="1" si="213"/>
        <v>0</v>
      </c>
      <c r="AF337" t="str">
        <f t="shared" ca="1" si="193"/>
        <v>12017</v>
      </c>
      <c r="AG337" s="126">
        <f t="shared" ca="1" si="194"/>
        <v>0</v>
      </c>
      <c r="AH337" s="126">
        <f t="shared" ca="1" si="195"/>
        <v>0</v>
      </c>
      <c r="AI337" s="126">
        <f t="shared" ca="1" si="196"/>
        <v>0</v>
      </c>
      <c r="AJ337" t="str">
        <f t="shared" ca="1" si="197"/>
        <v>72051</v>
      </c>
      <c r="AK337" s="126">
        <f t="shared" ca="1" si="214"/>
        <v>0</v>
      </c>
      <c r="AL337" s="126">
        <f t="shared" ca="1" si="215"/>
        <v>0</v>
      </c>
      <c r="AM337" s="126">
        <f t="shared" ca="1" si="228"/>
        <v>0</v>
      </c>
      <c r="AN337" s="753">
        <f t="shared" ca="1" si="229"/>
        <v>0</v>
      </c>
      <c r="AO337" s="750">
        <f t="shared" ca="1" si="216"/>
        <v>0</v>
      </c>
      <c r="AP337" s="126">
        <f t="shared" ca="1" si="217"/>
        <v>0</v>
      </c>
      <c r="AQ337" s="126">
        <f t="shared" ca="1" si="218"/>
        <v>0</v>
      </c>
      <c r="AR337" s="126">
        <f t="shared" ca="1" si="198"/>
        <v>10000</v>
      </c>
      <c r="AS337" s="750">
        <f t="shared" ca="1" si="199"/>
        <v>0</v>
      </c>
      <c r="AT337" s="750">
        <f t="shared" ca="1" si="200"/>
        <v>0</v>
      </c>
      <c r="AU337" s="126">
        <f t="shared" ca="1" si="219"/>
        <v>0</v>
      </c>
      <c r="AV337" s="126">
        <f t="shared" ca="1" si="220"/>
        <v>0</v>
      </c>
      <c r="AW337" s="126">
        <f t="shared" ca="1" si="201"/>
        <v>10000</v>
      </c>
      <c r="AX337" s="750">
        <f t="shared" ca="1" si="221"/>
        <v>0</v>
      </c>
      <c r="AY337" s="750">
        <f t="shared" ca="1" si="222"/>
        <v>0</v>
      </c>
      <c r="AZ337">
        <f t="shared" si="223"/>
        <v>5750</v>
      </c>
    </row>
    <row r="338" spans="4:52">
      <c r="D338">
        <v>331</v>
      </c>
      <c r="E338" s="6">
        <f t="shared" ca="1" si="202"/>
        <v>42705</v>
      </c>
      <c r="F338" s="7">
        <f t="shared" ca="1" si="203"/>
        <v>0</v>
      </c>
      <c r="G338" s="125">
        <f ca="1">IF('Simulador - 1º Pilar'!$E$99="Sí",IF('Aportaciones PPE'!$B$13&lt;'Aportaciones PPE'!E338,0,F338*$B$8/12),F338*$B$8/12)</f>
        <v>0</v>
      </c>
      <c r="H338" s="125">
        <f t="shared" ca="1" si="192"/>
        <v>0</v>
      </c>
      <c r="I338" s="125">
        <f t="shared" ca="1" si="204"/>
        <v>0</v>
      </c>
      <c r="J338" s="125">
        <f t="shared" ca="1" si="205"/>
        <v>0</v>
      </c>
      <c r="K338" s="125">
        <f t="shared" ca="1" si="206"/>
        <v>0</v>
      </c>
      <c r="L338" s="125">
        <f t="shared" ca="1" si="224"/>
        <v>0</v>
      </c>
      <c r="M338" s="125">
        <f t="shared" ca="1" si="207"/>
        <v>0</v>
      </c>
      <c r="N338" s="125">
        <f t="shared" ca="1" si="208"/>
        <v>0</v>
      </c>
      <c r="R338">
        <f t="shared" si="225"/>
        <v>331</v>
      </c>
      <c r="U338" s="55"/>
      <c r="V338">
        <f t="shared" si="226"/>
        <v>8</v>
      </c>
      <c r="W338">
        <f t="shared" ca="1" si="227"/>
        <v>2051</v>
      </c>
      <c r="X338" s="123">
        <f t="shared" ca="1" si="209"/>
        <v>55366</v>
      </c>
      <c r="Y338" s="64">
        <f t="shared" ca="1" si="210"/>
        <v>0</v>
      </c>
      <c r="Z338" s="64">
        <f t="shared" ca="1" si="211"/>
        <v>0</v>
      </c>
      <c r="AA338" s="64">
        <f t="shared" ca="1" si="212"/>
        <v>0</v>
      </c>
      <c r="AB338" s="64">
        <f t="shared" ca="1" si="213"/>
        <v>0</v>
      </c>
      <c r="AF338" t="str">
        <f t="shared" ca="1" si="193"/>
        <v>122016</v>
      </c>
      <c r="AG338" s="126">
        <f t="shared" ca="1" si="194"/>
        <v>0</v>
      </c>
      <c r="AH338" s="126">
        <f t="shared" ca="1" si="195"/>
        <v>0</v>
      </c>
      <c r="AI338" s="126">
        <f t="shared" ca="1" si="196"/>
        <v>0</v>
      </c>
      <c r="AJ338" t="str">
        <f t="shared" ca="1" si="197"/>
        <v>82051</v>
      </c>
      <c r="AK338" s="126">
        <f t="shared" ca="1" si="214"/>
        <v>0</v>
      </c>
      <c r="AL338" s="126">
        <f t="shared" ca="1" si="215"/>
        <v>0</v>
      </c>
      <c r="AM338" s="126">
        <f t="shared" ca="1" si="228"/>
        <v>0</v>
      </c>
      <c r="AN338" s="753">
        <f t="shared" ca="1" si="229"/>
        <v>0</v>
      </c>
      <c r="AO338" s="750">
        <f t="shared" ca="1" si="216"/>
        <v>0</v>
      </c>
      <c r="AP338" s="126">
        <f t="shared" ca="1" si="217"/>
        <v>0</v>
      </c>
      <c r="AQ338" s="126">
        <f t="shared" ca="1" si="218"/>
        <v>0</v>
      </c>
      <c r="AR338" s="126">
        <f t="shared" ca="1" si="198"/>
        <v>10000</v>
      </c>
      <c r="AS338" s="750">
        <f t="shared" ca="1" si="199"/>
        <v>0</v>
      </c>
      <c r="AT338" s="750">
        <f t="shared" ca="1" si="200"/>
        <v>0</v>
      </c>
      <c r="AU338" s="126">
        <f t="shared" ca="1" si="219"/>
        <v>0</v>
      </c>
      <c r="AV338" s="126">
        <f t="shared" ca="1" si="220"/>
        <v>0</v>
      </c>
      <c r="AW338" s="126">
        <f t="shared" ca="1" si="201"/>
        <v>10000</v>
      </c>
      <c r="AX338" s="750">
        <f t="shared" ca="1" si="221"/>
        <v>0</v>
      </c>
      <c r="AY338" s="750">
        <f t="shared" ca="1" si="222"/>
        <v>0</v>
      </c>
      <c r="AZ338">
        <f t="shared" si="223"/>
        <v>5750</v>
      </c>
    </row>
    <row r="339" spans="4:52">
      <c r="D339">
        <v>332</v>
      </c>
      <c r="E339" s="6">
        <f t="shared" ca="1" si="202"/>
        <v>42675</v>
      </c>
      <c r="F339" s="7">
        <f t="shared" ca="1" si="203"/>
        <v>0</v>
      </c>
      <c r="G339" s="125">
        <f ca="1">IF('Simulador - 1º Pilar'!$E$99="Sí",IF('Aportaciones PPE'!$B$13&lt;'Aportaciones PPE'!E339,0,F339*$B$8/12),F339*$B$8/12)</f>
        <v>0</v>
      </c>
      <c r="H339" s="125">
        <f t="shared" ca="1" si="192"/>
        <v>0</v>
      </c>
      <c r="I339" s="125">
        <f t="shared" ca="1" si="204"/>
        <v>0</v>
      </c>
      <c r="J339" s="125">
        <f t="shared" ca="1" si="205"/>
        <v>0</v>
      </c>
      <c r="K339" s="125">
        <f t="shared" ca="1" si="206"/>
        <v>0</v>
      </c>
      <c r="L339" s="125">
        <f t="shared" ca="1" si="224"/>
        <v>0</v>
      </c>
      <c r="M339" s="125">
        <f t="shared" ca="1" si="207"/>
        <v>0</v>
      </c>
      <c r="N339" s="125">
        <f t="shared" ca="1" si="208"/>
        <v>0</v>
      </c>
      <c r="R339">
        <f t="shared" si="225"/>
        <v>332</v>
      </c>
      <c r="U339" s="55"/>
      <c r="V339">
        <f t="shared" si="226"/>
        <v>9</v>
      </c>
      <c r="W339">
        <f t="shared" ca="1" si="227"/>
        <v>2051</v>
      </c>
      <c r="X339" s="123">
        <f t="shared" ca="1" si="209"/>
        <v>55397</v>
      </c>
      <c r="Y339" s="64">
        <f t="shared" ca="1" si="210"/>
        <v>0</v>
      </c>
      <c r="Z339" s="64">
        <f t="shared" ca="1" si="211"/>
        <v>0</v>
      </c>
      <c r="AA339" s="64">
        <f t="shared" ca="1" si="212"/>
        <v>0</v>
      </c>
      <c r="AB339" s="64">
        <f t="shared" ca="1" si="213"/>
        <v>0</v>
      </c>
      <c r="AF339" t="str">
        <f t="shared" ca="1" si="193"/>
        <v>112016</v>
      </c>
      <c r="AG339" s="126">
        <f t="shared" ca="1" si="194"/>
        <v>0</v>
      </c>
      <c r="AH339" s="126">
        <f t="shared" ca="1" si="195"/>
        <v>0</v>
      </c>
      <c r="AI339" s="126">
        <f t="shared" ca="1" si="196"/>
        <v>0</v>
      </c>
      <c r="AJ339" t="str">
        <f t="shared" ca="1" si="197"/>
        <v>92051</v>
      </c>
      <c r="AK339" s="126">
        <f t="shared" ca="1" si="214"/>
        <v>0</v>
      </c>
      <c r="AL339" s="126">
        <f t="shared" ca="1" si="215"/>
        <v>0</v>
      </c>
      <c r="AM339" s="126">
        <f t="shared" ca="1" si="228"/>
        <v>0</v>
      </c>
      <c r="AN339" s="753">
        <f t="shared" ca="1" si="229"/>
        <v>0</v>
      </c>
      <c r="AO339" s="750">
        <f t="shared" ca="1" si="216"/>
        <v>0</v>
      </c>
      <c r="AP339" s="126">
        <f t="shared" ca="1" si="217"/>
        <v>0</v>
      </c>
      <c r="AQ339" s="126">
        <f t="shared" ca="1" si="218"/>
        <v>0</v>
      </c>
      <c r="AR339" s="126">
        <f t="shared" ca="1" si="198"/>
        <v>10000</v>
      </c>
      <c r="AS339" s="750">
        <f t="shared" ca="1" si="199"/>
        <v>0</v>
      </c>
      <c r="AT339" s="750">
        <f t="shared" ca="1" si="200"/>
        <v>0</v>
      </c>
      <c r="AU339" s="126">
        <f t="shared" ca="1" si="219"/>
        <v>0</v>
      </c>
      <c r="AV339" s="126">
        <f t="shared" ca="1" si="220"/>
        <v>0</v>
      </c>
      <c r="AW339" s="126">
        <f t="shared" ca="1" si="201"/>
        <v>10000</v>
      </c>
      <c r="AX339" s="750">
        <f t="shared" ca="1" si="221"/>
        <v>0</v>
      </c>
      <c r="AY339" s="750">
        <f t="shared" ca="1" si="222"/>
        <v>0</v>
      </c>
      <c r="AZ339">
        <f t="shared" si="223"/>
        <v>5750</v>
      </c>
    </row>
    <row r="340" spans="4:52">
      <c r="D340">
        <v>333</v>
      </c>
      <c r="E340" s="6">
        <f t="shared" ca="1" si="202"/>
        <v>42644</v>
      </c>
      <c r="F340" s="7">
        <f t="shared" ca="1" si="203"/>
        <v>0</v>
      </c>
      <c r="G340" s="125">
        <f ca="1">IF('Simulador - 1º Pilar'!$E$99="Sí",IF('Aportaciones PPE'!$B$13&lt;'Aportaciones PPE'!E340,0,F340*$B$8/12),F340*$B$8/12)</f>
        <v>0</v>
      </c>
      <c r="H340" s="125">
        <f t="shared" ca="1" si="192"/>
        <v>0</v>
      </c>
      <c r="I340" s="125">
        <f t="shared" ca="1" si="204"/>
        <v>0</v>
      </c>
      <c r="J340" s="125">
        <f t="shared" ca="1" si="205"/>
        <v>0</v>
      </c>
      <c r="K340" s="125">
        <f t="shared" ca="1" si="206"/>
        <v>0</v>
      </c>
      <c r="L340" s="125">
        <f t="shared" ca="1" si="224"/>
        <v>0</v>
      </c>
      <c r="M340" s="125">
        <f t="shared" ca="1" si="207"/>
        <v>0</v>
      </c>
      <c r="N340" s="125">
        <f t="shared" ca="1" si="208"/>
        <v>0</v>
      </c>
      <c r="R340">
        <f t="shared" si="225"/>
        <v>333</v>
      </c>
      <c r="U340" s="55"/>
      <c r="V340">
        <f t="shared" si="226"/>
        <v>10</v>
      </c>
      <c r="W340">
        <f t="shared" ca="1" si="227"/>
        <v>2051</v>
      </c>
      <c r="X340" s="123">
        <f t="shared" ca="1" si="209"/>
        <v>55427</v>
      </c>
      <c r="Y340" s="64">
        <f t="shared" ca="1" si="210"/>
        <v>0</v>
      </c>
      <c r="Z340" s="64">
        <f t="shared" ca="1" si="211"/>
        <v>0</v>
      </c>
      <c r="AA340" s="64">
        <f t="shared" ca="1" si="212"/>
        <v>0</v>
      </c>
      <c r="AB340" s="64">
        <f t="shared" ca="1" si="213"/>
        <v>0</v>
      </c>
      <c r="AF340" t="str">
        <f t="shared" ca="1" si="193"/>
        <v>102016</v>
      </c>
      <c r="AG340" s="126">
        <f t="shared" ca="1" si="194"/>
        <v>0</v>
      </c>
      <c r="AH340" s="126">
        <f t="shared" ca="1" si="195"/>
        <v>0</v>
      </c>
      <c r="AI340" s="126">
        <f t="shared" ca="1" si="196"/>
        <v>0</v>
      </c>
      <c r="AJ340" t="str">
        <f t="shared" ca="1" si="197"/>
        <v>102051</v>
      </c>
      <c r="AK340" s="126">
        <f t="shared" ca="1" si="214"/>
        <v>0</v>
      </c>
      <c r="AL340" s="126">
        <f t="shared" ca="1" si="215"/>
        <v>0</v>
      </c>
      <c r="AM340" s="126">
        <f t="shared" ca="1" si="228"/>
        <v>0</v>
      </c>
      <c r="AN340" s="753">
        <f t="shared" ca="1" si="229"/>
        <v>0</v>
      </c>
      <c r="AO340" s="750">
        <f t="shared" ca="1" si="216"/>
        <v>0</v>
      </c>
      <c r="AP340" s="126">
        <f t="shared" ca="1" si="217"/>
        <v>0</v>
      </c>
      <c r="AQ340" s="126">
        <f t="shared" ca="1" si="218"/>
        <v>0</v>
      </c>
      <c r="AR340" s="126">
        <f t="shared" ca="1" si="198"/>
        <v>10000</v>
      </c>
      <c r="AS340" s="750">
        <f t="shared" ca="1" si="199"/>
        <v>0</v>
      </c>
      <c r="AT340" s="750">
        <f t="shared" ca="1" si="200"/>
        <v>0</v>
      </c>
      <c r="AU340" s="126">
        <f t="shared" ca="1" si="219"/>
        <v>0</v>
      </c>
      <c r="AV340" s="126">
        <f t="shared" ca="1" si="220"/>
        <v>0</v>
      </c>
      <c r="AW340" s="126">
        <f t="shared" ca="1" si="201"/>
        <v>10000</v>
      </c>
      <c r="AX340" s="750">
        <f t="shared" ca="1" si="221"/>
        <v>0</v>
      </c>
      <c r="AY340" s="750">
        <f t="shared" ca="1" si="222"/>
        <v>0</v>
      </c>
      <c r="AZ340">
        <f t="shared" si="223"/>
        <v>5750</v>
      </c>
    </row>
    <row r="341" spans="4:52">
      <c r="D341">
        <v>334</v>
      </c>
      <c r="E341" s="6">
        <f t="shared" ca="1" si="202"/>
        <v>42614</v>
      </c>
      <c r="F341" s="7">
        <f t="shared" ca="1" si="203"/>
        <v>0</v>
      </c>
      <c r="G341" s="125">
        <f ca="1">IF('Simulador - 1º Pilar'!$E$99="Sí",IF('Aportaciones PPE'!$B$13&lt;'Aportaciones PPE'!E341,0,F341*$B$8/12),F341*$B$8/12)</f>
        <v>0</v>
      </c>
      <c r="H341" s="125">
        <f t="shared" ca="1" si="192"/>
        <v>0</v>
      </c>
      <c r="I341" s="125">
        <f t="shared" ca="1" si="204"/>
        <v>0</v>
      </c>
      <c r="J341" s="125">
        <f t="shared" ca="1" si="205"/>
        <v>0</v>
      </c>
      <c r="K341" s="125">
        <f t="shared" ca="1" si="206"/>
        <v>0</v>
      </c>
      <c r="L341" s="125">
        <f t="shared" ca="1" si="224"/>
        <v>0</v>
      </c>
      <c r="M341" s="125">
        <f t="shared" ca="1" si="207"/>
        <v>0</v>
      </c>
      <c r="N341" s="125">
        <f t="shared" ca="1" si="208"/>
        <v>0</v>
      </c>
      <c r="R341">
        <f t="shared" si="225"/>
        <v>334</v>
      </c>
      <c r="U341" s="55"/>
      <c r="V341">
        <f t="shared" si="226"/>
        <v>11</v>
      </c>
      <c r="W341">
        <f t="shared" ca="1" si="227"/>
        <v>2051</v>
      </c>
      <c r="X341" s="123">
        <f t="shared" ca="1" si="209"/>
        <v>55458</v>
      </c>
      <c r="Y341" s="64">
        <f t="shared" ca="1" si="210"/>
        <v>0</v>
      </c>
      <c r="Z341" s="64">
        <f t="shared" ca="1" si="211"/>
        <v>0</v>
      </c>
      <c r="AA341" s="64">
        <f t="shared" ca="1" si="212"/>
        <v>0</v>
      </c>
      <c r="AB341" s="64">
        <f t="shared" ca="1" si="213"/>
        <v>0</v>
      </c>
      <c r="AF341" t="str">
        <f t="shared" ca="1" si="193"/>
        <v>92016</v>
      </c>
      <c r="AG341" s="126">
        <f t="shared" ca="1" si="194"/>
        <v>0</v>
      </c>
      <c r="AH341" s="126">
        <f t="shared" ca="1" si="195"/>
        <v>0</v>
      </c>
      <c r="AI341" s="126">
        <f t="shared" ca="1" si="196"/>
        <v>0</v>
      </c>
      <c r="AJ341" t="str">
        <f t="shared" ca="1" si="197"/>
        <v>112051</v>
      </c>
      <c r="AK341" s="126">
        <f t="shared" ca="1" si="214"/>
        <v>0</v>
      </c>
      <c r="AL341" s="126">
        <f t="shared" ca="1" si="215"/>
        <v>0</v>
      </c>
      <c r="AM341" s="126">
        <f t="shared" ca="1" si="228"/>
        <v>0</v>
      </c>
      <c r="AN341" s="753">
        <f t="shared" ca="1" si="229"/>
        <v>0</v>
      </c>
      <c r="AO341" s="750">
        <f t="shared" ca="1" si="216"/>
        <v>0</v>
      </c>
      <c r="AP341" s="126">
        <f t="shared" ca="1" si="217"/>
        <v>0</v>
      </c>
      <c r="AQ341" s="126">
        <f t="shared" ca="1" si="218"/>
        <v>0</v>
      </c>
      <c r="AR341" s="126">
        <f t="shared" ca="1" si="198"/>
        <v>10000</v>
      </c>
      <c r="AS341" s="750">
        <f t="shared" ca="1" si="199"/>
        <v>0</v>
      </c>
      <c r="AT341" s="750">
        <f t="shared" ca="1" si="200"/>
        <v>0</v>
      </c>
      <c r="AU341" s="126">
        <f t="shared" ca="1" si="219"/>
        <v>0</v>
      </c>
      <c r="AV341" s="126">
        <f t="shared" ca="1" si="220"/>
        <v>0</v>
      </c>
      <c r="AW341" s="126">
        <f t="shared" ca="1" si="201"/>
        <v>10000</v>
      </c>
      <c r="AX341" s="750">
        <f t="shared" ca="1" si="221"/>
        <v>0</v>
      </c>
      <c r="AY341" s="750">
        <f t="shared" ca="1" si="222"/>
        <v>0</v>
      </c>
      <c r="AZ341">
        <f t="shared" si="223"/>
        <v>5750</v>
      </c>
    </row>
    <row r="342" spans="4:52">
      <c r="D342">
        <v>335</v>
      </c>
      <c r="E342" s="6">
        <f t="shared" ca="1" si="202"/>
        <v>42583</v>
      </c>
      <c r="F342" s="7">
        <f t="shared" ca="1" si="203"/>
        <v>0</v>
      </c>
      <c r="G342" s="125">
        <f ca="1">IF('Simulador - 1º Pilar'!$E$99="Sí",IF('Aportaciones PPE'!$B$13&lt;'Aportaciones PPE'!E342,0,F342*$B$8/12),F342*$B$8/12)</f>
        <v>0</v>
      </c>
      <c r="H342" s="125">
        <f t="shared" ca="1" si="192"/>
        <v>0</v>
      </c>
      <c r="I342" s="125">
        <f t="shared" ca="1" si="204"/>
        <v>0</v>
      </c>
      <c r="J342" s="125">
        <f t="shared" ca="1" si="205"/>
        <v>0</v>
      </c>
      <c r="K342" s="125">
        <f t="shared" ca="1" si="206"/>
        <v>0</v>
      </c>
      <c r="L342" s="125">
        <f t="shared" ca="1" si="224"/>
        <v>0</v>
      </c>
      <c r="M342" s="125">
        <f t="shared" ca="1" si="207"/>
        <v>0</v>
      </c>
      <c r="N342" s="125">
        <f t="shared" ca="1" si="208"/>
        <v>0</v>
      </c>
      <c r="R342">
        <f t="shared" si="225"/>
        <v>335</v>
      </c>
      <c r="U342" s="55"/>
      <c r="V342">
        <f t="shared" si="226"/>
        <v>12</v>
      </c>
      <c r="W342">
        <f t="shared" ca="1" si="227"/>
        <v>2051</v>
      </c>
      <c r="X342" s="123">
        <f t="shared" ca="1" si="209"/>
        <v>55488</v>
      </c>
      <c r="Y342" s="64">
        <f t="shared" ca="1" si="210"/>
        <v>0</v>
      </c>
      <c r="Z342" s="64">
        <f t="shared" ca="1" si="211"/>
        <v>0</v>
      </c>
      <c r="AA342" s="64">
        <f t="shared" ca="1" si="212"/>
        <v>0</v>
      </c>
      <c r="AB342" s="64">
        <f t="shared" ca="1" si="213"/>
        <v>0</v>
      </c>
      <c r="AF342" t="str">
        <f t="shared" ca="1" si="193"/>
        <v>82016</v>
      </c>
      <c r="AG342" s="126">
        <f t="shared" ca="1" si="194"/>
        <v>0</v>
      </c>
      <c r="AH342" s="126">
        <f t="shared" ca="1" si="195"/>
        <v>0</v>
      </c>
      <c r="AI342" s="126">
        <f t="shared" ca="1" si="196"/>
        <v>0</v>
      </c>
      <c r="AJ342" t="str">
        <f t="shared" ca="1" si="197"/>
        <v>122051</v>
      </c>
      <c r="AK342" s="126">
        <f t="shared" ca="1" si="214"/>
        <v>0</v>
      </c>
      <c r="AL342" s="126">
        <f t="shared" ca="1" si="215"/>
        <v>0</v>
      </c>
      <c r="AM342" s="126">
        <f t="shared" ca="1" si="228"/>
        <v>0</v>
      </c>
      <c r="AN342" s="753">
        <f t="shared" ca="1" si="229"/>
        <v>0</v>
      </c>
      <c r="AO342" s="750">
        <f t="shared" ca="1" si="216"/>
        <v>0</v>
      </c>
      <c r="AP342" s="126">
        <f t="shared" ca="1" si="217"/>
        <v>0</v>
      </c>
      <c r="AQ342" s="126">
        <f t="shared" ca="1" si="218"/>
        <v>0</v>
      </c>
      <c r="AR342" s="126">
        <f t="shared" ca="1" si="198"/>
        <v>10000</v>
      </c>
      <c r="AS342" s="750">
        <f t="shared" ca="1" si="199"/>
        <v>0</v>
      </c>
      <c r="AT342" s="750">
        <f t="shared" ca="1" si="200"/>
        <v>0</v>
      </c>
      <c r="AU342" s="126">
        <f t="shared" ca="1" si="219"/>
        <v>0</v>
      </c>
      <c r="AV342" s="126">
        <f t="shared" ca="1" si="220"/>
        <v>0</v>
      </c>
      <c r="AW342" s="126">
        <f t="shared" ca="1" si="201"/>
        <v>10000</v>
      </c>
      <c r="AX342" s="750">
        <f t="shared" ca="1" si="221"/>
        <v>0</v>
      </c>
      <c r="AY342" s="750">
        <f t="shared" ca="1" si="222"/>
        <v>0</v>
      </c>
      <c r="AZ342">
        <f t="shared" si="223"/>
        <v>5750</v>
      </c>
    </row>
    <row r="343" spans="4:52">
      <c r="D343">
        <v>336</v>
      </c>
      <c r="E343" s="6">
        <f t="shared" ca="1" si="202"/>
        <v>42552</v>
      </c>
      <c r="F343" s="7">
        <f t="shared" ca="1" si="203"/>
        <v>0</v>
      </c>
      <c r="G343" s="125">
        <f ca="1">IF('Simulador - 1º Pilar'!$E$99="Sí",IF('Aportaciones PPE'!$B$13&lt;'Aportaciones PPE'!E343,0,F343*$B$8/12),F343*$B$8/12)</f>
        <v>0</v>
      </c>
      <c r="H343" s="125">
        <f t="shared" ca="1" si="192"/>
        <v>0</v>
      </c>
      <c r="I343" s="125">
        <f t="shared" ca="1" si="204"/>
        <v>0</v>
      </c>
      <c r="J343" s="125">
        <f t="shared" ca="1" si="205"/>
        <v>0</v>
      </c>
      <c r="K343" s="125">
        <f t="shared" ca="1" si="206"/>
        <v>0</v>
      </c>
      <c r="L343" s="125">
        <f t="shared" ca="1" si="224"/>
        <v>0</v>
      </c>
      <c r="M343" s="125">
        <f t="shared" ca="1" si="207"/>
        <v>0</v>
      </c>
      <c r="N343" s="125">
        <f t="shared" ca="1" si="208"/>
        <v>0</v>
      </c>
      <c r="R343">
        <f t="shared" si="225"/>
        <v>336</v>
      </c>
      <c r="U343" s="55"/>
      <c r="V343">
        <f t="shared" si="226"/>
        <v>1</v>
      </c>
      <c r="W343">
        <f t="shared" ca="1" si="227"/>
        <v>2052</v>
      </c>
      <c r="X343" s="123">
        <f t="shared" ca="1" si="209"/>
        <v>55519</v>
      </c>
      <c r="Y343" s="64">
        <f t="shared" ca="1" si="210"/>
        <v>0</v>
      </c>
      <c r="Z343" s="64">
        <f t="shared" ca="1" si="211"/>
        <v>0</v>
      </c>
      <c r="AA343" s="64">
        <f t="shared" ca="1" si="212"/>
        <v>0</v>
      </c>
      <c r="AB343" s="64">
        <f t="shared" ca="1" si="213"/>
        <v>0</v>
      </c>
      <c r="AF343" t="str">
        <f t="shared" ca="1" si="193"/>
        <v>72016</v>
      </c>
      <c r="AG343" s="126">
        <f t="shared" ca="1" si="194"/>
        <v>0</v>
      </c>
      <c r="AH343" s="126">
        <f t="shared" ca="1" si="195"/>
        <v>0</v>
      </c>
      <c r="AI343" s="126">
        <f t="shared" ca="1" si="196"/>
        <v>0</v>
      </c>
      <c r="AJ343" t="str">
        <f t="shared" ca="1" si="197"/>
        <v>12052</v>
      </c>
      <c r="AK343" s="126">
        <f t="shared" ca="1" si="214"/>
        <v>0</v>
      </c>
      <c r="AL343" s="126">
        <f t="shared" ca="1" si="215"/>
        <v>0</v>
      </c>
      <c r="AM343" s="126">
        <f t="shared" ca="1" si="228"/>
        <v>0</v>
      </c>
      <c r="AN343" s="753">
        <f t="shared" ca="1" si="229"/>
        <v>0</v>
      </c>
      <c r="AO343" s="750">
        <f t="shared" ca="1" si="216"/>
        <v>0</v>
      </c>
      <c r="AP343" s="126">
        <f t="shared" ca="1" si="217"/>
        <v>0</v>
      </c>
      <c r="AQ343" s="126">
        <f t="shared" ca="1" si="218"/>
        <v>0</v>
      </c>
      <c r="AR343" s="126">
        <f t="shared" ca="1" si="198"/>
        <v>10000</v>
      </c>
      <c r="AS343" s="750">
        <f t="shared" ca="1" si="199"/>
        <v>0</v>
      </c>
      <c r="AT343" s="750">
        <f t="shared" ca="1" si="200"/>
        <v>0</v>
      </c>
      <c r="AU343" s="126">
        <f t="shared" ca="1" si="219"/>
        <v>0</v>
      </c>
      <c r="AV343" s="126">
        <f t="shared" ca="1" si="220"/>
        <v>0</v>
      </c>
      <c r="AW343" s="126">
        <f t="shared" ca="1" si="201"/>
        <v>10000</v>
      </c>
      <c r="AX343" s="750">
        <f t="shared" ca="1" si="221"/>
        <v>0</v>
      </c>
      <c r="AY343" s="750">
        <f t="shared" ca="1" si="222"/>
        <v>0</v>
      </c>
      <c r="AZ343">
        <f t="shared" si="223"/>
        <v>5750</v>
      </c>
    </row>
    <row r="344" spans="4:52">
      <c r="D344">
        <v>337</v>
      </c>
      <c r="E344" s="6">
        <f t="shared" ca="1" si="202"/>
        <v>42522</v>
      </c>
      <c r="F344" s="7">
        <f t="shared" ca="1" si="203"/>
        <v>0</v>
      </c>
      <c r="G344" s="125">
        <f ca="1">IF('Simulador - 1º Pilar'!$E$99="Sí",IF('Aportaciones PPE'!$B$13&lt;'Aportaciones PPE'!E344,0,F344*$B$8/12),F344*$B$8/12)</f>
        <v>0</v>
      </c>
      <c r="H344" s="125">
        <f t="shared" ca="1" si="192"/>
        <v>0</v>
      </c>
      <c r="I344" s="125">
        <f t="shared" ca="1" si="204"/>
        <v>0</v>
      </c>
      <c r="J344" s="125">
        <f t="shared" ca="1" si="205"/>
        <v>0</v>
      </c>
      <c r="K344" s="125">
        <f t="shared" ca="1" si="206"/>
        <v>0</v>
      </c>
      <c r="L344" s="125">
        <f t="shared" ca="1" si="224"/>
        <v>0</v>
      </c>
      <c r="M344" s="125">
        <f t="shared" ca="1" si="207"/>
        <v>0</v>
      </c>
      <c r="N344" s="125">
        <f t="shared" ca="1" si="208"/>
        <v>0</v>
      </c>
      <c r="R344">
        <f t="shared" si="225"/>
        <v>337</v>
      </c>
      <c r="U344" s="55"/>
      <c r="V344">
        <f t="shared" si="226"/>
        <v>2</v>
      </c>
      <c r="W344">
        <f t="shared" ca="1" si="227"/>
        <v>2052</v>
      </c>
      <c r="X344" s="123">
        <f t="shared" ca="1" si="209"/>
        <v>55550</v>
      </c>
      <c r="Y344" s="64">
        <f t="shared" ca="1" si="210"/>
        <v>0</v>
      </c>
      <c r="Z344" s="64">
        <f t="shared" ca="1" si="211"/>
        <v>0</v>
      </c>
      <c r="AA344" s="64">
        <f t="shared" ca="1" si="212"/>
        <v>0</v>
      </c>
      <c r="AB344" s="64">
        <f t="shared" ca="1" si="213"/>
        <v>0</v>
      </c>
      <c r="AF344" t="str">
        <f t="shared" ca="1" si="193"/>
        <v>62016</v>
      </c>
      <c r="AG344" s="126">
        <f t="shared" ca="1" si="194"/>
        <v>0</v>
      </c>
      <c r="AH344" s="126">
        <f t="shared" ca="1" si="195"/>
        <v>0</v>
      </c>
      <c r="AI344" s="126">
        <f t="shared" ca="1" si="196"/>
        <v>0</v>
      </c>
      <c r="AJ344" t="str">
        <f t="shared" ca="1" si="197"/>
        <v>22052</v>
      </c>
      <c r="AK344" s="126">
        <f t="shared" ca="1" si="214"/>
        <v>0</v>
      </c>
      <c r="AL344" s="126">
        <f t="shared" ca="1" si="215"/>
        <v>0</v>
      </c>
      <c r="AM344" s="126">
        <f t="shared" ca="1" si="228"/>
        <v>0</v>
      </c>
      <c r="AN344" s="753">
        <f t="shared" ca="1" si="229"/>
        <v>0</v>
      </c>
      <c r="AO344" s="750">
        <f t="shared" ca="1" si="216"/>
        <v>0</v>
      </c>
      <c r="AP344" s="126">
        <f t="shared" ca="1" si="217"/>
        <v>0</v>
      </c>
      <c r="AQ344" s="126">
        <f t="shared" ca="1" si="218"/>
        <v>0</v>
      </c>
      <c r="AR344" s="126">
        <f t="shared" ca="1" si="198"/>
        <v>10000</v>
      </c>
      <c r="AS344" s="750">
        <f t="shared" ca="1" si="199"/>
        <v>0</v>
      </c>
      <c r="AT344" s="750">
        <f t="shared" ca="1" si="200"/>
        <v>0</v>
      </c>
      <c r="AU344" s="126">
        <f t="shared" ca="1" si="219"/>
        <v>0</v>
      </c>
      <c r="AV344" s="126">
        <f t="shared" ca="1" si="220"/>
        <v>0</v>
      </c>
      <c r="AW344" s="126">
        <f t="shared" ca="1" si="201"/>
        <v>10000</v>
      </c>
      <c r="AX344" s="750">
        <f t="shared" ca="1" si="221"/>
        <v>0</v>
      </c>
      <c r="AY344" s="750">
        <f t="shared" ca="1" si="222"/>
        <v>0</v>
      </c>
      <c r="AZ344">
        <f t="shared" si="223"/>
        <v>5750</v>
      </c>
    </row>
    <row r="345" spans="4:52">
      <c r="D345">
        <v>338</v>
      </c>
      <c r="E345" s="6">
        <f t="shared" ca="1" si="202"/>
        <v>42491</v>
      </c>
      <c r="F345" s="7">
        <f t="shared" ca="1" si="203"/>
        <v>0</v>
      </c>
      <c r="G345" s="125">
        <f ca="1">IF('Simulador - 1º Pilar'!$E$99="Sí",IF('Aportaciones PPE'!$B$13&lt;'Aportaciones PPE'!E345,0,F345*$B$8/12),F345*$B$8/12)</f>
        <v>0</v>
      </c>
      <c r="H345" s="125">
        <f t="shared" ca="1" si="192"/>
        <v>0</v>
      </c>
      <c r="I345" s="125">
        <f t="shared" ca="1" si="204"/>
        <v>0</v>
      </c>
      <c r="J345" s="125">
        <f t="shared" ca="1" si="205"/>
        <v>0</v>
      </c>
      <c r="K345" s="125">
        <f t="shared" ca="1" si="206"/>
        <v>0</v>
      </c>
      <c r="L345" s="125">
        <f t="shared" ca="1" si="224"/>
        <v>0</v>
      </c>
      <c r="M345" s="125">
        <f t="shared" ca="1" si="207"/>
        <v>0</v>
      </c>
      <c r="N345" s="125">
        <f t="shared" ca="1" si="208"/>
        <v>0</v>
      </c>
      <c r="R345">
        <f t="shared" si="225"/>
        <v>338</v>
      </c>
      <c r="U345" s="55"/>
      <c r="V345">
        <f t="shared" si="226"/>
        <v>3</v>
      </c>
      <c r="W345">
        <f t="shared" ca="1" si="227"/>
        <v>2052</v>
      </c>
      <c r="X345" s="123">
        <f t="shared" ca="1" si="209"/>
        <v>55579</v>
      </c>
      <c r="Y345" s="64">
        <f t="shared" ca="1" si="210"/>
        <v>0</v>
      </c>
      <c r="Z345" s="64">
        <f t="shared" ca="1" si="211"/>
        <v>0</v>
      </c>
      <c r="AA345" s="64">
        <f t="shared" ca="1" si="212"/>
        <v>0</v>
      </c>
      <c r="AB345" s="64">
        <f t="shared" ca="1" si="213"/>
        <v>0</v>
      </c>
      <c r="AF345" t="str">
        <f t="shared" ca="1" si="193"/>
        <v>52016</v>
      </c>
      <c r="AG345" s="126">
        <f t="shared" ca="1" si="194"/>
        <v>0</v>
      </c>
      <c r="AH345" s="126">
        <f t="shared" ca="1" si="195"/>
        <v>0</v>
      </c>
      <c r="AI345" s="126">
        <f t="shared" ca="1" si="196"/>
        <v>0</v>
      </c>
      <c r="AJ345" t="str">
        <f t="shared" ca="1" si="197"/>
        <v>32052</v>
      </c>
      <c r="AK345" s="126">
        <f t="shared" ca="1" si="214"/>
        <v>0</v>
      </c>
      <c r="AL345" s="126">
        <f t="shared" ca="1" si="215"/>
        <v>0</v>
      </c>
      <c r="AM345" s="126">
        <f t="shared" ca="1" si="228"/>
        <v>0</v>
      </c>
      <c r="AN345" s="753">
        <f t="shared" ca="1" si="229"/>
        <v>0</v>
      </c>
      <c r="AO345" s="750">
        <f t="shared" ca="1" si="216"/>
        <v>0</v>
      </c>
      <c r="AP345" s="126">
        <f t="shared" ca="1" si="217"/>
        <v>0</v>
      </c>
      <c r="AQ345" s="126">
        <f t="shared" ca="1" si="218"/>
        <v>0</v>
      </c>
      <c r="AR345" s="126">
        <f t="shared" ca="1" si="198"/>
        <v>10000</v>
      </c>
      <c r="AS345" s="750">
        <f t="shared" ca="1" si="199"/>
        <v>0</v>
      </c>
      <c r="AT345" s="750">
        <f t="shared" ca="1" si="200"/>
        <v>0</v>
      </c>
      <c r="AU345" s="126">
        <f t="shared" ca="1" si="219"/>
        <v>0</v>
      </c>
      <c r="AV345" s="126">
        <f t="shared" ca="1" si="220"/>
        <v>0</v>
      </c>
      <c r="AW345" s="126">
        <f t="shared" ca="1" si="201"/>
        <v>10000</v>
      </c>
      <c r="AX345" s="750">
        <f t="shared" ca="1" si="221"/>
        <v>0</v>
      </c>
      <c r="AY345" s="750">
        <f t="shared" ca="1" si="222"/>
        <v>0</v>
      </c>
      <c r="AZ345">
        <f t="shared" si="223"/>
        <v>5750</v>
      </c>
    </row>
    <row r="346" spans="4:52">
      <c r="D346">
        <v>339</v>
      </c>
      <c r="E346" s="6">
        <f t="shared" ca="1" si="202"/>
        <v>42461</v>
      </c>
      <c r="F346" s="7">
        <f t="shared" ca="1" si="203"/>
        <v>0</v>
      </c>
      <c r="G346" s="125">
        <f ca="1">IF('Simulador - 1º Pilar'!$E$99="Sí",IF('Aportaciones PPE'!$B$13&lt;'Aportaciones PPE'!E346,0,F346*$B$8/12),F346*$B$8/12)</f>
        <v>0</v>
      </c>
      <c r="H346" s="125">
        <f t="shared" ca="1" si="192"/>
        <v>0</v>
      </c>
      <c r="I346" s="125">
        <f t="shared" ca="1" si="204"/>
        <v>0</v>
      </c>
      <c r="J346" s="125">
        <f t="shared" ca="1" si="205"/>
        <v>0</v>
      </c>
      <c r="K346" s="125">
        <f t="shared" ca="1" si="206"/>
        <v>0</v>
      </c>
      <c r="L346" s="125">
        <f t="shared" ca="1" si="224"/>
        <v>0</v>
      </c>
      <c r="M346" s="125">
        <f t="shared" ca="1" si="207"/>
        <v>0</v>
      </c>
      <c r="N346" s="125">
        <f t="shared" ca="1" si="208"/>
        <v>0</v>
      </c>
      <c r="R346">
        <f t="shared" si="225"/>
        <v>339</v>
      </c>
      <c r="U346" s="55"/>
      <c r="V346">
        <f t="shared" si="226"/>
        <v>4</v>
      </c>
      <c r="W346">
        <f t="shared" ca="1" si="227"/>
        <v>2052</v>
      </c>
      <c r="X346" s="123">
        <f t="shared" ca="1" si="209"/>
        <v>55610</v>
      </c>
      <c r="Y346" s="64">
        <f t="shared" ca="1" si="210"/>
        <v>0</v>
      </c>
      <c r="Z346" s="64">
        <f t="shared" ca="1" si="211"/>
        <v>0</v>
      </c>
      <c r="AA346" s="64">
        <f t="shared" ca="1" si="212"/>
        <v>0</v>
      </c>
      <c r="AB346" s="64">
        <f t="shared" ca="1" si="213"/>
        <v>0</v>
      </c>
      <c r="AF346" t="str">
        <f t="shared" ca="1" si="193"/>
        <v>42016</v>
      </c>
      <c r="AG346" s="126">
        <f t="shared" ca="1" si="194"/>
        <v>0</v>
      </c>
      <c r="AH346" s="126">
        <f t="shared" ca="1" si="195"/>
        <v>0</v>
      </c>
      <c r="AI346" s="126">
        <f t="shared" ca="1" si="196"/>
        <v>0</v>
      </c>
      <c r="AJ346" t="str">
        <f t="shared" ca="1" si="197"/>
        <v>42052</v>
      </c>
      <c r="AK346" s="126">
        <f t="shared" ca="1" si="214"/>
        <v>0</v>
      </c>
      <c r="AL346" s="126">
        <f t="shared" ca="1" si="215"/>
        <v>0</v>
      </c>
      <c r="AM346" s="126">
        <f t="shared" ca="1" si="228"/>
        <v>0</v>
      </c>
      <c r="AN346" s="753">
        <f t="shared" ca="1" si="229"/>
        <v>0</v>
      </c>
      <c r="AO346" s="750">
        <f t="shared" ca="1" si="216"/>
        <v>0</v>
      </c>
      <c r="AP346" s="126">
        <f t="shared" ca="1" si="217"/>
        <v>0</v>
      </c>
      <c r="AQ346" s="126">
        <f t="shared" ca="1" si="218"/>
        <v>0</v>
      </c>
      <c r="AR346" s="126">
        <f t="shared" ca="1" si="198"/>
        <v>10000</v>
      </c>
      <c r="AS346" s="750">
        <f t="shared" ca="1" si="199"/>
        <v>0</v>
      </c>
      <c r="AT346" s="750">
        <f t="shared" ca="1" si="200"/>
        <v>0</v>
      </c>
      <c r="AU346" s="126">
        <f t="shared" ca="1" si="219"/>
        <v>0</v>
      </c>
      <c r="AV346" s="126">
        <f t="shared" ca="1" si="220"/>
        <v>0</v>
      </c>
      <c r="AW346" s="126">
        <f t="shared" ca="1" si="201"/>
        <v>10000</v>
      </c>
      <c r="AX346" s="750">
        <f t="shared" ca="1" si="221"/>
        <v>0</v>
      </c>
      <c r="AY346" s="750">
        <f t="shared" ca="1" si="222"/>
        <v>0</v>
      </c>
      <c r="AZ346">
        <f t="shared" si="223"/>
        <v>5750</v>
      </c>
    </row>
    <row r="347" spans="4:52">
      <c r="D347">
        <v>340</v>
      </c>
      <c r="E347" s="6">
        <f t="shared" ca="1" si="202"/>
        <v>42430</v>
      </c>
      <c r="F347" s="7">
        <f t="shared" ca="1" si="203"/>
        <v>0</v>
      </c>
      <c r="G347" s="125">
        <f ca="1">IF('Simulador - 1º Pilar'!$E$99="Sí",IF('Aportaciones PPE'!$B$13&lt;'Aportaciones PPE'!E347,0,F347*$B$8/12),F347*$B$8/12)</f>
        <v>0</v>
      </c>
      <c r="H347" s="125">
        <f t="shared" ca="1" si="192"/>
        <v>0</v>
      </c>
      <c r="I347" s="125">
        <f t="shared" ca="1" si="204"/>
        <v>0</v>
      </c>
      <c r="J347" s="125">
        <f t="shared" ca="1" si="205"/>
        <v>0</v>
      </c>
      <c r="K347" s="125">
        <f t="shared" ca="1" si="206"/>
        <v>0</v>
      </c>
      <c r="L347" s="125">
        <f t="shared" ca="1" si="224"/>
        <v>0</v>
      </c>
      <c r="M347" s="125">
        <f t="shared" ca="1" si="207"/>
        <v>0</v>
      </c>
      <c r="N347" s="125">
        <f t="shared" ca="1" si="208"/>
        <v>0</v>
      </c>
      <c r="R347">
        <f t="shared" si="225"/>
        <v>340</v>
      </c>
      <c r="U347" s="55"/>
      <c r="V347">
        <f t="shared" si="226"/>
        <v>5</v>
      </c>
      <c r="W347">
        <f t="shared" ca="1" si="227"/>
        <v>2052</v>
      </c>
      <c r="X347" s="123">
        <f t="shared" ca="1" si="209"/>
        <v>55640</v>
      </c>
      <c r="Y347" s="64">
        <f t="shared" ca="1" si="210"/>
        <v>0</v>
      </c>
      <c r="Z347" s="64">
        <f t="shared" ca="1" si="211"/>
        <v>0</v>
      </c>
      <c r="AA347" s="64">
        <f t="shared" ca="1" si="212"/>
        <v>0</v>
      </c>
      <c r="AB347" s="64">
        <f t="shared" ca="1" si="213"/>
        <v>0</v>
      </c>
      <c r="AF347" t="str">
        <f t="shared" ca="1" si="193"/>
        <v>32016</v>
      </c>
      <c r="AG347" s="126">
        <f t="shared" ca="1" si="194"/>
        <v>0</v>
      </c>
      <c r="AH347" s="126">
        <f t="shared" ca="1" si="195"/>
        <v>0</v>
      </c>
      <c r="AI347" s="126">
        <f t="shared" ca="1" si="196"/>
        <v>0</v>
      </c>
      <c r="AJ347" t="str">
        <f t="shared" ca="1" si="197"/>
        <v>52052</v>
      </c>
      <c r="AK347" s="126">
        <f t="shared" ca="1" si="214"/>
        <v>0</v>
      </c>
      <c r="AL347" s="126">
        <f t="shared" ca="1" si="215"/>
        <v>0</v>
      </c>
      <c r="AM347" s="126">
        <f t="shared" ca="1" si="228"/>
        <v>0</v>
      </c>
      <c r="AN347" s="753">
        <f t="shared" ca="1" si="229"/>
        <v>0</v>
      </c>
      <c r="AO347" s="750">
        <f t="shared" ca="1" si="216"/>
        <v>0</v>
      </c>
      <c r="AP347" s="126">
        <f t="shared" ca="1" si="217"/>
        <v>0</v>
      </c>
      <c r="AQ347" s="126">
        <f t="shared" ca="1" si="218"/>
        <v>0</v>
      </c>
      <c r="AR347" s="126">
        <f t="shared" ca="1" si="198"/>
        <v>10000</v>
      </c>
      <c r="AS347" s="750">
        <f t="shared" ca="1" si="199"/>
        <v>0</v>
      </c>
      <c r="AT347" s="750">
        <f t="shared" ca="1" si="200"/>
        <v>0</v>
      </c>
      <c r="AU347" s="126">
        <f t="shared" ca="1" si="219"/>
        <v>0</v>
      </c>
      <c r="AV347" s="126">
        <f t="shared" ca="1" si="220"/>
        <v>0</v>
      </c>
      <c r="AW347" s="126">
        <f t="shared" ca="1" si="201"/>
        <v>10000</v>
      </c>
      <c r="AX347" s="750">
        <f t="shared" ca="1" si="221"/>
        <v>0</v>
      </c>
      <c r="AY347" s="750">
        <f t="shared" ca="1" si="222"/>
        <v>0</v>
      </c>
      <c r="AZ347">
        <f t="shared" si="223"/>
        <v>5750</v>
      </c>
    </row>
    <row r="348" spans="4:52">
      <c r="D348">
        <v>341</v>
      </c>
      <c r="E348" s="6">
        <f t="shared" ca="1" si="202"/>
        <v>42401</v>
      </c>
      <c r="F348" s="7">
        <f t="shared" ca="1" si="203"/>
        <v>0</v>
      </c>
      <c r="G348" s="125">
        <f ca="1">IF('Simulador - 1º Pilar'!$E$99="Sí",IF('Aportaciones PPE'!$B$13&lt;'Aportaciones PPE'!E348,0,F348*$B$8/12),F348*$B$8/12)</f>
        <v>0</v>
      </c>
      <c r="H348" s="125">
        <f t="shared" ca="1" si="192"/>
        <v>0</v>
      </c>
      <c r="I348" s="125">
        <f t="shared" ca="1" si="204"/>
        <v>0</v>
      </c>
      <c r="J348" s="125">
        <f t="shared" ca="1" si="205"/>
        <v>0</v>
      </c>
      <c r="K348" s="125">
        <f t="shared" ca="1" si="206"/>
        <v>0</v>
      </c>
      <c r="L348" s="125">
        <f t="shared" ca="1" si="224"/>
        <v>0</v>
      </c>
      <c r="M348" s="125">
        <f t="shared" ca="1" si="207"/>
        <v>0</v>
      </c>
      <c r="N348" s="125">
        <f t="shared" ca="1" si="208"/>
        <v>0</v>
      </c>
      <c r="R348">
        <f t="shared" si="225"/>
        <v>341</v>
      </c>
      <c r="U348" s="55"/>
      <c r="V348">
        <f t="shared" si="226"/>
        <v>6</v>
      </c>
      <c r="W348">
        <f t="shared" ca="1" si="227"/>
        <v>2052</v>
      </c>
      <c r="X348" s="123">
        <f t="shared" ca="1" si="209"/>
        <v>55671</v>
      </c>
      <c r="Y348" s="64">
        <f t="shared" ca="1" si="210"/>
        <v>0</v>
      </c>
      <c r="Z348" s="64">
        <f t="shared" ca="1" si="211"/>
        <v>0</v>
      </c>
      <c r="AA348" s="64">
        <f t="shared" ca="1" si="212"/>
        <v>0</v>
      </c>
      <c r="AB348" s="64">
        <f t="shared" ca="1" si="213"/>
        <v>0</v>
      </c>
      <c r="AF348" t="str">
        <f t="shared" ca="1" si="193"/>
        <v>22016</v>
      </c>
      <c r="AG348" s="126">
        <f t="shared" ca="1" si="194"/>
        <v>0</v>
      </c>
      <c r="AH348" s="126">
        <f t="shared" ca="1" si="195"/>
        <v>0</v>
      </c>
      <c r="AI348" s="126">
        <f t="shared" ca="1" si="196"/>
        <v>0</v>
      </c>
      <c r="AJ348" t="str">
        <f t="shared" ca="1" si="197"/>
        <v>62052</v>
      </c>
      <c r="AK348" s="126">
        <f t="shared" ca="1" si="214"/>
        <v>0</v>
      </c>
      <c r="AL348" s="126">
        <f t="shared" ca="1" si="215"/>
        <v>0</v>
      </c>
      <c r="AM348" s="126">
        <f t="shared" ca="1" si="228"/>
        <v>0</v>
      </c>
      <c r="AN348" s="753">
        <f t="shared" ca="1" si="229"/>
        <v>0</v>
      </c>
      <c r="AO348" s="750">
        <f t="shared" ca="1" si="216"/>
        <v>0</v>
      </c>
      <c r="AP348" s="126">
        <f t="shared" ca="1" si="217"/>
        <v>0</v>
      </c>
      <c r="AQ348" s="126">
        <f t="shared" ca="1" si="218"/>
        <v>0</v>
      </c>
      <c r="AR348" s="126">
        <f t="shared" ca="1" si="198"/>
        <v>10000</v>
      </c>
      <c r="AS348" s="750">
        <f t="shared" ca="1" si="199"/>
        <v>0</v>
      </c>
      <c r="AT348" s="750">
        <f t="shared" ca="1" si="200"/>
        <v>0</v>
      </c>
      <c r="AU348" s="126">
        <f t="shared" ca="1" si="219"/>
        <v>0</v>
      </c>
      <c r="AV348" s="126">
        <f t="shared" ca="1" si="220"/>
        <v>0</v>
      </c>
      <c r="AW348" s="126">
        <f t="shared" ca="1" si="201"/>
        <v>10000</v>
      </c>
      <c r="AX348" s="750">
        <f t="shared" ca="1" si="221"/>
        <v>0</v>
      </c>
      <c r="AY348" s="750">
        <f t="shared" ca="1" si="222"/>
        <v>0</v>
      </c>
      <c r="AZ348">
        <f t="shared" si="223"/>
        <v>5750</v>
      </c>
    </row>
    <row r="349" spans="4:52">
      <c r="D349">
        <v>342</v>
      </c>
      <c r="E349" s="6">
        <f t="shared" ca="1" si="202"/>
        <v>42370</v>
      </c>
      <c r="F349" s="7">
        <f t="shared" ca="1" si="203"/>
        <v>0</v>
      </c>
      <c r="G349" s="125">
        <f ca="1">IF('Simulador - 1º Pilar'!$E$99="Sí",IF('Aportaciones PPE'!$B$13&lt;'Aportaciones PPE'!E349,0,F349*$B$8/12),F349*$B$8/12)</f>
        <v>0</v>
      </c>
      <c r="H349" s="125">
        <f t="shared" ca="1" si="192"/>
        <v>0</v>
      </c>
      <c r="I349" s="125">
        <f t="shared" ca="1" si="204"/>
        <v>0</v>
      </c>
      <c r="J349" s="125">
        <f t="shared" ca="1" si="205"/>
        <v>0</v>
      </c>
      <c r="K349" s="125">
        <f t="shared" ca="1" si="206"/>
        <v>0</v>
      </c>
      <c r="L349" s="125">
        <f t="shared" ca="1" si="224"/>
        <v>0</v>
      </c>
      <c r="M349" s="125">
        <f t="shared" ca="1" si="207"/>
        <v>0</v>
      </c>
      <c r="N349" s="125">
        <f t="shared" ca="1" si="208"/>
        <v>0</v>
      </c>
      <c r="R349">
        <f t="shared" si="225"/>
        <v>342</v>
      </c>
      <c r="U349" s="55"/>
      <c r="V349">
        <f t="shared" si="226"/>
        <v>7</v>
      </c>
      <c r="W349">
        <f t="shared" ca="1" si="227"/>
        <v>2052</v>
      </c>
      <c r="X349" s="123">
        <f t="shared" ca="1" si="209"/>
        <v>55701</v>
      </c>
      <c r="Y349" s="64">
        <f t="shared" ca="1" si="210"/>
        <v>0</v>
      </c>
      <c r="Z349" s="64">
        <f t="shared" ca="1" si="211"/>
        <v>0</v>
      </c>
      <c r="AA349" s="64">
        <f t="shared" ca="1" si="212"/>
        <v>0</v>
      </c>
      <c r="AB349" s="64">
        <f t="shared" ca="1" si="213"/>
        <v>0</v>
      </c>
      <c r="AF349" t="str">
        <f t="shared" ca="1" si="193"/>
        <v>12016</v>
      </c>
      <c r="AG349" s="126">
        <f t="shared" ca="1" si="194"/>
        <v>0</v>
      </c>
      <c r="AH349" s="126">
        <f t="shared" ca="1" si="195"/>
        <v>0</v>
      </c>
      <c r="AI349" s="126">
        <f t="shared" ca="1" si="196"/>
        <v>0</v>
      </c>
      <c r="AJ349" t="str">
        <f t="shared" ca="1" si="197"/>
        <v>72052</v>
      </c>
      <c r="AK349" s="126">
        <f t="shared" ca="1" si="214"/>
        <v>0</v>
      </c>
      <c r="AL349" s="126">
        <f t="shared" ca="1" si="215"/>
        <v>0</v>
      </c>
      <c r="AM349" s="126">
        <f t="shared" ca="1" si="228"/>
        <v>0</v>
      </c>
      <c r="AN349" s="753">
        <f t="shared" ca="1" si="229"/>
        <v>0</v>
      </c>
      <c r="AO349" s="750">
        <f t="shared" ca="1" si="216"/>
        <v>0</v>
      </c>
      <c r="AP349" s="126">
        <f t="shared" ca="1" si="217"/>
        <v>0</v>
      </c>
      <c r="AQ349" s="126">
        <f t="shared" ca="1" si="218"/>
        <v>0</v>
      </c>
      <c r="AR349" s="126">
        <f t="shared" ca="1" si="198"/>
        <v>10000</v>
      </c>
      <c r="AS349" s="750">
        <f t="shared" ca="1" si="199"/>
        <v>0</v>
      </c>
      <c r="AT349" s="750">
        <f t="shared" ca="1" si="200"/>
        <v>0</v>
      </c>
      <c r="AU349" s="126">
        <f t="shared" ca="1" si="219"/>
        <v>0</v>
      </c>
      <c r="AV349" s="126">
        <f t="shared" ca="1" si="220"/>
        <v>0</v>
      </c>
      <c r="AW349" s="126">
        <f t="shared" ca="1" si="201"/>
        <v>10000</v>
      </c>
      <c r="AX349" s="750">
        <f t="shared" ca="1" si="221"/>
        <v>0</v>
      </c>
      <c r="AY349" s="750">
        <f t="shared" ca="1" si="222"/>
        <v>0</v>
      </c>
      <c r="AZ349">
        <f t="shared" si="223"/>
        <v>5750</v>
      </c>
    </row>
    <row r="350" spans="4:52">
      <c r="D350">
        <v>343</v>
      </c>
      <c r="E350" s="6">
        <f t="shared" ca="1" si="202"/>
        <v>42339</v>
      </c>
      <c r="F350" s="7">
        <f t="shared" ca="1" si="203"/>
        <v>0</v>
      </c>
      <c r="G350" s="125">
        <f ca="1">IF('Simulador - 1º Pilar'!$E$99="Sí",IF('Aportaciones PPE'!$B$13&lt;'Aportaciones PPE'!E350,0,F350*$B$8/12),F350*$B$8/12)</f>
        <v>0</v>
      </c>
      <c r="H350" s="125">
        <f t="shared" ca="1" si="192"/>
        <v>0</v>
      </c>
      <c r="I350" s="125">
        <f t="shared" ca="1" si="204"/>
        <v>0</v>
      </c>
      <c r="J350" s="125">
        <f t="shared" ca="1" si="205"/>
        <v>0</v>
      </c>
      <c r="K350" s="125">
        <f t="shared" ca="1" si="206"/>
        <v>0</v>
      </c>
      <c r="L350" s="125">
        <f t="shared" ca="1" si="224"/>
        <v>0</v>
      </c>
      <c r="M350" s="125">
        <f t="shared" ca="1" si="207"/>
        <v>0</v>
      </c>
      <c r="N350" s="125">
        <f t="shared" ca="1" si="208"/>
        <v>0</v>
      </c>
      <c r="R350">
        <f t="shared" si="225"/>
        <v>343</v>
      </c>
      <c r="U350" s="55"/>
      <c r="V350">
        <f t="shared" si="226"/>
        <v>8</v>
      </c>
      <c r="W350">
        <f t="shared" ca="1" si="227"/>
        <v>2052</v>
      </c>
      <c r="X350" s="123">
        <f t="shared" ca="1" si="209"/>
        <v>55732</v>
      </c>
      <c r="Y350" s="64">
        <f t="shared" ca="1" si="210"/>
        <v>0</v>
      </c>
      <c r="Z350" s="64">
        <f t="shared" ca="1" si="211"/>
        <v>0</v>
      </c>
      <c r="AA350" s="64">
        <f t="shared" ca="1" si="212"/>
        <v>0</v>
      </c>
      <c r="AB350" s="64">
        <f t="shared" ca="1" si="213"/>
        <v>0</v>
      </c>
      <c r="AF350" t="str">
        <f t="shared" ca="1" si="193"/>
        <v>122015</v>
      </c>
      <c r="AG350" s="126">
        <f t="shared" ca="1" si="194"/>
        <v>0</v>
      </c>
      <c r="AH350" s="126">
        <f t="shared" ca="1" si="195"/>
        <v>0</v>
      </c>
      <c r="AI350" s="126">
        <f t="shared" ca="1" si="196"/>
        <v>0</v>
      </c>
      <c r="AJ350" t="str">
        <f t="shared" ca="1" si="197"/>
        <v>82052</v>
      </c>
      <c r="AK350" s="126">
        <f t="shared" ca="1" si="214"/>
        <v>0</v>
      </c>
      <c r="AL350" s="126">
        <f t="shared" ca="1" si="215"/>
        <v>0</v>
      </c>
      <c r="AM350" s="126">
        <f t="shared" ca="1" si="228"/>
        <v>0</v>
      </c>
      <c r="AN350" s="753">
        <f t="shared" ca="1" si="229"/>
        <v>0</v>
      </c>
      <c r="AO350" s="750">
        <f t="shared" ca="1" si="216"/>
        <v>0</v>
      </c>
      <c r="AP350" s="126">
        <f t="shared" ca="1" si="217"/>
        <v>0</v>
      </c>
      <c r="AQ350" s="126">
        <f t="shared" ca="1" si="218"/>
        <v>0</v>
      </c>
      <c r="AR350" s="126">
        <f t="shared" ca="1" si="198"/>
        <v>10000</v>
      </c>
      <c r="AS350" s="750">
        <f t="shared" ca="1" si="199"/>
        <v>0</v>
      </c>
      <c r="AT350" s="750">
        <f t="shared" ca="1" si="200"/>
        <v>0</v>
      </c>
      <c r="AU350" s="126">
        <f t="shared" ca="1" si="219"/>
        <v>0</v>
      </c>
      <c r="AV350" s="126">
        <f t="shared" ca="1" si="220"/>
        <v>0</v>
      </c>
      <c r="AW350" s="126">
        <f t="shared" ca="1" si="201"/>
        <v>10000</v>
      </c>
      <c r="AX350" s="750">
        <f t="shared" ca="1" si="221"/>
        <v>0</v>
      </c>
      <c r="AY350" s="750">
        <f t="shared" ca="1" si="222"/>
        <v>0</v>
      </c>
      <c r="AZ350">
        <f t="shared" si="223"/>
        <v>5750</v>
      </c>
    </row>
    <row r="351" spans="4:52">
      <c r="D351">
        <v>344</v>
      </c>
      <c r="E351" s="6">
        <f t="shared" ca="1" si="202"/>
        <v>42309</v>
      </c>
      <c r="F351" s="7">
        <f t="shared" ca="1" si="203"/>
        <v>0</v>
      </c>
      <c r="G351" s="125">
        <f ca="1">IF('Simulador - 1º Pilar'!$E$99="Sí",IF('Aportaciones PPE'!$B$13&lt;'Aportaciones PPE'!E351,0,F351*$B$8/12),F351*$B$8/12)</f>
        <v>0</v>
      </c>
      <c r="H351" s="125">
        <f t="shared" ca="1" si="192"/>
        <v>0</v>
      </c>
      <c r="I351" s="125">
        <f t="shared" ca="1" si="204"/>
        <v>0</v>
      </c>
      <c r="J351" s="125">
        <f t="shared" ca="1" si="205"/>
        <v>0</v>
      </c>
      <c r="K351" s="125">
        <f t="shared" ca="1" si="206"/>
        <v>0</v>
      </c>
      <c r="L351" s="125">
        <f t="shared" ca="1" si="224"/>
        <v>0</v>
      </c>
      <c r="M351" s="125">
        <f t="shared" ca="1" si="207"/>
        <v>0</v>
      </c>
      <c r="N351" s="125">
        <f t="shared" ca="1" si="208"/>
        <v>0</v>
      </c>
      <c r="R351">
        <f t="shared" si="225"/>
        <v>344</v>
      </c>
      <c r="U351" s="55"/>
      <c r="V351">
        <f t="shared" si="226"/>
        <v>9</v>
      </c>
      <c r="W351">
        <f t="shared" ca="1" si="227"/>
        <v>2052</v>
      </c>
      <c r="X351" s="123">
        <f t="shared" ca="1" si="209"/>
        <v>55763</v>
      </c>
      <c r="Y351" s="64">
        <f t="shared" ca="1" si="210"/>
        <v>0</v>
      </c>
      <c r="Z351" s="64">
        <f t="shared" ca="1" si="211"/>
        <v>0</v>
      </c>
      <c r="AA351" s="64">
        <f t="shared" ca="1" si="212"/>
        <v>0</v>
      </c>
      <c r="AB351" s="64">
        <f t="shared" ca="1" si="213"/>
        <v>0</v>
      </c>
      <c r="AF351" t="str">
        <f t="shared" ca="1" si="193"/>
        <v>112015</v>
      </c>
      <c r="AG351" s="126">
        <f t="shared" ca="1" si="194"/>
        <v>0</v>
      </c>
      <c r="AH351" s="126">
        <f t="shared" ca="1" si="195"/>
        <v>0</v>
      </c>
      <c r="AI351" s="126">
        <f t="shared" ca="1" si="196"/>
        <v>0</v>
      </c>
      <c r="AJ351" t="str">
        <f t="shared" ca="1" si="197"/>
        <v>92052</v>
      </c>
      <c r="AK351" s="126">
        <f t="shared" ca="1" si="214"/>
        <v>0</v>
      </c>
      <c r="AL351" s="126">
        <f t="shared" ca="1" si="215"/>
        <v>0</v>
      </c>
      <c r="AM351" s="126">
        <f t="shared" ca="1" si="228"/>
        <v>0</v>
      </c>
      <c r="AN351" s="753">
        <f t="shared" ca="1" si="229"/>
        <v>0</v>
      </c>
      <c r="AO351" s="750">
        <f t="shared" ca="1" si="216"/>
        <v>0</v>
      </c>
      <c r="AP351" s="126">
        <f t="shared" ca="1" si="217"/>
        <v>0</v>
      </c>
      <c r="AQ351" s="126">
        <f t="shared" ca="1" si="218"/>
        <v>0</v>
      </c>
      <c r="AR351" s="126">
        <f t="shared" ca="1" si="198"/>
        <v>10000</v>
      </c>
      <c r="AS351" s="750">
        <f t="shared" ca="1" si="199"/>
        <v>0</v>
      </c>
      <c r="AT351" s="750">
        <f t="shared" ca="1" si="200"/>
        <v>0</v>
      </c>
      <c r="AU351" s="126">
        <f t="shared" ca="1" si="219"/>
        <v>0</v>
      </c>
      <c r="AV351" s="126">
        <f t="shared" ca="1" si="220"/>
        <v>0</v>
      </c>
      <c r="AW351" s="126">
        <f t="shared" ca="1" si="201"/>
        <v>10000</v>
      </c>
      <c r="AX351" s="750">
        <f t="shared" ca="1" si="221"/>
        <v>0</v>
      </c>
      <c r="AY351" s="750">
        <f t="shared" ca="1" si="222"/>
        <v>0</v>
      </c>
      <c r="AZ351">
        <f t="shared" si="223"/>
        <v>5750</v>
      </c>
    </row>
    <row r="352" spans="4:52">
      <c r="D352">
        <v>345</v>
      </c>
      <c r="E352" s="6">
        <f t="shared" ca="1" si="202"/>
        <v>42278</v>
      </c>
      <c r="F352" s="7">
        <f t="shared" ca="1" si="203"/>
        <v>0</v>
      </c>
      <c r="G352" s="125">
        <f ca="1">IF('Simulador - 1º Pilar'!$E$99="Sí",IF('Aportaciones PPE'!$B$13&lt;'Aportaciones PPE'!E352,0,F352*$B$8/12),F352*$B$8/12)</f>
        <v>0</v>
      </c>
      <c r="H352" s="125">
        <f t="shared" ca="1" si="192"/>
        <v>0</v>
      </c>
      <c r="I352" s="125">
        <f t="shared" ca="1" si="204"/>
        <v>0</v>
      </c>
      <c r="J352" s="125">
        <f t="shared" ca="1" si="205"/>
        <v>0</v>
      </c>
      <c r="K352" s="125">
        <f t="shared" ca="1" si="206"/>
        <v>0</v>
      </c>
      <c r="L352" s="125">
        <f t="shared" ca="1" si="224"/>
        <v>0</v>
      </c>
      <c r="M352" s="125">
        <f t="shared" ca="1" si="207"/>
        <v>0</v>
      </c>
      <c r="N352" s="125">
        <f t="shared" ca="1" si="208"/>
        <v>0</v>
      </c>
      <c r="R352">
        <f t="shared" si="225"/>
        <v>345</v>
      </c>
      <c r="U352" s="55"/>
      <c r="V352">
        <f t="shared" si="226"/>
        <v>10</v>
      </c>
      <c r="W352">
        <f t="shared" ca="1" si="227"/>
        <v>2052</v>
      </c>
      <c r="X352" s="123">
        <f t="shared" ca="1" si="209"/>
        <v>55793</v>
      </c>
      <c r="Y352" s="64">
        <f t="shared" ca="1" si="210"/>
        <v>0</v>
      </c>
      <c r="Z352" s="64">
        <f t="shared" ca="1" si="211"/>
        <v>0</v>
      </c>
      <c r="AA352" s="64">
        <f t="shared" ca="1" si="212"/>
        <v>0</v>
      </c>
      <c r="AB352" s="64">
        <f t="shared" ca="1" si="213"/>
        <v>0</v>
      </c>
      <c r="AF352" t="str">
        <f t="shared" ca="1" si="193"/>
        <v>102015</v>
      </c>
      <c r="AG352" s="126">
        <f t="shared" ca="1" si="194"/>
        <v>0</v>
      </c>
      <c r="AH352" s="126">
        <f t="shared" ca="1" si="195"/>
        <v>0</v>
      </c>
      <c r="AI352" s="126">
        <f t="shared" ca="1" si="196"/>
        <v>0</v>
      </c>
      <c r="AJ352" t="str">
        <f t="shared" ca="1" si="197"/>
        <v>102052</v>
      </c>
      <c r="AK352" s="126">
        <f t="shared" ca="1" si="214"/>
        <v>0</v>
      </c>
      <c r="AL352" s="126">
        <f t="shared" ca="1" si="215"/>
        <v>0</v>
      </c>
      <c r="AM352" s="126">
        <f t="shared" ca="1" si="228"/>
        <v>0</v>
      </c>
      <c r="AN352" s="753">
        <f t="shared" ca="1" si="229"/>
        <v>0</v>
      </c>
      <c r="AO352" s="750">
        <f t="shared" ca="1" si="216"/>
        <v>0</v>
      </c>
      <c r="AP352" s="126">
        <f t="shared" ca="1" si="217"/>
        <v>0</v>
      </c>
      <c r="AQ352" s="126">
        <f t="shared" ca="1" si="218"/>
        <v>0</v>
      </c>
      <c r="AR352" s="126">
        <f t="shared" ca="1" si="198"/>
        <v>10000</v>
      </c>
      <c r="AS352" s="750">
        <f t="shared" ca="1" si="199"/>
        <v>0</v>
      </c>
      <c r="AT352" s="750">
        <f t="shared" ca="1" si="200"/>
        <v>0</v>
      </c>
      <c r="AU352" s="126">
        <f t="shared" ca="1" si="219"/>
        <v>0</v>
      </c>
      <c r="AV352" s="126">
        <f t="shared" ca="1" si="220"/>
        <v>0</v>
      </c>
      <c r="AW352" s="126">
        <f t="shared" ca="1" si="201"/>
        <v>10000</v>
      </c>
      <c r="AX352" s="750">
        <f t="shared" ca="1" si="221"/>
        <v>0</v>
      </c>
      <c r="AY352" s="750">
        <f t="shared" ca="1" si="222"/>
        <v>0</v>
      </c>
      <c r="AZ352">
        <f t="shared" si="223"/>
        <v>5750</v>
      </c>
    </row>
    <row r="353" spans="4:52">
      <c r="D353">
        <v>346</v>
      </c>
      <c r="E353" s="6">
        <f t="shared" ca="1" si="202"/>
        <v>42248</v>
      </c>
      <c r="F353" s="7">
        <f t="shared" ca="1" si="203"/>
        <v>0</v>
      </c>
      <c r="G353" s="125">
        <f ca="1">IF('Simulador - 1º Pilar'!$E$99="Sí",IF('Aportaciones PPE'!$B$13&lt;'Aportaciones PPE'!E353,0,F353*$B$8/12),F353*$B$8/12)</f>
        <v>0</v>
      </c>
      <c r="H353" s="125">
        <f t="shared" ca="1" si="192"/>
        <v>0</v>
      </c>
      <c r="I353" s="125">
        <f t="shared" ca="1" si="204"/>
        <v>0</v>
      </c>
      <c r="J353" s="125">
        <f t="shared" ca="1" si="205"/>
        <v>0</v>
      </c>
      <c r="K353" s="125">
        <f t="shared" ca="1" si="206"/>
        <v>0</v>
      </c>
      <c r="L353" s="125">
        <f t="shared" ca="1" si="224"/>
        <v>0</v>
      </c>
      <c r="M353" s="125">
        <f t="shared" ca="1" si="207"/>
        <v>0</v>
      </c>
      <c r="N353" s="125">
        <f t="shared" ca="1" si="208"/>
        <v>0</v>
      </c>
      <c r="R353">
        <f t="shared" si="225"/>
        <v>346</v>
      </c>
      <c r="U353" s="55"/>
      <c r="V353">
        <f t="shared" si="226"/>
        <v>11</v>
      </c>
      <c r="W353">
        <f t="shared" ca="1" si="227"/>
        <v>2052</v>
      </c>
      <c r="X353" s="123">
        <f t="shared" ca="1" si="209"/>
        <v>55824</v>
      </c>
      <c r="Y353" s="64">
        <f t="shared" ca="1" si="210"/>
        <v>0</v>
      </c>
      <c r="Z353" s="64">
        <f t="shared" ca="1" si="211"/>
        <v>0</v>
      </c>
      <c r="AA353" s="64">
        <f t="shared" ca="1" si="212"/>
        <v>0</v>
      </c>
      <c r="AB353" s="64">
        <f t="shared" ca="1" si="213"/>
        <v>0</v>
      </c>
      <c r="AF353" t="str">
        <f t="shared" ca="1" si="193"/>
        <v>92015</v>
      </c>
      <c r="AG353" s="126">
        <f t="shared" ca="1" si="194"/>
        <v>0</v>
      </c>
      <c r="AH353" s="126">
        <f t="shared" ca="1" si="195"/>
        <v>0</v>
      </c>
      <c r="AI353" s="126">
        <f t="shared" ca="1" si="196"/>
        <v>0</v>
      </c>
      <c r="AJ353" t="str">
        <f t="shared" ca="1" si="197"/>
        <v>112052</v>
      </c>
      <c r="AK353" s="126">
        <f t="shared" ca="1" si="214"/>
        <v>0</v>
      </c>
      <c r="AL353" s="126">
        <f t="shared" ca="1" si="215"/>
        <v>0</v>
      </c>
      <c r="AM353" s="126">
        <f t="shared" ca="1" si="228"/>
        <v>0</v>
      </c>
      <c r="AN353" s="753">
        <f t="shared" ca="1" si="229"/>
        <v>0</v>
      </c>
      <c r="AO353" s="750">
        <f t="shared" ca="1" si="216"/>
        <v>0</v>
      </c>
      <c r="AP353" s="126">
        <f t="shared" ca="1" si="217"/>
        <v>0</v>
      </c>
      <c r="AQ353" s="126">
        <f t="shared" ca="1" si="218"/>
        <v>0</v>
      </c>
      <c r="AR353" s="126">
        <f t="shared" ca="1" si="198"/>
        <v>10000</v>
      </c>
      <c r="AS353" s="750">
        <f t="shared" ca="1" si="199"/>
        <v>0</v>
      </c>
      <c r="AT353" s="750">
        <f t="shared" ca="1" si="200"/>
        <v>0</v>
      </c>
      <c r="AU353" s="126">
        <f t="shared" ca="1" si="219"/>
        <v>0</v>
      </c>
      <c r="AV353" s="126">
        <f t="shared" ca="1" si="220"/>
        <v>0</v>
      </c>
      <c r="AW353" s="126">
        <f t="shared" ca="1" si="201"/>
        <v>10000</v>
      </c>
      <c r="AX353" s="750">
        <f t="shared" ca="1" si="221"/>
        <v>0</v>
      </c>
      <c r="AY353" s="750">
        <f t="shared" ca="1" si="222"/>
        <v>0</v>
      </c>
      <c r="AZ353">
        <f t="shared" si="223"/>
        <v>5750</v>
      </c>
    </row>
    <row r="354" spans="4:52">
      <c r="D354">
        <v>347</v>
      </c>
      <c r="E354" s="6">
        <f t="shared" ca="1" si="202"/>
        <v>42217</v>
      </c>
      <c r="F354" s="7">
        <f t="shared" ca="1" si="203"/>
        <v>0</v>
      </c>
      <c r="G354" s="125">
        <f ca="1">IF('Simulador - 1º Pilar'!$E$99="Sí",IF('Aportaciones PPE'!$B$13&lt;'Aportaciones PPE'!E354,0,F354*$B$8/12),F354*$B$8/12)</f>
        <v>0</v>
      </c>
      <c r="H354" s="125">
        <f t="shared" ca="1" si="192"/>
        <v>0</v>
      </c>
      <c r="I354" s="125">
        <f t="shared" ca="1" si="204"/>
        <v>0</v>
      </c>
      <c r="J354" s="125">
        <f t="shared" ca="1" si="205"/>
        <v>0</v>
      </c>
      <c r="K354" s="125">
        <f t="shared" ca="1" si="206"/>
        <v>0</v>
      </c>
      <c r="L354" s="125">
        <f t="shared" ca="1" si="224"/>
        <v>0</v>
      </c>
      <c r="M354" s="125">
        <f t="shared" ca="1" si="207"/>
        <v>0</v>
      </c>
      <c r="N354" s="125">
        <f t="shared" ca="1" si="208"/>
        <v>0</v>
      </c>
      <c r="R354">
        <f t="shared" si="225"/>
        <v>347</v>
      </c>
      <c r="U354" s="55"/>
      <c r="V354">
        <f t="shared" si="226"/>
        <v>12</v>
      </c>
      <c r="W354">
        <f t="shared" ca="1" si="227"/>
        <v>2052</v>
      </c>
      <c r="X354" s="123">
        <f t="shared" ca="1" si="209"/>
        <v>55854</v>
      </c>
      <c r="Y354" s="64">
        <f t="shared" ca="1" si="210"/>
        <v>0</v>
      </c>
      <c r="Z354" s="64">
        <f t="shared" ca="1" si="211"/>
        <v>0</v>
      </c>
      <c r="AA354" s="64">
        <f t="shared" ca="1" si="212"/>
        <v>0</v>
      </c>
      <c r="AB354" s="64">
        <f t="shared" ca="1" si="213"/>
        <v>0</v>
      </c>
      <c r="AF354" t="str">
        <f t="shared" ca="1" si="193"/>
        <v>82015</v>
      </c>
      <c r="AG354" s="126">
        <f t="shared" ca="1" si="194"/>
        <v>0</v>
      </c>
      <c r="AH354" s="126">
        <f t="shared" ca="1" si="195"/>
        <v>0</v>
      </c>
      <c r="AI354" s="126">
        <f t="shared" ca="1" si="196"/>
        <v>0</v>
      </c>
      <c r="AJ354" t="str">
        <f t="shared" ca="1" si="197"/>
        <v>122052</v>
      </c>
      <c r="AK354" s="126">
        <f t="shared" ca="1" si="214"/>
        <v>0</v>
      </c>
      <c r="AL354" s="126">
        <f t="shared" ca="1" si="215"/>
        <v>0</v>
      </c>
      <c r="AM354" s="126">
        <f t="shared" ca="1" si="228"/>
        <v>0</v>
      </c>
      <c r="AN354" s="753">
        <f t="shared" ca="1" si="229"/>
        <v>0</v>
      </c>
      <c r="AO354" s="750">
        <f t="shared" ca="1" si="216"/>
        <v>0</v>
      </c>
      <c r="AP354" s="126">
        <f t="shared" ca="1" si="217"/>
        <v>0</v>
      </c>
      <c r="AQ354" s="126">
        <f t="shared" ca="1" si="218"/>
        <v>0</v>
      </c>
      <c r="AR354" s="126">
        <f t="shared" ca="1" si="198"/>
        <v>10000</v>
      </c>
      <c r="AS354" s="750">
        <f t="shared" ca="1" si="199"/>
        <v>0</v>
      </c>
      <c r="AT354" s="750">
        <f t="shared" ca="1" si="200"/>
        <v>0</v>
      </c>
      <c r="AU354" s="126">
        <f t="shared" ca="1" si="219"/>
        <v>0</v>
      </c>
      <c r="AV354" s="126">
        <f t="shared" ca="1" si="220"/>
        <v>0</v>
      </c>
      <c r="AW354" s="126">
        <f t="shared" ca="1" si="201"/>
        <v>10000</v>
      </c>
      <c r="AX354" s="750">
        <f t="shared" ca="1" si="221"/>
        <v>0</v>
      </c>
      <c r="AY354" s="750">
        <f t="shared" ca="1" si="222"/>
        <v>0</v>
      </c>
      <c r="AZ354">
        <f t="shared" si="223"/>
        <v>5750</v>
      </c>
    </row>
    <row r="355" spans="4:52">
      <c r="D355">
        <v>348</v>
      </c>
      <c r="E355" s="6">
        <f t="shared" ca="1" si="202"/>
        <v>42186</v>
      </c>
      <c r="F355" s="7">
        <f t="shared" ca="1" si="203"/>
        <v>0</v>
      </c>
      <c r="G355" s="125">
        <f ca="1">IF('Simulador - 1º Pilar'!$E$99="Sí",IF('Aportaciones PPE'!$B$13&lt;'Aportaciones PPE'!E355,0,F355*$B$8/12),F355*$B$8/12)</f>
        <v>0</v>
      </c>
      <c r="H355" s="125">
        <f t="shared" ca="1" si="192"/>
        <v>0</v>
      </c>
      <c r="I355" s="125">
        <f t="shared" ca="1" si="204"/>
        <v>0</v>
      </c>
      <c r="J355" s="125">
        <f t="shared" ca="1" si="205"/>
        <v>0</v>
      </c>
      <c r="K355" s="125">
        <f t="shared" ca="1" si="206"/>
        <v>0</v>
      </c>
      <c r="L355" s="125">
        <f t="shared" ca="1" si="224"/>
        <v>0</v>
      </c>
      <c r="M355" s="125">
        <f t="shared" ca="1" si="207"/>
        <v>0</v>
      </c>
      <c r="N355" s="125">
        <f t="shared" ca="1" si="208"/>
        <v>0</v>
      </c>
      <c r="R355">
        <f t="shared" si="225"/>
        <v>348</v>
      </c>
      <c r="U355" s="55"/>
      <c r="V355">
        <f t="shared" si="226"/>
        <v>1</v>
      </c>
      <c r="W355">
        <f t="shared" ca="1" si="227"/>
        <v>2053</v>
      </c>
      <c r="X355" s="123">
        <f t="shared" ca="1" si="209"/>
        <v>55885</v>
      </c>
      <c r="Y355" s="64">
        <f t="shared" ca="1" si="210"/>
        <v>0</v>
      </c>
      <c r="Z355" s="64">
        <f t="shared" ca="1" si="211"/>
        <v>0</v>
      </c>
      <c r="AA355" s="64">
        <f t="shared" ca="1" si="212"/>
        <v>0</v>
      </c>
      <c r="AB355" s="64">
        <f t="shared" ca="1" si="213"/>
        <v>0</v>
      </c>
      <c r="AF355" t="str">
        <f t="shared" ca="1" si="193"/>
        <v>72015</v>
      </c>
      <c r="AG355" s="126">
        <f t="shared" ca="1" si="194"/>
        <v>0</v>
      </c>
      <c r="AH355" s="126">
        <f t="shared" ca="1" si="195"/>
        <v>0</v>
      </c>
      <c r="AI355" s="126">
        <f t="shared" ca="1" si="196"/>
        <v>0</v>
      </c>
      <c r="AJ355" t="str">
        <f t="shared" ca="1" si="197"/>
        <v>12053</v>
      </c>
      <c r="AK355" s="126">
        <f t="shared" ca="1" si="214"/>
        <v>0</v>
      </c>
      <c r="AL355" s="126">
        <f t="shared" ca="1" si="215"/>
        <v>0</v>
      </c>
      <c r="AM355" s="126">
        <f t="shared" ca="1" si="228"/>
        <v>0</v>
      </c>
      <c r="AN355" s="753">
        <f t="shared" ca="1" si="229"/>
        <v>0</v>
      </c>
      <c r="AO355" s="750">
        <f t="shared" ca="1" si="216"/>
        <v>0</v>
      </c>
      <c r="AP355" s="126">
        <f t="shared" ca="1" si="217"/>
        <v>0</v>
      </c>
      <c r="AQ355" s="126">
        <f t="shared" ca="1" si="218"/>
        <v>0</v>
      </c>
      <c r="AR355" s="126">
        <f t="shared" ca="1" si="198"/>
        <v>10000</v>
      </c>
      <c r="AS355" s="750">
        <f t="shared" ca="1" si="199"/>
        <v>0</v>
      </c>
      <c r="AT355" s="750">
        <f t="shared" ca="1" si="200"/>
        <v>0</v>
      </c>
      <c r="AU355" s="126">
        <f t="shared" ca="1" si="219"/>
        <v>0</v>
      </c>
      <c r="AV355" s="126">
        <f t="shared" ca="1" si="220"/>
        <v>0</v>
      </c>
      <c r="AW355" s="126">
        <f t="shared" ca="1" si="201"/>
        <v>10000</v>
      </c>
      <c r="AX355" s="750">
        <f t="shared" ca="1" si="221"/>
        <v>0</v>
      </c>
      <c r="AY355" s="750">
        <f t="shared" ca="1" si="222"/>
        <v>0</v>
      </c>
      <c r="AZ355">
        <f t="shared" si="223"/>
        <v>5750</v>
      </c>
    </row>
    <row r="356" spans="4:52">
      <c r="D356">
        <v>349</v>
      </c>
      <c r="E356" s="6">
        <f t="shared" ca="1" si="202"/>
        <v>42156</v>
      </c>
      <c r="F356" s="7">
        <f t="shared" ca="1" si="203"/>
        <v>0</v>
      </c>
      <c r="G356" s="125">
        <f ca="1">IF('Simulador - 1º Pilar'!$E$99="Sí",IF('Aportaciones PPE'!$B$13&lt;'Aportaciones PPE'!E356,0,F356*$B$8/12),F356*$B$8/12)</f>
        <v>0</v>
      </c>
      <c r="H356" s="125">
        <f t="shared" ca="1" si="192"/>
        <v>0</v>
      </c>
      <c r="I356" s="125">
        <f t="shared" ca="1" si="204"/>
        <v>0</v>
      </c>
      <c r="J356" s="125">
        <f t="shared" ca="1" si="205"/>
        <v>0</v>
      </c>
      <c r="K356" s="125">
        <f t="shared" ca="1" si="206"/>
        <v>0</v>
      </c>
      <c r="L356" s="125">
        <f t="shared" ca="1" si="224"/>
        <v>0</v>
      </c>
      <c r="M356" s="125">
        <f t="shared" ca="1" si="207"/>
        <v>0</v>
      </c>
      <c r="N356" s="125">
        <f t="shared" ca="1" si="208"/>
        <v>0</v>
      </c>
      <c r="R356">
        <f t="shared" si="225"/>
        <v>349</v>
      </c>
      <c r="U356" s="55"/>
      <c r="V356">
        <f t="shared" si="226"/>
        <v>2</v>
      </c>
      <c r="W356">
        <f t="shared" ca="1" si="227"/>
        <v>2053</v>
      </c>
      <c r="X356" s="123">
        <f t="shared" ca="1" si="209"/>
        <v>55916</v>
      </c>
      <c r="Y356" s="64">
        <f t="shared" ca="1" si="210"/>
        <v>0</v>
      </c>
      <c r="Z356" s="64">
        <f t="shared" ca="1" si="211"/>
        <v>0</v>
      </c>
      <c r="AA356" s="64">
        <f t="shared" ca="1" si="212"/>
        <v>0</v>
      </c>
      <c r="AB356" s="64">
        <f t="shared" ca="1" si="213"/>
        <v>0</v>
      </c>
      <c r="AF356" t="str">
        <f t="shared" ca="1" si="193"/>
        <v>62015</v>
      </c>
      <c r="AG356" s="126">
        <f t="shared" ca="1" si="194"/>
        <v>0</v>
      </c>
      <c r="AH356" s="126">
        <f t="shared" ca="1" si="195"/>
        <v>0</v>
      </c>
      <c r="AI356" s="126">
        <f t="shared" ca="1" si="196"/>
        <v>0</v>
      </c>
      <c r="AJ356" t="str">
        <f t="shared" ca="1" si="197"/>
        <v>22053</v>
      </c>
      <c r="AK356" s="126">
        <f t="shared" ca="1" si="214"/>
        <v>0</v>
      </c>
      <c r="AL356" s="126">
        <f t="shared" ca="1" si="215"/>
        <v>0</v>
      </c>
      <c r="AM356" s="126">
        <f t="shared" ca="1" si="228"/>
        <v>0</v>
      </c>
      <c r="AN356" s="753">
        <f t="shared" ca="1" si="229"/>
        <v>0</v>
      </c>
      <c r="AO356" s="750">
        <f t="shared" ca="1" si="216"/>
        <v>0</v>
      </c>
      <c r="AP356" s="126">
        <f t="shared" ca="1" si="217"/>
        <v>0</v>
      </c>
      <c r="AQ356" s="126">
        <f t="shared" ca="1" si="218"/>
        <v>0</v>
      </c>
      <c r="AR356" s="126">
        <f t="shared" ca="1" si="198"/>
        <v>10000</v>
      </c>
      <c r="AS356" s="750">
        <f t="shared" ca="1" si="199"/>
        <v>0</v>
      </c>
      <c r="AT356" s="750">
        <f t="shared" ca="1" si="200"/>
        <v>0</v>
      </c>
      <c r="AU356" s="126">
        <f t="shared" ca="1" si="219"/>
        <v>0</v>
      </c>
      <c r="AV356" s="126">
        <f t="shared" ca="1" si="220"/>
        <v>0</v>
      </c>
      <c r="AW356" s="126">
        <f t="shared" ca="1" si="201"/>
        <v>10000</v>
      </c>
      <c r="AX356" s="750">
        <f t="shared" ca="1" si="221"/>
        <v>0</v>
      </c>
      <c r="AY356" s="750">
        <f t="shared" ca="1" si="222"/>
        <v>0</v>
      </c>
      <c r="AZ356">
        <f t="shared" si="223"/>
        <v>5750</v>
      </c>
    </row>
    <row r="357" spans="4:52">
      <c r="D357">
        <v>350</v>
      </c>
      <c r="E357" s="6">
        <f t="shared" ca="1" si="202"/>
        <v>42125</v>
      </c>
      <c r="F357" s="7">
        <f t="shared" ca="1" si="203"/>
        <v>0</v>
      </c>
      <c r="G357" s="125">
        <f ca="1">IF('Simulador - 1º Pilar'!$E$99="Sí",IF('Aportaciones PPE'!$B$13&lt;'Aportaciones PPE'!E357,0,F357*$B$8/12),F357*$B$8/12)</f>
        <v>0</v>
      </c>
      <c r="H357" s="125">
        <f t="shared" ca="1" si="192"/>
        <v>0</v>
      </c>
      <c r="I357" s="125">
        <f t="shared" ca="1" si="204"/>
        <v>0</v>
      </c>
      <c r="J357" s="125">
        <f t="shared" ca="1" si="205"/>
        <v>0</v>
      </c>
      <c r="K357" s="125">
        <f t="shared" ca="1" si="206"/>
        <v>0</v>
      </c>
      <c r="L357" s="125">
        <f t="shared" ca="1" si="224"/>
        <v>0</v>
      </c>
      <c r="M357" s="125">
        <f t="shared" ca="1" si="207"/>
        <v>0</v>
      </c>
      <c r="N357" s="125">
        <f t="shared" ca="1" si="208"/>
        <v>0</v>
      </c>
      <c r="R357">
        <f t="shared" si="225"/>
        <v>350</v>
      </c>
      <c r="U357" s="55"/>
      <c r="V357">
        <f t="shared" si="226"/>
        <v>3</v>
      </c>
      <c r="W357">
        <f t="shared" ca="1" si="227"/>
        <v>2053</v>
      </c>
      <c r="X357" s="123">
        <f t="shared" ca="1" si="209"/>
        <v>55944</v>
      </c>
      <c r="Y357" s="64">
        <f t="shared" ca="1" si="210"/>
        <v>0</v>
      </c>
      <c r="Z357" s="64">
        <f t="shared" ca="1" si="211"/>
        <v>0</v>
      </c>
      <c r="AA357" s="64">
        <f t="shared" ca="1" si="212"/>
        <v>0</v>
      </c>
      <c r="AB357" s="64">
        <f t="shared" ca="1" si="213"/>
        <v>0</v>
      </c>
      <c r="AF357" t="str">
        <f t="shared" ca="1" si="193"/>
        <v>52015</v>
      </c>
      <c r="AG357" s="126">
        <f t="shared" ca="1" si="194"/>
        <v>0</v>
      </c>
      <c r="AH357" s="126">
        <f t="shared" ca="1" si="195"/>
        <v>0</v>
      </c>
      <c r="AI357" s="126">
        <f t="shared" ca="1" si="196"/>
        <v>0</v>
      </c>
      <c r="AJ357" t="str">
        <f t="shared" ca="1" si="197"/>
        <v>32053</v>
      </c>
      <c r="AK357" s="126">
        <f t="shared" ca="1" si="214"/>
        <v>0</v>
      </c>
      <c r="AL357" s="126">
        <f t="shared" ca="1" si="215"/>
        <v>0</v>
      </c>
      <c r="AM357" s="126">
        <f t="shared" ca="1" si="228"/>
        <v>0</v>
      </c>
      <c r="AN357" s="753">
        <f t="shared" ca="1" si="229"/>
        <v>0</v>
      </c>
      <c r="AO357" s="750">
        <f t="shared" ca="1" si="216"/>
        <v>0</v>
      </c>
      <c r="AP357" s="126">
        <f t="shared" ca="1" si="217"/>
        <v>0</v>
      </c>
      <c r="AQ357" s="126">
        <f t="shared" ca="1" si="218"/>
        <v>0</v>
      </c>
      <c r="AR357" s="126">
        <f t="shared" ca="1" si="198"/>
        <v>10000</v>
      </c>
      <c r="AS357" s="750">
        <f t="shared" ca="1" si="199"/>
        <v>0</v>
      </c>
      <c r="AT357" s="750">
        <f t="shared" ca="1" si="200"/>
        <v>0</v>
      </c>
      <c r="AU357" s="126">
        <f t="shared" ca="1" si="219"/>
        <v>0</v>
      </c>
      <c r="AV357" s="126">
        <f t="shared" ca="1" si="220"/>
        <v>0</v>
      </c>
      <c r="AW357" s="126">
        <f t="shared" ca="1" si="201"/>
        <v>10000</v>
      </c>
      <c r="AX357" s="750">
        <f t="shared" ca="1" si="221"/>
        <v>0</v>
      </c>
      <c r="AY357" s="750">
        <f t="shared" ca="1" si="222"/>
        <v>0</v>
      </c>
      <c r="AZ357">
        <f t="shared" si="223"/>
        <v>5750</v>
      </c>
    </row>
    <row r="358" spans="4:52">
      <c r="D358">
        <v>351</v>
      </c>
      <c r="E358" s="6">
        <f t="shared" ca="1" si="202"/>
        <v>42095</v>
      </c>
      <c r="F358" s="7">
        <f t="shared" ca="1" si="203"/>
        <v>0</v>
      </c>
      <c r="G358" s="125">
        <f ca="1">IF('Simulador - 1º Pilar'!$E$99="Sí",IF('Aportaciones PPE'!$B$13&lt;'Aportaciones PPE'!E358,0,F358*$B$8/12),F358*$B$8/12)</f>
        <v>0</v>
      </c>
      <c r="H358" s="125">
        <f t="shared" ca="1" si="192"/>
        <v>0</v>
      </c>
      <c r="I358" s="125">
        <f t="shared" ca="1" si="204"/>
        <v>0</v>
      </c>
      <c r="J358" s="125">
        <f t="shared" ca="1" si="205"/>
        <v>0</v>
      </c>
      <c r="K358" s="125">
        <f t="shared" ca="1" si="206"/>
        <v>0</v>
      </c>
      <c r="L358" s="125">
        <f t="shared" ca="1" si="224"/>
        <v>0</v>
      </c>
      <c r="M358" s="125">
        <f t="shared" ca="1" si="207"/>
        <v>0</v>
      </c>
      <c r="N358" s="125">
        <f t="shared" ca="1" si="208"/>
        <v>0</v>
      </c>
      <c r="R358">
        <f t="shared" si="225"/>
        <v>351</v>
      </c>
      <c r="U358" s="55"/>
      <c r="V358">
        <f t="shared" si="226"/>
        <v>4</v>
      </c>
      <c r="W358">
        <f t="shared" ca="1" si="227"/>
        <v>2053</v>
      </c>
      <c r="X358" s="123">
        <f t="shared" ca="1" si="209"/>
        <v>55975</v>
      </c>
      <c r="Y358" s="64">
        <f t="shared" ca="1" si="210"/>
        <v>0</v>
      </c>
      <c r="Z358" s="64">
        <f t="shared" ca="1" si="211"/>
        <v>0</v>
      </c>
      <c r="AA358" s="64">
        <f t="shared" ca="1" si="212"/>
        <v>0</v>
      </c>
      <c r="AB358" s="64">
        <f t="shared" ca="1" si="213"/>
        <v>0</v>
      </c>
      <c r="AF358" t="str">
        <f t="shared" ca="1" si="193"/>
        <v>42015</v>
      </c>
      <c r="AG358" s="126">
        <f t="shared" ca="1" si="194"/>
        <v>0</v>
      </c>
      <c r="AH358" s="126">
        <f t="shared" ca="1" si="195"/>
        <v>0</v>
      </c>
      <c r="AI358" s="126">
        <f t="shared" ca="1" si="196"/>
        <v>0</v>
      </c>
      <c r="AJ358" t="str">
        <f t="shared" ca="1" si="197"/>
        <v>42053</v>
      </c>
      <c r="AK358" s="126">
        <f t="shared" ca="1" si="214"/>
        <v>0</v>
      </c>
      <c r="AL358" s="126">
        <f t="shared" ca="1" si="215"/>
        <v>0</v>
      </c>
      <c r="AM358" s="126">
        <f t="shared" ca="1" si="228"/>
        <v>0</v>
      </c>
      <c r="AN358" s="753">
        <f t="shared" ca="1" si="229"/>
        <v>0</v>
      </c>
      <c r="AO358" s="750">
        <f t="shared" ca="1" si="216"/>
        <v>0</v>
      </c>
      <c r="AP358" s="126">
        <f t="shared" ca="1" si="217"/>
        <v>0</v>
      </c>
      <c r="AQ358" s="126">
        <f t="shared" ca="1" si="218"/>
        <v>0</v>
      </c>
      <c r="AR358" s="126">
        <f t="shared" ca="1" si="198"/>
        <v>10000</v>
      </c>
      <c r="AS358" s="750">
        <f t="shared" ca="1" si="199"/>
        <v>0</v>
      </c>
      <c r="AT358" s="750">
        <f t="shared" ca="1" si="200"/>
        <v>0</v>
      </c>
      <c r="AU358" s="126">
        <f t="shared" ca="1" si="219"/>
        <v>0</v>
      </c>
      <c r="AV358" s="126">
        <f t="shared" ca="1" si="220"/>
        <v>0</v>
      </c>
      <c r="AW358" s="126">
        <f t="shared" ca="1" si="201"/>
        <v>10000</v>
      </c>
      <c r="AX358" s="750">
        <f t="shared" ca="1" si="221"/>
        <v>0</v>
      </c>
      <c r="AY358" s="750">
        <f t="shared" ca="1" si="222"/>
        <v>0</v>
      </c>
      <c r="AZ358">
        <f t="shared" si="223"/>
        <v>5750</v>
      </c>
    </row>
    <row r="359" spans="4:52">
      <c r="D359">
        <v>352</v>
      </c>
      <c r="E359" s="6">
        <f t="shared" ca="1" si="202"/>
        <v>42064</v>
      </c>
      <c r="F359" s="7">
        <f t="shared" ca="1" si="203"/>
        <v>0</v>
      </c>
      <c r="G359" s="125">
        <f ca="1">IF('Simulador - 1º Pilar'!$E$99="Sí",IF('Aportaciones PPE'!$B$13&lt;'Aportaciones PPE'!E359,0,F359*$B$8/12),F359*$B$8/12)</f>
        <v>0</v>
      </c>
      <c r="H359" s="125">
        <f t="shared" ca="1" si="192"/>
        <v>0</v>
      </c>
      <c r="I359" s="125">
        <f t="shared" ca="1" si="204"/>
        <v>0</v>
      </c>
      <c r="J359" s="125">
        <f t="shared" ca="1" si="205"/>
        <v>0</v>
      </c>
      <c r="K359" s="125">
        <f t="shared" ca="1" si="206"/>
        <v>0</v>
      </c>
      <c r="L359" s="125">
        <f t="shared" ca="1" si="224"/>
        <v>0</v>
      </c>
      <c r="M359" s="125">
        <f t="shared" ca="1" si="207"/>
        <v>0</v>
      </c>
      <c r="N359" s="125">
        <f t="shared" ca="1" si="208"/>
        <v>0</v>
      </c>
      <c r="R359">
        <f t="shared" si="225"/>
        <v>352</v>
      </c>
      <c r="U359" s="55"/>
      <c r="V359">
        <f t="shared" si="226"/>
        <v>5</v>
      </c>
      <c r="W359">
        <f t="shared" ca="1" si="227"/>
        <v>2053</v>
      </c>
      <c r="X359" s="123">
        <f t="shared" ca="1" si="209"/>
        <v>56005</v>
      </c>
      <c r="Y359" s="64">
        <f t="shared" ca="1" si="210"/>
        <v>0</v>
      </c>
      <c r="Z359" s="64">
        <f t="shared" ca="1" si="211"/>
        <v>0</v>
      </c>
      <c r="AA359" s="64">
        <f t="shared" ca="1" si="212"/>
        <v>0</v>
      </c>
      <c r="AB359" s="64">
        <f t="shared" ca="1" si="213"/>
        <v>0</v>
      </c>
      <c r="AF359" t="str">
        <f t="shared" ca="1" si="193"/>
        <v>32015</v>
      </c>
      <c r="AG359" s="126">
        <f t="shared" ca="1" si="194"/>
        <v>0</v>
      </c>
      <c r="AH359" s="126">
        <f t="shared" ca="1" si="195"/>
        <v>0</v>
      </c>
      <c r="AI359" s="126">
        <f t="shared" ca="1" si="196"/>
        <v>0</v>
      </c>
      <c r="AJ359" t="str">
        <f t="shared" ca="1" si="197"/>
        <v>52053</v>
      </c>
      <c r="AK359" s="126">
        <f t="shared" ca="1" si="214"/>
        <v>0</v>
      </c>
      <c r="AL359" s="126">
        <f t="shared" ca="1" si="215"/>
        <v>0</v>
      </c>
      <c r="AM359" s="126">
        <f t="shared" ca="1" si="228"/>
        <v>0</v>
      </c>
      <c r="AN359" s="753">
        <f t="shared" ca="1" si="229"/>
        <v>0</v>
      </c>
      <c r="AO359" s="750">
        <f t="shared" ca="1" si="216"/>
        <v>0</v>
      </c>
      <c r="AP359" s="126">
        <f t="shared" ca="1" si="217"/>
        <v>0</v>
      </c>
      <c r="AQ359" s="126">
        <f t="shared" ca="1" si="218"/>
        <v>0</v>
      </c>
      <c r="AR359" s="126">
        <f t="shared" ca="1" si="198"/>
        <v>10000</v>
      </c>
      <c r="AS359" s="750">
        <f t="shared" ca="1" si="199"/>
        <v>0</v>
      </c>
      <c r="AT359" s="750">
        <f t="shared" ca="1" si="200"/>
        <v>0</v>
      </c>
      <c r="AU359" s="126">
        <f t="shared" ca="1" si="219"/>
        <v>0</v>
      </c>
      <c r="AV359" s="126">
        <f t="shared" ca="1" si="220"/>
        <v>0</v>
      </c>
      <c r="AW359" s="126">
        <f t="shared" ca="1" si="201"/>
        <v>10000</v>
      </c>
      <c r="AX359" s="750">
        <f t="shared" ca="1" si="221"/>
        <v>0</v>
      </c>
      <c r="AY359" s="750">
        <f t="shared" ca="1" si="222"/>
        <v>0</v>
      </c>
      <c r="AZ359">
        <f t="shared" si="223"/>
        <v>5750</v>
      </c>
    </row>
    <row r="360" spans="4:52">
      <c r="D360">
        <v>353</v>
      </c>
      <c r="E360" s="6">
        <f t="shared" ca="1" si="202"/>
        <v>42036</v>
      </c>
      <c r="F360" s="7">
        <f t="shared" ca="1" si="203"/>
        <v>0</v>
      </c>
      <c r="G360" s="125">
        <f ca="1">IF('Simulador - 1º Pilar'!$E$99="Sí",IF('Aportaciones PPE'!$B$13&lt;'Aportaciones PPE'!E360,0,F360*$B$8/12),F360*$B$8/12)</f>
        <v>0</v>
      </c>
      <c r="H360" s="125">
        <f t="shared" ca="1" si="192"/>
        <v>0</v>
      </c>
      <c r="I360" s="125">
        <f t="shared" ca="1" si="204"/>
        <v>0</v>
      </c>
      <c r="J360" s="125">
        <f t="shared" ca="1" si="205"/>
        <v>0</v>
      </c>
      <c r="K360" s="125">
        <f t="shared" ca="1" si="206"/>
        <v>0</v>
      </c>
      <c r="L360" s="125">
        <f t="shared" ca="1" si="224"/>
        <v>0</v>
      </c>
      <c r="M360" s="125">
        <f t="shared" ca="1" si="207"/>
        <v>0</v>
      </c>
      <c r="N360" s="125">
        <f t="shared" ca="1" si="208"/>
        <v>0</v>
      </c>
      <c r="R360">
        <f t="shared" si="225"/>
        <v>353</v>
      </c>
      <c r="U360" s="55"/>
      <c r="V360">
        <f t="shared" si="226"/>
        <v>6</v>
      </c>
      <c r="W360">
        <f t="shared" ca="1" si="227"/>
        <v>2053</v>
      </c>
      <c r="X360" s="123">
        <f t="shared" ca="1" si="209"/>
        <v>56036</v>
      </c>
      <c r="Y360" s="64">
        <f t="shared" ca="1" si="210"/>
        <v>0</v>
      </c>
      <c r="Z360" s="64">
        <f t="shared" ca="1" si="211"/>
        <v>0</v>
      </c>
      <c r="AA360" s="64">
        <f t="shared" ca="1" si="212"/>
        <v>0</v>
      </c>
      <c r="AB360" s="64">
        <f t="shared" ca="1" si="213"/>
        <v>0</v>
      </c>
      <c r="AF360" t="str">
        <f t="shared" ca="1" si="193"/>
        <v>22015</v>
      </c>
      <c r="AG360" s="126">
        <f t="shared" ca="1" si="194"/>
        <v>0</v>
      </c>
      <c r="AH360" s="126">
        <f t="shared" ca="1" si="195"/>
        <v>0</v>
      </c>
      <c r="AI360" s="126">
        <f t="shared" ca="1" si="196"/>
        <v>0</v>
      </c>
      <c r="AJ360" t="str">
        <f t="shared" ca="1" si="197"/>
        <v>62053</v>
      </c>
      <c r="AK360" s="126">
        <f t="shared" ca="1" si="214"/>
        <v>0</v>
      </c>
      <c r="AL360" s="126">
        <f t="shared" ca="1" si="215"/>
        <v>0</v>
      </c>
      <c r="AM360" s="126">
        <f t="shared" ca="1" si="228"/>
        <v>0</v>
      </c>
      <c r="AN360" s="753">
        <f t="shared" ca="1" si="229"/>
        <v>0</v>
      </c>
      <c r="AO360" s="750">
        <f t="shared" ca="1" si="216"/>
        <v>0</v>
      </c>
      <c r="AP360" s="126">
        <f t="shared" ca="1" si="217"/>
        <v>0</v>
      </c>
      <c r="AQ360" s="126">
        <f t="shared" ca="1" si="218"/>
        <v>0</v>
      </c>
      <c r="AR360" s="126">
        <f t="shared" ca="1" si="198"/>
        <v>10000</v>
      </c>
      <c r="AS360" s="750">
        <f t="shared" ca="1" si="199"/>
        <v>0</v>
      </c>
      <c r="AT360" s="750">
        <f t="shared" ca="1" si="200"/>
        <v>0</v>
      </c>
      <c r="AU360" s="126">
        <f t="shared" ca="1" si="219"/>
        <v>0</v>
      </c>
      <c r="AV360" s="126">
        <f t="shared" ca="1" si="220"/>
        <v>0</v>
      </c>
      <c r="AW360" s="126">
        <f t="shared" ca="1" si="201"/>
        <v>10000</v>
      </c>
      <c r="AX360" s="750">
        <f t="shared" ca="1" si="221"/>
        <v>0</v>
      </c>
      <c r="AY360" s="750">
        <f t="shared" ca="1" si="222"/>
        <v>0</v>
      </c>
      <c r="AZ360">
        <f t="shared" si="223"/>
        <v>5750</v>
      </c>
    </row>
    <row r="361" spans="4:52">
      <c r="D361">
        <v>354</v>
      </c>
      <c r="E361" s="6">
        <f t="shared" ca="1" si="202"/>
        <v>42005</v>
      </c>
      <c r="F361" s="7">
        <f t="shared" ca="1" si="203"/>
        <v>0</v>
      </c>
      <c r="G361" s="125">
        <f ca="1">IF('Simulador - 1º Pilar'!$E$99="Sí",IF('Aportaciones PPE'!$B$13&lt;'Aportaciones PPE'!E361,0,F361*$B$8/12),F361*$B$8/12)</f>
        <v>0</v>
      </c>
      <c r="H361" s="125">
        <f t="shared" ca="1" si="192"/>
        <v>0</v>
      </c>
      <c r="I361" s="125">
        <f t="shared" ca="1" si="204"/>
        <v>0</v>
      </c>
      <c r="J361" s="125">
        <f t="shared" ca="1" si="205"/>
        <v>0</v>
      </c>
      <c r="K361" s="125">
        <f t="shared" ca="1" si="206"/>
        <v>0</v>
      </c>
      <c r="L361" s="125">
        <f t="shared" ca="1" si="224"/>
        <v>0</v>
      </c>
      <c r="M361" s="125">
        <f t="shared" ca="1" si="207"/>
        <v>0</v>
      </c>
      <c r="N361" s="125">
        <f t="shared" ca="1" si="208"/>
        <v>0</v>
      </c>
      <c r="R361">
        <f t="shared" si="225"/>
        <v>354</v>
      </c>
      <c r="U361" s="55"/>
      <c r="V361">
        <f t="shared" si="226"/>
        <v>7</v>
      </c>
      <c r="W361">
        <f t="shared" ca="1" si="227"/>
        <v>2053</v>
      </c>
      <c r="X361" s="123">
        <f t="shared" ca="1" si="209"/>
        <v>56066</v>
      </c>
      <c r="Y361" s="64">
        <f t="shared" ca="1" si="210"/>
        <v>0</v>
      </c>
      <c r="Z361" s="64">
        <f t="shared" ca="1" si="211"/>
        <v>0</v>
      </c>
      <c r="AA361" s="64">
        <f t="shared" ca="1" si="212"/>
        <v>0</v>
      </c>
      <c r="AB361" s="64">
        <f t="shared" ca="1" si="213"/>
        <v>0</v>
      </c>
      <c r="AF361" t="str">
        <f t="shared" ca="1" si="193"/>
        <v>12015</v>
      </c>
      <c r="AG361" s="126">
        <f t="shared" ca="1" si="194"/>
        <v>0</v>
      </c>
      <c r="AH361" s="126">
        <f t="shared" ca="1" si="195"/>
        <v>0</v>
      </c>
      <c r="AI361" s="126">
        <f t="shared" ca="1" si="196"/>
        <v>0</v>
      </c>
      <c r="AJ361" t="str">
        <f t="shared" ca="1" si="197"/>
        <v>72053</v>
      </c>
      <c r="AK361" s="126">
        <f t="shared" ca="1" si="214"/>
        <v>0</v>
      </c>
      <c r="AL361" s="126">
        <f t="shared" ca="1" si="215"/>
        <v>0</v>
      </c>
      <c r="AM361" s="126">
        <f t="shared" ca="1" si="228"/>
        <v>0</v>
      </c>
      <c r="AN361" s="753">
        <f t="shared" ca="1" si="229"/>
        <v>0</v>
      </c>
      <c r="AO361" s="750">
        <f t="shared" ca="1" si="216"/>
        <v>0</v>
      </c>
      <c r="AP361" s="126">
        <f t="shared" ca="1" si="217"/>
        <v>0</v>
      </c>
      <c r="AQ361" s="126">
        <f t="shared" ca="1" si="218"/>
        <v>0</v>
      </c>
      <c r="AR361" s="126">
        <f t="shared" ca="1" si="198"/>
        <v>10000</v>
      </c>
      <c r="AS361" s="750">
        <f t="shared" ca="1" si="199"/>
        <v>0</v>
      </c>
      <c r="AT361" s="750">
        <f t="shared" ca="1" si="200"/>
        <v>0</v>
      </c>
      <c r="AU361" s="126">
        <f t="shared" ca="1" si="219"/>
        <v>0</v>
      </c>
      <c r="AV361" s="126">
        <f t="shared" ca="1" si="220"/>
        <v>0</v>
      </c>
      <c r="AW361" s="126">
        <f t="shared" ca="1" si="201"/>
        <v>10000</v>
      </c>
      <c r="AX361" s="750">
        <f t="shared" ca="1" si="221"/>
        <v>0</v>
      </c>
      <c r="AY361" s="750">
        <f t="shared" ca="1" si="222"/>
        <v>0</v>
      </c>
      <c r="AZ361">
        <f t="shared" si="223"/>
        <v>5750</v>
      </c>
    </row>
    <row r="362" spans="4:52">
      <c r="D362">
        <v>355</v>
      </c>
      <c r="E362" s="6">
        <f t="shared" ca="1" si="202"/>
        <v>41974</v>
      </c>
      <c r="F362" s="7">
        <f t="shared" ca="1" si="203"/>
        <v>0</v>
      </c>
      <c r="G362" s="125">
        <f ca="1">IF('Simulador - 1º Pilar'!$E$99="Sí",IF('Aportaciones PPE'!$B$13&lt;'Aportaciones PPE'!E362,0,F362*$B$8/12),F362*$B$8/12)</f>
        <v>0</v>
      </c>
      <c r="H362" s="125">
        <f t="shared" ca="1" si="192"/>
        <v>0</v>
      </c>
      <c r="I362" s="125">
        <f t="shared" ca="1" si="204"/>
        <v>0</v>
      </c>
      <c r="J362" s="125">
        <f t="shared" ca="1" si="205"/>
        <v>0</v>
      </c>
      <c r="K362" s="125">
        <f t="shared" ca="1" si="206"/>
        <v>0</v>
      </c>
      <c r="L362" s="125">
        <f t="shared" ca="1" si="224"/>
        <v>0</v>
      </c>
      <c r="M362" s="125">
        <f t="shared" ca="1" si="207"/>
        <v>0</v>
      </c>
      <c r="N362" s="125">
        <f t="shared" ca="1" si="208"/>
        <v>0</v>
      </c>
      <c r="R362">
        <f t="shared" si="225"/>
        <v>355</v>
      </c>
      <c r="U362" s="55"/>
      <c r="V362">
        <f t="shared" si="226"/>
        <v>8</v>
      </c>
      <c r="W362">
        <f t="shared" ca="1" si="227"/>
        <v>2053</v>
      </c>
      <c r="X362" s="123">
        <f t="shared" ca="1" si="209"/>
        <v>56097</v>
      </c>
      <c r="Y362" s="64">
        <f t="shared" ca="1" si="210"/>
        <v>0</v>
      </c>
      <c r="Z362" s="64">
        <f t="shared" ca="1" si="211"/>
        <v>0</v>
      </c>
      <c r="AA362" s="64">
        <f t="shared" ca="1" si="212"/>
        <v>0</v>
      </c>
      <c r="AB362" s="64">
        <f t="shared" ca="1" si="213"/>
        <v>0</v>
      </c>
      <c r="AF362" t="str">
        <f t="shared" ca="1" si="193"/>
        <v>122014</v>
      </c>
      <c r="AG362" s="126">
        <f t="shared" ca="1" si="194"/>
        <v>0</v>
      </c>
      <c r="AH362" s="126">
        <f t="shared" ca="1" si="195"/>
        <v>0</v>
      </c>
      <c r="AI362" s="126">
        <f t="shared" ca="1" si="196"/>
        <v>0</v>
      </c>
      <c r="AJ362" t="str">
        <f t="shared" ca="1" si="197"/>
        <v>82053</v>
      </c>
      <c r="AK362" s="126">
        <f t="shared" ca="1" si="214"/>
        <v>0</v>
      </c>
      <c r="AL362" s="126">
        <f t="shared" ca="1" si="215"/>
        <v>0</v>
      </c>
      <c r="AM362" s="126">
        <f t="shared" ca="1" si="228"/>
        <v>0</v>
      </c>
      <c r="AN362" s="753">
        <f t="shared" ca="1" si="229"/>
        <v>0</v>
      </c>
      <c r="AO362" s="750">
        <f t="shared" ca="1" si="216"/>
        <v>0</v>
      </c>
      <c r="AP362" s="126">
        <f t="shared" ca="1" si="217"/>
        <v>0</v>
      </c>
      <c r="AQ362" s="126">
        <f t="shared" ca="1" si="218"/>
        <v>0</v>
      </c>
      <c r="AR362" s="126">
        <f t="shared" ca="1" si="198"/>
        <v>10000</v>
      </c>
      <c r="AS362" s="750">
        <f t="shared" ca="1" si="199"/>
        <v>0</v>
      </c>
      <c r="AT362" s="750">
        <f t="shared" ca="1" si="200"/>
        <v>0</v>
      </c>
      <c r="AU362" s="126">
        <f t="shared" ca="1" si="219"/>
        <v>0</v>
      </c>
      <c r="AV362" s="126">
        <f t="shared" ca="1" si="220"/>
        <v>0</v>
      </c>
      <c r="AW362" s="126">
        <f t="shared" ca="1" si="201"/>
        <v>10000</v>
      </c>
      <c r="AX362" s="750">
        <f t="shared" ca="1" si="221"/>
        <v>0</v>
      </c>
      <c r="AY362" s="750">
        <f t="shared" ca="1" si="222"/>
        <v>0</v>
      </c>
      <c r="AZ362">
        <f t="shared" si="223"/>
        <v>5750</v>
      </c>
    </row>
    <row r="363" spans="4:52">
      <c r="D363">
        <v>356</v>
      </c>
      <c r="E363" s="6">
        <f t="shared" ca="1" si="202"/>
        <v>41944</v>
      </c>
      <c r="F363" s="7">
        <f t="shared" ca="1" si="203"/>
        <v>0</v>
      </c>
      <c r="G363" s="125">
        <f ca="1">IF('Simulador - 1º Pilar'!$E$99="Sí",IF('Aportaciones PPE'!$B$13&lt;'Aportaciones PPE'!E363,0,F363*$B$8/12),F363*$B$8/12)</f>
        <v>0</v>
      </c>
      <c r="H363" s="125">
        <f t="shared" ca="1" si="192"/>
        <v>0</v>
      </c>
      <c r="I363" s="125">
        <f t="shared" ca="1" si="204"/>
        <v>0</v>
      </c>
      <c r="J363" s="125">
        <f t="shared" ca="1" si="205"/>
        <v>0</v>
      </c>
      <c r="K363" s="125">
        <f t="shared" ca="1" si="206"/>
        <v>0</v>
      </c>
      <c r="L363" s="125">
        <f t="shared" ca="1" si="224"/>
        <v>0</v>
      </c>
      <c r="M363" s="125">
        <f t="shared" ca="1" si="207"/>
        <v>0</v>
      </c>
      <c r="N363" s="125">
        <f t="shared" ca="1" si="208"/>
        <v>0</v>
      </c>
      <c r="R363">
        <f t="shared" si="225"/>
        <v>356</v>
      </c>
      <c r="U363" s="55"/>
      <c r="V363">
        <f t="shared" si="226"/>
        <v>9</v>
      </c>
      <c r="W363">
        <f t="shared" ca="1" si="227"/>
        <v>2053</v>
      </c>
      <c r="X363" s="123">
        <f t="shared" ca="1" si="209"/>
        <v>56128</v>
      </c>
      <c r="Y363" s="64">
        <f t="shared" ca="1" si="210"/>
        <v>0</v>
      </c>
      <c r="Z363" s="64">
        <f t="shared" ca="1" si="211"/>
        <v>0</v>
      </c>
      <c r="AA363" s="64">
        <f t="shared" ca="1" si="212"/>
        <v>0</v>
      </c>
      <c r="AB363" s="64">
        <f t="shared" ca="1" si="213"/>
        <v>0</v>
      </c>
      <c r="AF363" t="str">
        <f t="shared" ca="1" si="193"/>
        <v>112014</v>
      </c>
      <c r="AG363" s="126">
        <f t="shared" ca="1" si="194"/>
        <v>0</v>
      </c>
      <c r="AH363" s="126">
        <f t="shared" ca="1" si="195"/>
        <v>0</v>
      </c>
      <c r="AI363" s="126">
        <f t="shared" ca="1" si="196"/>
        <v>0</v>
      </c>
      <c r="AJ363" t="str">
        <f t="shared" ca="1" si="197"/>
        <v>92053</v>
      </c>
      <c r="AK363" s="126">
        <f t="shared" ca="1" si="214"/>
        <v>0</v>
      </c>
      <c r="AL363" s="126">
        <f t="shared" ca="1" si="215"/>
        <v>0</v>
      </c>
      <c r="AM363" s="126">
        <f t="shared" ca="1" si="228"/>
        <v>0</v>
      </c>
      <c r="AN363" s="753">
        <f t="shared" ca="1" si="229"/>
        <v>0</v>
      </c>
      <c r="AO363" s="750">
        <f t="shared" ca="1" si="216"/>
        <v>0</v>
      </c>
      <c r="AP363" s="126">
        <f t="shared" ca="1" si="217"/>
        <v>0</v>
      </c>
      <c r="AQ363" s="126">
        <f t="shared" ca="1" si="218"/>
        <v>0</v>
      </c>
      <c r="AR363" s="126">
        <f t="shared" ca="1" si="198"/>
        <v>10000</v>
      </c>
      <c r="AS363" s="750">
        <f t="shared" ca="1" si="199"/>
        <v>0</v>
      </c>
      <c r="AT363" s="750">
        <f t="shared" ca="1" si="200"/>
        <v>0</v>
      </c>
      <c r="AU363" s="126">
        <f t="shared" ca="1" si="219"/>
        <v>0</v>
      </c>
      <c r="AV363" s="126">
        <f t="shared" ca="1" si="220"/>
        <v>0</v>
      </c>
      <c r="AW363" s="126">
        <f t="shared" ca="1" si="201"/>
        <v>10000</v>
      </c>
      <c r="AX363" s="750">
        <f t="shared" ca="1" si="221"/>
        <v>0</v>
      </c>
      <c r="AY363" s="750">
        <f t="shared" ca="1" si="222"/>
        <v>0</v>
      </c>
      <c r="AZ363">
        <f t="shared" si="223"/>
        <v>5750</v>
      </c>
    </row>
    <row r="364" spans="4:52">
      <c r="D364">
        <v>357</v>
      </c>
      <c r="E364" s="6">
        <f t="shared" ca="1" si="202"/>
        <v>41913</v>
      </c>
      <c r="F364" s="7">
        <f t="shared" ca="1" si="203"/>
        <v>0</v>
      </c>
      <c r="G364" s="125">
        <f ca="1">IF('Simulador - 1º Pilar'!$E$99="Sí",IF('Aportaciones PPE'!$B$13&lt;'Aportaciones PPE'!E364,0,F364*$B$8/12),F364*$B$8/12)</f>
        <v>0</v>
      </c>
      <c r="H364" s="125">
        <f t="shared" ca="1" si="192"/>
        <v>0</v>
      </c>
      <c r="I364" s="125">
        <f t="shared" ca="1" si="204"/>
        <v>0</v>
      </c>
      <c r="J364" s="125">
        <f t="shared" ca="1" si="205"/>
        <v>0</v>
      </c>
      <c r="K364" s="125">
        <f t="shared" ca="1" si="206"/>
        <v>0</v>
      </c>
      <c r="L364" s="125">
        <f t="shared" ca="1" si="224"/>
        <v>0</v>
      </c>
      <c r="M364" s="125">
        <f t="shared" ca="1" si="207"/>
        <v>0</v>
      </c>
      <c r="N364" s="125">
        <f t="shared" ca="1" si="208"/>
        <v>0</v>
      </c>
      <c r="R364">
        <f t="shared" si="225"/>
        <v>357</v>
      </c>
      <c r="U364" s="55"/>
      <c r="V364">
        <f t="shared" si="226"/>
        <v>10</v>
      </c>
      <c r="W364">
        <f t="shared" ca="1" si="227"/>
        <v>2053</v>
      </c>
      <c r="X364" s="123">
        <f t="shared" ca="1" si="209"/>
        <v>56158</v>
      </c>
      <c r="Y364" s="64">
        <f t="shared" ca="1" si="210"/>
        <v>0</v>
      </c>
      <c r="Z364" s="64">
        <f t="shared" ca="1" si="211"/>
        <v>0</v>
      </c>
      <c r="AA364" s="64">
        <f t="shared" ca="1" si="212"/>
        <v>0</v>
      </c>
      <c r="AB364" s="64">
        <f t="shared" ca="1" si="213"/>
        <v>0</v>
      </c>
      <c r="AF364" t="str">
        <f t="shared" ca="1" si="193"/>
        <v>102014</v>
      </c>
      <c r="AG364" s="126">
        <f t="shared" ca="1" si="194"/>
        <v>0</v>
      </c>
      <c r="AH364" s="126">
        <f t="shared" ca="1" si="195"/>
        <v>0</v>
      </c>
      <c r="AI364" s="126">
        <f t="shared" ca="1" si="196"/>
        <v>0</v>
      </c>
      <c r="AJ364" t="str">
        <f t="shared" ca="1" si="197"/>
        <v>102053</v>
      </c>
      <c r="AK364" s="126">
        <f t="shared" ca="1" si="214"/>
        <v>0</v>
      </c>
      <c r="AL364" s="126">
        <f t="shared" ca="1" si="215"/>
        <v>0</v>
      </c>
      <c r="AM364" s="126">
        <f t="shared" ca="1" si="228"/>
        <v>0</v>
      </c>
      <c r="AN364" s="753">
        <f t="shared" ca="1" si="229"/>
        <v>0</v>
      </c>
      <c r="AO364" s="750">
        <f t="shared" ca="1" si="216"/>
        <v>0</v>
      </c>
      <c r="AP364" s="126">
        <f t="shared" ca="1" si="217"/>
        <v>0</v>
      </c>
      <c r="AQ364" s="126">
        <f t="shared" ca="1" si="218"/>
        <v>0</v>
      </c>
      <c r="AR364" s="126">
        <f t="shared" ca="1" si="198"/>
        <v>10000</v>
      </c>
      <c r="AS364" s="750">
        <f t="shared" ca="1" si="199"/>
        <v>0</v>
      </c>
      <c r="AT364" s="750">
        <f t="shared" ca="1" si="200"/>
        <v>0</v>
      </c>
      <c r="AU364" s="126">
        <f t="shared" ca="1" si="219"/>
        <v>0</v>
      </c>
      <c r="AV364" s="126">
        <f t="shared" ca="1" si="220"/>
        <v>0</v>
      </c>
      <c r="AW364" s="126">
        <f t="shared" ca="1" si="201"/>
        <v>10000</v>
      </c>
      <c r="AX364" s="750">
        <f t="shared" ca="1" si="221"/>
        <v>0</v>
      </c>
      <c r="AY364" s="750">
        <f t="shared" ca="1" si="222"/>
        <v>0</v>
      </c>
      <c r="AZ364">
        <f t="shared" si="223"/>
        <v>5750</v>
      </c>
    </row>
    <row r="365" spans="4:52">
      <c r="D365">
        <v>358</v>
      </c>
      <c r="E365" s="6">
        <f t="shared" ca="1" si="202"/>
        <v>41883</v>
      </c>
      <c r="F365" s="7">
        <f t="shared" ca="1" si="203"/>
        <v>0</v>
      </c>
      <c r="G365" s="125">
        <f ca="1">IF('Simulador - 1º Pilar'!$E$99="Sí",IF('Aportaciones PPE'!$B$13&lt;'Aportaciones PPE'!E365,0,F365*$B$8/12),F365*$B$8/12)</f>
        <v>0</v>
      </c>
      <c r="H365" s="125">
        <f t="shared" ca="1" si="192"/>
        <v>0</v>
      </c>
      <c r="I365" s="125">
        <f t="shared" ca="1" si="204"/>
        <v>0</v>
      </c>
      <c r="J365" s="125">
        <f t="shared" ca="1" si="205"/>
        <v>0</v>
      </c>
      <c r="K365" s="125">
        <f t="shared" ca="1" si="206"/>
        <v>0</v>
      </c>
      <c r="L365" s="125">
        <f t="shared" ca="1" si="224"/>
        <v>0</v>
      </c>
      <c r="M365" s="125">
        <f t="shared" ca="1" si="207"/>
        <v>0</v>
      </c>
      <c r="N365" s="125">
        <f t="shared" ca="1" si="208"/>
        <v>0</v>
      </c>
      <c r="R365">
        <f t="shared" si="225"/>
        <v>358</v>
      </c>
      <c r="U365" s="55"/>
      <c r="V365">
        <f t="shared" si="226"/>
        <v>11</v>
      </c>
      <c r="W365">
        <f t="shared" ca="1" si="227"/>
        <v>2053</v>
      </c>
      <c r="X365" s="123">
        <f t="shared" ca="1" si="209"/>
        <v>56189</v>
      </c>
      <c r="Y365" s="64">
        <f t="shared" ca="1" si="210"/>
        <v>0</v>
      </c>
      <c r="Z365" s="64">
        <f t="shared" ca="1" si="211"/>
        <v>0</v>
      </c>
      <c r="AA365" s="64">
        <f t="shared" ca="1" si="212"/>
        <v>0</v>
      </c>
      <c r="AB365" s="64">
        <f t="shared" ca="1" si="213"/>
        <v>0</v>
      </c>
      <c r="AF365" t="str">
        <f t="shared" ca="1" si="193"/>
        <v>92014</v>
      </c>
      <c r="AG365" s="126">
        <f t="shared" ca="1" si="194"/>
        <v>0</v>
      </c>
      <c r="AH365" s="126">
        <f t="shared" ca="1" si="195"/>
        <v>0</v>
      </c>
      <c r="AI365" s="126">
        <f t="shared" ca="1" si="196"/>
        <v>0</v>
      </c>
      <c r="AJ365" t="str">
        <f t="shared" ca="1" si="197"/>
        <v>112053</v>
      </c>
      <c r="AK365" s="126">
        <f t="shared" ca="1" si="214"/>
        <v>0</v>
      </c>
      <c r="AL365" s="126">
        <f t="shared" ca="1" si="215"/>
        <v>0</v>
      </c>
      <c r="AM365" s="126">
        <f t="shared" ca="1" si="228"/>
        <v>0</v>
      </c>
      <c r="AN365" s="753">
        <f t="shared" ca="1" si="229"/>
        <v>0</v>
      </c>
      <c r="AO365" s="750">
        <f t="shared" ca="1" si="216"/>
        <v>0</v>
      </c>
      <c r="AP365" s="126">
        <f t="shared" ca="1" si="217"/>
        <v>0</v>
      </c>
      <c r="AQ365" s="126">
        <f t="shared" ca="1" si="218"/>
        <v>0</v>
      </c>
      <c r="AR365" s="126">
        <f t="shared" ca="1" si="198"/>
        <v>10000</v>
      </c>
      <c r="AS365" s="750">
        <f t="shared" ca="1" si="199"/>
        <v>0</v>
      </c>
      <c r="AT365" s="750">
        <f t="shared" ca="1" si="200"/>
        <v>0</v>
      </c>
      <c r="AU365" s="126">
        <f t="shared" ca="1" si="219"/>
        <v>0</v>
      </c>
      <c r="AV365" s="126">
        <f t="shared" ca="1" si="220"/>
        <v>0</v>
      </c>
      <c r="AW365" s="126">
        <f t="shared" ca="1" si="201"/>
        <v>10000</v>
      </c>
      <c r="AX365" s="750">
        <f t="shared" ca="1" si="221"/>
        <v>0</v>
      </c>
      <c r="AY365" s="750">
        <f t="shared" ca="1" si="222"/>
        <v>0</v>
      </c>
      <c r="AZ365">
        <f t="shared" si="223"/>
        <v>5750</v>
      </c>
    </row>
    <row r="366" spans="4:52">
      <c r="D366">
        <v>359</v>
      </c>
      <c r="E366" s="6">
        <f t="shared" ca="1" si="202"/>
        <v>41852</v>
      </c>
      <c r="F366" s="7">
        <f t="shared" ca="1" si="203"/>
        <v>0</v>
      </c>
      <c r="G366" s="125">
        <f ca="1">IF('Simulador - 1º Pilar'!$E$99="Sí",IF('Aportaciones PPE'!$B$13&lt;'Aportaciones PPE'!E366,0,F366*$B$8/12),F366*$B$8/12)</f>
        <v>0</v>
      </c>
      <c r="H366" s="125">
        <f t="shared" ca="1" si="192"/>
        <v>0</v>
      </c>
      <c r="I366" s="125">
        <f t="shared" ca="1" si="204"/>
        <v>0</v>
      </c>
      <c r="J366" s="125">
        <f t="shared" ca="1" si="205"/>
        <v>0</v>
      </c>
      <c r="K366" s="125">
        <f t="shared" ca="1" si="206"/>
        <v>0</v>
      </c>
      <c r="L366" s="125">
        <f t="shared" ca="1" si="224"/>
        <v>0</v>
      </c>
      <c r="M366" s="125">
        <f t="shared" ca="1" si="207"/>
        <v>0</v>
      </c>
      <c r="N366" s="125">
        <f t="shared" ca="1" si="208"/>
        <v>0</v>
      </c>
      <c r="R366">
        <f t="shared" si="225"/>
        <v>359</v>
      </c>
      <c r="U366" s="55"/>
      <c r="V366">
        <f t="shared" si="226"/>
        <v>12</v>
      </c>
      <c r="W366">
        <f t="shared" ca="1" si="227"/>
        <v>2053</v>
      </c>
      <c r="X366" s="123">
        <f t="shared" ca="1" si="209"/>
        <v>56219</v>
      </c>
      <c r="Y366" s="64">
        <f t="shared" ca="1" si="210"/>
        <v>0</v>
      </c>
      <c r="Z366" s="64">
        <f t="shared" ca="1" si="211"/>
        <v>0</v>
      </c>
      <c r="AA366" s="64">
        <f t="shared" ca="1" si="212"/>
        <v>0</v>
      </c>
      <c r="AB366" s="64">
        <f t="shared" ca="1" si="213"/>
        <v>0</v>
      </c>
      <c r="AF366" t="str">
        <f t="shared" ca="1" si="193"/>
        <v>82014</v>
      </c>
      <c r="AG366" s="126">
        <f t="shared" ca="1" si="194"/>
        <v>0</v>
      </c>
      <c r="AH366" s="126">
        <f t="shared" ca="1" si="195"/>
        <v>0</v>
      </c>
      <c r="AI366" s="126">
        <f t="shared" ca="1" si="196"/>
        <v>0</v>
      </c>
      <c r="AJ366" t="str">
        <f t="shared" ca="1" si="197"/>
        <v>122053</v>
      </c>
      <c r="AK366" s="126">
        <f t="shared" ca="1" si="214"/>
        <v>0</v>
      </c>
      <c r="AL366" s="126">
        <f t="shared" ca="1" si="215"/>
        <v>0</v>
      </c>
      <c r="AM366" s="126">
        <f t="shared" ca="1" si="228"/>
        <v>0</v>
      </c>
      <c r="AN366" s="753">
        <f t="shared" ca="1" si="229"/>
        <v>0</v>
      </c>
      <c r="AO366" s="750">
        <f t="shared" ca="1" si="216"/>
        <v>0</v>
      </c>
      <c r="AP366" s="126">
        <f t="shared" ca="1" si="217"/>
        <v>0</v>
      </c>
      <c r="AQ366" s="126">
        <f t="shared" ca="1" si="218"/>
        <v>0</v>
      </c>
      <c r="AR366" s="126">
        <f t="shared" ca="1" si="198"/>
        <v>10000</v>
      </c>
      <c r="AS366" s="750">
        <f t="shared" ca="1" si="199"/>
        <v>0</v>
      </c>
      <c r="AT366" s="750">
        <f t="shared" ca="1" si="200"/>
        <v>0</v>
      </c>
      <c r="AU366" s="126">
        <f t="shared" ca="1" si="219"/>
        <v>0</v>
      </c>
      <c r="AV366" s="126">
        <f t="shared" ca="1" si="220"/>
        <v>0</v>
      </c>
      <c r="AW366" s="126">
        <f t="shared" ca="1" si="201"/>
        <v>10000</v>
      </c>
      <c r="AX366" s="750">
        <f t="shared" ca="1" si="221"/>
        <v>0</v>
      </c>
      <c r="AY366" s="750">
        <f t="shared" ca="1" si="222"/>
        <v>0</v>
      </c>
      <c r="AZ366">
        <f t="shared" si="223"/>
        <v>5750</v>
      </c>
    </row>
    <row r="367" spans="4:52">
      <c r="D367">
        <v>360</v>
      </c>
      <c r="E367" s="6">
        <f t="shared" ca="1" si="202"/>
        <v>41821</v>
      </c>
      <c r="F367" s="7">
        <f t="shared" ca="1" si="203"/>
        <v>0</v>
      </c>
      <c r="G367" s="125">
        <f ca="1">IF('Simulador - 1º Pilar'!$E$99="Sí",IF('Aportaciones PPE'!$B$13&lt;'Aportaciones PPE'!E367,0,F367*$B$8/12),F367*$B$8/12)</f>
        <v>0</v>
      </c>
      <c r="H367" s="125">
        <f t="shared" ca="1" si="192"/>
        <v>0</v>
      </c>
      <c r="I367" s="125">
        <f t="shared" ca="1" si="204"/>
        <v>0</v>
      </c>
      <c r="J367" s="125">
        <f t="shared" ca="1" si="205"/>
        <v>0</v>
      </c>
      <c r="K367" s="125">
        <f t="shared" ca="1" si="206"/>
        <v>0</v>
      </c>
      <c r="L367" s="125">
        <f t="shared" ca="1" si="224"/>
        <v>0</v>
      </c>
      <c r="M367" s="125">
        <f t="shared" ca="1" si="207"/>
        <v>0</v>
      </c>
      <c r="N367" s="125">
        <f t="shared" ca="1" si="208"/>
        <v>0</v>
      </c>
      <c r="R367">
        <f t="shared" si="225"/>
        <v>360</v>
      </c>
      <c r="U367" s="55"/>
      <c r="V367">
        <f t="shared" si="226"/>
        <v>1</v>
      </c>
      <c r="W367">
        <f t="shared" ca="1" si="227"/>
        <v>2054</v>
      </c>
      <c r="X367" s="123">
        <f t="shared" ca="1" si="209"/>
        <v>56250</v>
      </c>
      <c r="Y367" s="64">
        <f t="shared" ca="1" si="210"/>
        <v>0</v>
      </c>
      <c r="Z367" s="64">
        <f t="shared" ca="1" si="211"/>
        <v>0</v>
      </c>
      <c r="AA367" s="64">
        <f t="shared" ca="1" si="212"/>
        <v>0</v>
      </c>
      <c r="AB367" s="64">
        <f t="shared" ca="1" si="213"/>
        <v>0</v>
      </c>
      <c r="AF367" t="str">
        <f t="shared" ca="1" si="193"/>
        <v>72014</v>
      </c>
      <c r="AG367" s="126">
        <f t="shared" ca="1" si="194"/>
        <v>0</v>
      </c>
      <c r="AH367" s="126">
        <f t="shared" ca="1" si="195"/>
        <v>0</v>
      </c>
      <c r="AI367" s="126">
        <f t="shared" ca="1" si="196"/>
        <v>0</v>
      </c>
      <c r="AJ367" t="str">
        <f t="shared" ca="1" si="197"/>
        <v>12054</v>
      </c>
      <c r="AK367" s="126">
        <f t="shared" ca="1" si="214"/>
        <v>0</v>
      </c>
      <c r="AL367" s="126">
        <f t="shared" ca="1" si="215"/>
        <v>0</v>
      </c>
      <c r="AM367" s="126">
        <f t="shared" ca="1" si="228"/>
        <v>0</v>
      </c>
      <c r="AN367" s="753">
        <f t="shared" ca="1" si="229"/>
        <v>0</v>
      </c>
      <c r="AO367" s="750">
        <f t="shared" ca="1" si="216"/>
        <v>0</v>
      </c>
      <c r="AP367" s="126">
        <f t="shared" ca="1" si="217"/>
        <v>0</v>
      </c>
      <c r="AQ367" s="126">
        <f t="shared" ca="1" si="218"/>
        <v>0</v>
      </c>
      <c r="AR367" s="126">
        <f t="shared" ca="1" si="198"/>
        <v>10000</v>
      </c>
      <c r="AS367" s="750">
        <f t="shared" ca="1" si="199"/>
        <v>0</v>
      </c>
      <c r="AT367" s="750">
        <f t="shared" ca="1" si="200"/>
        <v>0</v>
      </c>
      <c r="AU367" s="126">
        <f t="shared" ca="1" si="219"/>
        <v>0</v>
      </c>
      <c r="AV367" s="126">
        <f t="shared" ca="1" si="220"/>
        <v>0</v>
      </c>
      <c r="AW367" s="126">
        <f t="shared" ca="1" si="201"/>
        <v>10000</v>
      </c>
      <c r="AX367" s="750">
        <f t="shared" ca="1" si="221"/>
        <v>0</v>
      </c>
      <c r="AY367" s="750">
        <f t="shared" ca="1" si="222"/>
        <v>0</v>
      </c>
      <c r="AZ367">
        <f t="shared" si="223"/>
        <v>5750</v>
      </c>
    </row>
    <row r="368" spans="4:52">
      <c r="D368">
        <v>361</v>
      </c>
      <c r="E368" s="6">
        <f t="shared" ca="1" si="202"/>
        <v>41791</v>
      </c>
      <c r="F368" s="7">
        <f t="shared" ca="1" si="203"/>
        <v>0</v>
      </c>
      <c r="G368" s="125">
        <f ca="1">IF('Simulador - 1º Pilar'!$E$99="Sí",IF('Aportaciones PPE'!$B$13&lt;'Aportaciones PPE'!E368,0,F368*$B$8/12),F368*$B$8/12)</f>
        <v>0</v>
      </c>
      <c r="H368" s="125">
        <f t="shared" ca="1" si="192"/>
        <v>0</v>
      </c>
      <c r="I368" s="125">
        <f t="shared" ca="1" si="204"/>
        <v>0</v>
      </c>
      <c r="J368" s="125">
        <f t="shared" ca="1" si="205"/>
        <v>0</v>
      </c>
      <c r="K368" s="125">
        <f t="shared" ca="1" si="206"/>
        <v>0</v>
      </c>
      <c r="L368" s="125">
        <f t="shared" ca="1" si="224"/>
        <v>0</v>
      </c>
      <c r="M368" s="125">
        <f t="shared" ca="1" si="207"/>
        <v>0</v>
      </c>
      <c r="N368" s="125">
        <f t="shared" ca="1" si="208"/>
        <v>0</v>
      </c>
      <c r="R368">
        <f t="shared" si="225"/>
        <v>361</v>
      </c>
      <c r="U368" s="55"/>
      <c r="V368">
        <f t="shared" si="226"/>
        <v>2</v>
      </c>
      <c r="W368">
        <f t="shared" ca="1" si="227"/>
        <v>2054</v>
      </c>
      <c r="X368" s="123">
        <f t="shared" ca="1" si="209"/>
        <v>56281</v>
      </c>
      <c r="Y368" s="64">
        <f t="shared" ca="1" si="210"/>
        <v>0</v>
      </c>
      <c r="Z368" s="64">
        <f t="shared" ca="1" si="211"/>
        <v>0</v>
      </c>
      <c r="AA368" s="64">
        <f t="shared" ca="1" si="212"/>
        <v>0</v>
      </c>
      <c r="AB368" s="64">
        <f t="shared" ca="1" si="213"/>
        <v>0</v>
      </c>
      <c r="AF368" t="str">
        <f t="shared" ca="1" si="193"/>
        <v>62014</v>
      </c>
      <c r="AG368" s="126">
        <f t="shared" ca="1" si="194"/>
        <v>0</v>
      </c>
      <c r="AH368" s="126">
        <f t="shared" ca="1" si="195"/>
        <v>0</v>
      </c>
      <c r="AI368" s="126">
        <f t="shared" ca="1" si="196"/>
        <v>0</v>
      </c>
      <c r="AJ368" t="str">
        <f t="shared" ca="1" si="197"/>
        <v>22054</v>
      </c>
      <c r="AK368" s="126">
        <f t="shared" ca="1" si="214"/>
        <v>0</v>
      </c>
      <c r="AL368" s="126">
        <f t="shared" ca="1" si="215"/>
        <v>0</v>
      </c>
      <c r="AM368" s="126">
        <f t="shared" ca="1" si="228"/>
        <v>0</v>
      </c>
      <c r="AN368" s="753">
        <f t="shared" ca="1" si="229"/>
        <v>0</v>
      </c>
      <c r="AO368" s="750">
        <f t="shared" ca="1" si="216"/>
        <v>0</v>
      </c>
      <c r="AP368" s="126">
        <f t="shared" ca="1" si="217"/>
        <v>0</v>
      </c>
      <c r="AQ368" s="126">
        <f t="shared" ca="1" si="218"/>
        <v>0</v>
      </c>
      <c r="AR368" s="126">
        <f t="shared" ca="1" si="198"/>
        <v>10000</v>
      </c>
      <c r="AS368" s="750">
        <f t="shared" ca="1" si="199"/>
        <v>0</v>
      </c>
      <c r="AT368" s="750">
        <f t="shared" ca="1" si="200"/>
        <v>0</v>
      </c>
      <c r="AU368" s="126">
        <f t="shared" ca="1" si="219"/>
        <v>0</v>
      </c>
      <c r="AV368" s="126">
        <f t="shared" ca="1" si="220"/>
        <v>0</v>
      </c>
      <c r="AW368" s="126">
        <f t="shared" ca="1" si="201"/>
        <v>10000</v>
      </c>
      <c r="AX368" s="750">
        <f t="shared" ca="1" si="221"/>
        <v>0</v>
      </c>
      <c r="AY368" s="750">
        <f t="shared" ca="1" si="222"/>
        <v>0</v>
      </c>
      <c r="AZ368">
        <f t="shared" si="223"/>
        <v>5750</v>
      </c>
    </row>
    <row r="369" spans="4:52">
      <c r="D369">
        <v>362</v>
      </c>
      <c r="E369" s="6">
        <f t="shared" ca="1" si="202"/>
        <v>41760</v>
      </c>
      <c r="F369" s="7">
        <f t="shared" ca="1" si="203"/>
        <v>0</v>
      </c>
      <c r="G369" s="125">
        <f ca="1">IF('Simulador - 1º Pilar'!$E$99="Sí",IF('Aportaciones PPE'!$B$13&lt;'Aportaciones PPE'!E369,0,F369*$B$8/12),F369*$B$8/12)</f>
        <v>0</v>
      </c>
      <c r="H369" s="125">
        <f t="shared" ca="1" si="192"/>
        <v>0</v>
      </c>
      <c r="I369" s="125">
        <f t="shared" ca="1" si="204"/>
        <v>0</v>
      </c>
      <c r="J369" s="125">
        <f t="shared" ca="1" si="205"/>
        <v>0</v>
      </c>
      <c r="K369" s="125">
        <f t="shared" ca="1" si="206"/>
        <v>0</v>
      </c>
      <c r="L369" s="125">
        <f t="shared" ca="1" si="224"/>
        <v>0</v>
      </c>
      <c r="M369" s="125">
        <f t="shared" ca="1" si="207"/>
        <v>0</v>
      </c>
      <c r="N369" s="125">
        <f t="shared" ca="1" si="208"/>
        <v>0</v>
      </c>
      <c r="R369">
        <f t="shared" si="225"/>
        <v>362</v>
      </c>
      <c r="U369" s="55"/>
      <c r="V369">
        <f t="shared" si="226"/>
        <v>3</v>
      </c>
      <c r="W369">
        <f t="shared" ca="1" si="227"/>
        <v>2054</v>
      </c>
      <c r="X369" s="123">
        <f t="shared" ca="1" si="209"/>
        <v>56309</v>
      </c>
      <c r="Y369" s="64">
        <f t="shared" ca="1" si="210"/>
        <v>0</v>
      </c>
      <c r="Z369" s="64">
        <f t="shared" ca="1" si="211"/>
        <v>0</v>
      </c>
      <c r="AA369" s="64">
        <f t="shared" ca="1" si="212"/>
        <v>0</v>
      </c>
      <c r="AB369" s="64">
        <f t="shared" ca="1" si="213"/>
        <v>0</v>
      </c>
      <c r="AF369" t="str">
        <f t="shared" ca="1" si="193"/>
        <v>52014</v>
      </c>
      <c r="AG369" s="126">
        <f t="shared" ca="1" si="194"/>
        <v>0</v>
      </c>
      <c r="AH369" s="126">
        <f t="shared" ca="1" si="195"/>
        <v>0</v>
      </c>
      <c r="AI369" s="126">
        <f t="shared" ca="1" si="196"/>
        <v>0</v>
      </c>
      <c r="AJ369" t="str">
        <f t="shared" ca="1" si="197"/>
        <v>32054</v>
      </c>
      <c r="AK369" s="126">
        <f t="shared" ca="1" si="214"/>
        <v>0</v>
      </c>
      <c r="AL369" s="126">
        <f t="shared" ca="1" si="215"/>
        <v>0</v>
      </c>
      <c r="AM369" s="126">
        <f t="shared" ca="1" si="228"/>
        <v>0</v>
      </c>
      <c r="AN369" s="753">
        <f t="shared" ca="1" si="229"/>
        <v>0</v>
      </c>
      <c r="AO369" s="750">
        <f t="shared" ca="1" si="216"/>
        <v>0</v>
      </c>
      <c r="AP369" s="126">
        <f t="shared" ca="1" si="217"/>
        <v>0</v>
      </c>
      <c r="AQ369" s="126">
        <f t="shared" ca="1" si="218"/>
        <v>0</v>
      </c>
      <c r="AR369" s="126">
        <f t="shared" ca="1" si="198"/>
        <v>10000</v>
      </c>
      <c r="AS369" s="750">
        <f t="shared" ca="1" si="199"/>
        <v>0</v>
      </c>
      <c r="AT369" s="750">
        <f t="shared" ca="1" si="200"/>
        <v>0</v>
      </c>
      <c r="AU369" s="126">
        <f t="shared" ca="1" si="219"/>
        <v>0</v>
      </c>
      <c r="AV369" s="126">
        <f t="shared" ca="1" si="220"/>
        <v>0</v>
      </c>
      <c r="AW369" s="126">
        <f t="shared" ca="1" si="201"/>
        <v>10000</v>
      </c>
      <c r="AX369" s="750">
        <f t="shared" ca="1" si="221"/>
        <v>0</v>
      </c>
      <c r="AY369" s="750">
        <f t="shared" ca="1" si="222"/>
        <v>0</v>
      </c>
      <c r="AZ369">
        <f t="shared" si="223"/>
        <v>5750</v>
      </c>
    </row>
    <row r="370" spans="4:52">
      <c r="D370">
        <v>363</v>
      </c>
      <c r="E370" s="6">
        <f t="shared" ca="1" si="202"/>
        <v>41730</v>
      </c>
      <c r="F370" s="7">
        <f t="shared" ca="1" si="203"/>
        <v>0</v>
      </c>
      <c r="G370" s="125">
        <f ca="1">IF('Simulador - 1º Pilar'!$E$99="Sí",IF('Aportaciones PPE'!$B$13&lt;'Aportaciones PPE'!E370,0,F370*$B$8/12),F370*$B$8/12)</f>
        <v>0</v>
      </c>
      <c r="H370" s="125">
        <f t="shared" ca="1" si="192"/>
        <v>0</v>
      </c>
      <c r="I370" s="125">
        <f t="shared" ca="1" si="204"/>
        <v>0</v>
      </c>
      <c r="J370" s="125">
        <f t="shared" ca="1" si="205"/>
        <v>0</v>
      </c>
      <c r="K370" s="125">
        <f t="shared" ca="1" si="206"/>
        <v>0</v>
      </c>
      <c r="L370" s="125">
        <f t="shared" ca="1" si="224"/>
        <v>0</v>
      </c>
      <c r="M370" s="125">
        <f t="shared" ca="1" si="207"/>
        <v>0</v>
      </c>
      <c r="N370" s="125">
        <f t="shared" ca="1" si="208"/>
        <v>0</v>
      </c>
      <c r="R370">
        <f t="shared" si="225"/>
        <v>363</v>
      </c>
      <c r="U370" s="55"/>
      <c r="V370">
        <f t="shared" si="226"/>
        <v>4</v>
      </c>
      <c r="W370">
        <f t="shared" ca="1" si="227"/>
        <v>2054</v>
      </c>
      <c r="X370" s="123">
        <f t="shared" ca="1" si="209"/>
        <v>56340</v>
      </c>
      <c r="Y370" s="64">
        <f t="shared" ca="1" si="210"/>
        <v>0</v>
      </c>
      <c r="Z370" s="64">
        <f t="shared" ca="1" si="211"/>
        <v>0</v>
      </c>
      <c r="AA370" s="64">
        <f t="shared" ca="1" si="212"/>
        <v>0</v>
      </c>
      <c r="AB370" s="64">
        <f t="shared" ca="1" si="213"/>
        <v>0</v>
      </c>
      <c r="AF370" t="str">
        <f t="shared" ca="1" si="193"/>
        <v>42014</v>
      </c>
      <c r="AG370" s="126">
        <f t="shared" ca="1" si="194"/>
        <v>0</v>
      </c>
      <c r="AH370" s="126">
        <f t="shared" ca="1" si="195"/>
        <v>0</v>
      </c>
      <c r="AI370" s="126">
        <f t="shared" ca="1" si="196"/>
        <v>0</v>
      </c>
      <c r="AJ370" t="str">
        <f t="shared" ca="1" si="197"/>
        <v>42054</v>
      </c>
      <c r="AK370" s="126">
        <f t="shared" ca="1" si="214"/>
        <v>0</v>
      </c>
      <c r="AL370" s="126">
        <f t="shared" ca="1" si="215"/>
        <v>0</v>
      </c>
      <c r="AM370" s="126">
        <f t="shared" ca="1" si="228"/>
        <v>0</v>
      </c>
      <c r="AN370" s="753">
        <f t="shared" ca="1" si="229"/>
        <v>0</v>
      </c>
      <c r="AO370" s="750">
        <f t="shared" ca="1" si="216"/>
        <v>0</v>
      </c>
      <c r="AP370" s="126">
        <f t="shared" ca="1" si="217"/>
        <v>0</v>
      </c>
      <c r="AQ370" s="126">
        <f t="shared" ca="1" si="218"/>
        <v>0</v>
      </c>
      <c r="AR370" s="126">
        <f t="shared" ca="1" si="198"/>
        <v>10000</v>
      </c>
      <c r="AS370" s="750">
        <f t="shared" ca="1" si="199"/>
        <v>0</v>
      </c>
      <c r="AT370" s="750">
        <f t="shared" ca="1" si="200"/>
        <v>0</v>
      </c>
      <c r="AU370" s="126">
        <f t="shared" ca="1" si="219"/>
        <v>0</v>
      </c>
      <c r="AV370" s="126">
        <f t="shared" ca="1" si="220"/>
        <v>0</v>
      </c>
      <c r="AW370" s="126">
        <f t="shared" ca="1" si="201"/>
        <v>10000</v>
      </c>
      <c r="AX370" s="750">
        <f t="shared" ca="1" si="221"/>
        <v>0</v>
      </c>
      <c r="AY370" s="750">
        <f t="shared" ca="1" si="222"/>
        <v>0</v>
      </c>
      <c r="AZ370">
        <f t="shared" si="223"/>
        <v>5750</v>
      </c>
    </row>
    <row r="371" spans="4:52">
      <c r="D371">
        <v>364</v>
      </c>
      <c r="E371" s="6">
        <f t="shared" ca="1" si="202"/>
        <v>41699</v>
      </c>
      <c r="F371" s="7">
        <f t="shared" ca="1" si="203"/>
        <v>0</v>
      </c>
      <c r="G371" s="125">
        <f ca="1">IF('Simulador - 1º Pilar'!$E$99="Sí",IF('Aportaciones PPE'!$B$13&lt;'Aportaciones PPE'!E371,0,F371*$B$8/12),F371*$B$8/12)</f>
        <v>0</v>
      </c>
      <c r="H371" s="125">
        <f t="shared" ca="1" si="192"/>
        <v>0</v>
      </c>
      <c r="I371" s="125">
        <f t="shared" ca="1" si="204"/>
        <v>0</v>
      </c>
      <c r="J371" s="125">
        <f t="shared" ca="1" si="205"/>
        <v>0</v>
      </c>
      <c r="K371" s="125">
        <f t="shared" ca="1" si="206"/>
        <v>0</v>
      </c>
      <c r="L371" s="125">
        <f t="shared" ca="1" si="224"/>
        <v>0</v>
      </c>
      <c r="M371" s="125">
        <f t="shared" ca="1" si="207"/>
        <v>0</v>
      </c>
      <c r="N371" s="125">
        <f t="shared" ca="1" si="208"/>
        <v>0</v>
      </c>
      <c r="R371">
        <f t="shared" si="225"/>
        <v>364</v>
      </c>
      <c r="U371" s="55"/>
      <c r="V371">
        <f t="shared" si="226"/>
        <v>5</v>
      </c>
      <c r="W371">
        <f t="shared" ca="1" si="227"/>
        <v>2054</v>
      </c>
      <c r="X371" s="123">
        <f t="shared" ca="1" si="209"/>
        <v>56370</v>
      </c>
      <c r="Y371" s="64">
        <f t="shared" ca="1" si="210"/>
        <v>0</v>
      </c>
      <c r="Z371" s="64">
        <f t="shared" ca="1" si="211"/>
        <v>0</v>
      </c>
      <c r="AA371" s="64">
        <f t="shared" ca="1" si="212"/>
        <v>0</v>
      </c>
      <c r="AB371" s="64">
        <f t="shared" ca="1" si="213"/>
        <v>0</v>
      </c>
      <c r="AF371" t="str">
        <f t="shared" ca="1" si="193"/>
        <v>32014</v>
      </c>
      <c r="AG371" s="126">
        <f t="shared" ca="1" si="194"/>
        <v>0</v>
      </c>
      <c r="AH371" s="126">
        <f t="shared" ca="1" si="195"/>
        <v>0</v>
      </c>
      <c r="AI371" s="126">
        <f t="shared" ca="1" si="196"/>
        <v>0</v>
      </c>
      <c r="AJ371" t="str">
        <f t="shared" ca="1" si="197"/>
        <v>52054</v>
      </c>
      <c r="AK371" s="126">
        <f t="shared" ca="1" si="214"/>
        <v>0</v>
      </c>
      <c r="AL371" s="126">
        <f t="shared" ca="1" si="215"/>
        <v>0</v>
      </c>
      <c r="AM371" s="126">
        <f t="shared" ca="1" si="228"/>
        <v>0</v>
      </c>
      <c r="AN371" s="753">
        <f t="shared" ca="1" si="229"/>
        <v>0</v>
      </c>
      <c r="AO371" s="750">
        <f t="shared" ca="1" si="216"/>
        <v>0</v>
      </c>
      <c r="AP371" s="126">
        <f t="shared" ca="1" si="217"/>
        <v>0</v>
      </c>
      <c r="AQ371" s="126">
        <f t="shared" ca="1" si="218"/>
        <v>0</v>
      </c>
      <c r="AR371" s="126">
        <f t="shared" ca="1" si="198"/>
        <v>10000</v>
      </c>
      <c r="AS371" s="750">
        <f t="shared" ca="1" si="199"/>
        <v>0</v>
      </c>
      <c r="AT371" s="750">
        <f t="shared" ca="1" si="200"/>
        <v>0</v>
      </c>
      <c r="AU371" s="126">
        <f t="shared" ca="1" si="219"/>
        <v>0</v>
      </c>
      <c r="AV371" s="126">
        <f t="shared" ca="1" si="220"/>
        <v>0</v>
      </c>
      <c r="AW371" s="126">
        <f t="shared" ca="1" si="201"/>
        <v>10000</v>
      </c>
      <c r="AX371" s="750">
        <f t="shared" ca="1" si="221"/>
        <v>0</v>
      </c>
      <c r="AY371" s="750">
        <f t="shared" ca="1" si="222"/>
        <v>0</v>
      </c>
      <c r="AZ371">
        <f t="shared" si="223"/>
        <v>5750</v>
      </c>
    </row>
    <row r="372" spans="4:52">
      <c r="D372">
        <v>365</v>
      </c>
      <c r="E372" s="6">
        <f t="shared" ca="1" si="202"/>
        <v>41671</v>
      </c>
      <c r="F372" s="7">
        <f t="shared" ca="1" si="203"/>
        <v>0</v>
      </c>
      <c r="G372" s="125">
        <f ca="1">IF('Simulador - 1º Pilar'!$E$99="Sí",IF('Aportaciones PPE'!$B$13&lt;'Aportaciones PPE'!E372,0,F372*$B$8/12),F372*$B$8/12)</f>
        <v>0</v>
      </c>
      <c r="H372" s="125">
        <f t="shared" ca="1" si="192"/>
        <v>0</v>
      </c>
      <c r="I372" s="125">
        <f t="shared" ca="1" si="204"/>
        <v>0</v>
      </c>
      <c r="J372" s="125">
        <f t="shared" ca="1" si="205"/>
        <v>0</v>
      </c>
      <c r="K372" s="125">
        <f t="shared" ca="1" si="206"/>
        <v>0</v>
      </c>
      <c r="L372" s="125">
        <f t="shared" ca="1" si="224"/>
        <v>0</v>
      </c>
      <c r="M372" s="125">
        <f t="shared" ca="1" si="207"/>
        <v>0</v>
      </c>
      <c r="N372" s="125">
        <f t="shared" ca="1" si="208"/>
        <v>0</v>
      </c>
      <c r="R372">
        <f t="shared" si="225"/>
        <v>365</v>
      </c>
      <c r="U372" s="55"/>
      <c r="V372">
        <f t="shared" si="226"/>
        <v>6</v>
      </c>
      <c r="W372">
        <f t="shared" ca="1" si="227"/>
        <v>2054</v>
      </c>
      <c r="X372" s="123">
        <f t="shared" ca="1" si="209"/>
        <v>56401</v>
      </c>
      <c r="Y372" s="64">
        <f t="shared" ca="1" si="210"/>
        <v>0</v>
      </c>
      <c r="Z372" s="64">
        <f t="shared" ca="1" si="211"/>
        <v>0</v>
      </c>
      <c r="AA372" s="64">
        <f t="shared" ca="1" si="212"/>
        <v>0</v>
      </c>
      <c r="AB372" s="64">
        <f t="shared" ca="1" si="213"/>
        <v>0</v>
      </c>
      <c r="AF372" t="str">
        <f t="shared" ca="1" si="193"/>
        <v>22014</v>
      </c>
      <c r="AG372" s="126">
        <f t="shared" ca="1" si="194"/>
        <v>0</v>
      </c>
      <c r="AH372" s="126">
        <f t="shared" ca="1" si="195"/>
        <v>0</v>
      </c>
      <c r="AI372" s="126">
        <f t="shared" ca="1" si="196"/>
        <v>0</v>
      </c>
      <c r="AJ372" t="str">
        <f t="shared" ca="1" si="197"/>
        <v>62054</v>
      </c>
      <c r="AK372" s="126">
        <f t="shared" ca="1" si="214"/>
        <v>0</v>
      </c>
      <c r="AL372" s="126">
        <f t="shared" ca="1" si="215"/>
        <v>0</v>
      </c>
      <c r="AM372" s="126">
        <f t="shared" ca="1" si="228"/>
        <v>0</v>
      </c>
      <c r="AN372" s="753">
        <f t="shared" ca="1" si="229"/>
        <v>0</v>
      </c>
      <c r="AO372" s="750">
        <f t="shared" ca="1" si="216"/>
        <v>0</v>
      </c>
      <c r="AP372" s="126">
        <f t="shared" ca="1" si="217"/>
        <v>0</v>
      </c>
      <c r="AQ372" s="126">
        <f t="shared" ca="1" si="218"/>
        <v>0</v>
      </c>
      <c r="AR372" s="126">
        <f t="shared" ca="1" si="198"/>
        <v>10000</v>
      </c>
      <c r="AS372" s="750">
        <f t="shared" ca="1" si="199"/>
        <v>0</v>
      </c>
      <c r="AT372" s="750">
        <f t="shared" ca="1" si="200"/>
        <v>0</v>
      </c>
      <c r="AU372" s="126">
        <f t="shared" ca="1" si="219"/>
        <v>0</v>
      </c>
      <c r="AV372" s="126">
        <f t="shared" ca="1" si="220"/>
        <v>0</v>
      </c>
      <c r="AW372" s="126">
        <f t="shared" ca="1" si="201"/>
        <v>10000</v>
      </c>
      <c r="AX372" s="750">
        <f t="shared" ca="1" si="221"/>
        <v>0</v>
      </c>
      <c r="AY372" s="750">
        <f t="shared" ca="1" si="222"/>
        <v>0</v>
      </c>
      <c r="AZ372">
        <f t="shared" si="223"/>
        <v>5750</v>
      </c>
    </row>
    <row r="373" spans="4:52">
      <c r="D373">
        <v>366</v>
      </c>
      <c r="E373" s="6">
        <f t="shared" ca="1" si="202"/>
        <v>41640</v>
      </c>
      <c r="F373" s="7">
        <f t="shared" ca="1" si="203"/>
        <v>0</v>
      </c>
      <c r="G373" s="125">
        <f ca="1">IF('Simulador - 1º Pilar'!$E$99="Sí",IF('Aportaciones PPE'!$B$13&lt;'Aportaciones PPE'!E373,0,F373*$B$8/12),F373*$B$8/12)</f>
        <v>0</v>
      </c>
      <c r="H373" s="125">
        <f t="shared" ca="1" si="192"/>
        <v>0</v>
      </c>
      <c r="I373" s="125">
        <f t="shared" ca="1" si="204"/>
        <v>0</v>
      </c>
      <c r="J373" s="125">
        <f t="shared" ca="1" si="205"/>
        <v>0</v>
      </c>
      <c r="K373" s="125">
        <f t="shared" ca="1" si="206"/>
        <v>0</v>
      </c>
      <c r="L373" s="125">
        <f t="shared" ca="1" si="224"/>
        <v>0</v>
      </c>
      <c r="M373" s="125">
        <f t="shared" ca="1" si="207"/>
        <v>0</v>
      </c>
      <c r="N373" s="125">
        <f t="shared" ca="1" si="208"/>
        <v>0</v>
      </c>
      <c r="R373">
        <f t="shared" si="225"/>
        <v>366</v>
      </c>
      <c r="U373" s="55"/>
      <c r="V373">
        <f t="shared" si="226"/>
        <v>7</v>
      </c>
      <c r="W373">
        <f t="shared" ca="1" si="227"/>
        <v>2054</v>
      </c>
      <c r="X373" s="123">
        <f t="shared" ca="1" si="209"/>
        <v>56431</v>
      </c>
      <c r="Y373" s="64">
        <f t="shared" ca="1" si="210"/>
        <v>0</v>
      </c>
      <c r="Z373" s="64">
        <f t="shared" ca="1" si="211"/>
        <v>0</v>
      </c>
      <c r="AA373" s="64">
        <f t="shared" ca="1" si="212"/>
        <v>0</v>
      </c>
      <c r="AB373" s="64">
        <f t="shared" ca="1" si="213"/>
        <v>0</v>
      </c>
      <c r="AF373" t="str">
        <f t="shared" ca="1" si="193"/>
        <v>12014</v>
      </c>
      <c r="AG373" s="126">
        <f t="shared" ca="1" si="194"/>
        <v>0</v>
      </c>
      <c r="AH373" s="126">
        <f t="shared" ca="1" si="195"/>
        <v>0</v>
      </c>
      <c r="AI373" s="126">
        <f t="shared" ca="1" si="196"/>
        <v>0</v>
      </c>
      <c r="AJ373" t="str">
        <f t="shared" ca="1" si="197"/>
        <v>72054</v>
      </c>
      <c r="AK373" s="126">
        <f t="shared" ca="1" si="214"/>
        <v>0</v>
      </c>
      <c r="AL373" s="126">
        <f t="shared" ca="1" si="215"/>
        <v>0</v>
      </c>
      <c r="AM373" s="126">
        <f t="shared" ca="1" si="228"/>
        <v>0</v>
      </c>
      <c r="AN373" s="753">
        <f t="shared" ca="1" si="229"/>
        <v>0</v>
      </c>
      <c r="AO373" s="750">
        <f t="shared" ca="1" si="216"/>
        <v>0</v>
      </c>
      <c r="AP373" s="126">
        <f t="shared" ca="1" si="217"/>
        <v>0</v>
      </c>
      <c r="AQ373" s="126">
        <f t="shared" ca="1" si="218"/>
        <v>0</v>
      </c>
      <c r="AR373" s="126">
        <f t="shared" ca="1" si="198"/>
        <v>10000</v>
      </c>
      <c r="AS373" s="750">
        <f t="shared" ca="1" si="199"/>
        <v>0</v>
      </c>
      <c r="AT373" s="750">
        <f t="shared" ca="1" si="200"/>
        <v>0</v>
      </c>
      <c r="AU373" s="126">
        <f t="shared" ca="1" si="219"/>
        <v>0</v>
      </c>
      <c r="AV373" s="126">
        <f t="shared" ca="1" si="220"/>
        <v>0</v>
      </c>
      <c r="AW373" s="126">
        <f t="shared" ca="1" si="201"/>
        <v>10000</v>
      </c>
      <c r="AX373" s="750">
        <f t="shared" ca="1" si="221"/>
        <v>0</v>
      </c>
      <c r="AY373" s="750">
        <f t="shared" ca="1" si="222"/>
        <v>0</v>
      </c>
      <c r="AZ373">
        <f t="shared" si="223"/>
        <v>5750</v>
      </c>
    </row>
    <row r="374" spans="4:52">
      <c r="D374">
        <v>367</v>
      </c>
      <c r="E374" s="6">
        <f t="shared" ca="1" si="202"/>
        <v>41609</v>
      </c>
      <c r="F374" s="7">
        <f t="shared" ca="1" si="203"/>
        <v>0</v>
      </c>
      <c r="G374" s="125">
        <f ca="1">IF('Simulador - 1º Pilar'!$E$99="Sí",IF('Aportaciones PPE'!$B$13&lt;'Aportaciones PPE'!E374,0,F374*$B$8/12),F374*$B$8/12)</f>
        <v>0</v>
      </c>
      <c r="H374" s="125">
        <f t="shared" ca="1" si="192"/>
        <v>0</v>
      </c>
      <c r="I374" s="125">
        <f t="shared" ca="1" si="204"/>
        <v>0</v>
      </c>
      <c r="J374" s="125">
        <f t="shared" ca="1" si="205"/>
        <v>0</v>
      </c>
      <c r="K374" s="125">
        <f t="shared" ca="1" si="206"/>
        <v>0</v>
      </c>
      <c r="L374" s="125">
        <f t="shared" ca="1" si="224"/>
        <v>0</v>
      </c>
      <c r="M374" s="125">
        <f t="shared" ca="1" si="207"/>
        <v>0</v>
      </c>
      <c r="N374" s="125">
        <f t="shared" ca="1" si="208"/>
        <v>0</v>
      </c>
      <c r="R374">
        <f t="shared" si="225"/>
        <v>367</v>
      </c>
      <c r="U374" s="55"/>
      <c r="V374">
        <f t="shared" si="226"/>
        <v>8</v>
      </c>
      <c r="W374">
        <f t="shared" ca="1" si="227"/>
        <v>2054</v>
      </c>
      <c r="X374" s="123">
        <f t="shared" ca="1" si="209"/>
        <v>56462</v>
      </c>
      <c r="Y374" s="64">
        <f t="shared" ca="1" si="210"/>
        <v>0</v>
      </c>
      <c r="Z374" s="64">
        <f t="shared" ca="1" si="211"/>
        <v>0</v>
      </c>
      <c r="AA374" s="64">
        <f t="shared" ca="1" si="212"/>
        <v>0</v>
      </c>
      <c r="AB374" s="64">
        <f t="shared" ca="1" si="213"/>
        <v>0</v>
      </c>
      <c r="AF374" t="str">
        <f t="shared" ca="1" si="193"/>
        <v>122013</v>
      </c>
      <c r="AG374" s="126">
        <f t="shared" ca="1" si="194"/>
        <v>0</v>
      </c>
      <c r="AH374" s="126">
        <f t="shared" ca="1" si="195"/>
        <v>0</v>
      </c>
      <c r="AI374" s="126">
        <f t="shared" ca="1" si="196"/>
        <v>0</v>
      </c>
      <c r="AJ374" t="str">
        <f t="shared" ca="1" si="197"/>
        <v>82054</v>
      </c>
      <c r="AK374" s="126">
        <f t="shared" ca="1" si="214"/>
        <v>0</v>
      </c>
      <c r="AL374" s="126">
        <f t="shared" ca="1" si="215"/>
        <v>0</v>
      </c>
      <c r="AM374" s="126">
        <f t="shared" ca="1" si="228"/>
        <v>0</v>
      </c>
      <c r="AN374" s="753">
        <f t="shared" ca="1" si="229"/>
        <v>0</v>
      </c>
      <c r="AO374" s="750">
        <f t="shared" ca="1" si="216"/>
        <v>0</v>
      </c>
      <c r="AP374" s="126">
        <f t="shared" ca="1" si="217"/>
        <v>0</v>
      </c>
      <c r="AQ374" s="126">
        <f t="shared" ca="1" si="218"/>
        <v>0</v>
      </c>
      <c r="AR374" s="126">
        <f t="shared" ca="1" si="198"/>
        <v>10000</v>
      </c>
      <c r="AS374" s="750">
        <f t="shared" ca="1" si="199"/>
        <v>0</v>
      </c>
      <c r="AT374" s="750">
        <f t="shared" ca="1" si="200"/>
        <v>0</v>
      </c>
      <c r="AU374" s="126">
        <f t="shared" ca="1" si="219"/>
        <v>0</v>
      </c>
      <c r="AV374" s="126">
        <f t="shared" ca="1" si="220"/>
        <v>0</v>
      </c>
      <c r="AW374" s="126">
        <f t="shared" ca="1" si="201"/>
        <v>10000</v>
      </c>
      <c r="AX374" s="750">
        <f t="shared" ca="1" si="221"/>
        <v>0</v>
      </c>
      <c r="AY374" s="750">
        <f t="shared" ca="1" si="222"/>
        <v>0</v>
      </c>
      <c r="AZ374">
        <f t="shared" si="223"/>
        <v>5750</v>
      </c>
    </row>
    <row r="375" spans="4:52">
      <c r="D375">
        <v>368</v>
      </c>
      <c r="E375" s="6">
        <f t="shared" ca="1" si="202"/>
        <v>41579</v>
      </c>
      <c r="F375" s="7">
        <f t="shared" ca="1" si="203"/>
        <v>0</v>
      </c>
      <c r="G375" s="125">
        <f ca="1">IF('Simulador - 1º Pilar'!$E$99="Sí",IF('Aportaciones PPE'!$B$13&lt;'Aportaciones PPE'!E375,0,F375*$B$8/12),F375*$B$8/12)</f>
        <v>0</v>
      </c>
      <c r="H375" s="125">
        <f t="shared" ca="1" si="192"/>
        <v>0</v>
      </c>
      <c r="I375" s="125">
        <f t="shared" ca="1" si="204"/>
        <v>0</v>
      </c>
      <c r="J375" s="125">
        <f t="shared" ca="1" si="205"/>
        <v>0</v>
      </c>
      <c r="K375" s="125">
        <f t="shared" ca="1" si="206"/>
        <v>0</v>
      </c>
      <c r="L375" s="125">
        <f t="shared" ca="1" si="224"/>
        <v>0</v>
      </c>
      <c r="M375" s="125">
        <f t="shared" ca="1" si="207"/>
        <v>0</v>
      </c>
      <c r="N375" s="125">
        <f t="shared" ca="1" si="208"/>
        <v>0</v>
      </c>
      <c r="R375">
        <f t="shared" si="225"/>
        <v>368</v>
      </c>
      <c r="U375" s="55"/>
      <c r="V375">
        <f t="shared" si="226"/>
        <v>9</v>
      </c>
      <c r="W375">
        <f t="shared" ca="1" si="227"/>
        <v>2054</v>
      </c>
      <c r="X375" s="123">
        <f t="shared" ca="1" si="209"/>
        <v>56493</v>
      </c>
      <c r="Y375" s="64">
        <f t="shared" ca="1" si="210"/>
        <v>0</v>
      </c>
      <c r="Z375" s="64">
        <f t="shared" ca="1" si="211"/>
        <v>0</v>
      </c>
      <c r="AA375" s="64">
        <f t="shared" ca="1" si="212"/>
        <v>0</v>
      </c>
      <c r="AB375" s="64">
        <f t="shared" ca="1" si="213"/>
        <v>0</v>
      </c>
      <c r="AF375" t="str">
        <f t="shared" ca="1" si="193"/>
        <v>112013</v>
      </c>
      <c r="AG375" s="126">
        <f t="shared" ca="1" si="194"/>
        <v>0</v>
      </c>
      <c r="AH375" s="126">
        <f t="shared" ca="1" si="195"/>
        <v>0</v>
      </c>
      <c r="AI375" s="126">
        <f t="shared" ca="1" si="196"/>
        <v>0</v>
      </c>
      <c r="AJ375" t="str">
        <f t="shared" ca="1" si="197"/>
        <v>92054</v>
      </c>
      <c r="AK375" s="126">
        <f t="shared" ca="1" si="214"/>
        <v>0</v>
      </c>
      <c r="AL375" s="126">
        <f t="shared" ca="1" si="215"/>
        <v>0</v>
      </c>
      <c r="AM375" s="126">
        <f t="shared" ca="1" si="228"/>
        <v>0</v>
      </c>
      <c r="AN375" s="753">
        <f t="shared" ca="1" si="229"/>
        <v>0</v>
      </c>
      <c r="AO375" s="750">
        <f t="shared" ca="1" si="216"/>
        <v>0</v>
      </c>
      <c r="AP375" s="126">
        <f t="shared" ca="1" si="217"/>
        <v>0</v>
      </c>
      <c r="AQ375" s="126">
        <f t="shared" ca="1" si="218"/>
        <v>0</v>
      </c>
      <c r="AR375" s="126">
        <f t="shared" ca="1" si="198"/>
        <v>10000</v>
      </c>
      <c r="AS375" s="750">
        <f t="shared" ca="1" si="199"/>
        <v>0</v>
      </c>
      <c r="AT375" s="750">
        <f t="shared" ca="1" si="200"/>
        <v>0</v>
      </c>
      <c r="AU375" s="126">
        <f t="shared" ca="1" si="219"/>
        <v>0</v>
      </c>
      <c r="AV375" s="126">
        <f t="shared" ca="1" si="220"/>
        <v>0</v>
      </c>
      <c r="AW375" s="126">
        <f t="shared" ca="1" si="201"/>
        <v>10000</v>
      </c>
      <c r="AX375" s="750">
        <f t="shared" ca="1" si="221"/>
        <v>0</v>
      </c>
      <c r="AY375" s="750">
        <f t="shared" ca="1" si="222"/>
        <v>0</v>
      </c>
      <c r="AZ375">
        <f t="shared" si="223"/>
        <v>5750</v>
      </c>
    </row>
    <row r="376" spans="4:52">
      <c r="D376">
        <v>369</v>
      </c>
      <c r="E376" s="6">
        <f t="shared" ca="1" si="202"/>
        <v>41548</v>
      </c>
      <c r="F376" s="7">
        <f t="shared" ca="1" si="203"/>
        <v>0</v>
      </c>
      <c r="G376" s="125">
        <f ca="1">IF('Simulador - 1º Pilar'!$E$99="Sí",IF('Aportaciones PPE'!$B$13&lt;'Aportaciones PPE'!E376,0,F376*$B$8/12),F376*$B$8/12)</f>
        <v>0</v>
      </c>
      <c r="H376" s="125">
        <f t="shared" ca="1" si="192"/>
        <v>0</v>
      </c>
      <c r="I376" s="125">
        <f t="shared" ca="1" si="204"/>
        <v>0</v>
      </c>
      <c r="J376" s="125">
        <f t="shared" ca="1" si="205"/>
        <v>0</v>
      </c>
      <c r="K376" s="125">
        <f t="shared" ca="1" si="206"/>
        <v>0</v>
      </c>
      <c r="L376" s="125">
        <f t="shared" ca="1" si="224"/>
        <v>0</v>
      </c>
      <c r="M376" s="125">
        <f t="shared" ca="1" si="207"/>
        <v>0</v>
      </c>
      <c r="N376" s="125">
        <f t="shared" ca="1" si="208"/>
        <v>0</v>
      </c>
      <c r="R376">
        <f t="shared" si="225"/>
        <v>369</v>
      </c>
      <c r="U376" s="55"/>
      <c r="V376">
        <f t="shared" si="226"/>
        <v>10</v>
      </c>
      <c r="W376">
        <f t="shared" ca="1" si="227"/>
        <v>2054</v>
      </c>
      <c r="X376" s="123">
        <f t="shared" ca="1" si="209"/>
        <v>56523</v>
      </c>
      <c r="Y376" s="64">
        <f t="shared" ca="1" si="210"/>
        <v>0</v>
      </c>
      <c r="Z376" s="64">
        <f t="shared" ca="1" si="211"/>
        <v>0</v>
      </c>
      <c r="AA376" s="64">
        <f t="shared" ca="1" si="212"/>
        <v>0</v>
      </c>
      <c r="AB376" s="64">
        <f t="shared" ca="1" si="213"/>
        <v>0</v>
      </c>
      <c r="AF376" t="str">
        <f t="shared" ca="1" si="193"/>
        <v>102013</v>
      </c>
      <c r="AG376" s="126">
        <f t="shared" ca="1" si="194"/>
        <v>0</v>
      </c>
      <c r="AH376" s="126">
        <f t="shared" ca="1" si="195"/>
        <v>0</v>
      </c>
      <c r="AI376" s="126">
        <f t="shared" ca="1" si="196"/>
        <v>0</v>
      </c>
      <c r="AJ376" t="str">
        <f t="shared" ca="1" si="197"/>
        <v>102054</v>
      </c>
      <c r="AK376" s="126">
        <f t="shared" ca="1" si="214"/>
        <v>0</v>
      </c>
      <c r="AL376" s="126">
        <f t="shared" ca="1" si="215"/>
        <v>0</v>
      </c>
      <c r="AM376" s="126">
        <f t="shared" ca="1" si="228"/>
        <v>0</v>
      </c>
      <c r="AN376" s="753">
        <f t="shared" ca="1" si="229"/>
        <v>0</v>
      </c>
      <c r="AO376" s="750">
        <f t="shared" ca="1" si="216"/>
        <v>0</v>
      </c>
      <c r="AP376" s="126">
        <f t="shared" ca="1" si="217"/>
        <v>0</v>
      </c>
      <c r="AQ376" s="126">
        <f t="shared" ca="1" si="218"/>
        <v>0</v>
      </c>
      <c r="AR376" s="126">
        <f t="shared" ca="1" si="198"/>
        <v>10000</v>
      </c>
      <c r="AS376" s="750">
        <f t="shared" ca="1" si="199"/>
        <v>0</v>
      </c>
      <c r="AT376" s="750">
        <f t="shared" ca="1" si="200"/>
        <v>0</v>
      </c>
      <c r="AU376" s="126">
        <f t="shared" ca="1" si="219"/>
        <v>0</v>
      </c>
      <c r="AV376" s="126">
        <f t="shared" ca="1" si="220"/>
        <v>0</v>
      </c>
      <c r="AW376" s="126">
        <f t="shared" ca="1" si="201"/>
        <v>10000</v>
      </c>
      <c r="AX376" s="750">
        <f t="shared" ca="1" si="221"/>
        <v>0</v>
      </c>
      <c r="AY376" s="750">
        <f t="shared" ca="1" si="222"/>
        <v>0</v>
      </c>
      <c r="AZ376">
        <f t="shared" si="223"/>
        <v>5750</v>
      </c>
    </row>
    <row r="377" spans="4:52">
      <c r="D377">
        <v>370</v>
      </c>
      <c r="E377" s="6">
        <f t="shared" ca="1" si="202"/>
        <v>41518</v>
      </c>
      <c r="F377" s="7">
        <f t="shared" ca="1" si="203"/>
        <v>0</v>
      </c>
      <c r="G377" s="125">
        <f ca="1">IF('Simulador - 1º Pilar'!$E$99="Sí",IF('Aportaciones PPE'!$B$13&lt;'Aportaciones PPE'!E377,0,F377*$B$8/12),F377*$B$8/12)</f>
        <v>0</v>
      </c>
      <c r="H377" s="125">
        <f t="shared" ca="1" si="192"/>
        <v>0</v>
      </c>
      <c r="I377" s="125">
        <f t="shared" ca="1" si="204"/>
        <v>0</v>
      </c>
      <c r="J377" s="125">
        <f t="shared" ca="1" si="205"/>
        <v>0</v>
      </c>
      <c r="K377" s="125">
        <f t="shared" ca="1" si="206"/>
        <v>0</v>
      </c>
      <c r="L377" s="125">
        <f t="shared" ca="1" si="224"/>
        <v>0</v>
      </c>
      <c r="M377" s="125">
        <f t="shared" ca="1" si="207"/>
        <v>0</v>
      </c>
      <c r="N377" s="125">
        <f t="shared" ca="1" si="208"/>
        <v>0</v>
      </c>
      <c r="R377">
        <f t="shared" si="225"/>
        <v>370</v>
      </c>
      <c r="U377" s="55"/>
      <c r="V377">
        <f t="shared" si="226"/>
        <v>11</v>
      </c>
      <c r="W377">
        <f t="shared" ca="1" si="227"/>
        <v>2054</v>
      </c>
      <c r="X377" s="123">
        <f t="shared" ca="1" si="209"/>
        <v>56554</v>
      </c>
      <c r="Y377" s="64">
        <f t="shared" ca="1" si="210"/>
        <v>0</v>
      </c>
      <c r="Z377" s="64">
        <f t="shared" ca="1" si="211"/>
        <v>0</v>
      </c>
      <c r="AA377" s="64">
        <f t="shared" ca="1" si="212"/>
        <v>0</v>
      </c>
      <c r="AB377" s="64">
        <f t="shared" ca="1" si="213"/>
        <v>0</v>
      </c>
      <c r="AF377" t="str">
        <f t="shared" ca="1" si="193"/>
        <v>92013</v>
      </c>
      <c r="AG377" s="126">
        <f t="shared" ca="1" si="194"/>
        <v>0</v>
      </c>
      <c r="AH377" s="126">
        <f t="shared" ca="1" si="195"/>
        <v>0</v>
      </c>
      <c r="AI377" s="126">
        <f t="shared" ca="1" si="196"/>
        <v>0</v>
      </c>
      <c r="AJ377" t="str">
        <f t="shared" ca="1" si="197"/>
        <v>112054</v>
      </c>
      <c r="AK377" s="126">
        <f t="shared" ca="1" si="214"/>
        <v>0</v>
      </c>
      <c r="AL377" s="126">
        <f t="shared" ca="1" si="215"/>
        <v>0</v>
      </c>
      <c r="AM377" s="126">
        <f t="shared" ca="1" si="228"/>
        <v>0</v>
      </c>
      <c r="AN377" s="753">
        <f t="shared" ca="1" si="229"/>
        <v>0</v>
      </c>
      <c r="AO377" s="750">
        <f t="shared" ca="1" si="216"/>
        <v>0</v>
      </c>
      <c r="AP377" s="126">
        <f t="shared" ca="1" si="217"/>
        <v>0</v>
      </c>
      <c r="AQ377" s="126">
        <f t="shared" ca="1" si="218"/>
        <v>0</v>
      </c>
      <c r="AR377" s="126">
        <f t="shared" ca="1" si="198"/>
        <v>10000</v>
      </c>
      <c r="AS377" s="750">
        <f t="shared" ca="1" si="199"/>
        <v>0</v>
      </c>
      <c r="AT377" s="750">
        <f t="shared" ca="1" si="200"/>
        <v>0</v>
      </c>
      <c r="AU377" s="126">
        <f t="shared" ca="1" si="219"/>
        <v>0</v>
      </c>
      <c r="AV377" s="126">
        <f t="shared" ca="1" si="220"/>
        <v>0</v>
      </c>
      <c r="AW377" s="126">
        <f t="shared" ca="1" si="201"/>
        <v>10000</v>
      </c>
      <c r="AX377" s="750">
        <f t="shared" ca="1" si="221"/>
        <v>0</v>
      </c>
      <c r="AY377" s="750">
        <f t="shared" ca="1" si="222"/>
        <v>0</v>
      </c>
      <c r="AZ377">
        <f t="shared" si="223"/>
        <v>5750</v>
      </c>
    </row>
    <row r="378" spans="4:52">
      <c r="D378">
        <v>371</v>
      </c>
      <c r="E378" s="6">
        <f t="shared" ca="1" si="202"/>
        <v>41487</v>
      </c>
      <c r="F378" s="7">
        <f t="shared" ca="1" si="203"/>
        <v>0</v>
      </c>
      <c r="G378" s="125">
        <f ca="1">IF('Simulador - 1º Pilar'!$E$99="Sí",IF('Aportaciones PPE'!$B$13&lt;'Aportaciones PPE'!E378,0,F378*$B$8/12),F378*$B$8/12)</f>
        <v>0</v>
      </c>
      <c r="H378" s="125">
        <f t="shared" ca="1" si="192"/>
        <v>0</v>
      </c>
      <c r="I378" s="125">
        <f t="shared" ca="1" si="204"/>
        <v>0</v>
      </c>
      <c r="J378" s="125">
        <f t="shared" ca="1" si="205"/>
        <v>0</v>
      </c>
      <c r="K378" s="125">
        <f t="shared" ca="1" si="206"/>
        <v>0</v>
      </c>
      <c r="L378" s="125">
        <f t="shared" ca="1" si="224"/>
        <v>0</v>
      </c>
      <c r="M378" s="125">
        <f t="shared" ca="1" si="207"/>
        <v>0</v>
      </c>
      <c r="N378" s="125">
        <f t="shared" ca="1" si="208"/>
        <v>0</v>
      </c>
      <c r="R378">
        <f t="shared" si="225"/>
        <v>371</v>
      </c>
      <c r="U378" s="55"/>
      <c r="V378">
        <f t="shared" si="226"/>
        <v>12</v>
      </c>
      <c r="W378">
        <f t="shared" ca="1" si="227"/>
        <v>2054</v>
      </c>
      <c r="X378" s="123">
        <f t="shared" ca="1" si="209"/>
        <v>56584</v>
      </c>
      <c r="Y378" s="64">
        <f t="shared" ca="1" si="210"/>
        <v>0</v>
      </c>
      <c r="Z378" s="64">
        <f t="shared" ca="1" si="211"/>
        <v>0</v>
      </c>
      <c r="AA378" s="64">
        <f t="shared" ca="1" si="212"/>
        <v>0</v>
      </c>
      <c r="AB378" s="64">
        <f t="shared" ca="1" si="213"/>
        <v>0</v>
      </c>
      <c r="AF378" t="str">
        <f t="shared" ca="1" si="193"/>
        <v>82013</v>
      </c>
      <c r="AG378" s="126">
        <f t="shared" ca="1" si="194"/>
        <v>0</v>
      </c>
      <c r="AH378" s="126">
        <f t="shared" ca="1" si="195"/>
        <v>0</v>
      </c>
      <c r="AI378" s="126">
        <f t="shared" ca="1" si="196"/>
        <v>0</v>
      </c>
      <c r="AJ378" t="str">
        <f t="shared" ca="1" si="197"/>
        <v>122054</v>
      </c>
      <c r="AK378" s="126">
        <f t="shared" ca="1" si="214"/>
        <v>0</v>
      </c>
      <c r="AL378" s="126">
        <f t="shared" ca="1" si="215"/>
        <v>0</v>
      </c>
      <c r="AM378" s="126">
        <f t="shared" ca="1" si="228"/>
        <v>0</v>
      </c>
      <c r="AN378" s="753">
        <f t="shared" ca="1" si="229"/>
        <v>0</v>
      </c>
      <c r="AO378" s="750">
        <f t="shared" ca="1" si="216"/>
        <v>0</v>
      </c>
      <c r="AP378" s="126">
        <f t="shared" ca="1" si="217"/>
        <v>0</v>
      </c>
      <c r="AQ378" s="126">
        <f t="shared" ca="1" si="218"/>
        <v>0</v>
      </c>
      <c r="AR378" s="126">
        <f t="shared" ca="1" si="198"/>
        <v>10000</v>
      </c>
      <c r="AS378" s="750">
        <f t="shared" ca="1" si="199"/>
        <v>0</v>
      </c>
      <c r="AT378" s="750">
        <f t="shared" ca="1" si="200"/>
        <v>0</v>
      </c>
      <c r="AU378" s="126">
        <f t="shared" ca="1" si="219"/>
        <v>0</v>
      </c>
      <c r="AV378" s="126">
        <f t="shared" ca="1" si="220"/>
        <v>0</v>
      </c>
      <c r="AW378" s="126">
        <f t="shared" ca="1" si="201"/>
        <v>10000</v>
      </c>
      <c r="AX378" s="750">
        <f t="shared" ca="1" si="221"/>
        <v>0</v>
      </c>
      <c r="AY378" s="750">
        <f t="shared" ca="1" si="222"/>
        <v>0</v>
      </c>
      <c r="AZ378">
        <f t="shared" si="223"/>
        <v>5750</v>
      </c>
    </row>
    <row r="379" spans="4:52">
      <c r="D379">
        <v>372</v>
      </c>
      <c r="E379" s="6">
        <f t="shared" ca="1" si="202"/>
        <v>41456</v>
      </c>
      <c r="F379" s="7">
        <f t="shared" ca="1" si="203"/>
        <v>0</v>
      </c>
      <c r="G379" s="125">
        <f ca="1">IF('Simulador - 1º Pilar'!$E$99="Sí",IF('Aportaciones PPE'!$B$13&lt;'Aportaciones PPE'!E379,0,F379*$B$8/12),F379*$B$8/12)</f>
        <v>0</v>
      </c>
      <c r="H379" s="125">
        <f t="shared" ca="1" si="192"/>
        <v>0</v>
      </c>
      <c r="I379" s="125">
        <f t="shared" ca="1" si="204"/>
        <v>0</v>
      </c>
      <c r="J379" s="125">
        <f t="shared" ca="1" si="205"/>
        <v>0</v>
      </c>
      <c r="K379" s="125">
        <f t="shared" ca="1" si="206"/>
        <v>0</v>
      </c>
      <c r="L379" s="125">
        <f t="shared" ca="1" si="224"/>
        <v>0</v>
      </c>
      <c r="M379" s="125">
        <f t="shared" ca="1" si="207"/>
        <v>0</v>
      </c>
      <c r="N379" s="125">
        <f t="shared" ca="1" si="208"/>
        <v>0</v>
      </c>
      <c r="R379">
        <f t="shared" si="225"/>
        <v>372</v>
      </c>
      <c r="U379" s="55"/>
      <c r="V379">
        <f t="shared" si="226"/>
        <v>1</v>
      </c>
      <c r="W379">
        <f t="shared" ca="1" si="227"/>
        <v>2055</v>
      </c>
      <c r="X379" s="123">
        <f t="shared" ca="1" si="209"/>
        <v>56615</v>
      </c>
      <c r="Y379" s="64">
        <f t="shared" ca="1" si="210"/>
        <v>0</v>
      </c>
      <c r="Z379" s="64">
        <f t="shared" ca="1" si="211"/>
        <v>0</v>
      </c>
      <c r="AA379" s="64">
        <f t="shared" ca="1" si="212"/>
        <v>0</v>
      </c>
      <c r="AB379" s="64">
        <f t="shared" ca="1" si="213"/>
        <v>0</v>
      </c>
      <c r="AF379" t="str">
        <f t="shared" ca="1" si="193"/>
        <v>72013</v>
      </c>
      <c r="AG379" s="126">
        <f t="shared" ca="1" si="194"/>
        <v>0</v>
      </c>
      <c r="AH379" s="126">
        <f t="shared" ca="1" si="195"/>
        <v>0</v>
      </c>
      <c r="AI379" s="126">
        <f t="shared" ca="1" si="196"/>
        <v>0</v>
      </c>
      <c r="AJ379" t="str">
        <f t="shared" ca="1" si="197"/>
        <v>12055</v>
      </c>
      <c r="AK379" s="126">
        <f t="shared" ca="1" si="214"/>
        <v>0</v>
      </c>
      <c r="AL379" s="126">
        <f t="shared" ca="1" si="215"/>
        <v>0</v>
      </c>
      <c r="AM379" s="126">
        <f t="shared" ca="1" si="228"/>
        <v>0</v>
      </c>
      <c r="AN379" s="753">
        <f t="shared" ca="1" si="229"/>
        <v>0</v>
      </c>
      <c r="AO379" s="750">
        <f t="shared" ca="1" si="216"/>
        <v>0</v>
      </c>
      <c r="AP379" s="126">
        <f t="shared" ca="1" si="217"/>
        <v>0</v>
      </c>
      <c r="AQ379" s="126">
        <f t="shared" ca="1" si="218"/>
        <v>0</v>
      </c>
      <c r="AR379" s="126">
        <f t="shared" ca="1" si="198"/>
        <v>10000</v>
      </c>
      <c r="AS379" s="750">
        <f t="shared" ca="1" si="199"/>
        <v>0</v>
      </c>
      <c r="AT379" s="750">
        <f t="shared" ca="1" si="200"/>
        <v>0</v>
      </c>
      <c r="AU379" s="126">
        <f t="shared" ca="1" si="219"/>
        <v>0</v>
      </c>
      <c r="AV379" s="126">
        <f t="shared" ca="1" si="220"/>
        <v>0</v>
      </c>
      <c r="AW379" s="126">
        <f t="shared" ca="1" si="201"/>
        <v>10000</v>
      </c>
      <c r="AX379" s="750">
        <f t="shared" ca="1" si="221"/>
        <v>0</v>
      </c>
      <c r="AY379" s="750">
        <f t="shared" ca="1" si="222"/>
        <v>0</v>
      </c>
      <c r="AZ379">
        <f t="shared" si="223"/>
        <v>5750</v>
      </c>
    </row>
    <row r="380" spans="4:52">
      <c r="D380">
        <v>373</v>
      </c>
      <c r="E380" s="6">
        <f t="shared" ca="1" si="202"/>
        <v>41426</v>
      </c>
      <c r="F380" s="7">
        <f t="shared" ca="1" si="203"/>
        <v>0</v>
      </c>
      <c r="G380" s="125">
        <f ca="1">IF('Simulador - 1º Pilar'!$E$99="Sí",IF('Aportaciones PPE'!$B$13&lt;'Aportaciones PPE'!E380,0,F380*$B$8/12),F380*$B$8/12)</f>
        <v>0</v>
      </c>
      <c r="H380" s="125">
        <f t="shared" ca="1" si="192"/>
        <v>0</v>
      </c>
      <c r="I380" s="125">
        <f t="shared" ca="1" si="204"/>
        <v>0</v>
      </c>
      <c r="J380" s="125">
        <f t="shared" ca="1" si="205"/>
        <v>0</v>
      </c>
      <c r="K380" s="125">
        <f t="shared" ca="1" si="206"/>
        <v>0</v>
      </c>
      <c r="L380" s="125">
        <f t="shared" ca="1" si="224"/>
        <v>0</v>
      </c>
      <c r="M380" s="125">
        <f t="shared" ca="1" si="207"/>
        <v>0</v>
      </c>
      <c r="N380" s="125">
        <f t="shared" ca="1" si="208"/>
        <v>0</v>
      </c>
      <c r="R380">
        <f t="shared" si="225"/>
        <v>373</v>
      </c>
      <c r="U380" s="55"/>
      <c r="V380">
        <f t="shared" si="226"/>
        <v>2</v>
      </c>
      <c r="W380">
        <f t="shared" ca="1" si="227"/>
        <v>2055</v>
      </c>
      <c r="X380" s="123">
        <f t="shared" ca="1" si="209"/>
        <v>56646</v>
      </c>
      <c r="Y380" s="64">
        <f t="shared" ca="1" si="210"/>
        <v>0</v>
      </c>
      <c r="Z380" s="64">
        <f t="shared" ca="1" si="211"/>
        <v>0</v>
      </c>
      <c r="AA380" s="64">
        <f t="shared" ca="1" si="212"/>
        <v>0</v>
      </c>
      <c r="AB380" s="64">
        <f t="shared" ca="1" si="213"/>
        <v>0</v>
      </c>
      <c r="AF380" t="str">
        <f t="shared" ca="1" si="193"/>
        <v>62013</v>
      </c>
      <c r="AG380" s="126">
        <f t="shared" ca="1" si="194"/>
        <v>0</v>
      </c>
      <c r="AH380" s="126">
        <f t="shared" ca="1" si="195"/>
        <v>0</v>
      </c>
      <c r="AI380" s="126">
        <f t="shared" ca="1" si="196"/>
        <v>0</v>
      </c>
      <c r="AJ380" t="str">
        <f t="shared" ca="1" si="197"/>
        <v>22055</v>
      </c>
      <c r="AK380" s="126">
        <f t="shared" ca="1" si="214"/>
        <v>0</v>
      </c>
      <c r="AL380" s="126">
        <f t="shared" ca="1" si="215"/>
        <v>0</v>
      </c>
      <c r="AM380" s="126">
        <f t="shared" ca="1" si="228"/>
        <v>0</v>
      </c>
      <c r="AN380" s="753">
        <f t="shared" ca="1" si="229"/>
        <v>0</v>
      </c>
      <c r="AO380" s="750">
        <f t="shared" ca="1" si="216"/>
        <v>0</v>
      </c>
      <c r="AP380" s="126">
        <f t="shared" ca="1" si="217"/>
        <v>0</v>
      </c>
      <c r="AQ380" s="126">
        <f t="shared" ca="1" si="218"/>
        <v>0</v>
      </c>
      <c r="AR380" s="126">
        <f t="shared" ca="1" si="198"/>
        <v>10000</v>
      </c>
      <c r="AS380" s="750">
        <f t="shared" ca="1" si="199"/>
        <v>0</v>
      </c>
      <c r="AT380" s="750">
        <f t="shared" ca="1" si="200"/>
        <v>0</v>
      </c>
      <c r="AU380" s="126">
        <f t="shared" ca="1" si="219"/>
        <v>0</v>
      </c>
      <c r="AV380" s="126">
        <f t="shared" ca="1" si="220"/>
        <v>0</v>
      </c>
      <c r="AW380" s="126">
        <f t="shared" ca="1" si="201"/>
        <v>10000</v>
      </c>
      <c r="AX380" s="750">
        <f t="shared" ca="1" si="221"/>
        <v>0</v>
      </c>
      <c r="AY380" s="750">
        <f t="shared" ca="1" si="222"/>
        <v>0</v>
      </c>
      <c r="AZ380">
        <f t="shared" si="223"/>
        <v>5750</v>
      </c>
    </row>
    <row r="381" spans="4:52">
      <c r="D381">
        <v>374</v>
      </c>
      <c r="E381" s="6">
        <f t="shared" ca="1" si="202"/>
        <v>41395</v>
      </c>
      <c r="F381" s="7">
        <f t="shared" ca="1" si="203"/>
        <v>0</v>
      </c>
      <c r="G381" s="125">
        <f ca="1">IF('Simulador - 1º Pilar'!$E$99="Sí",IF('Aportaciones PPE'!$B$13&lt;'Aportaciones PPE'!E381,0,F381*$B$8/12),F381*$B$8/12)</f>
        <v>0</v>
      </c>
      <c r="H381" s="125">
        <f t="shared" ca="1" si="192"/>
        <v>0</v>
      </c>
      <c r="I381" s="125">
        <f t="shared" ca="1" si="204"/>
        <v>0</v>
      </c>
      <c r="J381" s="125">
        <f t="shared" ca="1" si="205"/>
        <v>0</v>
      </c>
      <c r="K381" s="125">
        <f t="shared" ca="1" si="206"/>
        <v>0</v>
      </c>
      <c r="L381" s="125">
        <f t="shared" ca="1" si="224"/>
        <v>0</v>
      </c>
      <c r="M381" s="125">
        <f t="shared" ca="1" si="207"/>
        <v>0</v>
      </c>
      <c r="N381" s="125">
        <f t="shared" ca="1" si="208"/>
        <v>0</v>
      </c>
      <c r="R381">
        <f t="shared" si="225"/>
        <v>374</v>
      </c>
      <c r="U381" s="55"/>
      <c r="V381">
        <f t="shared" si="226"/>
        <v>3</v>
      </c>
      <c r="W381">
        <f t="shared" ca="1" si="227"/>
        <v>2055</v>
      </c>
      <c r="X381" s="123">
        <f t="shared" ca="1" si="209"/>
        <v>56674</v>
      </c>
      <c r="Y381" s="64">
        <f t="shared" ca="1" si="210"/>
        <v>0</v>
      </c>
      <c r="Z381" s="64">
        <f t="shared" ca="1" si="211"/>
        <v>0</v>
      </c>
      <c r="AA381" s="64">
        <f t="shared" ca="1" si="212"/>
        <v>0</v>
      </c>
      <c r="AB381" s="64">
        <f t="shared" ca="1" si="213"/>
        <v>0</v>
      </c>
      <c r="AF381" t="str">
        <f t="shared" ca="1" si="193"/>
        <v>52013</v>
      </c>
      <c r="AG381" s="126">
        <f t="shared" ca="1" si="194"/>
        <v>0</v>
      </c>
      <c r="AH381" s="126">
        <f t="shared" ca="1" si="195"/>
        <v>0</v>
      </c>
      <c r="AI381" s="126">
        <f t="shared" ca="1" si="196"/>
        <v>0</v>
      </c>
      <c r="AJ381" t="str">
        <f t="shared" ca="1" si="197"/>
        <v>32055</v>
      </c>
      <c r="AK381" s="126">
        <f t="shared" ca="1" si="214"/>
        <v>0</v>
      </c>
      <c r="AL381" s="126">
        <f t="shared" ca="1" si="215"/>
        <v>0</v>
      </c>
      <c r="AM381" s="126">
        <f t="shared" ca="1" si="228"/>
        <v>0</v>
      </c>
      <c r="AN381" s="753">
        <f t="shared" ca="1" si="229"/>
        <v>0</v>
      </c>
      <c r="AO381" s="750">
        <f t="shared" ca="1" si="216"/>
        <v>0</v>
      </c>
      <c r="AP381" s="126">
        <f t="shared" ca="1" si="217"/>
        <v>0</v>
      </c>
      <c r="AQ381" s="126">
        <f t="shared" ca="1" si="218"/>
        <v>0</v>
      </c>
      <c r="AR381" s="126">
        <f t="shared" ca="1" si="198"/>
        <v>10000</v>
      </c>
      <c r="AS381" s="750">
        <f t="shared" ca="1" si="199"/>
        <v>0</v>
      </c>
      <c r="AT381" s="750">
        <f t="shared" ca="1" si="200"/>
        <v>0</v>
      </c>
      <c r="AU381" s="126">
        <f t="shared" ca="1" si="219"/>
        <v>0</v>
      </c>
      <c r="AV381" s="126">
        <f t="shared" ca="1" si="220"/>
        <v>0</v>
      </c>
      <c r="AW381" s="126">
        <f t="shared" ca="1" si="201"/>
        <v>10000</v>
      </c>
      <c r="AX381" s="750">
        <f t="shared" ca="1" si="221"/>
        <v>0</v>
      </c>
      <c r="AY381" s="750">
        <f t="shared" ca="1" si="222"/>
        <v>0</v>
      </c>
      <c r="AZ381">
        <f t="shared" si="223"/>
        <v>5750</v>
      </c>
    </row>
    <row r="382" spans="4:52">
      <c r="D382">
        <v>375</v>
      </c>
      <c r="E382" s="6">
        <f t="shared" ca="1" si="202"/>
        <v>41365</v>
      </c>
      <c r="F382" s="7">
        <f t="shared" ca="1" si="203"/>
        <v>0</v>
      </c>
      <c r="G382" s="125">
        <f ca="1">IF('Simulador - 1º Pilar'!$E$99="Sí",IF('Aportaciones PPE'!$B$13&lt;'Aportaciones PPE'!E382,0,F382*$B$8/12),F382*$B$8/12)</f>
        <v>0</v>
      </c>
      <c r="H382" s="125">
        <f t="shared" ca="1" si="192"/>
        <v>0</v>
      </c>
      <c r="I382" s="125">
        <f t="shared" ca="1" si="204"/>
        <v>0</v>
      </c>
      <c r="J382" s="125">
        <f t="shared" ca="1" si="205"/>
        <v>0</v>
      </c>
      <c r="K382" s="125">
        <f t="shared" ca="1" si="206"/>
        <v>0</v>
      </c>
      <c r="L382" s="125">
        <f t="shared" ca="1" si="224"/>
        <v>0</v>
      </c>
      <c r="M382" s="125">
        <f t="shared" ca="1" si="207"/>
        <v>0</v>
      </c>
      <c r="N382" s="125">
        <f t="shared" ca="1" si="208"/>
        <v>0</v>
      </c>
      <c r="R382">
        <f t="shared" si="225"/>
        <v>375</v>
      </c>
      <c r="U382" s="55"/>
      <c r="V382">
        <f t="shared" si="226"/>
        <v>4</v>
      </c>
      <c r="W382">
        <f t="shared" ca="1" si="227"/>
        <v>2055</v>
      </c>
      <c r="X382" s="123">
        <f t="shared" ca="1" si="209"/>
        <v>56705</v>
      </c>
      <c r="Y382" s="64">
        <f t="shared" ca="1" si="210"/>
        <v>0</v>
      </c>
      <c r="Z382" s="64">
        <f t="shared" ca="1" si="211"/>
        <v>0</v>
      </c>
      <c r="AA382" s="64">
        <f t="shared" ca="1" si="212"/>
        <v>0</v>
      </c>
      <c r="AB382" s="64">
        <f t="shared" ca="1" si="213"/>
        <v>0</v>
      </c>
      <c r="AF382" t="str">
        <f t="shared" ca="1" si="193"/>
        <v>42013</v>
      </c>
      <c r="AG382" s="126">
        <f t="shared" ca="1" si="194"/>
        <v>0</v>
      </c>
      <c r="AH382" s="126">
        <f t="shared" ca="1" si="195"/>
        <v>0</v>
      </c>
      <c r="AI382" s="126">
        <f t="shared" ca="1" si="196"/>
        <v>0</v>
      </c>
      <c r="AJ382" t="str">
        <f t="shared" ca="1" si="197"/>
        <v>42055</v>
      </c>
      <c r="AK382" s="126">
        <f t="shared" ca="1" si="214"/>
        <v>0</v>
      </c>
      <c r="AL382" s="126">
        <f t="shared" ca="1" si="215"/>
        <v>0</v>
      </c>
      <c r="AM382" s="126">
        <f t="shared" ca="1" si="228"/>
        <v>0</v>
      </c>
      <c r="AN382" s="753">
        <f t="shared" ca="1" si="229"/>
        <v>0</v>
      </c>
      <c r="AO382" s="750">
        <f t="shared" ca="1" si="216"/>
        <v>0</v>
      </c>
      <c r="AP382" s="126">
        <f t="shared" ca="1" si="217"/>
        <v>0</v>
      </c>
      <c r="AQ382" s="126">
        <f t="shared" ca="1" si="218"/>
        <v>0</v>
      </c>
      <c r="AR382" s="126">
        <f t="shared" ca="1" si="198"/>
        <v>10000</v>
      </c>
      <c r="AS382" s="750">
        <f t="shared" ca="1" si="199"/>
        <v>0</v>
      </c>
      <c r="AT382" s="750">
        <f t="shared" ca="1" si="200"/>
        <v>0</v>
      </c>
      <c r="AU382" s="126">
        <f t="shared" ca="1" si="219"/>
        <v>0</v>
      </c>
      <c r="AV382" s="126">
        <f t="shared" ca="1" si="220"/>
        <v>0</v>
      </c>
      <c r="AW382" s="126">
        <f t="shared" ca="1" si="201"/>
        <v>10000</v>
      </c>
      <c r="AX382" s="750">
        <f t="shared" ca="1" si="221"/>
        <v>0</v>
      </c>
      <c r="AY382" s="750">
        <f t="shared" ca="1" si="222"/>
        <v>0</v>
      </c>
      <c r="AZ382">
        <f t="shared" si="223"/>
        <v>5750</v>
      </c>
    </row>
    <row r="383" spans="4:52">
      <c r="D383">
        <v>376</v>
      </c>
      <c r="E383" s="6">
        <f t="shared" ca="1" si="202"/>
        <v>41334</v>
      </c>
      <c r="F383" s="7">
        <f t="shared" ca="1" si="203"/>
        <v>0</v>
      </c>
      <c r="G383" s="125">
        <f ca="1">IF('Simulador - 1º Pilar'!$E$99="Sí",IF('Aportaciones PPE'!$B$13&lt;'Aportaciones PPE'!E383,0,F383*$B$8/12),F383*$B$8/12)</f>
        <v>0</v>
      </c>
      <c r="H383" s="125">
        <f t="shared" ca="1" si="192"/>
        <v>0</v>
      </c>
      <c r="I383" s="125">
        <f t="shared" ca="1" si="204"/>
        <v>0</v>
      </c>
      <c r="J383" s="125">
        <f t="shared" ca="1" si="205"/>
        <v>0</v>
      </c>
      <c r="K383" s="125">
        <f t="shared" ca="1" si="206"/>
        <v>0</v>
      </c>
      <c r="L383" s="125">
        <f t="shared" ca="1" si="224"/>
        <v>0</v>
      </c>
      <c r="M383" s="125">
        <f t="shared" ca="1" si="207"/>
        <v>0</v>
      </c>
      <c r="N383" s="125">
        <f t="shared" ca="1" si="208"/>
        <v>0</v>
      </c>
      <c r="R383">
        <f t="shared" si="225"/>
        <v>376</v>
      </c>
      <c r="U383" s="55"/>
      <c r="V383">
        <f t="shared" si="226"/>
        <v>5</v>
      </c>
      <c r="W383">
        <f t="shared" ca="1" si="227"/>
        <v>2055</v>
      </c>
      <c r="X383" s="123">
        <f t="shared" ca="1" si="209"/>
        <v>56735</v>
      </c>
      <c r="Y383" s="64">
        <f t="shared" ca="1" si="210"/>
        <v>0</v>
      </c>
      <c r="Z383" s="64">
        <f t="shared" ca="1" si="211"/>
        <v>0</v>
      </c>
      <c r="AA383" s="64">
        <f t="shared" ca="1" si="212"/>
        <v>0</v>
      </c>
      <c r="AB383" s="64">
        <f t="shared" ca="1" si="213"/>
        <v>0</v>
      </c>
      <c r="AF383" t="str">
        <f t="shared" ca="1" si="193"/>
        <v>32013</v>
      </c>
      <c r="AG383" s="126">
        <f t="shared" ca="1" si="194"/>
        <v>0</v>
      </c>
      <c r="AH383" s="126">
        <f t="shared" ca="1" si="195"/>
        <v>0</v>
      </c>
      <c r="AI383" s="126">
        <f t="shared" ca="1" si="196"/>
        <v>0</v>
      </c>
      <c r="AJ383" t="str">
        <f t="shared" ca="1" si="197"/>
        <v>52055</v>
      </c>
      <c r="AK383" s="126">
        <f t="shared" ca="1" si="214"/>
        <v>0</v>
      </c>
      <c r="AL383" s="126">
        <f t="shared" ca="1" si="215"/>
        <v>0</v>
      </c>
      <c r="AM383" s="126">
        <f t="shared" ca="1" si="228"/>
        <v>0</v>
      </c>
      <c r="AN383" s="753">
        <f t="shared" ca="1" si="229"/>
        <v>0</v>
      </c>
      <c r="AO383" s="750">
        <f t="shared" ca="1" si="216"/>
        <v>0</v>
      </c>
      <c r="AP383" s="126">
        <f t="shared" ca="1" si="217"/>
        <v>0</v>
      </c>
      <c r="AQ383" s="126">
        <f t="shared" ca="1" si="218"/>
        <v>0</v>
      </c>
      <c r="AR383" s="126">
        <f t="shared" ca="1" si="198"/>
        <v>10000</v>
      </c>
      <c r="AS383" s="750">
        <f t="shared" ca="1" si="199"/>
        <v>0</v>
      </c>
      <c r="AT383" s="750">
        <f t="shared" ca="1" si="200"/>
        <v>0</v>
      </c>
      <c r="AU383" s="126">
        <f t="shared" ca="1" si="219"/>
        <v>0</v>
      </c>
      <c r="AV383" s="126">
        <f t="shared" ca="1" si="220"/>
        <v>0</v>
      </c>
      <c r="AW383" s="126">
        <f t="shared" ca="1" si="201"/>
        <v>10000</v>
      </c>
      <c r="AX383" s="750">
        <f t="shared" ca="1" si="221"/>
        <v>0</v>
      </c>
      <c r="AY383" s="750">
        <f t="shared" ca="1" si="222"/>
        <v>0</v>
      </c>
      <c r="AZ383">
        <f t="shared" si="223"/>
        <v>5750</v>
      </c>
    </row>
    <row r="384" spans="4:52">
      <c r="D384">
        <v>377</v>
      </c>
      <c r="E384" s="6">
        <f t="shared" ca="1" si="202"/>
        <v>41306</v>
      </c>
      <c r="F384" s="7">
        <f t="shared" ca="1" si="203"/>
        <v>0</v>
      </c>
      <c r="G384" s="125">
        <f ca="1">IF('Simulador - 1º Pilar'!$E$99="Sí",IF('Aportaciones PPE'!$B$13&lt;'Aportaciones PPE'!E384,0,F384*$B$8/12),F384*$B$8/12)</f>
        <v>0</v>
      </c>
      <c r="H384" s="125">
        <f t="shared" ca="1" si="192"/>
        <v>0</v>
      </c>
      <c r="I384" s="125">
        <f t="shared" ca="1" si="204"/>
        <v>0</v>
      </c>
      <c r="J384" s="125">
        <f t="shared" ca="1" si="205"/>
        <v>0</v>
      </c>
      <c r="K384" s="125">
        <f t="shared" ca="1" si="206"/>
        <v>0</v>
      </c>
      <c r="L384" s="125">
        <f t="shared" ca="1" si="224"/>
        <v>0</v>
      </c>
      <c r="M384" s="125">
        <f t="shared" ca="1" si="207"/>
        <v>0</v>
      </c>
      <c r="N384" s="125">
        <f t="shared" ca="1" si="208"/>
        <v>0</v>
      </c>
      <c r="R384">
        <f t="shared" si="225"/>
        <v>377</v>
      </c>
      <c r="U384" s="55"/>
      <c r="V384">
        <f t="shared" si="226"/>
        <v>6</v>
      </c>
      <c r="W384">
        <f t="shared" ca="1" si="227"/>
        <v>2055</v>
      </c>
      <c r="X384" s="123">
        <f t="shared" ca="1" si="209"/>
        <v>56766</v>
      </c>
      <c r="Y384" s="64">
        <f t="shared" ca="1" si="210"/>
        <v>0</v>
      </c>
      <c r="Z384" s="64">
        <f t="shared" ca="1" si="211"/>
        <v>0</v>
      </c>
      <c r="AA384" s="64">
        <f t="shared" ca="1" si="212"/>
        <v>0</v>
      </c>
      <c r="AB384" s="64">
        <f t="shared" ca="1" si="213"/>
        <v>0</v>
      </c>
      <c r="AF384" t="str">
        <f t="shared" ca="1" si="193"/>
        <v>22013</v>
      </c>
      <c r="AG384" s="126">
        <f t="shared" ca="1" si="194"/>
        <v>0</v>
      </c>
      <c r="AH384" s="126">
        <f t="shared" ca="1" si="195"/>
        <v>0</v>
      </c>
      <c r="AI384" s="126">
        <f t="shared" ca="1" si="196"/>
        <v>0</v>
      </c>
      <c r="AJ384" t="str">
        <f t="shared" ca="1" si="197"/>
        <v>62055</v>
      </c>
      <c r="AK384" s="126">
        <f t="shared" ca="1" si="214"/>
        <v>0</v>
      </c>
      <c r="AL384" s="126">
        <f t="shared" ca="1" si="215"/>
        <v>0</v>
      </c>
      <c r="AM384" s="126">
        <f t="shared" ca="1" si="228"/>
        <v>0</v>
      </c>
      <c r="AN384" s="753">
        <f t="shared" ca="1" si="229"/>
        <v>0</v>
      </c>
      <c r="AO384" s="750">
        <f t="shared" ca="1" si="216"/>
        <v>0</v>
      </c>
      <c r="AP384" s="126">
        <f t="shared" ca="1" si="217"/>
        <v>0</v>
      </c>
      <c r="AQ384" s="126">
        <f t="shared" ca="1" si="218"/>
        <v>0</v>
      </c>
      <c r="AR384" s="126">
        <f t="shared" ca="1" si="198"/>
        <v>10000</v>
      </c>
      <c r="AS384" s="750">
        <f t="shared" ca="1" si="199"/>
        <v>0</v>
      </c>
      <c r="AT384" s="750">
        <f t="shared" ca="1" si="200"/>
        <v>0</v>
      </c>
      <c r="AU384" s="126">
        <f t="shared" ca="1" si="219"/>
        <v>0</v>
      </c>
      <c r="AV384" s="126">
        <f t="shared" ca="1" si="220"/>
        <v>0</v>
      </c>
      <c r="AW384" s="126">
        <f t="shared" ca="1" si="201"/>
        <v>10000</v>
      </c>
      <c r="AX384" s="750">
        <f t="shared" ca="1" si="221"/>
        <v>0</v>
      </c>
      <c r="AY384" s="750">
        <f t="shared" ca="1" si="222"/>
        <v>0</v>
      </c>
      <c r="AZ384">
        <f t="shared" si="223"/>
        <v>5750</v>
      </c>
    </row>
    <row r="385" spans="4:52">
      <c r="D385">
        <v>378</v>
      </c>
      <c r="E385" s="6">
        <f t="shared" ca="1" si="202"/>
        <v>41275</v>
      </c>
      <c r="F385" s="7">
        <f t="shared" ca="1" si="203"/>
        <v>0</v>
      </c>
      <c r="G385" s="125">
        <f ca="1">IF('Simulador - 1º Pilar'!$E$99="Sí",IF('Aportaciones PPE'!$B$13&lt;'Aportaciones PPE'!E385,0,F385*$B$8/12),F385*$B$8/12)</f>
        <v>0</v>
      </c>
      <c r="H385" s="125">
        <f t="shared" ca="1" si="192"/>
        <v>0</v>
      </c>
      <c r="I385" s="125">
        <f t="shared" ca="1" si="204"/>
        <v>0</v>
      </c>
      <c r="J385" s="125">
        <f t="shared" ca="1" si="205"/>
        <v>0</v>
      </c>
      <c r="K385" s="125">
        <f t="shared" ca="1" si="206"/>
        <v>0</v>
      </c>
      <c r="L385" s="125">
        <f t="shared" ca="1" si="224"/>
        <v>0</v>
      </c>
      <c r="M385" s="125">
        <f t="shared" ca="1" si="207"/>
        <v>0</v>
      </c>
      <c r="N385" s="125">
        <f t="shared" ca="1" si="208"/>
        <v>0</v>
      </c>
      <c r="R385">
        <f t="shared" si="225"/>
        <v>378</v>
      </c>
      <c r="U385" s="55"/>
      <c r="V385">
        <f t="shared" si="226"/>
        <v>7</v>
      </c>
      <c r="W385">
        <f t="shared" ca="1" si="227"/>
        <v>2055</v>
      </c>
      <c r="X385" s="123">
        <f t="shared" ca="1" si="209"/>
        <v>56796</v>
      </c>
      <c r="Y385" s="64">
        <f t="shared" ca="1" si="210"/>
        <v>0</v>
      </c>
      <c r="Z385" s="64">
        <f t="shared" ca="1" si="211"/>
        <v>0</v>
      </c>
      <c r="AA385" s="64">
        <f t="shared" ca="1" si="212"/>
        <v>0</v>
      </c>
      <c r="AB385" s="64">
        <f t="shared" ca="1" si="213"/>
        <v>0</v>
      </c>
      <c r="AF385" t="str">
        <f t="shared" ca="1" si="193"/>
        <v>12013</v>
      </c>
      <c r="AG385" s="126">
        <f t="shared" ca="1" si="194"/>
        <v>0</v>
      </c>
      <c r="AH385" s="126">
        <f t="shared" ca="1" si="195"/>
        <v>0</v>
      </c>
      <c r="AI385" s="126">
        <f t="shared" ca="1" si="196"/>
        <v>0</v>
      </c>
      <c r="AJ385" t="str">
        <f t="shared" ca="1" si="197"/>
        <v>72055</v>
      </c>
      <c r="AK385" s="126">
        <f t="shared" ca="1" si="214"/>
        <v>0</v>
      </c>
      <c r="AL385" s="126">
        <f t="shared" ca="1" si="215"/>
        <v>0</v>
      </c>
      <c r="AM385" s="126">
        <f t="shared" ca="1" si="228"/>
        <v>0</v>
      </c>
      <c r="AN385" s="753">
        <f t="shared" ca="1" si="229"/>
        <v>0</v>
      </c>
      <c r="AO385" s="750">
        <f t="shared" ca="1" si="216"/>
        <v>0</v>
      </c>
      <c r="AP385" s="126">
        <f t="shared" ca="1" si="217"/>
        <v>0</v>
      </c>
      <c r="AQ385" s="126">
        <f t="shared" ca="1" si="218"/>
        <v>0</v>
      </c>
      <c r="AR385" s="126">
        <f t="shared" ca="1" si="198"/>
        <v>10000</v>
      </c>
      <c r="AS385" s="750">
        <f t="shared" ca="1" si="199"/>
        <v>0</v>
      </c>
      <c r="AT385" s="750">
        <f t="shared" ca="1" si="200"/>
        <v>0</v>
      </c>
      <c r="AU385" s="126">
        <f t="shared" ca="1" si="219"/>
        <v>0</v>
      </c>
      <c r="AV385" s="126">
        <f t="shared" ca="1" si="220"/>
        <v>0</v>
      </c>
      <c r="AW385" s="126">
        <f t="shared" ca="1" si="201"/>
        <v>10000</v>
      </c>
      <c r="AX385" s="750">
        <f t="shared" ca="1" si="221"/>
        <v>0</v>
      </c>
      <c r="AY385" s="750">
        <f t="shared" ca="1" si="222"/>
        <v>0</v>
      </c>
      <c r="AZ385">
        <f t="shared" si="223"/>
        <v>5750</v>
      </c>
    </row>
    <row r="386" spans="4:52">
      <c r="D386">
        <v>379</v>
      </c>
      <c r="E386" s="6">
        <f t="shared" ca="1" si="202"/>
        <v>41244</v>
      </c>
      <c r="F386" s="7">
        <f t="shared" ca="1" si="203"/>
        <v>0</v>
      </c>
      <c r="G386" s="125">
        <f ca="1">IF('Simulador - 1º Pilar'!$E$99="Sí",IF('Aportaciones PPE'!$B$13&lt;'Aportaciones PPE'!E386,0,F386*$B$8/12),F386*$B$8/12)</f>
        <v>0</v>
      </c>
      <c r="H386" s="125">
        <f t="shared" ca="1" si="192"/>
        <v>0</v>
      </c>
      <c r="I386" s="125">
        <f t="shared" ca="1" si="204"/>
        <v>0</v>
      </c>
      <c r="J386" s="125">
        <f t="shared" ca="1" si="205"/>
        <v>0</v>
      </c>
      <c r="K386" s="125">
        <f t="shared" ca="1" si="206"/>
        <v>0</v>
      </c>
      <c r="L386" s="125">
        <f t="shared" ca="1" si="224"/>
        <v>0</v>
      </c>
      <c r="M386" s="125">
        <f t="shared" ca="1" si="207"/>
        <v>0</v>
      </c>
      <c r="N386" s="125">
        <f t="shared" ca="1" si="208"/>
        <v>0</v>
      </c>
      <c r="R386">
        <f t="shared" si="225"/>
        <v>379</v>
      </c>
      <c r="U386" s="55"/>
      <c r="V386">
        <f t="shared" si="226"/>
        <v>8</v>
      </c>
      <c r="W386">
        <f t="shared" ca="1" si="227"/>
        <v>2055</v>
      </c>
      <c r="X386" s="123">
        <f t="shared" ca="1" si="209"/>
        <v>56827</v>
      </c>
      <c r="Y386" s="64">
        <f t="shared" ca="1" si="210"/>
        <v>0</v>
      </c>
      <c r="Z386" s="64">
        <f t="shared" ca="1" si="211"/>
        <v>0</v>
      </c>
      <c r="AA386" s="64">
        <f t="shared" ca="1" si="212"/>
        <v>0</v>
      </c>
      <c r="AB386" s="64">
        <f t="shared" ca="1" si="213"/>
        <v>0</v>
      </c>
      <c r="AF386" t="str">
        <f t="shared" ca="1" si="193"/>
        <v>122012</v>
      </c>
      <c r="AG386" s="126">
        <f t="shared" ca="1" si="194"/>
        <v>0</v>
      </c>
      <c r="AH386" s="126">
        <f t="shared" ca="1" si="195"/>
        <v>0</v>
      </c>
      <c r="AI386" s="126">
        <f t="shared" ca="1" si="196"/>
        <v>0</v>
      </c>
      <c r="AJ386" t="str">
        <f t="shared" ca="1" si="197"/>
        <v>82055</v>
      </c>
      <c r="AK386" s="126">
        <f t="shared" ca="1" si="214"/>
        <v>0</v>
      </c>
      <c r="AL386" s="126">
        <f t="shared" ca="1" si="215"/>
        <v>0</v>
      </c>
      <c r="AM386" s="126">
        <f t="shared" ca="1" si="228"/>
        <v>0</v>
      </c>
      <c r="AN386" s="753">
        <f t="shared" ca="1" si="229"/>
        <v>0</v>
      </c>
      <c r="AO386" s="750">
        <f t="shared" ca="1" si="216"/>
        <v>0</v>
      </c>
      <c r="AP386" s="126">
        <f t="shared" ca="1" si="217"/>
        <v>0</v>
      </c>
      <c r="AQ386" s="126">
        <f t="shared" ca="1" si="218"/>
        <v>0</v>
      </c>
      <c r="AR386" s="126">
        <f t="shared" ca="1" si="198"/>
        <v>10000</v>
      </c>
      <c r="AS386" s="750">
        <f t="shared" ca="1" si="199"/>
        <v>0</v>
      </c>
      <c r="AT386" s="750">
        <f t="shared" ca="1" si="200"/>
        <v>0</v>
      </c>
      <c r="AU386" s="126">
        <f t="shared" ca="1" si="219"/>
        <v>0</v>
      </c>
      <c r="AV386" s="126">
        <f t="shared" ca="1" si="220"/>
        <v>0</v>
      </c>
      <c r="AW386" s="126">
        <f t="shared" ca="1" si="201"/>
        <v>10000</v>
      </c>
      <c r="AX386" s="750">
        <f t="shared" ca="1" si="221"/>
        <v>0</v>
      </c>
      <c r="AY386" s="750">
        <f t="shared" ca="1" si="222"/>
        <v>0</v>
      </c>
      <c r="AZ386">
        <f t="shared" si="223"/>
        <v>5750</v>
      </c>
    </row>
    <row r="387" spans="4:52">
      <c r="D387">
        <v>380</v>
      </c>
      <c r="E387" s="6">
        <f t="shared" ca="1" si="202"/>
        <v>41214</v>
      </c>
      <c r="F387" s="7">
        <f t="shared" ca="1" si="203"/>
        <v>0</v>
      </c>
      <c r="G387" s="125">
        <f ca="1">IF('Simulador - 1º Pilar'!$E$99="Sí",IF('Aportaciones PPE'!$B$13&lt;'Aportaciones PPE'!E387,0,F387*$B$8/12),F387*$B$8/12)</f>
        <v>0</v>
      </c>
      <c r="H387" s="125">
        <f t="shared" ca="1" si="192"/>
        <v>0</v>
      </c>
      <c r="I387" s="125">
        <f t="shared" ca="1" si="204"/>
        <v>0</v>
      </c>
      <c r="J387" s="125">
        <f t="shared" ca="1" si="205"/>
        <v>0</v>
      </c>
      <c r="K387" s="125">
        <f t="shared" ca="1" si="206"/>
        <v>0</v>
      </c>
      <c r="L387" s="125">
        <f t="shared" ca="1" si="224"/>
        <v>0</v>
      </c>
      <c r="M387" s="125">
        <f t="shared" ca="1" si="207"/>
        <v>0</v>
      </c>
      <c r="N387" s="125">
        <f t="shared" ca="1" si="208"/>
        <v>0</v>
      </c>
      <c r="R387">
        <f t="shared" si="225"/>
        <v>380</v>
      </c>
      <c r="U387" s="55"/>
      <c r="V387">
        <f t="shared" si="226"/>
        <v>9</v>
      </c>
      <c r="W387">
        <f t="shared" ca="1" si="227"/>
        <v>2055</v>
      </c>
      <c r="X387" s="123">
        <f t="shared" ca="1" si="209"/>
        <v>56858</v>
      </c>
      <c r="Y387" s="64">
        <f t="shared" ca="1" si="210"/>
        <v>0</v>
      </c>
      <c r="Z387" s="64">
        <f t="shared" ca="1" si="211"/>
        <v>0</v>
      </c>
      <c r="AA387" s="64">
        <f t="shared" ca="1" si="212"/>
        <v>0</v>
      </c>
      <c r="AB387" s="64">
        <f t="shared" ca="1" si="213"/>
        <v>0</v>
      </c>
      <c r="AF387" t="str">
        <f t="shared" ca="1" si="193"/>
        <v>112012</v>
      </c>
      <c r="AG387" s="126">
        <f t="shared" ca="1" si="194"/>
        <v>0</v>
      </c>
      <c r="AH387" s="126">
        <f t="shared" ca="1" si="195"/>
        <v>0</v>
      </c>
      <c r="AI387" s="126">
        <f t="shared" ca="1" si="196"/>
        <v>0</v>
      </c>
      <c r="AJ387" t="str">
        <f t="shared" ca="1" si="197"/>
        <v>92055</v>
      </c>
      <c r="AK387" s="126">
        <f t="shared" ca="1" si="214"/>
        <v>0</v>
      </c>
      <c r="AL387" s="126">
        <f t="shared" ca="1" si="215"/>
        <v>0</v>
      </c>
      <c r="AM387" s="126">
        <f t="shared" ca="1" si="228"/>
        <v>0</v>
      </c>
      <c r="AN387" s="753">
        <f t="shared" ca="1" si="229"/>
        <v>0</v>
      </c>
      <c r="AO387" s="750">
        <f t="shared" ca="1" si="216"/>
        <v>0</v>
      </c>
      <c r="AP387" s="126">
        <f t="shared" ca="1" si="217"/>
        <v>0</v>
      </c>
      <c r="AQ387" s="126">
        <f t="shared" ca="1" si="218"/>
        <v>0</v>
      </c>
      <c r="AR387" s="126">
        <f t="shared" ca="1" si="198"/>
        <v>10000</v>
      </c>
      <c r="AS387" s="750">
        <f t="shared" ca="1" si="199"/>
        <v>0</v>
      </c>
      <c r="AT387" s="750">
        <f t="shared" ca="1" si="200"/>
        <v>0</v>
      </c>
      <c r="AU387" s="126">
        <f t="shared" ca="1" si="219"/>
        <v>0</v>
      </c>
      <c r="AV387" s="126">
        <f t="shared" ca="1" si="220"/>
        <v>0</v>
      </c>
      <c r="AW387" s="126">
        <f t="shared" ca="1" si="201"/>
        <v>10000</v>
      </c>
      <c r="AX387" s="750">
        <f t="shared" ca="1" si="221"/>
        <v>0</v>
      </c>
      <c r="AY387" s="750">
        <f t="shared" ca="1" si="222"/>
        <v>0</v>
      </c>
      <c r="AZ387">
        <f t="shared" si="223"/>
        <v>5750</v>
      </c>
    </row>
    <row r="388" spans="4:52">
      <c r="D388">
        <v>381</v>
      </c>
      <c r="E388" s="6">
        <f t="shared" ca="1" si="202"/>
        <v>41183</v>
      </c>
      <c r="F388" s="7">
        <f t="shared" ca="1" si="203"/>
        <v>0</v>
      </c>
      <c r="G388" s="125">
        <f ca="1">IF('Simulador - 1º Pilar'!$E$99="Sí",IF('Aportaciones PPE'!$B$13&lt;'Aportaciones PPE'!E388,0,F388*$B$8/12),F388*$B$8/12)</f>
        <v>0</v>
      </c>
      <c r="H388" s="125">
        <f t="shared" ca="1" si="192"/>
        <v>0</v>
      </c>
      <c r="I388" s="125">
        <f t="shared" ca="1" si="204"/>
        <v>0</v>
      </c>
      <c r="J388" s="125">
        <f t="shared" ca="1" si="205"/>
        <v>0</v>
      </c>
      <c r="K388" s="125">
        <f t="shared" ca="1" si="206"/>
        <v>0</v>
      </c>
      <c r="L388" s="125">
        <f t="shared" ca="1" si="224"/>
        <v>0</v>
      </c>
      <c r="M388" s="125">
        <f t="shared" ca="1" si="207"/>
        <v>0</v>
      </c>
      <c r="N388" s="125">
        <f t="shared" ca="1" si="208"/>
        <v>0</v>
      </c>
      <c r="R388">
        <f t="shared" si="225"/>
        <v>381</v>
      </c>
      <c r="U388" s="55"/>
      <c r="V388">
        <f t="shared" si="226"/>
        <v>10</v>
      </c>
      <c r="W388">
        <f t="shared" ca="1" si="227"/>
        <v>2055</v>
      </c>
      <c r="X388" s="123">
        <f t="shared" ca="1" si="209"/>
        <v>56888</v>
      </c>
      <c r="Y388" s="64">
        <f t="shared" ca="1" si="210"/>
        <v>0</v>
      </c>
      <c r="Z388" s="64">
        <f t="shared" ca="1" si="211"/>
        <v>0</v>
      </c>
      <c r="AA388" s="64">
        <f t="shared" ca="1" si="212"/>
        <v>0</v>
      </c>
      <c r="AB388" s="64">
        <f t="shared" ca="1" si="213"/>
        <v>0</v>
      </c>
      <c r="AF388" t="str">
        <f t="shared" ca="1" si="193"/>
        <v>102012</v>
      </c>
      <c r="AG388" s="126">
        <f t="shared" ca="1" si="194"/>
        <v>0</v>
      </c>
      <c r="AH388" s="126">
        <f t="shared" ca="1" si="195"/>
        <v>0</v>
      </c>
      <c r="AI388" s="126">
        <f t="shared" ca="1" si="196"/>
        <v>0</v>
      </c>
      <c r="AJ388" t="str">
        <f t="shared" ca="1" si="197"/>
        <v>102055</v>
      </c>
      <c r="AK388" s="126">
        <f t="shared" ca="1" si="214"/>
        <v>0</v>
      </c>
      <c r="AL388" s="126">
        <f t="shared" ca="1" si="215"/>
        <v>0</v>
      </c>
      <c r="AM388" s="126">
        <f t="shared" ca="1" si="228"/>
        <v>0</v>
      </c>
      <c r="AN388" s="753">
        <f t="shared" ca="1" si="229"/>
        <v>0</v>
      </c>
      <c r="AO388" s="750">
        <f t="shared" ca="1" si="216"/>
        <v>0</v>
      </c>
      <c r="AP388" s="126">
        <f t="shared" ca="1" si="217"/>
        <v>0</v>
      </c>
      <c r="AQ388" s="126">
        <f t="shared" ca="1" si="218"/>
        <v>0</v>
      </c>
      <c r="AR388" s="126">
        <f t="shared" ca="1" si="198"/>
        <v>10000</v>
      </c>
      <c r="AS388" s="750">
        <f t="shared" ca="1" si="199"/>
        <v>0</v>
      </c>
      <c r="AT388" s="750">
        <f t="shared" ca="1" si="200"/>
        <v>0</v>
      </c>
      <c r="AU388" s="126">
        <f t="shared" ca="1" si="219"/>
        <v>0</v>
      </c>
      <c r="AV388" s="126">
        <f t="shared" ca="1" si="220"/>
        <v>0</v>
      </c>
      <c r="AW388" s="126">
        <f t="shared" ca="1" si="201"/>
        <v>10000</v>
      </c>
      <c r="AX388" s="750">
        <f t="shared" ca="1" si="221"/>
        <v>0</v>
      </c>
      <c r="AY388" s="750">
        <f t="shared" ca="1" si="222"/>
        <v>0</v>
      </c>
      <c r="AZ388">
        <f t="shared" si="223"/>
        <v>5750</v>
      </c>
    </row>
    <row r="389" spans="4:52">
      <c r="D389">
        <v>382</v>
      </c>
      <c r="E389" s="6">
        <f t="shared" ca="1" si="202"/>
        <v>41153</v>
      </c>
      <c r="F389" s="7">
        <f t="shared" ca="1" si="203"/>
        <v>0</v>
      </c>
      <c r="G389" s="125">
        <f ca="1">IF('Simulador - 1º Pilar'!$E$99="Sí",IF('Aportaciones PPE'!$B$13&lt;'Aportaciones PPE'!E389,0,F389*$B$8/12),F389*$B$8/12)</f>
        <v>0</v>
      </c>
      <c r="H389" s="125">
        <f t="shared" ca="1" si="192"/>
        <v>0</v>
      </c>
      <c r="I389" s="125">
        <f t="shared" ca="1" si="204"/>
        <v>0</v>
      </c>
      <c r="J389" s="125">
        <f t="shared" ca="1" si="205"/>
        <v>0</v>
      </c>
      <c r="K389" s="125">
        <f t="shared" ca="1" si="206"/>
        <v>0</v>
      </c>
      <c r="L389" s="125">
        <f t="shared" ca="1" si="224"/>
        <v>0</v>
      </c>
      <c r="M389" s="125">
        <f t="shared" ca="1" si="207"/>
        <v>0</v>
      </c>
      <c r="N389" s="125">
        <f t="shared" ca="1" si="208"/>
        <v>0</v>
      </c>
      <c r="R389">
        <f t="shared" si="225"/>
        <v>382</v>
      </c>
      <c r="U389" s="55"/>
      <c r="V389">
        <f t="shared" si="226"/>
        <v>11</v>
      </c>
      <c r="W389">
        <f t="shared" ca="1" si="227"/>
        <v>2055</v>
      </c>
      <c r="X389" s="123">
        <f t="shared" ca="1" si="209"/>
        <v>56919</v>
      </c>
      <c r="Y389" s="64">
        <f t="shared" ca="1" si="210"/>
        <v>0</v>
      </c>
      <c r="Z389" s="64">
        <f t="shared" ca="1" si="211"/>
        <v>0</v>
      </c>
      <c r="AA389" s="64">
        <f t="shared" ca="1" si="212"/>
        <v>0</v>
      </c>
      <c r="AB389" s="64">
        <f t="shared" ca="1" si="213"/>
        <v>0</v>
      </c>
      <c r="AF389" t="str">
        <f t="shared" ca="1" si="193"/>
        <v>92012</v>
      </c>
      <c r="AG389" s="126">
        <f t="shared" ca="1" si="194"/>
        <v>0</v>
      </c>
      <c r="AH389" s="126">
        <f t="shared" ca="1" si="195"/>
        <v>0</v>
      </c>
      <c r="AI389" s="126">
        <f t="shared" ca="1" si="196"/>
        <v>0</v>
      </c>
      <c r="AJ389" t="str">
        <f t="shared" ca="1" si="197"/>
        <v>112055</v>
      </c>
      <c r="AK389" s="126">
        <f t="shared" ca="1" si="214"/>
        <v>0</v>
      </c>
      <c r="AL389" s="126">
        <f t="shared" ca="1" si="215"/>
        <v>0</v>
      </c>
      <c r="AM389" s="126">
        <f t="shared" ca="1" si="228"/>
        <v>0</v>
      </c>
      <c r="AN389" s="753">
        <f t="shared" ca="1" si="229"/>
        <v>0</v>
      </c>
      <c r="AO389" s="750">
        <f t="shared" ca="1" si="216"/>
        <v>0</v>
      </c>
      <c r="AP389" s="126">
        <f t="shared" ca="1" si="217"/>
        <v>0</v>
      </c>
      <c r="AQ389" s="126">
        <f t="shared" ca="1" si="218"/>
        <v>0</v>
      </c>
      <c r="AR389" s="126">
        <f t="shared" ca="1" si="198"/>
        <v>10000</v>
      </c>
      <c r="AS389" s="750">
        <f t="shared" ca="1" si="199"/>
        <v>0</v>
      </c>
      <c r="AT389" s="750">
        <f t="shared" ca="1" si="200"/>
        <v>0</v>
      </c>
      <c r="AU389" s="126">
        <f t="shared" ca="1" si="219"/>
        <v>0</v>
      </c>
      <c r="AV389" s="126">
        <f t="shared" ca="1" si="220"/>
        <v>0</v>
      </c>
      <c r="AW389" s="126">
        <f t="shared" ca="1" si="201"/>
        <v>10000</v>
      </c>
      <c r="AX389" s="750">
        <f t="shared" ca="1" si="221"/>
        <v>0</v>
      </c>
      <c r="AY389" s="750">
        <f t="shared" ca="1" si="222"/>
        <v>0</v>
      </c>
      <c r="AZ389">
        <f t="shared" si="223"/>
        <v>5750</v>
      </c>
    </row>
    <row r="390" spans="4:52">
      <c r="D390">
        <v>383</v>
      </c>
      <c r="E390" s="6">
        <f t="shared" ca="1" si="202"/>
        <v>41122</v>
      </c>
      <c r="F390" s="7">
        <f t="shared" ca="1" si="203"/>
        <v>0</v>
      </c>
      <c r="G390" s="125">
        <f ca="1">IF('Simulador - 1º Pilar'!$E$99="Sí",IF('Aportaciones PPE'!$B$13&lt;'Aportaciones PPE'!E390,0,F390*$B$8/12),F390*$B$8/12)</f>
        <v>0</v>
      </c>
      <c r="H390" s="125">
        <f t="shared" ca="1" si="192"/>
        <v>0</v>
      </c>
      <c r="I390" s="125">
        <f t="shared" ca="1" si="204"/>
        <v>0</v>
      </c>
      <c r="J390" s="125">
        <f t="shared" ca="1" si="205"/>
        <v>0</v>
      </c>
      <c r="K390" s="125">
        <f t="shared" ca="1" si="206"/>
        <v>0</v>
      </c>
      <c r="L390" s="125">
        <f t="shared" ca="1" si="224"/>
        <v>0</v>
      </c>
      <c r="M390" s="125">
        <f t="shared" ca="1" si="207"/>
        <v>0</v>
      </c>
      <c r="N390" s="125">
        <f t="shared" ca="1" si="208"/>
        <v>0</v>
      </c>
      <c r="R390">
        <f t="shared" si="225"/>
        <v>383</v>
      </c>
      <c r="U390" s="55"/>
      <c r="V390">
        <f t="shared" si="226"/>
        <v>12</v>
      </c>
      <c r="W390">
        <f t="shared" ca="1" si="227"/>
        <v>2055</v>
      </c>
      <c r="X390" s="123">
        <f t="shared" ca="1" si="209"/>
        <v>56949</v>
      </c>
      <c r="Y390" s="64">
        <f t="shared" ca="1" si="210"/>
        <v>0</v>
      </c>
      <c r="Z390" s="64">
        <f t="shared" ca="1" si="211"/>
        <v>0</v>
      </c>
      <c r="AA390" s="64">
        <f t="shared" ca="1" si="212"/>
        <v>0</v>
      </c>
      <c r="AB390" s="64">
        <f t="shared" ca="1" si="213"/>
        <v>0</v>
      </c>
      <c r="AF390" t="str">
        <f t="shared" ca="1" si="193"/>
        <v>82012</v>
      </c>
      <c r="AG390" s="126">
        <f t="shared" ca="1" si="194"/>
        <v>0</v>
      </c>
      <c r="AH390" s="126">
        <f t="shared" ca="1" si="195"/>
        <v>0</v>
      </c>
      <c r="AI390" s="126">
        <f t="shared" ca="1" si="196"/>
        <v>0</v>
      </c>
      <c r="AJ390" t="str">
        <f t="shared" ca="1" si="197"/>
        <v>122055</v>
      </c>
      <c r="AK390" s="126">
        <f t="shared" ca="1" si="214"/>
        <v>0</v>
      </c>
      <c r="AL390" s="126">
        <f t="shared" ca="1" si="215"/>
        <v>0</v>
      </c>
      <c r="AM390" s="126">
        <f t="shared" ca="1" si="228"/>
        <v>0</v>
      </c>
      <c r="AN390" s="753">
        <f t="shared" ca="1" si="229"/>
        <v>0</v>
      </c>
      <c r="AO390" s="750">
        <f t="shared" ca="1" si="216"/>
        <v>0</v>
      </c>
      <c r="AP390" s="126">
        <f t="shared" ca="1" si="217"/>
        <v>0</v>
      </c>
      <c r="AQ390" s="126">
        <f t="shared" ca="1" si="218"/>
        <v>0</v>
      </c>
      <c r="AR390" s="126">
        <f t="shared" ca="1" si="198"/>
        <v>10000</v>
      </c>
      <c r="AS390" s="750">
        <f t="shared" ca="1" si="199"/>
        <v>0</v>
      </c>
      <c r="AT390" s="750">
        <f t="shared" ca="1" si="200"/>
        <v>0</v>
      </c>
      <c r="AU390" s="126">
        <f t="shared" ca="1" si="219"/>
        <v>0</v>
      </c>
      <c r="AV390" s="126">
        <f t="shared" ca="1" si="220"/>
        <v>0</v>
      </c>
      <c r="AW390" s="126">
        <f t="shared" ca="1" si="201"/>
        <v>10000</v>
      </c>
      <c r="AX390" s="750">
        <f t="shared" ca="1" si="221"/>
        <v>0</v>
      </c>
      <c r="AY390" s="750">
        <f t="shared" ca="1" si="222"/>
        <v>0</v>
      </c>
      <c r="AZ390">
        <f t="shared" si="223"/>
        <v>5750</v>
      </c>
    </row>
    <row r="391" spans="4:52">
      <c r="D391">
        <v>384</v>
      </c>
      <c r="E391" s="6">
        <f t="shared" ca="1" si="202"/>
        <v>41091</v>
      </c>
      <c r="F391" s="7">
        <f t="shared" ca="1" si="203"/>
        <v>0</v>
      </c>
      <c r="G391" s="125">
        <f ca="1">IF('Simulador - 1º Pilar'!$E$99="Sí",IF('Aportaciones PPE'!$B$13&lt;'Aportaciones PPE'!E391,0,F391*$B$8/12),F391*$B$8/12)</f>
        <v>0</v>
      </c>
      <c r="H391" s="125">
        <f t="shared" ref="H391:H454" ca="1" si="230">$H$5*G391</f>
        <v>0</v>
      </c>
      <c r="I391" s="125">
        <f t="shared" ca="1" si="204"/>
        <v>0</v>
      </c>
      <c r="J391" s="125">
        <f t="shared" ca="1" si="205"/>
        <v>0</v>
      </c>
      <c r="K391" s="125">
        <f t="shared" ca="1" si="206"/>
        <v>0</v>
      </c>
      <c r="L391" s="125">
        <f t="shared" ca="1" si="224"/>
        <v>0</v>
      </c>
      <c r="M391" s="125">
        <f t="shared" ca="1" si="207"/>
        <v>0</v>
      </c>
      <c r="N391" s="125">
        <f t="shared" ca="1" si="208"/>
        <v>0</v>
      </c>
      <c r="R391">
        <f t="shared" si="225"/>
        <v>384</v>
      </c>
      <c r="U391" s="55"/>
      <c r="V391">
        <f t="shared" si="226"/>
        <v>1</v>
      </c>
      <c r="W391">
        <f t="shared" ca="1" si="227"/>
        <v>2056</v>
      </c>
      <c r="X391" s="123">
        <f t="shared" ca="1" si="209"/>
        <v>56980</v>
      </c>
      <c r="Y391" s="64">
        <f t="shared" ca="1" si="210"/>
        <v>0</v>
      </c>
      <c r="Z391" s="64">
        <f t="shared" ca="1" si="211"/>
        <v>0</v>
      </c>
      <c r="AA391" s="64">
        <f t="shared" ca="1" si="212"/>
        <v>0</v>
      </c>
      <c r="AB391" s="64">
        <f t="shared" ca="1" si="213"/>
        <v>0</v>
      </c>
      <c r="AF391" t="str">
        <f t="shared" ref="AF391:AF454" ca="1" si="231">+MONTH(E391)&amp;YEAR(E391)</f>
        <v>72012</v>
      </c>
      <c r="AG391" s="126">
        <f t="shared" ref="AG391:AG454" ca="1" si="232">+I391</f>
        <v>0</v>
      </c>
      <c r="AH391" s="126">
        <f t="shared" ref="AH391:AH454" ca="1" si="233">+J391</f>
        <v>0</v>
      </c>
      <c r="AI391" s="126">
        <f t="shared" ref="AI391:AI454" ca="1" si="234">+H391</f>
        <v>0</v>
      </c>
      <c r="AJ391" t="str">
        <f t="shared" ref="AJ391:AJ454" ca="1" si="235">+V391&amp;W391</f>
        <v>12056</v>
      </c>
      <c r="AK391" s="126">
        <f t="shared" ca="1" si="214"/>
        <v>0</v>
      </c>
      <c r="AL391" s="126">
        <f t="shared" ca="1" si="215"/>
        <v>0</v>
      </c>
      <c r="AM391" s="126">
        <f t="shared" ca="1" si="228"/>
        <v>0</v>
      </c>
      <c r="AN391" s="753">
        <f t="shared" ca="1" si="229"/>
        <v>0</v>
      </c>
      <c r="AO391" s="750">
        <f t="shared" ca="1" si="216"/>
        <v>0</v>
      </c>
      <c r="AP391" s="126">
        <f t="shared" ca="1" si="217"/>
        <v>0</v>
      </c>
      <c r="AQ391" s="126">
        <f t="shared" ca="1" si="218"/>
        <v>0</v>
      </c>
      <c r="AR391" s="126">
        <f t="shared" ref="AR391:AR454" ca="1" si="236">+MAX($AM$2-SUMIF($W$7:$W$1066,W391,$AN$7:$AN$1066),0)</f>
        <v>10000</v>
      </c>
      <c r="AS391" s="750">
        <f t="shared" ref="AS391:AS454" ca="1" si="237">+MAX(IF(AQ391&gt;AR391,AR391-AQ390,AP391),0)</f>
        <v>0</v>
      </c>
      <c r="AT391" s="750">
        <f t="shared" ref="AT391:AT454" ca="1" si="238">+AP391-AS391</f>
        <v>0</v>
      </c>
      <c r="AU391" s="126">
        <f t="shared" ca="1" si="219"/>
        <v>0</v>
      </c>
      <c r="AV391" s="126">
        <f t="shared" ca="1" si="220"/>
        <v>0</v>
      </c>
      <c r="AW391" s="126">
        <f t="shared" ref="AW391:AW454" ca="1" si="239">+MAX($AM$2-SUMIF($W$7:$W$1066,W391,$AN$7:$AN$1066)-SUMIF($W$7:$W$1066,W391,$AS$7:$AS$1066),0)</f>
        <v>10000</v>
      </c>
      <c r="AX391" s="750">
        <f t="shared" ca="1" si="221"/>
        <v>0</v>
      </c>
      <c r="AY391" s="750">
        <f t="shared" ca="1" si="222"/>
        <v>0</v>
      </c>
      <c r="AZ391">
        <f t="shared" si="223"/>
        <v>5750</v>
      </c>
    </row>
    <row r="392" spans="4:52">
      <c r="D392">
        <v>385</v>
      </c>
      <c r="E392" s="6">
        <f t="shared" ref="E392:E455" ca="1" si="240">+DATE(YEAR(E391),MONTH(E391)-1,DAY(E391))</f>
        <v>41061</v>
      </c>
      <c r="F392" s="7">
        <f t="shared" ref="F392:F455" ca="1" si="241">IF(DATE(YEAR($B$6),MONTH($B$6)+1,DAY(1))=E392,1,IF(MONTH(E392)=1,F393*(1+$F$5),F393))</f>
        <v>0</v>
      </c>
      <c r="G392" s="125">
        <f ca="1">IF('Simulador - 1º Pilar'!$E$99="Sí",IF('Aportaciones PPE'!$B$13&lt;'Aportaciones PPE'!E392,0,F392*$B$8/12),F392*$B$8/12)</f>
        <v>0</v>
      </c>
      <c r="H392" s="125">
        <f t="shared" ca="1" si="230"/>
        <v>0</v>
      </c>
      <c r="I392" s="125">
        <f t="shared" ref="I392:I455" ca="1" si="242">$I$5*G392</f>
        <v>0</v>
      </c>
      <c r="J392" s="125">
        <f t="shared" ref="J392:J455" ca="1" si="243">+I392</f>
        <v>0</v>
      </c>
      <c r="K392" s="125">
        <f t="shared" ref="K392:K455" ca="1" si="244">(1+$O$5)^(D392/12)*(H392+IF(AND(F392=1,F393=0),$S$4,0))</f>
        <v>0</v>
      </c>
      <c r="L392" s="125">
        <f t="shared" ca="1" si="224"/>
        <v>0</v>
      </c>
      <c r="M392" s="125">
        <f t="shared" ref="M392:M455" ca="1" si="245">+L392</f>
        <v>0</v>
      </c>
      <c r="N392" s="125">
        <f t="shared" ref="N392:N455" ca="1" si="246">L392+K392+M392</f>
        <v>0</v>
      </c>
      <c r="R392">
        <f t="shared" si="225"/>
        <v>385</v>
      </c>
      <c r="U392" s="55"/>
      <c r="V392">
        <f t="shared" si="226"/>
        <v>2</v>
      </c>
      <c r="W392">
        <f t="shared" ca="1" si="227"/>
        <v>2056</v>
      </c>
      <c r="X392" s="123">
        <f t="shared" ref="X392:X455" ca="1" si="247">+DATE(W392,V392,1)</f>
        <v>57011</v>
      </c>
      <c r="Y392" s="64">
        <f t="shared" ref="Y392:Y455" ca="1" si="248">+_xlfn.IFNA(AN392+AS392+AX392,0)</f>
        <v>0</v>
      </c>
      <c r="Z392" s="64">
        <f t="shared" ref="Z392:Z455" ca="1" si="249">+_xlfn.IFNA(AO392+AT392+AY392,0)</f>
        <v>0</v>
      </c>
      <c r="AA392" s="64">
        <f t="shared" ref="AA392:AA455" ca="1" si="250">Y392*(1+$O$5)^(($B$7-X392)/365.25)</f>
        <v>0</v>
      </c>
      <c r="AB392" s="64">
        <f t="shared" ref="AB392:AB455" ca="1" si="251">Z392*(1+$O$5)^(($B$7-X392)/365.25)</f>
        <v>0</v>
      </c>
      <c r="AF392" t="str">
        <f t="shared" ca="1" si="231"/>
        <v>62012</v>
      </c>
      <c r="AG392" s="126">
        <f t="shared" ca="1" si="232"/>
        <v>0</v>
      </c>
      <c r="AH392" s="126">
        <f t="shared" ca="1" si="233"/>
        <v>0</v>
      </c>
      <c r="AI392" s="126">
        <f t="shared" ca="1" si="234"/>
        <v>0</v>
      </c>
      <c r="AJ392" t="str">
        <f t="shared" ca="1" si="235"/>
        <v>22056</v>
      </c>
      <c r="AK392" s="126">
        <f t="shared" ref="AK392:AK455" ca="1" si="252">+_xlfn.IFNA(VLOOKUP(AJ392,$AF$7:$AG$1066,2,0),0)</f>
        <v>0</v>
      </c>
      <c r="AL392" s="126">
        <f t="shared" ref="AL392:AL455" ca="1" si="253">+IF(W392&gt;W391,AK392,AL391+AK392)</f>
        <v>0</v>
      </c>
      <c r="AM392" s="126">
        <f t="shared" ca="1" si="228"/>
        <v>0</v>
      </c>
      <c r="AN392" s="753">
        <f t="shared" ca="1" si="229"/>
        <v>0</v>
      </c>
      <c r="AO392" s="750">
        <f t="shared" ref="AO392:AO455" ca="1" si="254">+AK392-AN392</f>
        <v>0</v>
      </c>
      <c r="AP392" s="126">
        <f t="shared" ref="AP392:AP455" ca="1" si="255">+_xlfn.IFNA(VLOOKUP(AJ392,$AF$7:$AI$1066,3,0),0)</f>
        <v>0</v>
      </c>
      <c r="AQ392" s="126">
        <f t="shared" ref="AQ392:AQ455" ca="1" si="256">+IF(W392&gt;W391,AP392,AQ391+AP392)</f>
        <v>0</v>
      </c>
      <c r="AR392" s="126">
        <f t="shared" ca="1" si="236"/>
        <v>10000</v>
      </c>
      <c r="AS392" s="750">
        <f t="shared" ca="1" si="237"/>
        <v>0</v>
      </c>
      <c r="AT392" s="750">
        <f t="shared" ca="1" si="238"/>
        <v>0</v>
      </c>
      <c r="AU392" s="126">
        <f t="shared" ref="AU392:AU455" ca="1" si="257">+_xlfn.IFNA(VLOOKUP(AJ392,$AF$7:$AI$1066,4,0),0)</f>
        <v>0</v>
      </c>
      <c r="AV392" s="126">
        <f t="shared" ref="AV392:AV455" ca="1" si="258">+IF(W392&gt;W391,AU392,AV391+AU392)</f>
        <v>0</v>
      </c>
      <c r="AW392" s="126">
        <f t="shared" ca="1" si="239"/>
        <v>10000</v>
      </c>
      <c r="AX392" s="750">
        <f t="shared" ref="AX392:AX455" ca="1" si="259">+MAX(IF(AV392&gt;AW392,AW392-AV391,AU392),0)</f>
        <v>0</v>
      </c>
      <c r="AY392" s="750">
        <f t="shared" ref="AY392:AY455" ca="1" si="260">+AU392-AX392</f>
        <v>0</v>
      </c>
      <c r="AZ392">
        <f t="shared" ref="AZ392:AZ455" si="261">+$AM$1+IF($AP$1&gt;$AP$2,$AM$3/2)</f>
        <v>5750</v>
      </c>
    </row>
    <row r="393" spans="4:52">
      <c r="D393">
        <v>386</v>
      </c>
      <c r="E393" s="6">
        <f t="shared" ca="1" si="240"/>
        <v>41030</v>
      </c>
      <c r="F393" s="7">
        <f t="shared" ca="1" si="241"/>
        <v>0</v>
      </c>
      <c r="G393" s="125">
        <f ca="1">IF('Simulador - 1º Pilar'!$E$99="Sí",IF('Aportaciones PPE'!$B$13&lt;'Aportaciones PPE'!E393,0,F393*$B$8/12),F393*$B$8/12)</f>
        <v>0</v>
      </c>
      <c r="H393" s="125">
        <f t="shared" ca="1" si="230"/>
        <v>0</v>
      </c>
      <c r="I393" s="125">
        <f t="shared" ca="1" si="242"/>
        <v>0</v>
      </c>
      <c r="J393" s="125">
        <f t="shared" ca="1" si="243"/>
        <v>0</v>
      </c>
      <c r="K393" s="125">
        <f t="shared" ca="1" si="244"/>
        <v>0</v>
      </c>
      <c r="L393" s="125">
        <f t="shared" ref="L393:L456" ca="1" si="262">(1+$O$5)^(D393/12)*(I393+IF(AND(F393=1,F394=0),0))</f>
        <v>0</v>
      </c>
      <c r="M393" s="125">
        <f t="shared" ca="1" si="245"/>
        <v>0</v>
      </c>
      <c r="N393" s="125">
        <f t="shared" ca="1" si="246"/>
        <v>0</v>
      </c>
      <c r="R393">
        <f t="shared" ref="R393:R456" si="263">D393</f>
        <v>386</v>
      </c>
      <c r="U393" s="55"/>
      <c r="V393">
        <f t="shared" ref="V393:V456" si="264">+IF(V392=11,12,IF(V392=12,1,V392+1))</f>
        <v>3</v>
      </c>
      <c r="W393">
        <f t="shared" ref="W393:W456" ca="1" si="265">+W392+IF(V392=12,1,0)</f>
        <v>2056</v>
      </c>
      <c r="X393" s="123">
        <f t="shared" ca="1" si="247"/>
        <v>57040</v>
      </c>
      <c r="Y393" s="64">
        <f t="shared" ca="1" si="248"/>
        <v>0</v>
      </c>
      <c r="Z393" s="64">
        <f t="shared" ca="1" si="249"/>
        <v>0</v>
      </c>
      <c r="AA393" s="64">
        <f t="shared" ca="1" si="250"/>
        <v>0</v>
      </c>
      <c r="AB393" s="64">
        <f t="shared" ca="1" si="251"/>
        <v>0</v>
      </c>
      <c r="AF393" t="str">
        <f t="shared" ca="1" si="231"/>
        <v>52012</v>
      </c>
      <c r="AG393" s="126">
        <f t="shared" ca="1" si="232"/>
        <v>0</v>
      </c>
      <c r="AH393" s="126">
        <f t="shared" ca="1" si="233"/>
        <v>0</v>
      </c>
      <c r="AI393" s="126">
        <f t="shared" ca="1" si="234"/>
        <v>0</v>
      </c>
      <c r="AJ393" t="str">
        <f t="shared" ca="1" si="235"/>
        <v>32056</v>
      </c>
      <c r="AK393" s="126">
        <f t="shared" ca="1" si="252"/>
        <v>0</v>
      </c>
      <c r="AL393" s="126">
        <f t="shared" ca="1" si="253"/>
        <v>0</v>
      </c>
      <c r="AM393" s="126">
        <f t="shared" ref="AM393:AM456" ca="1" si="266">IF(W393&gt;W392,IF(AL393&gt;=$AZ$8,$AZ$8,AL393),IF(OR(AM392=$AZ$8,AM392=0),0,IF(AL393&gt;=$AZ$8,$AZ$8,AL393)))</f>
        <v>0</v>
      </c>
      <c r="AN393" s="753">
        <f t="shared" ref="AN393:AN456" ca="1" si="267">+IF(OR(AM393&gt;AZ392,AM393=0),0,IF(AM393=AL393,AK393,$AZ$7-AL392))</f>
        <v>0</v>
      </c>
      <c r="AO393" s="750">
        <f t="shared" ca="1" si="254"/>
        <v>0</v>
      </c>
      <c r="AP393" s="126">
        <f t="shared" ca="1" si="255"/>
        <v>0</v>
      </c>
      <c r="AQ393" s="126">
        <f t="shared" ca="1" si="256"/>
        <v>0</v>
      </c>
      <c r="AR393" s="126">
        <f t="shared" ca="1" si="236"/>
        <v>10000</v>
      </c>
      <c r="AS393" s="750">
        <f t="shared" ca="1" si="237"/>
        <v>0</v>
      </c>
      <c r="AT393" s="750">
        <f t="shared" ca="1" si="238"/>
        <v>0</v>
      </c>
      <c r="AU393" s="126">
        <f t="shared" ca="1" si="257"/>
        <v>0</v>
      </c>
      <c r="AV393" s="126">
        <f t="shared" ca="1" si="258"/>
        <v>0</v>
      </c>
      <c r="AW393" s="126">
        <f t="shared" ca="1" si="239"/>
        <v>10000</v>
      </c>
      <c r="AX393" s="750">
        <f t="shared" ca="1" si="259"/>
        <v>0</v>
      </c>
      <c r="AY393" s="750">
        <f t="shared" ca="1" si="260"/>
        <v>0</v>
      </c>
      <c r="AZ393">
        <f t="shared" si="261"/>
        <v>5750</v>
      </c>
    </row>
    <row r="394" spans="4:52">
      <c r="D394">
        <v>387</v>
      </c>
      <c r="E394" s="6">
        <f t="shared" ca="1" si="240"/>
        <v>41000</v>
      </c>
      <c r="F394" s="7">
        <f t="shared" ca="1" si="241"/>
        <v>0</v>
      </c>
      <c r="G394" s="125">
        <f ca="1">IF('Simulador - 1º Pilar'!$E$99="Sí",IF('Aportaciones PPE'!$B$13&lt;'Aportaciones PPE'!E394,0,F394*$B$8/12),F394*$B$8/12)</f>
        <v>0</v>
      </c>
      <c r="H394" s="125">
        <f t="shared" ca="1" si="230"/>
        <v>0</v>
      </c>
      <c r="I394" s="125">
        <f t="shared" ca="1" si="242"/>
        <v>0</v>
      </c>
      <c r="J394" s="125">
        <f t="shared" ca="1" si="243"/>
        <v>0</v>
      </c>
      <c r="K394" s="125">
        <f t="shared" ca="1" si="244"/>
        <v>0</v>
      </c>
      <c r="L394" s="125">
        <f t="shared" ca="1" si="262"/>
        <v>0</v>
      </c>
      <c r="M394" s="125">
        <f t="shared" ca="1" si="245"/>
        <v>0</v>
      </c>
      <c r="N394" s="125">
        <f t="shared" ca="1" si="246"/>
        <v>0</v>
      </c>
      <c r="R394">
        <f t="shared" si="263"/>
        <v>387</v>
      </c>
      <c r="U394" s="55"/>
      <c r="V394">
        <f t="shared" si="264"/>
        <v>4</v>
      </c>
      <c r="W394">
        <f t="shared" ca="1" si="265"/>
        <v>2056</v>
      </c>
      <c r="X394" s="123">
        <f t="shared" ca="1" si="247"/>
        <v>57071</v>
      </c>
      <c r="Y394" s="64">
        <f t="shared" ca="1" si="248"/>
        <v>0</v>
      </c>
      <c r="Z394" s="64">
        <f t="shared" ca="1" si="249"/>
        <v>0</v>
      </c>
      <c r="AA394" s="64">
        <f t="shared" ca="1" si="250"/>
        <v>0</v>
      </c>
      <c r="AB394" s="64">
        <f t="shared" ca="1" si="251"/>
        <v>0</v>
      </c>
      <c r="AF394" t="str">
        <f t="shared" ca="1" si="231"/>
        <v>42012</v>
      </c>
      <c r="AG394" s="126">
        <f t="shared" ca="1" si="232"/>
        <v>0</v>
      </c>
      <c r="AH394" s="126">
        <f t="shared" ca="1" si="233"/>
        <v>0</v>
      </c>
      <c r="AI394" s="126">
        <f t="shared" ca="1" si="234"/>
        <v>0</v>
      </c>
      <c r="AJ394" t="str">
        <f t="shared" ca="1" si="235"/>
        <v>42056</v>
      </c>
      <c r="AK394" s="126">
        <f t="shared" ca="1" si="252"/>
        <v>0</v>
      </c>
      <c r="AL394" s="126">
        <f t="shared" ca="1" si="253"/>
        <v>0</v>
      </c>
      <c r="AM394" s="126">
        <f t="shared" ca="1" si="266"/>
        <v>0</v>
      </c>
      <c r="AN394" s="753">
        <f t="shared" ca="1" si="267"/>
        <v>0</v>
      </c>
      <c r="AO394" s="750">
        <f t="shared" ca="1" si="254"/>
        <v>0</v>
      </c>
      <c r="AP394" s="126">
        <f t="shared" ca="1" si="255"/>
        <v>0</v>
      </c>
      <c r="AQ394" s="126">
        <f t="shared" ca="1" si="256"/>
        <v>0</v>
      </c>
      <c r="AR394" s="126">
        <f t="shared" ca="1" si="236"/>
        <v>10000</v>
      </c>
      <c r="AS394" s="750">
        <f t="shared" ca="1" si="237"/>
        <v>0</v>
      </c>
      <c r="AT394" s="750">
        <f t="shared" ca="1" si="238"/>
        <v>0</v>
      </c>
      <c r="AU394" s="126">
        <f t="shared" ca="1" si="257"/>
        <v>0</v>
      </c>
      <c r="AV394" s="126">
        <f t="shared" ca="1" si="258"/>
        <v>0</v>
      </c>
      <c r="AW394" s="126">
        <f t="shared" ca="1" si="239"/>
        <v>10000</v>
      </c>
      <c r="AX394" s="750">
        <f t="shared" ca="1" si="259"/>
        <v>0</v>
      </c>
      <c r="AY394" s="750">
        <f t="shared" ca="1" si="260"/>
        <v>0</v>
      </c>
      <c r="AZ394">
        <f t="shared" si="261"/>
        <v>5750</v>
      </c>
    </row>
    <row r="395" spans="4:52">
      <c r="D395">
        <v>388</v>
      </c>
      <c r="E395" s="6">
        <f t="shared" ca="1" si="240"/>
        <v>40969</v>
      </c>
      <c r="F395" s="7">
        <f t="shared" ca="1" si="241"/>
        <v>0</v>
      </c>
      <c r="G395" s="125">
        <f ca="1">IF('Simulador - 1º Pilar'!$E$99="Sí",IF('Aportaciones PPE'!$B$13&lt;'Aportaciones PPE'!E395,0,F395*$B$8/12),F395*$B$8/12)</f>
        <v>0</v>
      </c>
      <c r="H395" s="125">
        <f t="shared" ca="1" si="230"/>
        <v>0</v>
      </c>
      <c r="I395" s="125">
        <f t="shared" ca="1" si="242"/>
        <v>0</v>
      </c>
      <c r="J395" s="125">
        <f t="shared" ca="1" si="243"/>
        <v>0</v>
      </c>
      <c r="K395" s="125">
        <f t="shared" ca="1" si="244"/>
        <v>0</v>
      </c>
      <c r="L395" s="125">
        <f t="shared" ca="1" si="262"/>
        <v>0</v>
      </c>
      <c r="M395" s="125">
        <f t="shared" ca="1" si="245"/>
        <v>0</v>
      </c>
      <c r="N395" s="125">
        <f t="shared" ca="1" si="246"/>
        <v>0</v>
      </c>
      <c r="R395">
        <f t="shared" si="263"/>
        <v>388</v>
      </c>
      <c r="U395" s="55"/>
      <c r="V395">
        <f t="shared" si="264"/>
        <v>5</v>
      </c>
      <c r="W395">
        <f t="shared" ca="1" si="265"/>
        <v>2056</v>
      </c>
      <c r="X395" s="123">
        <f t="shared" ca="1" si="247"/>
        <v>57101</v>
      </c>
      <c r="Y395" s="64">
        <f t="shared" ca="1" si="248"/>
        <v>0</v>
      </c>
      <c r="Z395" s="64">
        <f t="shared" ca="1" si="249"/>
        <v>0</v>
      </c>
      <c r="AA395" s="64">
        <f t="shared" ca="1" si="250"/>
        <v>0</v>
      </c>
      <c r="AB395" s="64">
        <f t="shared" ca="1" si="251"/>
        <v>0</v>
      </c>
      <c r="AF395" t="str">
        <f t="shared" ca="1" si="231"/>
        <v>32012</v>
      </c>
      <c r="AG395" s="126">
        <f t="shared" ca="1" si="232"/>
        <v>0</v>
      </c>
      <c r="AH395" s="126">
        <f t="shared" ca="1" si="233"/>
        <v>0</v>
      </c>
      <c r="AI395" s="126">
        <f t="shared" ca="1" si="234"/>
        <v>0</v>
      </c>
      <c r="AJ395" t="str">
        <f t="shared" ca="1" si="235"/>
        <v>52056</v>
      </c>
      <c r="AK395" s="126">
        <f t="shared" ca="1" si="252"/>
        <v>0</v>
      </c>
      <c r="AL395" s="126">
        <f t="shared" ca="1" si="253"/>
        <v>0</v>
      </c>
      <c r="AM395" s="126">
        <f t="shared" ca="1" si="266"/>
        <v>0</v>
      </c>
      <c r="AN395" s="753">
        <f t="shared" ca="1" si="267"/>
        <v>0</v>
      </c>
      <c r="AO395" s="750">
        <f t="shared" ca="1" si="254"/>
        <v>0</v>
      </c>
      <c r="AP395" s="126">
        <f t="shared" ca="1" si="255"/>
        <v>0</v>
      </c>
      <c r="AQ395" s="126">
        <f t="shared" ca="1" si="256"/>
        <v>0</v>
      </c>
      <c r="AR395" s="126">
        <f t="shared" ca="1" si="236"/>
        <v>10000</v>
      </c>
      <c r="AS395" s="750">
        <f t="shared" ca="1" si="237"/>
        <v>0</v>
      </c>
      <c r="AT395" s="750">
        <f t="shared" ca="1" si="238"/>
        <v>0</v>
      </c>
      <c r="AU395" s="126">
        <f t="shared" ca="1" si="257"/>
        <v>0</v>
      </c>
      <c r="AV395" s="126">
        <f t="shared" ca="1" si="258"/>
        <v>0</v>
      </c>
      <c r="AW395" s="126">
        <f t="shared" ca="1" si="239"/>
        <v>10000</v>
      </c>
      <c r="AX395" s="750">
        <f t="shared" ca="1" si="259"/>
        <v>0</v>
      </c>
      <c r="AY395" s="750">
        <f t="shared" ca="1" si="260"/>
        <v>0</v>
      </c>
      <c r="AZ395">
        <f t="shared" si="261"/>
        <v>5750</v>
      </c>
    </row>
    <row r="396" spans="4:52">
      <c r="D396">
        <v>389</v>
      </c>
      <c r="E396" s="6">
        <f t="shared" ca="1" si="240"/>
        <v>40940</v>
      </c>
      <c r="F396" s="7">
        <f t="shared" ca="1" si="241"/>
        <v>0</v>
      </c>
      <c r="G396" s="125">
        <f ca="1">IF('Simulador - 1º Pilar'!$E$99="Sí",IF('Aportaciones PPE'!$B$13&lt;'Aportaciones PPE'!E396,0,F396*$B$8/12),F396*$B$8/12)</f>
        <v>0</v>
      </c>
      <c r="H396" s="125">
        <f t="shared" ca="1" si="230"/>
        <v>0</v>
      </c>
      <c r="I396" s="125">
        <f t="shared" ca="1" si="242"/>
        <v>0</v>
      </c>
      <c r="J396" s="125">
        <f t="shared" ca="1" si="243"/>
        <v>0</v>
      </c>
      <c r="K396" s="125">
        <f t="shared" ca="1" si="244"/>
        <v>0</v>
      </c>
      <c r="L396" s="125">
        <f t="shared" ca="1" si="262"/>
        <v>0</v>
      </c>
      <c r="M396" s="125">
        <f t="shared" ca="1" si="245"/>
        <v>0</v>
      </c>
      <c r="N396" s="125">
        <f t="shared" ca="1" si="246"/>
        <v>0</v>
      </c>
      <c r="R396">
        <f t="shared" si="263"/>
        <v>389</v>
      </c>
      <c r="U396" s="55"/>
      <c r="V396">
        <f t="shared" si="264"/>
        <v>6</v>
      </c>
      <c r="W396">
        <f t="shared" ca="1" si="265"/>
        <v>2056</v>
      </c>
      <c r="X396" s="123">
        <f t="shared" ca="1" si="247"/>
        <v>57132</v>
      </c>
      <c r="Y396" s="64">
        <f t="shared" ca="1" si="248"/>
        <v>0</v>
      </c>
      <c r="Z396" s="64">
        <f t="shared" ca="1" si="249"/>
        <v>0</v>
      </c>
      <c r="AA396" s="64">
        <f t="shared" ca="1" si="250"/>
        <v>0</v>
      </c>
      <c r="AB396" s="64">
        <f t="shared" ca="1" si="251"/>
        <v>0</v>
      </c>
      <c r="AF396" t="str">
        <f t="shared" ca="1" si="231"/>
        <v>22012</v>
      </c>
      <c r="AG396" s="126">
        <f t="shared" ca="1" si="232"/>
        <v>0</v>
      </c>
      <c r="AH396" s="126">
        <f t="shared" ca="1" si="233"/>
        <v>0</v>
      </c>
      <c r="AI396" s="126">
        <f t="shared" ca="1" si="234"/>
        <v>0</v>
      </c>
      <c r="AJ396" t="str">
        <f t="shared" ca="1" si="235"/>
        <v>62056</v>
      </c>
      <c r="AK396" s="126">
        <f t="shared" ca="1" si="252"/>
        <v>0</v>
      </c>
      <c r="AL396" s="126">
        <f t="shared" ca="1" si="253"/>
        <v>0</v>
      </c>
      <c r="AM396" s="126">
        <f t="shared" ca="1" si="266"/>
        <v>0</v>
      </c>
      <c r="AN396" s="753">
        <f t="shared" ca="1" si="267"/>
        <v>0</v>
      </c>
      <c r="AO396" s="750">
        <f t="shared" ca="1" si="254"/>
        <v>0</v>
      </c>
      <c r="AP396" s="126">
        <f t="shared" ca="1" si="255"/>
        <v>0</v>
      </c>
      <c r="AQ396" s="126">
        <f t="shared" ca="1" si="256"/>
        <v>0</v>
      </c>
      <c r="AR396" s="126">
        <f t="shared" ca="1" si="236"/>
        <v>10000</v>
      </c>
      <c r="AS396" s="750">
        <f t="shared" ca="1" si="237"/>
        <v>0</v>
      </c>
      <c r="AT396" s="750">
        <f t="shared" ca="1" si="238"/>
        <v>0</v>
      </c>
      <c r="AU396" s="126">
        <f t="shared" ca="1" si="257"/>
        <v>0</v>
      </c>
      <c r="AV396" s="126">
        <f t="shared" ca="1" si="258"/>
        <v>0</v>
      </c>
      <c r="AW396" s="126">
        <f t="shared" ca="1" si="239"/>
        <v>10000</v>
      </c>
      <c r="AX396" s="750">
        <f t="shared" ca="1" si="259"/>
        <v>0</v>
      </c>
      <c r="AY396" s="750">
        <f t="shared" ca="1" si="260"/>
        <v>0</v>
      </c>
      <c r="AZ396">
        <f t="shared" si="261"/>
        <v>5750</v>
      </c>
    </row>
    <row r="397" spans="4:52">
      <c r="D397">
        <v>390</v>
      </c>
      <c r="E397" s="6">
        <f t="shared" ca="1" si="240"/>
        <v>40909</v>
      </c>
      <c r="F397" s="7">
        <f t="shared" ca="1" si="241"/>
        <v>0</v>
      </c>
      <c r="G397" s="125">
        <f ca="1">IF('Simulador - 1º Pilar'!$E$99="Sí",IF('Aportaciones PPE'!$B$13&lt;'Aportaciones PPE'!E397,0,F397*$B$8/12),F397*$B$8/12)</f>
        <v>0</v>
      </c>
      <c r="H397" s="125">
        <f t="shared" ca="1" si="230"/>
        <v>0</v>
      </c>
      <c r="I397" s="125">
        <f t="shared" ca="1" si="242"/>
        <v>0</v>
      </c>
      <c r="J397" s="125">
        <f t="shared" ca="1" si="243"/>
        <v>0</v>
      </c>
      <c r="K397" s="125">
        <f t="shared" ca="1" si="244"/>
        <v>0</v>
      </c>
      <c r="L397" s="125">
        <f t="shared" ca="1" si="262"/>
        <v>0</v>
      </c>
      <c r="M397" s="125">
        <f t="shared" ca="1" si="245"/>
        <v>0</v>
      </c>
      <c r="N397" s="125">
        <f t="shared" ca="1" si="246"/>
        <v>0</v>
      </c>
      <c r="R397">
        <f t="shared" si="263"/>
        <v>390</v>
      </c>
      <c r="U397" s="55"/>
      <c r="V397">
        <f t="shared" si="264"/>
        <v>7</v>
      </c>
      <c r="W397">
        <f t="shared" ca="1" si="265"/>
        <v>2056</v>
      </c>
      <c r="X397" s="123">
        <f t="shared" ca="1" si="247"/>
        <v>57162</v>
      </c>
      <c r="Y397" s="64">
        <f t="shared" ca="1" si="248"/>
        <v>0</v>
      </c>
      <c r="Z397" s="64">
        <f t="shared" ca="1" si="249"/>
        <v>0</v>
      </c>
      <c r="AA397" s="64">
        <f t="shared" ca="1" si="250"/>
        <v>0</v>
      </c>
      <c r="AB397" s="64">
        <f t="shared" ca="1" si="251"/>
        <v>0</v>
      </c>
      <c r="AF397" t="str">
        <f t="shared" ca="1" si="231"/>
        <v>12012</v>
      </c>
      <c r="AG397" s="126">
        <f t="shared" ca="1" si="232"/>
        <v>0</v>
      </c>
      <c r="AH397" s="126">
        <f t="shared" ca="1" si="233"/>
        <v>0</v>
      </c>
      <c r="AI397" s="126">
        <f t="shared" ca="1" si="234"/>
        <v>0</v>
      </c>
      <c r="AJ397" t="str">
        <f t="shared" ca="1" si="235"/>
        <v>72056</v>
      </c>
      <c r="AK397" s="126">
        <f t="shared" ca="1" si="252"/>
        <v>0</v>
      </c>
      <c r="AL397" s="126">
        <f t="shared" ca="1" si="253"/>
        <v>0</v>
      </c>
      <c r="AM397" s="126">
        <f t="shared" ca="1" si="266"/>
        <v>0</v>
      </c>
      <c r="AN397" s="753">
        <f t="shared" ca="1" si="267"/>
        <v>0</v>
      </c>
      <c r="AO397" s="750">
        <f t="shared" ca="1" si="254"/>
        <v>0</v>
      </c>
      <c r="AP397" s="126">
        <f t="shared" ca="1" si="255"/>
        <v>0</v>
      </c>
      <c r="AQ397" s="126">
        <f t="shared" ca="1" si="256"/>
        <v>0</v>
      </c>
      <c r="AR397" s="126">
        <f t="shared" ca="1" si="236"/>
        <v>10000</v>
      </c>
      <c r="AS397" s="750">
        <f t="shared" ca="1" si="237"/>
        <v>0</v>
      </c>
      <c r="AT397" s="750">
        <f t="shared" ca="1" si="238"/>
        <v>0</v>
      </c>
      <c r="AU397" s="126">
        <f t="shared" ca="1" si="257"/>
        <v>0</v>
      </c>
      <c r="AV397" s="126">
        <f t="shared" ca="1" si="258"/>
        <v>0</v>
      </c>
      <c r="AW397" s="126">
        <f t="shared" ca="1" si="239"/>
        <v>10000</v>
      </c>
      <c r="AX397" s="750">
        <f t="shared" ca="1" si="259"/>
        <v>0</v>
      </c>
      <c r="AY397" s="750">
        <f t="shared" ca="1" si="260"/>
        <v>0</v>
      </c>
      <c r="AZ397">
        <f t="shared" si="261"/>
        <v>5750</v>
      </c>
    </row>
    <row r="398" spans="4:52">
      <c r="D398">
        <v>391</v>
      </c>
      <c r="E398" s="6">
        <f t="shared" ca="1" si="240"/>
        <v>40878</v>
      </c>
      <c r="F398" s="7">
        <f t="shared" ca="1" si="241"/>
        <v>0</v>
      </c>
      <c r="G398" s="125">
        <f ca="1">IF('Simulador - 1º Pilar'!$E$99="Sí",IF('Aportaciones PPE'!$B$13&lt;'Aportaciones PPE'!E398,0,F398*$B$8/12),F398*$B$8/12)</f>
        <v>0</v>
      </c>
      <c r="H398" s="125">
        <f t="shared" ca="1" si="230"/>
        <v>0</v>
      </c>
      <c r="I398" s="125">
        <f t="shared" ca="1" si="242"/>
        <v>0</v>
      </c>
      <c r="J398" s="125">
        <f t="shared" ca="1" si="243"/>
        <v>0</v>
      </c>
      <c r="K398" s="125">
        <f t="shared" ca="1" si="244"/>
        <v>0</v>
      </c>
      <c r="L398" s="125">
        <f t="shared" ca="1" si="262"/>
        <v>0</v>
      </c>
      <c r="M398" s="125">
        <f t="shared" ca="1" si="245"/>
        <v>0</v>
      </c>
      <c r="N398" s="125">
        <f t="shared" ca="1" si="246"/>
        <v>0</v>
      </c>
      <c r="R398">
        <f t="shared" si="263"/>
        <v>391</v>
      </c>
      <c r="U398" s="55"/>
      <c r="V398">
        <f t="shared" si="264"/>
        <v>8</v>
      </c>
      <c r="W398">
        <f t="shared" ca="1" si="265"/>
        <v>2056</v>
      </c>
      <c r="X398" s="123">
        <f t="shared" ca="1" si="247"/>
        <v>57193</v>
      </c>
      <c r="Y398" s="64">
        <f t="shared" ca="1" si="248"/>
        <v>0</v>
      </c>
      <c r="Z398" s="64">
        <f t="shared" ca="1" si="249"/>
        <v>0</v>
      </c>
      <c r="AA398" s="64">
        <f t="shared" ca="1" si="250"/>
        <v>0</v>
      </c>
      <c r="AB398" s="64">
        <f t="shared" ca="1" si="251"/>
        <v>0</v>
      </c>
      <c r="AF398" t="str">
        <f t="shared" ca="1" si="231"/>
        <v>122011</v>
      </c>
      <c r="AG398" s="126">
        <f t="shared" ca="1" si="232"/>
        <v>0</v>
      </c>
      <c r="AH398" s="126">
        <f t="shared" ca="1" si="233"/>
        <v>0</v>
      </c>
      <c r="AI398" s="126">
        <f t="shared" ca="1" si="234"/>
        <v>0</v>
      </c>
      <c r="AJ398" t="str">
        <f t="shared" ca="1" si="235"/>
        <v>82056</v>
      </c>
      <c r="AK398" s="126">
        <f t="shared" ca="1" si="252"/>
        <v>0</v>
      </c>
      <c r="AL398" s="126">
        <f t="shared" ca="1" si="253"/>
        <v>0</v>
      </c>
      <c r="AM398" s="126">
        <f t="shared" ca="1" si="266"/>
        <v>0</v>
      </c>
      <c r="AN398" s="753">
        <f t="shared" ca="1" si="267"/>
        <v>0</v>
      </c>
      <c r="AO398" s="750">
        <f t="shared" ca="1" si="254"/>
        <v>0</v>
      </c>
      <c r="AP398" s="126">
        <f t="shared" ca="1" si="255"/>
        <v>0</v>
      </c>
      <c r="AQ398" s="126">
        <f t="shared" ca="1" si="256"/>
        <v>0</v>
      </c>
      <c r="AR398" s="126">
        <f t="shared" ca="1" si="236"/>
        <v>10000</v>
      </c>
      <c r="AS398" s="750">
        <f t="shared" ca="1" si="237"/>
        <v>0</v>
      </c>
      <c r="AT398" s="750">
        <f t="shared" ca="1" si="238"/>
        <v>0</v>
      </c>
      <c r="AU398" s="126">
        <f t="shared" ca="1" si="257"/>
        <v>0</v>
      </c>
      <c r="AV398" s="126">
        <f t="shared" ca="1" si="258"/>
        <v>0</v>
      </c>
      <c r="AW398" s="126">
        <f t="shared" ca="1" si="239"/>
        <v>10000</v>
      </c>
      <c r="AX398" s="750">
        <f t="shared" ca="1" si="259"/>
        <v>0</v>
      </c>
      <c r="AY398" s="750">
        <f t="shared" ca="1" si="260"/>
        <v>0</v>
      </c>
      <c r="AZ398">
        <f t="shared" si="261"/>
        <v>5750</v>
      </c>
    </row>
    <row r="399" spans="4:52">
      <c r="D399">
        <v>392</v>
      </c>
      <c r="E399" s="6">
        <f t="shared" ca="1" si="240"/>
        <v>40848</v>
      </c>
      <c r="F399" s="7">
        <f t="shared" ca="1" si="241"/>
        <v>0</v>
      </c>
      <c r="G399" s="125">
        <f ca="1">IF('Simulador - 1º Pilar'!$E$99="Sí",IF('Aportaciones PPE'!$B$13&lt;'Aportaciones PPE'!E399,0,F399*$B$8/12),F399*$B$8/12)</f>
        <v>0</v>
      </c>
      <c r="H399" s="125">
        <f t="shared" ca="1" si="230"/>
        <v>0</v>
      </c>
      <c r="I399" s="125">
        <f t="shared" ca="1" si="242"/>
        <v>0</v>
      </c>
      <c r="J399" s="125">
        <f t="shared" ca="1" si="243"/>
        <v>0</v>
      </c>
      <c r="K399" s="125">
        <f t="shared" ca="1" si="244"/>
        <v>0</v>
      </c>
      <c r="L399" s="125">
        <f t="shared" ca="1" si="262"/>
        <v>0</v>
      </c>
      <c r="M399" s="125">
        <f t="shared" ca="1" si="245"/>
        <v>0</v>
      </c>
      <c r="N399" s="125">
        <f t="shared" ca="1" si="246"/>
        <v>0</v>
      </c>
      <c r="R399">
        <f t="shared" si="263"/>
        <v>392</v>
      </c>
      <c r="U399" s="55"/>
      <c r="V399">
        <f t="shared" si="264"/>
        <v>9</v>
      </c>
      <c r="W399">
        <f t="shared" ca="1" si="265"/>
        <v>2056</v>
      </c>
      <c r="X399" s="123">
        <f t="shared" ca="1" si="247"/>
        <v>57224</v>
      </c>
      <c r="Y399" s="64">
        <f t="shared" ca="1" si="248"/>
        <v>0</v>
      </c>
      <c r="Z399" s="64">
        <f t="shared" ca="1" si="249"/>
        <v>0</v>
      </c>
      <c r="AA399" s="64">
        <f t="shared" ca="1" si="250"/>
        <v>0</v>
      </c>
      <c r="AB399" s="64">
        <f t="shared" ca="1" si="251"/>
        <v>0</v>
      </c>
      <c r="AF399" t="str">
        <f t="shared" ca="1" si="231"/>
        <v>112011</v>
      </c>
      <c r="AG399" s="126">
        <f t="shared" ca="1" si="232"/>
        <v>0</v>
      </c>
      <c r="AH399" s="126">
        <f t="shared" ca="1" si="233"/>
        <v>0</v>
      </c>
      <c r="AI399" s="126">
        <f t="shared" ca="1" si="234"/>
        <v>0</v>
      </c>
      <c r="AJ399" t="str">
        <f t="shared" ca="1" si="235"/>
        <v>92056</v>
      </c>
      <c r="AK399" s="126">
        <f t="shared" ca="1" si="252"/>
        <v>0</v>
      </c>
      <c r="AL399" s="126">
        <f t="shared" ca="1" si="253"/>
        <v>0</v>
      </c>
      <c r="AM399" s="126">
        <f t="shared" ca="1" si="266"/>
        <v>0</v>
      </c>
      <c r="AN399" s="753">
        <f t="shared" ca="1" si="267"/>
        <v>0</v>
      </c>
      <c r="AO399" s="750">
        <f t="shared" ca="1" si="254"/>
        <v>0</v>
      </c>
      <c r="AP399" s="126">
        <f t="shared" ca="1" si="255"/>
        <v>0</v>
      </c>
      <c r="AQ399" s="126">
        <f t="shared" ca="1" si="256"/>
        <v>0</v>
      </c>
      <c r="AR399" s="126">
        <f t="shared" ca="1" si="236"/>
        <v>10000</v>
      </c>
      <c r="AS399" s="750">
        <f t="shared" ca="1" si="237"/>
        <v>0</v>
      </c>
      <c r="AT399" s="750">
        <f t="shared" ca="1" si="238"/>
        <v>0</v>
      </c>
      <c r="AU399" s="126">
        <f t="shared" ca="1" si="257"/>
        <v>0</v>
      </c>
      <c r="AV399" s="126">
        <f t="shared" ca="1" si="258"/>
        <v>0</v>
      </c>
      <c r="AW399" s="126">
        <f t="shared" ca="1" si="239"/>
        <v>10000</v>
      </c>
      <c r="AX399" s="750">
        <f t="shared" ca="1" si="259"/>
        <v>0</v>
      </c>
      <c r="AY399" s="750">
        <f t="shared" ca="1" si="260"/>
        <v>0</v>
      </c>
      <c r="AZ399">
        <f t="shared" si="261"/>
        <v>5750</v>
      </c>
    </row>
    <row r="400" spans="4:52">
      <c r="D400">
        <v>393</v>
      </c>
      <c r="E400" s="6">
        <f t="shared" ca="1" si="240"/>
        <v>40817</v>
      </c>
      <c r="F400" s="7">
        <f t="shared" ca="1" si="241"/>
        <v>0</v>
      </c>
      <c r="G400" s="125">
        <f ca="1">IF('Simulador - 1º Pilar'!$E$99="Sí",IF('Aportaciones PPE'!$B$13&lt;'Aportaciones PPE'!E400,0,F400*$B$8/12),F400*$B$8/12)</f>
        <v>0</v>
      </c>
      <c r="H400" s="125">
        <f t="shared" ca="1" si="230"/>
        <v>0</v>
      </c>
      <c r="I400" s="125">
        <f t="shared" ca="1" si="242"/>
        <v>0</v>
      </c>
      <c r="J400" s="125">
        <f t="shared" ca="1" si="243"/>
        <v>0</v>
      </c>
      <c r="K400" s="125">
        <f t="shared" ca="1" si="244"/>
        <v>0</v>
      </c>
      <c r="L400" s="125">
        <f t="shared" ca="1" si="262"/>
        <v>0</v>
      </c>
      <c r="M400" s="125">
        <f t="shared" ca="1" si="245"/>
        <v>0</v>
      </c>
      <c r="N400" s="125">
        <f t="shared" ca="1" si="246"/>
        <v>0</v>
      </c>
      <c r="R400">
        <f t="shared" si="263"/>
        <v>393</v>
      </c>
      <c r="U400" s="55"/>
      <c r="V400">
        <f t="shared" si="264"/>
        <v>10</v>
      </c>
      <c r="W400">
        <f t="shared" ca="1" si="265"/>
        <v>2056</v>
      </c>
      <c r="X400" s="123">
        <f t="shared" ca="1" si="247"/>
        <v>57254</v>
      </c>
      <c r="Y400" s="64">
        <f t="shared" ca="1" si="248"/>
        <v>0</v>
      </c>
      <c r="Z400" s="64">
        <f t="shared" ca="1" si="249"/>
        <v>0</v>
      </c>
      <c r="AA400" s="64">
        <f t="shared" ca="1" si="250"/>
        <v>0</v>
      </c>
      <c r="AB400" s="64">
        <f t="shared" ca="1" si="251"/>
        <v>0</v>
      </c>
      <c r="AF400" t="str">
        <f t="shared" ca="1" si="231"/>
        <v>102011</v>
      </c>
      <c r="AG400" s="126">
        <f t="shared" ca="1" si="232"/>
        <v>0</v>
      </c>
      <c r="AH400" s="126">
        <f t="shared" ca="1" si="233"/>
        <v>0</v>
      </c>
      <c r="AI400" s="126">
        <f t="shared" ca="1" si="234"/>
        <v>0</v>
      </c>
      <c r="AJ400" t="str">
        <f t="shared" ca="1" si="235"/>
        <v>102056</v>
      </c>
      <c r="AK400" s="126">
        <f t="shared" ca="1" si="252"/>
        <v>0</v>
      </c>
      <c r="AL400" s="126">
        <f t="shared" ca="1" si="253"/>
        <v>0</v>
      </c>
      <c r="AM400" s="126">
        <f t="shared" ca="1" si="266"/>
        <v>0</v>
      </c>
      <c r="AN400" s="753">
        <f t="shared" ca="1" si="267"/>
        <v>0</v>
      </c>
      <c r="AO400" s="750">
        <f t="shared" ca="1" si="254"/>
        <v>0</v>
      </c>
      <c r="AP400" s="126">
        <f t="shared" ca="1" si="255"/>
        <v>0</v>
      </c>
      <c r="AQ400" s="126">
        <f t="shared" ca="1" si="256"/>
        <v>0</v>
      </c>
      <c r="AR400" s="126">
        <f t="shared" ca="1" si="236"/>
        <v>10000</v>
      </c>
      <c r="AS400" s="750">
        <f t="shared" ca="1" si="237"/>
        <v>0</v>
      </c>
      <c r="AT400" s="750">
        <f t="shared" ca="1" si="238"/>
        <v>0</v>
      </c>
      <c r="AU400" s="126">
        <f t="shared" ca="1" si="257"/>
        <v>0</v>
      </c>
      <c r="AV400" s="126">
        <f t="shared" ca="1" si="258"/>
        <v>0</v>
      </c>
      <c r="AW400" s="126">
        <f t="shared" ca="1" si="239"/>
        <v>10000</v>
      </c>
      <c r="AX400" s="750">
        <f t="shared" ca="1" si="259"/>
        <v>0</v>
      </c>
      <c r="AY400" s="750">
        <f t="shared" ca="1" si="260"/>
        <v>0</v>
      </c>
      <c r="AZ400">
        <f t="shared" si="261"/>
        <v>5750</v>
      </c>
    </row>
    <row r="401" spans="4:52">
      <c r="D401">
        <v>394</v>
      </c>
      <c r="E401" s="6">
        <f t="shared" ca="1" si="240"/>
        <v>40787</v>
      </c>
      <c r="F401" s="7">
        <f t="shared" ca="1" si="241"/>
        <v>0</v>
      </c>
      <c r="G401" s="125">
        <f ca="1">IF('Simulador - 1º Pilar'!$E$99="Sí",IF('Aportaciones PPE'!$B$13&lt;'Aportaciones PPE'!E401,0,F401*$B$8/12),F401*$B$8/12)</f>
        <v>0</v>
      </c>
      <c r="H401" s="125">
        <f t="shared" ca="1" si="230"/>
        <v>0</v>
      </c>
      <c r="I401" s="125">
        <f t="shared" ca="1" si="242"/>
        <v>0</v>
      </c>
      <c r="J401" s="125">
        <f t="shared" ca="1" si="243"/>
        <v>0</v>
      </c>
      <c r="K401" s="125">
        <f t="shared" ca="1" si="244"/>
        <v>0</v>
      </c>
      <c r="L401" s="125">
        <f t="shared" ca="1" si="262"/>
        <v>0</v>
      </c>
      <c r="M401" s="125">
        <f t="shared" ca="1" si="245"/>
        <v>0</v>
      </c>
      <c r="N401" s="125">
        <f t="shared" ca="1" si="246"/>
        <v>0</v>
      </c>
      <c r="R401">
        <f t="shared" si="263"/>
        <v>394</v>
      </c>
      <c r="U401" s="55"/>
      <c r="V401">
        <f t="shared" si="264"/>
        <v>11</v>
      </c>
      <c r="W401">
        <f t="shared" ca="1" si="265"/>
        <v>2056</v>
      </c>
      <c r="X401" s="123">
        <f t="shared" ca="1" si="247"/>
        <v>57285</v>
      </c>
      <c r="Y401" s="64">
        <f t="shared" ca="1" si="248"/>
        <v>0</v>
      </c>
      <c r="Z401" s="64">
        <f t="shared" ca="1" si="249"/>
        <v>0</v>
      </c>
      <c r="AA401" s="64">
        <f t="shared" ca="1" si="250"/>
        <v>0</v>
      </c>
      <c r="AB401" s="64">
        <f t="shared" ca="1" si="251"/>
        <v>0</v>
      </c>
      <c r="AF401" t="str">
        <f t="shared" ca="1" si="231"/>
        <v>92011</v>
      </c>
      <c r="AG401" s="126">
        <f t="shared" ca="1" si="232"/>
        <v>0</v>
      </c>
      <c r="AH401" s="126">
        <f t="shared" ca="1" si="233"/>
        <v>0</v>
      </c>
      <c r="AI401" s="126">
        <f t="shared" ca="1" si="234"/>
        <v>0</v>
      </c>
      <c r="AJ401" t="str">
        <f t="shared" ca="1" si="235"/>
        <v>112056</v>
      </c>
      <c r="AK401" s="126">
        <f t="shared" ca="1" si="252"/>
        <v>0</v>
      </c>
      <c r="AL401" s="126">
        <f t="shared" ca="1" si="253"/>
        <v>0</v>
      </c>
      <c r="AM401" s="126">
        <f t="shared" ca="1" si="266"/>
        <v>0</v>
      </c>
      <c r="AN401" s="753">
        <f t="shared" ca="1" si="267"/>
        <v>0</v>
      </c>
      <c r="AO401" s="750">
        <f t="shared" ca="1" si="254"/>
        <v>0</v>
      </c>
      <c r="AP401" s="126">
        <f t="shared" ca="1" si="255"/>
        <v>0</v>
      </c>
      <c r="AQ401" s="126">
        <f t="shared" ca="1" si="256"/>
        <v>0</v>
      </c>
      <c r="AR401" s="126">
        <f t="shared" ca="1" si="236"/>
        <v>10000</v>
      </c>
      <c r="AS401" s="750">
        <f t="shared" ca="1" si="237"/>
        <v>0</v>
      </c>
      <c r="AT401" s="750">
        <f t="shared" ca="1" si="238"/>
        <v>0</v>
      </c>
      <c r="AU401" s="126">
        <f t="shared" ca="1" si="257"/>
        <v>0</v>
      </c>
      <c r="AV401" s="126">
        <f t="shared" ca="1" si="258"/>
        <v>0</v>
      </c>
      <c r="AW401" s="126">
        <f t="shared" ca="1" si="239"/>
        <v>10000</v>
      </c>
      <c r="AX401" s="750">
        <f t="shared" ca="1" si="259"/>
        <v>0</v>
      </c>
      <c r="AY401" s="750">
        <f t="shared" ca="1" si="260"/>
        <v>0</v>
      </c>
      <c r="AZ401">
        <f t="shared" si="261"/>
        <v>5750</v>
      </c>
    </row>
    <row r="402" spans="4:52">
      <c r="D402">
        <v>395</v>
      </c>
      <c r="E402" s="6">
        <f t="shared" ca="1" si="240"/>
        <v>40756</v>
      </c>
      <c r="F402" s="7">
        <f t="shared" ca="1" si="241"/>
        <v>0</v>
      </c>
      <c r="G402" s="125">
        <f ca="1">IF('Simulador - 1º Pilar'!$E$99="Sí",IF('Aportaciones PPE'!$B$13&lt;'Aportaciones PPE'!E402,0,F402*$B$8/12),F402*$B$8/12)</f>
        <v>0</v>
      </c>
      <c r="H402" s="125">
        <f t="shared" ca="1" si="230"/>
        <v>0</v>
      </c>
      <c r="I402" s="125">
        <f t="shared" ca="1" si="242"/>
        <v>0</v>
      </c>
      <c r="J402" s="125">
        <f t="shared" ca="1" si="243"/>
        <v>0</v>
      </c>
      <c r="K402" s="125">
        <f t="shared" ca="1" si="244"/>
        <v>0</v>
      </c>
      <c r="L402" s="125">
        <f t="shared" ca="1" si="262"/>
        <v>0</v>
      </c>
      <c r="M402" s="125">
        <f t="shared" ca="1" si="245"/>
        <v>0</v>
      </c>
      <c r="N402" s="125">
        <f t="shared" ca="1" si="246"/>
        <v>0</v>
      </c>
      <c r="R402">
        <f t="shared" si="263"/>
        <v>395</v>
      </c>
      <c r="U402" s="55"/>
      <c r="V402">
        <f t="shared" si="264"/>
        <v>12</v>
      </c>
      <c r="W402">
        <f t="shared" ca="1" si="265"/>
        <v>2056</v>
      </c>
      <c r="X402" s="123">
        <f t="shared" ca="1" si="247"/>
        <v>57315</v>
      </c>
      <c r="Y402" s="64">
        <f t="shared" ca="1" si="248"/>
        <v>0</v>
      </c>
      <c r="Z402" s="64">
        <f t="shared" ca="1" si="249"/>
        <v>0</v>
      </c>
      <c r="AA402" s="64">
        <f t="shared" ca="1" si="250"/>
        <v>0</v>
      </c>
      <c r="AB402" s="64">
        <f t="shared" ca="1" si="251"/>
        <v>0</v>
      </c>
      <c r="AF402" t="str">
        <f t="shared" ca="1" si="231"/>
        <v>82011</v>
      </c>
      <c r="AG402" s="126">
        <f t="shared" ca="1" si="232"/>
        <v>0</v>
      </c>
      <c r="AH402" s="126">
        <f t="shared" ca="1" si="233"/>
        <v>0</v>
      </c>
      <c r="AI402" s="126">
        <f t="shared" ca="1" si="234"/>
        <v>0</v>
      </c>
      <c r="AJ402" t="str">
        <f t="shared" ca="1" si="235"/>
        <v>122056</v>
      </c>
      <c r="AK402" s="126">
        <f t="shared" ca="1" si="252"/>
        <v>0</v>
      </c>
      <c r="AL402" s="126">
        <f t="shared" ca="1" si="253"/>
        <v>0</v>
      </c>
      <c r="AM402" s="126">
        <f t="shared" ca="1" si="266"/>
        <v>0</v>
      </c>
      <c r="AN402" s="753">
        <f t="shared" ca="1" si="267"/>
        <v>0</v>
      </c>
      <c r="AO402" s="750">
        <f t="shared" ca="1" si="254"/>
        <v>0</v>
      </c>
      <c r="AP402" s="126">
        <f t="shared" ca="1" si="255"/>
        <v>0</v>
      </c>
      <c r="AQ402" s="126">
        <f t="shared" ca="1" si="256"/>
        <v>0</v>
      </c>
      <c r="AR402" s="126">
        <f t="shared" ca="1" si="236"/>
        <v>10000</v>
      </c>
      <c r="AS402" s="750">
        <f t="shared" ca="1" si="237"/>
        <v>0</v>
      </c>
      <c r="AT402" s="750">
        <f t="shared" ca="1" si="238"/>
        <v>0</v>
      </c>
      <c r="AU402" s="126">
        <f t="shared" ca="1" si="257"/>
        <v>0</v>
      </c>
      <c r="AV402" s="126">
        <f t="shared" ca="1" si="258"/>
        <v>0</v>
      </c>
      <c r="AW402" s="126">
        <f t="shared" ca="1" si="239"/>
        <v>10000</v>
      </c>
      <c r="AX402" s="750">
        <f t="shared" ca="1" si="259"/>
        <v>0</v>
      </c>
      <c r="AY402" s="750">
        <f t="shared" ca="1" si="260"/>
        <v>0</v>
      </c>
      <c r="AZ402">
        <f t="shared" si="261"/>
        <v>5750</v>
      </c>
    </row>
    <row r="403" spans="4:52">
      <c r="D403">
        <v>396</v>
      </c>
      <c r="E403" s="6">
        <f t="shared" ca="1" si="240"/>
        <v>40725</v>
      </c>
      <c r="F403" s="7">
        <f t="shared" ca="1" si="241"/>
        <v>0</v>
      </c>
      <c r="G403" s="125">
        <f ca="1">IF('Simulador - 1º Pilar'!$E$99="Sí",IF('Aportaciones PPE'!$B$13&lt;'Aportaciones PPE'!E403,0,F403*$B$8/12),F403*$B$8/12)</f>
        <v>0</v>
      </c>
      <c r="H403" s="125">
        <f t="shared" ca="1" si="230"/>
        <v>0</v>
      </c>
      <c r="I403" s="125">
        <f t="shared" ca="1" si="242"/>
        <v>0</v>
      </c>
      <c r="J403" s="125">
        <f t="shared" ca="1" si="243"/>
        <v>0</v>
      </c>
      <c r="K403" s="125">
        <f t="shared" ca="1" si="244"/>
        <v>0</v>
      </c>
      <c r="L403" s="125">
        <f t="shared" ca="1" si="262"/>
        <v>0</v>
      </c>
      <c r="M403" s="125">
        <f t="shared" ca="1" si="245"/>
        <v>0</v>
      </c>
      <c r="N403" s="125">
        <f t="shared" ca="1" si="246"/>
        <v>0</v>
      </c>
      <c r="R403">
        <f t="shared" si="263"/>
        <v>396</v>
      </c>
      <c r="U403" s="55"/>
      <c r="V403">
        <f t="shared" si="264"/>
        <v>1</v>
      </c>
      <c r="W403">
        <f t="shared" ca="1" si="265"/>
        <v>2057</v>
      </c>
      <c r="X403" s="123">
        <f t="shared" ca="1" si="247"/>
        <v>57346</v>
      </c>
      <c r="Y403" s="64">
        <f t="shared" ca="1" si="248"/>
        <v>0</v>
      </c>
      <c r="Z403" s="64">
        <f t="shared" ca="1" si="249"/>
        <v>0</v>
      </c>
      <c r="AA403" s="64">
        <f t="shared" ca="1" si="250"/>
        <v>0</v>
      </c>
      <c r="AB403" s="64">
        <f t="shared" ca="1" si="251"/>
        <v>0</v>
      </c>
      <c r="AF403" t="str">
        <f t="shared" ca="1" si="231"/>
        <v>72011</v>
      </c>
      <c r="AG403" s="126">
        <f t="shared" ca="1" si="232"/>
        <v>0</v>
      </c>
      <c r="AH403" s="126">
        <f t="shared" ca="1" si="233"/>
        <v>0</v>
      </c>
      <c r="AI403" s="126">
        <f t="shared" ca="1" si="234"/>
        <v>0</v>
      </c>
      <c r="AJ403" t="str">
        <f t="shared" ca="1" si="235"/>
        <v>12057</v>
      </c>
      <c r="AK403" s="126">
        <f t="shared" ca="1" si="252"/>
        <v>0</v>
      </c>
      <c r="AL403" s="126">
        <f t="shared" ca="1" si="253"/>
        <v>0</v>
      </c>
      <c r="AM403" s="126">
        <f t="shared" ca="1" si="266"/>
        <v>0</v>
      </c>
      <c r="AN403" s="753">
        <f t="shared" ca="1" si="267"/>
        <v>0</v>
      </c>
      <c r="AO403" s="750">
        <f t="shared" ca="1" si="254"/>
        <v>0</v>
      </c>
      <c r="AP403" s="126">
        <f t="shared" ca="1" si="255"/>
        <v>0</v>
      </c>
      <c r="AQ403" s="126">
        <f t="shared" ca="1" si="256"/>
        <v>0</v>
      </c>
      <c r="AR403" s="126">
        <f t="shared" ca="1" si="236"/>
        <v>10000</v>
      </c>
      <c r="AS403" s="750">
        <f t="shared" ca="1" si="237"/>
        <v>0</v>
      </c>
      <c r="AT403" s="750">
        <f t="shared" ca="1" si="238"/>
        <v>0</v>
      </c>
      <c r="AU403" s="126">
        <f t="shared" ca="1" si="257"/>
        <v>0</v>
      </c>
      <c r="AV403" s="126">
        <f t="shared" ca="1" si="258"/>
        <v>0</v>
      </c>
      <c r="AW403" s="126">
        <f t="shared" ca="1" si="239"/>
        <v>10000</v>
      </c>
      <c r="AX403" s="750">
        <f t="shared" ca="1" si="259"/>
        <v>0</v>
      </c>
      <c r="AY403" s="750">
        <f t="shared" ca="1" si="260"/>
        <v>0</v>
      </c>
      <c r="AZ403">
        <f t="shared" si="261"/>
        <v>5750</v>
      </c>
    </row>
    <row r="404" spans="4:52">
      <c r="D404">
        <v>397</v>
      </c>
      <c r="E404" s="6">
        <f t="shared" ca="1" si="240"/>
        <v>40695</v>
      </c>
      <c r="F404" s="7">
        <f t="shared" ca="1" si="241"/>
        <v>0</v>
      </c>
      <c r="G404" s="125">
        <f ca="1">IF('Simulador - 1º Pilar'!$E$99="Sí",IF('Aportaciones PPE'!$B$13&lt;'Aportaciones PPE'!E404,0,F404*$B$8/12),F404*$B$8/12)</f>
        <v>0</v>
      </c>
      <c r="H404" s="125">
        <f t="shared" ca="1" si="230"/>
        <v>0</v>
      </c>
      <c r="I404" s="125">
        <f t="shared" ca="1" si="242"/>
        <v>0</v>
      </c>
      <c r="J404" s="125">
        <f t="shared" ca="1" si="243"/>
        <v>0</v>
      </c>
      <c r="K404" s="125">
        <f t="shared" ca="1" si="244"/>
        <v>0</v>
      </c>
      <c r="L404" s="125">
        <f t="shared" ca="1" si="262"/>
        <v>0</v>
      </c>
      <c r="M404" s="125">
        <f t="shared" ca="1" si="245"/>
        <v>0</v>
      </c>
      <c r="N404" s="125">
        <f t="shared" ca="1" si="246"/>
        <v>0</v>
      </c>
      <c r="R404">
        <f t="shared" si="263"/>
        <v>397</v>
      </c>
      <c r="U404" s="55"/>
      <c r="V404">
        <f t="shared" si="264"/>
        <v>2</v>
      </c>
      <c r="W404">
        <f t="shared" ca="1" si="265"/>
        <v>2057</v>
      </c>
      <c r="X404" s="123">
        <f t="shared" ca="1" si="247"/>
        <v>57377</v>
      </c>
      <c r="Y404" s="64">
        <f t="shared" ca="1" si="248"/>
        <v>0</v>
      </c>
      <c r="Z404" s="64">
        <f t="shared" ca="1" si="249"/>
        <v>0</v>
      </c>
      <c r="AA404" s="64">
        <f t="shared" ca="1" si="250"/>
        <v>0</v>
      </c>
      <c r="AB404" s="64">
        <f t="shared" ca="1" si="251"/>
        <v>0</v>
      </c>
      <c r="AF404" t="str">
        <f t="shared" ca="1" si="231"/>
        <v>62011</v>
      </c>
      <c r="AG404" s="126">
        <f t="shared" ca="1" si="232"/>
        <v>0</v>
      </c>
      <c r="AH404" s="126">
        <f t="shared" ca="1" si="233"/>
        <v>0</v>
      </c>
      <c r="AI404" s="126">
        <f t="shared" ca="1" si="234"/>
        <v>0</v>
      </c>
      <c r="AJ404" t="str">
        <f t="shared" ca="1" si="235"/>
        <v>22057</v>
      </c>
      <c r="AK404" s="126">
        <f t="shared" ca="1" si="252"/>
        <v>0</v>
      </c>
      <c r="AL404" s="126">
        <f t="shared" ca="1" si="253"/>
        <v>0</v>
      </c>
      <c r="AM404" s="126">
        <f t="shared" ca="1" si="266"/>
        <v>0</v>
      </c>
      <c r="AN404" s="753">
        <f t="shared" ca="1" si="267"/>
        <v>0</v>
      </c>
      <c r="AO404" s="750">
        <f t="shared" ca="1" si="254"/>
        <v>0</v>
      </c>
      <c r="AP404" s="126">
        <f t="shared" ca="1" si="255"/>
        <v>0</v>
      </c>
      <c r="AQ404" s="126">
        <f t="shared" ca="1" si="256"/>
        <v>0</v>
      </c>
      <c r="AR404" s="126">
        <f t="shared" ca="1" si="236"/>
        <v>10000</v>
      </c>
      <c r="AS404" s="750">
        <f t="shared" ca="1" si="237"/>
        <v>0</v>
      </c>
      <c r="AT404" s="750">
        <f t="shared" ca="1" si="238"/>
        <v>0</v>
      </c>
      <c r="AU404" s="126">
        <f t="shared" ca="1" si="257"/>
        <v>0</v>
      </c>
      <c r="AV404" s="126">
        <f t="shared" ca="1" si="258"/>
        <v>0</v>
      </c>
      <c r="AW404" s="126">
        <f t="shared" ca="1" si="239"/>
        <v>10000</v>
      </c>
      <c r="AX404" s="750">
        <f t="shared" ca="1" si="259"/>
        <v>0</v>
      </c>
      <c r="AY404" s="750">
        <f t="shared" ca="1" si="260"/>
        <v>0</v>
      </c>
      <c r="AZ404">
        <f t="shared" si="261"/>
        <v>5750</v>
      </c>
    </row>
    <row r="405" spans="4:52">
      <c r="D405">
        <v>398</v>
      </c>
      <c r="E405" s="6">
        <f t="shared" ca="1" si="240"/>
        <v>40664</v>
      </c>
      <c r="F405" s="7">
        <f t="shared" ca="1" si="241"/>
        <v>0</v>
      </c>
      <c r="G405" s="125">
        <f ca="1">IF('Simulador - 1º Pilar'!$E$99="Sí",IF('Aportaciones PPE'!$B$13&lt;'Aportaciones PPE'!E405,0,F405*$B$8/12),F405*$B$8/12)</f>
        <v>0</v>
      </c>
      <c r="H405" s="125">
        <f t="shared" ca="1" si="230"/>
        <v>0</v>
      </c>
      <c r="I405" s="125">
        <f t="shared" ca="1" si="242"/>
        <v>0</v>
      </c>
      <c r="J405" s="125">
        <f t="shared" ca="1" si="243"/>
        <v>0</v>
      </c>
      <c r="K405" s="125">
        <f t="shared" ca="1" si="244"/>
        <v>0</v>
      </c>
      <c r="L405" s="125">
        <f t="shared" ca="1" si="262"/>
        <v>0</v>
      </c>
      <c r="M405" s="125">
        <f t="shared" ca="1" si="245"/>
        <v>0</v>
      </c>
      <c r="N405" s="125">
        <f t="shared" ca="1" si="246"/>
        <v>0</v>
      </c>
      <c r="R405">
        <f t="shared" si="263"/>
        <v>398</v>
      </c>
      <c r="U405" s="55"/>
      <c r="V405">
        <f t="shared" si="264"/>
        <v>3</v>
      </c>
      <c r="W405">
        <f t="shared" ca="1" si="265"/>
        <v>2057</v>
      </c>
      <c r="X405" s="123">
        <f t="shared" ca="1" si="247"/>
        <v>57405</v>
      </c>
      <c r="Y405" s="64">
        <f t="shared" ca="1" si="248"/>
        <v>0</v>
      </c>
      <c r="Z405" s="64">
        <f t="shared" ca="1" si="249"/>
        <v>0</v>
      </c>
      <c r="AA405" s="64">
        <f t="shared" ca="1" si="250"/>
        <v>0</v>
      </c>
      <c r="AB405" s="64">
        <f t="shared" ca="1" si="251"/>
        <v>0</v>
      </c>
      <c r="AF405" t="str">
        <f t="shared" ca="1" si="231"/>
        <v>52011</v>
      </c>
      <c r="AG405" s="126">
        <f t="shared" ca="1" si="232"/>
        <v>0</v>
      </c>
      <c r="AH405" s="126">
        <f t="shared" ca="1" si="233"/>
        <v>0</v>
      </c>
      <c r="AI405" s="126">
        <f t="shared" ca="1" si="234"/>
        <v>0</v>
      </c>
      <c r="AJ405" t="str">
        <f t="shared" ca="1" si="235"/>
        <v>32057</v>
      </c>
      <c r="AK405" s="126">
        <f t="shared" ca="1" si="252"/>
        <v>0</v>
      </c>
      <c r="AL405" s="126">
        <f t="shared" ca="1" si="253"/>
        <v>0</v>
      </c>
      <c r="AM405" s="126">
        <f t="shared" ca="1" si="266"/>
        <v>0</v>
      </c>
      <c r="AN405" s="753">
        <f t="shared" ca="1" si="267"/>
        <v>0</v>
      </c>
      <c r="AO405" s="750">
        <f t="shared" ca="1" si="254"/>
        <v>0</v>
      </c>
      <c r="AP405" s="126">
        <f t="shared" ca="1" si="255"/>
        <v>0</v>
      </c>
      <c r="AQ405" s="126">
        <f t="shared" ca="1" si="256"/>
        <v>0</v>
      </c>
      <c r="AR405" s="126">
        <f t="shared" ca="1" si="236"/>
        <v>10000</v>
      </c>
      <c r="AS405" s="750">
        <f t="shared" ca="1" si="237"/>
        <v>0</v>
      </c>
      <c r="AT405" s="750">
        <f t="shared" ca="1" si="238"/>
        <v>0</v>
      </c>
      <c r="AU405" s="126">
        <f t="shared" ca="1" si="257"/>
        <v>0</v>
      </c>
      <c r="AV405" s="126">
        <f t="shared" ca="1" si="258"/>
        <v>0</v>
      </c>
      <c r="AW405" s="126">
        <f t="shared" ca="1" si="239"/>
        <v>10000</v>
      </c>
      <c r="AX405" s="750">
        <f t="shared" ca="1" si="259"/>
        <v>0</v>
      </c>
      <c r="AY405" s="750">
        <f t="shared" ca="1" si="260"/>
        <v>0</v>
      </c>
      <c r="AZ405">
        <f t="shared" si="261"/>
        <v>5750</v>
      </c>
    </row>
    <row r="406" spans="4:52">
      <c r="D406">
        <v>399</v>
      </c>
      <c r="E406" s="6">
        <f t="shared" ca="1" si="240"/>
        <v>40634</v>
      </c>
      <c r="F406" s="7">
        <f t="shared" ca="1" si="241"/>
        <v>0</v>
      </c>
      <c r="G406" s="125">
        <f ca="1">IF('Simulador - 1º Pilar'!$E$99="Sí",IF('Aportaciones PPE'!$B$13&lt;'Aportaciones PPE'!E406,0,F406*$B$8/12),F406*$B$8/12)</f>
        <v>0</v>
      </c>
      <c r="H406" s="125">
        <f t="shared" ca="1" si="230"/>
        <v>0</v>
      </c>
      <c r="I406" s="125">
        <f t="shared" ca="1" si="242"/>
        <v>0</v>
      </c>
      <c r="J406" s="125">
        <f t="shared" ca="1" si="243"/>
        <v>0</v>
      </c>
      <c r="K406" s="125">
        <f t="shared" ca="1" si="244"/>
        <v>0</v>
      </c>
      <c r="L406" s="125">
        <f t="shared" ca="1" si="262"/>
        <v>0</v>
      </c>
      <c r="M406" s="125">
        <f t="shared" ca="1" si="245"/>
        <v>0</v>
      </c>
      <c r="N406" s="125">
        <f t="shared" ca="1" si="246"/>
        <v>0</v>
      </c>
      <c r="R406">
        <f t="shared" si="263"/>
        <v>399</v>
      </c>
      <c r="U406" s="55"/>
      <c r="V406">
        <f t="shared" si="264"/>
        <v>4</v>
      </c>
      <c r="W406">
        <f t="shared" ca="1" si="265"/>
        <v>2057</v>
      </c>
      <c r="X406" s="123">
        <f t="shared" ca="1" si="247"/>
        <v>57436</v>
      </c>
      <c r="Y406" s="64">
        <f t="shared" ca="1" si="248"/>
        <v>0</v>
      </c>
      <c r="Z406" s="64">
        <f t="shared" ca="1" si="249"/>
        <v>0</v>
      </c>
      <c r="AA406" s="64">
        <f t="shared" ca="1" si="250"/>
        <v>0</v>
      </c>
      <c r="AB406" s="64">
        <f t="shared" ca="1" si="251"/>
        <v>0</v>
      </c>
      <c r="AF406" t="str">
        <f t="shared" ca="1" si="231"/>
        <v>42011</v>
      </c>
      <c r="AG406" s="126">
        <f t="shared" ca="1" si="232"/>
        <v>0</v>
      </c>
      <c r="AH406" s="126">
        <f t="shared" ca="1" si="233"/>
        <v>0</v>
      </c>
      <c r="AI406" s="126">
        <f t="shared" ca="1" si="234"/>
        <v>0</v>
      </c>
      <c r="AJ406" t="str">
        <f t="shared" ca="1" si="235"/>
        <v>42057</v>
      </c>
      <c r="AK406" s="126">
        <f t="shared" ca="1" si="252"/>
        <v>0</v>
      </c>
      <c r="AL406" s="126">
        <f t="shared" ca="1" si="253"/>
        <v>0</v>
      </c>
      <c r="AM406" s="126">
        <f t="shared" ca="1" si="266"/>
        <v>0</v>
      </c>
      <c r="AN406" s="753">
        <f t="shared" ca="1" si="267"/>
        <v>0</v>
      </c>
      <c r="AO406" s="750">
        <f t="shared" ca="1" si="254"/>
        <v>0</v>
      </c>
      <c r="AP406" s="126">
        <f t="shared" ca="1" si="255"/>
        <v>0</v>
      </c>
      <c r="AQ406" s="126">
        <f t="shared" ca="1" si="256"/>
        <v>0</v>
      </c>
      <c r="AR406" s="126">
        <f t="shared" ca="1" si="236"/>
        <v>10000</v>
      </c>
      <c r="AS406" s="750">
        <f t="shared" ca="1" si="237"/>
        <v>0</v>
      </c>
      <c r="AT406" s="750">
        <f t="shared" ca="1" si="238"/>
        <v>0</v>
      </c>
      <c r="AU406" s="126">
        <f t="shared" ca="1" si="257"/>
        <v>0</v>
      </c>
      <c r="AV406" s="126">
        <f t="shared" ca="1" si="258"/>
        <v>0</v>
      </c>
      <c r="AW406" s="126">
        <f t="shared" ca="1" si="239"/>
        <v>10000</v>
      </c>
      <c r="AX406" s="750">
        <f t="shared" ca="1" si="259"/>
        <v>0</v>
      </c>
      <c r="AY406" s="750">
        <f t="shared" ca="1" si="260"/>
        <v>0</v>
      </c>
      <c r="AZ406">
        <f t="shared" si="261"/>
        <v>5750</v>
      </c>
    </row>
    <row r="407" spans="4:52">
      <c r="D407">
        <v>400</v>
      </c>
      <c r="E407" s="6">
        <f t="shared" ca="1" si="240"/>
        <v>40603</v>
      </c>
      <c r="F407" s="7">
        <f t="shared" ca="1" si="241"/>
        <v>0</v>
      </c>
      <c r="G407" s="125">
        <f ca="1">IF('Simulador - 1º Pilar'!$E$99="Sí",IF('Aportaciones PPE'!$B$13&lt;'Aportaciones PPE'!E407,0,F407*$B$8/12),F407*$B$8/12)</f>
        <v>0</v>
      </c>
      <c r="H407" s="125">
        <f t="shared" ca="1" si="230"/>
        <v>0</v>
      </c>
      <c r="I407" s="125">
        <f t="shared" ca="1" si="242"/>
        <v>0</v>
      </c>
      <c r="J407" s="125">
        <f t="shared" ca="1" si="243"/>
        <v>0</v>
      </c>
      <c r="K407" s="125">
        <f t="shared" ca="1" si="244"/>
        <v>0</v>
      </c>
      <c r="L407" s="125">
        <f t="shared" ca="1" si="262"/>
        <v>0</v>
      </c>
      <c r="M407" s="125">
        <f t="shared" ca="1" si="245"/>
        <v>0</v>
      </c>
      <c r="N407" s="125">
        <f t="shared" ca="1" si="246"/>
        <v>0</v>
      </c>
      <c r="R407">
        <f t="shared" si="263"/>
        <v>400</v>
      </c>
      <c r="U407" s="55"/>
      <c r="V407">
        <f t="shared" si="264"/>
        <v>5</v>
      </c>
      <c r="W407">
        <f t="shared" ca="1" si="265"/>
        <v>2057</v>
      </c>
      <c r="X407" s="123">
        <f t="shared" ca="1" si="247"/>
        <v>57466</v>
      </c>
      <c r="Y407" s="64">
        <f t="shared" ca="1" si="248"/>
        <v>0</v>
      </c>
      <c r="Z407" s="64">
        <f t="shared" ca="1" si="249"/>
        <v>0</v>
      </c>
      <c r="AA407" s="64">
        <f t="shared" ca="1" si="250"/>
        <v>0</v>
      </c>
      <c r="AB407" s="64">
        <f t="shared" ca="1" si="251"/>
        <v>0</v>
      </c>
      <c r="AF407" t="str">
        <f t="shared" ca="1" si="231"/>
        <v>32011</v>
      </c>
      <c r="AG407" s="126">
        <f t="shared" ca="1" si="232"/>
        <v>0</v>
      </c>
      <c r="AH407" s="126">
        <f t="shared" ca="1" si="233"/>
        <v>0</v>
      </c>
      <c r="AI407" s="126">
        <f t="shared" ca="1" si="234"/>
        <v>0</v>
      </c>
      <c r="AJ407" t="str">
        <f t="shared" ca="1" si="235"/>
        <v>52057</v>
      </c>
      <c r="AK407" s="126">
        <f t="shared" ca="1" si="252"/>
        <v>0</v>
      </c>
      <c r="AL407" s="126">
        <f t="shared" ca="1" si="253"/>
        <v>0</v>
      </c>
      <c r="AM407" s="126">
        <f t="shared" ca="1" si="266"/>
        <v>0</v>
      </c>
      <c r="AN407" s="753">
        <f t="shared" ca="1" si="267"/>
        <v>0</v>
      </c>
      <c r="AO407" s="750">
        <f t="shared" ca="1" si="254"/>
        <v>0</v>
      </c>
      <c r="AP407" s="126">
        <f t="shared" ca="1" si="255"/>
        <v>0</v>
      </c>
      <c r="AQ407" s="126">
        <f t="shared" ca="1" si="256"/>
        <v>0</v>
      </c>
      <c r="AR407" s="126">
        <f t="shared" ca="1" si="236"/>
        <v>10000</v>
      </c>
      <c r="AS407" s="750">
        <f t="shared" ca="1" si="237"/>
        <v>0</v>
      </c>
      <c r="AT407" s="750">
        <f t="shared" ca="1" si="238"/>
        <v>0</v>
      </c>
      <c r="AU407" s="126">
        <f t="shared" ca="1" si="257"/>
        <v>0</v>
      </c>
      <c r="AV407" s="126">
        <f t="shared" ca="1" si="258"/>
        <v>0</v>
      </c>
      <c r="AW407" s="126">
        <f t="shared" ca="1" si="239"/>
        <v>10000</v>
      </c>
      <c r="AX407" s="750">
        <f t="shared" ca="1" si="259"/>
        <v>0</v>
      </c>
      <c r="AY407" s="750">
        <f t="shared" ca="1" si="260"/>
        <v>0</v>
      </c>
      <c r="AZ407">
        <f t="shared" si="261"/>
        <v>5750</v>
      </c>
    </row>
    <row r="408" spans="4:52">
      <c r="D408">
        <v>401</v>
      </c>
      <c r="E408" s="6">
        <f t="shared" ca="1" si="240"/>
        <v>40575</v>
      </c>
      <c r="F408" s="7">
        <f t="shared" ca="1" si="241"/>
        <v>0</v>
      </c>
      <c r="G408" s="125">
        <f ca="1">IF('Simulador - 1º Pilar'!$E$99="Sí",IF('Aportaciones PPE'!$B$13&lt;'Aportaciones PPE'!E408,0,F408*$B$8/12),F408*$B$8/12)</f>
        <v>0</v>
      </c>
      <c r="H408" s="125">
        <f t="shared" ca="1" si="230"/>
        <v>0</v>
      </c>
      <c r="I408" s="125">
        <f t="shared" ca="1" si="242"/>
        <v>0</v>
      </c>
      <c r="J408" s="125">
        <f t="shared" ca="1" si="243"/>
        <v>0</v>
      </c>
      <c r="K408" s="125">
        <f t="shared" ca="1" si="244"/>
        <v>0</v>
      </c>
      <c r="L408" s="125">
        <f t="shared" ca="1" si="262"/>
        <v>0</v>
      </c>
      <c r="M408" s="125">
        <f t="shared" ca="1" si="245"/>
        <v>0</v>
      </c>
      <c r="N408" s="125">
        <f t="shared" ca="1" si="246"/>
        <v>0</v>
      </c>
      <c r="R408">
        <f t="shared" si="263"/>
        <v>401</v>
      </c>
      <c r="U408" s="55"/>
      <c r="V408">
        <f t="shared" si="264"/>
        <v>6</v>
      </c>
      <c r="W408">
        <f t="shared" ca="1" si="265"/>
        <v>2057</v>
      </c>
      <c r="X408" s="123">
        <f t="shared" ca="1" si="247"/>
        <v>57497</v>
      </c>
      <c r="Y408" s="64">
        <f t="shared" ca="1" si="248"/>
        <v>0</v>
      </c>
      <c r="Z408" s="64">
        <f t="shared" ca="1" si="249"/>
        <v>0</v>
      </c>
      <c r="AA408" s="64">
        <f t="shared" ca="1" si="250"/>
        <v>0</v>
      </c>
      <c r="AB408" s="64">
        <f t="shared" ca="1" si="251"/>
        <v>0</v>
      </c>
      <c r="AF408" t="str">
        <f t="shared" ca="1" si="231"/>
        <v>22011</v>
      </c>
      <c r="AG408" s="126">
        <f t="shared" ca="1" si="232"/>
        <v>0</v>
      </c>
      <c r="AH408" s="126">
        <f t="shared" ca="1" si="233"/>
        <v>0</v>
      </c>
      <c r="AI408" s="126">
        <f t="shared" ca="1" si="234"/>
        <v>0</v>
      </c>
      <c r="AJ408" t="str">
        <f t="shared" ca="1" si="235"/>
        <v>62057</v>
      </c>
      <c r="AK408" s="126">
        <f t="shared" ca="1" si="252"/>
        <v>0</v>
      </c>
      <c r="AL408" s="126">
        <f t="shared" ca="1" si="253"/>
        <v>0</v>
      </c>
      <c r="AM408" s="126">
        <f t="shared" ca="1" si="266"/>
        <v>0</v>
      </c>
      <c r="AN408" s="753">
        <f t="shared" ca="1" si="267"/>
        <v>0</v>
      </c>
      <c r="AO408" s="750">
        <f t="shared" ca="1" si="254"/>
        <v>0</v>
      </c>
      <c r="AP408" s="126">
        <f t="shared" ca="1" si="255"/>
        <v>0</v>
      </c>
      <c r="AQ408" s="126">
        <f t="shared" ca="1" si="256"/>
        <v>0</v>
      </c>
      <c r="AR408" s="126">
        <f t="shared" ca="1" si="236"/>
        <v>10000</v>
      </c>
      <c r="AS408" s="750">
        <f t="shared" ca="1" si="237"/>
        <v>0</v>
      </c>
      <c r="AT408" s="750">
        <f t="shared" ca="1" si="238"/>
        <v>0</v>
      </c>
      <c r="AU408" s="126">
        <f t="shared" ca="1" si="257"/>
        <v>0</v>
      </c>
      <c r="AV408" s="126">
        <f t="shared" ca="1" si="258"/>
        <v>0</v>
      </c>
      <c r="AW408" s="126">
        <f t="shared" ca="1" si="239"/>
        <v>10000</v>
      </c>
      <c r="AX408" s="750">
        <f t="shared" ca="1" si="259"/>
        <v>0</v>
      </c>
      <c r="AY408" s="750">
        <f t="shared" ca="1" si="260"/>
        <v>0</v>
      </c>
      <c r="AZ408">
        <f t="shared" si="261"/>
        <v>5750</v>
      </c>
    </row>
    <row r="409" spans="4:52">
      <c r="D409">
        <v>402</v>
      </c>
      <c r="E409" s="6">
        <f t="shared" ca="1" si="240"/>
        <v>40544</v>
      </c>
      <c r="F409" s="7">
        <f t="shared" ca="1" si="241"/>
        <v>0</v>
      </c>
      <c r="G409" s="125">
        <f ca="1">IF('Simulador - 1º Pilar'!$E$99="Sí",IF('Aportaciones PPE'!$B$13&lt;'Aportaciones PPE'!E409,0,F409*$B$8/12),F409*$B$8/12)</f>
        <v>0</v>
      </c>
      <c r="H409" s="125">
        <f t="shared" ca="1" si="230"/>
        <v>0</v>
      </c>
      <c r="I409" s="125">
        <f t="shared" ca="1" si="242"/>
        <v>0</v>
      </c>
      <c r="J409" s="125">
        <f t="shared" ca="1" si="243"/>
        <v>0</v>
      </c>
      <c r="K409" s="125">
        <f t="shared" ca="1" si="244"/>
        <v>0</v>
      </c>
      <c r="L409" s="125">
        <f t="shared" ca="1" si="262"/>
        <v>0</v>
      </c>
      <c r="M409" s="125">
        <f t="shared" ca="1" si="245"/>
        <v>0</v>
      </c>
      <c r="N409" s="125">
        <f t="shared" ca="1" si="246"/>
        <v>0</v>
      </c>
      <c r="R409">
        <f t="shared" si="263"/>
        <v>402</v>
      </c>
      <c r="U409" s="55"/>
      <c r="V409">
        <f t="shared" si="264"/>
        <v>7</v>
      </c>
      <c r="W409">
        <f t="shared" ca="1" si="265"/>
        <v>2057</v>
      </c>
      <c r="X409" s="123">
        <f t="shared" ca="1" si="247"/>
        <v>57527</v>
      </c>
      <c r="Y409" s="64">
        <f t="shared" ca="1" si="248"/>
        <v>0</v>
      </c>
      <c r="Z409" s="64">
        <f t="shared" ca="1" si="249"/>
        <v>0</v>
      </c>
      <c r="AA409" s="64">
        <f t="shared" ca="1" si="250"/>
        <v>0</v>
      </c>
      <c r="AB409" s="64">
        <f t="shared" ca="1" si="251"/>
        <v>0</v>
      </c>
      <c r="AF409" t="str">
        <f t="shared" ca="1" si="231"/>
        <v>12011</v>
      </c>
      <c r="AG409" s="126">
        <f t="shared" ca="1" si="232"/>
        <v>0</v>
      </c>
      <c r="AH409" s="126">
        <f t="shared" ca="1" si="233"/>
        <v>0</v>
      </c>
      <c r="AI409" s="126">
        <f t="shared" ca="1" si="234"/>
        <v>0</v>
      </c>
      <c r="AJ409" t="str">
        <f t="shared" ca="1" si="235"/>
        <v>72057</v>
      </c>
      <c r="AK409" s="126">
        <f t="shared" ca="1" si="252"/>
        <v>0</v>
      </c>
      <c r="AL409" s="126">
        <f t="shared" ca="1" si="253"/>
        <v>0</v>
      </c>
      <c r="AM409" s="126">
        <f t="shared" ca="1" si="266"/>
        <v>0</v>
      </c>
      <c r="AN409" s="753">
        <f t="shared" ca="1" si="267"/>
        <v>0</v>
      </c>
      <c r="AO409" s="750">
        <f t="shared" ca="1" si="254"/>
        <v>0</v>
      </c>
      <c r="AP409" s="126">
        <f t="shared" ca="1" si="255"/>
        <v>0</v>
      </c>
      <c r="AQ409" s="126">
        <f t="shared" ca="1" si="256"/>
        <v>0</v>
      </c>
      <c r="AR409" s="126">
        <f t="shared" ca="1" si="236"/>
        <v>10000</v>
      </c>
      <c r="AS409" s="750">
        <f t="shared" ca="1" si="237"/>
        <v>0</v>
      </c>
      <c r="AT409" s="750">
        <f t="shared" ca="1" si="238"/>
        <v>0</v>
      </c>
      <c r="AU409" s="126">
        <f t="shared" ca="1" si="257"/>
        <v>0</v>
      </c>
      <c r="AV409" s="126">
        <f t="shared" ca="1" si="258"/>
        <v>0</v>
      </c>
      <c r="AW409" s="126">
        <f t="shared" ca="1" si="239"/>
        <v>10000</v>
      </c>
      <c r="AX409" s="750">
        <f t="shared" ca="1" si="259"/>
        <v>0</v>
      </c>
      <c r="AY409" s="750">
        <f t="shared" ca="1" si="260"/>
        <v>0</v>
      </c>
      <c r="AZ409">
        <f t="shared" si="261"/>
        <v>5750</v>
      </c>
    </row>
    <row r="410" spans="4:52">
      <c r="D410">
        <v>403</v>
      </c>
      <c r="E410" s="6">
        <f t="shared" ca="1" si="240"/>
        <v>40513</v>
      </c>
      <c r="F410" s="7">
        <f t="shared" ca="1" si="241"/>
        <v>0</v>
      </c>
      <c r="G410" s="125">
        <f ca="1">IF('Simulador - 1º Pilar'!$E$99="Sí",IF('Aportaciones PPE'!$B$13&lt;'Aportaciones PPE'!E410,0,F410*$B$8/12),F410*$B$8/12)</f>
        <v>0</v>
      </c>
      <c r="H410" s="125">
        <f t="shared" ca="1" si="230"/>
        <v>0</v>
      </c>
      <c r="I410" s="125">
        <f t="shared" ca="1" si="242"/>
        <v>0</v>
      </c>
      <c r="J410" s="125">
        <f t="shared" ca="1" si="243"/>
        <v>0</v>
      </c>
      <c r="K410" s="125">
        <f t="shared" ca="1" si="244"/>
        <v>0</v>
      </c>
      <c r="L410" s="125">
        <f t="shared" ca="1" si="262"/>
        <v>0</v>
      </c>
      <c r="M410" s="125">
        <f t="shared" ca="1" si="245"/>
        <v>0</v>
      </c>
      <c r="N410" s="125">
        <f t="shared" ca="1" si="246"/>
        <v>0</v>
      </c>
      <c r="R410">
        <f t="shared" si="263"/>
        <v>403</v>
      </c>
      <c r="U410" s="55"/>
      <c r="V410">
        <f t="shared" si="264"/>
        <v>8</v>
      </c>
      <c r="W410">
        <f t="shared" ca="1" si="265"/>
        <v>2057</v>
      </c>
      <c r="X410" s="123">
        <f t="shared" ca="1" si="247"/>
        <v>57558</v>
      </c>
      <c r="Y410" s="64">
        <f t="shared" ca="1" si="248"/>
        <v>0</v>
      </c>
      <c r="Z410" s="64">
        <f t="shared" ca="1" si="249"/>
        <v>0</v>
      </c>
      <c r="AA410" s="64">
        <f t="shared" ca="1" si="250"/>
        <v>0</v>
      </c>
      <c r="AB410" s="64">
        <f t="shared" ca="1" si="251"/>
        <v>0</v>
      </c>
      <c r="AF410" t="str">
        <f t="shared" ca="1" si="231"/>
        <v>122010</v>
      </c>
      <c r="AG410" s="126">
        <f t="shared" ca="1" si="232"/>
        <v>0</v>
      </c>
      <c r="AH410" s="126">
        <f t="shared" ca="1" si="233"/>
        <v>0</v>
      </c>
      <c r="AI410" s="126">
        <f t="shared" ca="1" si="234"/>
        <v>0</v>
      </c>
      <c r="AJ410" t="str">
        <f t="shared" ca="1" si="235"/>
        <v>82057</v>
      </c>
      <c r="AK410" s="126">
        <f t="shared" ca="1" si="252"/>
        <v>0</v>
      </c>
      <c r="AL410" s="126">
        <f t="shared" ca="1" si="253"/>
        <v>0</v>
      </c>
      <c r="AM410" s="126">
        <f t="shared" ca="1" si="266"/>
        <v>0</v>
      </c>
      <c r="AN410" s="753">
        <f t="shared" ca="1" si="267"/>
        <v>0</v>
      </c>
      <c r="AO410" s="750">
        <f t="shared" ca="1" si="254"/>
        <v>0</v>
      </c>
      <c r="AP410" s="126">
        <f t="shared" ca="1" si="255"/>
        <v>0</v>
      </c>
      <c r="AQ410" s="126">
        <f t="shared" ca="1" si="256"/>
        <v>0</v>
      </c>
      <c r="AR410" s="126">
        <f t="shared" ca="1" si="236"/>
        <v>10000</v>
      </c>
      <c r="AS410" s="750">
        <f t="shared" ca="1" si="237"/>
        <v>0</v>
      </c>
      <c r="AT410" s="750">
        <f t="shared" ca="1" si="238"/>
        <v>0</v>
      </c>
      <c r="AU410" s="126">
        <f t="shared" ca="1" si="257"/>
        <v>0</v>
      </c>
      <c r="AV410" s="126">
        <f t="shared" ca="1" si="258"/>
        <v>0</v>
      </c>
      <c r="AW410" s="126">
        <f t="shared" ca="1" si="239"/>
        <v>10000</v>
      </c>
      <c r="AX410" s="750">
        <f t="shared" ca="1" si="259"/>
        <v>0</v>
      </c>
      <c r="AY410" s="750">
        <f t="shared" ca="1" si="260"/>
        <v>0</v>
      </c>
      <c r="AZ410">
        <f t="shared" si="261"/>
        <v>5750</v>
      </c>
    </row>
    <row r="411" spans="4:52">
      <c r="D411">
        <v>404</v>
      </c>
      <c r="E411" s="6">
        <f t="shared" ca="1" si="240"/>
        <v>40483</v>
      </c>
      <c r="F411" s="7">
        <f t="shared" ca="1" si="241"/>
        <v>0</v>
      </c>
      <c r="G411" s="125">
        <f ca="1">IF('Simulador - 1º Pilar'!$E$99="Sí",IF('Aportaciones PPE'!$B$13&lt;'Aportaciones PPE'!E411,0,F411*$B$8/12),F411*$B$8/12)</f>
        <v>0</v>
      </c>
      <c r="H411" s="125">
        <f t="shared" ca="1" si="230"/>
        <v>0</v>
      </c>
      <c r="I411" s="125">
        <f t="shared" ca="1" si="242"/>
        <v>0</v>
      </c>
      <c r="J411" s="125">
        <f t="shared" ca="1" si="243"/>
        <v>0</v>
      </c>
      <c r="K411" s="125">
        <f t="shared" ca="1" si="244"/>
        <v>0</v>
      </c>
      <c r="L411" s="125">
        <f t="shared" ca="1" si="262"/>
        <v>0</v>
      </c>
      <c r="M411" s="125">
        <f t="shared" ca="1" si="245"/>
        <v>0</v>
      </c>
      <c r="N411" s="125">
        <f t="shared" ca="1" si="246"/>
        <v>0</v>
      </c>
      <c r="R411">
        <f t="shared" si="263"/>
        <v>404</v>
      </c>
      <c r="U411" s="55"/>
      <c r="V411">
        <f t="shared" si="264"/>
        <v>9</v>
      </c>
      <c r="W411">
        <f t="shared" ca="1" si="265"/>
        <v>2057</v>
      </c>
      <c r="X411" s="123">
        <f t="shared" ca="1" si="247"/>
        <v>57589</v>
      </c>
      <c r="Y411" s="64">
        <f t="shared" ca="1" si="248"/>
        <v>0</v>
      </c>
      <c r="Z411" s="64">
        <f t="shared" ca="1" si="249"/>
        <v>0</v>
      </c>
      <c r="AA411" s="64">
        <f t="shared" ca="1" si="250"/>
        <v>0</v>
      </c>
      <c r="AB411" s="64">
        <f t="shared" ca="1" si="251"/>
        <v>0</v>
      </c>
      <c r="AF411" t="str">
        <f t="shared" ca="1" si="231"/>
        <v>112010</v>
      </c>
      <c r="AG411" s="126">
        <f t="shared" ca="1" si="232"/>
        <v>0</v>
      </c>
      <c r="AH411" s="126">
        <f t="shared" ca="1" si="233"/>
        <v>0</v>
      </c>
      <c r="AI411" s="126">
        <f t="shared" ca="1" si="234"/>
        <v>0</v>
      </c>
      <c r="AJ411" t="str">
        <f t="shared" ca="1" si="235"/>
        <v>92057</v>
      </c>
      <c r="AK411" s="126">
        <f t="shared" ca="1" si="252"/>
        <v>0</v>
      </c>
      <c r="AL411" s="126">
        <f t="shared" ca="1" si="253"/>
        <v>0</v>
      </c>
      <c r="AM411" s="126">
        <f t="shared" ca="1" si="266"/>
        <v>0</v>
      </c>
      <c r="AN411" s="753">
        <f t="shared" ca="1" si="267"/>
        <v>0</v>
      </c>
      <c r="AO411" s="750">
        <f t="shared" ca="1" si="254"/>
        <v>0</v>
      </c>
      <c r="AP411" s="126">
        <f t="shared" ca="1" si="255"/>
        <v>0</v>
      </c>
      <c r="AQ411" s="126">
        <f t="shared" ca="1" si="256"/>
        <v>0</v>
      </c>
      <c r="AR411" s="126">
        <f t="shared" ca="1" si="236"/>
        <v>10000</v>
      </c>
      <c r="AS411" s="750">
        <f t="shared" ca="1" si="237"/>
        <v>0</v>
      </c>
      <c r="AT411" s="750">
        <f t="shared" ca="1" si="238"/>
        <v>0</v>
      </c>
      <c r="AU411" s="126">
        <f t="shared" ca="1" si="257"/>
        <v>0</v>
      </c>
      <c r="AV411" s="126">
        <f t="shared" ca="1" si="258"/>
        <v>0</v>
      </c>
      <c r="AW411" s="126">
        <f t="shared" ca="1" si="239"/>
        <v>10000</v>
      </c>
      <c r="AX411" s="750">
        <f t="shared" ca="1" si="259"/>
        <v>0</v>
      </c>
      <c r="AY411" s="750">
        <f t="shared" ca="1" si="260"/>
        <v>0</v>
      </c>
      <c r="AZ411">
        <f t="shared" si="261"/>
        <v>5750</v>
      </c>
    </row>
    <row r="412" spans="4:52">
      <c r="D412">
        <v>405</v>
      </c>
      <c r="E412" s="6">
        <f t="shared" ca="1" si="240"/>
        <v>40452</v>
      </c>
      <c r="F412" s="7">
        <f t="shared" ca="1" si="241"/>
        <v>0</v>
      </c>
      <c r="G412" s="125">
        <f ca="1">IF('Simulador - 1º Pilar'!$E$99="Sí",IF('Aportaciones PPE'!$B$13&lt;'Aportaciones PPE'!E412,0,F412*$B$8/12),F412*$B$8/12)</f>
        <v>0</v>
      </c>
      <c r="H412" s="125">
        <f t="shared" ca="1" si="230"/>
        <v>0</v>
      </c>
      <c r="I412" s="125">
        <f t="shared" ca="1" si="242"/>
        <v>0</v>
      </c>
      <c r="J412" s="125">
        <f t="shared" ca="1" si="243"/>
        <v>0</v>
      </c>
      <c r="K412" s="125">
        <f t="shared" ca="1" si="244"/>
        <v>0</v>
      </c>
      <c r="L412" s="125">
        <f t="shared" ca="1" si="262"/>
        <v>0</v>
      </c>
      <c r="M412" s="125">
        <f t="shared" ca="1" si="245"/>
        <v>0</v>
      </c>
      <c r="N412" s="125">
        <f t="shared" ca="1" si="246"/>
        <v>0</v>
      </c>
      <c r="R412">
        <f t="shared" si="263"/>
        <v>405</v>
      </c>
      <c r="U412" s="55"/>
      <c r="V412">
        <f t="shared" si="264"/>
        <v>10</v>
      </c>
      <c r="W412">
        <f t="shared" ca="1" si="265"/>
        <v>2057</v>
      </c>
      <c r="X412" s="123">
        <f t="shared" ca="1" si="247"/>
        <v>57619</v>
      </c>
      <c r="Y412" s="64">
        <f t="shared" ca="1" si="248"/>
        <v>0</v>
      </c>
      <c r="Z412" s="64">
        <f t="shared" ca="1" si="249"/>
        <v>0</v>
      </c>
      <c r="AA412" s="64">
        <f t="shared" ca="1" si="250"/>
        <v>0</v>
      </c>
      <c r="AB412" s="64">
        <f t="shared" ca="1" si="251"/>
        <v>0</v>
      </c>
      <c r="AF412" t="str">
        <f t="shared" ca="1" si="231"/>
        <v>102010</v>
      </c>
      <c r="AG412" s="126">
        <f t="shared" ca="1" si="232"/>
        <v>0</v>
      </c>
      <c r="AH412" s="126">
        <f t="shared" ca="1" si="233"/>
        <v>0</v>
      </c>
      <c r="AI412" s="126">
        <f t="shared" ca="1" si="234"/>
        <v>0</v>
      </c>
      <c r="AJ412" t="str">
        <f t="shared" ca="1" si="235"/>
        <v>102057</v>
      </c>
      <c r="AK412" s="126">
        <f t="shared" ca="1" si="252"/>
        <v>0</v>
      </c>
      <c r="AL412" s="126">
        <f t="shared" ca="1" si="253"/>
        <v>0</v>
      </c>
      <c r="AM412" s="126">
        <f t="shared" ca="1" si="266"/>
        <v>0</v>
      </c>
      <c r="AN412" s="753">
        <f t="shared" ca="1" si="267"/>
        <v>0</v>
      </c>
      <c r="AO412" s="750">
        <f t="shared" ca="1" si="254"/>
        <v>0</v>
      </c>
      <c r="AP412" s="126">
        <f t="shared" ca="1" si="255"/>
        <v>0</v>
      </c>
      <c r="AQ412" s="126">
        <f t="shared" ca="1" si="256"/>
        <v>0</v>
      </c>
      <c r="AR412" s="126">
        <f t="shared" ca="1" si="236"/>
        <v>10000</v>
      </c>
      <c r="AS412" s="750">
        <f t="shared" ca="1" si="237"/>
        <v>0</v>
      </c>
      <c r="AT412" s="750">
        <f t="shared" ca="1" si="238"/>
        <v>0</v>
      </c>
      <c r="AU412" s="126">
        <f t="shared" ca="1" si="257"/>
        <v>0</v>
      </c>
      <c r="AV412" s="126">
        <f t="shared" ca="1" si="258"/>
        <v>0</v>
      </c>
      <c r="AW412" s="126">
        <f t="shared" ca="1" si="239"/>
        <v>10000</v>
      </c>
      <c r="AX412" s="750">
        <f t="shared" ca="1" si="259"/>
        <v>0</v>
      </c>
      <c r="AY412" s="750">
        <f t="shared" ca="1" si="260"/>
        <v>0</v>
      </c>
      <c r="AZ412">
        <f t="shared" si="261"/>
        <v>5750</v>
      </c>
    </row>
    <row r="413" spans="4:52">
      <c r="D413">
        <v>406</v>
      </c>
      <c r="E413" s="6">
        <f t="shared" ca="1" si="240"/>
        <v>40422</v>
      </c>
      <c r="F413" s="7">
        <f t="shared" ca="1" si="241"/>
        <v>0</v>
      </c>
      <c r="G413" s="125">
        <f ca="1">IF('Simulador - 1º Pilar'!$E$99="Sí",IF('Aportaciones PPE'!$B$13&lt;'Aportaciones PPE'!E413,0,F413*$B$8/12),F413*$B$8/12)</f>
        <v>0</v>
      </c>
      <c r="H413" s="125">
        <f t="shared" ca="1" si="230"/>
        <v>0</v>
      </c>
      <c r="I413" s="125">
        <f t="shared" ca="1" si="242"/>
        <v>0</v>
      </c>
      <c r="J413" s="125">
        <f t="shared" ca="1" si="243"/>
        <v>0</v>
      </c>
      <c r="K413" s="125">
        <f t="shared" ca="1" si="244"/>
        <v>0</v>
      </c>
      <c r="L413" s="125">
        <f t="shared" ca="1" si="262"/>
        <v>0</v>
      </c>
      <c r="M413" s="125">
        <f t="shared" ca="1" si="245"/>
        <v>0</v>
      </c>
      <c r="N413" s="125">
        <f t="shared" ca="1" si="246"/>
        <v>0</v>
      </c>
      <c r="R413">
        <f t="shared" si="263"/>
        <v>406</v>
      </c>
      <c r="U413" s="55"/>
      <c r="V413">
        <f t="shared" si="264"/>
        <v>11</v>
      </c>
      <c r="W413">
        <f t="shared" ca="1" si="265"/>
        <v>2057</v>
      </c>
      <c r="X413" s="123">
        <f t="shared" ca="1" si="247"/>
        <v>57650</v>
      </c>
      <c r="Y413" s="64">
        <f t="shared" ca="1" si="248"/>
        <v>0</v>
      </c>
      <c r="Z413" s="64">
        <f t="shared" ca="1" si="249"/>
        <v>0</v>
      </c>
      <c r="AA413" s="64">
        <f t="shared" ca="1" si="250"/>
        <v>0</v>
      </c>
      <c r="AB413" s="64">
        <f t="shared" ca="1" si="251"/>
        <v>0</v>
      </c>
      <c r="AF413" t="str">
        <f t="shared" ca="1" si="231"/>
        <v>92010</v>
      </c>
      <c r="AG413" s="126">
        <f t="shared" ca="1" si="232"/>
        <v>0</v>
      </c>
      <c r="AH413" s="126">
        <f t="shared" ca="1" si="233"/>
        <v>0</v>
      </c>
      <c r="AI413" s="126">
        <f t="shared" ca="1" si="234"/>
        <v>0</v>
      </c>
      <c r="AJ413" t="str">
        <f t="shared" ca="1" si="235"/>
        <v>112057</v>
      </c>
      <c r="AK413" s="126">
        <f t="shared" ca="1" si="252"/>
        <v>0</v>
      </c>
      <c r="AL413" s="126">
        <f t="shared" ca="1" si="253"/>
        <v>0</v>
      </c>
      <c r="AM413" s="126">
        <f t="shared" ca="1" si="266"/>
        <v>0</v>
      </c>
      <c r="AN413" s="753">
        <f t="shared" ca="1" si="267"/>
        <v>0</v>
      </c>
      <c r="AO413" s="750">
        <f t="shared" ca="1" si="254"/>
        <v>0</v>
      </c>
      <c r="AP413" s="126">
        <f t="shared" ca="1" si="255"/>
        <v>0</v>
      </c>
      <c r="AQ413" s="126">
        <f t="shared" ca="1" si="256"/>
        <v>0</v>
      </c>
      <c r="AR413" s="126">
        <f t="shared" ca="1" si="236"/>
        <v>10000</v>
      </c>
      <c r="AS413" s="750">
        <f t="shared" ca="1" si="237"/>
        <v>0</v>
      </c>
      <c r="AT413" s="750">
        <f t="shared" ca="1" si="238"/>
        <v>0</v>
      </c>
      <c r="AU413" s="126">
        <f t="shared" ca="1" si="257"/>
        <v>0</v>
      </c>
      <c r="AV413" s="126">
        <f t="shared" ca="1" si="258"/>
        <v>0</v>
      </c>
      <c r="AW413" s="126">
        <f t="shared" ca="1" si="239"/>
        <v>10000</v>
      </c>
      <c r="AX413" s="750">
        <f t="shared" ca="1" si="259"/>
        <v>0</v>
      </c>
      <c r="AY413" s="750">
        <f t="shared" ca="1" si="260"/>
        <v>0</v>
      </c>
      <c r="AZ413">
        <f t="shared" si="261"/>
        <v>5750</v>
      </c>
    </row>
    <row r="414" spans="4:52">
      <c r="D414">
        <v>407</v>
      </c>
      <c r="E414" s="6">
        <f t="shared" ca="1" si="240"/>
        <v>40391</v>
      </c>
      <c r="F414" s="7">
        <f t="shared" ca="1" si="241"/>
        <v>0</v>
      </c>
      <c r="G414" s="125">
        <f ca="1">IF('Simulador - 1º Pilar'!$E$99="Sí",IF('Aportaciones PPE'!$B$13&lt;'Aportaciones PPE'!E414,0,F414*$B$8/12),F414*$B$8/12)</f>
        <v>0</v>
      </c>
      <c r="H414" s="125">
        <f t="shared" ca="1" si="230"/>
        <v>0</v>
      </c>
      <c r="I414" s="125">
        <f t="shared" ca="1" si="242"/>
        <v>0</v>
      </c>
      <c r="J414" s="125">
        <f t="shared" ca="1" si="243"/>
        <v>0</v>
      </c>
      <c r="K414" s="125">
        <f t="shared" ca="1" si="244"/>
        <v>0</v>
      </c>
      <c r="L414" s="125">
        <f t="shared" ca="1" si="262"/>
        <v>0</v>
      </c>
      <c r="M414" s="125">
        <f t="shared" ca="1" si="245"/>
        <v>0</v>
      </c>
      <c r="N414" s="125">
        <f t="shared" ca="1" si="246"/>
        <v>0</v>
      </c>
      <c r="R414">
        <f t="shared" si="263"/>
        <v>407</v>
      </c>
      <c r="U414" s="55"/>
      <c r="V414">
        <f t="shared" si="264"/>
        <v>12</v>
      </c>
      <c r="W414">
        <f t="shared" ca="1" si="265"/>
        <v>2057</v>
      </c>
      <c r="X414" s="123">
        <f t="shared" ca="1" si="247"/>
        <v>57680</v>
      </c>
      <c r="Y414" s="64">
        <f t="shared" ca="1" si="248"/>
        <v>0</v>
      </c>
      <c r="Z414" s="64">
        <f t="shared" ca="1" si="249"/>
        <v>0</v>
      </c>
      <c r="AA414" s="64">
        <f t="shared" ca="1" si="250"/>
        <v>0</v>
      </c>
      <c r="AB414" s="64">
        <f t="shared" ca="1" si="251"/>
        <v>0</v>
      </c>
      <c r="AF414" t="str">
        <f t="shared" ca="1" si="231"/>
        <v>82010</v>
      </c>
      <c r="AG414" s="126">
        <f t="shared" ca="1" si="232"/>
        <v>0</v>
      </c>
      <c r="AH414" s="126">
        <f t="shared" ca="1" si="233"/>
        <v>0</v>
      </c>
      <c r="AI414" s="126">
        <f t="shared" ca="1" si="234"/>
        <v>0</v>
      </c>
      <c r="AJ414" t="str">
        <f t="shared" ca="1" si="235"/>
        <v>122057</v>
      </c>
      <c r="AK414" s="126">
        <f t="shared" ca="1" si="252"/>
        <v>0</v>
      </c>
      <c r="AL414" s="126">
        <f t="shared" ca="1" si="253"/>
        <v>0</v>
      </c>
      <c r="AM414" s="126">
        <f t="shared" ca="1" si="266"/>
        <v>0</v>
      </c>
      <c r="AN414" s="753">
        <f t="shared" ca="1" si="267"/>
        <v>0</v>
      </c>
      <c r="AO414" s="750">
        <f t="shared" ca="1" si="254"/>
        <v>0</v>
      </c>
      <c r="AP414" s="126">
        <f t="shared" ca="1" si="255"/>
        <v>0</v>
      </c>
      <c r="AQ414" s="126">
        <f t="shared" ca="1" si="256"/>
        <v>0</v>
      </c>
      <c r="AR414" s="126">
        <f t="shared" ca="1" si="236"/>
        <v>10000</v>
      </c>
      <c r="AS414" s="750">
        <f t="shared" ca="1" si="237"/>
        <v>0</v>
      </c>
      <c r="AT414" s="750">
        <f t="shared" ca="1" si="238"/>
        <v>0</v>
      </c>
      <c r="AU414" s="126">
        <f t="shared" ca="1" si="257"/>
        <v>0</v>
      </c>
      <c r="AV414" s="126">
        <f t="shared" ca="1" si="258"/>
        <v>0</v>
      </c>
      <c r="AW414" s="126">
        <f t="shared" ca="1" si="239"/>
        <v>10000</v>
      </c>
      <c r="AX414" s="750">
        <f t="shared" ca="1" si="259"/>
        <v>0</v>
      </c>
      <c r="AY414" s="750">
        <f t="shared" ca="1" si="260"/>
        <v>0</v>
      </c>
      <c r="AZ414">
        <f t="shared" si="261"/>
        <v>5750</v>
      </c>
    </row>
    <row r="415" spans="4:52">
      <c r="D415">
        <v>408</v>
      </c>
      <c r="E415" s="6">
        <f t="shared" ca="1" si="240"/>
        <v>40360</v>
      </c>
      <c r="F415" s="7">
        <f t="shared" ca="1" si="241"/>
        <v>0</v>
      </c>
      <c r="G415" s="125">
        <f ca="1">IF('Simulador - 1º Pilar'!$E$99="Sí",IF('Aportaciones PPE'!$B$13&lt;'Aportaciones PPE'!E415,0,F415*$B$8/12),F415*$B$8/12)</f>
        <v>0</v>
      </c>
      <c r="H415" s="125">
        <f t="shared" ca="1" si="230"/>
        <v>0</v>
      </c>
      <c r="I415" s="125">
        <f t="shared" ca="1" si="242"/>
        <v>0</v>
      </c>
      <c r="J415" s="125">
        <f t="shared" ca="1" si="243"/>
        <v>0</v>
      </c>
      <c r="K415" s="125">
        <f t="shared" ca="1" si="244"/>
        <v>0</v>
      </c>
      <c r="L415" s="125">
        <f t="shared" ca="1" si="262"/>
        <v>0</v>
      </c>
      <c r="M415" s="125">
        <f t="shared" ca="1" si="245"/>
        <v>0</v>
      </c>
      <c r="N415" s="125">
        <f t="shared" ca="1" si="246"/>
        <v>0</v>
      </c>
      <c r="R415">
        <f t="shared" si="263"/>
        <v>408</v>
      </c>
      <c r="U415" s="55"/>
      <c r="V415">
        <f t="shared" si="264"/>
        <v>1</v>
      </c>
      <c r="W415">
        <f t="shared" ca="1" si="265"/>
        <v>2058</v>
      </c>
      <c r="X415" s="123">
        <f t="shared" ca="1" si="247"/>
        <v>57711</v>
      </c>
      <c r="Y415" s="64">
        <f t="shared" ca="1" si="248"/>
        <v>0</v>
      </c>
      <c r="Z415" s="64">
        <f t="shared" ca="1" si="249"/>
        <v>0</v>
      </c>
      <c r="AA415" s="64">
        <f t="shared" ca="1" si="250"/>
        <v>0</v>
      </c>
      <c r="AB415" s="64">
        <f t="shared" ca="1" si="251"/>
        <v>0</v>
      </c>
      <c r="AF415" t="str">
        <f t="shared" ca="1" si="231"/>
        <v>72010</v>
      </c>
      <c r="AG415" s="126">
        <f t="shared" ca="1" si="232"/>
        <v>0</v>
      </c>
      <c r="AH415" s="126">
        <f t="shared" ca="1" si="233"/>
        <v>0</v>
      </c>
      <c r="AI415" s="126">
        <f t="shared" ca="1" si="234"/>
        <v>0</v>
      </c>
      <c r="AJ415" t="str">
        <f t="shared" ca="1" si="235"/>
        <v>12058</v>
      </c>
      <c r="AK415" s="126">
        <f t="shared" ca="1" si="252"/>
        <v>0</v>
      </c>
      <c r="AL415" s="126">
        <f t="shared" ca="1" si="253"/>
        <v>0</v>
      </c>
      <c r="AM415" s="126">
        <f t="shared" ca="1" si="266"/>
        <v>0</v>
      </c>
      <c r="AN415" s="753">
        <f t="shared" ca="1" si="267"/>
        <v>0</v>
      </c>
      <c r="AO415" s="750">
        <f t="shared" ca="1" si="254"/>
        <v>0</v>
      </c>
      <c r="AP415" s="126">
        <f t="shared" ca="1" si="255"/>
        <v>0</v>
      </c>
      <c r="AQ415" s="126">
        <f t="shared" ca="1" si="256"/>
        <v>0</v>
      </c>
      <c r="AR415" s="126">
        <f t="shared" ca="1" si="236"/>
        <v>10000</v>
      </c>
      <c r="AS415" s="750">
        <f t="shared" ca="1" si="237"/>
        <v>0</v>
      </c>
      <c r="AT415" s="750">
        <f t="shared" ca="1" si="238"/>
        <v>0</v>
      </c>
      <c r="AU415" s="126">
        <f t="shared" ca="1" si="257"/>
        <v>0</v>
      </c>
      <c r="AV415" s="126">
        <f t="shared" ca="1" si="258"/>
        <v>0</v>
      </c>
      <c r="AW415" s="126">
        <f t="shared" ca="1" si="239"/>
        <v>10000</v>
      </c>
      <c r="AX415" s="750">
        <f t="shared" ca="1" si="259"/>
        <v>0</v>
      </c>
      <c r="AY415" s="750">
        <f t="shared" ca="1" si="260"/>
        <v>0</v>
      </c>
      <c r="AZ415">
        <f t="shared" si="261"/>
        <v>5750</v>
      </c>
    </row>
    <row r="416" spans="4:52">
      <c r="D416">
        <v>409</v>
      </c>
      <c r="E416" s="6">
        <f t="shared" ca="1" si="240"/>
        <v>40330</v>
      </c>
      <c r="F416" s="7">
        <f t="shared" ca="1" si="241"/>
        <v>0</v>
      </c>
      <c r="G416" s="125">
        <f ca="1">IF('Simulador - 1º Pilar'!$E$99="Sí",IF('Aportaciones PPE'!$B$13&lt;'Aportaciones PPE'!E416,0,F416*$B$8/12),F416*$B$8/12)</f>
        <v>0</v>
      </c>
      <c r="H416" s="125">
        <f t="shared" ca="1" si="230"/>
        <v>0</v>
      </c>
      <c r="I416" s="125">
        <f t="shared" ca="1" si="242"/>
        <v>0</v>
      </c>
      <c r="J416" s="125">
        <f t="shared" ca="1" si="243"/>
        <v>0</v>
      </c>
      <c r="K416" s="125">
        <f t="shared" ca="1" si="244"/>
        <v>0</v>
      </c>
      <c r="L416" s="125">
        <f t="shared" ca="1" si="262"/>
        <v>0</v>
      </c>
      <c r="M416" s="125">
        <f t="shared" ca="1" si="245"/>
        <v>0</v>
      </c>
      <c r="N416" s="125">
        <f t="shared" ca="1" si="246"/>
        <v>0</v>
      </c>
      <c r="R416">
        <f t="shared" si="263"/>
        <v>409</v>
      </c>
      <c r="U416" s="55"/>
      <c r="V416">
        <f t="shared" si="264"/>
        <v>2</v>
      </c>
      <c r="W416">
        <f t="shared" ca="1" si="265"/>
        <v>2058</v>
      </c>
      <c r="X416" s="123">
        <f t="shared" ca="1" si="247"/>
        <v>57742</v>
      </c>
      <c r="Y416" s="64">
        <f t="shared" ca="1" si="248"/>
        <v>0</v>
      </c>
      <c r="Z416" s="64">
        <f t="shared" ca="1" si="249"/>
        <v>0</v>
      </c>
      <c r="AA416" s="64">
        <f t="shared" ca="1" si="250"/>
        <v>0</v>
      </c>
      <c r="AB416" s="64">
        <f t="shared" ca="1" si="251"/>
        <v>0</v>
      </c>
      <c r="AF416" t="str">
        <f t="shared" ca="1" si="231"/>
        <v>62010</v>
      </c>
      <c r="AG416" s="126">
        <f t="shared" ca="1" si="232"/>
        <v>0</v>
      </c>
      <c r="AH416" s="126">
        <f t="shared" ca="1" si="233"/>
        <v>0</v>
      </c>
      <c r="AI416" s="126">
        <f t="shared" ca="1" si="234"/>
        <v>0</v>
      </c>
      <c r="AJ416" t="str">
        <f t="shared" ca="1" si="235"/>
        <v>22058</v>
      </c>
      <c r="AK416" s="126">
        <f t="shared" ca="1" si="252"/>
        <v>0</v>
      </c>
      <c r="AL416" s="126">
        <f t="shared" ca="1" si="253"/>
        <v>0</v>
      </c>
      <c r="AM416" s="126">
        <f t="shared" ca="1" si="266"/>
        <v>0</v>
      </c>
      <c r="AN416" s="753">
        <f t="shared" ca="1" si="267"/>
        <v>0</v>
      </c>
      <c r="AO416" s="750">
        <f t="shared" ca="1" si="254"/>
        <v>0</v>
      </c>
      <c r="AP416" s="126">
        <f t="shared" ca="1" si="255"/>
        <v>0</v>
      </c>
      <c r="AQ416" s="126">
        <f t="shared" ca="1" si="256"/>
        <v>0</v>
      </c>
      <c r="AR416" s="126">
        <f t="shared" ca="1" si="236"/>
        <v>10000</v>
      </c>
      <c r="AS416" s="750">
        <f t="shared" ca="1" si="237"/>
        <v>0</v>
      </c>
      <c r="AT416" s="750">
        <f t="shared" ca="1" si="238"/>
        <v>0</v>
      </c>
      <c r="AU416" s="126">
        <f t="shared" ca="1" si="257"/>
        <v>0</v>
      </c>
      <c r="AV416" s="126">
        <f t="shared" ca="1" si="258"/>
        <v>0</v>
      </c>
      <c r="AW416" s="126">
        <f t="shared" ca="1" si="239"/>
        <v>10000</v>
      </c>
      <c r="AX416" s="750">
        <f t="shared" ca="1" si="259"/>
        <v>0</v>
      </c>
      <c r="AY416" s="750">
        <f t="shared" ca="1" si="260"/>
        <v>0</v>
      </c>
      <c r="AZ416">
        <f t="shared" si="261"/>
        <v>5750</v>
      </c>
    </row>
    <row r="417" spans="4:52">
      <c r="D417">
        <v>410</v>
      </c>
      <c r="E417" s="6">
        <f t="shared" ca="1" si="240"/>
        <v>40299</v>
      </c>
      <c r="F417" s="7">
        <f t="shared" ca="1" si="241"/>
        <v>0</v>
      </c>
      <c r="G417" s="125">
        <f ca="1">IF('Simulador - 1º Pilar'!$E$99="Sí",IF('Aportaciones PPE'!$B$13&lt;'Aportaciones PPE'!E417,0,F417*$B$8/12),F417*$B$8/12)</f>
        <v>0</v>
      </c>
      <c r="H417" s="125">
        <f t="shared" ca="1" si="230"/>
        <v>0</v>
      </c>
      <c r="I417" s="125">
        <f t="shared" ca="1" si="242"/>
        <v>0</v>
      </c>
      <c r="J417" s="125">
        <f t="shared" ca="1" si="243"/>
        <v>0</v>
      </c>
      <c r="K417" s="125">
        <f t="shared" ca="1" si="244"/>
        <v>0</v>
      </c>
      <c r="L417" s="125">
        <f t="shared" ca="1" si="262"/>
        <v>0</v>
      </c>
      <c r="M417" s="125">
        <f t="shared" ca="1" si="245"/>
        <v>0</v>
      </c>
      <c r="N417" s="125">
        <f t="shared" ca="1" si="246"/>
        <v>0</v>
      </c>
      <c r="R417">
        <f t="shared" si="263"/>
        <v>410</v>
      </c>
      <c r="U417" s="55"/>
      <c r="V417">
        <f t="shared" si="264"/>
        <v>3</v>
      </c>
      <c r="W417">
        <f t="shared" ca="1" si="265"/>
        <v>2058</v>
      </c>
      <c r="X417" s="123">
        <f t="shared" ca="1" si="247"/>
        <v>57770</v>
      </c>
      <c r="Y417" s="64">
        <f t="shared" ca="1" si="248"/>
        <v>0</v>
      </c>
      <c r="Z417" s="64">
        <f t="shared" ca="1" si="249"/>
        <v>0</v>
      </c>
      <c r="AA417" s="64">
        <f t="shared" ca="1" si="250"/>
        <v>0</v>
      </c>
      <c r="AB417" s="64">
        <f t="shared" ca="1" si="251"/>
        <v>0</v>
      </c>
      <c r="AF417" t="str">
        <f t="shared" ca="1" si="231"/>
        <v>52010</v>
      </c>
      <c r="AG417" s="126">
        <f t="shared" ca="1" si="232"/>
        <v>0</v>
      </c>
      <c r="AH417" s="126">
        <f t="shared" ca="1" si="233"/>
        <v>0</v>
      </c>
      <c r="AI417" s="126">
        <f t="shared" ca="1" si="234"/>
        <v>0</v>
      </c>
      <c r="AJ417" t="str">
        <f t="shared" ca="1" si="235"/>
        <v>32058</v>
      </c>
      <c r="AK417" s="126">
        <f t="shared" ca="1" si="252"/>
        <v>0</v>
      </c>
      <c r="AL417" s="126">
        <f t="shared" ca="1" si="253"/>
        <v>0</v>
      </c>
      <c r="AM417" s="126">
        <f t="shared" ca="1" si="266"/>
        <v>0</v>
      </c>
      <c r="AN417" s="753">
        <f t="shared" ca="1" si="267"/>
        <v>0</v>
      </c>
      <c r="AO417" s="750">
        <f t="shared" ca="1" si="254"/>
        <v>0</v>
      </c>
      <c r="AP417" s="126">
        <f t="shared" ca="1" si="255"/>
        <v>0</v>
      </c>
      <c r="AQ417" s="126">
        <f t="shared" ca="1" si="256"/>
        <v>0</v>
      </c>
      <c r="AR417" s="126">
        <f t="shared" ca="1" si="236"/>
        <v>10000</v>
      </c>
      <c r="AS417" s="750">
        <f t="shared" ca="1" si="237"/>
        <v>0</v>
      </c>
      <c r="AT417" s="750">
        <f t="shared" ca="1" si="238"/>
        <v>0</v>
      </c>
      <c r="AU417" s="126">
        <f t="shared" ca="1" si="257"/>
        <v>0</v>
      </c>
      <c r="AV417" s="126">
        <f t="shared" ca="1" si="258"/>
        <v>0</v>
      </c>
      <c r="AW417" s="126">
        <f t="shared" ca="1" si="239"/>
        <v>10000</v>
      </c>
      <c r="AX417" s="750">
        <f t="shared" ca="1" si="259"/>
        <v>0</v>
      </c>
      <c r="AY417" s="750">
        <f t="shared" ca="1" si="260"/>
        <v>0</v>
      </c>
      <c r="AZ417">
        <f t="shared" si="261"/>
        <v>5750</v>
      </c>
    </row>
    <row r="418" spans="4:52">
      <c r="D418">
        <v>411</v>
      </c>
      <c r="E418" s="6">
        <f t="shared" ca="1" si="240"/>
        <v>40269</v>
      </c>
      <c r="F418" s="7">
        <f t="shared" ca="1" si="241"/>
        <v>0</v>
      </c>
      <c r="G418" s="125">
        <f ca="1">IF('Simulador - 1º Pilar'!$E$99="Sí",IF('Aportaciones PPE'!$B$13&lt;'Aportaciones PPE'!E418,0,F418*$B$8/12),F418*$B$8/12)</f>
        <v>0</v>
      </c>
      <c r="H418" s="125">
        <f t="shared" ca="1" si="230"/>
        <v>0</v>
      </c>
      <c r="I418" s="125">
        <f t="shared" ca="1" si="242"/>
        <v>0</v>
      </c>
      <c r="J418" s="125">
        <f t="shared" ca="1" si="243"/>
        <v>0</v>
      </c>
      <c r="K418" s="125">
        <f t="shared" ca="1" si="244"/>
        <v>0</v>
      </c>
      <c r="L418" s="125">
        <f t="shared" ca="1" si="262"/>
        <v>0</v>
      </c>
      <c r="M418" s="125">
        <f t="shared" ca="1" si="245"/>
        <v>0</v>
      </c>
      <c r="N418" s="125">
        <f t="shared" ca="1" si="246"/>
        <v>0</v>
      </c>
      <c r="R418">
        <f t="shared" si="263"/>
        <v>411</v>
      </c>
      <c r="U418" s="55"/>
      <c r="V418">
        <f t="shared" si="264"/>
        <v>4</v>
      </c>
      <c r="W418">
        <f t="shared" ca="1" si="265"/>
        <v>2058</v>
      </c>
      <c r="X418" s="123">
        <f t="shared" ca="1" si="247"/>
        <v>57801</v>
      </c>
      <c r="Y418" s="64">
        <f t="shared" ca="1" si="248"/>
        <v>0</v>
      </c>
      <c r="Z418" s="64">
        <f t="shared" ca="1" si="249"/>
        <v>0</v>
      </c>
      <c r="AA418" s="64">
        <f t="shared" ca="1" si="250"/>
        <v>0</v>
      </c>
      <c r="AB418" s="64">
        <f t="shared" ca="1" si="251"/>
        <v>0</v>
      </c>
      <c r="AF418" t="str">
        <f t="shared" ca="1" si="231"/>
        <v>42010</v>
      </c>
      <c r="AG418" s="126">
        <f t="shared" ca="1" si="232"/>
        <v>0</v>
      </c>
      <c r="AH418" s="126">
        <f t="shared" ca="1" si="233"/>
        <v>0</v>
      </c>
      <c r="AI418" s="126">
        <f t="shared" ca="1" si="234"/>
        <v>0</v>
      </c>
      <c r="AJ418" t="str">
        <f t="shared" ca="1" si="235"/>
        <v>42058</v>
      </c>
      <c r="AK418" s="126">
        <f t="shared" ca="1" si="252"/>
        <v>0</v>
      </c>
      <c r="AL418" s="126">
        <f t="shared" ca="1" si="253"/>
        <v>0</v>
      </c>
      <c r="AM418" s="126">
        <f t="shared" ca="1" si="266"/>
        <v>0</v>
      </c>
      <c r="AN418" s="753">
        <f t="shared" ca="1" si="267"/>
        <v>0</v>
      </c>
      <c r="AO418" s="750">
        <f t="shared" ca="1" si="254"/>
        <v>0</v>
      </c>
      <c r="AP418" s="126">
        <f t="shared" ca="1" si="255"/>
        <v>0</v>
      </c>
      <c r="AQ418" s="126">
        <f t="shared" ca="1" si="256"/>
        <v>0</v>
      </c>
      <c r="AR418" s="126">
        <f t="shared" ca="1" si="236"/>
        <v>10000</v>
      </c>
      <c r="AS418" s="750">
        <f t="shared" ca="1" si="237"/>
        <v>0</v>
      </c>
      <c r="AT418" s="750">
        <f t="shared" ca="1" si="238"/>
        <v>0</v>
      </c>
      <c r="AU418" s="126">
        <f t="shared" ca="1" si="257"/>
        <v>0</v>
      </c>
      <c r="AV418" s="126">
        <f t="shared" ca="1" si="258"/>
        <v>0</v>
      </c>
      <c r="AW418" s="126">
        <f t="shared" ca="1" si="239"/>
        <v>10000</v>
      </c>
      <c r="AX418" s="750">
        <f t="shared" ca="1" si="259"/>
        <v>0</v>
      </c>
      <c r="AY418" s="750">
        <f t="shared" ca="1" si="260"/>
        <v>0</v>
      </c>
      <c r="AZ418">
        <f t="shared" si="261"/>
        <v>5750</v>
      </c>
    </row>
    <row r="419" spans="4:52">
      <c r="D419">
        <v>412</v>
      </c>
      <c r="E419" s="6">
        <f t="shared" ca="1" si="240"/>
        <v>40238</v>
      </c>
      <c r="F419" s="7">
        <f t="shared" ca="1" si="241"/>
        <v>0</v>
      </c>
      <c r="G419" s="125">
        <f ca="1">IF('Simulador - 1º Pilar'!$E$99="Sí",IF('Aportaciones PPE'!$B$13&lt;'Aportaciones PPE'!E419,0,F419*$B$8/12),F419*$B$8/12)</f>
        <v>0</v>
      </c>
      <c r="H419" s="125">
        <f t="shared" ca="1" si="230"/>
        <v>0</v>
      </c>
      <c r="I419" s="125">
        <f t="shared" ca="1" si="242"/>
        <v>0</v>
      </c>
      <c r="J419" s="125">
        <f t="shared" ca="1" si="243"/>
        <v>0</v>
      </c>
      <c r="K419" s="125">
        <f t="shared" ca="1" si="244"/>
        <v>0</v>
      </c>
      <c r="L419" s="125">
        <f t="shared" ca="1" si="262"/>
        <v>0</v>
      </c>
      <c r="M419" s="125">
        <f t="shared" ca="1" si="245"/>
        <v>0</v>
      </c>
      <c r="N419" s="125">
        <f t="shared" ca="1" si="246"/>
        <v>0</v>
      </c>
      <c r="R419">
        <f t="shared" si="263"/>
        <v>412</v>
      </c>
      <c r="U419" s="55"/>
      <c r="V419">
        <f t="shared" si="264"/>
        <v>5</v>
      </c>
      <c r="W419">
        <f t="shared" ca="1" si="265"/>
        <v>2058</v>
      </c>
      <c r="X419" s="123">
        <f t="shared" ca="1" si="247"/>
        <v>57831</v>
      </c>
      <c r="Y419" s="64">
        <f t="shared" ca="1" si="248"/>
        <v>0</v>
      </c>
      <c r="Z419" s="64">
        <f t="shared" ca="1" si="249"/>
        <v>0</v>
      </c>
      <c r="AA419" s="64">
        <f t="shared" ca="1" si="250"/>
        <v>0</v>
      </c>
      <c r="AB419" s="64">
        <f t="shared" ca="1" si="251"/>
        <v>0</v>
      </c>
      <c r="AF419" t="str">
        <f t="shared" ca="1" si="231"/>
        <v>32010</v>
      </c>
      <c r="AG419" s="126">
        <f t="shared" ca="1" si="232"/>
        <v>0</v>
      </c>
      <c r="AH419" s="126">
        <f t="shared" ca="1" si="233"/>
        <v>0</v>
      </c>
      <c r="AI419" s="126">
        <f t="shared" ca="1" si="234"/>
        <v>0</v>
      </c>
      <c r="AJ419" t="str">
        <f t="shared" ca="1" si="235"/>
        <v>52058</v>
      </c>
      <c r="AK419" s="126">
        <f t="shared" ca="1" si="252"/>
        <v>0</v>
      </c>
      <c r="AL419" s="126">
        <f t="shared" ca="1" si="253"/>
        <v>0</v>
      </c>
      <c r="AM419" s="126">
        <f t="shared" ca="1" si="266"/>
        <v>0</v>
      </c>
      <c r="AN419" s="753">
        <f t="shared" ca="1" si="267"/>
        <v>0</v>
      </c>
      <c r="AO419" s="750">
        <f t="shared" ca="1" si="254"/>
        <v>0</v>
      </c>
      <c r="AP419" s="126">
        <f t="shared" ca="1" si="255"/>
        <v>0</v>
      </c>
      <c r="AQ419" s="126">
        <f t="shared" ca="1" si="256"/>
        <v>0</v>
      </c>
      <c r="AR419" s="126">
        <f t="shared" ca="1" si="236"/>
        <v>10000</v>
      </c>
      <c r="AS419" s="750">
        <f t="shared" ca="1" si="237"/>
        <v>0</v>
      </c>
      <c r="AT419" s="750">
        <f t="shared" ca="1" si="238"/>
        <v>0</v>
      </c>
      <c r="AU419" s="126">
        <f t="shared" ca="1" si="257"/>
        <v>0</v>
      </c>
      <c r="AV419" s="126">
        <f t="shared" ca="1" si="258"/>
        <v>0</v>
      </c>
      <c r="AW419" s="126">
        <f t="shared" ca="1" si="239"/>
        <v>10000</v>
      </c>
      <c r="AX419" s="750">
        <f t="shared" ca="1" si="259"/>
        <v>0</v>
      </c>
      <c r="AY419" s="750">
        <f t="shared" ca="1" si="260"/>
        <v>0</v>
      </c>
      <c r="AZ419">
        <f t="shared" si="261"/>
        <v>5750</v>
      </c>
    </row>
    <row r="420" spans="4:52">
      <c r="D420">
        <v>413</v>
      </c>
      <c r="E420" s="6">
        <f t="shared" ca="1" si="240"/>
        <v>40210</v>
      </c>
      <c r="F420" s="7">
        <f t="shared" ca="1" si="241"/>
        <v>0</v>
      </c>
      <c r="G420" s="125">
        <f ca="1">IF('Simulador - 1º Pilar'!$E$99="Sí",IF('Aportaciones PPE'!$B$13&lt;'Aportaciones PPE'!E420,0,F420*$B$8/12),F420*$B$8/12)</f>
        <v>0</v>
      </c>
      <c r="H420" s="125">
        <f t="shared" ca="1" si="230"/>
        <v>0</v>
      </c>
      <c r="I420" s="125">
        <f t="shared" ca="1" si="242"/>
        <v>0</v>
      </c>
      <c r="J420" s="125">
        <f t="shared" ca="1" si="243"/>
        <v>0</v>
      </c>
      <c r="K420" s="125">
        <f t="shared" ca="1" si="244"/>
        <v>0</v>
      </c>
      <c r="L420" s="125">
        <f t="shared" ca="1" si="262"/>
        <v>0</v>
      </c>
      <c r="M420" s="125">
        <f t="shared" ca="1" si="245"/>
        <v>0</v>
      </c>
      <c r="N420" s="125">
        <f t="shared" ca="1" si="246"/>
        <v>0</v>
      </c>
      <c r="R420">
        <f t="shared" si="263"/>
        <v>413</v>
      </c>
      <c r="U420" s="55"/>
      <c r="V420">
        <f t="shared" si="264"/>
        <v>6</v>
      </c>
      <c r="W420">
        <f t="shared" ca="1" si="265"/>
        <v>2058</v>
      </c>
      <c r="X420" s="123">
        <f t="shared" ca="1" si="247"/>
        <v>57862</v>
      </c>
      <c r="Y420" s="64">
        <f t="shared" ca="1" si="248"/>
        <v>0</v>
      </c>
      <c r="Z420" s="64">
        <f t="shared" ca="1" si="249"/>
        <v>0</v>
      </c>
      <c r="AA420" s="64">
        <f t="shared" ca="1" si="250"/>
        <v>0</v>
      </c>
      <c r="AB420" s="64">
        <f t="shared" ca="1" si="251"/>
        <v>0</v>
      </c>
      <c r="AF420" t="str">
        <f t="shared" ca="1" si="231"/>
        <v>22010</v>
      </c>
      <c r="AG420" s="126">
        <f t="shared" ca="1" si="232"/>
        <v>0</v>
      </c>
      <c r="AH420" s="126">
        <f t="shared" ca="1" si="233"/>
        <v>0</v>
      </c>
      <c r="AI420" s="126">
        <f t="shared" ca="1" si="234"/>
        <v>0</v>
      </c>
      <c r="AJ420" t="str">
        <f t="shared" ca="1" si="235"/>
        <v>62058</v>
      </c>
      <c r="AK420" s="126">
        <f t="shared" ca="1" si="252"/>
        <v>0</v>
      </c>
      <c r="AL420" s="126">
        <f t="shared" ca="1" si="253"/>
        <v>0</v>
      </c>
      <c r="AM420" s="126">
        <f t="shared" ca="1" si="266"/>
        <v>0</v>
      </c>
      <c r="AN420" s="753">
        <f t="shared" ca="1" si="267"/>
        <v>0</v>
      </c>
      <c r="AO420" s="750">
        <f t="shared" ca="1" si="254"/>
        <v>0</v>
      </c>
      <c r="AP420" s="126">
        <f t="shared" ca="1" si="255"/>
        <v>0</v>
      </c>
      <c r="AQ420" s="126">
        <f t="shared" ca="1" si="256"/>
        <v>0</v>
      </c>
      <c r="AR420" s="126">
        <f t="shared" ca="1" si="236"/>
        <v>10000</v>
      </c>
      <c r="AS420" s="750">
        <f t="shared" ca="1" si="237"/>
        <v>0</v>
      </c>
      <c r="AT420" s="750">
        <f t="shared" ca="1" si="238"/>
        <v>0</v>
      </c>
      <c r="AU420" s="126">
        <f t="shared" ca="1" si="257"/>
        <v>0</v>
      </c>
      <c r="AV420" s="126">
        <f t="shared" ca="1" si="258"/>
        <v>0</v>
      </c>
      <c r="AW420" s="126">
        <f t="shared" ca="1" si="239"/>
        <v>10000</v>
      </c>
      <c r="AX420" s="750">
        <f t="shared" ca="1" si="259"/>
        <v>0</v>
      </c>
      <c r="AY420" s="750">
        <f t="shared" ca="1" si="260"/>
        <v>0</v>
      </c>
      <c r="AZ420">
        <f t="shared" si="261"/>
        <v>5750</v>
      </c>
    </row>
    <row r="421" spans="4:52">
      <c r="D421">
        <v>414</v>
      </c>
      <c r="E421" s="6">
        <f t="shared" ca="1" si="240"/>
        <v>40179</v>
      </c>
      <c r="F421" s="7">
        <f t="shared" ca="1" si="241"/>
        <v>0</v>
      </c>
      <c r="G421" s="125">
        <f ca="1">IF('Simulador - 1º Pilar'!$E$99="Sí",IF('Aportaciones PPE'!$B$13&lt;'Aportaciones PPE'!E421,0,F421*$B$8/12),F421*$B$8/12)</f>
        <v>0</v>
      </c>
      <c r="H421" s="125">
        <f t="shared" ca="1" si="230"/>
        <v>0</v>
      </c>
      <c r="I421" s="125">
        <f t="shared" ca="1" si="242"/>
        <v>0</v>
      </c>
      <c r="J421" s="125">
        <f t="shared" ca="1" si="243"/>
        <v>0</v>
      </c>
      <c r="K421" s="125">
        <f t="shared" ca="1" si="244"/>
        <v>0</v>
      </c>
      <c r="L421" s="125">
        <f t="shared" ca="1" si="262"/>
        <v>0</v>
      </c>
      <c r="M421" s="125">
        <f t="shared" ca="1" si="245"/>
        <v>0</v>
      </c>
      <c r="N421" s="125">
        <f t="shared" ca="1" si="246"/>
        <v>0</v>
      </c>
      <c r="R421">
        <f t="shared" si="263"/>
        <v>414</v>
      </c>
      <c r="U421" s="55"/>
      <c r="V421">
        <f t="shared" si="264"/>
        <v>7</v>
      </c>
      <c r="W421">
        <f t="shared" ca="1" si="265"/>
        <v>2058</v>
      </c>
      <c r="X421" s="123">
        <f t="shared" ca="1" si="247"/>
        <v>57892</v>
      </c>
      <c r="Y421" s="64">
        <f t="shared" ca="1" si="248"/>
        <v>0</v>
      </c>
      <c r="Z421" s="64">
        <f t="shared" ca="1" si="249"/>
        <v>0</v>
      </c>
      <c r="AA421" s="64">
        <f t="shared" ca="1" si="250"/>
        <v>0</v>
      </c>
      <c r="AB421" s="64">
        <f t="shared" ca="1" si="251"/>
        <v>0</v>
      </c>
      <c r="AF421" t="str">
        <f t="shared" ca="1" si="231"/>
        <v>12010</v>
      </c>
      <c r="AG421" s="126">
        <f t="shared" ca="1" si="232"/>
        <v>0</v>
      </c>
      <c r="AH421" s="126">
        <f t="shared" ca="1" si="233"/>
        <v>0</v>
      </c>
      <c r="AI421" s="126">
        <f t="shared" ca="1" si="234"/>
        <v>0</v>
      </c>
      <c r="AJ421" t="str">
        <f t="shared" ca="1" si="235"/>
        <v>72058</v>
      </c>
      <c r="AK421" s="126">
        <f t="shared" ca="1" si="252"/>
        <v>0</v>
      </c>
      <c r="AL421" s="126">
        <f t="shared" ca="1" si="253"/>
        <v>0</v>
      </c>
      <c r="AM421" s="126">
        <f t="shared" ca="1" si="266"/>
        <v>0</v>
      </c>
      <c r="AN421" s="753">
        <f t="shared" ca="1" si="267"/>
        <v>0</v>
      </c>
      <c r="AO421" s="750">
        <f t="shared" ca="1" si="254"/>
        <v>0</v>
      </c>
      <c r="AP421" s="126">
        <f t="shared" ca="1" si="255"/>
        <v>0</v>
      </c>
      <c r="AQ421" s="126">
        <f t="shared" ca="1" si="256"/>
        <v>0</v>
      </c>
      <c r="AR421" s="126">
        <f t="shared" ca="1" si="236"/>
        <v>10000</v>
      </c>
      <c r="AS421" s="750">
        <f t="shared" ca="1" si="237"/>
        <v>0</v>
      </c>
      <c r="AT421" s="750">
        <f t="shared" ca="1" si="238"/>
        <v>0</v>
      </c>
      <c r="AU421" s="126">
        <f t="shared" ca="1" si="257"/>
        <v>0</v>
      </c>
      <c r="AV421" s="126">
        <f t="shared" ca="1" si="258"/>
        <v>0</v>
      </c>
      <c r="AW421" s="126">
        <f t="shared" ca="1" si="239"/>
        <v>10000</v>
      </c>
      <c r="AX421" s="750">
        <f t="shared" ca="1" si="259"/>
        <v>0</v>
      </c>
      <c r="AY421" s="750">
        <f t="shared" ca="1" si="260"/>
        <v>0</v>
      </c>
      <c r="AZ421">
        <f t="shared" si="261"/>
        <v>5750</v>
      </c>
    </row>
    <row r="422" spans="4:52">
      <c r="D422">
        <v>415</v>
      </c>
      <c r="E422" s="6">
        <f t="shared" ca="1" si="240"/>
        <v>40148</v>
      </c>
      <c r="F422" s="7">
        <f t="shared" ca="1" si="241"/>
        <v>0</v>
      </c>
      <c r="G422" s="125">
        <f ca="1">IF('Simulador - 1º Pilar'!$E$99="Sí",IF('Aportaciones PPE'!$B$13&lt;'Aportaciones PPE'!E422,0,F422*$B$8/12),F422*$B$8/12)</f>
        <v>0</v>
      </c>
      <c r="H422" s="125">
        <f t="shared" ca="1" si="230"/>
        <v>0</v>
      </c>
      <c r="I422" s="125">
        <f t="shared" ca="1" si="242"/>
        <v>0</v>
      </c>
      <c r="J422" s="125">
        <f t="shared" ca="1" si="243"/>
        <v>0</v>
      </c>
      <c r="K422" s="125">
        <f t="shared" ca="1" si="244"/>
        <v>0</v>
      </c>
      <c r="L422" s="125">
        <f t="shared" ca="1" si="262"/>
        <v>0</v>
      </c>
      <c r="M422" s="125">
        <f t="shared" ca="1" si="245"/>
        <v>0</v>
      </c>
      <c r="N422" s="125">
        <f t="shared" ca="1" si="246"/>
        <v>0</v>
      </c>
      <c r="R422">
        <f t="shared" si="263"/>
        <v>415</v>
      </c>
      <c r="U422" s="55"/>
      <c r="V422">
        <f t="shared" si="264"/>
        <v>8</v>
      </c>
      <c r="W422">
        <f t="shared" ca="1" si="265"/>
        <v>2058</v>
      </c>
      <c r="X422" s="123">
        <f t="shared" ca="1" si="247"/>
        <v>57923</v>
      </c>
      <c r="Y422" s="64">
        <f t="shared" ca="1" si="248"/>
        <v>0</v>
      </c>
      <c r="Z422" s="64">
        <f t="shared" ca="1" si="249"/>
        <v>0</v>
      </c>
      <c r="AA422" s="64">
        <f t="shared" ca="1" si="250"/>
        <v>0</v>
      </c>
      <c r="AB422" s="64">
        <f t="shared" ca="1" si="251"/>
        <v>0</v>
      </c>
      <c r="AF422" t="str">
        <f t="shared" ca="1" si="231"/>
        <v>122009</v>
      </c>
      <c r="AG422" s="126">
        <f t="shared" ca="1" si="232"/>
        <v>0</v>
      </c>
      <c r="AH422" s="126">
        <f t="shared" ca="1" si="233"/>
        <v>0</v>
      </c>
      <c r="AI422" s="126">
        <f t="shared" ca="1" si="234"/>
        <v>0</v>
      </c>
      <c r="AJ422" t="str">
        <f t="shared" ca="1" si="235"/>
        <v>82058</v>
      </c>
      <c r="AK422" s="126">
        <f t="shared" ca="1" si="252"/>
        <v>0</v>
      </c>
      <c r="AL422" s="126">
        <f t="shared" ca="1" si="253"/>
        <v>0</v>
      </c>
      <c r="AM422" s="126">
        <f t="shared" ca="1" si="266"/>
        <v>0</v>
      </c>
      <c r="AN422" s="753">
        <f t="shared" ca="1" si="267"/>
        <v>0</v>
      </c>
      <c r="AO422" s="750">
        <f t="shared" ca="1" si="254"/>
        <v>0</v>
      </c>
      <c r="AP422" s="126">
        <f t="shared" ca="1" si="255"/>
        <v>0</v>
      </c>
      <c r="AQ422" s="126">
        <f t="shared" ca="1" si="256"/>
        <v>0</v>
      </c>
      <c r="AR422" s="126">
        <f t="shared" ca="1" si="236"/>
        <v>10000</v>
      </c>
      <c r="AS422" s="750">
        <f t="shared" ca="1" si="237"/>
        <v>0</v>
      </c>
      <c r="AT422" s="750">
        <f t="shared" ca="1" si="238"/>
        <v>0</v>
      </c>
      <c r="AU422" s="126">
        <f t="shared" ca="1" si="257"/>
        <v>0</v>
      </c>
      <c r="AV422" s="126">
        <f t="shared" ca="1" si="258"/>
        <v>0</v>
      </c>
      <c r="AW422" s="126">
        <f t="shared" ca="1" si="239"/>
        <v>10000</v>
      </c>
      <c r="AX422" s="750">
        <f t="shared" ca="1" si="259"/>
        <v>0</v>
      </c>
      <c r="AY422" s="750">
        <f t="shared" ca="1" si="260"/>
        <v>0</v>
      </c>
      <c r="AZ422">
        <f t="shared" si="261"/>
        <v>5750</v>
      </c>
    </row>
    <row r="423" spans="4:52">
      <c r="D423">
        <v>416</v>
      </c>
      <c r="E423" s="6">
        <f t="shared" ca="1" si="240"/>
        <v>40118</v>
      </c>
      <c r="F423" s="7">
        <f t="shared" ca="1" si="241"/>
        <v>0</v>
      </c>
      <c r="G423" s="125">
        <f ca="1">IF('Simulador - 1º Pilar'!$E$99="Sí",IF('Aportaciones PPE'!$B$13&lt;'Aportaciones PPE'!E423,0,F423*$B$8/12),F423*$B$8/12)</f>
        <v>0</v>
      </c>
      <c r="H423" s="125">
        <f t="shared" ca="1" si="230"/>
        <v>0</v>
      </c>
      <c r="I423" s="125">
        <f t="shared" ca="1" si="242"/>
        <v>0</v>
      </c>
      <c r="J423" s="125">
        <f t="shared" ca="1" si="243"/>
        <v>0</v>
      </c>
      <c r="K423" s="125">
        <f t="shared" ca="1" si="244"/>
        <v>0</v>
      </c>
      <c r="L423" s="125">
        <f t="shared" ca="1" si="262"/>
        <v>0</v>
      </c>
      <c r="M423" s="125">
        <f t="shared" ca="1" si="245"/>
        <v>0</v>
      </c>
      <c r="N423" s="125">
        <f t="shared" ca="1" si="246"/>
        <v>0</v>
      </c>
      <c r="R423">
        <f t="shared" si="263"/>
        <v>416</v>
      </c>
      <c r="U423" s="55"/>
      <c r="V423">
        <f t="shared" si="264"/>
        <v>9</v>
      </c>
      <c r="W423">
        <f t="shared" ca="1" si="265"/>
        <v>2058</v>
      </c>
      <c r="X423" s="123">
        <f t="shared" ca="1" si="247"/>
        <v>57954</v>
      </c>
      <c r="Y423" s="64">
        <f t="shared" ca="1" si="248"/>
        <v>0</v>
      </c>
      <c r="Z423" s="64">
        <f t="shared" ca="1" si="249"/>
        <v>0</v>
      </c>
      <c r="AA423" s="64">
        <f t="shared" ca="1" si="250"/>
        <v>0</v>
      </c>
      <c r="AB423" s="64">
        <f t="shared" ca="1" si="251"/>
        <v>0</v>
      </c>
      <c r="AF423" t="str">
        <f t="shared" ca="1" si="231"/>
        <v>112009</v>
      </c>
      <c r="AG423" s="126">
        <f t="shared" ca="1" si="232"/>
        <v>0</v>
      </c>
      <c r="AH423" s="126">
        <f t="shared" ca="1" si="233"/>
        <v>0</v>
      </c>
      <c r="AI423" s="126">
        <f t="shared" ca="1" si="234"/>
        <v>0</v>
      </c>
      <c r="AJ423" t="str">
        <f t="shared" ca="1" si="235"/>
        <v>92058</v>
      </c>
      <c r="AK423" s="126">
        <f t="shared" ca="1" si="252"/>
        <v>0</v>
      </c>
      <c r="AL423" s="126">
        <f t="shared" ca="1" si="253"/>
        <v>0</v>
      </c>
      <c r="AM423" s="126">
        <f t="shared" ca="1" si="266"/>
        <v>0</v>
      </c>
      <c r="AN423" s="753">
        <f t="shared" ca="1" si="267"/>
        <v>0</v>
      </c>
      <c r="AO423" s="750">
        <f t="shared" ca="1" si="254"/>
        <v>0</v>
      </c>
      <c r="AP423" s="126">
        <f t="shared" ca="1" si="255"/>
        <v>0</v>
      </c>
      <c r="AQ423" s="126">
        <f t="shared" ca="1" si="256"/>
        <v>0</v>
      </c>
      <c r="AR423" s="126">
        <f t="shared" ca="1" si="236"/>
        <v>10000</v>
      </c>
      <c r="AS423" s="750">
        <f t="shared" ca="1" si="237"/>
        <v>0</v>
      </c>
      <c r="AT423" s="750">
        <f t="shared" ca="1" si="238"/>
        <v>0</v>
      </c>
      <c r="AU423" s="126">
        <f t="shared" ca="1" si="257"/>
        <v>0</v>
      </c>
      <c r="AV423" s="126">
        <f t="shared" ca="1" si="258"/>
        <v>0</v>
      </c>
      <c r="AW423" s="126">
        <f t="shared" ca="1" si="239"/>
        <v>10000</v>
      </c>
      <c r="AX423" s="750">
        <f t="shared" ca="1" si="259"/>
        <v>0</v>
      </c>
      <c r="AY423" s="750">
        <f t="shared" ca="1" si="260"/>
        <v>0</v>
      </c>
      <c r="AZ423">
        <f t="shared" si="261"/>
        <v>5750</v>
      </c>
    </row>
    <row r="424" spans="4:52">
      <c r="D424">
        <v>417</v>
      </c>
      <c r="E424" s="6">
        <f t="shared" ca="1" si="240"/>
        <v>40087</v>
      </c>
      <c r="F424" s="7">
        <f t="shared" ca="1" si="241"/>
        <v>0</v>
      </c>
      <c r="G424" s="125">
        <f ca="1">IF('Simulador - 1º Pilar'!$E$99="Sí",IF('Aportaciones PPE'!$B$13&lt;'Aportaciones PPE'!E424,0,F424*$B$8/12),F424*$B$8/12)</f>
        <v>0</v>
      </c>
      <c r="H424" s="125">
        <f t="shared" ca="1" si="230"/>
        <v>0</v>
      </c>
      <c r="I424" s="125">
        <f t="shared" ca="1" si="242"/>
        <v>0</v>
      </c>
      <c r="J424" s="125">
        <f t="shared" ca="1" si="243"/>
        <v>0</v>
      </c>
      <c r="K424" s="125">
        <f t="shared" ca="1" si="244"/>
        <v>0</v>
      </c>
      <c r="L424" s="125">
        <f t="shared" ca="1" si="262"/>
        <v>0</v>
      </c>
      <c r="M424" s="125">
        <f t="shared" ca="1" si="245"/>
        <v>0</v>
      </c>
      <c r="N424" s="125">
        <f t="shared" ca="1" si="246"/>
        <v>0</v>
      </c>
      <c r="R424">
        <f t="shared" si="263"/>
        <v>417</v>
      </c>
      <c r="U424" s="55"/>
      <c r="V424">
        <f t="shared" si="264"/>
        <v>10</v>
      </c>
      <c r="W424">
        <f t="shared" ca="1" si="265"/>
        <v>2058</v>
      </c>
      <c r="X424" s="123">
        <f t="shared" ca="1" si="247"/>
        <v>57984</v>
      </c>
      <c r="Y424" s="64">
        <f t="shared" ca="1" si="248"/>
        <v>0</v>
      </c>
      <c r="Z424" s="64">
        <f t="shared" ca="1" si="249"/>
        <v>0</v>
      </c>
      <c r="AA424" s="64">
        <f t="shared" ca="1" si="250"/>
        <v>0</v>
      </c>
      <c r="AB424" s="64">
        <f t="shared" ca="1" si="251"/>
        <v>0</v>
      </c>
      <c r="AF424" t="str">
        <f t="shared" ca="1" si="231"/>
        <v>102009</v>
      </c>
      <c r="AG424" s="126">
        <f t="shared" ca="1" si="232"/>
        <v>0</v>
      </c>
      <c r="AH424" s="126">
        <f t="shared" ca="1" si="233"/>
        <v>0</v>
      </c>
      <c r="AI424" s="126">
        <f t="shared" ca="1" si="234"/>
        <v>0</v>
      </c>
      <c r="AJ424" t="str">
        <f t="shared" ca="1" si="235"/>
        <v>102058</v>
      </c>
      <c r="AK424" s="126">
        <f t="shared" ca="1" si="252"/>
        <v>0</v>
      </c>
      <c r="AL424" s="126">
        <f t="shared" ca="1" si="253"/>
        <v>0</v>
      </c>
      <c r="AM424" s="126">
        <f t="shared" ca="1" si="266"/>
        <v>0</v>
      </c>
      <c r="AN424" s="753">
        <f t="shared" ca="1" si="267"/>
        <v>0</v>
      </c>
      <c r="AO424" s="750">
        <f t="shared" ca="1" si="254"/>
        <v>0</v>
      </c>
      <c r="AP424" s="126">
        <f t="shared" ca="1" si="255"/>
        <v>0</v>
      </c>
      <c r="AQ424" s="126">
        <f t="shared" ca="1" si="256"/>
        <v>0</v>
      </c>
      <c r="AR424" s="126">
        <f t="shared" ca="1" si="236"/>
        <v>10000</v>
      </c>
      <c r="AS424" s="750">
        <f t="shared" ca="1" si="237"/>
        <v>0</v>
      </c>
      <c r="AT424" s="750">
        <f t="shared" ca="1" si="238"/>
        <v>0</v>
      </c>
      <c r="AU424" s="126">
        <f t="shared" ca="1" si="257"/>
        <v>0</v>
      </c>
      <c r="AV424" s="126">
        <f t="shared" ca="1" si="258"/>
        <v>0</v>
      </c>
      <c r="AW424" s="126">
        <f t="shared" ca="1" si="239"/>
        <v>10000</v>
      </c>
      <c r="AX424" s="750">
        <f t="shared" ca="1" si="259"/>
        <v>0</v>
      </c>
      <c r="AY424" s="750">
        <f t="shared" ca="1" si="260"/>
        <v>0</v>
      </c>
      <c r="AZ424">
        <f t="shared" si="261"/>
        <v>5750</v>
      </c>
    </row>
    <row r="425" spans="4:52">
      <c r="D425">
        <v>418</v>
      </c>
      <c r="E425" s="6">
        <f t="shared" ca="1" si="240"/>
        <v>40057</v>
      </c>
      <c r="F425" s="7">
        <f t="shared" ca="1" si="241"/>
        <v>0</v>
      </c>
      <c r="G425" s="125">
        <f ca="1">IF('Simulador - 1º Pilar'!$E$99="Sí",IF('Aportaciones PPE'!$B$13&lt;'Aportaciones PPE'!E425,0,F425*$B$8/12),F425*$B$8/12)</f>
        <v>0</v>
      </c>
      <c r="H425" s="125">
        <f t="shared" ca="1" si="230"/>
        <v>0</v>
      </c>
      <c r="I425" s="125">
        <f t="shared" ca="1" si="242"/>
        <v>0</v>
      </c>
      <c r="J425" s="125">
        <f t="shared" ca="1" si="243"/>
        <v>0</v>
      </c>
      <c r="K425" s="125">
        <f t="shared" ca="1" si="244"/>
        <v>0</v>
      </c>
      <c r="L425" s="125">
        <f t="shared" ca="1" si="262"/>
        <v>0</v>
      </c>
      <c r="M425" s="125">
        <f t="shared" ca="1" si="245"/>
        <v>0</v>
      </c>
      <c r="N425" s="125">
        <f t="shared" ca="1" si="246"/>
        <v>0</v>
      </c>
      <c r="R425">
        <f t="shared" si="263"/>
        <v>418</v>
      </c>
      <c r="U425" s="55"/>
      <c r="V425">
        <f t="shared" si="264"/>
        <v>11</v>
      </c>
      <c r="W425">
        <f t="shared" ca="1" si="265"/>
        <v>2058</v>
      </c>
      <c r="X425" s="123">
        <f t="shared" ca="1" si="247"/>
        <v>58015</v>
      </c>
      <c r="Y425" s="64">
        <f t="shared" ca="1" si="248"/>
        <v>0</v>
      </c>
      <c r="Z425" s="64">
        <f t="shared" ca="1" si="249"/>
        <v>0</v>
      </c>
      <c r="AA425" s="64">
        <f t="shared" ca="1" si="250"/>
        <v>0</v>
      </c>
      <c r="AB425" s="64">
        <f t="shared" ca="1" si="251"/>
        <v>0</v>
      </c>
      <c r="AF425" t="str">
        <f t="shared" ca="1" si="231"/>
        <v>92009</v>
      </c>
      <c r="AG425" s="126">
        <f t="shared" ca="1" si="232"/>
        <v>0</v>
      </c>
      <c r="AH425" s="126">
        <f t="shared" ca="1" si="233"/>
        <v>0</v>
      </c>
      <c r="AI425" s="126">
        <f t="shared" ca="1" si="234"/>
        <v>0</v>
      </c>
      <c r="AJ425" t="str">
        <f t="shared" ca="1" si="235"/>
        <v>112058</v>
      </c>
      <c r="AK425" s="126">
        <f t="shared" ca="1" si="252"/>
        <v>0</v>
      </c>
      <c r="AL425" s="126">
        <f t="shared" ca="1" si="253"/>
        <v>0</v>
      </c>
      <c r="AM425" s="126">
        <f t="shared" ca="1" si="266"/>
        <v>0</v>
      </c>
      <c r="AN425" s="753">
        <f t="shared" ca="1" si="267"/>
        <v>0</v>
      </c>
      <c r="AO425" s="750">
        <f t="shared" ca="1" si="254"/>
        <v>0</v>
      </c>
      <c r="AP425" s="126">
        <f t="shared" ca="1" si="255"/>
        <v>0</v>
      </c>
      <c r="AQ425" s="126">
        <f t="shared" ca="1" si="256"/>
        <v>0</v>
      </c>
      <c r="AR425" s="126">
        <f t="shared" ca="1" si="236"/>
        <v>10000</v>
      </c>
      <c r="AS425" s="750">
        <f t="shared" ca="1" si="237"/>
        <v>0</v>
      </c>
      <c r="AT425" s="750">
        <f t="shared" ca="1" si="238"/>
        <v>0</v>
      </c>
      <c r="AU425" s="126">
        <f t="shared" ca="1" si="257"/>
        <v>0</v>
      </c>
      <c r="AV425" s="126">
        <f t="shared" ca="1" si="258"/>
        <v>0</v>
      </c>
      <c r="AW425" s="126">
        <f t="shared" ca="1" si="239"/>
        <v>10000</v>
      </c>
      <c r="AX425" s="750">
        <f t="shared" ca="1" si="259"/>
        <v>0</v>
      </c>
      <c r="AY425" s="750">
        <f t="shared" ca="1" si="260"/>
        <v>0</v>
      </c>
      <c r="AZ425">
        <f t="shared" si="261"/>
        <v>5750</v>
      </c>
    </row>
    <row r="426" spans="4:52">
      <c r="D426">
        <v>419</v>
      </c>
      <c r="E426" s="6">
        <f t="shared" ca="1" si="240"/>
        <v>40026</v>
      </c>
      <c r="F426" s="7">
        <f t="shared" ca="1" si="241"/>
        <v>0</v>
      </c>
      <c r="G426" s="125">
        <f ca="1">IF('Simulador - 1º Pilar'!$E$99="Sí",IF('Aportaciones PPE'!$B$13&lt;'Aportaciones PPE'!E426,0,F426*$B$8/12),F426*$B$8/12)</f>
        <v>0</v>
      </c>
      <c r="H426" s="125">
        <f t="shared" ca="1" si="230"/>
        <v>0</v>
      </c>
      <c r="I426" s="125">
        <f t="shared" ca="1" si="242"/>
        <v>0</v>
      </c>
      <c r="J426" s="125">
        <f t="shared" ca="1" si="243"/>
        <v>0</v>
      </c>
      <c r="K426" s="125">
        <f t="shared" ca="1" si="244"/>
        <v>0</v>
      </c>
      <c r="L426" s="125">
        <f t="shared" ca="1" si="262"/>
        <v>0</v>
      </c>
      <c r="M426" s="125">
        <f t="shared" ca="1" si="245"/>
        <v>0</v>
      </c>
      <c r="N426" s="125">
        <f t="shared" ca="1" si="246"/>
        <v>0</v>
      </c>
      <c r="R426">
        <f t="shared" si="263"/>
        <v>419</v>
      </c>
      <c r="U426" s="55"/>
      <c r="V426">
        <f t="shared" si="264"/>
        <v>12</v>
      </c>
      <c r="W426">
        <f t="shared" ca="1" si="265"/>
        <v>2058</v>
      </c>
      <c r="X426" s="123">
        <f t="shared" ca="1" si="247"/>
        <v>58045</v>
      </c>
      <c r="Y426" s="64">
        <f t="shared" ca="1" si="248"/>
        <v>0</v>
      </c>
      <c r="Z426" s="64">
        <f t="shared" ca="1" si="249"/>
        <v>0</v>
      </c>
      <c r="AA426" s="64">
        <f t="shared" ca="1" si="250"/>
        <v>0</v>
      </c>
      <c r="AB426" s="64">
        <f t="shared" ca="1" si="251"/>
        <v>0</v>
      </c>
      <c r="AF426" t="str">
        <f t="shared" ca="1" si="231"/>
        <v>82009</v>
      </c>
      <c r="AG426" s="126">
        <f t="shared" ca="1" si="232"/>
        <v>0</v>
      </c>
      <c r="AH426" s="126">
        <f t="shared" ca="1" si="233"/>
        <v>0</v>
      </c>
      <c r="AI426" s="126">
        <f t="shared" ca="1" si="234"/>
        <v>0</v>
      </c>
      <c r="AJ426" t="str">
        <f t="shared" ca="1" si="235"/>
        <v>122058</v>
      </c>
      <c r="AK426" s="126">
        <f t="shared" ca="1" si="252"/>
        <v>0</v>
      </c>
      <c r="AL426" s="126">
        <f t="shared" ca="1" si="253"/>
        <v>0</v>
      </c>
      <c r="AM426" s="126">
        <f t="shared" ca="1" si="266"/>
        <v>0</v>
      </c>
      <c r="AN426" s="753">
        <f t="shared" ca="1" si="267"/>
        <v>0</v>
      </c>
      <c r="AO426" s="750">
        <f t="shared" ca="1" si="254"/>
        <v>0</v>
      </c>
      <c r="AP426" s="126">
        <f t="shared" ca="1" si="255"/>
        <v>0</v>
      </c>
      <c r="AQ426" s="126">
        <f t="shared" ca="1" si="256"/>
        <v>0</v>
      </c>
      <c r="AR426" s="126">
        <f t="shared" ca="1" si="236"/>
        <v>10000</v>
      </c>
      <c r="AS426" s="750">
        <f t="shared" ca="1" si="237"/>
        <v>0</v>
      </c>
      <c r="AT426" s="750">
        <f t="shared" ca="1" si="238"/>
        <v>0</v>
      </c>
      <c r="AU426" s="126">
        <f t="shared" ca="1" si="257"/>
        <v>0</v>
      </c>
      <c r="AV426" s="126">
        <f t="shared" ca="1" si="258"/>
        <v>0</v>
      </c>
      <c r="AW426" s="126">
        <f t="shared" ca="1" si="239"/>
        <v>10000</v>
      </c>
      <c r="AX426" s="750">
        <f t="shared" ca="1" si="259"/>
        <v>0</v>
      </c>
      <c r="AY426" s="750">
        <f t="shared" ca="1" si="260"/>
        <v>0</v>
      </c>
      <c r="AZ426">
        <f t="shared" si="261"/>
        <v>5750</v>
      </c>
    </row>
    <row r="427" spans="4:52">
      <c r="D427">
        <v>420</v>
      </c>
      <c r="E427" s="6">
        <f t="shared" ca="1" si="240"/>
        <v>39995</v>
      </c>
      <c r="F427" s="7">
        <f t="shared" ca="1" si="241"/>
        <v>0</v>
      </c>
      <c r="G427" s="125">
        <f ca="1">IF('Simulador - 1º Pilar'!$E$99="Sí",IF('Aportaciones PPE'!$B$13&lt;'Aportaciones PPE'!E427,0,F427*$B$8/12),F427*$B$8/12)</f>
        <v>0</v>
      </c>
      <c r="H427" s="125">
        <f t="shared" ca="1" si="230"/>
        <v>0</v>
      </c>
      <c r="I427" s="125">
        <f t="shared" ca="1" si="242"/>
        <v>0</v>
      </c>
      <c r="J427" s="125">
        <f t="shared" ca="1" si="243"/>
        <v>0</v>
      </c>
      <c r="K427" s="125">
        <f t="shared" ca="1" si="244"/>
        <v>0</v>
      </c>
      <c r="L427" s="125">
        <f t="shared" ca="1" si="262"/>
        <v>0</v>
      </c>
      <c r="M427" s="125">
        <f t="shared" ca="1" si="245"/>
        <v>0</v>
      </c>
      <c r="N427" s="125">
        <f t="shared" ca="1" si="246"/>
        <v>0</v>
      </c>
      <c r="R427">
        <f t="shared" si="263"/>
        <v>420</v>
      </c>
      <c r="U427" s="55"/>
      <c r="V427">
        <f t="shared" si="264"/>
        <v>1</v>
      </c>
      <c r="W427">
        <f t="shared" ca="1" si="265"/>
        <v>2059</v>
      </c>
      <c r="X427" s="123">
        <f t="shared" ca="1" si="247"/>
        <v>58076</v>
      </c>
      <c r="Y427" s="64">
        <f t="shared" ca="1" si="248"/>
        <v>0</v>
      </c>
      <c r="Z427" s="64">
        <f t="shared" ca="1" si="249"/>
        <v>0</v>
      </c>
      <c r="AA427" s="64">
        <f t="shared" ca="1" si="250"/>
        <v>0</v>
      </c>
      <c r="AB427" s="64">
        <f t="shared" ca="1" si="251"/>
        <v>0</v>
      </c>
      <c r="AF427" t="str">
        <f t="shared" ca="1" si="231"/>
        <v>72009</v>
      </c>
      <c r="AG427" s="126">
        <f t="shared" ca="1" si="232"/>
        <v>0</v>
      </c>
      <c r="AH427" s="126">
        <f t="shared" ca="1" si="233"/>
        <v>0</v>
      </c>
      <c r="AI427" s="126">
        <f t="shared" ca="1" si="234"/>
        <v>0</v>
      </c>
      <c r="AJ427" t="str">
        <f t="shared" ca="1" si="235"/>
        <v>12059</v>
      </c>
      <c r="AK427" s="126">
        <f t="shared" ca="1" si="252"/>
        <v>0</v>
      </c>
      <c r="AL427" s="126">
        <f t="shared" ca="1" si="253"/>
        <v>0</v>
      </c>
      <c r="AM427" s="126">
        <f t="shared" ca="1" si="266"/>
        <v>0</v>
      </c>
      <c r="AN427" s="753">
        <f t="shared" ca="1" si="267"/>
        <v>0</v>
      </c>
      <c r="AO427" s="750">
        <f t="shared" ca="1" si="254"/>
        <v>0</v>
      </c>
      <c r="AP427" s="126">
        <f t="shared" ca="1" si="255"/>
        <v>0</v>
      </c>
      <c r="AQ427" s="126">
        <f t="shared" ca="1" si="256"/>
        <v>0</v>
      </c>
      <c r="AR427" s="126">
        <f t="shared" ca="1" si="236"/>
        <v>10000</v>
      </c>
      <c r="AS427" s="750">
        <f t="shared" ca="1" si="237"/>
        <v>0</v>
      </c>
      <c r="AT427" s="750">
        <f t="shared" ca="1" si="238"/>
        <v>0</v>
      </c>
      <c r="AU427" s="126">
        <f t="shared" ca="1" si="257"/>
        <v>0</v>
      </c>
      <c r="AV427" s="126">
        <f t="shared" ca="1" si="258"/>
        <v>0</v>
      </c>
      <c r="AW427" s="126">
        <f t="shared" ca="1" si="239"/>
        <v>10000</v>
      </c>
      <c r="AX427" s="750">
        <f t="shared" ca="1" si="259"/>
        <v>0</v>
      </c>
      <c r="AY427" s="750">
        <f t="shared" ca="1" si="260"/>
        <v>0</v>
      </c>
      <c r="AZ427">
        <f t="shared" si="261"/>
        <v>5750</v>
      </c>
    </row>
    <row r="428" spans="4:52">
      <c r="D428">
        <v>421</v>
      </c>
      <c r="E428" s="6">
        <f t="shared" ca="1" si="240"/>
        <v>39965</v>
      </c>
      <c r="F428" s="7">
        <f t="shared" ca="1" si="241"/>
        <v>0</v>
      </c>
      <c r="G428" s="125">
        <f ca="1">IF('Simulador - 1º Pilar'!$E$99="Sí",IF('Aportaciones PPE'!$B$13&lt;'Aportaciones PPE'!E428,0,F428*$B$8/12),F428*$B$8/12)</f>
        <v>0</v>
      </c>
      <c r="H428" s="125">
        <f t="shared" ca="1" si="230"/>
        <v>0</v>
      </c>
      <c r="I428" s="125">
        <f t="shared" ca="1" si="242"/>
        <v>0</v>
      </c>
      <c r="J428" s="125">
        <f t="shared" ca="1" si="243"/>
        <v>0</v>
      </c>
      <c r="K428" s="125">
        <f t="shared" ca="1" si="244"/>
        <v>0</v>
      </c>
      <c r="L428" s="125">
        <f t="shared" ca="1" si="262"/>
        <v>0</v>
      </c>
      <c r="M428" s="125">
        <f t="shared" ca="1" si="245"/>
        <v>0</v>
      </c>
      <c r="N428" s="125">
        <f t="shared" ca="1" si="246"/>
        <v>0</v>
      </c>
      <c r="R428">
        <f t="shared" si="263"/>
        <v>421</v>
      </c>
      <c r="U428" s="55"/>
      <c r="V428">
        <f t="shared" si="264"/>
        <v>2</v>
      </c>
      <c r="W428">
        <f t="shared" ca="1" si="265"/>
        <v>2059</v>
      </c>
      <c r="X428" s="123">
        <f t="shared" ca="1" si="247"/>
        <v>58107</v>
      </c>
      <c r="Y428" s="64">
        <f t="shared" ca="1" si="248"/>
        <v>0</v>
      </c>
      <c r="Z428" s="64">
        <f t="shared" ca="1" si="249"/>
        <v>0</v>
      </c>
      <c r="AA428" s="64">
        <f t="shared" ca="1" si="250"/>
        <v>0</v>
      </c>
      <c r="AB428" s="64">
        <f t="shared" ca="1" si="251"/>
        <v>0</v>
      </c>
      <c r="AF428" t="str">
        <f t="shared" ca="1" si="231"/>
        <v>62009</v>
      </c>
      <c r="AG428" s="126">
        <f t="shared" ca="1" si="232"/>
        <v>0</v>
      </c>
      <c r="AH428" s="126">
        <f t="shared" ca="1" si="233"/>
        <v>0</v>
      </c>
      <c r="AI428" s="126">
        <f t="shared" ca="1" si="234"/>
        <v>0</v>
      </c>
      <c r="AJ428" t="str">
        <f t="shared" ca="1" si="235"/>
        <v>22059</v>
      </c>
      <c r="AK428" s="126">
        <f t="shared" ca="1" si="252"/>
        <v>0</v>
      </c>
      <c r="AL428" s="126">
        <f t="shared" ca="1" si="253"/>
        <v>0</v>
      </c>
      <c r="AM428" s="126">
        <f t="shared" ca="1" si="266"/>
        <v>0</v>
      </c>
      <c r="AN428" s="753">
        <f t="shared" ca="1" si="267"/>
        <v>0</v>
      </c>
      <c r="AO428" s="750">
        <f t="shared" ca="1" si="254"/>
        <v>0</v>
      </c>
      <c r="AP428" s="126">
        <f t="shared" ca="1" si="255"/>
        <v>0</v>
      </c>
      <c r="AQ428" s="126">
        <f t="shared" ca="1" si="256"/>
        <v>0</v>
      </c>
      <c r="AR428" s="126">
        <f t="shared" ca="1" si="236"/>
        <v>10000</v>
      </c>
      <c r="AS428" s="750">
        <f t="shared" ca="1" si="237"/>
        <v>0</v>
      </c>
      <c r="AT428" s="750">
        <f t="shared" ca="1" si="238"/>
        <v>0</v>
      </c>
      <c r="AU428" s="126">
        <f t="shared" ca="1" si="257"/>
        <v>0</v>
      </c>
      <c r="AV428" s="126">
        <f t="shared" ca="1" si="258"/>
        <v>0</v>
      </c>
      <c r="AW428" s="126">
        <f t="shared" ca="1" si="239"/>
        <v>10000</v>
      </c>
      <c r="AX428" s="750">
        <f t="shared" ca="1" si="259"/>
        <v>0</v>
      </c>
      <c r="AY428" s="750">
        <f t="shared" ca="1" si="260"/>
        <v>0</v>
      </c>
      <c r="AZ428">
        <f t="shared" si="261"/>
        <v>5750</v>
      </c>
    </row>
    <row r="429" spans="4:52">
      <c r="D429">
        <v>422</v>
      </c>
      <c r="E429" s="6">
        <f t="shared" ca="1" si="240"/>
        <v>39934</v>
      </c>
      <c r="F429" s="7">
        <f t="shared" ca="1" si="241"/>
        <v>0</v>
      </c>
      <c r="G429" s="125">
        <f ca="1">IF('Simulador - 1º Pilar'!$E$99="Sí",IF('Aportaciones PPE'!$B$13&lt;'Aportaciones PPE'!E429,0,F429*$B$8/12),F429*$B$8/12)</f>
        <v>0</v>
      </c>
      <c r="H429" s="125">
        <f t="shared" ca="1" si="230"/>
        <v>0</v>
      </c>
      <c r="I429" s="125">
        <f t="shared" ca="1" si="242"/>
        <v>0</v>
      </c>
      <c r="J429" s="125">
        <f t="shared" ca="1" si="243"/>
        <v>0</v>
      </c>
      <c r="K429" s="125">
        <f t="shared" ca="1" si="244"/>
        <v>0</v>
      </c>
      <c r="L429" s="125">
        <f t="shared" ca="1" si="262"/>
        <v>0</v>
      </c>
      <c r="M429" s="125">
        <f t="shared" ca="1" si="245"/>
        <v>0</v>
      </c>
      <c r="N429" s="125">
        <f t="shared" ca="1" si="246"/>
        <v>0</v>
      </c>
      <c r="R429">
        <f t="shared" si="263"/>
        <v>422</v>
      </c>
      <c r="U429" s="55"/>
      <c r="V429">
        <f t="shared" si="264"/>
        <v>3</v>
      </c>
      <c r="W429">
        <f t="shared" ca="1" si="265"/>
        <v>2059</v>
      </c>
      <c r="X429" s="123">
        <f t="shared" ca="1" si="247"/>
        <v>58135</v>
      </c>
      <c r="Y429" s="64">
        <f t="shared" ca="1" si="248"/>
        <v>0</v>
      </c>
      <c r="Z429" s="64">
        <f t="shared" ca="1" si="249"/>
        <v>0</v>
      </c>
      <c r="AA429" s="64">
        <f t="shared" ca="1" si="250"/>
        <v>0</v>
      </c>
      <c r="AB429" s="64">
        <f t="shared" ca="1" si="251"/>
        <v>0</v>
      </c>
      <c r="AF429" t="str">
        <f t="shared" ca="1" si="231"/>
        <v>52009</v>
      </c>
      <c r="AG429" s="126">
        <f t="shared" ca="1" si="232"/>
        <v>0</v>
      </c>
      <c r="AH429" s="126">
        <f t="shared" ca="1" si="233"/>
        <v>0</v>
      </c>
      <c r="AI429" s="126">
        <f t="shared" ca="1" si="234"/>
        <v>0</v>
      </c>
      <c r="AJ429" t="str">
        <f t="shared" ca="1" si="235"/>
        <v>32059</v>
      </c>
      <c r="AK429" s="126">
        <f t="shared" ca="1" si="252"/>
        <v>0</v>
      </c>
      <c r="AL429" s="126">
        <f t="shared" ca="1" si="253"/>
        <v>0</v>
      </c>
      <c r="AM429" s="126">
        <f t="shared" ca="1" si="266"/>
        <v>0</v>
      </c>
      <c r="AN429" s="753">
        <f t="shared" ca="1" si="267"/>
        <v>0</v>
      </c>
      <c r="AO429" s="750">
        <f t="shared" ca="1" si="254"/>
        <v>0</v>
      </c>
      <c r="AP429" s="126">
        <f t="shared" ca="1" si="255"/>
        <v>0</v>
      </c>
      <c r="AQ429" s="126">
        <f t="shared" ca="1" si="256"/>
        <v>0</v>
      </c>
      <c r="AR429" s="126">
        <f t="shared" ca="1" si="236"/>
        <v>10000</v>
      </c>
      <c r="AS429" s="750">
        <f t="shared" ca="1" si="237"/>
        <v>0</v>
      </c>
      <c r="AT429" s="750">
        <f t="shared" ca="1" si="238"/>
        <v>0</v>
      </c>
      <c r="AU429" s="126">
        <f t="shared" ca="1" si="257"/>
        <v>0</v>
      </c>
      <c r="AV429" s="126">
        <f t="shared" ca="1" si="258"/>
        <v>0</v>
      </c>
      <c r="AW429" s="126">
        <f t="shared" ca="1" si="239"/>
        <v>10000</v>
      </c>
      <c r="AX429" s="750">
        <f t="shared" ca="1" si="259"/>
        <v>0</v>
      </c>
      <c r="AY429" s="750">
        <f t="shared" ca="1" si="260"/>
        <v>0</v>
      </c>
      <c r="AZ429">
        <f t="shared" si="261"/>
        <v>5750</v>
      </c>
    </row>
    <row r="430" spans="4:52">
      <c r="D430">
        <v>423</v>
      </c>
      <c r="E430" s="6">
        <f t="shared" ca="1" si="240"/>
        <v>39904</v>
      </c>
      <c r="F430" s="7">
        <f t="shared" ca="1" si="241"/>
        <v>0</v>
      </c>
      <c r="G430" s="125">
        <f ca="1">IF('Simulador - 1º Pilar'!$E$99="Sí",IF('Aportaciones PPE'!$B$13&lt;'Aportaciones PPE'!E430,0,F430*$B$8/12),F430*$B$8/12)</f>
        <v>0</v>
      </c>
      <c r="H430" s="125">
        <f t="shared" ca="1" si="230"/>
        <v>0</v>
      </c>
      <c r="I430" s="125">
        <f t="shared" ca="1" si="242"/>
        <v>0</v>
      </c>
      <c r="J430" s="125">
        <f t="shared" ca="1" si="243"/>
        <v>0</v>
      </c>
      <c r="K430" s="125">
        <f t="shared" ca="1" si="244"/>
        <v>0</v>
      </c>
      <c r="L430" s="125">
        <f t="shared" ca="1" si="262"/>
        <v>0</v>
      </c>
      <c r="M430" s="125">
        <f t="shared" ca="1" si="245"/>
        <v>0</v>
      </c>
      <c r="N430" s="125">
        <f t="shared" ca="1" si="246"/>
        <v>0</v>
      </c>
      <c r="R430">
        <f t="shared" si="263"/>
        <v>423</v>
      </c>
      <c r="U430" s="55"/>
      <c r="V430">
        <f t="shared" si="264"/>
        <v>4</v>
      </c>
      <c r="W430">
        <f t="shared" ca="1" si="265"/>
        <v>2059</v>
      </c>
      <c r="X430" s="123">
        <f t="shared" ca="1" si="247"/>
        <v>58166</v>
      </c>
      <c r="Y430" s="64">
        <f t="shared" ca="1" si="248"/>
        <v>0</v>
      </c>
      <c r="Z430" s="64">
        <f t="shared" ca="1" si="249"/>
        <v>0</v>
      </c>
      <c r="AA430" s="64">
        <f t="shared" ca="1" si="250"/>
        <v>0</v>
      </c>
      <c r="AB430" s="64">
        <f t="shared" ca="1" si="251"/>
        <v>0</v>
      </c>
      <c r="AF430" t="str">
        <f t="shared" ca="1" si="231"/>
        <v>42009</v>
      </c>
      <c r="AG430" s="126">
        <f t="shared" ca="1" si="232"/>
        <v>0</v>
      </c>
      <c r="AH430" s="126">
        <f t="shared" ca="1" si="233"/>
        <v>0</v>
      </c>
      <c r="AI430" s="126">
        <f t="shared" ca="1" si="234"/>
        <v>0</v>
      </c>
      <c r="AJ430" t="str">
        <f t="shared" ca="1" si="235"/>
        <v>42059</v>
      </c>
      <c r="AK430" s="126">
        <f t="shared" ca="1" si="252"/>
        <v>0</v>
      </c>
      <c r="AL430" s="126">
        <f t="shared" ca="1" si="253"/>
        <v>0</v>
      </c>
      <c r="AM430" s="126">
        <f t="shared" ca="1" si="266"/>
        <v>0</v>
      </c>
      <c r="AN430" s="753">
        <f t="shared" ca="1" si="267"/>
        <v>0</v>
      </c>
      <c r="AO430" s="750">
        <f t="shared" ca="1" si="254"/>
        <v>0</v>
      </c>
      <c r="AP430" s="126">
        <f t="shared" ca="1" si="255"/>
        <v>0</v>
      </c>
      <c r="AQ430" s="126">
        <f t="shared" ca="1" si="256"/>
        <v>0</v>
      </c>
      <c r="AR430" s="126">
        <f t="shared" ca="1" si="236"/>
        <v>10000</v>
      </c>
      <c r="AS430" s="750">
        <f t="shared" ca="1" si="237"/>
        <v>0</v>
      </c>
      <c r="AT430" s="750">
        <f t="shared" ca="1" si="238"/>
        <v>0</v>
      </c>
      <c r="AU430" s="126">
        <f t="shared" ca="1" si="257"/>
        <v>0</v>
      </c>
      <c r="AV430" s="126">
        <f t="shared" ca="1" si="258"/>
        <v>0</v>
      </c>
      <c r="AW430" s="126">
        <f t="shared" ca="1" si="239"/>
        <v>10000</v>
      </c>
      <c r="AX430" s="750">
        <f t="shared" ca="1" si="259"/>
        <v>0</v>
      </c>
      <c r="AY430" s="750">
        <f t="shared" ca="1" si="260"/>
        <v>0</v>
      </c>
      <c r="AZ430">
        <f t="shared" si="261"/>
        <v>5750</v>
      </c>
    </row>
    <row r="431" spans="4:52">
      <c r="D431">
        <v>424</v>
      </c>
      <c r="E431" s="6">
        <f t="shared" ca="1" si="240"/>
        <v>39873</v>
      </c>
      <c r="F431" s="7">
        <f t="shared" ca="1" si="241"/>
        <v>0</v>
      </c>
      <c r="G431" s="125">
        <f ca="1">IF('Simulador - 1º Pilar'!$E$99="Sí",IF('Aportaciones PPE'!$B$13&lt;'Aportaciones PPE'!E431,0,F431*$B$8/12),F431*$B$8/12)</f>
        <v>0</v>
      </c>
      <c r="H431" s="125">
        <f t="shared" ca="1" si="230"/>
        <v>0</v>
      </c>
      <c r="I431" s="125">
        <f t="shared" ca="1" si="242"/>
        <v>0</v>
      </c>
      <c r="J431" s="125">
        <f t="shared" ca="1" si="243"/>
        <v>0</v>
      </c>
      <c r="K431" s="125">
        <f t="shared" ca="1" si="244"/>
        <v>0</v>
      </c>
      <c r="L431" s="125">
        <f t="shared" ca="1" si="262"/>
        <v>0</v>
      </c>
      <c r="M431" s="125">
        <f t="shared" ca="1" si="245"/>
        <v>0</v>
      </c>
      <c r="N431" s="125">
        <f t="shared" ca="1" si="246"/>
        <v>0</v>
      </c>
      <c r="R431">
        <f t="shared" si="263"/>
        <v>424</v>
      </c>
      <c r="U431" s="55"/>
      <c r="V431">
        <f t="shared" si="264"/>
        <v>5</v>
      </c>
      <c r="W431">
        <f t="shared" ca="1" si="265"/>
        <v>2059</v>
      </c>
      <c r="X431" s="123">
        <f t="shared" ca="1" si="247"/>
        <v>58196</v>
      </c>
      <c r="Y431" s="64">
        <f t="shared" ca="1" si="248"/>
        <v>0</v>
      </c>
      <c r="Z431" s="64">
        <f t="shared" ca="1" si="249"/>
        <v>0</v>
      </c>
      <c r="AA431" s="64">
        <f t="shared" ca="1" si="250"/>
        <v>0</v>
      </c>
      <c r="AB431" s="64">
        <f t="shared" ca="1" si="251"/>
        <v>0</v>
      </c>
      <c r="AF431" t="str">
        <f t="shared" ca="1" si="231"/>
        <v>32009</v>
      </c>
      <c r="AG431" s="126">
        <f t="shared" ca="1" si="232"/>
        <v>0</v>
      </c>
      <c r="AH431" s="126">
        <f t="shared" ca="1" si="233"/>
        <v>0</v>
      </c>
      <c r="AI431" s="126">
        <f t="shared" ca="1" si="234"/>
        <v>0</v>
      </c>
      <c r="AJ431" t="str">
        <f t="shared" ca="1" si="235"/>
        <v>52059</v>
      </c>
      <c r="AK431" s="126">
        <f t="shared" ca="1" si="252"/>
        <v>0</v>
      </c>
      <c r="AL431" s="126">
        <f t="shared" ca="1" si="253"/>
        <v>0</v>
      </c>
      <c r="AM431" s="126">
        <f t="shared" ca="1" si="266"/>
        <v>0</v>
      </c>
      <c r="AN431" s="753">
        <f t="shared" ca="1" si="267"/>
        <v>0</v>
      </c>
      <c r="AO431" s="750">
        <f t="shared" ca="1" si="254"/>
        <v>0</v>
      </c>
      <c r="AP431" s="126">
        <f t="shared" ca="1" si="255"/>
        <v>0</v>
      </c>
      <c r="AQ431" s="126">
        <f t="shared" ca="1" si="256"/>
        <v>0</v>
      </c>
      <c r="AR431" s="126">
        <f t="shared" ca="1" si="236"/>
        <v>10000</v>
      </c>
      <c r="AS431" s="750">
        <f t="shared" ca="1" si="237"/>
        <v>0</v>
      </c>
      <c r="AT431" s="750">
        <f t="shared" ca="1" si="238"/>
        <v>0</v>
      </c>
      <c r="AU431" s="126">
        <f t="shared" ca="1" si="257"/>
        <v>0</v>
      </c>
      <c r="AV431" s="126">
        <f t="shared" ca="1" si="258"/>
        <v>0</v>
      </c>
      <c r="AW431" s="126">
        <f t="shared" ca="1" si="239"/>
        <v>10000</v>
      </c>
      <c r="AX431" s="750">
        <f t="shared" ca="1" si="259"/>
        <v>0</v>
      </c>
      <c r="AY431" s="750">
        <f t="shared" ca="1" si="260"/>
        <v>0</v>
      </c>
      <c r="AZ431">
        <f t="shared" si="261"/>
        <v>5750</v>
      </c>
    </row>
    <row r="432" spans="4:52">
      <c r="D432">
        <v>425</v>
      </c>
      <c r="E432" s="6">
        <f t="shared" ca="1" si="240"/>
        <v>39845</v>
      </c>
      <c r="F432" s="7">
        <f t="shared" ca="1" si="241"/>
        <v>0</v>
      </c>
      <c r="G432" s="125">
        <f ca="1">IF('Simulador - 1º Pilar'!$E$99="Sí",IF('Aportaciones PPE'!$B$13&lt;'Aportaciones PPE'!E432,0,F432*$B$8/12),F432*$B$8/12)</f>
        <v>0</v>
      </c>
      <c r="H432" s="125">
        <f t="shared" ca="1" si="230"/>
        <v>0</v>
      </c>
      <c r="I432" s="125">
        <f t="shared" ca="1" si="242"/>
        <v>0</v>
      </c>
      <c r="J432" s="125">
        <f t="shared" ca="1" si="243"/>
        <v>0</v>
      </c>
      <c r="K432" s="125">
        <f t="shared" ca="1" si="244"/>
        <v>0</v>
      </c>
      <c r="L432" s="125">
        <f t="shared" ca="1" si="262"/>
        <v>0</v>
      </c>
      <c r="M432" s="125">
        <f t="shared" ca="1" si="245"/>
        <v>0</v>
      </c>
      <c r="N432" s="125">
        <f t="shared" ca="1" si="246"/>
        <v>0</v>
      </c>
      <c r="R432">
        <f t="shared" si="263"/>
        <v>425</v>
      </c>
      <c r="U432" s="55"/>
      <c r="V432">
        <f t="shared" si="264"/>
        <v>6</v>
      </c>
      <c r="W432">
        <f t="shared" ca="1" si="265"/>
        <v>2059</v>
      </c>
      <c r="X432" s="123">
        <f t="shared" ca="1" si="247"/>
        <v>58227</v>
      </c>
      <c r="Y432" s="64">
        <f t="shared" ca="1" si="248"/>
        <v>0</v>
      </c>
      <c r="Z432" s="64">
        <f t="shared" ca="1" si="249"/>
        <v>0</v>
      </c>
      <c r="AA432" s="64">
        <f t="shared" ca="1" si="250"/>
        <v>0</v>
      </c>
      <c r="AB432" s="64">
        <f t="shared" ca="1" si="251"/>
        <v>0</v>
      </c>
      <c r="AF432" t="str">
        <f t="shared" ca="1" si="231"/>
        <v>22009</v>
      </c>
      <c r="AG432" s="126">
        <f t="shared" ca="1" si="232"/>
        <v>0</v>
      </c>
      <c r="AH432" s="126">
        <f t="shared" ca="1" si="233"/>
        <v>0</v>
      </c>
      <c r="AI432" s="126">
        <f t="shared" ca="1" si="234"/>
        <v>0</v>
      </c>
      <c r="AJ432" t="str">
        <f t="shared" ca="1" si="235"/>
        <v>62059</v>
      </c>
      <c r="AK432" s="126">
        <f t="shared" ca="1" si="252"/>
        <v>0</v>
      </c>
      <c r="AL432" s="126">
        <f t="shared" ca="1" si="253"/>
        <v>0</v>
      </c>
      <c r="AM432" s="126">
        <f t="shared" ca="1" si="266"/>
        <v>0</v>
      </c>
      <c r="AN432" s="753">
        <f t="shared" ca="1" si="267"/>
        <v>0</v>
      </c>
      <c r="AO432" s="750">
        <f t="shared" ca="1" si="254"/>
        <v>0</v>
      </c>
      <c r="AP432" s="126">
        <f t="shared" ca="1" si="255"/>
        <v>0</v>
      </c>
      <c r="AQ432" s="126">
        <f t="shared" ca="1" si="256"/>
        <v>0</v>
      </c>
      <c r="AR432" s="126">
        <f t="shared" ca="1" si="236"/>
        <v>10000</v>
      </c>
      <c r="AS432" s="750">
        <f t="shared" ca="1" si="237"/>
        <v>0</v>
      </c>
      <c r="AT432" s="750">
        <f t="shared" ca="1" si="238"/>
        <v>0</v>
      </c>
      <c r="AU432" s="126">
        <f t="shared" ca="1" si="257"/>
        <v>0</v>
      </c>
      <c r="AV432" s="126">
        <f t="shared" ca="1" si="258"/>
        <v>0</v>
      </c>
      <c r="AW432" s="126">
        <f t="shared" ca="1" si="239"/>
        <v>10000</v>
      </c>
      <c r="AX432" s="750">
        <f t="shared" ca="1" si="259"/>
        <v>0</v>
      </c>
      <c r="AY432" s="750">
        <f t="shared" ca="1" si="260"/>
        <v>0</v>
      </c>
      <c r="AZ432">
        <f t="shared" si="261"/>
        <v>5750</v>
      </c>
    </row>
    <row r="433" spans="4:52">
      <c r="D433">
        <v>426</v>
      </c>
      <c r="E433" s="6">
        <f t="shared" ca="1" si="240"/>
        <v>39814</v>
      </c>
      <c r="F433" s="7">
        <f t="shared" ca="1" si="241"/>
        <v>0</v>
      </c>
      <c r="G433" s="125">
        <f ca="1">IF('Simulador - 1º Pilar'!$E$99="Sí",IF('Aportaciones PPE'!$B$13&lt;'Aportaciones PPE'!E433,0,F433*$B$8/12),F433*$B$8/12)</f>
        <v>0</v>
      </c>
      <c r="H433" s="125">
        <f t="shared" ca="1" si="230"/>
        <v>0</v>
      </c>
      <c r="I433" s="125">
        <f t="shared" ca="1" si="242"/>
        <v>0</v>
      </c>
      <c r="J433" s="125">
        <f t="shared" ca="1" si="243"/>
        <v>0</v>
      </c>
      <c r="K433" s="125">
        <f t="shared" ca="1" si="244"/>
        <v>0</v>
      </c>
      <c r="L433" s="125">
        <f t="shared" ca="1" si="262"/>
        <v>0</v>
      </c>
      <c r="M433" s="125">
        <f t="shared" ca="1" si="245"/>
        <v>0</v>
      </c>
      <c r="N433" s="125">
        <f t="shared" ca="1" si="246"/>
        <v>0</v>
      </c>
      <c r="R433">
        <f t="shared" si="263"/>
        <v>426</v>
      </c>
      <c r="U433" s="55"/>
      <c r="V433">
        <f t="shared" si="264"/>
        <v>7</v>
      </c>
      <c r="W433">
        <f t="shared" ca="1" si="265"/>
        <v>2059</v>
      </c>
      <c r="X433" s="123">
        <f t="shared" ca="1" si="247"/>
        <v>58257</v>
      </c>
      <c r="Y433" s="64">
        <f t="shared" ca="1" si="248"/>
        <v>0</v>
      </c>
      <c r="Z433" s="64">
        <f t="shared" ca="1" si="249"/>
        <v>0</v>
      </c>
      <c r="AA433" s="64">
        <f t="shared" ca="1" si="250"/>
        <v>0</v>
      </c>
      <c r="AB433" s="64">
        <f t="shared" ca="1" si="251"/>
        <v>0</v>
      </c>
      <c r="AF433" t="str">
        <f t="shared" ca="1" si="231"/>
        <v>12009</v>
      </c>
      <c r="AG433" s="126">
        <f t="shared" ca="1" si="232"/>
        <v>0</v>
      </c>
      <c r="AH433" s="126">
        <f t="shared" ca="1" si="233"/>
        <v>0</v>
      </c>
      <c r="AI433" s="126">
        <f t="shared" ca="1" si="234"/>
        <v>0</v>
      </c>
      <c r="AJ433" t="str">
        <f t="shared" ca="1" si="235"/>
        <v>72059</v>
      </c>
      <c r="AK433" s="126">
        <f t="shared" ca="1" si="252"/>
        <v>0</v>
      </c>
      <c r="AL433" s="126">
        <f t="shared" ca="1" si="253"/>
        <v>0</v>
      </c>
      <c r="AM433" s="126">
        <f t="shared" ca="1" si="266"/>
        <v>0</v>
      </c>
      <c r="AN433" s="753">
        <f t="shared" ca="1" si="267"/>
        <v>0</v>
      </c>
      <c r="AO433" s="750">
        <f t="shared" ca="1" si="254"/>
        <v>0</v>
      </c>
      <c r="AP433" s="126">
        <f t="shared" ca="1" si="255"/>
        <v>0</v>
      </c>
      <c r="AQ433" s="126">
        <f t="shared" ca="1" si="256"/>
        <v>0</v>
      </c>
      <c r="AR433" s="126">
        <f t="shared" ca="1" si="236"/>
        <v>10000</v>
      </c>
      <c r="AS433" s="750">
        <f t="shared" ca="1" si="237"/>
        <v>0</v>
      </c>
      <c r="AT433" s="750">
        <f t="shared" ca="1" si="238"/>
        <v>0</v>
      </c>
      <c r="AU433" s="126">
        <f t="shared" ca="1" si="257"/>
        <v>0</v>
      </c>
      <c r="AV433" s="126">
        <f t="shared" ca="1" si="258"/>
        <v>0</v>
      </c>
      <c r="AW433" s="126">
        <f t="shared" ca="1" si="239"/>
        <v>10000</v>
      </c>
      <c r="AX433" s="750">
        <f t="shared" ca="1" si="259"/>
        <v>0</v>
      </c>
      <c r="AY433" s="750">
        <f t="shared" ca="1" si="260"/>
        <v>0</v>
      </c>
      <c r="AZ433">
        <f t="shared" si="261"/>
        <v>5750</v>
      </c>
    </row>
    <row r="434" spans="4:52">
      <c r="D434">
        <v>427</v>
      </c>
      <c r="E434" s="6">
        <f t="shared" ca="1" si="240"/>
        <v>39783</v>
      </c>
      <c r="F434" s="7">
        <f t="shared" ca="1" si="241"/>
        <v>0</v>
      </c>
      <c r="G434" s="125">
        <f ca="1">IF('Simulador - 1º Pilar'!$E$99="Sí",IF('Aportaciones PPE'!$B$13&lt;'Aportaciones PPE'!E434,0,F434*$B$8/12),F434*$B$8/12)</f>
        <v>0</v>
      </c>
      <c r="H434" s="125">
        <f t="shared" ca="1" si="230"/>
        <v>0</v>
      </c>
      <c r="I434" s="125">
        <f t="shared" ca="1" si="242"/>
        <v>0</v>
      </c>
      <c r="J434" s="125">
        <f t="shared" ca="1" si="243"/>
        <v>0</v>
      </c>
      <c r="K434" s="125">
        <f t="shared" ca="1" si="244"/>
        <v>0</v>
      </c>
      <c r="L434" s="125">
        <f t="shared" ca="1" si="262"/>
        <v>0</v>
      </c>
      <c r="M434" s="125">
        <f t="shared" ca="1" si="245"/>
        <v>0</v>
      </c>
      <c r="N434" s="125">
        <f t="shared" ca="1" si="246"/>
        <v>0</v>
      </c>
      <c r="R434">
        <f t="shared" si="263"/>
        <v>427</v>
      </c>
      <c r="U434" s="55"/>
      <c r="V434">
        <f t="shared" si="264"/>
        <v>8</v>
      </c>
      <c r="W434">
        <f t="shared" ca="1" si="265"/>
        <v>2059</v>
      </c>
      <c r="X434" s="123">
        <f t="shared" ca="1" si="247"/>
        <v>58288</v>
      </c>
      <c r="Y434" s="64">
        <f t="shared" ca="1" si="248"/>
        <v>0</v>
      </c>
      <c r="Z434" s="64">
        <f t="shared" ca="1" si="249"/>
        <v>0</v>
      </c>
      <c r="AA434" s="64">
        <f t="shared" ca="1" si="250"/>
        <v>0</v>
      </c>
      <c r="AB434" s="64">
        <f t="shared" ca="1" si="251"/>
        <v>0</v>
      </c>
      <c r="AF434" t="str">
        <f t="shared" ca="1" si="231"/>
        <v>122008</v>
      </c>
      <c r="AG434" s="126">
        <f t="shared" ca="1" si="232"/>
        <v>0</v>
      </c>
      <c r="AH434" s="126">
        <f t="shared" ca="1" si="233"/>
        <v>0</v>
      </c>
      <c r="AI434" s="126">
        <f t="shared" ca="1" si="234"/>
        <v>0</v>
      </c>
      <c r="AJ434" t="str">
        <f t="shared" ca="1" si="235"/>
        <v>82059</v>
      </c>
      <c r="AK434" s="126">
        <f t="shared" ca="1" si="252"/>
        <v>0</v>
      </c>
      <c r="AL434" s="126">
        <f t="shared" ca="1" si="253"/>
        <v>0</v>
      </c>
      <c r="AM434" s="126">
        <f t="shared" ca="1" si="266"/>
        <v>0</v>
      </c>
      <c r="AN434" s="753">
        <f t="shared" ca="1" si="267"/>
        <v>0</v>
      </c>
      <c r="AO434" s="750">
        <f t="shared" ca="1" si="254"/>
        <v>0</v>
      </c>
      <c r="AP434" s="126">
        <f t="shared" ca="1" si="255"/>
        <v>0</v>
      </c>
      <c r="AQ434" s="126">
        <f t="shared" ca="1" si="256"/>
        <v>0</v>
      </c>
      <c r="AR434" s="126">
        <f t="shared" ca="1" si="236"/>
        <v>10000</v>
      </c>
      <c r="AS434" s="750">
        <f t="shared" ca="1" si="237"/>
        <v>0</v>
      </c>
      <c r="AT434" s="750">
        <f t="shared" ca="1" si="238"/>
        <v>0</v>
      </c>
      <c r="AU434" s="126">
        <f t="shared" ca="1" si="257"/>
        <v>0</v>
      </c>
      <c r="AV434" s="126">
        <f t="shared" ca="1" si="258"/>
        <v>0</v>
      </c>
      <c r="AW434" s="126">
        <f t="shared" ca="1" si="239"/>
        <v>10000</v>
      </c>
      <c r="AX434" s="750">
        <f t="shared" ca="1" si="259"/>
        <v>0</v>
      </c>
      <c r="AY434" s="750">
        <f t="shared" ca="1" si="260"/>
        <v>0</v>
      </c>
      <c r="AZ434">
        <f t="shared" si="261"/>
        <v>5750</v>
      </c>
    </row>
    <row r="435" spans="4:52">
      <c r="D435">
        <v>428</v>
      </c>
      <c r="E435" s="6">
        <f t="shared" ca="1" si="240"/>
        <v>39753</v>
      </c>
      <c r="F435" s="7">
        <f t="shared" ca="1" si="241"/>
        <v>0</v>
      </c>
      <c r="G435" s="125">
        <f ca="1">IF('Simulador - 1º Pilar'!$E$99="Sí",IF('Aportaciones PPE'!$B$13&lt;'Aportaciones PPE'!E435,0,F435*$B$8/12),F435*$B$8/12)</f>
        <v>0</v>
      </c>
      <c r="H435" s="125">
        <f t="shared" ca="1" si="230"/>
        <v>0</v>
      </c>
      <c r="I435" s="125">
        <f t="shared" ca="1" si="242"/>
        <v>0</v>
      </c>
      <c r="J435" s="125">
        <f t="shared" ca="1" si="243"/>
        <v>0</v>
      </c>
      <c r="K435" s="125">
        <f t="shared" ca="1" si="244"/>
        <v>0</v>
      </c>
      <c r="L435" s="125">
        <f t="shared" ca="1" si="262"/>
        <v>0</v>
      </c>
      <c r="M435" s="125">
        <f t="shared" ca="1" si="245"/>
        <v>0</v>
      </c>
      <c r="N435" s="125">
        <f t="shared" ca="1" si="246"/>
        <v>0</v>
      </c>
      <c r="R435">
        <f t="shared" si="263"/>
        <v>428</v>
      </c>
      <c r="U435" s="55"/>
      <c r="V435">
        <f t="shared" si="264"/>
        <v>9</v>
      </c>
      <c r="W435">
        <f t="shared" ca="1" si="265"/>
        <v>2059</v>
      </c>
      <c r="X435" s="123">
        <f t="shared" ca="1" si="247"/>
        <v>58319</v>
      </c>
      <c r="Y435" s="64">
        <f t="shared" ca="1" si="248"/>
        <v>0</v>
      </c>
      <c r="Z435" s="64">
        <f t="shared" ca="1" si="249"/>
        <v>0</v>
      </c>
      <c r="AA435" s="64">
        <f t="shared" ca="1" si="250"/>
        <v>0</v>
      </c>
      <c r="AB435" s="64">
        <f t="shared" ca="1" si="251"/>
        <v>0</v>
      </c>
      <c r="AF435" t="str">
        <f t="shared" ca="1" si="231"/>
        <v>112008</v>
      </c>
      <c r="AG435" s="126">
        <f t="shared" ca="1" si="232"/>
        <v>0</v>
      </c>
      <c r="AH435" s="126">
        <f t="shared" ca="1" si="233"/>
        <v>0</v>
      </c>
      <c r="AI435" s="126">
        <f t="shared" ca="1" si="234"/>
        <v>0</v>
      </c>
      <c r="AJ435" t="str">
        <f t="shared" ca="1" si="235"/>
        <v>92059</v>
      </c>
      <c r="AK435" s="126">
        <f t="shared" ca="1" si="252"/>
        <v>0</v>
      </c>
      <c r="AL435" s="126">
        <f t="shared" ca="1" si="253"/>
        <v>0</v>
      </c>
      <c r="AM435" s="126">
        <f t="shared" ca="1" si="266"/>
        <v>0</v>
      </c>
      <c r="AN435" s="753">
        <f t="shared" ca="1" si="267"/>
        <v>0</v>
      </c>
      <c r="AO435" s="750">
        <f t="shared" ca="1" si="254"/>
        <v>0</v>
      </c>
      <c r="AP435" s="126">
        <f t="shared" ca="1" si="255"/>
        <v>0</v>
      </c>
      <c r="AQ435" s="126">
        <f t="shared" ca="1" si="256"/>
        <v>0</v>
      </c>
      <c r="AR435" s="126">
        <f t="shared" ca="1" si="236"/>
        <v>10000</v>
      </c>
      <c r="AS435" s="750">
        <f t="shared" ca="1" si="237"/>
        <v>0</v>
      </c>
      <c r="AT435" s="750">
        <f t="shared" ca="1" si="238"/>
        <v>0</v>
      </c>
      <c r="AU435" s="126">
        <f t="shared" ca="1" si="257"/>
        <v>0</v>
      </c>
      <c r="AV435" s="126">
        <f t="shared" ca="1" si="258"/>
        <v>0</v>
      </c>
      <c r="AW435" s="126">
        <f t="shared" ca="1" si="239"/>
        <v>10000</v>
      </c>
      <c r="AX435" s="750">
        <f t="shared" ca="1" si="259"/>
        <v>0</v>
      </c>
      <c r="AY435" s="750">
        <f t="shared" ca="1" si="260"/>
        <v>0</v>
      </c>
      <c r="AZ435">
        <f t="shared" si="261"/>
        <v>5750</v>
      </c>
    </row>
    <row r="436" spans="4:52">
      <c r="D436">
        <v>429</v>
      </c>
      <c r="E436" s="6">
        <f t="shared" ca="1" si="240"/>
        <v>39722</v>
      </c>
      <c r="F436" s="7">
        <f t="shared" ca="1" si="241"/>
        <v>0</v>
      </c>
      <c r="G436" s="125">
        <f ca="1">IF('Simulador - 1º Pilar'!$E$99="Sí",IF('Aportaciones PPE'!$B$13&lt;'Aportaciones PPE'!E436,0,F436*$B$8/12),F436*$B$8/12)</f>
        <v>0</v>
      </c>
      <c r="H436" s="125">
        <f t="shared" ca="1" si="230"/>
        <v>0</v>
      </c>
      <c r="I436" s="125">
        <f t="shared" ca="1" si="242"/>
        <v>0</v>
      </c>
      <c r="J436" s="125">
        <f t="shared" ca="1" si="243"/>
        <v>0</v>
      </c>
      <c r="K436" s="125">
        <f t="shared" ca="1" si="244"/>
        <v>0</v>
      </c>
      <c r="L436" s="125">
        <f t="shared" ca="1" si="262"/>
        <v>0</v>
      </c>
      <c r="M436" s="125">
        <f t="shared" ca="1" si="245"/>
        <v>0</v>
      </c>
      <c r="N436" s="125">
        <f t="shared" ca="1" si="246"/>
        <v>0</v>
      </c>
      <c r="R436">
        <f t="shared" si="263"/>
        <v>429</v>
      </c>
      <c r="U436" s="55"/>
      <c r="V436">
        <f t="shared" si="264"/>
        <v>10</v>
      </c>
      <c r="W436">
        <f t="shared" ca="1" si="265"/>
        <v>2059</v>
      </c>
      <c r="X436" s="123">
        <f t="shared" ca="1" si="247"/>
        <v>58349</v>
      </c>
      <c r="Y436" s="64">
        <f t="shared" ca="1" si="248"/>
        <v>0</v>
      </c>
      <c r="Z436" s="64">
        <f t="shared" ca="1" si="249"/>
        <v>0</v>
      </c>
      <c r="AA436" s="64">
        <f t="shared" ca="1" si="250"/>
        <v>0</v>
      </c>
      <c r="AB436" s="64">
        <f t="shared" ca="1" si="251"/>
        <v>0</v>
      </c>
      <c r="AF436" t="str">
        <f t="shared" ca="1" si="231"/>
        <v>102008</v>
      </c>
      <c r="AG436" s="126">
        <f t="shared" ca="1" si="232"/>
        <v>0</v>
      </c>
      <c r="AH436" s="126">
        <f t="shared" ca="1" si="233"/>
        <v>0</v>
      </c>
      <c r="AI436" s="126">
        <f t="shared" ca="1" si="234"/>
        <v>0</v>
      </c>
      <c r="AJ436" t="str">
        <f t="shared" ca="1" si="235"/>
        <v>102059</v>
      </c>
      <c r="AK436" s="126">
        <f t="shared" ca="1" si="252"/>
        <v>0</v>
      </c>
      <c r="AL436" s="126">
        <f t="shared" ca="1" si="253"/>
        <v>0</v>
      </c>
      <c r="AM436" s="126">
        <f t="shared" ca="1" si="266"/>
        <v>0</v>
      </c>
      <c r="AN436" s="753">
        <f t="shared" ca="1" si="267"/>
        <v>0</v>
      </c>
      <c r="AO436" s="750">
        <f t="shared" ca="1" si="254"/>
        <v>0</v>
      </c>
      <c r="AP436" s="126">
        <f t="shared" ca="1" si="255"/>
        <v>0</v>
      </c>
      <c r="AQ436" s="126">
        <f t="shared" ca="1" si="256"/>
        <v>0</v>
      </c>
      <c r="AR436" s="126">
        <f t="shared" ca="1" si="236"/>
        <v>10000</v>
      </c>
      <c r="AS436" s="750">
        <f t="shared" ca="1" si="237"/>
        <v>0</v>
      </c>
      <c r="AT436" s="750">
        <f t="shared" ca="1" si="238"/>
        <v>0</v>
      </c>
      <c r="AU436" s="126">
        <f t="shared" ca="1" si="257"/>
        <v>0</v>
      </c>
      <c r="AV436" s="126">
        <f t="shared" ca="1" si="258"/>
        <v>0</v>
      </c>
      <c r="AW436" s="126">
        <f t="shared" ca="1" si="239"/>
        <v>10000</v>
      </c>
      <c r="AX436" s="750">
        <f t="shared" ca="1" si="259"/>
        <v>0</v>
      </c>
      <c r="AY436" s="750">
        <f t="shared" ca="1" si="260"/>
        <v>0</v>
      </c>
      <c r="AZ436">
        <f t="shared" si="261"/>
        <v>5750</v>
      </c>
    </row>
    <row r="437" spans="4:52">
      <c r="D437">
        <v>430</v>
      </c>
      <c r="E437" s="6">
        <f t="shared" ca="1" si="240"/>
        <v>39692</v>
      </c>
      <c r="F437" s="7">
        <f t="shared" ca="1" si="241"/>
        <v>0</v>
      </c>
      <c r="G437" s="125">
        <f ca="1">IF('Simulador - 1º Pilar'!$E$99="Sí",IF('Aportaciones PPE'!$B$13&lt;'Aportaciones PPE'!E437,0,F437*$B$8/12),F437*$B$8/12)</f>
        <v>0</v>
      </c>
      <c r="H437" s="125">
        <f t="shared" ca="1" si="230"/>
        <v>0</v>
      </c>
      <c r="I437" s="125">
        <f t="shared" ca="1" si="242"/>
        <v>0</v>
      </c>
      <c r="J437" s="125">
        <f t="shared" ca="1" si="243"/>
        <v>0</v>
      </c>
      <c r="K437" s="125">
        <f t="shared" ca="1" si="244"/>
        <v>0</v>
      </c>
      <c r="L437" s="125">
        <f t="shared" ca="1" si="262"/>
        <v>0</v>
      </c>
      <c r="M437" s="125">
        <f t="shared" ca="1" si="245"/>
        <v>0</v>
      </c>
      <c r="N437" s="125">
        <f t="shared" ca="1" si="246"/>
        <v>0</v>
      </c>
      <c r="R437">
        <f t="shared" si="263"/>
        <v>430</v>
      </c>
      <c r="U437" s="55"/>
      <c r="V437">
        <f t="shared" si="264"/>
        <v>11</v>
      </c>
      <c r="W437">
        <f t="shared" ca="1" si="265"/>
        <v>2059</v>
      </c>
      <c r="X437" s="123">
        <f t="shared" ca="1" si="247"/>
        <v>58380</v>
      </c>
      <c r="Y437" s="64">
        <f t="shared" ca="1" si="248"/>
        <v>0</v>
      </c>
      <c r="Z437" s="64">
        <f t="shared" ca="1" si="249"/>
        <v>0</v>
      </c>
      <c r="AA437" s="64">
        <f t="shared" ca="1" si="250"/>
        <v>0</v>
      </c>
      <c r="AB437" s="64">
        <f t="shared" ca="1" si="251"/>
        <v>0</v>
      </c>
      <c r="AF437" t="str">
        <f t="shared" ca="1" si="231"/>
        <v>92008</v>
      </c>
      <c r="AG437" s="126">
        <f t="shared" ca="1" si="232"/>
        <v>0</v>
      </c>
      <c r="AH437" s="126">
        <f t="shared" ca="1" si="233"/>
        <v>0</v>
      </c>
      <c r="AI437" s="126">
        <f t="shared" ca="1" si="234"/>
        <v>0</v>
      </c>
      <c r="AJ437" t="str">
        <f t="shared" ca="1" si="235"/>
        <v>112059</v>
      </c>
      <c r="AK437" s="126">
        <f t="shared" ca="1" si="252"/>
        <v>0</v>
      </c>
      <c r="AL437" s="126">
        <f t="shared" ca="1" si="253"/>
        <v>0</v>
      </c>
      <c r="AM437" s="126">
        <f t="shared" ca="1" si="266"/>
        <v>0</v>
      </c>
      <c r="AN437" s="753">
        <f t="shared" ca="1" si="267"/>
        <v>0</v>
      </c>
      <c r="AO437" s="750">
        <f t="shared" ca="1" si="254"/>
        <v>0</v>
      </c>
      <c r="AP437" s="126">
        <f t="shared" ca="1" si="255"/>
        <v>0</v>
      </c>
      <c r="AQ437" s="126">
        <f t="shared" ca="1" si="256"/>
        <v>0</v>
      </c>
      <c r="AR437" s="126">
        <f t="shared" ca="1" si="236"/>
        <v>10000</v>
      </c>
      <c r="AS437" s="750">
        <f t="shared" ca="1" si="237"/>
        <v>0</v>
      </c>
      <c r="AT437" s="750">
        <f t="shared" ca="1" si="238"/>
        <v>0</v>
      </c>
      <c r="AU437" s="126">
        <f t="shared" ca="1" si="257"/>
        <v>0</v>
      </c>
      <c r="AV437" s="126">
        <f t="shared" ca="1" si="258"/>
        <v>0</v>
      </c>
      <c r="AW437" s="126">
        <f t="shared" ca="1" si="239"/>
        <v>10000</v>
      </c>
      <c r="AX437" s="750">
        <f t="shared" ca="1" si="259"/>
        <v>0</v>
      </c>
      <c r="AY437" s="750">
        <f t="shared" ca="1" si="260"/>
        <v>0</v>
      </c>
      <c r="AZ437">
        <f t="shared" si="261"/>
        <v>5750</v>
      </c>
    </row>
    <row r="438" spans="4:52">
      <c r="D438">
        <v>431</v>
      </c>
      <c r="E438" s="6">
        <f t="shared" ca="1" si="240"/>
        <v>39661</v>
      </c>
      <c r="F438" s="7">
        <f t="shared" ca="1" si="241"/>
        <v>0</v>
      </c>
      <c r="G438" s="125">
        <f ca="1">IF('Simulador - 1º Pilar'!$E$99="Sí",IF('Aportaciones PPE'!$B$13&lt;'Aportaciones PPE'!E438,0,F438*$B$8/12),F438*$B$8/12)</f>
        <v>0</v>
      </c>
      <c r="H438" s="125">
        <f t="shared" ca="1" si="230"/>
        <v>0</v>
      </c>
      <c r="I438" s="125">
        <f t="shared" ca="1" si="242"/>
        <v>0</v>
      </c>
      <c r="J438" s="125">
        <f t="shared" ca="1" si="243"/>
        <v>0</v>
      </c>
      <c r="K438" s="125">
        <f t="shared" ca="1" si="244"/>
        <v>0</v>
      </c>
      <c r="L438" s="125">
        <f t="shared" ca="1" si="262"/>
        <v>0</v>
      </c>
      <c r="M438" s="125">
        <f t="shared" ca="1" si="245"/>
        <v>0</v>
      </c>
      <c r="N438" s="125">
        <f t="shared" ca="1" si="246"/>
        <v>0</v>
      </c>
      <c r="R438">
        <f t="shared" si="263"/>
        <v>431</v>
      </c>
      <c r="U438" s="55"/>
      <c r="V438">
        <f t="shared" si="264"/>
        <v>12</v>
      </c>
      <c r="W438">
        <f t="shared" ca="1" si="265"/>
        <v>2059</v>
      </c>
      <c r="X438" s="123">
        <f t="shared" ca="1" si="247"/>
        <v>58410</v>
      </c>
      <c r="Y438" s="64">
        <f t="shared" ca="1" si="248"/>
        <v>0</v>
      </c>
      <c r="Z438" s="64">
        <f t="shared" ca="1" si="249"/>
        <v>0</v>
      </c>
      <c r="AA438" s="64">
        <f t="shared" ca="1" si="250"/>
        <v>0</v>
      </c>
      <c r="AB438" s="64">
        <f t="shared" ca="1" si="251"/>
        <v>0</v>
      </c>
      <c r="AF438" t="str">
        <f t="shared" ca="1" si="231"/>
        <v>82008</v>
      </c>
      <c r="AG438" s="126">
        <f t="shared" ca="1" si="232"/>
        <v>0</v>
      </c>
      <c r="AH438" s="126">
        <f t="shared" ca="1" si="233"/>
        <v>0</v>
      </c>
      <c r="AI438" s="126">
        <f t="shared" ca="1" si="234"/>
        <v>0</v>
      </c>
      <c r="AJ438" t="str">
        <f t="shared" ca="1" si="235"/>
        <v>122059</v>
      </c>
      <c r="AK438" s="126">
        <f t="shared" ca="1" si="252"/>
        <v>0</v>
      </c>
      <c r="AL438" s="126">
        <f t="shared" ca="1" si="253"/>
        <v>0</v>
      </c>
      <c r="AM438" s="126">
        <f t="shared" ca="1" si="266"/>
        <v>0</v>
      </c>
      <c r="AN438" s="753">
        <f t="shared" ca="1" si="267"/>
        <v>0</v>
      </c>
      <c r="AO438" s="750">
        <f t="shared" ca="1" si="254"/>
        <v>0</v>
      </c>
      <c r="AP438" s="126">
        <f t="shared" ca="1" si="255"/>
        <v>0</v>
      </c>
      <c r="AQ438" s="126">
        <f t="shared" ca="1" si="256"/>
        <v>0</v>
      </c>
      <c r="AR438" s="126">
        <f t="shared" ca="1" si="236"/>
        <v>10000</v>
      </c>
      <c r="AS438" s="750">
        <f t="shared" ca="1" si="237"/>
        <v>0</v>
      </c>
      <c r="AT438" s="750">
        <f t="shared" ca="1" si="238"/>
        <v>0</v>
      </c>
      <c r="AU438" s="126">
        <f t="shared" ca="1" si="257"/>
        <v>0</v>
      </c>
      <c r="AV438" s="126">
        <f t="shared" ca="1" si="258"/>
        <v>0</v>
      </c>
      <c r="AW438" s="126">
        <f t="shared" ca="1" si="239"/>
        <v>10000</v>
      </c>
      <c r="AX438" s="750">
        <f t="shared" ca="1" si="259"/>
        <v>0</v>
      </c>
      <c r="AY438" s="750">
        <f t="shared" ca="1" si="260"/>
        <v>0</v>
      </c>
      <c r="AZ438">
        <f t="shared" si="261"/>
        <v>5750</v>
      </c>
    </row>
    <row r="439" spans="4:52">
      <c r="D439">
        <v>432</v>
      </c>
      <c r="E439" s="6">
        <f t="shared" ca="1" si="240"/>
        <v>39630</v>
      </c>
      <c r="F439" s="7">
        <f t="shared" ca="1" si="241"/>
        <v>0</v>
      </c>
      <c r="G439" s="125">
        <f ca="1">IF('Simulador - 1º Pilar'!$E$99="Sí",IF('Aportaciones PPE'!$B$13&lt;'Aportaciones PPE'!E439,0,F439*$B$8/12),F439*$B$8/12)</f>
        <v>0</v>
      </c>
      <c r="H439" s="125">
        <f t="shared" ca="1" si="230"/>
        <v>0</v>
      </c>
      <c r="I439" s="125">
        <f t="shared" ca="1" si="242"/>
        <v>0</v>
      </c>
      <c r="J439" s="125">
        <f t="shared" ca="1" si="243"/>
        <v>0</v>
      </c>
      <c r="K439" s="125">
        <f t="shared" ca="1" si="244"/>
        <v>0</v>
      </c>
      <c r="L439" s="125">
        <f t="shared" ca="1" si="262"/>
        <v>0</v>
      </c>
      <c r="M439" s="125">
        <f t="shared" ca="1" si="245"/>
        <v>0</v>
      </c>
      <c r="N439" s="125">
        <f t="shared" ca="1" si="246"/>
        <v>0</v>
      </c>
      <c r="R439">
        <f t="shared" si="263"/>
        <v>432</v>
      </c>
      <c r="U439" s="55"/>
      <c r="V439">
        <f t="shared" si="264"/>
        <v>1</v>
      </c>
      <c r="W439">
        <f t="shared" ca="1" si="265"/>
        <v>2060</v>
      </c>
      <c r="X439" s="123">
        <f t="shared" ca="1" si="247"/>
        <v>58441</v>
      </c>
      <c r="Y439" s="64">
        <f t="shared" ca="1" si="248"/>
        <v>0</v>
      </c>
      <c r="Z439" s="64">
        <f t="shared" ca="1" si="249"/>
        <v>0</v>
      </c>
      <c r="AA439" s="64">
        <f t="shared" ca="1" si="250"/>
        <v>0</v>
      </c>
      <c r="AB439" s="64">
        <f t="shared" ca="1" si="251"/>
        <v>0</v>
      </c>
      <c r="AF439" t="str">
        <f t="shared" ca="1" si="231"/>
        <v>72008</v>
      </c>
      <c r="AG439" s="126">
        <f t="shared" ca="1" si="232"/>
        <v>0</v>
      </c>
      <c r="AH439" s="126">
        <f t="shared" ca="1" si="233"/>
        <v>0</v>
      </c>
      <c r="AI439" s="126">
        <f t="shared" ca="1" si="234"/>
        <v>0</v>
      </c>
      <c r="AJ439" t="str">
        <f t="shared" ca="1" si="235"/>
        <v>12060</v>
      </c>
      <c r="AK439" s="126">
        <f t="shared" ca="1" si="252"/>
        <v>0</v>
      </c>
      <c r="AL439" s="126">
        <f t="shared" ca="1" si="253"/>
        <v>0</v>
      </c>
      <c r="AM439" s="126">
        <f t="shared" ca="1" si="266"/>
        <v>0</v>
      </c>
      <c r="AN439" s="753">
        <f t="shared" ca="1" si="267"/>
        <v>0</v>
      </c>
      <c r="AO439" s="750">
        <f t="shared" ca="1" si="254"/>
        <v>0</v>
      </c>
      <c r="AP439" s="126">
        <f t="shared" ca="1" si="255"/>
        <v>0</v>
      </c>
      <c r="AQ439" s="126">
        <f t="shared" ca="1" si="256"/>
        <v>0</v>
      </c>
      <c r="AR439" s="126">
        <f t="shared" ca="1" si="236"/>
        <v>10000</v>
      </c>
      <c r="AS439" s="750">
        <f t="shared" ca="1" si="237"/>
        <v>0</v>
      </c>
      <c r="AT439" s="750">
        <f t="shared" ca="1" si="238"/>
        <v>0</v>
      </c>
      <c r="AU439" s="126">
        <f t="shared" ca="1" si="257"/>
        <v>0</v>
      </c>
      <c r="AV439" s="126">
        <f t="shared" ca="1" si="258"/>
        <v>0</v>
      </c>
      <c r="AW439" s="126">
        <f t="shared" ca="1" si="239"/>
        <v>10000</v>
      </c>
      <c r="AX439" s="750">
        <f t="shared" ca="1" si="259"/>
        <v>0</v>
      </c>
      <c r="AY439" s="750">
        <f t="shared" ca="1" si="260"/>
        <v>0</v>
      </c>
      <c r="AZ439">
        <f t="shared" si="261"/>
        <v>5750</v>
      </c>
    </row>
    <row r="440" spans="4:52">
      <c r="D440">
        <v>433</v>
      </c>
      <c r="E440" s="6">
        <f t="shared" ca="1" si="240"/>
        <v>39600</v>
      </c>
      <c r="F440" s="7">
        <f t="shared" ca="1" si="241"/>
        <v>0</v>
      </c>
      <c r="G440" s="125">
        <f ca="1">IF('Simulador - 1º Pilar'!$E$99="Sí",IF('Aportaciones PPE'!$B$13&lt;'Aportaciones PPE'!E440,0,F440*$B$8/12),F440*$B$8/12)</f>
        <v>0</v>
      </c>
      <c r="H440" s="125">
        <f t="shared" ca="1" si="230"/>
        <v>0</v>
      </c>
      <c r="I440" s="125">
        <f t="shared" ca="1" si="242"/>
        <v>0</v>
      </c>
      <c r="J440" s="125">
        <f t="shared" ca="1" si="243"/>
        <v>0</v>
      </c>
      <c r="K440" s="125">
        <f t="shared" ca="1" si="244"/>
        <v>0</v>
      </c>
      <c r="L440" s="125">
        <f t="shared" ca="1" si="262"/>
        <v>0</v>
      </c>
      <c r="M440" s="125">
        <f t="shared" ca="1" si="245"/>
        <v>0</v>
      </c>
      <c r="N440" s="125">
        <f t="shared" ca="1" si="246"/>
        <v>0</v>
      </c>
      <c r="R440">
        <f t="shared" si="263"/>
        <v>433</v>
      </c>
      <c r="U440" s="55"/>
      <c r="V440">
        <f t="shared" si="264"/>
        <v>2</v>
      </c>
      <c r="W440">
        <f t="shared" ca="1" si="265"/>
        <v>2060</v>
      </c>
      <c r="X440" s="123">
        <f t="shared" ca="1" si="247"/>
        <v>58472</v>
      </c>
      <c r="Y440" s="64">
        <f t="shared" ca="1" si="248"/>
        <v>0</v>
      </c>
      <c r="Z440" s="64">
        <f t="shared" ca="1" si="249"/>
        <v>0</v>
      </c>
      <c r="AA440" s="64">
        <f t="shared" ca="1" si="250"/>
        <v>0</v>
      </c>
      <c r="AB440" s="64">
        <f t="shared" ca="1" si="251"/>
        <v>0</v>
      </c>
      <c r="AF440" t="str">
        <f t="shared" ca="1" si="231"/>
        <v>62008</v>
      </c>
      <c r="AG440" s="126">
        <f t="shared" ca="1" si="232"/>
        <v>0</v>
      </c>
      <c r="AH440" s="126">
        <f t="shared" ca="1" si="233"/>
        <v>0</v>
      </c>
      <c r="AI440" s="126">
        <f t="shared" ca="1" si="234"/>
        <v>0</v>
      </c>
      <c r="AJ440" t="str">
        <f t="shared" ca="1" si="235"/>
        <v>22060</v>
      </c>
      <c r="AK440" s="126">
        <f t="shared" ca="1" si="252"/>
        <v>0</v>
      </c>
      <c r="AL440" s="126">
        <f t="shared" ca="1" si="253"/>
        <v>0</v>
      </c>
      <c r="AM440" s="126">
        <f t="shared" ca="1" si="266"/>
        <v>0</v>
      </c>
      <c r="AN440" s="753">
        <f t="shared" ca="1" si="267"/>
        <v>0</v>
      </c>
      <c r="AO440" s="750">
        <f t="shared" ca="1" si="254"/>
        <v>0</v>
      </c>
      <c r="AP440" s="126">
        <f t="shared" ca="1" si="255"/>
        <v>0</v>
      </c>
      <c r="AQ440" s="126">
        <f t="shared" ca="1" si="256"/>
        <v>0</v>
      </c>
      <c r="AR440" s="126">
        <f t="shared" ca="1" si="236"/>
        <v>10000</v>
      </c>
      <c r="AS440" s="750">
        <f t="shared" ca="1" si="237"/>
        <v>0</v>
      </c>
      <c r="AT440" s="750">
        <f t="shared" ca="1" si="238"/>
        <v>0</v>
      </c>
      <c r="AU440" s="126">
        <f t="shared" ca="1" si="257"/>
        <v>0</v>
      </c>
      <c r="AV440" s="126">
        <f t="shared" ca="1" si="258"/>
        <v>0</v>
      </c>
      <c r="AW440" s="126">
        <f t="shared" ca="1" si="239"/>
        <v>10000</v>
      </c>
      <c r="AX440" s="750">
        <f t="shared" ca="1" si="259"/>
        <v>0</v>
      </c>
      <c r="AY440" s="750">
        <f t="shared" ca="1" si="260"/>
        <v>0</v>
      </c>
      <c r="AZ440">
        <f t="shared" si="261"/>
        <v>5750</v>
      </c>
    </row>
    <row r="441" spans="4:52">
      <c r="D441">
        <v>434</v>
      </c>
      <c r="E441" s="6">
        <f t="shared" ca="1" si="240"/>
        <v>39569</v>
      </c>
      <c r="F441" s="7">
        <f t="shared" ca="1" si="241"/>
        <v>0</v>
      </c>
      <c r="G441" s="125">
        <f ca="1">IF('Simulador - 1º Pilar'!$E$99="Sí",IF('Aportaciones PPE'!$B$13&lt;'Aportaciones PPE'!E441,0,F441*$B$8/12),F441*$B$8/12)</f>
        <v>0</v>
      </c>
      <c r="H441" s="125">
        <f t="shared" ca="1" si="230"/>
        <v>0</v>
      </c>
      <c r="I441" s="125">
        <f t="shared" ca="1" si="242"/>
        <v>0</v>
      </c>
      <c r="J441" s="125">
        <f t="shared" ca="1" si="243"/>
        <v>0</v>
      </c>
      <c r="K441" s="125">
        <f t="shared" ca="1" si="244"/>
        <v>0</v>
      </c>
      <c r="L441" s="125">
        <f t="shared" ca="1" si="262"/>
        <v>0</v>
      </c>
      <c r="M441" s="125">
        <f t="shared" ca="1" si="245"/>
        <v>0</v>
      </c>
      <c r="N441" s="125">
        <f t="shared" ca="1" si="246"/>
        <v>0</v>
      </c>
      <c r="R441">
        <f t="shared" si="263"/>
        <v>434</v>
      </c>
      <c r="U441" s="55"/>
      <c r="V441">
        <f t="shared" si="264"/>
        <v>3</v>
      </c>
      <c r="W441">
        <f t="shared" ca="1" si="265"/>
        <v>2060</v>
      </c>
      <c r="X441" s="123">
        <f t="shared" ca="1" si="247"/>
        <v>58501</v>
      </c>
      <c r="Y441" s="64">
        <f t="shared" ca="1" si="248"/>
        <v>0</v>
      </c>
      <c r="Z441" s="64">
        <f t="shared" ca="1" si="249"/>
        <v>0</v>
      </c>
      <c r="AA441" s="64">
        <f t="shared" ca="1" si="250"/>
        <v>0</v>
      </c>
      <c r="AB441" s="64">
        <f t="shared" ca="1" si="251"/>
        <v>0</v>
      </c>
      <c r="AF441" t="str">
        <f t="shared" ca="1" si="231"/>
        <v>52008</v>
      </c>
      <c r="AG441" s="126">
        <f t="shared" ca="1" si="232"/>
        <v>0</v>
      </c>
      <c r="AH441" s="126">
        <f t="shared" ca="1" si="233"/>
        <v>0</v>
      </c>
      <c r="AI441" s="126">
        <f t="shared" ca="1" si="234"/>
        <v>0</v>
      </c>
      <c r="AJ441" t="str">
        <f t="shared" ca="1" si="235"/>
        <v>32060</v>
      </c>
      <c r="AK441" s="126">
        <f t="shared" ca="1" si="252"/>
        <v>0</v>
      </c>
      <c r="AL441" s="126">
        <f t="shared" ca="1" si="253"/>
        <v>0</v>
      </c>
      <c r="AM441" s="126">
        <f t="shared" ca="1" si="266"/>
        <v>0</v>
      </c>
      <c r="AN441" s="753">
        <f t="shared" ca="1" si="267"/>
        <v>0</v>
      </c>
      <c r="AO441" s="750">
        <f t="shared" ca="1" si="254"/>
        <v>0</v>
      </c>
      <c r="AP441" s="126">
        <f t="shared" ca="1" si="255"/>
        <v>0</v>
      </c>
      <c r="AQ441" s="126">
        <f t="shared" ca="1" si="256"/>
        <v>0</v>
      </c>
      <c r="AR441" s="126">
        <f t="shared" ca="1" si="236"/>
        <v>10000</v>
      </c>
      <c r="AS441" s="750">
        <f t="shared" ca="1" si="237"/>
        <v>0</v>
      </c>
      <c r="AT441" s="750">
        <f t="shared" ca="1" si="238"/>
        <v>0</v>
      </c>
      <c r="AU441" s="126">
        <f t="shared" ca="1" si="257"/>
        <v>0</v>
      </c>
      <c r="AV441" s="126">
        <f t="shared" ca="1" si="258"/>
        <v>0</v>
      </c>
      <c r="AW441" s="126">
        <f t="shared" ca="1" si="239"/>
        <v>10000</v>
      </c>
      <c r="AX441" s="750">
        <f t="shared" ca="1" si="259"/>
        <v>0</v>
      </c>
      <c r="AY441" s="750">
        <f t="shared" ca="1" si="260"/>
        <v>0</v>
      </c>
      <c r="AZ441">
        <f t="shared" si="261"/>
        <v>5750</v>
      </c>
    </row>
    <row r="442" spans="4:52">
      <c r="D442">
        <v>435</v>
      </c>
      <c r="E442" s="6">
        <f t="shared" ca="1" si="240"/>
        <v>39539</v>
      </c>
      <c r="F442" s="7">
        <f t="shared" ca="1" si="241"/>
        <v>0</v>
      </c>
      <c r="G442" s="125">
        <f ca="1">IF('Simulador - 1º Pilar'!$E$99="Sí",IF('Aportaciones PPE'!$B$13&lt;'Aportaciones PPE'!E442,0,F442*$B$8/12),F442*$B$8/12)</f>
        <v>0</v>
      </c>
      <c r="H442" s="125">
        <f t="shared" ca="1" si="230"/>
        <v>0</v>
      </c>
      <c r="I442" s="125">
        <f t="shared" ca="1" si="242"/>
        <v>0</v>
      </c>
      <c r="J442" s="125">
        <f t="shared" ca="1" si="243"/>
        <v>0</v>
      </c>
      <c r="K442" s="125">
        <f t="shared" ca="1" si="244"/>
        <v>0</v>
      </c>
      <c r="L442" s="125">
        <f t="shared" ca="1" si="262"/>
        <v>0</v>
      </c>
      <c r="M442" s="125">
        <f t="shared" ca="1" si="245"/>
        <v>0</v>
      </c>
      <c r="N442" s="125">
        <f t="shared" ca="1" si="246"/>
        <v>0</v>
      </c>
      <c r="R442">
        <f t="shared" si="263"/>
        <v>435</v>
      </c>
      <c r="U442" s="55"/>
      <c r="V442">
        <f t="shared" si="264"/>
        <v>4</v>
      </c>
      <c r="W442">
        <f t="shared" ca="1" si="265"/>
        <v>2060</v>
      </c>
      <c r="X442" s="123">
        <f t="shared" ca="1" si="247"/>
        <v>58532</v>
      </c>
      <c r="Y442" s="64">
        <f t="shared" ca="1" si="248"/>
        <v>0</v>
      </c>
      <c r="Z442" s="64">
        <f t="shared" ca="1" si="249"/>
        <v>0</v>
      </c>
      <c r="AA442" s="64">
        <f t="shared" ca="1" si="250"/>
        <v>0</v>
      </c>
      <c r="AB442" s="64">
        <f t="shared" ca="1" si="251"/>
        <v>0</v>
      </c>
      <c r="AF442" t="str">
        <f t="shared" ca="1" si="231"/>
        <v>42008</v>
      </c>
      <c r="AG442" s="126">
        <f t="shared" ca="1" si="232"/>
        <v>0</v>
      </c>
      <c r="AH442" s="126">
        <f t="shared" ca="1" si="233"/>
        <v>0</v>
      </c>
      <c r="AI442" s="126">
        <f t="shared" ca="1" si="234"/>
        <v>0</v>
      </c>
      <c r="AJ442" t="str">
        <f t="shared" ca="1" si="235"/>
        <v>42060</v>
      </c>
      <c r="AK442" s="126">
        <f t="shared" ca="1" si="252"/>
        <v>0</v>
      </c>
      <c r="AL442" s="126">
        <f t="shared" ca="1" si="253"/>
        <v>0</v>
      </c>
      <c r="AM442" s="126">
        <f t="shared" ca="1" si="266"/>
        <v>0</v>
      </c>
      <c r="AN442" s="753">
        <f t="shared" ca="1" si="267"/>
        <v>0</v>
      </c>
      <c r="AO442" s="750">
        <f t="shared" ca="1" si="254"/>
        <v>0</v>
      </c>
      <c r="AP442" s="126">
        <f t="shared" ca="1" si="255"/>
        <v>0</v>
      </c>
      <c r="AQ442" s="126">
        <f t="shared" ca="1" si="256"/>
        <v>0</v>
      </c>
      <c r="AR442" s="126">
        <f t="shared" ca="1" si="236"/>
        <v>10000</v>
      </c>
      <c r="AS442" s="750">
        <f t="shared" ca="1" si="237"/>
        <v>0</v>
      </c>
      <c r="AT442" s="750">
        <f t="shared" ca="1" si="238"/>
        <v>0</v>
      </c>
      <c r="AU442" s="126">
        <f t="shared" ca="1" si="257"/>
        <v>0</v>
      </c>
      <c r="AV442" s="126">
        <f t="shared" ca="1" si="258"/>
        <v>0</v>
      </c>
      <c r="AW442" s="126">
        <f t="shared" ca="1" si="239"/>
        <v>10000</v>
      </c>
      <c r="AX442" s="750">
        <f t="shared" ca="1" si="259"/>
        <v>0</v>
      </c>
      <c r="AY442" s="750">
        <f t="shared" ca="1" si="260"/>
        <v>0</v>
      </c>
      <c r="AZ442">
        <f t="shared" si="261"/>
        <v>5750</v>
      </c>
    </row>
    <row r="443" spans="4:52">
      <c r="D443">
        <v>436</v>
      </c>
      <c r="E443" s="6">
        <f t="shared" ca="1" si="240"/>
        <v>39508</v>
      </c>
      <c r="F443" s="7">
        <f t="shared" ca="1" si="241"/>
        <v>0</v>
      </c>
      <c r="G443" s="125">
        <f ca="1">IF('Simulador - 1º Pilar'!$E$99="Sí",IF('Aportaciones PPE'!$B$13&lt;'Aportaciones PPE'!E443,0,F443*$B$8/12),F443*$B$8/12)</f>
        <v>0</v>
      </c>
      <c r="H443" s="125">
        <f t="shared" ca="1" si="230"/>
        <v>0</v>
      </c>
      <c r="I443" s="125">
        <f t="shared" ca="1" si="242"/>
        <v>0</v>
      </c>
      <c r="J443" s="125">
        <f t="shared" ca="1" si="243"/>
        <v>0</v>
      </c>
      <c r="K443" s="125">
        <f t="shared" ca="1" si="244"/>
        <v>0</v>
      </c>
      <c r="L443" s="125">
        <f t="shared" ca="1" si="262"/>
        <v>0</v>
      </c>
      <c r="M443" s="125">
        <f t="shared" ca="1" si="245"/>
        <v>0</v>
      </c>
      <c r="N443" s="125">
        <f t="shared" ca="1" si="246"/>
        <v>0</v>
      </c>
      <c r="R443">
        <f t="shared" si="263"/>
        <v>436</v>
      </c>
      <c r="U443" s="55"/>
      <c r="V443">
        <f t="shared" si="264"/>
        <v>5</v>
      </c>
      <c r="W443">
        <f t="shared" ca="1" si="265"/>
        <v>2060</v>
      </c>
      <c r="X443" s="123">
        <f t="shared" ca="1" si="247"/>
        <v>58562</v>
      </c>
      <c r="Y443" s="64">
        <f t="shared" ca="1" si="248"/>
        <v>0</v>
      </c>
      <c r="Z443" s="64">
        <f t="shared" ca="1" si="249"/>
        <v>0</v>
      </c>
      <c r="AA443" s="64">
        <f t="shared" ca="1" si="250"/>
        <v>0</v>
      </c>
      <c r="AB443" s="64">
        <f t="shared" ca="1" si="251"/>
        <v>0</v>
      </c>
      <c r="AF443" t="str">
        <f t="shared" ca="1" si="231"/>
        <v>32008</v>
      </c>
      <c r="AG443" s="126">
        <f t="shared" ca="1" si="232"/>
        <v>0</v>
      </c>
      <c r="AH443" s="126">
        <f t="shared" ca="1" si="233"/>
        <v>0</v>
      </c>
      <c r="AI443" s="126">
        <f t="shared" ca="1" si="234"/>
        <v>0</v>
      </c>
      <c r="AJ443" t="str">
        <f t="shared" ca="1" si="235"/>
        <v>52060</v>
      </c>
      <c r="AK443" s="126">
        <f t="shared" ca="1" si="252"/>
        <v>0</v>
      </c>
      <c r="AL443" s="126">
        <f t="shared" ca="1" si="253"/>
        <v>0</v>
      </c>
      <c r="AM443" s="126">
        <f t="shared" ca="1" si="266"/>
        <v>0</v>
      </c>
      <c r="AN443" s="753">
        <f t="shared" ca="1" si="267"/>
        <v>0</v>
      </c>
      <c r="AO443" s="750">
        <f t="shared" ca="1" si="254"/>
        <v>0</v>
      </c>
      <c r="AP443" s="126">
        <f t="shared" ca="1" si="255"/>
        <v>0</v>
      </c>
      <c r="AQ443" s="126">
        <f t="shared" ca="1" si="256"/>
        <v>0</v>
      </c>
      <c r="AR443" s="126">
        <f t="shared" ca="1" si="236"/>
        <v>10000</v>
      </c>
      <c r="AS443" s="750">
        <f t="shared" ca="1" si="237"/>
        <v>0</v>
      </c>
      <c r="AT443" s="750">
        <f t="shared" ca="1" si="238"/>
        <v>0</v>
      </c>
      <c r="AU443" s="126">
        <f t="shared" ca="1" si="257"/>
        <v>0</v>
      </c>
      <c r="AV443" s="126">
        <f t="shared" ca="1" si="258"/>
        <v>0</v>
      </c>
      <c r="AW443" s="126">
        <f t="shared" ca="1" si="239"/>
        <v>10000</v>
      </c>
      <c r="AX443" s="750">
        <f t="shared" ca="1" si="259"/>
        <v>0</v>
      </c>
      <c r="AY443" s="750">
        <f t="shared" ca="1" si="260"/>
        <v>0</v>
      </c>
      <c r="AZ443">
        <f t="shared" si="261"/>
        <v>5750</v>
      </c>
    </row>
    <row r="444" spans="4:52">
      <c r="D444">
        <v>437</v>
      </c>
      <c r="E444" s="6">
        <f t="shared" ca="1" si="240"/>
        <v>39479</v>
      </c>
      <c r="F444" s="7">
        <f t="shared" ca="1" si="241"/>
        <v>0</v>
      </c>
      <c r="G444" s="125">
        <f ca="1">IF('Simulador - 1º Pilar'!$E$99="Sí",IF('Aportaciones PPE'!$B$13&lt;'Aportaciones PPE'!E444,0,F444*$B$8/12),F444*$B$8/12)</f>
        <v>0</v>
      </c>
      <c r="H444" s="125">
        <f t="shared" ca="1" si="230"/>
        <v>0</v>
      </c>
      <c r="I444" s="125">
        <f t="shared" ca="1" si="242"/>
        <v>0</v>
      </c>
      <c r="J444" s="125">
        <f t="shared" ca="1" si="243"/>
        <v>0</v>
      </c>
      <c r="K444" s="125">
        <f t="shared" ca="1" si="244"/>
        <v>0</v>
      </c>
      <c r="L444" s="125">
        <f t="shared" ca="1" si="262"/>
        <v>0</v>
      </c>
      <c r="M444" s="125">
        <f t="shared" ca="1" si="245"/>
        <v>0</v>
      </c>
      <c r="N444" s="125">
        <f t="shared" ca="1" si="246"/>
        <v>0</v>
      </c>
      <c r="R444">
        <f t="shared" si="263"/>
        <v>437</v>
      </c>
      <c r="U444" s="55"/>
      <c r="V444">
        <f t="shared" si="264"/>
        <v>6</v>
      </c>
      <c r="W444">
        <f t="shared" ca="1" si="265"/>
        <v>2060</v>
      </c>
      <c r="X444" s="123">
        <f t="shared" ca="1" si="247"/>
        <v>58593</v>
      </c>
      <c r="Y444" s="64">
        <f t="shared" ca="1" si="248"/>
        <v>0</v>
      </c>
      <c r="Z444" s="64">
        <f t="shared" ca="1" si="249"/>
        <v>0</v>
      </c>
      <c r="AA444" s="64">
        <f t="shared" ca="1" si="250"/>
        <v>0</v>
      </c>
      <c r="AB444" s="64">
        <f t="shared" ca="1" si="251"/>
        <v>0</v>
      </c>
      <c r="AF444" t="str">
        <f t="shared" ca="1" si="231"/>
        <v>22008</v>
      </c>
      <c r="AG444" s="126">
        <f t="shared" ca="1" si="232"/>
        <v>0</v>
      </c>
      <c r="AH444" s="126">
        <f t="shared" ca="1" si="233"/>
        <v>0</v>
      </c>
      <c r="AI444" s="126">
        <f t="shared" ca="1" si="234"/>
        <v>0</v>
      </c>
      <c r="AJ444" t="str">
        <f t="shared" ca="1" si="235"/>
        <v>62060</v>
      </c>
      <c r="AK444" s="126">
        <f t="shared" ca="1" si="252"/>
        <v>0</v>
      </c>
      <c r="AL444" s="126">
        <f t="shared" ca="1" si="253"/>
        <v>0</v>
      </c>
      <c r="AM444" s="126">
        <f t="shared" ca="1" si="266"/>
        <v>0</v>
      </c>
      <c r="AN444" s="753">
        <f t="shared" ca="1" si="267"/>
        <v>0</v>
      </c>
      <c r="AO444" s="750">
        <f t="shared" ca="1" si="254"/>
        <v>0</v>
      </c>
      <c r="AP444" s="126">
        <f t="shared" ca="1" si="255"/>
        <v>0</v>
      </c>
      <c r="AQ444" s="126">
        <f t="shared" ca="1" si="256"/>
        <v>0</v>
      </c>
      <c r="AR444" s="126">
        <f t="shared" ca="1" si="236"/>
        <v>10000</v>
      </c>
      <c r="AS444" s="750">
        <f t="shared" ca="1" si="237"/>
        <v>0</v>
      </c>
      <c r="AT444" s="750">
        <f t="shared" ca="1" si="238"/>
        <v>0</v>
      </c>
      <c r="AU444" s="126">
        <f t="shared" ca="1" si="257"/>
        <v>0</v>
      </c>
      <c r="AV444" s="126">
        <f t="shared" ca="1" si="258"/>
        <v>0</v>
      </c>
      <c r="AW444" s="126">
        <f t="shared" ca="1" si="239"/>
        <v>10000</v>
      </c>
      <c r="AX444" s="750">
        <f t="shared" ca="1" si="259"/>
        <v>0</v>
      </c>
      <c r="AY444" s="750">
        <f t="shared" ca="1" si="260"/>
        <v>0</v>
      </c>
      <c r="AZ444">
        <f t="shared" si="261"/>
        <v>5750</v>
      </c>
    </row>
    <row r="445" spans="4:52">
      <c r="D445">
        <v>438</v>
      </c>
      <c r="E445" s="6">
        <f t="shared" ca="1" si="240"/>
        <v>39448</v>
      </c>
      <c r="F445" s="7">
        <f t="shared" ca="1" si="241"/>
        <v>0</v>
      </c>
      <c r="G445" s="125">
        <f ca="1">IF('Simulador - 1º Pilar'!$E$99="Sí",IF('Aportaciones PPE'!$B$13&lt;'Aportaciones PPE'!E445,0,F445*$B$8/12),F445*$B$8/12)</f>
        <v>0</v>
      </c>
      <c r="H445" s="125">
        <f t="shared" ca="1" si="230"/>
        <v>0</v>
      </c>
      <c r="I445" s="125">
        <f t="shared" ca="1" si="242"/>
        <v>0</v>
      </c>
      <c r="J445" s="125">
        <f t="shared" ca="1" si="243"/>
        <v>0</v>
      </c>
      <c r="K445" s="125">
        <f t="shared" ca="1" si="244"/>
        <v>0</v>
      </c>
      <c r="L445" s="125">
        <f t="shared" ca="1" si="262"/>
        <v>0</v>
      </c>
      <c r="M445" s="125">
        <f t="shared" ca="1" si="245"/>
        <v>0</v>
      </c>
      <c r="N445" s="125">
        <f t="shared" ca="1" si="246"/>
        <v>0</v>
      </c>
      <c r="R445">
        <f t="shared" si="263"/>
        <v>438</v>
      </c>
      <c r="U445" s="55"/>
      <c r="V445">
        <f t="shared" si="264"/>
        <v>7</v>
      </c>
      <c r="W445">
        <f t="shared" ca="1" si="265"/>
        <v>2060</v>
      </c>
      <c r="X445" s="123">
        <f t="shared" ca="1" si="247"/>
        <v>58623</v>
      </c>
      <c r="Y445" s="64">
        <f t="shared" ca="1" si="248"/>
        <v>0</v>
      </c>
      <c r="Z445" s="64">
        <f t="shared" ca="1" si="249"/>
        <v>0</v>
      </c>
      <c r="AA445" s="64">
        <f t="shared" ca="1" si="250"/>
        <v>0</v>
      </c>
      <c r="AB445" s="64">
        <f t="shared" ca="1" si="251"/>
        <v>0</v>
      </c>
      <c r="AF445" t="str">
        <f t="shared" ca="1" si="231"/>
        <v>12008</v>
      </c>
      <c r="AG445" s="126">
        <f t="shared" ca="1" si="232"/>
        <v>0</v>
      </c>
      <c r="AH445" s="126">
        <f t="shared" ca="1" si="233"/>
        <v>0</v>
      </c>
      <c r="AI445" s="126">
        <f t="shared" ca="1" si="234"/>
        <v>0</v>
      </c>
      <c r="AJ445" t="str">
        <f t="shared" ca="1" si="235"/>
        <v>72060</v>
      </c>
      <c r="AK445" s="126">
        <f t="shared" ca="1" si="252"/>
        <v>0</v>
      </c>
      <c r="AL445" s="126">
        <f t="shared" ca="1" si="253"/>
        <v>0</v>
      </c>
      <c r="AM445" s="126">
        <f t="shared" ca="1" si="266"/>
        <v>0</v>
      </c>
      <c r="AN445" s="753">
        <f t="shared" ca="1" si="267"/>
        <v>0</v>
      </c>
      <c r="AO445" s="750">
        <f t="shared" ca="1" si="254"/>
        <v>0</v>
      </c>
      <c r="AP445" s="126">
        <f t="shared" ca="1" si="255"/>
        <v>0</v>
      </c>
      <c r="AQ445" s="126">
        <f t="shared" ca="1" si="256"/>
        <v>0</v>
      </c>
      <c r="AR445" s="126">
        <f t="shared" ca="1" si="236"/>
        <v>10000</v>
      </c>
      <c r="AS445" s="750">
        <f t="shared" ca="1" si="237"/>
        <v>0</v>
      </c>
      <c r="AT445" s="750">
        <f t="shared" ca="1" si="238"/>
        <v>0</v>
      </c>
      <c r="AU445" s="126">
        <f t="shared" ca="1" si="257"/>
        <v>0</v>
      </c>
      <c r="AV445" s="126">
        <f t="shared" ca="1" si="258"/>
        <v>0</v>
      </c>
      <c r="AW445" s="126">
        <f t="shared" ca="1" si="239"/>
        <v>10000</v>
      </c>
      <c r="AX445" s="750">
        <f t="shared" ca="1" si="259"/>
        <v>0</v>
      </c>
      <c r="AY445" s="750">
        <f t="shared" ca="1" si="260"/>
        <v>0</v>
      </c>
      <c r="AZ445">
        <f t="shared" si="261"/>
        <v>5750</v>
      </c>
    </row>
    <row r="446" spans="4:52">
      <c r="D446">
        <v>439</v>
      </c>
      <c r="E446" s="6">
        <f t="shared" ca="1" si="240"/>
        <v>39417</v>
      </c>
      <c r="F446" s="7">
        <f t="shared" ca="1" si="241"/>
        <v>0</v>
      </c>
      <c r="G446" s="125">
        <f ca="1">IF('Simulador - 1º Pilar'!$E$99="Sí",IF('Aportaciones PPE'!$B$13&lt;'Aportaciones PPE'!E446,0,F446*$B$8/12),F446*$B$8/12)</f>
        <v>0</v>
      </c>
      <c r="H446" s="125">
        <f t="shared" ca="1" si="230"/>
        <v>0</v>
      </c>
      <c r="I446" s="125">
        <f t="shared" ca="1" si="242"/>
        <v>0</v>
      </c>
      <c r="J446" s="125">
        <f t="shared" ca="1" si="243"/>
        <v>0</v>
      </c>
      <c r="K446" s="125">
        <f t="shared" ca="1" si="244"/>
        <v>0</v>
      </c>
      <c r="L446" s="125">
        <f t="shared" ca="1" si="262"/>
        <v>0</v>
      </c>
      <c r="M446" s="125">
        <f t="shared" ca="1" si="245"/>
        <v>0</v>
      </c>
      <c r="N446" s="125">
        <f t="shared" ca="1" si="246"/>
        <v>0</v>
      </c>
      <c r="R446">
        <f t="shared" si="263"/>
        <v>439</v>
      </c>
      <c r="U446" s="55"/>
      <c r="V446">
        <f t="shared" si="264"/>
        <v>8</v>
      </c>
      <c r="W446">
        <f t="shared" ca="1" si="265"/>
        <v>2060</v>
      </c>
      <c r="X446" s="123">
        <f t="shared" ca="1" si="247"/>
        <v>58654</v>
      </c>
      <c r="Y446" s="64">
        <f t="shared" ca="1" si="248"/>
        <v>0</v>
      </c>
      <c r="Z446" s="64">
        <f t="shared" ca="1" si="249"/>
        <v>0</v>
      </c>
      <c r="AA446" s="64">
        <f t="shared" ca="1" si="250"/>
        <v>0</v>
      </c>
      <c r="AB446" s="64">
        <f t="shared" ca="1" si="251"/>
        <v>0</v>
      </c>
      <c r="AF446" t="str">
        <f t="shared" ca="1" si="231"/>
        <v>122007</v>
      </c>
      <c r="AG446" s="126">
        <f t="shared" ca="1" si="232"/>
        <v>0</v>
      </c>
      <c r="AH446" s="126">
        <f t="shared" ca="1" si="233"/>
        <v>0</v>
      </c>
      <c r="AI446" s="126">
        <f t="shared" ca="1" si="234"/>
        <v>0</v>
      </c>
      <c r="AJ446" t="str">
        <f t="shared" ca="1" si="235"/>
        <v>82060</v>
      </c>
      <c r="AK446" s="126">
        <f t="shared" ca="1" si="252"/>
        <v>0</v>
      </c>
      <c r="AL446" s="126">
        <f t="shared" ca="1" si="253"/>
        <v>0</v>
      </c>
      <c r="AM446" s="126">
        <f t="shared" ca="1" si="266"/>
        <v>0</v>
      </c>
      <c r="AN446" s="753">
        <f t="shared" ca="1" si="267"/>
        <v>0</v>
      </c>
      <c r="AO446" s="750">
        <f t="shared" ca="1" si="254"/>
        <v>0</v>
      </c>
      <c r="AP446" s="126">
        <f t="shared" ca="1" si="255"/>
        <v>0</v>
      </c>
      <c r="AQ446" s="126">
        <f t="shared" ca="1" si="256"/>
        <v>0</v>
      </c>
      <c r="AR446" s="126">
        <f t="shared" ca="1" si="236"/>
        <v>10000</v>
      </c>
      <c r="AS446" s="750">
        <f t="shared" ca="1" si="237"/>
        <v>0</v>
      </c>
      <c r="AT446" s="750">
        <f t="shared" ca="1" si="238"/>
        <v>0</v>
      </c>
      <c r="AU446" s="126">
        <f t="shared" ca="1" si="257"/>
        <v>0</v>
      </c>
      <c r="AV446" s="126">
        <f t="shared" ca="1" si="258"/>
        <v>0</v>
      </c>
      <c r="AW446" s="126">
        <f t="shared" ca="1" si="239"/>
        <v>10000</v>
      </c>
      <c r="AX446" s="750">
        <f t="shared" ca="1" si="259"/>
        <v>0</v>
      </c>
      <c r="AY446" s="750">
        <f t="shared" ca="1" si="260"/>
        <v>0</v>
      </c>
      <c r="AZ446">
        <f t="shared" si="261"/>
        <v>5750</v>
      </c>
    </row>
    <row r="447" spans="4:52">
      <c r="D447">
        <v>440</v>
      </c>
      <c r="E447" s="6">
        <f t="shared" ca="1" si="240"/>
        <v>39387</v>
      </c>
      <c r="F447" s="7">
        <f t="shared" ca="1" si="241"/>
        <v>0</v>
      </c>
      <c r="G447" s="125">
        <f ca="1">IF('Simulador - 1º Pilar'!$E$99="Sí",IF('Aportaciones PPE'!$B$13&lt;'Aportaciones PPE'!E447,0,F447*$B$8/12),F447*$B$8/12)</f>
        <v>0</v>
      </c>
      <c r="H447" s="125">
        <f t="shared" ca="1" si="230"/>
        <v>0</v>
      </c>
      <c r="I447" s="125">
        <f t="shared" ca="1" si="242"/>
        <v>0</v>
      </c>
      <c r="J447" s="125">
        <f t="shared" ca="1" si="243"/>
        <v>0</v>
      </c>
      <c r="K447" s="125">
        <f t="shared" ca="1" si="244"/>
        <v>0</v>
      </c>
      <c r="L447" s="125">
        <f t="shared" ca="1" si="262"/>
        <v>0</v>
      </c>
      <c r="M447" s="125">
        <f t="shared" ca="1" si="245"/>
        <v>0</v>
      </c>
      <c r="N447" s="125">
        <f t="shared" ca="1" si="246"/>
        <v>0</v>
      </c>
      <c r="R447">
        <f t="shared" si="263"/>
        <v>440</v>
      </c>
      <c r="U447" s="55"/>
      <c r="V447">
        <f t="shared" si="264"/>
        <v>9</v>
      </c>
      <c r="W447">
        <f t="shared" ca="1" si="265"/>
        <v>2060</v>
      </c>
      <c r="X447" s="123">
        <f t="shared" ca="1" si="247"/>
        <v>58685</v>
      </c>
      <c r="Y447" s="64">
        <f t="shared" ca="1" si="248"/>
        <v>0</v>
      </c>
      <c r="Z447" s="64">
        <f t="shared" ca="1" si="249"/>
        <v>0</v>
      </c>
      <c r="AA447" s="64">
        <f t="shared" ca="1" si="250"/>
        <v>0</v>
      </c>
      <c r="AB447" s="64">
        <f t="shared" ca="1" si="251"/>
        <v>0</v>
      </c>
      <c r="AF447" t="str">
        <f t="shared" ca="1" si="231"/>
        <v>112007</v>
      </c>
      <c r="AG447" s="126">
        <f t="shared" ca="1" si="232"/>
        <v>0</v>
      </c>
      <c r="AH447" s="126">
        <f t="shared" ca="1" si="233"/>
        <v>0</v>
      </c>
      <c r="AI447" s="126">
        <f t="shared" ca="1" si="234"/>
        <v>0</v>
      </c>
      <c r="AJ447" t="str">
        <f t="shared" ca="1" si="235"/>
        <v>92060</v>
      </c>
      <c r="AK447" s="126">
        <f t="shared" ca="1" si="252"/>
        <v>0</v>
      </c>
      <c r="AL447" s="126">
        <f t="shared" ca="1" si="253"/>
        <v>0</v>
      </c>
      <c r="AM447" s="126">
        <f t="shared" ca="1" si="266"/>
        <v>0</v>
      </c>
      <c r="AN447" s="753">
        <f t="shared" ca="1" si="267"/>
        <v>0</v>
      </c>
      <c r="AO447" s="750">
        <f t="shared" ca="1" si="254"/>
        <v>0</v>
      </c>
      <c r="AP447" s="126">
        <f t="shared" ca="1" si="255"/>
        <v>0</v>
      </c>
      <c r="AQ447" s="126">
        <f t="shared" ca="1" si="256"/>
        <v>0</v>
      </c>
      <c r="AR447" s="126">
        <f t="shared" ca="1" si="236"/>
        <v>10000</v>
      </c>
      <c r="AS447" s="750">
        <f t="shared" ca="1" si="237"/>
        <v>0</v>
      </c>
      <c r="AT447" s="750">
        <f t="shared" ca="1" si="238"/>
        <v>0</v>
      </c>
      <c r="AU447" s="126">
        <f t="shared" ca="1" si="257"/>
        <v>0</v>
      </c>
      <c r="AV447" s="126">
        <f t="shared" ca="1" si="258"/>
        <v>0</v>
      </c>
      <c r="AW447" s="126">
        <f t="shared" ca="1" si="239"/>
        <v>10000</v>
      </c>
      <c r="AX447" s="750">
        <f t="shared" ca="1" si="259"/>
        <v>0</v>
      </c>
      <c r="AY447" s="750">
        <f t="shared" ca="1" si="260"/>
        <v>0</v>
      </c>
      <c r="AZ447">
        <f t="shared" si="261"/>
        <v>5750</v>
      </c>
    </row>
    <row r="448" spans="4:52">
      <c r="D448">
        <v>441</v>
      </c>
      <c r="E448" s="6">
        <f t="shared" ca="1" si="240"/>
        <v>39356</v>
      </c>
      <c r="F448" s="7">
        <f t="shared" ca="1" si="241"/>
        <v>0</v>
      </c>
      <c r="G448" s="125">
        <f ca="1">IF('Simulador - 1º Pilar'!$E$99="Sí",IF('Aportaciones PPE'!$B$13&lt;'Aportaciones PPE'!E448,0,F448*$B$8/12),F448*$B$8/12)</f>
        <v>0</v>
      </c>
      <c r="H448" s="125">
        <f t="shared" ca="1" si="230"/>
        <v>0</v>
      </c>
      <c r="I448" s="125">
        <f t="shared" ca="1" si="242"/>
        <v>0</v>
      </c>
      <c r="J448" s="125">
        <f t="shared" ca="1" si="243"/>
        <v>0</v>
      </c>
      <c r="K448" s="125">
        <f t="shared" ca="1" si="244"/>
        <v>0</v>
      </c>
      <c r="L448" s="125">
        <f t="shared" ca="1" si="262"/>
        <v>0</v>
      </c>
      <c r="M448" s="125">
        <f t="shared" ca="1" si="245"/>
        <v>0</v>
      </c>
      <c r="N448" s="125">
        <f t="shared" ca="1" si="246"/>
        <v>0</v>
      </c>
      <c r="R448">
        <f t="shared" si="263"/>
        <v>441</v>
      </c>
      <c r="U448" s="55"/>
      <c r="V448">
        <f t="shared" si="264"/>
        <v>10</v>
      </c>
      <c r="W448">
        <f t="shared" ca="1" si="265"/>
        <v>2060</v>
      </c>
      <c r="X448" s="123">
        <f t="shared" ca="1" si="247"/>
        <v>58715</v>
      </c>
      <c r="Y448" s="64">
        <f t="shared" ca="1" si="248"/>
        <v>0</v>
      </c>
      <c r="Z448" s="64">
        <f t="shared" ca="1" si="249"/>
        <v>0</v>
      </c>
      <c r="AA448" s="64">
        <f t="shared" ca="1" si="250"/>
        <v>0</v>
      </c>
      <c r="AB448" s="64">
        <f t="shared" ca="1" si="251"/>
        <v>0</v>
      </c>
      <c r="AF448" t="str">
        <f t="shared" ca="1" si="231"/>
        <v>102007</v>
      </c>
      <c r="AG448" s="126">
        <f t="shared" ca="1" si="232"/>
        <v>0</v>
      </c>
      <c r="AH448" s="126">
        <f t="shared" ca="1" si="233"/>
        <v>0</v>
      </c>
      <c r="AI448" s="126">
        <f t="shared" ca="1" si="234"/>
        <v>0</v>
      </c>
      <c r="AJ448" t="str">
        <f t="shared" ca="1" si="235"/>
        <v>102060</v>
      </c>
      <c r="AK448" s="126">
        <f t="shared" ca="1" si="252"/>
        <v>0</v>
      </c>
      <c r="AL448" s="126">
        <f t="shared" ca="1" si="253"/>
        <v>0</v>
      </c>
      <c r="AM448" s="126">
        <f t="shared" ca="1" si="266"/>
        <v>0</v>
      </c>
      <c r="AN448" s="753">
        <f t="shared" ca="1" si="267"/>
        <v>0</v>
      </c>
      <c r="AO448" s="750">
        <f t="shared" ca="1" si="254"/>
        <v>0</v>
      </c>
      <c r="AP448" s="126">
        <f t="shared" ca="1" si="255"/>
        <v>0</v>
      </c>
      <c r="AQ448" s="126">
        <f t="shared" ca="1" si="256"/>
        <v>0</v>
      </c>
      <c r="AR448" s="126">
        <f t="shared" ca="1" si="236"/>
        <v>10000</v>
      </c>
      <c r="AS448" s="750">
        <f t="shared" ca="1" si="237"/>
        <v>0</v>
      </c>
      <c r="AT448" s="750">
        <f t="shared" ca="1" si="238"/>
        <v>0</v>
      </c>
      <c r="AU448" s="126">
        <f t="shared" ca="1" si="257"/>
        <v>0</v>
      </c>
      <c r="AV448" s="126">
        <f t="shared" ca="1" si="258"/>
        <v>0</v>
      </c>
      <c r="AW448" s="126">
        <f t="shared" ca="1" si="239"/>
        <v>10000</v>
      </c>
      <c r="AX448" s="750">
        <f t="shared" ca="1" si="259"/>
        <v>0</v>
      </c>
      <c r="AY448" s="750">
        <f t="shared" ca="1" si="260"/>
        <v>0</v>
      </c>
      <c r="AZ448">
        <f t="shared" si="261"/>
        <v>5750</v>
      </c>
    </row>
    <row r="449" spans="4:52">
      <c r="D449">
        <v>442</v>
      </c>
      <c r="E449" s="6">
        <f t="shared" ca="1" si="240"/>
        <v>39326</v>
      </c>
      <c r="F449" s="7">
        <f t="shared" ca="1" si="241"/>
        <v>0</v>
      </c>
      <c r="G449" s="125">
        <f ca="1">IF('Simulador - 1º Pilar'!$E$99="Sí",IF('Aportaciones PPE'!$B$13&lt;'Aportaciones PPE'!E449,0,F449*$B$8/12),F449*$B$8/12)</f>
        <v>0</v>
      </c>
      <c r="H449" s="125">
        <f t="shared" ca="1" si="230"/>
        <v>0</v>
      </c>
      <c r="I449" s="125">
        <f t="shared" ca="1" si="242"/>
        <v>0</v>
      </c>
      <c r="J449" s="125">
        <f t="shared" ca="1" si="243"/>
        <v>0</v>
      </c>
      <c r="K449" s="125">
        <f t="shared" ca="1" si="244"/>
        <v>0</v>
      </c>
      <c r="L449" s="125">
        <f t="shared" ca="1" si="262"/>
        <v>0</v>
      </c>
      <c r="M449" s="125">
        <f t="shared" ca="1" si="245"/>
        <v>0</v>
      </c>
      <c r="N449" s="125">
        <f t="shared" ca="1" si="246"/>
        <v>0</v>
      </c>
      <c r="R449">
        <f t="shared" si="263"/>
        <v>442</v>
      </c>
      <c r="U449" s="55"/>
      <c r="V449">
        <f t="shared" si="264"/>
        <v>11</v>
      </c>
      <c r="W449">
        <f t="shared" ca="1" si="265"/>
        <v>2060</v>
      </c>
      <c r="X449" s="123">
        <f t="shared" ca="1" si="247"/>
        <v>58746</v>
      </c>
      <c r="Y449" s="64">
        <f t="shared" ca="1" si="248"/>
        <v>0</v>
      </c>
      <c r="Z449" s="64">
        <f t="shared" ca="1" si="249"/>
        <v>0</v>
      </c>
      <c r="AA449" s="64">
        <f t="shared" ca="1" si="250"/>
        <v>0</v>
      </c>
      <c r="AB449" s="64">
        <f t="shared" ca="1" si="251"/>
        <v>0</v>
      </c>
      <c r="AF449" t="str">
        <f t="shared" ca="1" si="231"/>
        <v>92007</v>
      </c>
      <c r="AG449" s="126">
        <f t="shared" ca="1" si="232"/>
        <v>0</v>
      </c>
      <c r="AH449" s="126">
        <f t="shared" ca="1" si="233"/>
        <v>0</v>
      </c>
      <c r="AI449" s="126">
        <f t="shared" ca="1" si="234"/>
        <v>0</v>
      </c>
      <c r="AJ449" t="str">
        <f t="shared" ca="1" si="235"/>
        <v>112060</v>
      </c>
      <c r="AK449" s="126">
        <f t="shared" ca="1" si="252"/>
        <v>0</v>
      </c>
      <c r="AL449" s="126">
        <f t="shared" ca="1" si="253"/>
        <v>0</v>
      </c>
      <c r="AM449" s="126">
        <f t="shared" ca="1" si="266"/>
        <v>0</v>
      </c>
      <c r="AN449" s="753">
        <f t="shared" ca="1" si="267"/>
        <v>0</v>
      </c>
      <c r="AO449" s="750">
        <f t="shared" ca="1" si="254"/>
        <v>0</v>
      </c>
      <c r="AP449" s="126">
        <f t="shared" ca="1" si="255"/>
        <v>0</v>
      </c>
      <c r="AQ449" s="126">
        <f t="shared" ca="1" si="256"/>
        <v>0</v>
      </c>
      <c r="AR449" s="126">
        <f t="shared" ca="1" si="236"/>
        <v>10000</v>
      </c>
      <c r="AS449" s="750">
        <f t="shared" ca="1" si="237"/>
        <v>0</v>
      </c>
      <c r="AT449" s="750">
        <f t="shared" ca="1" si="238"/>
        <v>0</v>
      </c>
      <c r="AU449" s="126">
        <f t="shared" ca="1" si="257"/>
        <v>0</v>
      </c>
      <c r="AV449" s="126">
        <f t="shared" ca="1" si="258"/>
        <v>0</v>
      </c>
      <c r="AW449" s="126">
        <f t="shared" ca="1" si="239"/>
        <v>10000</v>
      </c>
      <c r="AX449" s="750">
        <f t="shared" ca="1" si="259"/>
        <v>0</v>
      </c>
      <c r="AY449" s="750">
        <f t="shared" ca="1" si="260"/>
        <v>0</v>
      </c>
      <c r="AZ449">
        <f t="shared" si="261"/>
        <v>5750</v>
      </c>
    </row>
    <row r="450" spans="4:52">
      <c r="D450">
        <v>443</v>
      </c>
      <c r="E450" s="6">
        <f t="shared" ca="1" si="240"/>
        <v>39295</v>
      </c>
      <c r="F450" s="7">
        <f t="shared" ca="1" si="241"/>
        <v>0</v>
      </c>
      <c r="G450" s="125">
        <f ca="1">IF('Simulador - 1º Pilar'!$E$99="Sí",IF('Aportaciones PPE'!$B$13&lt;'Aportaciones PPE'!E450,0,F450*$B$8/12),F450*$B$8/12)</f>
        <v>0</v>
      </c>
      <c r="H450" s="125">
        <f t="shared" ca="1" si="230"/>
        <v>0</v>
      </c>
      <c r="I450" s="125">
        <f t="shared" ca="1" si="242"/>
        <v>0</v>
      </c>
      <c r="J450" s="125">
        <f t="shared" ca="1" si="243"/>
        <v>0</v>
      </c>
      <c r="K450" s="125">
        <f t="shared" ca="1" si="244"/>
        <v>0</v>
      </c>
      <c r="L450" s="125">
        <f t="shared" ca="1" si="262"/>
        <v>0</v>
      </c>
      <c r="M450" s="125">
        <f t="shared" ca="1" si="245"/>
        <v>0</v>
      </c>
      <c r="N450" s="125">
        <f t="shared" ca="1" si="246"/>
        <v>0</v>
      </c>
      <c r="R450">
        <f t="shared" si="263"/>
        <v>443</v>
      </c>
      <c r="U450" s="55"/>
      <c r="V450">
        <f t="shared" si="264"/>
        <v>12</v>
      </c>
      <c r="W450">
        <f t="shared" ca="1" si="265"/>
        <v>2060</v>
      </c>
      <c r="X450" s="123">
        <f t="shared" ca="1" si="247"/>
        <v>58776</v>
      </c>
      <c r="Y450" s="64">
        <f t="shared" ca="1" si="248"/>
        <v>0</v>
      </c>
      <c r="Z450" s="64">
        <f t="shared" ca="1" si="249"/>
        <v>0</v>
      </c>
      <c r="AA450" s="64">
        <f t="shared" ca="1" si="250"/>
        <v>0</v>
      </c>
      <c r="AB450" s="64">
        <f t="shared" ca="1" si="251"/>
        <v>0</v>
      </c>
      <c r="AF450" t="str">
        <f t="shared" ca="1" si="231"/>
        <v>82007</v>
      </c>
      <c r="AG450" s="126">
        <f t="shared" ca="1" si="232"/>
        <v>0</v>
      </c>
      <c r="AH450" s="126">
        <f t="shared" ca="1" si="233"/>
        <v>0</v>
      </c>
      <c r="AI450" s="126">
        <f t="shared" ca="1" si="234"/>
        <v>0</v>
      </c>
      <c r="AJ450" t="str">
        <f t="shared" ca="1" si="235"/>
        <v>122060</v>
      </c>
      <c r="AK450" s="126">
        <f t="shared" ca="1" si="252"/>
        <v>0</v>
      </c>
      <c r="AL450" s="126">
        <f t="shared" ca="1" si="253"/>
        <v>0</v>
      </c>
      <c r="AM450" s="126">
        <f t="shared" ca="1" si="266"/>
        <v>0</v>
      </c>
      <c r="AN450" s="753">
        <f t="shared" ca="1" si="267"/>
        <v>0</v>
      </c>
      <c r="AO450" s="750">
        <f t="shared" ca="1" si="254"/>
        <v>0</v>
      </c>
      <c r="AP450" s="126">
        <f t="shared" ca="1" si="255"/>
        <v>0</v>
      </c>
      <c r="AQ450" s="126">
        <f t="shared" ca="1" si="256"/>
        <v>0</v>
      </c>
      <c r="AR450" s="126">
        <f t="shared" ca="1" si="236"/>
        <v>10000</v>
      </c>
      <c r="AS450" s="750">
        <f t="shared" ca="1" si="237"/>
        <v>0</v>
      </c>
      <c r="AT450" s="750">
        <f t="shared" ca="1" si="238"/>
        <v>0</v>
      </c>
      <c r="AU450" s="126">
        <f t="shared" ca="1" si="257"/>
        <v>0</v>
      </c>
      <c r="AV450" s="126">
        <f t="shared" ca="1" si="258"/>
        <v>0</v>
      </c>
      <c r="AW450" s="126">
        <f t="shared" ca="1" si="239"/>
        <v>10000</v>
      </c>
      <c r="AX450" s="750">
        <f t="shared" ca="1" si="259"/>
        <v>0</v>
      </c>
      <c r="AY450" s="750">
        <f t="shared" ca="1" si="260"/>
        <v>0</v>
      </c>
      <c r="AZ450">
        <f t="shared" si="261"/>
        <v>5750</v>
      </c>
    </row>
    <row r="451" spans="4:52">
      <c r="D451">
        <v>444</v>
      </c>
      <c r="E451" s="6">
        <f t="shared" ca="1" si="240"/>
        <v>39264</v>
      </c>
      <c r="F451" s="7">
        <f t="shared" ca="1" si="241"/>
        <v>0</v>
      </c>
      <c r="G451" s="125">
        <f ca="1">IF('Simulador - 1º Pilar'!$E$99="Sí",IF('Aportaciones PPE'!$B$13&lt;'Aportaciones PPE'!E451,0,F451*$B$8/12),F451*$B$8/12)</f>
        <v>0</v>
      </c>
      <c r="H451" s="125">
        <f t="shared" ca="1" si="230"/>
        <v>0</v>
      </c>
      <c r="I451" s="125">
        <f t="shared" ca="1" si="242"/>
        <v>0</v>
      </c>
      <c r="J451" s="125">
        <f t="shared" ca="1" si="243"/>
        <v>0</v>
      </c>
      <c r="K451" s="125">
        <f t="shared" ca="1" si="244"/>
        <v>0</v>
      </c>
      <c r="L451" s="125">
        <f t="shared" ca="1" si="262"/>
        <v>0</v>
      </c>
      <c r="M451" s="125">
        <f t="shared" ca="1" si="245"/>
        <v>0</v>
      </c>
      <c r="N451" s="125">
        <f t="shared" ca="1" si="246"/>
        <v>0</v>
      </c>
      <c r="R451">
        <f t="shared" si="263"/>
        <v>444</v>
      </c>
      <c r="U451" s="55"/>
      <c r="V451">
        <f t="shared" si="264"/>
        <v>1</v>
      </c>
      <c r="W451">
        <f t="shared" ca="1" si="265"/>
        <v>2061</v>
      </c>
      <c r="X451" s="123">
        <f t="shared" ca="1" si="247"/>
        <v>58807</v>
      </c>
      <c r="Y451" s="64">
        <f t="shared" ca="1" si="248"/>
        <v>0</v>
      </c>
      <c r="Z451" s="64">
        <f t="shared" ca="1" si="249"/>
        <v>0</v>
      </c>
      <c r="AA451" s="64">
        <f t="shared" ca="1" si="250"/>
        <v>0</v>
      </c>
      <c r="AB451" s="64">
        <f t="shared" ca="1" si="251"/>
        <v>0</v>
      </c>
      <c r="AF451" t="str">
        <f t="shared" ca="1" si="231"/>
        <v>72007</v>
      </c>
      <c r="AG451" s="126">
        <f t="shared" ca="1" si="232"/>
        <v>0</v>
      </c>
      <c r="AH451" s="126">
        <f t="shared" ca="1" si="233"/>
        <v>0</v>
      </c>
      <c r="AI451" s="126">
        <f t="shared" ca="1" si="234"/>
        <v>0</v>
      </c>
      <c r="AJ451" t="str">
        <f t="shared" ca="1" si="235"/>
        <v>12061</v>
      </c>
      <c r="AK451" s="126">
        <f t="shared" ca="1" si="252"/>
        <v>0</v>
      </c>
      <c r="AL451" s="126">
        <f t="shared" ca="1" si="253"/>
        <v>0</v>
      </c>
      <c r="AM451" s="126">
        <f t="shared" ca="1" si="266"/>
        <v>0</v>
      </c>
      <c r="AN451" s="753">
        <f t="shared" ca="1" si="267"/>
        <v>0</v>
      </c>
      <c r="AO451" s="750">
        <f t="shared" ca="1" si="254"/>
        <v>0</v>
      </c>
      <c r="AP451" s="126">
        <f t="shared" ca="1" si="255"/>
        <v>0</v>
      </c>
      <c r="AQ451" s="126">
        <f t="shared" ca="1" si="256"/>
        <v>0</v>
      </c>
      <c r="AR451" s="126">
        <f t="shared" ca="1" si="236"/>
        <v>10000</v>
      </c>
      <c r="AS451" s="750">
        <f t="shared" ca="1" si="237"/>
        <v>0</v>
      </c>
      <c r="AT451" s="750">
        <f t="shared" ca="1" si="238"/>
        <v>0</v>
      </c>
      <c r="AU451" s="126">
        <f t="shared" ca="1" si="257"/>
        <v>0</v>
      </c>
      <c r="AV451" s="126">
        <f t="shared" ca="1" si="258"/>
        <v>0</v>
      </c>
      <c r="AW451" s="126">
        <f t="shared" ca="1" si="239"/>
        <v>10000</v>
      </c>
      <c r="AX451" s="750">
        <f t="shared" ca="1" si="259"/>
        <v>0</v>
      </c>
      <c r="AY451" s="750">
        <f t="shared" ca="1" si="260"/>
        <v>0</v>
      </c>
      <c r="AZ451">
        <f t="shared" si="261"/>
        <v>5750</v>
      </c>
    </row>
    <row r="452" spans="4:52">
      <c r="D452">
        <v>445</v>
      </c>
      <c r="E452" s="6">
        <f t="shared" ca="1" si="240"/>
        <v>39234</v>
      </c>
      <c r="F452" s="7">
        <f t="shared" ca="1" si="241"/>
        <v>0</v>
      </c>
      <c r="G452" s="125">
        <f ca="1">IF('Simulador - 1º Pilar'!$E$99="Sí",IF('Aportaciones PPE'!$B$13&lt;'Aportaciones PPE'!E452,0,F452*$B$8/12),F452*$B$8/12)</f>
        <v>0</v>
      </c>
      <c r="H452" s="125">
        <f t="shared" ca="1" si="230"/>
        <v>0</v>
      </c>
      <c r="I452" s="125">
        <f t="shared" ca="1" si="242"/>
        <v>0</v>
      </c>
      <c r="J452" s="125">
        <f t="shared" ca="1" si="243"/>
        <v>0</v>
      </c>
      <c r="K452" s="125">
        <f t="shared" ca="1" si="244"/>
        <v>0</v>
      </c>
      <c r="L452" s="125">
        <f t="shared" ca="1" si="262"/>
        <v>0</v>
      </c>
      <c r="M452" s="125">
        <f t="shared" ca="1" si="245"/>
        <v>0</v>
      </c>
      <c r="N452" s="125">
        <f t="shared" ca="1" si="246"/>
        <v>0</v>
      </c>
      <c r="R452">
        <f t="shared" si="263"/>
        <v>445</v>
      </c>
      <c r="U452" s="55"/>
      <c r="V452">
        <f t="shared" si="264"/>
        <v>2</v>
      </c>
      <c r="W452">
        <f t="shared" ca="1" si="265"/>
        <v>2061</v>
      </c>
      <c r="X452" s="123">
        <f t="shared" ca="1" si="247"/>
        <v>58838</v>
      </c>
      <c r="Y452" s="64">
        <f t="shared" ca="1" si="248"/>
        <v>0</v>
      </c>
      <c r="Z452" s="64">
        <f t="shared" ca="1" si="249"/>
        <v>0</v>
      </c>
      <c r="AA452" s="64">
        <f t="shared" ca="1" si="250"/>
        <v>0</v>
      </c>
      <c r="AB452" s="64">
        <f t="shared" ca="1" si="251"/>
        <v>0</v>
      </c>
      <c r="AF452" t="str">
        <f t="shared" ca="1" si="231"/>
        <v>62007</v>
      </c>
      <c r="AG452" s="126">
        <f t="shared" ca="1" si="232"/>
        <v>0</v>
      </c>
      <c r="AH452" s="126">
        <f t="shared" ca="1" si="233"/>
        <v>0</v>
      </c>
      <c r="AI452" s="126">
        <f t="shared" ca="1" si="234"/>
        <v>0</v>
      </c>
      <c r="AJ452" t="str">
        <f t="shared" ca="1" si="235"/>
        <v>22061</v>
      </c>
      <c r="AK452" s="126">
        <f t="shared" ca="1" si="252"/>
        <v>0</v>
      </c>
      <c r="AL452" s="126">
        <f t="shared" ca="1" si="253"/>
        <v>0</v>
      </c>
      <c r="AM452" s="126">
        <f t="shared" ca="1" si="266"/>
        <v>0</v>
      </c>
      <c r="AN452" s="753">
        <f t="shared" ca="1" si="267"/>
        <v>0</v>
      </c>
      <c r="AO452" s="750">
        <f t="shared" ca="1" si="254"/>
        <v>0</v>
      </c>
      <c r="AP452" s="126">
        <f t="shared" ca="1" si="255"/>
        <v>0</v>
      </c>
      <c r="AQ452" s="126">
        <f t="shared" ca="1" si="256"/>
        <v>0</v>
      </c>
      <c r="AR452" s="126">
        <f t="shared" ca="1" si="236"/>
        <v>10000</v>
      </c>
      <c r="AS452" s="750">
        <f t="shared" ca="1" si="237"/>
        <v>0</v>
      </c>
      <c r="AT452" s="750">
        <f t="shared" ca="1" si="238"/>
        <v>0</v>
      </c>
      <c r="AU452" s="126">
        <f t="shared" ca="1" si="257"/>
        <v>0</v>
      </c>
      <c r="AV452" s="126">
        <f t="shared" ca="1" si="258"/>
        <v>0</v>
      </c>
      <c r="AW452" s="126">
        <f t="shared" ca="1" si="239"/>
        <v>10000</v>
      </c>
      <c r="AX452" s="750">
        <f t="shared" ca="1" si="259"/>
        <v>0</v>
      </c>
      <c r="AY452" s="750">
        <f t="shared" ca="1" si="260"/>
        <v>0</v>
      </c>
      <c r="AZ452">
        <f t="shared" si="261"/>
        <v>5750</v>
      </c>
    </row>
    <row r="453" spans="4:52">
      <c r="D453">
        <v>446</v>
      </c>
      <c r="E453" s="6">
        <f t="shared" ca="1" si="240"/>
        <v>39203</v>
      </c>
      <c r="F453" s="7">
        <f t="shared" ca="1" si="241"/>
        <v>0</v>
      </c>
      <c r="G453" s="125">
        <f ca="1">IF('Simulador - 1º Pilar'!$E$99="Sí",IF('Aportaciones PPE'!$B$13&lt;'Aportaciones PPE'!E453,0,F453*$B$8/12),F453*$B$8/12)</f>
        <v>0</v>
      </c>
      <c r="H453" s="125">
        <f t="shared" ca="1" si="230"/>
        <v>0</v>
      </c>
      <c r="I453" s="125">
        <f t="shared" ca="1" si="242"/>
        <v>0</v>
      </c>
      <c r="J453" s="125">
        <f t="shared" ca="1" si="243"/>
        <v>0</v>
      </c>
      <c r="K453" s="125">
        <f t="shared" ca="1" si="244"/>
        <v>0</v>
      </c>
      <c r="L453" s="125">
        <f t="shared" ca="1" si="262"/>
        <v>0</v>
      </c>
      <c r="M453" s="125">
        <f t="shared" ca="1" si="245"/>
        <v>0</v>
      </c>
      <c r="N453" s="125">
        <f t="shared" ca="1" si="246"/>
        <v>0</v>
      </c>
      <c r="R453">
        <f t="shared" si="263"/>
        <v>446</v>
      </c>
      <c r="U453" s="55"/>
      <c r="V453">
        <f t="shared" si="264"/>
        <v>3</v>
      </c>
      <c r="W453">
        <f t="shared" ca="1" si="265"/>
        <v>2061</v>
      </c>
      <c r="X453" s="123">
        <f t="shared" ca="1" si="247"/>
        <v>58866</v>
      </c>
      <c r="Y453" s="64">
        <f t="shared" ca="1" si="248"/>
        <v>0</v>
      </c>
      <c r="Z453" s="64">
        <f t="shared" ca="1" si="249"/>
        <v>0</v>
      </c>
      <c r="AA453" s="64">
        <f t="shared" ca="1" si="250"/>
        <v>0</v>
      </c>
      <c r="AB453" s="64">
        <f t="shared" ca="1" si="251"/>
        <v>0</v>
      </c>
      <c r="AF453" t="str">
        <f t="shared" ca="1" si="231"/>
        <v>52007</v>
      </c>
      <c r="AG453" s="126">
        <f t="shared" ca="1" si="232"/>
        <v>0</v>
      </c>
      <c r="AH453" s="126">
        <f t="shared" ca="1" si="233"/>
        <v>0</v>
      </c>
      <c r="AI453" s="126">
        <f t="shared" ca="1" si="234"/>
        <v>0</v>
      </c>
      <c r="AJ453" t="str">
        <f t="shared" ca="1" si="235"/>
        <v>32061</v>
      </c>
      <c r="AK453" s="126">
        <f t="shared" ca="1" si="252"/>
        <v>0</v>
      </c>
      <c r="AL453" s="126">
        <f t="shared" ca="1" si="253"/>
        <v>0</v>
      </c>
      <c r="AM453" s="126">
        <f t="shared" ca="1" si="266"/>
        <v>0</v>
      </c>
      <c r="AN453" s="753">
        <f t="shared" ca="1" si="267"/>
        <v>0</v>
      </c>
      <c r="AO453" s="750">
        <f t="shared" ca="1" si="254"/>
        <v>0</v>
      </c>
      <c r="AP453" s="126">
        <f t="shared" ca="1" si="255"/>
        <v>0</v>
      </c>
      <c r="AQ453" s="126">
        <f t="shared" ca="1" si="256"/>
        <v>0</v>
      </c>
      <c r="AR453" s="126">
        <f t="shared" ca="1" si="236"/>
        <v>10000</v>
      </c>
      <c r="AS453" s="750">
        <f t="shared" ca="1" si="237"/>
        <v>0</v>
      </c>
      <c r="AT453" s="750">
        <f t="shared" ca="1" si="238"/>
        <v>0</v>
      </c>
      <c r="AU453" s="126">
        <f t="shared" ca="1" si="257"/>
        <v>0</v>
      </c>
      <c r="AV453" s="126">
        <f t="shared" ca="1" si="258"/>
        <v>0</v>
      </c>
      <c r="AW453" s="126">
        <f t="shared" ca="1" si="239"/>
        <v>10000</v>
      </c>
      <c r="AX453" s="750">
        <f t="shared" ca="1" si="259"/>
        <v>0</v>
      </c>
      <c r="AY453" s="750">
        <f t="shared" ca="1" si="260"/>
        <v>0</v>
      </c>
      <c r="AZ453">
        <f t="shared" si="261"/>
        <v>5750</v>
      </c>
    </row>
    <row r="454" spans="4:52">
      <c r="D454">
        <v>447</v>
      </c>
      <c r="E454" s="6">
        <f t="shared" ca="1" si="240"/>
        <v>39173</v>
      </c>
      <c r="F454" s="7">
        <f t="shared" ca="1" si="241"/>
        <v>0</v>
      </c>
      <c r="G454" s="125">
        <f ca="1">IF('Simulador - 1º Pilar'!$E$99="Sí",IF('Aportaciones PPE'!$B$13&lt;'Aportaciones PPE'!E454,0,F454*$B$8/12),F454*$B$8/12)</f>
        <v>0</v>
      </c>
      <c r="H454" s="125">
        <f t="shared" ca="1" si="230"/>
        <v>0</v>
      </c>
      <c r="I454" s="125">
        <f t="shared" ca="1" si="242"/>
        <v>0</v>
      </c>
      <c r="J454" s="125">
        <f t="shared" ca="1" si="243"/>
        <v>0</v>
      </c>
      <c r="K454" s="125">
        <f t="shared" ca="1" si="244"/>
        <v>0</v>
      </c>
      <c r="L454" s="125">
        <f t="shared" ca="1" si="262"/>
        <v>0</v>
      </c>
      <c r="M454" s="125">
        <f t="shared" ca="1" si="245"/>
        <v>0</v>
      </c>
      <c r="N454" s="125">
        <f t="shared" ca="1" si="246"/>
        <v>0</v>
      </c>
      <c r="R454">
        <f t="shared" si="263"/>
        <v>447</v>
      </c>
      <c r="U454" s="55"/>
      <c r="V454">
        <f t="shared" si="264"/>
        <v>4</v>
      </c>
      <c r="W454">
        <f t="shared" ca="1" si="265"/>
        <v>2061</v>
      </c>
      <c r="X454" s="123">
        <f t="shared" ca="1" si="247"/>
        <v>58897</v>
      </c>
      <c r="Y454" s="64">
        <f t="shared" ca="1" si="248"/>
        <v>0</v>
      </c>
      <c r="Z454" s="64">
        <f t="shared" ca="1" si="249"/>
        <v>0</v>
      </c>
      <c r="AA454" s="64">
        <f t="shared" ca="1" si="250"/>
        <v>0</v>
      </c>
      <c r="AB454" s="64">
        <f t="shared" ca="1" si="251"/>
        <v>0</v>
      </c>
      <c r="AF454" t="str">
        <f t="shared" ca="1" si="231"/>
        <v>42007</v>
      </c>
      <c r="AG454" s="126">
        <f t="shared" ca="1" si="232"/>
        <v>0</v>
      </c>
      <c r="AH454" s="126">
        <f t="shared" ca="1" si="233"/>
        <v>0</v>
      </c>
      <c r="AI454" s="126">
        <f t="shared" ca="1" si="234"/>
        <v>0</v>
      </c>
      <c r="AJ454" t="str">
        <f t="shared" ca="1" si="235"/>
        <v>42061</v>
      </c>
      <c r="AK454" s="126">
        <f t="shared" ca="1" si="252"/>
        <v>0</v>
      </c>
      <c r="AL454" s="126">
        <f t="shared" ca="1" si="253"/>
        <v>0</v>
      </c>
      <c r="AM454" s="126">
        <f t="shared" ca="1" si="266"/>
        <v>0</v>
      </c>
      <c r="AN454" s="753">
        <f t="shared" ca="1" si="267"/>
        <v>0</v>
      </c>
      <c r="AO454" s="750">
        <f t="shared" ca="1" si="254"/>
        <v>0</v>
      </c>
      <c r="AP454" s="126">
        <f t="shared" ca="1" si="255"/>
        <v>0</v>
      </c>
      <c r="AQ454" s="126">
        <f t="shared" ca="1" si="256"/>
        <v>0</v>
      </c>
      <c r="AR454" s="126">
        <f t="shared" ca="1" si="236"/>
        <v>10000</v>
      </c>
      <c r="AS454" s="750">
        <f t="shared" ca="1" si="237"/>
        <v>0</v>
      </c>
      <c r="AT454" s="750">
        <f t="shared" ca="1" si="238"/>
        <v>0</v>
      </c>
      <c r="AU454" s="126">
        <f t="shared" ca="1" si="257"/>
        <v>0</v>
      </c>
      <c r="AV454" s="126">
        <f t="shared" ca="1" si="258"/>
        <v>0</v>
      </c>
      <c r="AW454" s="126">
        <f t="shared" ca="1" si="239"/>
        <v>10000</v>
      </c>
      <c r="AX454" s="750">
        <f t="shared" ca="1" si="259"/>
        <v>0</v>
      </c>
      <c r="AY454" s="750">
        <f t="shared" ca="1" si="260"/>
        <v>0</v>
      </c>
      <c r="AZ454">
        <f t="shared" si="261"/>
        <v>5750</v>
      </c>
    </row>
    <row r="455" spans="4:52">
      <c r="D455">
        <v>448</v>
      </c>
      <c r="E455" s="6">
        <f t="shared" ca="1" si="240"/>
        <v>39142</v>
      </c>
      <c r="F455" s="7">
        <f t="shared" ca="1" si="241"/>
        <v>0</v>
      </c>
      <c r="G455" s="125">
        <f ca="1">IF('Simulador - 1º Pilar'!$E$99="Sí",IF('Aportaciones PPE'!$B$13&lt;'Aportaciones PPE'!E455,0,F455*$B$8/12),F455*$B$8/12)</f>
        <v>0</v>
      </c>
      <c r="H455" s="125">
        <f t="shared" ref="H455:H518" ca="1" si="268">$H$5*G455</f>
        <v>0</v>
      </c>
      <c r="I455" s="125">
        <f t="shared" ca="1" si="242"/>
        <v>0</v>
      </c>
      <c r="J455" s="125">
        <f t="shared" ca="1" si="243"/>
        <v>0</v>
      </c>
      <c r="K455" s="125">
        <f t="shared" ca="1" si="244"/>
        <v>0</v>
      </c>
      <c r="L455" s="125">
        <f t="shared" ca="1" si="262"/>
        <v>0</v>
      </c>
      <c r="M455" s="125">
        <f t="shared" ca="1" si="245"/>
        <v>0</v>
      </c>
      <c r="N455" s="125">
        <f t="shared" ca="1" si="246"/>
        <v>0</v>
      </c>
      <c r="R455">
        <f t="shared" si="263"/>
        <v>448</v>
      </c>
      <c r="U455" s="55"/>
      <c r="V455">
        <f t="shared" si="264"/>
        <v>5</v>
      </c>
      <c r="W455">
        <f t="shared" ca="1" si="265"/>
        <v>2061</v>
      </c>
      <c r="X455" s="123">
        <f t="shared" ca="1" si="247"/>
        <v>58927</v>
      </c>
      <c r="Y455" s="64">
        <f t="shared" ca="1" si="248"/>
        <v>0</v>
      </c>
      <c r="Z455" s="64">
        <f t="shared" ca="1" si="249"/>
        <v>0</v>
      </c>
      <c r="AA455" s="64">
        <f t="shared" ca="1" si="250"/>
        <v>0</v>
      </c>
      <c r="AB455" s="64">
        <f t="shared" ca="1" si="251"/>
        <v>0</v>
      </c>
      <c r="AF455" t="str">
        <f t="shared" ref="AF455:AF518" ca="1" si="269">+MONTH(E455)&amp;YEAR(E455)</f>
        <v>32007</v>
      </c>
      <c r="AG455" s="126">
        <f t="shared" ref="AG455:AG518" ca="1" si="270">+I455</f>
        <v>0</v>
      </c>
      <c r="AH455" s="126">
        <f t="shared" ref="AH455:AH518" ca="1" si="271">+J455</f>
        <v>0</v>
      </c>
      <c r="AI455" s="126">
        <f t="shared" ref="AI455:AI518" ca="1" si="272">+H455</f>
        <v>0</v>
      </c>
      <c r="AJ455" t="str">
        <f t="shared" ref="AJ455:AJ518" ca="1" si="273">+V455&amp;W455</f>
        <v>52061</v>
      </c>
      <c r="AK455" s="126">
        <f t="shared" ca="1" si="252"/>
        <v>0</v>
      </c>
      <c r="AL455" s="126">
        <f t="shared" ca="1" si="253"/>
        <v>0</v>
      </c>
      <c r="AM455" s="126">
        <f t="shared" ca="1" si="266"/>
        <v>0</v>
      </c>
      <c r="AN455" s="753">
        <f t="shared" ca="1" si="267"/>
        <v>0</v>
      </c>
      <c r="AO455" s="750">
        <f t="shared" ca="1" si="254"/>
        <v>0</v>
      </c>
      <c r="AP455" s="126">
        <f t="shared" ca="1" si="255"/>
        <v>0</v>
      </c>
      <c r="AQ455" s="126">
        <f t="shared" ca="1" si="256"/>
        <v>0</v>
      </c>
      <c r="AR455" s="126">
        <f t="shared" ref="AR455:AR518" ca="1" si="274">+MAX($AM$2-SUMIF($W$7:$W$1066,W455,$AN$7:$AN$1066),0)</f>
        <v>10000</v>
      </c>
      <c r="AS455" s="750">
        <f t="shared" ref="AS455:AS518" ca="1" si="275">+MAX(IF(AQ455&gt;AR455,AR455-AQ454,AP455),0)</f>
        <v>0</v>
      </c>
      <c r="AT455" s="750">
        <f t="shared" ref="AT455:AT518" ca="1" si="276">+AP455-AS455</f>
        <v>0</v>
      </c>
      <c r="AU455" s="126">
        <f t="shared" ca="1" si="257"/>
        <v>0</v>
      </c>
      <c r="AV455" s="126">
        <f t="shared" ca="1" si="258"/>
        <v>0</v>
      </c>
      <c r="AW455" s="126">
        <f t="shared" ref="AW455:AW518" ca="1" si="277">+MAX($AM$2-SUMIF($W$7:$W$1066,W455,$AN$7:$AN$1066)-SUMIF($W$7:$W$1066,W455,$AS$7:$AS$1066),0)</f>
        <v>10000</v>
      </c>
      <c r="AX455" s="750">
        <f t="shared" ca="1" si="259"/>
        <v>0</v>
      </c>
      <c r="AY455" s="750">
        <f t="shared" ca="1" si="260"/>
        <v>0</v>
      </c>
      <c r="AZ455">
        <f t="shared" si="261"/>
        <v>5750</v>
      </c>
    </row>
    <row r="456" spans="4:52">
      <c r="D456">
        <v>449</v>
      </c>
      <c r="E456" s="6">
        <f t="shared" ref="E456:E519" ca="1" si="278">+DATE(YEAR(E455),MONTH(E455)-1,DAY(E455))</f>
        <v>39114</v>
      </c>
      <c r="F456" s="7">
        <f t="shared" ref="F456:F519" ca="1" si="279">IF(DATE(YEAR($B$6),MONTH($B$6)+1,DAY(1))=E456,1,IF(MONTH(E456)=1,F457*(1+$F$5),F457))</f>
        <v>0</v>
      </c>
      <c r="G456" s="125">
        <f ca="1">IF('Simulador - 1º Pilar'!$E$99="Sí",IF('Aportaciones PPE'!$B$13&lt;'Aportaciones PPE'!E456,0,F456*$B$8/12),F456*$B$8/12)</f>
        <v>0</v>
      </c>
      <c r="H456" s="125">
        <f t="shared" ca="1" si="268"/>
        <v>0</v>
      </c>
      <c r="I456" s="125">
        <f t="shared" ref="I456:I519" ca="1" si="280">$I$5*G456</f>
        <v>0</v>
      </c>
      <c r="J456" s="125">
        <f t="shared" ref="J456:J519" ca="1" si="281">+I456</f>
        <v>0</v>
      </c>
      <c r="K456" s="125">
        <f t="shared" ref="K456:K519" ca="1" si="282">(1+$O$5)^(D456/12)*(H456+IF(AND(F456=1,F457=0),$S$4,0))</f>
        <v>0</v>
      </c>
      <c r="L456" s="125">
        <f t="shared" ca="1" si="262"/>
        <v>0</v>
      </c>
      <c r="M456" s="125">
        <f t="shared" ref="M456:M519" ca="1" si="283">+L456</f>
        <v>0</v>
      </c>
      <c r="N456" s="125">
        <f t="shared" ref="N456:N519" ca="1" si="284">L456+K456+M456</f>
        <v>0</v>
      </c>
      <c r="R456">
        <f t="shared" si="263"/>
        <v>449</v>
      </c>
      <c r="U456" s="55"/>
      <c r="V456">
        <f t="shared" si="264"/>
        <v>6</v>
      </c>
      <c r="W456">
        <f t="shared" ca="1" si="265"/>
        <v>2061</v>
      </c>
      <c r="X456" s="123">
        <f t="shared" ref="X456:X519" ca="1" si="285">+DATE(W456,V456,1)</f>
        <v>58958</v>
      </c>
      <c r="Y456" s="64">
        <f t="shared" ref="Y456:Y519" ca="1" si="286">+_xlfn.IFNA(AN456+AS456+AX456,0)</f>
        <v>0</v>
      </c>
      <c r="Z456" s="64">
        <f t="shared" ref="Z456:Z519" ca="1" si="287">+_xlfn.IFNA(AO456+AT456+AY456,0)</f>
        <v>0</v>
      </c>
      <c r="AA456" s="64">
        <f t="shared" ref="AA456:AA519" ca="1" si="288">Y456*(1+$O$5)^(($B$7-X456)/365.25)</f>
        <v>0</v>
      </c>
      <c r="AB456" s="64">
        <f t="shared" ref="AB456:AB519" ca="1" si="289">Z456*(1+$O$5)^(($B$7-X456)/365.25)</f>
        <v>0</v>
      </c>
      <c r="AF456" t="str">
        <f t="shared" ca="1" si="269"/>
        <v>22007</v>
      </c>
      <c r="AG456" s="126">
        <f t="shared" ca="1" si="270"/>
        <v>0</v>
      </c>
      <c r="AH456" s="126">
        <f t="shared" ca="1" si="271"/>
        <v>0</v>
      </c>
      <c r="AI456" s="126">
        <f t="shared" ca="1" si="272"/>
        <v>0</v>
      </c>
      <c r="AJ456" t="str">
        <f t="shared" ca="1" si="273"/>
        <v>62061</v>
      </c>
      <c r="AK456" s="126">
        <f t="shared" ref="AK456:AK519" ca="1" si="290">+_xlfn.IFNA(VLOOKUP(AJ456,$AF$7:$AG$1066,2,0),0)</f>
        <v>0</v>
      </c>
      <c r="AL456" s="126">
        <f t="shared" ref="AL456:AL519" ca="1" si="291">+IF(W456&gt;W455,AK456,AL455+AK456)</f>
        <v>0</v>
      </c>
      <c r="AM456" s="126">
        <f t="shared" ca="1" si="266"/>
        <v>0</v>
      </c>
      <c r="AN456" s="753">
        <f t="shared" ca="1" si="267"/>
        <v>0</v>
      </c>
      <c r="AO456" s="750">
        <f t="shared" ref="AO456:AO519" ca="1" si="292">+AK456-AN456</f>
        <v>0</v>
      </c>
      <c r="AP456" s="126">
        <f t="shared" ref="AP456:AP519" ca="1" si="293">+_xlfn.IFNA(VLOOKUP(AJ456,$AF$7:$AI$1066,3,0),0)</f>
        <v>0</v>
      </c>
      <c r="AQ456" s="126">
        <f t="shared" ref="AQ456:AQ519" ca="1" si="294">+IF(W456&gt;W455,AP456,AQ455+AP456)</f>
        <v>0</v>
      </c>
      <c r="AR456" s="126">
        <f t="shared" ca="1" si="274"/>
        <v>10000</v>
      </c>
      <c r="AS456" s="750">
        <f t="shared" ca="1" si="275"/>
        <v>0</v>
      </c>
      <c r="AT456" s="750">
        <f t="shared" ca="1" si="276"/>
        <v>0</v>
      </c>
      <c r="AU456" s="126">
        <f t="shared" ref="AU456:AU519" ca="1" si="295">+_xlfn.IFNA(VLOOKUP(AJ456,$AF$7:$AI$1066,4,0),0)</f>
        <v>0</v>
      </c>
      <c r="AV456" s="126">
        <f t="shared" ref="AV456:AV519" ca="1" si="296">+IF(W456&gt;W455,AU456,AV455+AU456)</f>
        <v>0</v>
      </c>
      <c r="AW456" s="126">
        <f t="shared" ca="1" si="277"/>
        <v>10000</v>
      </c>
      <c r="AX456" s="750">
        <f t="shared" ref="AX456:AX519" ca="1" si="297">+MAX(IF(AV456&gt;AW456,AW456-AV455,AU456),0)</f>
        <v>0</v>
      </c>
      <c r="AY456" s="750">
        <f t="shared" ref="AY456:AY519" ca="1" si="298">+AU456-AX456</f>
        <v>0</v>
      </c>
      <c r="AZ456">
        <f t="shared" ref="AZ456:AZ519" si="299">+$AM$1+IF($AP$1&gt;$AP$2,$AM$3/2)</f>
        <v>5750</v>
      </c>
    </row>
    <row r="457" spans="4:52">
      <c r="D457">
        <v>450</v>
      </c>
      <c r="E457" s="6">
        <f t="shared" ca="1" si="278"/>
        <v>39083</v>
      </c>
      <c r="F457" s="7">
        <f t="shared" ca="1" si="279"/>
        <v>0</v>
      </c>
      <c r="G457" s="125">
        <f ca="1">IF('Simulador - 1º Pilar'!$E$99="Sí",IF('Aportaciones PPE'!$B$13&lt;'Aportaciones PPE'!E457,0,F457*$B$8/12),F457*$B$8/12)</f>
        <v>0</v>
      </c>
      <c r="H457" s="125">
        <f t="shared" ca="1" si="268"/>
        <v>0</v>
      </c>
      <c r="I457" s="125">
        <f t="shared" ca="1" si="280"/>
        <v>0</v>
      </c>
      <c r="J457" s="125">
        <f t="shared" ca="1" si="281"/>
        <v>0</v>
      </c>
      <c r="K457" s="125">
        <f t="shared" ca="1" si="282"/>
        <v>0</v>
      </c>
      <c r="L457" s="125">
        <f t="shared" ref="L457:L520" ca="1" si="300">(1+$O$5)^(D457/12)*(I457+IF(AND(F457=1,F458=0),0))</f>
        <v>0</v>
      </c>
      <c r="M457" s="125">
        <f t="shared" ca="1" si="283"/>
        <v>0</v>
      </c>
      <c r="N457" s="125">
        <f t="shared" ca="1" si="284"/>
        <v>0</v>
      </c>
      <c r="R457">
        <f t="shared" ref="R457:R520" si="301">D457</f>
        <v>450</v>
      </c>
      <c r="U457" s="55"/>
      <c r="V457">
        <f t="shared" ref="V457:V520" si="302">+IF(V456=11,12,IF(V456=12,1,V456+1))</f>
        <v>7</v>
      </c>
      <c r="W457">
        <f t="shared" ref="W457:W520" ca="1" si="303">+W456+IF(V456=12,1,0)</f>
        <v>2061</v>
      </c>
      <c r="X457" s="123">
        <f t="shared" ca="1" si="285"/>
        <v>58988</v>
      </c>
      <c r="Y457" s="64">
        <f t="shared" ca="1" si="286"/>
        <v>0</v>
      </c>
      <c r="Z457" s="64">
        <f t="shared" ca="1" si="287"/>
        <v>0</v>
      </c>
      <c r="AA457" s="64">
        <f t="shared" ca="1" si="288"/>
        <v>0</v>
      </c>
      <c r="AB457" s="64">
        <f t="shared" ca="1" si="289"/>
        <v>0</v>
      </c>
      <c r="AF457" t="str">
        <f t="shared" ca="1" si="269"/>
        <v>12007</v>
      </c>
      <c r="AG457" s="126">
        <f t="shared" ca="1" si="270"/>
        <v>0</v>
      </c>
      <c r="AH457" s="126">
        <f t="shared" ca="1" si="271"/>
        <v>0</v>
      </c>
      <c r="AI457" s="126">
        <f t="shared" ca="1" si="272"/>
        <v>0</v>
      </c>
      <c r="AJ457" t="str">
        <f t="shared" ca="1" si="273"/>
        <v>72061</v>
      </c>
      <c r="AK457" s="126">
        <f t="shared" ca="1" si="290"/>
        <v>0</v>
      </c>
      <c r="AL457" s="126">
        <f t="shared" ca="1" si="291"/>
        <v>0</v>
      </c>
      <c r="AM457" s="126">
        <f t="shared" ref="AM457:AM520" ca="1" si="304">IF(W457&gt;W456,IF(AL457&gt;=$AZ$8,$AZ$8,AL457),IF(OR(AM456=$AZ$8,AM456=0),0,IF(AL457&gt;=$AZ$8,$AZ$8,AL457)))</f>
        <v>0</v>
      </c>
      <c r="AN457" s="753">
        <f t="shared" ref="AN457:AN520" ca="1" si="305">+IF(OR(AM457&gt;AZ456,AM457=0),0,IF(AM457=AL457,AK457,$AZ$7-AL456))</f>
        <v>0</v>
      </c>
      <c r="AO457" s="750">
        <f t="shared" ca="1" si="292"/>
        <v>0</v>
      </c>
      <c r="AP457" s="126">
        <f t="shared" ca="1" si="293"/>
        <v>0</v>
      </c>
      <c r="AQ457" s="126">
        <f t="shared" ca="1" si="294"/>
        <v>0</v>
      </c>
      <c r="AR457" s="126">
        <f t="shared" ca="1" si="274"/>
        <v>10000</v>
      </c>
      <c r="AS457" s="750">
        <f t="shared" ca="1" si="275"/>
        <v>0</v>
      </c>
      <c r="AT457" s="750">
        <f t="shared" ca="1" si="276"/>
        <v>0</v>
      </c>
      <c r="AU457" s="126">
        <f t="shared" ca="1" si="295"/>
        <v>0</v>
      </c>
      <c r="AV457" s="126">
        <f t="shared" ca="1" si="296"/>
        <v>0</v>
      </c>
      <c r="AW457" s="126">
        <f t="shared" ca="1" si="277"/>
        <v>10000</v>
      </c>
      <c r="AX457" s="750">
        <f t="shared" ca="1" si="297"/>
        <v>0</v>
      </c>
      <c r="AY457" s="750">
        <f t="shared" ca="1" si="298"/>
        <v>0</v>
      </c>
      <c r="AZ457">
        <f t="shared" si="299"/>
        <v>5750</v>
      </c>
    </row>
    <row r="458" spans="4:52">
      <c r="D458">
        <v>451</v>
      </c>
      <c r="E458" s="6">
        <f t="shared" ca="1" si="278"/>
        <v>39052</v>
      </c>
      <c r="F458" s="7">
        <f t="shared" ca="1" si="279"/>
        <v>0</v>
      </c>
      <c r="G458" s="125">
        <f ca="1">IF('Simulador - 1º Pilar'!$E$99="Sí",IF('Aportaciones PPE'!$B$13&lt;'Aportaciones PPE'!E458,0,F458*$B$8/12),F458*$B$8/12)</f>
        <v>0</v>
      </c>
      <c r="H458" s="125">
        <f t="shared" ca="1" si="268"/>
        <v>0</v>
      </c>
      <c r="I458" s="125">
        <f t="shared" ca="1" si="280"/>
        <v>0</v>
      </c>
      <c r="J458" s="125">
        <f t="shared" ca="1" si="281"/>
        <v>0</v>
      </c>
      <c r="K458" s="125">
        <f t="shared" ca="1" si="282"/>
        <v>0</v>
      </c>
      <c r="L458" s="125">
        <f t="shared" ca="1" si="300"/>
        <v>0</v>
      </c>
      <c r="M458" s="125">
        <f t="shared" ca="1" si="283"/>
        <v>0</v>
      </c>
      <c r="N458" s="125">
        <f t="shared" ca="1" si="284"/>
        <v>0</v>
      </c>
      <c r="R458">
        <f t="shared" si="301"/>
        <v>451</v>
      </c>
      <c r="U458" s="55"/>
      <c r="V458">
        <f t="shared" si="302"/>
        <v>8</v>
      </c>
      <c r="W458">
        <f t="shared" ca="1" si="303"/>
        <v>2061</v>
      </c>
      <c r="X458" s="123">
        <f t="shared" ca="1" si="285"/>
        <v>59019</v>
      </c>
      <c r="Y458" s="64">
        <f t="shared" ca="1" si="286"/>
        <v>0</v>
      </c>
      <c r="Z458" s="64">
        <f t="shared" ca="1" si="287"/>
        <v>0</v>
      </c>
      <c r="AA458" s="64">
        <f t="shared" ca="1" si="288"/>
        <v>0</v>
      </c>
      <c r="AB458" s="64">
        <f t="shared" ca="1" si="289"/>
        <v>0</v>
      </c>
      <c r="AF458" t="str">
        <f t="shared" ca="1" si="269"/>
        <v>122006</v>
      </c>
      <c r="AG458" s="126">
        <f t="shared" ca="1" si="270"/>
        <v>0</v>
      </c>
      <c r="AH458" s="126">
        <f t="shared" ca="1" si="271"/>
        <v>0</v>
      </c>
      <c r="AI458" s="126">
        <f t="shared" ca="1" si="272"/>
        <v>0</v>
      </c>
      <c r="AJ458" t="str">
        <f t="shared" ca="1" si="273"/>
        <v>82061</v>
      </c>
      <c r="AK458" s="126">
        <f t="shared" ca="1" si="290"/>
        <v>0</v>
      </c>
      <c r="AL458" s="126">
        <f t="shared" ca="1" si="291"/>
        <v>0</v>
      </c>
      <c r="AM458" s="126">
        <f t="shared" ca="1" si="304"/>
        <v>0</v>
      </c>
      <c r="AN458" s="753">
        <f t="shared" ca="1" si="305"/>
        <v>0</v>
      </c>
      <c r="AO458" s="750">
        <f t="shared" ca="1" si="292"/>
        <v>0</v>
      </c>
      <c r="AP458" s="126">
        <f t="shared" ca="1" si="293"/>
        <v>0</v>
      </c>
      <c r="AQ458" s="126">
        <f t="shared" ca="1" si="294"/>
        <v>0</v>
      </c>
      <c r="AR458" s="126">
        <f t="shared" ca="1" si="274"/>
        <v>10000</v>
      </c>
      <c r="AS458" s="750">
        <f t="shared" ca="1" si="275"/>
        <v>0</v>
      </c>
      <c r="AT458" s="750">
        <f t="shared" ca="1" si="276"/>
        <v>0</v>
      </c>
      <c r="AU458" s="126">
        <f t="shared" ca="1" si="295"/>
        <v>0</v>
      </c>
      <c r="AV458" s="126">
        <f t="shared" ca="1" si="296"/>
        <v>0</v>
      </c>
      <c r="AW458" s="126">
        <f t="shared" ca="1" si="277"/>
        <v>10000</v>
      </c>
      <c r="AX458" s="750">
        <f t="shared" ca="1" si="297"/>
        <v>0</v>
      </c>
      <c r="AY458" s="750">
        <f t="shared" ca="1" si="298"/>
        <v>0</v>
      </c>
      <c r="AZ458">
        <f t="shared" si="299"/>
        <v>5750</v>
      </c>
    </row>
    <row r="459" spans="4:52">
      <c r="D459">
        <v>452</v>
      </c>
      <c r="E459" s="6">
        <f t="shared" ca="1" si="278"/>
        <v>39022</v>
      </c>
      <c r="F459" s="7">
        <f t="shared" ca="1" si="279"/>
        <v>0</v>
      </c>
      <c r="G459" s="125">
        <f ca="1">IF('Simulador - 1º Pilar'!$E$99="Sí",IF('Aportaciones PPE'!$B$13&lt;'Aportaciones PPE'!E459,0,F459*$B$8/12),F459*$B$8/12)</f>
        <v>0</v>
      </c>
      <c r="H459" s="125">
        <f t="shared" ca="1" si="268"/>
        <v>0</v>
      </c>
      <c r="I459" s="125">
        <f t="shared" ca="1" si="280"/>
        <v>0</v>
      </c>
      <c r="J459" s="125">
        <f t="shared" ca="1" si="281"/>
        <v>0</v>
      </c>
      <c r="K459" s="125">
        <f t="shared" ca="1" si="282"/>
        <v>0</v>
      </c>
      <c r="L459" s="125">
        <f t="shared" ca="1" si="300"/>
        <v>0</v>
      </c>
      <c r="M459" s="125">
        <f t="shared" ca="1" si="283"/>
        <v>0</v>
      </c>
      <c r="N459" s="125">
        <f t="shared" ca="1" si="284"/>
        <v>0</v>
      </c>
      <c r="R459">
        <f t="shared" si="301"/>
        <v>452</v>
      </c>
      <c r="U459" s="55"/>
      <c r="V459">
        <f t="shared" si="302"/>
        <v>9</v>
      </c>
      <c r="W459">
        <f t="shared" ca="1" si="303"/>
        <v>2061</v>
      </c>
      <c r="X459" s="123">
        <f t="shared" ca="1" si="285"/>
        <v>59050</v>
      </c>
      <c r="Y459" s="64">
        <f t="shared" ca="1" si="286"/>
        <v>0</v>
      </c>
      <c r="Z459" s="64">
        <f t="shared" ca="1" si="287"/>
        <v>0</v>
      </c>
      <c r="AA459" s="64">
        <f t="shared" ca="1" si="288"/>
        <v>0</v>
      </c>
      <c r="AB459" s="64">
        <f t="shared" ca="1" si="289"/>
        <v>0</v>
      </c>
      <c r="AF459" t="str">
        <f t="shared" ca="1" si="269"/>
        <v>112006</v>
      </c>
      <c r="AG459" s="126">
        <f t="shared" ca="1" si="270"/>
        <v>0</v>
      </c>
      <c r="AH459" s="126">
        <f t="shared" ca="1" si="271"/>
        <v>0</v>
      </c>
      <c r="AI459" s="126">
        <f t="shared" ca="1" si="272"/>
        <v>0</v>
      </c>
      <c r="AJ459" t="str">
        <f t="shared" ca="1" si="273"/>
        <v>92061</v>
      </c>
      <c r="AK459" s="126">
        <f t="shared" ca="1" si="290"/>
        <v>0</v>
      </c>
      <c r="AL459" s="126">
        <f t="shared" ca="1" si="291"/>
        <v>0</v>
      </c>
      <c r="AM459" s="126">
        <f t="shared" ca="1" si="304"/>
        <v>0</v>
      </c>
      <c r="AN459" s="753">
        <f t="shared" ca="1" si="305"/>
        <v>0</v>
      </c>
      <c r="AO459" s="750">
        <f t="shared" ca="1" si="292"/>
        <v>0</v>
      </c>
      <c r="AP459" s="126">
        <f t="shared" ca="1" si="293"/>
        <v>0</v>
      </c>
      <c r="AQ459" s="126">
        <f t="shared" ca="1" si="294"/>
        <v>0</v>
      </c>
      <c r="AR459" s="126">
        <f t="shared" ca="1" si="274"/>
        <v>10000</v>
      </c>
      <c r="AS459" s="750">
        <f t="shared" ca="1" si="275"/>
        <v>0</v>
      </c>
      <c r="AT459" s="750">
        <f t="shared" ca="1" si="276"/>
        <v>0</v>
      </c>
      <c r="AU459" s="126">
        <f t="shared" ca="1" si="295"/>
        <v>0</v>
      </c>
      <c r="AV459" s="126">
        <f t="shared" ca="1" si="296"/>
        <v>0</v>
      </c>
      <c r="AW459" s="126">
        <f t="shared" ca="1" si="277"/>
        <v>10000</v>
      </c>
      <c r="AX459" s="750">
        <f t="shared" ca="1" si="297"/>
        <v>0</v>
      </c>
      <c r="AY459" s="750">
        <f t="shared" ca="1" si="298"/>
        <v>0</v>
      </c>
      <c r="AZ459">
        <f t="shared" si="299"/>
        <v>5750</v>
      </c>
    </row>
    <row r="460" spans="4:52">
      <c r="D460">
        <v>453</v>
      </c>
      <c r="E460" s="6">
        <f t="shared" ca="1" si="278"/>
        <v>38991</v>
      </c>
      <c r="F460" s="7">
        <f t="shared" ca="1" si="279"/>
        <v>0</v>
      </c>
      <c r="G460" s="125">
        <f ca="1">IF('Simulador - 1º Pilar'!$E$99="Sí",IF('Aportaciones PPE'!$B$13&lt;'Aportaciones PPE'!E460,0,F460*$B$8/12),F460*$B$8/12)</f>
        <v>0</v>
      </c>
      <c r="H460" s="125">
        <f t="shared" ca="1" si="268"/>
        <v>0</v>
      </c>
      <c r="I460" s="125">
        <f t="shared" ca="1" si="280"/>
        <v>0</v>
      </c>
      <c r="J460" s="125">
        <f t="shared" ca="1" si="281"/>
        <v>0</v>
      </c>
      <c r="K460" s="125">
        <f t="shared" ca="1" si="282"/>
        <v>0</v>
      </c>
      <c r="L460" s="125">
        <f t="shared" ca="1" si="300"/>
        <v>0</v>
      </c>
      <c r="M460" s="125">
        <f t="shared" ca="1" si="283"/>
        <v>0</v>
      </c>
      <c r="N460" s="125">
        <f t="shared" ca="1" si="284"/>
        <v>0</v>
      </c>
      <c r="R460">
        <f t="shared" si="301"/>
        <v>453</v>
      </c>
      <c r="U460" s="55"/>
      <c r="V460">
        <f t="shared" si="302"/>
        <v>10</v>
      </c>
      <c r="W460">
        <f t="shared" ca="1" si="303"/>
        <v>2061</v>
      </c>
      <c r="X460" s="123">
        <f t="shared" ca="1" si="285"/>
        <v>59080</v>
      </c>
      <c r="Y460" s="64">
        <f t="shared" ca="1" si="286"/>
        <v>0</v>
      </c>
      <c r="Z460" s="64">
        <f t="shared" ca="1" si="287"/>
        <v>0</v>
      </c>
      <c r="AA460" s="64">
        <f t="shared" ca="1" si="288"/>
        <v>0</v>
      </c>
      <c r="AB460" s="64">
        <f t="shared" ca="1" si="289"/>
        <v>0</v>
      </c>
      <c r="AF460" t="str">
        <f t="shared" ca="1" si="269"/>
        <v>102006</v>
      </c>
      <c r="AG460" s="126">
        <f t="shared" ca="1" si="270"/>
        <v>0</v>
      </c>
      <c r="AH460" s="126">
        <f t="shared" ca="1" si="271"/>
        <v>0</v>
      </c>
      <c r="AI460" s="126">
        <f t="shared" ca="1" si="272"/>
        <v>0</v>
      </c>
      <c r="AJ460" t="str">
        <f t="shared" ca="1" si="273"/>
        <v>102061</v>
      </c>
      <c r="AK460" s="126">
        <f t="shared" ca="1" si="290"/>
        <v>0</v>
      </c>
      <c r="AL460" s="126">
        <f t="shared" ca="1" si="291"/>
        <v>0</v>
      </c>
      <c r="AM460" s="126">
        <f t="shared" ca="1" si="304"/>
        <v>0</v>
      </c>
      <c r="AN460" s="753">
        <f t="shared" ca="1" si="305"/>
        <v>0</v>
      </c>
      <c r="AO460" s="750">
        <f t="shared" ca="1" si="292"/>
        <v>0</v>
      </c>
      <c r="AP460" s="126">
        <f t="shared" ca="1" si="293"/>
        <v>0</v>
      </c>
      <c r="AQ460" s="126">
        <f t="shared" ca="1" si="294"/>
        <v>0</v>
      </c>
      <c r="AR460" s="126">
        <f t="shared" ca="1" si="274"/>
        <v>10000</v>
      </c>
      <c r="AS460" s="750">
        <f t="shared" ca="1" si="275"/>
        <v>0</v>
      </c>
      <c r="AT460" s="750">
        <f t="shared" ca="1" si="276"/>
        <v>0</v>
      </c>
      <c r="AU460" s="126">
        <f t="shared" ca="1" si="295"/>
        <v>0</v>
      </c>
      <c r="AV460" s="126">
        <f t="shared" ca="1" si="296"/>
        <v>0</v>
      </c>
      <c r="AW460" s="126">
        <f t="shared" ca="1" si="277"/>
        <v>10000</v>
      </c>
      <c r="AX460" s="750">
        <f t="shared" ca="1" si="297"/>
        <v>0</v>
      </c>
      <c r="AY460" s="750">
        <f t="shared" ca="1" si="298"/>
        <v>0</v>
      </c>
      <c r="AZ460">
        <f t="shared" si="299"/>
        <v>5750</v>
      </c>
    </row>
    <row r="461" spans="4:52">
      <c r="D461">
        <v>454</v>
      </c>
      <c r="E461" s="6">
        <f t="shared" ca="1" si="278"/>
        <v>38961</v>
      </c>
      <c r="F461" s="7">
        <f t="shared" ca="1" si="279"/>
        <v>0</v>
      </c>
      <c r="G461" s="125">
        <f ca="1">IF('Simulador - 1º Pilar'!$E$99="Sí",IF('Aportaciones PPE'!$B$13&lt;'Aportaciones PPE'!E461,0,F461*$B$8/12),F461*$B$8/12)</f>
        <v>0</v>
      </c>
      <c r="H461" s="125">
        <f t="shared" ca="1" si="268"/>
        <v>0</v>
      </c>
      <c r="I461" s="125">
        <f t="shared" ca="1" si="280"/>
        <v>0</v>
      </c>
      <c r="J461" s="125">
        <f t="shared" ca="1" si="281"/>
        <v>0</v>
      </c>
      <c r="K461" s="125">
        <f t="shared" ca="1" si="282"/>
        <v>0</v>
      </c>
      <c r="L461" s="125">
        <f t="shared" ca="1" si="300"/>
        <v>0</v>
      </c>
      <c r="M461" s="125">
        <f t="shared" ca="1" si="283"/>
        <v>0</v>
      </c>
      <c r="N461" s="125">
        <f t="shared" ca="1" si="284"/>
        <v>0</v>
      </c>
      <c r="R461">
        <f t="shared" si="301"/>
        <v>454</v>
      </c>
      <c r="U461" s="55"/>
      <c r="V461">
        <f t="shared" si="302"/>
        <v>11</v>
      </c>
      <c r="W461">
        <f t="shared" ca="1" si="303"/>
        <v>2061</v>
      </c>
      <c r="X461" s="123">
        <f t="shared" ca="1" si="285"/>
        <v>59111</v>
      </c>
      <c r="Y461" s="64">
        <f t="shared" ca="1" si="286"/>
        <v>0</v>
      </c>
      <c r="Z461" s="64">
        <f t="shared" ca="1" si="287"/>
        <v>0</v>
      </c>
      <c r="AA461" s="64">
        <f t="shared" ca="1" si="288"/>
        <v>0</v>
      </c>
      <c r="AB461" s="64">
        <f t="shared" ca="1" si="289"/>
        <v>0</v>
      </c>
      <c r="AF461" t="str">
        <f t="shared" ca="1" si="269"/>
        <v>92006</v>
      </c>
      <c r="AG461" s="126">
        <f t="shared" ca="1" si="270"/>
        <v>0</v>
      </c>
      <c r="AH461" s="126">
        <f t="shared" ca="1" si="271"/>
        <v>0</v>
      </c>
      <c r="AI461" s="126">
        <f t="shared" ca="1" si="272"/>
        <v>0</v>
      </c>
      <c r="AJ461" t="str">
        <f t="shared" ca="1" si="273"/>
        <v>112061</v>
      </c>
      <c r="AK461" s="126">
        <f t="shared" ca="1" si="290"/>
        <v>0</v>
      </c>
      <c r="AL461" s="126">
        <f t="shared" ca="1" si="291"/>
        <v>0</v>
      </c>
      <c r="AM461" s="126">
        <f t="shared" ca="1" si="304"/>
        <v>0</v>
      </c>
      <c r="AN461" s="753">
        <f t="shared" ca="1" si="305"/>
        <v>0</v>
      </c>
      <c r="AO461" s="750">
        <f t="shared" ca="1" si="292"/>
        <v>0</v>
      </c>
      <c r="AP461" s="126">
        <f t="shared" ca="1" si="293"/>
        <v>0</v>
      </c>
      <c r="AQ461" s="126">
        <f t="shared" ca="1" si="294"/>
        <v>0</v>
      </c>
      <c r="AR461" s="126">
        <f t="shared" ca="1" si="274"/>
        <v>10000</v>
      </c>
      <c r="AS461" s="750">
        <f t="shared" ca="1" si="275"/>
        <v>0</v>
      </c>
      <c r="AT461" s="750">
        <f t="shared" ca="1" si="276"/>
        <v>0</v>
      </c>
      <c r="AU461" s="126">
        <f t="shared" ca="1" si="295"/>
        <v>0</v>
      </c>
      <c r="AV461" s="126">
        <f t="shared" ca="1" si="296"/>
        <v>0</v>
      </c>
      <c r="AW461" s="126">
        <f t="shared" ca="1" si="277"/>
        <v>10000</v>
      </c>
      <c r="AX461" s="750">
        <f t="shared" ca="1" si="297"/>
        <v>0</v>
      </c>
      <c r="AY461" s="750">
        <f t="shared" ca="1" si="298"/>
        <v>0</v>
      </c>
      <c r="AZ461">
        <f t="shared" si="299"/>
        <v>5750</v>
      </c>
    </row>
    <row r="462" spans="4:52">
      <c r="D462">
        <v>455</v>
      </c>
      <c r="E462" s="6">
        <f t="shared" ca="1" si="278"/>
        <v>38930</v>
      </c>
      <c r="F462" s="7">
        <f t="shared" ca="1" si="279"/>
        <v>0</v>
      </c>
      <c r="G462" s="125">
        <f ca="1">IF('Simulador - 1º Pilar'!$E$99="Sí",IF('Aportaciones PPE'!$B$13&lt;'Aportaciones PPE'!E462,0,F462*$B$8/12),F462*$B$8/12)</f>
        <v>0</v>
      </c>
      <c r="H462" s="125">
        <f t="shared" ca="1" si="268"/>
        <v>0</v>
      </c>
      <c r="I462" s="125">
        <f t="shared" ca="1" si="280"/>
        <v>0</v>
      </c>
      <c r="J462" s="125">
        <f t="shared" ca="1" si="281"/>
        <v>0</v>
      </c>
      <c r="K462" s="125">
        <f t="shared" ca="1" si="282"/>
        <v>0</v>
      </c>
      <c r="L462" s="125">
        <f t="shared" ca="1" si="300"/>
        <v>0</v>
      </c>
      <c r="M462" s="125">
        <f t="shared" ca="1" si="283"/>
        <v>0</v>
      </c>
      <c r="N462" s="125">
        <f t="shared" ca="1" si="284"/>
        <v>0</v>
      </c>
      <c r="R462">
        <f t="shared" si="301"/>
        <v>455</v>
      </c>
      <c r="U462" s="55"/>
      <c r="V462">
        <f t="shared" si="302"/>
        <v>12</v>
      </c>
      <c r="W462">
        <f t="shared" ca="1" si="303"/>
        <v>2061</v>
      </c>
      <c r="X462" s="123">
        <f t="shared" ca="1" si="285"/>
        <v>59141</v>
      </c>
      <c r="Y462" s="64">
        <f t="shared" ca="1" si="286"/>
        <v>0</v>
      </c>
      <c r="Z462" s="64">
        <f t="shared" ca="1" si="287"/>
        <v>0</v>
      </c>
      <c r="AA462" s="64">
        <f t="shared" ca="1" si="288"/>
        <v>0</v>
      </c>
      <c r="AB462" s="64">
        <f t="shared" ca="1" si="289"/>
        <v>0</v>
      </c>
      <c r="AF462" t="str">
        <f t="shared" ca="1" si="269"/>
        <v>82006</v>
      </c>
      <c r="AG462" s="126">
        <f t="shared" ca="1" si="270"/>
        <v>0</v>
      </c>
      <c r="AH462" s="126">
        <f t="shared" ca="1" si="271"/>
        <v>0</v>
      </c>
      <c r="AI462" s="126">
        <f t="shared" ca="1" si="272"/>
        <v>0</v>
      </c>
      <c r="AJ462" t="str">
        <f t="shared" ca="1" si="273"/>
        <v>122061</v>
      </c>
      <c r="AK462" s="126">
        <f t="shared" ca="1" si="290"/>
        <v>0</v>
      </c>
      <c r="AL462" s="126">
        <f t="shared" ca="1" si="291"/>
        <v>0</v>
      </c>
      <c r="AM462" s="126">
        <f t="shared" ca="1" si="304"/>
        <v>0</v>
      </c>
      <c r="AN462" s="753">
        <f t="shared" ca="1" si="305"/>
        <v>0</v>
      </c>
      <c r="AO462" s="750">
        <f t="shared" ca="1" si="292"/>
        <v>0</v>
      </c>
      <c r="AP462" s="126">
        <f t="shared" ca="1" si="293"/>
        <v>0</v>
      </c>
      <c r="AQ462" s="126">
        <f t="shared" ca="1" si="294"/>
        <v>0</v>
      </c>
      <c r="AR462" s="126">
        <f t="shared" ca="1" si="274"/>
        <v>10000</v>
      </c>
      <c r="AS462" s="750">
        <f t="shared" ca="1" si="275"/>
        <v>0</v>
      </c>
      <c r="AT462" s="750">
        <f t="shared" ca="1" si="276"/>
        <v>0</v>
      </c>
      <c r="AU462" s="126">
        <f t="shared" ca="1" si="295"/>
        <v>0</v>
      </c>
      <c r="AV462" s="126">
        <f t="shared" ca="1" si="296"/>
        <v>0</v>
      </c>
      <c r="AW462" s="126">
        <f t="shared" ca="1" si="277"/>
        <v>10000</v>
      </c>
      <c r="AX462" s="750">
        <f t="shared" ca="1" si="297"/>
        <v>0</v>
      </c>
      <c r="AY462" s="750">
        <f t="shared" ca="1" si="298"/>
        <v>0</v>
      </c>
      <c r="AZ462">
        <f t="shared" si="299"/>
        <v>5750</v>
      </c>
    </row>
    <row r="463" spans="4:52">
      <c r="D463">
        <v>456</v>
      </c>
      <c r="E463" s="6">
        <f t="shared" ca="1" si="278"/>
        <v>38899</v>
      </c>
      <c r="F463" s="7">
        <f t="shared" ca="1" si="279"/>
        <v>0</v>
      </c>
      <c r="G463" s="125">
        <f ca="1">IF('Simulador - 1º Pilar'!$E$99="Sí",IF('Aportaciones PPE'!$B$13&lt;'Aportaciones PPE'!E463,0,F463*$B$8/12),F463*$B$8/12)</f>
        <v>0</v>
      </c>
      <c r="H463" s="125">
        <f t="shared" ca="1" si="268"/>
        <v>0</v>
      </c>
      <c r="I463" s="125">
        <f t="shared" ca="1" si="280"/>
        <v>0</v>
      </c>
      <c r="J463" s="125">
        <f t="shared" ca="1" si="281"/>
        <v>0</v>
      </c>
      <c r="K463" s="125">
        <f t="shared" ca="1" si="282"/>
        <v>0</v>
      </c>
      <c r="L463" s="125">
        <f t="shared" ca="1" si="300"/>
        <v>0</v>
      </c>
      <c r="M463" s="125">
        <f t="shared" ca="1" si="283"/>
        <v>0</v>
      </c>
      <c r="N463" s="125">
        <f t="shared" ca="1" si="284"/>
        <v>0</v>
      </c>
      <c r="R463">
        <f t="shared" si="301"/>
        <v>456</v>
      </c>
      <c r="U463" s="55"/>
      <c r="V463">
        <f t="shared" si="302"/>
        <v>1</v>
      </c>
      <c r="W463">
        <f t="shared" ca="1" si="303"/>
        <v>2062</v>
      </c>
      <c r="X463" s="123">
        <f t="shared" ca="1" si="285"/>
        <v>59172</v>
      </c>
      <c r="Y463" s="64">
        <f t="shared" ca="1" si="286"/>
        <v>0</v>
      </c>
      <c r="Z463" s="64">
        <f t="shared" ca="1" si="287"/>
        <v>0</v>
      </c>
      <c r="AA463" s="64">
        <f t="shared" ca="1" si="288"/>
        <v>0</v>
      </c>
      <c r="AB463" s="64">
        <f t="shared" ca="1" si="289"/>
        <v>0</v>
      </c>
      <c r="AF463" t="str">
        <f t="shared" ca="1" si="269"/>
        <v>72006</v>
      </c>
      <c r="AG463" s="126">
        <f t="shared" ca="1" si="270"/>
        <v>0</v>
      </c>
      <c r="AH463" s="126">
        <f t="shared" ca="1" si="271"/>
        <v>0</v>
      </c>
      <c r="AI463" s="126">
        <f t="shared" ca="1" si="272"/>
        <v>0</v>
      </c>
      <c r="AJ463" t="str">
        <f t="shared" ca="1" si="273"/>
        <v>12062</v>
      </c>
      <c r="AK463" s="126">
        <f t="shared" ca="1" si="290"/>
        <v>0</v>
      </c>
      <c r="AL463" s="126">
        <f t="shared" ca="1" si="291"/>
        <v>0</v>
      </c>
      <c r="AM463" s="126">
        <f t="shared" ca="1" si="304"/>
        <v>0</v>
      </c>
      <c r="AN463" s="753">
        <f t="shared" ca="1" si="305"/>
        <v>0</v>
      </c>
      <c r="AO463" s="750">
        <f t="shared" ca="1" si="292"/>
        <v>0</v>
      </c>
      <c r="AP463" s="126">
        <f t="shared" ca="1" si="293"/>
        <v>0</v>
      </c>
      <c r="AQ463" s="126">
        <f t="shared" ca="1" si="294"/>
        <v>0</v>
      </c>
      <c r="AR463" s="126">
        <f t="shared" ca="1" si="274"/>
        <v>10000</v>
      </c>
      <c r="AS463" s="750">
        <f t="shared" ca="1" si="275"/>
        <v>0</v>
      </c>
      <c r="AT463" s="750">
        <f t="shared" ca="1" si="276"/>
        <v>0</v>
      </c>
      <c r="AU463" s="126">
        <f t="shared" ca="1" si="295"/>
        <v>0</v>
      </c>
      <c r="AV463" s="126">
        <f t="shared" ca="1" si="296"/>
        <v>0</v>
      </c>
      <c r="AW463" s="126">
        <f t="shared" ca="1" si="277"/>
        <v>10000</v>
      </c>
      <c r="AX463" s="750">
        <f t="shared" ca="1" si="297"/>
        <v>0</v>
      </c>
      <c r="AY463" s="750">
        <f t="shared" ca="1" si="298"/>
        <v>0</v>
      </c>
      <c r="AZ463">
        <f t="shared" si="299"/>
        <v>5750</v>
      </c>
    </row>
    <row r="464" spans="4:52">
      <c r="D464">
        <v>457</v>
      </c>
      <c r="E464" s="6">
        <f t="shared" ca="1" si="278"/>
        <v>38869</v>
      </c>
      <c r="F464" s="7">
        <f t="shared" ca="1" si="279"/>
        <v>0</v>
      </c>
      <c r="G464" s="125">
        <f ca="1">IF('Simulador - 1º Pilar'!$E$99="Sí",IF('Aportaciones PPE'!$B$13&lt;'Aportaciones PPE'!E464,0,F464*$B$8/12),F464*$B$8/12)</f>
        <v>0</v>
      </c>
      <c r="H464" s="125">
        <f t="shared" ca="1" si="268"/>
        <v>0</v>
      </c>
      <c r="I464" s="125">
        <f t="shared" ca="1" si="280"/>
        <v>0</v>
      </c>
      <c r="J464" s="125">
        <f t="shared" ca="1" si="281"/>
        <v>0</v>
      </c>
      <c r="K464" s="125">
        <f t="shared" ca="1" si="282"/>
        <v>0</v>
      </c>
      <c r="L464" s="125">
        <f t="shared" ca="1" si="300"/>
        <v>0</v>
      </c>
      <c r="M464" s="125">
        <f t="shared" ca="1" si="283"/>
        <v>0</v>
      </c>
      <c r="N464" s="125">
        <f t="shared" ca="1" si="284"/>
        <v>0</v>
      </c>
      <c r="R464">
        <f t="shared" si="301"/>
        <v>457</v>
      </c>
      <c r="U464" s="55"/>
      <c r="V464">
        <f t="shared" si="302"/>
        <v>2</v>
      </c>
      <c r="W464">
        <f t="shared" ca="1" si="303"/>
        <v>2062</v>
      </c>
      <c r="X464" s="123">
        <f t="shared" ca="1" si="285"/>
        <v>59203</v>
      </c>
      <c r="Y464" s="64">
        <f t="shared" ca="1" si="286"/>
        <v>0</v>
      </c>
      <c r="Z464" s="64">
        <f t="shared" ca="1" si="287"/>
        <v>0</v>
      </c>
      <c r="AA464" s="64">
        <f t="shared" ca="1" si="288"/>
        <v>0</v>
      </c>
      <c r="AB464" s="64">
        <f t="shared" ca="1" si="289"/>
        <v>0</v>
      </c>
      <c r="AF464" t="str">
        <f t="shared" ca="1" si="269"/>
        <v>62006</v>
      </c>
      <c r="AG464" s="126">
        <f t="shared" ca="1" si="270"/>
        <v>0</v>
      </c>
      <c r="AH464" s="126">
        <f t="shared" ca="1" si="271"/>
        <v>0</v>
      </c>
      <c r="AI464" s="126">
        <f t="shared" ca="1" si="272"/>
        <v>0</v>
      </c>
      <c r="AJ464" t="str">
        <f t="shared" ca="1" si="273"/>
        <v>22062</v>
      </c>
      <c r="AK464" s="126">
        <f t="shared" ca="1" si="290"/>
        <v>0</v>
      </c>
      <c r="AL464" s="126">
        <f t="shared" ca="1" si="291"/>
        <v>0</v>
      </c>
      <c r="AM464" s="126">
        <f t="shared" ca="1" si="304"/>
        <v>0</v>
      </c>
      <c r="AN464" s="753">
        <f t="shared" ca="1" si="305"/>
        <v>0</v>
      </c>
      <c r="AO464" s="750">
        <f t="shared" ca="1" si="292"/>
        <v>0</v>
      </c>
      <c r="AP464" s="126">
        <f t="shared" ca="1" si="293"/>
        <v>0</v>
      </c>
      <c r="AQ464" s="126">
        <f t="shared" ca="1" si="294"/>
        <v>0</v>
      </c>
      <c r="AR464" s="126">
        <f t="shared" ca="1" si="274"/>
        <v>10000</v>
      </c>
      <c r="AS464" s="750">
        <f t="shared" ca="1" si="275"/>
        <v>0</v>
      </c>
      <c r="AT464" s="750">
        <f t="shared" ca="1" si="276"/>
        <v>0</v>
      </c>
      <c r="AU464" s="126">
        <f t="shared" ca="1" si="295"/>
        <v>0</v>
      </c>
      <c r="AV464" s="126">
        <f t="shared" ca="1" si="296"/>
        <v>0</v>
      </c>
      <c r="AW464" s="126">
        <f t="shared" ca="1" si="277"/>
        <v>10000</v>
      </c>
      <c r="AX464" s="750">
        <f t="shared" ca="1" si="297"/>
        <v>0</v>
      </c>
      <c r="AY464" s="750">
        <f t="shared" ca="1" si="298"/>
        <v>0</v>
      </c>
      <c r="AZ464">
        <f t="shared" si="299"/>
        <v>5750</v>
      </c>
    </row>
    <row r="465" spans="4:52">
      <c r="D465">
        <v>458</v>
      </c>
      <c r="E465" s="6">
        <f t="shared" ca="1" si="278"/>
        <v>38838</v>
      </c>
      <c r="F465" s="7">
        <f t="shared" ca="1" si="279"/>
        <v>0</v>
      </c>
      <c r="G465" s="125">
        <f ca="1">IF('Simulador - 1º Pilar'!$E$99="Sí",IF('Aportaciones PPE'!$B$13&lt;'Aportaciones PPE'!E465,0,F465*$B$8/12),F465*$B$8/12)</f>
        <v>0</v>
      </c>
      <c r="H465" s="125">
        <f t="shared" ca="1" si="268"/>
        <v>0</v>
      </c>
      <c r="I465" s="125">
        <f t="shared" ca="1" si="280"/>
        <v>0</v>
      </c>
      <c r="J465" s="125">
        <f t="shared" ca="1" si="281"/>
        <v>0</v>
      </c>
      <c r="K465" s="125">
        <f t="shared" ca="1" si="282"/>
        <v>0</v>
      </c>
      <c r="L465" s="125">
        <f t="shared" ca="1" si="300"/>
        <v>0</v>
      </c>
      <c r="M465" s="125">
        <f t="shared" ca="1" si="283"/>
        <v>0</v>
      </c>
      <c r="N465" s="125">
        <f t="shared" ca="1" si="284"/>
        <v>0</v>
      </c>
      <c r="R465">
        <f t="shared" si="301"/>
        <v>458</v>
      </c>
      <c r="U465" s="55"/>
      <c r="V465">
        <f t="shared" si="302"/>
        <v>3</v>
      </c>
      <c r="W465">
        <f t="shared" ca="1" si="303"/>
        <v>2062</v>
      </c>
      <c r="X465" s="123">
        <f t="shared" ca="1" si="285"/>
        <v>59231</v>
      </c>
      <c r="Y465" s="64">
        <f t="shared" ca="1" si="286"/>
        <v>0</v>
      </c>
      <c r="Z465" s="64">
        <f t="shared" ca="1" si="287"/>
        <v>0</v>
      </c>
      <c r="AA465" s="64">
        <f t="shared" ca="1" si="288"/>
        <v>0</v>
      </c>
      <c r="AB465" s="64">
        <f t="shared" ca="1" si="289"/>
        <v>0</v>
      </c>
      <c r="AF465" t="str">
        <f t="shared" ca="1" si="269"/>
        <v>52006</v>
      </c>
      <c r="AG465" s="126">
        <f t="shared" ca="1" si="270"/>
        <v>0</v>
      </c>
      <c r="AH465" s="126">
        <f t="shared" ca="1" si="271"/>
        <v>0</v>
      </c>
      <c r="AI465" s="126">
        <f t="shared" ca="1" si="272"/>
        <v>0</v>
      </c>
      <c r="AJ465" t="str">
        <f t="shared" ca="1" si="273"/>
        <v>32062</v>
      </c>
      <c r="AK465" s="126">
        <f t="shared" ca="1" si="290"/>
        <v>0</v>
      </c>
      <c r="AL465" s="126">
        <f t="shared" ca="1" si="291"/>
        <v>0</v>
      </c>
      <c r="AM465" s="126">
        <f t="shared" ca="1" si="304"/>
        <v>0</v>
      </c>
      <c r="AN465" s="753">
        <f t="shared" ca="1" si="305"/>
        <v>0</v>
      </c>
      <c r="AO465" s="750">
        <f t="shared" ca="1" si="292"/>
        <v>0</v>
      </c>
      <c r="AP465" s="126">
        <f t="shared" ca="1" si="293"/>
        <v>0</v>
      </c>
      <c r="AQ465" s="126">
        <f t="shared" ca="1" si="294"/>
        <v>0</v>
      </c>
      <c r="AR465" s="126">
        <f t="shared" ca="1" si="274"/>
        <v>10000</v>
      </c>
      <c r="AS465" s="750">
        <f t="shared" ca="1" si="275"/>
        <v>0</v>
      </c>
      <c r="AT465" s="750">
        <f t="shared" ca="1" si="276"/>
        <v>0</v>
      </c>
      <c r="AU465" s="126">
        <f t="shared" ca="1" si="295"/>
        <v>0</v>
      </c>
      <c r="AV465" s="126">
        <f t="shared" ca="1" si="296"/>
        <v>0</v>
      </c>
      <c r="AW465" s="126">
        <f t="shared" ca="1" si="277"/>
        <v>10000</v>
      </c>
      <c r="AX465" s="750">
        <f t="shared" ca="1" si="297"/>
        <v>0</v>
      </c>
      <c r="AY465" s="750">
        <f t="shared" ca="1" si="298"/>
        <v>0</v>
      </c>
      <c r="AZ465">
        <f t="shared" si="299"/>
        <v>5750</v>
      </c>
    </row>
    <row r="466" spans="4:52">
      <c r="D466">
        <v>459</v>
      </c>
      <c r="E466" s="6">
        <f t="shared" ca="1" si="278"/>
        <v>38808</v>
      </c>
      <c r="F466" s="7">
        <f t="shared" ca="1" si="279"/>
        <v>0</v>
      </c>
      <c r="G466" s="125">
        <f ca="1">IF('Simulador - 1º Pilar'!$E$99="Sí",IF('Aportaciones PPE'!$B$13&lt;'Aportaciones PPE'!E466,0,F466*$B$8/12),F466*$B$8/12)</f>
        <v>0</v>
      </c>
      <c r="H466" s="125">
        <f t="shared" ca="1" si="268"/>
        <v>0</v>
      </c>
      <c r="I466" s="125">
        <f t="shared" ca="1" si="280"/>
        <v>0</v>
      </c>
      <c r="J466" s="125">
        <f t="shared" ca="1" si="281"/>
        <v>0</v>
      </c>
      <c r="K466" s="125">
        <f t="shared" ca="1" si="282"/>
        <v>0</v>
      </c>
      <c r="L466" s="125">
        <f t="shared" ca="1" si="300"/>
        <v>0</v>
      </c>
      <c r="M466" s="125">
        <f t="shared" ca="1" si="283"/>
        <v>0</v>
      </c>
      <c r="N466" s="125">
        <f t="shared" ca="1" si="284"/>
        <v>0</v>
      </c>
      <c r="R466">
        <f t="shared" si="301"/>
        <v>459</v>
      </c>
      <c r="U466" s="55"/>
      <c r="V466">
        <f t="shared" si="302"/>
        <v>4</v>
      </c>
      <c r="W466">
        <f t="shared" ca="1" si="303"/>
        <v>2062</v>
      </c>
      <c r="X466" s="123">
        <f t="shared" ca="1" si="285"/>
        <v>59262</v>
      </c>
      <c r="Y466" s="64">
        <f t="shared" ca="1" si="286"/>
        <v>0</v>
      </c>
      <c r="Z466" s="64">
        <f t="shared" ca="1" si="287"/>
        <v>0</v>
      </c>
      <c r="AA466" s="64">
        <f t="shared" ca="1" si="288"/>
        <v>0</v>
      </c>
      <c r="AB466" s="64">
        <f t="shared" ca="1" si="289"/>
        <v>0</v>
      </c>
      <c r="AF466" t="str">
        <f t="shared" ca="1" si="269"/>
        <v>42006</v>
      </c>
      <c r="AG466" s="126">
        <f t="shared" ca="1" si="270"/>
        <v>0</v>
      </c>
      <c r="AH466" s="126">
        <f t="shared" ca="1" si="271"/>
        <v>0</v>
      </c>
      <c r="AI466" s="126">
        <f t="shared" ca="1" si="272"/>
        <v>0</v>
      </c>
      <c r="AJ466" t="str">
        <f t="shared" ca="1" si="273"/>
        <v>42062</v>
      </c>
      <c r="AK466" s="126">
        <f t="shared" ca="1" si="290"/>
        <v>0</v>
      </c>
      <c r="AL466" s="126">
        <f t="shared" ca="1" si="291"/>
        <v>0</v>
      </c>
      <c r="AM466" s="126">
        <f t="shared" ca="1" si="304"/>
        <v>0</v>
      </c>
      <c r="AN466" s="753">
        <f t="shared" ca="1" si="305"/>
        <v>0</v>
      </c>
      <c r="AO466" s="750">
        <f t="shared" ca="1" si="292"/>
        <v>0</v>
      </c>
      <c r="AP466" s="126">
        <f t="shared" ca="1" si="293"/>
        <v>0</v>
      </c>
      <c r="AQ466" s="126">
        <f t="shared" ca="1" si="294"/>
        <v>0</v>
      </c>
      <c r="AR466" s="126">
        <f t="shared" ca="1" si="274"/>
        <v>10000</v>
      </c>
      <c r="AS466" s="750">
        <f t="shared" ca="1" si="275"/>
        <v>0</v>
      </c>
      <c r="AT466" s="750">
        <f t="shared" ca="1" si="276"/>
        <v>0</v>
      </c>
      <c r="AU466" s="126">
        <f t="shared" ca="1" si="295"/>
        <v>0</v>
      </c>
      <c r="AV466" s="126">
        <f t="shared" ca="1" si="296"/>
        <v>0</v>
      </c>
      <c r="AW466" s="126">
        <f t="shared" ca="1" si="277"/>
        <v>10000</v>
      </c>
      <c r="AX466" s="750">
        <f t="shared" ca="1" si="297"/>
        <v>0</v>
      </c>
      <c r="AY466" s="750">
        <f t="shared" ca="1" si="298"/>
        <v>0</v>
      </c>
      <c r="AZ466">
        <f t="shared" si="299"/>
        <v>5750</v>
      </c>
    </row>
    <row r="467" spans="4:52">
      <c r="D467">
        <v>460</v>
      </c>
      <c r="E467" s="6">
        <f t="shared" ca="1" si="278"/>
        <v>38777</v>
      </c>
      <c r="F467" s="7">
        <f t="shared" ca="1" si="279"/>
        <v>0</v>
      </c>
      <c r="G467" s="125">
        <f ca="1">IF('Simulador - 1º Pilar'!$E$99="Sí",IF('Aportaciones PPE'!$B$13&lt;'Aportaciones PPE'!E467,0,F467*$B$8/12),F467*$B$8/12)</f>
        <v>0</v>
      </c>
      <c r="H467" s="125">
        <f t="shared" ca="1" si="268"/>
        <v>0</v>
      </c>
      <c r="I467" s="125">
        <f t="shared" ca="1" si="280"/>
        <v>0</v>
      </c>
      <c r="J467" s="125">
        <f t="shared" ca="1" si="281"/>
        <v>0</v>
      </c>
      <c r="K467" s="125">
        <f t="shared" ca="1" si="282"/>
        <v>0</v>
      </c>
      <c r="L467" s="125">
        <f t="shared" ca="1" si="300"/>
        <v>0</v>
      </c>
      <c r="M467" s="125">
        <f t="shared" ca="1" si="283"/>
        <v>0</v>
      </c>
      <c r="N467" s="125">
        <f t="shared" ca="1" si="284"/>
        <v>0</v>
      </c>
      <c r="R467">
        <f t="shared" si="301"/>
        <v>460</v>
      </c>
      <c r="U467" s="55"/>
      <c r="V467">
        <f t="shared" si="302"/>
        <v>5</v>
      </c>
      <c r="W467">
        <f t="shared" ca="1" si="303"/>
        <v>2062</v>
      </c>
      <c r="X467" s="123">
        <f t="shared" ca="1" si="285"/>
        <v>59292</v>
      </c>
      <c r="Y467" s="64">
        <f t="shared" ca="1" si="286"/>
        <v>0</v>
      </c>
      <c r="Z467" s="64">
        <f t="shared" ca="1" si="287"/>
        <v>0</v>
      </c>
      <c r="AA467" s="64">
        <f t="shared" ca="1" si="288"/>
        <v>0</v>
      </c>
      <c r="AB467" s="64">
        <f t="shared" ca="1" si="289"/>
        <v>0</v>
      </c>
      <c r="AF467" t="str">
        <f t="shared" ca="1" si="269"/>
        <v>32006</v>
      </c>
      <c r="AG467" s="126">
        <f t="shared" ca="1" si="270"/>
        <v>0</v>
      </c>
      <c r="AH467" s="126">
        <f t="shared" ca="1" si="271"/>
        <v>0</v>
      </c>
      <c r="AI467" s="126">
        <f t="shared" ca="1" si="272"/>
        <v>0</v>
      </c>
      <c r="AJ467" t="str">
        <f t="shared" ca="1" si="273"/>
        <v>52062</v>
      </c>
      <c r="AK467" s="126">
        <f t="shared" ca="1" si="290"/>
        <v>0</v>
      </c>
      <c r="AL467" s="126">
        <f t="shared" ca="1" si="291"/>
        <v>0</v>
      </c>
      <c r="AM467" s="126">
        <f t="shared" ca="1" si="304"/>
        <v>0</v>
      </c>
      <c r="AN467" s="753">
        <f t="shared" ca="1" si="305"/>
        <v>0</v>
      </c>
      <c r="AO467" s="750">
        <f t="shared" ca="1" si="292"/>
        <v>0</v>
      </c>
      <c r="AP467" s="126">
        <f t="shared" ca="1" si="293"/>
        <v>0</v>
      </c>
      <c r="AQ467" s="126">
        <f t="shared" ca="1" si="294"/>
        <v>0</v>
      </c>
      <c r="AR467" s="126">
        <f t="shared" ca="1" si="274"/>
        <v>10000</v>
      </c>
      <c r="AS467" s="750">
        <f t="shared" ca="1" si="275"/>
        <v>0</v>
      </c>
      <c r="AT467" s="750">
        <f t="shared" ca="1" si="276"/>
        <v>0</v>
      </c>
      <c r="AU467" s="126">
        <f t="shared" ca="1" si="295"/>
        <v>0</v>
      </c>
      <c r="AV467" s="126">
        <f t="shared" ca="1" si="296"/>
        <v>0</v>
      </c>
      <c r="AW467" s="126">
        <f t="shared" ca="1" si="277"/>
        <v>10000</v>
      </c>
      <c r="AX467" s="750">
        <f t="shared" ca="1" si="297"/>
        <v>0</v>
      </c>
      <c r="AY467" s="750">
        <f t="shared" ca="1" si="298"/>
        <v>0</v>
      </c>
      <c r="AZ467">
        <f t="shared" si="299"/>
        <v>5750</v>
      </c>
    </row>
    <row r="468" spans="4:52">
      <c r="D468">
        <v>461</v>
      </c>
      <c r="E468" s="6">
        <f t="shared" ca="1" si="278"/>
        <v>38749</v>
      </c>
      <c r="F468" s="7">
        <f t="shared" ca="1" si="279"/>
        <v>0</v>
      </c>
      <c r="G468" s="125">
        <f ca="1">IF('Simulador - 1º Pilar'!$E$99="Sí",IF('Aportaciones PPE'!$B$13&lt;'Aportaciones PPE'!E468,0,F468*$B$8/12),F468*$B$8/12)</f>
        <v>0</v>
      </c>
      <c r="H468" s="125">
        <f t="shared" ca="1" si="268"/>
        <v>0</v>
      </c>
      <c r="I468" s="125">
        <f t="shared" ca="1" si="280"/>
        <v>0</v>
      </c>
      <c r="J468" s="125">
        <f t="shared" ca="1" si="281"/>
        <v>0</v>
      </c>
      <c r="K468" s="125">
        <f t="shared" ca="1" si="282"/>
        <v>0</v>
      </c>
      <c r="L468" s="125">
        <f t="shared" ca="1" si="300"/>
        <v>0</v>
      </c>
      <c r="M468" s="125">
        <f t="shared" ca="1" si="283"/>
        <v>0</v>
      </c>
      <c r="N468" s="125">
        <f t="shared" ca="1" si="284"/>
        <v>0</v>
      </c>
      <c r="R468">
        <f t="shared" si="301"/>
        <v>461</v>
      </c>
      <c r="U468" s="55"/>
      <c r="V468">
        <f t="shared" si="302"/>
        <v>6</v>
      </c>
      <c r="W468">
        <f t="shared" ca="1" si="303"/>
        <v>2062</v>
      </c>
      <c r="X468" s="123">
        <f t="shared" ca="1" si="285"/>
        <v>59323</v>
      </c>
      <c r="Y468" s="64">
        <f t="shared" ca="1" si="286"/>
        <v>0</v>
      </c>
      <c r="Z468" s="64">
        <f t="shared" ca="1" si="287"/>
        <v>0</v>
      </c>
      <c r="AA468" s="64">
        <f t="shared" ca="1" si="288"/>
        <v>0</v>
      </c>
      <c r="AB468" s="64">
        <f t="shared" ca="1" si="289"/>
        <v>0</v>
      </c>
      <c r="AF468" t="str">
        <f t="shared" ca="1" si="269"/>
        <v>22006</v>
      </c>
      <c r="AG468" s="126">
        <f t="shared" ca="1" si="270"/>
        <v>0</v>
      </c>
      <c r="AH468" s="126">
        <f t="shared" ca="1" si="271"/>
        <v>0</v>
      </c>
      <c r="AI468" s="126">
        <f t="shared" ca="1" si="272"/>
        <v>0</v>
      </c>
      <c r="AJ468" t="str">
        <f t="shared" ca="1" si="273"/>
        <v>62062</v>
      </c>
      <c r="AK468" s="126">
        <f t="shared" ca="1" si="290"/>
        <v>0</v>
      </c>
      <c r="AL468" s="126">
        <f t="shared" ca="1" si="291"/>
        <v>0</v>
      </c>
      <c r="AM468" s="126">
        <f t="shared" ca="1" si="304"/>
        <v>0</v>
      </c>
      <c r="AN468" s="753">
        <f t="shared" ca="1" si="305"/>
        <v>0</v>
      </c>
      <c r="AO468" s="750">
        <f t="shared" ca="1" si="292"/>
        <v>0</v>
      </c>
      <c r="AP468" s="126">
        <f t="shared" ca="1" si="293"/>
        <v>0</v>
      </c>
      <c r="AQ468" s="126">
        <f t="shared" ca="1" si="294"/>
        <v>0</v>
      </c>
      <c r="AR468" s="126">
        <f t="shared" ca="1" si="274"/>
        <v>10000</v>
      </c>
      <c r="AS468" s="750">
        <f t="shared" ca="1" si="275"/>
        <v>0</v>
      </c>
      <c r="AT468" s="750">
        <f t="shared" ca="1" si="276"/>
        <v>0</v>
      </c>
      <c r="AU468" s="126">
        <f t="shared" ca="1" si="295"/>
        <v>0</v>
      </c>
      <c r="AV468" s="126">
        <f t="shared" ca="1" si="296"/>
        <v>0</v>
      </c>
      <c r="AW468" s="126">
        <f t="shared" ca="1" si="277"/>
        <v>10000</v>
      </c>
      <c r="AX468" s="750">
        <f t="shared" ca="1" si="297"/>
        <v>0</v>
      </c>
      <c r="AY468" s="750">
        <f t="shared" ca="1" si="298"/>
        <v>0</v>
      </c>
      <c r="AZ468">
        <f t="shared" si="299"/>
        <v>5750</v>
      </c>
    </row>
    <row r="469" spans="4:52">
      <c r="D469">
        <v>462</v>
      </c>
      <c r="E469" s="6">
        <f t="shared" ca="1" si="278"/>
        <v>38718</v>
      </c>
      <c r="F469" s="7">
        <f t="shared" ca="1" si="279"/>
        <v>0</v>
      </c>
      <c r="G469" s="125">
        <f ca="1">IF('Simulador - 1º Pilar'!$E$99="Sí",IF('Aportaciones PPE'!$B$13&lt;'Aportaciones PPE'!E469,0,F469*$B$8/12),F469*$B$8/12)</f>
        <v>0</v>
      </c>
      <c r="H469" s="125">
        <f t="shared" ca="1" si="268"/>
        <v>0</v>
      </c>
      <c r="I469" s="125">
        <f t="shared" ca="1" si="280"/>
        <v>0</v>
      </c>
      <c r="J469" s="125">
        <f t="shared" ca="1" si="281"/>
        <v>0</v>
      </c>
      <c r="K469" s="125">
        <f t="shared" ca="1" si="282"/>
        <v>0</v>
      </c>
      <c r="L469" s="125">
        <f t="shared" ca="1" si="300"/>
        <v>0</v>
      </c>
      <c r="M469" s="125">
        <f t="shared" ca="1" si="283"/>
        <v>0</v>
      </c>
      <c r="N469" s="125">
        <f t="shared" ca="1" si="284"/>
        <v>0</v>
      </c>
      <c r="R469">
        <f t="shared" si="301"/>
        <v>462</v>
      </c>
      <c r="U469" s="55"/>
      <c r="V469">
        <f t="shared" si="302"/>
        <v>7</v>
      </c>
      <c r="W469">
        <f t="shared" ca="1" si="303"/>
        <v>2062</v>
      </c>
      <c r="X469" s="123">
        <f t="shared" ca="1" si="285"/>
        <v>59353</v>
      </c>
      <c r="Y469" s="64">
        <f t="shared" ca="1" si="286"/>
        <v>0</v>
      </c>
      <c r="Z469" s="64">
        <f t="shared" ca="1" si="287"/>
        <v>0</v>
      </c>
      <c r="AA469" s="64">
        <f t="shared" ca="1" si="288"/>
        <v>0</v>
      </c>
      <c r="AB469" s="64">
        <f t="shared" ca="1" si="289"/>
        <v>0</v>
      </c>
      <c r="AF469" t="str">
        <f t="shared" ca="1" si="269"/>
        <v>12006</v>
      </c>
      <c r="AG469" s="126">
        <f t="shared" ca="1" si="270"/>
        <v>0</v>
      </c>
      <c r="AH469" s="126">
        <f t="shared" ca="1" si="271"/>
        <v>0</v>
      </c>
      <c r="AI469" s="126">
        <f t="shared" ca="1" si="272"/>
        <v>0</v>
      </c>
      <c r="AJ469" t="str">
        <f t="shared" ca="1" si="273"/>
        <v>72062</v>
      </c>
      <c r="AK469" s="126">
        <f t="shared" ca="1" si="290"/>
        <v>0</v>
      </c>
      <c r="AL469" s="126">
        <f t="shared" ca="1" si="291"/>
        <v>0</v>
      </c>
      <c r="AM469" s="126">
        <f t="shared" ca="1" si="304"/>
        <v>0</v>
      </c>
      <c r="AN469" s="753">
        <f t="shared" ca="1" si="305"/>
        <v>0</v>
      </c>
      <c r="AO469" s="750">
        <f t="shared" ca="1" si="292"/>
        <v>0</v>
      </c>
      <c r="AP469" s="126">
        <f t="shared" ca="1" si="293"/>
        <v>0</v>
      </c>
      <c r="AQ469" s="126">
        <f t="shared" ca="1" si="294"/>
        <v>0</v>
      </c>
      <c r="AR469" s="126">
        <f t="shared" ca="1" si="274"/>
        <v>10000</v>
      </c>
      <c r="AS469" s="750">
        <f t="shared" ca="1" si="275"/>
        <v>0</v>
      </c>
      <c r="AT469" s="750">
        <f t="shared" ca="1" si="276"/>
        <v>0</v>
      </c>
      <c r="AU469" s="126">
        <f t="shared" ca="1" si="295"/>
        <v>0</v>
      </c>
      <c r="AV469" s="126">
        <f t="shared" ca="1" si="296"/>
        <v>0</v>
      </c>
      <c r="AW469" s="126">
        <f t="shared" ca="1" si="277"/>
        <v>10000</v>
      </c>
      <c r="AX469" s="750">
        <f t="shared" ca="1" si="297"/>
        <v>0</v>
      </c>
      <c r="AY469" s="750">
        <f t="shared" ca="1" si="298"/>
        <v>0</v>
      </c>
      <c r="AZ469">
        <f t="shared" si="299"/>
        <v>5750</v>
      </c>
    </row>
    <row r="470" spans="4:52">
      <c r="D470">
        <v>463</v>
      </c>
      <c r="E470" s="6">
        <f t="shared" ca="1" si="278"/>
        <v>38687</v>
      </c>
      <c r="F470" s="7">
        <f t="shared" ca="1" si="279"/>
        <v>0</v>
      </c>
      <c r="G470" s="125">
        <f ca="1">IF('Simulador - 1º Pilar'!$E$99="Sí",IF('Aportaciones PPE'!$B$13&lt;'Aportaciones PPE'!E470,0,F470*$B$8/12),F470*$B$8/12)</f>
        <v>0</v>
      </c>
      <c r="H470" s="125">
        <f t="shared" ca="1" si="268"/>
        <v>0</v>
      </c>
      <c r="I470" s="125">
        <f t="shared" ca="1" si="280"/>
        <v>0</v>
      </c>
      <c r="J470" s="125">
        <f t="shared" ca="1" si="281"/>
        <v>0</v>
      </c>
      <c r="K470" s="125">
        <f t="shared" ca="1" si="282"/>
        <v>0</v>
      </c>
      <c r="L470" s="125">
        <f t="shared" ca="1" si="300"/>
        <v>0</v>
      </c>
      <c r="M470" s="125">
        <f t="shared" ca="1" si="283"/>
        <v>0</v>
      </c>
      <c r="N470" s="125">
        <f t="shared" ca="1" si="284"/>
        <v>0</v>
      </c>
      <c r="R470">
        <f t="shared" si="301"/>
        <v>463</v>
      </c>
      <c r="U470" s="55"/>
      <c r="V470">
        <f t="shared" si="302"/>
        <v>8</v>
      </c>
      <c r="W470">
        <f t="shared" ca="1" si="303"/>
        <v>2062</v>
      </c>
      <c r="X470" s="123">
        <f t="shared" ca="1" si="285"/>
        <v>59384</v>
      </c>
      <c r="Y470" s="64">
        <f t="shared" ca="1" si="286"/>
        <v>0</v>
      </c>
      <c r="Z470" s="64">
        <f t="shared" ca="1" si="287"/>
        <v>0</v>
      </c>
      <c r="AA470" s="64">
        <f t="shared" ca="1" si="288"/>
        <v>0</v>
      </c>
      <c r="AB470" s="64">
        <f t="shared" ca="1" si="289"/>
        <v>0</v>
      </c>
      <c r="AF470" t="str">
        <f t="shared" ca="1" si="269"/>
        <v>122005</v>
      </c>
      <c r="AG470" s="126">
        <f t="shared" ca="1" si="270"/>
        <v>0</v>
      </c>
      <c r="AH470" s="126">
        <f t="shared" ca="1" si="271"/>
        <v>0</v>
      </c>
      <c r="AI470" s="126">
        <f t="shared" ca="1" si="272"/>
        <v>0</v>
      </c>
      <c r="AJ470" t="str">
        <f t="shared" ca="1" si="273"/>
        <v>82062</v>
      </c>
      <c r="AK470" s="126">
        <f t="shared" ca="1" si="290"/>
        <v>0</v>
      </c>
      <c r="AL470" s="126">
        <f t="shared" ca="1" si="291"/>
        <v>0</v>
      </c>
      <c r="AM470" s="126">
        <f t="shared" ca="1" si="304"/>
        <v>0</v>
      </c>
      <c r="AN470" s="753">
        <f t="shared" ca="1" si="305"/>
        <v>0</v>
      </c>
      <c r="AO470" s="750">
        <f t="shared" ca="1" si="292"/>
        <v>0</v>
      </c>
      <c r="AP470" s="126">
        <f t="shared" ca="1" si="293"/>
        <v>0</v>
      </c>
      <c r="AQ470" s="126">
        <f t="shared" ca="1" si="294"/>
        <v>0</v>
      </c>
      <c r="AR470" s="126">
        <f t="shared" ca="1" si="274"/>
        <v>10000</v>
      </c>
      <c r="AS470" s="750">
        <f t="shared" ca="1" si="275"/>
        <v>0</v>
      </c>
      <c r="AT470" s="750">
        <f t="shared" ca="1" si="276"/>
        <v>0</v>
      </c>
      <c r="AU470" s="126">
        <f t="shared" ca="1" si="295"/>
        <v>0</v>
      </c>
      <c r="AV470" s="126">
        <f t="shared" ca="1" si="296"/>
        <v>0</v>
      </c>
      <c r="AW470" s="126">
        <f t="shared" ca="1" si="277"/>
        <v>10000</v>
      </c>
      <c r="AX470" s="750">
        <f t="shared" ca="1" si="297"/>
        <v>0</v>
      </c>
      <c r="AY470" s="750">
        <f t="shared" ca="1" si="298"/>
        <v>0</v>
      </c>
      <c r="AZ470">
        <f t="shared" si="299"/>
        <v>5750</v>
      </c>
    </row>
    <row r="471" spans="4:52">
      <c r="D471">
        <v>464</v>
      </c>
      <c r="E471" s="6">
        <f t="shared" ca="1" si="278"/>
        <v>38657</v>
      </c>
      <c r="F471" s="7">
        <f t="shared" ca="1" si="279"/>
        <v>0</v>
      </c>
      <c r="G471" s="125">
        <f ca="1">IF('Simulador - 1º Pilar'!$E$99="Sí",IF('Aportaciones PPE'!$B$13&lt;'Aportaciones PPE'!E471,0,F471*$B$8/12),F471*$B$8/12)</f>
        <v>0</v>
      </c>
      <c r="H471" s="125">
        <f t="shared" ca="1" si="268"/>
        <v>0</v>
      </c>
      <c r="I471" s="125">
        <f t="shared" ca="1" si="280"/>
        <v>0</v>
      </c>
      <c r="J471" s="125">
        <f t="shared" ca="1" si="281"/>
        <v>0</v>
      </c>
      <c r="K471" s="125">
        <f t="shared" ca="1" si="282"/>
        <v>0</v>
      </c>
      <c r="L471" s="125">
        <f t="shared" ca="1" si="300"/>
        <v>0</v>
      </c>
      <c r="M471" s="125">
        <f t="shared" ca="1" si="283"/>
        <v>0</v>
      </c>
      <c r="N471" s="125">
        <f t="shared" ca="1" si="284"/>
        <v>0</v>
      </c>
      <c r="R471">
        <f t="shared" si="301"/>
        <v>464</v>
      </c>
      <c r="U471" s="55"/>
      <c r="V471">
        <f t="shared" si="302"/>
        <v>9</v>
      </c>
      <c r="W471">
        <f t="shared" ca="1" si="303"/>
        <v>2062</v>
      </c>
      <c r="X471" s="123">
        <f t="shared" ca="1" si="285"/>
        <v>59415</v>
      </c>
      <c r="Y471" s="64">
        <f t="shared" ca="1" si="286"/>
        <v>0</v>
      </c>
      <c r="Z471" s="64">
        <f t="shared" ca="1" si="287"/>
        <v>0</v>
      </c>
      <c r="AA471" s="64">
        <f t="shared" ca="1" si="288"/>
        <v>0</v>
      </c>
      <c r="AB471" s="64">
        <f t="shared" ca="1" si="289"/>
        <v>0</v>
      </c>
      <c r="AF471" t="str">
        <f t="shared" ca="1" si="269"/>
        <v>112005</v>
      </c>
      <c r="AG471" s="126">
        <f t="shared" ca="1" si="270"/>
        <v>0</v>
      </c>
      <c r="AH471" s="126">
        <f t="shared" ca="1" si="271"/>
        <v>0</v>
      </c>
      <c r="AI471" s="126">
        <f t="shared" ca="1" si="272"/>
        <v>0</v>
      </c>
      <c r="AJ471" t="str">
        <f t="shared" ca="1" si="273"/>
        <v>92062</v>
      </c>
      <c r="AK471" s="126">
        <f t="shared" ca="1" si="290"/>
        <v>0</v>
      </c>
      <c r="AL471" s="126">
        <f t="shared" ca="1" si="291"/>
        <v>0</v>
      </c>
      <c r="AM471" s="126">
        <f t="shared" ca="1" si="304"/>
        <v>0</v>
      </c>
      <c r="AN471" s="753">
        <f t="shared" ca="1" si="305"/>
        <v>0</v>
      </c>
      <c r="AO471" s="750">
        <f t="shared" ca="1" si="292"/>
        <v>0</v>
      </c>
      <c r="AP471" s="126">
        <f t="shared" ca="1" si="293"/>
        <v>0</v>
      </c>
      <c r="AQ471" s="126">
        <f t="shared" ca="1" si="294"/>
        <v>0</v>
      </c>
      <c r="AR471" s="126">
        <f t="shared" ca="1" si="274"/>
        <v>10000</v>
      </c>
      <c r="AS471" s="750">
        <f t="shared" ca="1" si="275"/>
        <v>0</v>
      </c>
      <c r="AT471" s="750">
        <f t="shared" ca="1" si="276"/>
        <v>0</v>
      </c>
      <c r="AU471" s="126">
        <f t="shared" ca="1" si="295"/>
        <v>0</v>
      </c>
      <c r="AV471" s="126">
        <f t="shared" ca="1" si="296"/>
        <v>0</v>
      </c>
      <c r="AW471" s="126">
        <f t="shared" ca="1" si="277"/>
        <v>10000</v>
      </c>
      <c r="AX471" s="750">
        <f t="shared" ca="1" si="297"/>
        <v>0</v>
      </c>
      <c r="AY471" s="750">
        <f t="shared" ca="1" si="298"/>
        <v>0</v>
      </c>
      <c r="AZ471">
        <f t="shared" si="299"/>
        <v>5750</v>
      </c>
    </row>
    <row r="472" spans="4:52">
      <c r="D472">
        <v>465</v>
      </c>
      <c r="E472" s="6">
        <f t="shared" ca="1" si="278"/>
        <v>38626</v>
      </c>
      <c r="F472" s="7">
        <f t="shared" ca="1" si="279"/>
        <v>0</v>
      </c>
      <c r="G472" s="125">
        <f ca="1">IF('Simulador - 1º Pilar'!$E$99="Sí",IF('Aportaciones PPE'!$B$13&lt;'Aportaciones PPE'!E472,0,F472*$B$8/12),F472*$B$8/12)</f>
        <v>0</v>
      </c>
      <c r="H472" s="125">
        <f t="shared" ca="1" si="268"/>
        <v>0</v>
      </c>
      <c r="I472" s="125">
        <f t="shared" ca="1" si="280"/>
        <v>0</v>
      </c>
      <c r="J472" s="125">
        <f t="shared" ca="1" si="281"/>
        <v>0</v>
      </c>
      <c r="K472" s="125">
        <f t="shared" ca="1" si="282"/>
        <v>0</v>
      </c>
      <c r="L472" s="125">
        <f t="shared" ca="1" si="300"/>
        <v>0</v>
      </c>
      <c r="M472" s="125">
        <f t="shared" ca="1" si="283"/>
        <v>0</v>
      </c>
      <c r="N472" s="125">
        <f t="shared" ca="1" si="284"/>
        <v>0</v>
      </c>
      <c r="R472">
        <f t="shared" si="301"/>
        <v>465</v>
      </c>
      <c r="U472" s="55"/>
      <c r="V472">
        <f t="shared" si="302"/>
        <v>10</v>
      </c>
      <c r="W472">
        <f t="shared" ca="1" si="303"/>
        <v>2062</v>
      </c>
      <c r="X472" s="123">
        <f t="shared" ca="1" si="285"/>
        <v>59445</v>
      </c>
      <c r="Y472" s="64">
        <f t="shared" ca="1" si="286"/>
        <v>0</v>
      </c>
      <c r="Z472" s="64">
        <f t="shared" ca="1" si="287"/>
        <v>0</v>
      </c>
      <c r="AA472" s="64">
        <f t="shared" ca="1" si="288"/>
        <v>0</v>
      </c>
      <c r="AB472" s="64">
        <f t="shared" ca="1" si="289"/>
        <v>0</v>
      </c>
      <c r="AF472" t="str">
        <f t="shared" ca="1" si="269"/>
        <v>102005</v>
      </c>
      <c r="AG472" s="126">
        <f t="shared" ca="1" si="270"/>
        <v>0</v>
      </c>
      <c r="AH472" s="126">
        <f t="shared" ca="1" si="271"/>
        <v>0</v>
      </c>
      <c r="AI472" s="126">
        <f t="shared" ca="1" si="272"/>
        <v>0</v>
      </c>
      <c r="AJ472" t="str">
        <f t="shared" ca="1" si="273"/>
        <v>102062</v>
      </c>
      <c r="AK472" s="126">
        <f t="shared" ca="1" si="290"/>
        <v>0</v>
      </c>
      <c r="AL472" s="126">
        <f t="shared" ca="1" si="291"/>
        <v>0</v>
      </c>
      <c r="AM472" s="126">
        <f t="shared" ca="1" si="304"/>
        <v>0</v>
      </c>
      <c r="AN472" s="753">
        <f t="shared" ca="1" si="305"/>
        <v>0</v>
      </c>
      <c r="AO472" s="750">
        <f t="shared" ca="1" si="292"/>
        <v>0</v>
      </c>
      <c r="AP472" s="126">
        <f t="shared" ca="1" si="293"/>
        <v>0</v>
      </c>
      <c r="AQ472" s="126">
        <f t="shared" ca="1" si="294"/>
        <v>0</v>
      </c>
      <c r="AR472" s="126">
        <f t="shared" ca="1" si="274"/>
        <v>10000</v>
      </c>
      <c r="AS472" s="750">
        <f t="shared" ca="1" si="275"/>
        <v>0</v>
      </c>
      <c r="AT472" s="750">
        <f t="shared" ca="1" si="276"/>
        <v>0</v>
      </c>
      <c r="AU472" s="126">
        <f t="shared" ca="1" si="295"/>
        <v>0</v>
      </c>
      <c r="AV472" s="126">
        <f t="shared" ca="1" si="296"/>
        <v>0</v>
      </c>
      <c r="AW472" s="126">
        <f t="shared" ca="1" si="277"/>
        <v>10000</v>
      </c>
      <c r="AX472" s="750">
        <f t="shared" ca="1" si="297"/>
        <v>0</v>
      </c>
      <c r="AY472" s="750">
        <f t="shared" ca="1" si="298"/>
        <v>0</v>
      </c>
      <c r="AZ472">
        <f t="shared" si="299"/>
        <v>5750</v>
      </c>
    </row>
    <row r="473" spans="4:52">
      <c r="D473">
        <v>466</v>
      </c>
      <c r="E473" s="6">
        <f t="shared" ca="1" si="278"/>
        <v>38596</v>
      </c>
      <c r="F473" s="7">
        <f t="shared" ca="1" si="279"/>
        <v>0</v>
      </c>
      <c r="G473" s="125">
        <f ca="1">IF('Simulador - 1º Pilar'!$E$99="Sí",IF('Aportaciones PPE'!$B$13&lt;'Aportaciones PPE'!E473,0,F473*$B$8/12),F473*$B$8/12)</f>
        <v>0</v>
      </c>
      <c r="H473" s="125">
        <f t="shared" ca="1" si="268"/>
        <v>0</v>
      </c>
      <c r="I473" s="125">
        <f t="shared" ca="1" si="280"/>
        <v>0</v>
      </c>
      <c r="J473" s="125">
        <f t="shared" ca="1" si="281"/>
        <v>0</v>
      </c>
      <c r="K473" s="125">
        <f t="shared" ca="1" si="282"/>
        <v>0</v>
      </c>
      <c r="L473" s="125">
        <f t="shared" ca="1" si="300"/>
        <v>0</v>
      </c>
      <c r="M473" s="125">
        <f t="shared" ca="1" si="283"/>
        <v>0</v>
      </c>
      <c r="N473" s="125">
        <f t="shared" ca="1" si="284"/>
        <v>0</v>
      </c>
      <c r="R473">
        <f t="shared" si="301"/>
        <v>466</v>
      </c>
      <c r="U473" s="55"/>
      <c r="V473">
        <f t="shared" si="302"/>
        <v>11</v>
      </c>
      <c r="W473">
        <f t="shared" ca="1" si="303"/>
        <v>2062</v>
      </c>
      <c r="X473" s="123">
        <f t="shared" ca="1" si="285"/>
        <v>59476</v>
      </c>
      <c r="Y473" s="64">
        <f t="shared" ca="1" si="286"/>
        <v>0</v>
      </c>
      <c r="Z473" s="64">
        <f t="shared" ca="1" si="287"/>
        <v>0</v>
      </c>
      <c r="AA473" s="64">
        <f t="shared" ca="1" si="288"/>
        <v>0</v>
      </c>
      <c r="AB473" s="64">
        <f t="shared" ca="1" si="289"/>
        <v>0</v>
      </c>
      <c r="AF473" t="str">
        <f t="shared" ca="1" si="269"/>
        <v>92005</v>
      </c>
      <c r="AG473" s="126">
        <f t="shared" ca="1" si="270"/>
        <v>0</v>
      </c>
      <c r="AH473" s="126">
        <f t="shared" ca="1" si="271"/>
        <v>0</v>
      </c>
      <c r="AI473" s="126">
        <f t="shared" ca="1" si="272"/>
        <v>0</v>
      </c>
      <c r="AJ473" t="str">
        <f t="shared" ca="1" si="273"/>
        <v>112062</v>
      </c>
      <c r="AK473" s="126">
        <f t="shared" ca="1" si="290"/>
        <v>0</v>
      </c>
      <c r="AL473" s="126">
        <f t="shared" ca="1" si="291"/>
        <v>0</v>
      </c>
      <c r="AM473" s="126">
        <f t="shared" ca="1" si="304"/>
        <v>0</v>
      </c>
      <c r="AN473" s="753">
        <f t="shared" ca="1" si="305"/>
        <v>0</v>
      </c>
      <c r="AO473" s="750">
        <f t="shared" ca="1" si="292"/>
        <v>0</v>
      </c>
      <c r="AP473" s="126">
        <f t="shared" ca="1" si="293"/>
        <v>0</v>
      </c>
      <c r="AQ473" s="126">
        <f t="shared" ca="1" si="294"/>
        <v>0</v>
      </c>
      <c r="AR473" s="126">
        <f t="shared" ca="1" si="274"/>
        <v>10000</v>
      </c>
      <c r="AS473" s="750">
        <f t="shared" ca="1" si="275"/>
        <v>0</v>
      </c>
      <c r="AT473" s="750">
        <f t="shared" ca="1" si="276"/>
        <v>0</v>
      </c>
      <c r="AU473" s="126">
        <f t="shared" ca="1" si="295"/>
        <v>0</v>
      </c>
      <c r="AV473" s="126">
        <f t="shared" ca="1" si="296"/>
        <v>0</v>
      </c>
      <c r="AW473" s="126">
        <f t="shared" ca="1" si="277"/>
        <v>10000</v>
      </c>
      <c r="AX473" s="750">
        <f t="shared" ca="1" si="297"/>
        <v>0</v>
      </c>
      <c r="AY473" s="750">
        <f t="shared" ca="1" si="298"/>
        <v>0</v>
      </c>
      <c r="AZ473">
        <f t="shared" si="299"/>
        <v>5750</v>
      </c>
    </row>
    <row r="474" spans="4:52">
      <c r="D474">
        <v>467</v>
      </c>
      <c r="E474" s="6">
        <f t="shared" ca="1" si="278"/>
        <v>38565</v>
      </c>
      <c r="F474" s="7">
        <f t="shared" ca="1" si="279"/>
        <v>0</v>
      </c>
      <c r="G474" s="125">
        <f ca="1">IF('Simulador - 1º Pilar'!$E$99="Sí",IF('Aportaciones PPE'!$B$13&lt;'Aportaciones PPE'!E474,0,F474*$B$8/12),F474*$B$8/12)</f>
        <v>0</v>
      </c>
      <c r="H474" s="125">
        <f t="shared" ca="1" si="268"/>
        <v>0</v>
      </c>
      <c r="I474" s="125">
        <f t="shared" ca="1" si="280"/>
        <v>0</v>
      </c>
      <c r="J474" s="125">
        <f t="shared" ca="1" si="281"/>
        <v>0</v>
      </c>
      <c r="K474" s="125">
        <f t="shared" ca="1" si="282"/>
        <v>0</v>
      </c>
      <c r="L474" s="125">
        <f t="shared" ca="1" si="300"/>
        <v>0</v>
      </c>
      <c r="M474" s="125">
        <f t="shared" ca="1" si="283"/>
        <v>0</v>
      </c>
      <c r="N474" s="125">
        <f t="shared" ca="1" si="284"/>
        <v>0</v>
      </c>
      <c r="R474">
        <f t="shared" si="301"/>
        <v>467</v>
      </c>
      <c r="U474" s="55"/>
      <c r="V474">
        <f t="shared" si="302"/>
        <v>12</v>
      </c>
      <c r="W474">
        <f t="shared" ca="1" si="303"/>
        <v>2062</v>
      </c>
      <c r="X474" s="123">
        <f t="shared" ca="1" si="285"/>
        <v>59506</v>
      </c>
      <c r="Y474" s="64">
        <f t="shared" ca="1" si="286"/>
        <v>0</v>
      </c>
      <c r="Z474" s="64">
        <f t="shared" ca="1" si="287"/>
        <v>0</v>
      </c>
      <c r="AA474" s="64">
        <f t="shared" ca="1" si="288"/>
        <v>0</v>
      </c>
      <c r="AB474" s="64">
        <f t="shared" ca="1" si="289"/>
        <v>0</v>
      </c>
      <c r="AF474" t="str">
        <f t="shared" ca="1" si="269"/>
        <v>82005</v>
      </c>
      <c r="AG474" s="126">
        <f t="shared" ca="1" si="270"/>
        <v>0</v>
      </c>
      <c r="AH474" s="126">
        <f t="shared" ca="1" si="271"/>
        <v>0</v>
      </c>
      <c r="AI474" s="126">
        <f t="shared" ca="1" si="272"/>
        <v>0</v>
      </c>
      <c r="AJ474" t="str">
        <f t="shared" ca="1" si="273"/>
        <v>122062</v>
      </c>
      <c r="AK474" s="126">
        <f t="shared" ca="1" si="290"/>
        <v>0</v>
      </c>
      <c r="AL474" s="126">
        <f t="shared" ca="1" si="291"/>
        <v>0</v>
      </c>
      <c r="AM474" s="126">
        <f t="shared" ca="1" si="304"/>
        <v>0</v>
      </c>
      <c r="AN474" s="753">
        <f t="shared" ca="1" si="305"/>
        <v>0</v>
      </c>
      <c r="AO474" s="750">
        <f t="shared" ca="1" si="292"/>
        <v>0</v>
      </c>
      <c r="AP474" s="126">
        <f t="shared" ca="1" si="293"/>
        <v>0</v>
      </c>
      <c r="AQ474" s="126">
        <f t="shared" ca="1" si="294"/>
        <v>0</v>
      </c>
      <c r="AR474" s="126">
        <f t="shared" ca="1" si="274"/>
        <v>10000</v>
      </c>
      <c r="AS474" s="750">
        <f t="shared" ca="1" si="275"/>
        <v>0</v>
      </c>
      <c r="AT474" s="750">
        <f t="shared" ca="1" si="276"/>
        <v>0</v>
      </c>
      <c r="AU474" s="126">
        <f t="shared" ca="1" si="295"/>
        <v>0</v>
      </c>
      <c r="AV474" s="126">
        <f t="shared" ca="1" si="296"/>
        <v>0</v>
      </c>
      <c r="AW474" s="126">
        <f t="shared" ca="1" si="277"/>
        <v>10000</v>
      </c>
      <c r="AX474" s="750">
        <f t="shared" ca="1" si="297"/>
        <v>0</v>
      </c>
      <c r="AY474" s="750">
        <f t="shared" ca="1" si="298"/>
        <v>0</v>
      </c>
      <c r="AZ474">
        <f t="shared" si="299"/>
        <v>5750</v>
      </c>
    </row>
    <row r="475" spans="4:52">
      <c r="D475">
        <v>468</v>
      </c>
      <c r="E475" s="6">
        <f t="shared" ca="1" si="278"/>
        <v>38534</v>
      </c>
      <c r="F475" s="7">
        <f t="shared" ca="1" si="279"/>
        <v>0</v>
      </c>
      <c r="G475" s="125">
        <f ca="1">IF('Simulador - 1º Pilar'!$E$99="Sí",IF('Aportaciones PPE'!$B$13&lt;'Aportaciones PPE'!E475,0,F475*$B$8/12),F475*$B$8/12)</f>
        <v>0</v>
      </c>
      <c r="H475" s="125">
        <f t="shared" ca="1" si="268"/>
        <v>0</v>
      </c>
      <c r="I475" s="125">
        <f t="shared" ca="1" si="280"/>
        <v>0</v>
      </c>
      <c r="J475" s="125">
        <f t="shared" ca="1" si="281"/>
        <v>0</v>
      </c>
      <c r="K475" s="125">
        <f t="shared" ca="1" si="282"/>
        <v>0</v>
      </c>
      <c r="L475" s="125">
        <f t="shared" ca="1" si="300"/>
        <v>0</v>
      </c>
      <c r="M475" s="125">
        <f t="shared" ca="1" si="283"/>
        <v>0</v>
      </c>
      <c r="N475" s="125">
        <f t="shared" ca="1" si="284"/>
        <v>0</v>
      </c>
      <c r="R475">
        <f t="shared" si="301"/>
        <v>468</v>
      </c>
      <c r="U475" s="55"/>
      <c r="V475">
        <f t="shared" si="302"/>
        <v>1</v>
      </c>
      <c r="W475">
        <f t="shared" ca="1" si="303"/>
        <v>2063</v>
      </c>
      <c r="X475" s="123">
        <f t="shared" ca="1" si="285"/>
        <v>59537</v>
      </c>
      <c r="Y475" s="64">
        <f t="shared" ca="1" si="286"/>
        <v>0</v>
      </c>
      <c r="Z475" s="64">
        <f t="shared" ca="1" si="287"/>
        <v>0</v>
      </c>
      <c r="AA475" s="64">
        <f t="shared" ca="1" si="288"/>
        <v>0</v>
      </c>
      <c r="AB475" s="64">
        <f t="shared" ca="1" si="289"/>
        <v>0</v>
      </c>
      <c r="AF475" t="str">
        <f t="shared" ca="1" si="269"/>
        <v>72005</v>
      </c>
      <c r="AG475" s="126">
        <f t="shared" ca="1" si="270"/>
        <v>0</v>
      </c>
      <c r="AH475" s="126">
        <f t="shared" ca="1" si="271"/>
        <v>0</v>
      </c>
      <c r="AI475" s="126">
        <f t="shared" ca="1" si="272"/>
        <v>0</v>
      </c>
      <c r="AJ475" t="str">
        <f t="shared" ca="1" si="273"/>
        <v>12063</v>
      </c>
      <c r="AK475" s="126">
        <f t="shared" ca="1" si="290"/>
        <v>0</v>
      </c>
      <c r="AL475" s="126">
        <f t="shared" ca="1" si="291"/>
        <v>0</v>
      </c>
      <c r="AM475" s="126">
        <f t="shared" ca="1" si="304"/>
        <v>0</v>
      </c>
      <c r="AN475" s="753">
        <f t="shared" ca="1" si="305"/>
        <v>0</v>
      </c>
      <c r="AO475" s="750">
        <f t="shared" ca="1" si="292"/>
        <v>0</v>
      </c>
      <c r="AP475" s="126">
        <f t="shared" ca="1" si="293"/>
        <v>0</v>
      </c>
      <c r="AQ475" s="126">
        <f t="shared" ca="1" si="294"/>
        <v>0</v>
      </c>
      <c r="AR475" s="126">
        <f t="shared" ca="1" si="274"/>
        <v>10000</v>
      </c>
      <c r="AS475" s="750">
        <f t="shared" ca="1" si="275"/>
        <v>0</v>
      </c>
      <c r="AT475" s="750">
        <f t="shared" ca="1" si="276"/>
        <v>0</v>
      </c>
      <c r="AU475" s="126">
        <f t="shared" ca="1" si="295"/>
        <v>0</v>
      </c>
      <c r="AV475" s="126">
        <f t="shared" ca="1" si="296"/>
        <v>0</v>
      </c>
      <c r="AW475" s="126">
        <f t="shared" ca="1" si="277"/>
        <v>10000</v>
      </c>
      <c r="AX475" s="750">
        <f t="shared" ca="1" si="297"/>
        <v>0</v>
      </c>
      <c r="AY475" s="750">
        <f t="shared" ca="1" si="298"/>
        <v>0</v>
      </c>
      <c r="AZ475">
        <f t="shared" si="299"/>
        <v>5750</v>
      </c>
    </row>
    <row r="476" spans="4:52">
      <c r="D476">
        <v>469</v>
      </c>
      <c r="E476" s="6">
        <f t="shared" ca="1" si="278"/>
        <v>38504</v>
      </c>
      <c r="F476" s="7">
        <f t="shared" ca="1" si="279"/>
        <v>0</v>
      </c>
      <c r="G476" s="125">
        <f ca="1">IF('Simulador - 1º Pilar'!$E$99="Sí",IF('Aportaciones PPE'!$B$13&lt;'Aportaciones PPE'!E476,0,F476*$B$8/12),F476*$B$8/12)</f>
        <v>0</v>
      </c>
      <c r="H476" s="125">
        <f t="shared" ca="1" si="268"/>
        <v>0</v>
      </c>
      <c r="I476" s="125">
        <f t="shared" ca="1" si="280"/>
        <v>0</v>
      </c>
      <c r="J476" s="125">
        <f t="shared" ca="1" si="281"/>
        <v>0</v>
      </c>
      <c r="K476" s="125">
        <f t="shared" ca="1" si="282"/>
        <v>0</v>
      </c>
      <c r="L476" s="125">
        <f t="shared" ca="1" si="300"/>
        <v>0</v>
      </c>
      <c r="M476" s="125">
        <f t="shared" ca="1" si="283"/>
        <v>0</v>
      </c>
      <c r="N476" s="125">
        <f t="shared" ca="1" si="284"/>
        <v>0</v>
      </c>
      <c r="R476">
        <f t="shared" si="301"/>
        <v>469</v>
      </c>
      <c r="U476" s="55"/>
      <c r="V476">
        <f t="shared" si="302"/>
        <v>2</v>
      </c>
      <c r="W476">
        <f t="shared" ca="1" si="303"/>
        <v>2063</v>
      </c>
      <c r="X476" s="123">
        <f t="shared" ca="1" si="285"/>
        <v>59568</v>
      </c>
      <c r="Y476" s="64">
        <f t="shared" ca="1" si="286"/>
        <v>0</v>
      </c>
      <c r="Z476" s="64">
        <f t="shared" ca="1" si="287"/>
        <v>0</v>
      </c>
      <c r="AA476" s="64">
        <f t="shared" ca="1" si="288"/>
        <v>0</v>
      </c>
      <c r="AB476" s="64">
        <f t="shared" ca="1" si="289"/>
        <v>0</v>
      </c>
      <c r="AF476" t="str">
        <f t="shared" ca="1" si="269"/>
        <v>62005</v>
      </c>
      <c r="AG476" s="126">
        <f t="shared" ca="1" si="270"/>
        <v>0</v>
      </c>
      <c r="AH476" s="126">
        <f t="shared" ca="1" si="271"/>
        <v>0</v>
      </c>
      <c r="AI476" s="126">
        <f t="shared" ca="1" si="272"/>
        <v>0</v>
      </c>
      <c r="AJ476" t="str">
        <f t="shared" ca="1" si="273"/>
        <v>22063</v>
      </c>
      <c r="AK476" s="126">
        <f t="shared" ca="1" si="290"/>
        <v>0</v>
      </c>
      <c r="AL476" s="126">
        <f t="shared" ca="1" si="291"/>
        <v>0</v>
      </c>
      <c r="AM476" s="126">
        <f t="shared" ca="1" si="304"/>
        <v>0</v>
      </c>
      <c r="AN476" s="753">
        <f t="shared" ca="1" si="305"/>
        <v>0</v>
      </c>
      <c r="AO476" s="750">
        <f t="shared" ca="1" si="292"/>
        <v>0</v>
      </c>
      <c r="AP476" s="126">
        <f t="shared" ca="1" si="293"/>
        <v>0</v>
      </c>
      <c r="AQ476" s="126">
        <f t="shared" ca="1" si="294"/>
        <v>0</v>
      </c>
      <c r="AR476" s="126">
        <f t="shared" ca="1" si="274"/>
        <v>10000</v>
      </c>
      <c r="AS476" s="750">
        <f t="shared" ca="1" si="275"/>
        <v>0</v>
      </c>
      <c r="AT476" s="750">
        <f t="shared" ca="1" si="276"/>
        <v>0</v>
      </c>
      <c r="AU476" s="126">
        <f t="shared" ca="1" si="295"/>
        <v>0</v>
      </c>
      <c r="AV476" s="126">
        <f t="shared" ca="1" si="296"/>
        <v>0</v>
      </c>
      <c r="AW476" s="126">
        <f t="shared" ca="1" si="277"/>
        <v>10000</v>
      </c>
      <c r="AX476" s="750">
        <f t="shared" ca="1" si="297"/>
        <v>0</v>
      </c>
      <c r="AY476" s="750">
        <f t="shared" ca="1" si="298"/>
        <v>0</v>
      </c>
      <c r="AZ476">
        <f t="shared" si="299"/>
        <v>5750</v>
      </c>
    </row>
    <row r="477" spans="4:52">
      <c r="D477">
        <v>470</v>
      </c>
      <c r="E477" s="6">
        <f t="shared" ca="1" si="278"/>
        <v>38473</v>
      </c>
      <c r="F477" s="7">
        <f t="shared" ca="1" si="279"/>
        <v>0</v>
      </c>
      <c r="G477" s="125">
        <f ca="1">IF('Simulador - 1º Pilar'!$E$99="Sí",IF('Aportaciones PPE'!$B$13&lt;'Aportaciones PPE'!E477,0,F477*$B$8/12),F477*$B$8/12)</f>
        <v>0</v>
      </c>
      <c r="H477" s="125">
        <f t="shared" ca="1" si="268"/>
        <v>0</v>
      </c>
      <c r="I477" s="125">
        <f t="shared" ca="1" si="280"/>
        <v>0</v>
      </c>
      <c r="J477" s="125">
        <f t="shared" ca="1" si="281"/>
        <v>0</v>
      </c>
      <c r="K477" s="125">
        <f t="shared" ca="1" si="282"/>
        <v>0</v>
      </c>
      <c r="L477" s="125">
        <f t="shared" ca="1" si="300"/>
        <v>0</v>
      </c>
      <c r="M477" s="125">
        <f t="shared" ca="1" si="283"/>
        <v>0</v>
      </c>
      <c r="N477" s="125">
        <f t="shared" ca="1" si="284"/>
        <v>0</v>
      </c>
      <c r="R477">
        <f t="shared" si="301"/>
        <v>470</v>
      </c>
      <c r="U477" s="55"/>
      <c r="V477">
        <f t="shared" si="302"/>
        <v>3</v>
      </c>
      <c r="W477">
        <f t="shared" ca="1" si="303"/>
        <v>2063</v>
      </c>
      <c r="X477" s="123">
        <f t="shared" ca="1" si="285"/>
        <v>59596</v>
      </c>
      <c r="Y477" s="64">
        <f t="shared" ca="1" si="286"/>
        <v>0</v>
      </c>
      <c r="Z477" s="64">
        <f t="shared" ca="1" si="287"/>
        <v>0</v>
      </c>
      <c r="AA477" s="64">
        <f t="shared" ca="1" si="288"/>
        <v>0</v>
      </c>
      <c r="AB477" s="64">
        <f t="shared" ca="1" si="289"/>
        <v>0</v>
      </c>
      <c r="AF477" t="str">
        <f t="shared" ca="1" si="269"/>
        <v>52005</v>
      </c>
      <c r="AG477" s="126">
        <f t="shared" ca="1" si="270"/>
        <v>0</v>
      </c>
      <c r="AH477" s="126">
        <f t="shared" ca="1" si="271"/>
        <v>0</v>
      </c>
      <c r="AI477" s="126">
        <f t="shared" ca="1" si="272"/>
        <v>0</v>
      </c>
      <c r="AJ477" t="str">
        <f t="shared" ca="1" si="273"/>
        <v>32063</v>
      </c>
      <c r="AK477" s="126">
        <f t="shared" ca="1" si="290"/>
        <v>0</v>
      </c>
      <c r="AL477" s="126">
        <f t="shared" ca="1" si="291"/>
        <v>0</v>
      </c>
      <c r="AM477" s="126">
        <f t="shared" ca="1" si="304"/>
        <v>0</v>
      </c>
      <c r="AN477" s="753">
        <f t="shared" ca="1" si="305"/>
        <v>0</v>
      </c>
      <c r="AO477" s="750">
        <f t="shared" ca="1" si="292"/>
        <v>0</v>
      </c>
      <c r="AP477" s="126">
        <f t="shared" ca="1" si="293"/>
        <v>0</v>
      </c>
      <c r="AQ477" s="126">
        <f t="shared" ca="1" si="294"/>
        <v>0</v>
      </c>
      <c r="AR477" s="126">
        <f t="shared" ca="1" si="274"/>
        <v>10000</v>
      </c>
      <c r="AS477" s="750">
        <f t="shared" ca="1" si="275"/>
        <v>0</v>
      </c>
      <c r="AT477" s="750">
        <f t="shared" ca="1" si="276"/>
        <v>0</v>
      </c>
      <c r="AU477" s="126">
        <f t="shared" ca="1" si="295"/>
        <v>0</v>
      </c>
      <c r="AV477" s="126">
        <f t="shared" ca="1" si="296"/>
        <v>0</v>
      </c>
      <c r="AW477" s="126">
        <f t="shared" ca="1" si="277"/>
        <v>10000</v>
      </c>
      <c r="AX477" s="750">
        <f t="shared" ca="1" si="297"/>
        <v>0</v>
      </c>
      <c r="AY477" s="750">
        <f t="shared" ca="1" si="298"/>
        <v>0</v>
      </c>
      <c r="AZ477">
        <f t="shared" si="299"/>
        <v>5750</v>
      </c>
    </row>
    <row r="478" spans="4:52">
      <c r="D478">
        <v>471</v>
      </c>
      <c r="E478" s="6">
        <f t="shared" ca="1" si="278"/>
        <v>38443</v>
      </c>
      <c r="F478" s="7">
        <f t="shared" ca="1" si="279"/>
        <v>0</v>
      </c>
      <c r="G478" s="125">
        <f ca="1">IF('Simulador - 1º Pilar'!$E$99="Sí",IF('Aportaciones PPE'!$B$13&lt;'Aportaciones PPE'!E478,0,F478*$B$8/12),F478*$B$8/12)</f>
        <v>0</v>
      </c>
      <c r="H478" s="125">
        <f t="shared" ca="1" si="268"/>
        <v>0</v>
      </c>
      <c r="I478" s="125">
        <f t="shared" ca="1" si="280"/>
        <v>0</v>
      </c>
      <c r="J478" s="125">
        <f t="shared" ca="1" si="281"/>
        <v>0</v>
      </c>
      <c r="K478" s="125">
        <f t="shared" ca="1" si="282"/>
        <v>0</v>
      </c>
      <c r="L478" s="125">
        <f t="shared" ca="1" si="300"/>
        <v>0</v>
      </c>
      <c r="M478" s="125">
        <f t="shared" ca="1" si="283"/>
        <v>0</v>
      </c>
      <c r="N478" s="125">
        <f t="shared" ca="1" si="284"/>
        <v>0</v>
      </c>
      <c r="R478">
        <f t="shared" si="301"/>
        <v>471</v>
      </c>
      <c r="U478" s="55"/>
      <c r="V478">
        <f t="shared" si="302"/>
        <v>4</v>
      </c>
      <c r="W478">
        <f t="shared" ca="1" si="303"/>
        <v>2063</v>
      </c>
      <c r="X478" s="123">
        <f t="shared" ca="1" si="285"/>
        <v>59627</v>
      </c>
      <c r="Y478" s="64">
        <f t="shared" ca="1" si="286"/>
        <v>0</v>
      </c>
      <c r="Z478" s="64">
        <f t="shared" ca="1" si="287"/>
        <v>0</v>
      </c>
      <c r="AA478" s="64">
        <f t="shared" ca="1" si="288"/>
        <v>0</v>
      </c>
      <c r="AB478" s="64">
        <f t="shared" ca="1" si="289"/>
        <v>0</v>
      </c>
      <c r="AF478" t="str">
        <f t="shared" ca="1" si="269"/>
        <v>42005</v>
      </c>
      <c r="AG478" s="126">
        <f t="shared" ca="1" si="270"/>
        <v>0</v>
      </c>
      <c r="AH478" s="126">
        <f t="shared" ca="1" si="271"/>
        <v>0</v>
      </c>
      <c r="AI478" s="126">
        <f t="shared" ca="1" si="272"/>
        <v>0</v>
      </c>
      <c r="AJ478" t="str">
        <f t="shared" ca="1" si="273"/>
        <v>42063</v>
      </c>
      <c r="AK478" s="126">
        <f t="shared" ca="1" si="290"/>
        <v>0</v>
      </c>
      <c r="AL478" s="126">
        <f t="shared" ca="1" si="291"/>
        <v>0</v>
      </c>
      <c r="AM478" s="126">
        <f t="shared" ca="1" si="304"/>
        <v>0</v>
      </c>
      <c r="AN478" s="753">
        <f t="shared" ca="1" si="305"/>
        <v>0</v>
      </c>
      <c r="AO478" s="750">
        <f t="shared" ca="1" si="292"/>
        <v>0</v>
      </c>
      <c r="AP478" s="126">
        <f t="shared" ca="1" si="293"/>
        <v>0</v>
      </c>
      <c r="AQ478" s="126">
        <f t="shared" ca="1" si="294"/>
        <v>0</v>
      </c>
      <c r="AR478" s="126">
        <f t="shared" ca="1" si="274"/>
        <v>10000</v>
      </c>
      <c r="AS478" s="750">
        <f t="shared" ca="1" si="275"/>
        <v>0</v>
      </c>
      <c r="AT478" s="750">
        <f t="shared" ca="1" si="276"/>
        <v>0</v>
      </c>
      <c r="AU478" s="126">
        <f t="shared" ca="1" si="295"/>
        <v>0</v>
      </c>
      <c r="AV478" s="126">
        <f t="shared" ca="1" si="296"/>
        <v>0</v>
      </c>
      <c r="AW478" s="126">
        <f t="shared" ca="1" si="277"/>
        <v>10000</v>
      </c>
      <c r="AX478" s="750">
        <f t="shared" ca="1" si="297"/>
        <v>0</v>
      </c>
      <c r="AY478" s="750">
        <f t="shared" ca="1" si="298"/>
        <v>0</v>
      </c>
      <c r="AZ478">
        <f t="shared" si="299"/>
        <v>5750</v>
      </c>
    </row>
    <row r="479" spans="4:52">
      <c r="D479">
        <v>472</v>
      </c>
      <c r="E479" s="6">
        <f t="shared" ca="1" si="278"/>
        <v>38412</v>
      </c>
      <c r="F479" s="7">
        <f t="shared" ca="1" si="279"/>
        <v>0</v>
      </c>
      <c r="G479" s="125">
        <f ca="1">IF('Simulador - 1º Pilar'!$E$99="Sí",IF('Aportaciones PPE'!$B$13&lt;'Aportaciones PPE'!E479,0,F479*$B$8/12),F479*$B$8/12)</f>
        <v>0</v>
      </c>
      <c r="H479" s="125">
        <f t="shared" ca="1" si="268"/>
        <v>0</v>
      </c>
      <c r="I479" s="125">
        <f t="shared" ca="1" si="280"/>
        <v>0</v>
      </c>
      <c r="J479" s="125">
        <f t="shared" ca="1" si="281"/>
        <v>0</v>
      </c>
      <c r="K479" s="125">
        <f t="shared" ca="1" si="282"/>
        <v>0</v>
      </c>
      <c r="L479" s="125">
        <f t="shared" ca="1" si="300"/>
        <v>0</v>
      </c>
      <c r="M479" s="125">
        <f t="shared" ca="1" si="283"/>
        <v>0</v>
      </c>
      <c r="N479" s="125">
        <f t="shared" ca="1" si="284"/>
        <v>0</v>
      </c>
      <c r="R479">
        <f t="shared" si="301"/>
        <v>472</v>
      </c>
      <c r="U479" s="55"/>
      <c r="V479">
        <f t="shared" si="302"/>
        <v>5</v>
      </c>
      <c r="W479">
        <f t="shared" ca="1" si="303"/>
        <v>2063</v>
      </c>
      <c r="X479" s="123">
        <f t="shared" ca="1" si="285"/>
        <v>59657</v>
      </c>
      <c r="Y479" s="64">
        <f t="shared" ca="1" si="286"/>
        <v>0</v>
      </c>
      <c r="Z479" s="64">
        <f t="shared" ca="1" si="287"/>
        <v>0</v>
      </c>
      <c r="AA479" s="64">
        <f t="shared" ca="1" si="288"/>
        <v>0</v>
      </c>
      <c r="AB479" s="64">
        <f t="shared" ca="1" si="289"/>
        <v>0</v>
      </c>
      <c r="AF479" t="str">
        <f t="shared" ca="1" si="269"/>
        <v>32005</v>
      </c>
      <c r="AG479" s="126">
        <f t="shared" ca="1" si="270"/>
        <v>0</v>
      </c>
      <c r="AH479" s="126">
        <f t="shared" ca="1" si="271"/>
        <v>0</v>
      </c>
      <c r="AI479" s="126">
        <f t="shared" ca="1" si="272"/>
        <v>0</v>
      </c>
      <c r="AJ479" t="str">
        <f t="shared" ca="1" si="273"/>
        <v>52063</v>
      </c>
      <c r="AK479" s="126">
        <f t="shared" ca="1" si="290"/>
        <v>0</v>
      </c>
      <c r="AL479" s="126">
        <f t="shared" ca="1" si="291"/>
        <v>0</v>
      </c>
      <c r="AM479" s="126">
        <f t="shared" ca="1" si="304"/>
        <v>0</v>
      </c>
      <c r="AN479" s="753">
        <f t="shared" ca="1" si="305"/>
        <v>0</v>
      </c>
      <c r="AO479" s="750">
        <f t="shared" ca="1" si="292"/>
        <v>0</v>
      </c>
      <c r="AP479" s="126">
        <f t="shared" ca="1" si="293"/>
        <v>0</v>
      </c>
      <c r="AQ479" s="126">
        <f t="shared" ca="1" si="294"/>
        <v>0</v>
      </c>
      <c r="AR479" s="126">
        <f t="shared" ca="1" si="274"/>
        <v>10000</v>
      </c>
      <c r="AS479" s="750">
        <f t="shared" ca="1" si="275"/>
        <v>0</v>
      </c>
      <c r="AT479" s="750">
        <f t="shared" ca="1" si="276"/>
        <v>0</v>
      </c>
      <c r="AU479" s="126">
        <f t="shared" ca="1" si="295"/>
        <v>0</v>
      </c>
      <c r="AV479" s="126">
        <f t="shared" ca="1" si="296"/>
        <v>0</v>
      </c>
      <c r="AW479" s="126">
        <f t="shared" ca="1" si="277"/>
        <v>10000</v>
      </c>
      <c r="AX479" s="750">
        <f t="shared" ca="1" si="297"/>
        <v>0</v>
      </c>
      <c r="AY479" s="750">
        <f t="shared" ca="1" si="298"/>
        <v>0</v>
      </c>
      <c r="AZ479">
        <f t="shared" si="299"/>
        <v>5750</v>
      </c>
    </row>
    <row r="480" spans="4:52">
      <c r="D480">
        <v>473</v>
      </c>
      <c r="E480" s="6">
        <f t="shared" ca="1" si="278"/>
        <v>38384</v>
      </c>
      <c r="F480" s="7">
        <f t="shared" ca="1" si="279"/>
        <v>0</v>
      </c>
      <c r="G480" s="125">
        <f ca="1">IF('Simulador - 1º Pilar'!$E$99="Sí",IF('Aportaciones PPE'!$B$13&lt;'Aportaciones PPE'!E480,0,F480*$B$8/12),F480*$B$8/12)</f>
        <v>0</v>
      </c>
      <c r="H480" s="125">
        <f t="shared" ca="1" si="268"/>
        <v>0</v>
      </c>
      <c r="I480" s="125">
        <f t="shared" ca="1" si="280"/>
        <v>0</v>
      </c>
      <c r="J480" s="125">
        <f t="shared" ca="1" si="281"/>
        <v>0</v>
      </c>
      <c r="K480" s="125">
        <f t="shared" ca="1" si="282"/>
        <v>0</v>
      </c>
      <c r="L480" s="125">
        <f t="shared" ca="1" si="300"/>
        <v>0</v>
      </c>
      <c r="M480" s="125">
        <f t="shared" ca="1" si="283"/>
        <v>0</v>
      </c>
      <c r="N480" s="125">
        <f t="shared" ca="1" si="284"/>
        <v>0</v>
      </c>
      <c r="R480">
        <f t="shared" si="301"/>
        <v>473</v>
      </c>
      <c r="U480" s="55"/>
      <c r="V480">
        <f t="shared" si="302"/>
        <v>6</v>
      </c>
      <c r="W480">
        <f t="shared" ca="1" si="303"/>
        <v>2063</v>
      </c>
      <c r="X480" s="123">
        <f t="shared" ca="1" si="285"/>
        <v>59688</v>
      </c>
      <c r="Y480" s="64">
        <f t="shared" ca="1" si="286"/>
        <v>0</v>
      </c>
      <c r="Z480" s="64">
        <f t="shared" ca="1" si="287"/>
        <v>0</v>
      </c>
      <c r="AA480" s="64">
        <f t="shared" ca="1" si="288"/>
        <v>0</v>
      </c>
      <c r="AB480" s="64">
        <f t="shared" ca="1" si="289"/>
        <v>0</v>
      </c>
      <c r="AF480" t="str">
        <f t="shared" ca="1" si="269"/>
        <v>22005</v>
      </c>
      <c r="AG480" s="126">
        <f t="shared" ca="1" si="270"/>
        <v>0</v>
      </c>
      <c r="AH480" s="126">
        <f t="shared" ca="1" si="271"/>
        <v>0</v>
      </c>
      <c r="AI480" s="126">
        <f t="shared" ca="1" si="272"/>
        <v>0</v>
      </c>
      <c r="AJ480" t="str">
        <f t="shared" ca="1" si="273"/>
        <v>62063</v>
      </c>
      <c r="AK480" s="126">
        <f t="shared" ca="1" si="290"/>
        <v>0</v>
      </c>
      <c r="AL480" s="126">
        <f t="shared" ca="1" si="291"/>
        <v>0</v>
      </c>
      <c r="AM480" s="126">
        <f t="shared" ca="1" si="304"/>
        <v>0</v>
      </c>
      <c r="AN480" s="753">
        <f t="shared" ca="1" si="305"/>
        <v>0</v>
      </c>
      <c r="AO480" s="750">
        <f t="shared" ca="1" si="292"/>
        <v>0</v>
      </c>
      <c r="AP480" s="126">
        <f t="shared" ca="1" si="293"/>
        <v>0</v>
      </c>
      <c r="AQ480" s="126">
        <f t="shared" ca="1" si="294"/>
        <v>0</v>
      </c>
      <c r="AR480" s="126">
        <f t="shared" ca="1" si="274"/>
        <v>10000</v>
      </c>
      <c r="AS480" s="750">
        <f t="shared" ca="1" si="275"/>
        <v>0</v>
      </c>
      <c r="AT480" s="750">
        <f t="shared" ca="1" si="276"/>
        <v>0</v>
      </c>
      <c r="AU480" s="126">
        <f t="shared" ca="1" si="295"/>
        <v>0</v>
      </c>
      <c r="AV480" s="126">
        <f t="shared" ca="1" si="296"/>
        <v>0</v>
      </c>
      <c r="AW480" s="126">
        <f t="shared" ca="1" si="277"/>
        <v>10000</v>
      </c>
      <c r="AX480" s="750">
        <f t="shared" ca="1" si="297"/>
        <v>0</v>
      </c>
      <c r="AY480" s="750">
        <f t="shared" ca="1" si="298"/>
        <v>0</v>
      </c>
      <c r="AZ480">
        <f t="shared" si="299"/>
        <v>5750</v>
      </c>
    </row>
    <row r="481" spans="4:52">
      <c r="D481">
        <v>474</v>
      </c>
      <c r="E481" s="6">
        <f t="shared" ca="1" si="278"/>
        <v>38353</v>
      </c>
      <c r="F481" s="7">
        <f t="shared" ca="1" si="279"/>
        <v>0</v>
      </c>
      <c r="G481" s="125">
        <f ca="1">IF('Simulador - 1º Pilar'!$E$99="Sí",IF('Aportaciones PPE'!$B$13&lt;'Aportaciones PPE'!E481,0,F481*$B$8/12),F481*$B$8/12)</f>
        <v>0</v>
      </c>
      <c r="H481" s="125">
        <f t="shared" ca="1" si="268"/>
        <v>0</v>
      </c>
      <c r="I481" s="125">
        <f t="shared" ca="1" si="280"/>
        <v>0</v>
      </c>
      <c r="J481" s="125">
        <f t="shared" ca="1" si="281"/>
        <v>0</v>
      </c>
      <c r="K481" s="125">
        <f t="shared" ca="1" si="282"/>
        <v>0</v>
      </c>
      <c r="L481" s="125">
        <f t="shared" ca="1" si="300"/>
        <v>0</v>
      </c>
      <c r="M481" s="125">
        <f t="shared" ca="1" si="283"/>
        <v>0</v>
      </c>
      <c r="N481" s="125">
        <f t="shared" ca="1" si="284"/>
        <v>0</v>
      </c>
      <c r="R481">
        <f t="shared" si="301"/>
        <v>474</v>
      </c>
      <c r="U481" s="55"/>
      <c r="V481">
        <f t="shared" si="302"/>
        <v>7</v>
      </c>
      <c r="W481">
        <f t="shared" ca="1" si="303"/>
        <v>2063</v>
      </c>
      <c r="X481" s="123">
        <f t="shared" ca="1" si="285"/>
        <v>59718</v>
      </c>
      <c r="Y481" s="64">
        <f t="shared" ca="1" si="286"/>
        <v>0</v>
      </c>
      <c r="Z481" s="64">
        <f t="shared" ca="1" si="287"/>
        <v>0</v>
      </c>
      <c r="AA481" s="64">
        <f t="shared" ca="1" si="288"/>
        <v>0</v>
      </c>
      <c r="AB481" s="64">
        <f t="shared" ca="1" si="289"/>
        <v>0</v>
      </c>
      <c r="AF481" t="str">
        <f t="shared" ca="1" si="269"/>
        <v>12005</v>
      </c>
      <c r="AG481" s="126">
        <f t="shared" ca="1" si="270"/>
        <v>0</v>
      </c>
      <c r="AH481" s="126">
        <f t="shared" ca="1" si="271"/>
        <v>0</v>
      </c>
      <c r="AI481" s="126">
        <f t="shared" ca="1" si="272"/>
        <v>0</v>
      </c>
      <c r="AJ481" t="str">
        <f t="shared" ca="1" si="273"/>
        <v>72063</v>
      </c>
      <c r="AK481" s="126">
        <f t="shared" ca="1" si="290"/>
        <v>0</v>
      </c>
      <c r="AL481" s="126">
        <f t="shared" ca="1" si="291"/>
        <v>0</v>
      </c>
      <c r="AM481" s="126">
        <f t="shared" ca="1" si="304"/>
        <v>0</v>
      </c>
      <c r="AN481" s="753">
        <f t="shared" ca="1" si="305"/>
        <v>0</v>
      </c>
      <c r="AO481" s="750">
        <f t="shared" ca="1" si="292"/>
        <v>0</v>
      </c>
      <c r="AP481" s="126">
        <f t="shared" ca="1" si="293"/>
        <v>0</v>
      </c>
      <c r="AQ481" s="126">
        <f t="shared" ca="1" si="294"/>
        <v>0</v>
      </c>
      <c r="AR481" s="126">
        <f t="shared" ca="1" si="274"/>
        <v>10000</v>
      </c>
      <c r="AS481" s="750">
        <f t="shared" ca="1" si="275"/>
        <v>0</v>
      </c>
      <c r="AT481" s="750">
        <f t="shared" ca="1" si="276"/>
        <v>0</v>
      </c>
      <c r="AU481" s="126">
        <f t="shared" ca="1" si="295"/>
        <v>0</v>
      </c>
      <c r="AV481" s="126">
        <f t="shared" ca="1" si="296"/>
        <v>0</v>
      </c>
      <c r="AW481" s="126">
        <f t="shared" ca="1" si="277"/>
        <v>10000</v>
      </c>
      <c r="AX481" s="750">
        <f t="shared" ca="1" si="297"/>
        <v>0</v>
      </c>
      <c r="AY481" s="750">
        <f t="shared" ca="1" si="298"/>
        <v>0</v>
      </c>
      <c r="AZ481">
        <f t="shared" si="299"/>
        <v>5750</v>
      </c>
    </row>
    <row r="482" spans="4:52">
      <c r="D482">
        <v>475</v>
      </c>
      <c r="E482" s="6">
        <f t="shared" ca="1" si="278"/>
        <v>38322</v>
      </c>
      <c r="F482" s="7">
        <f t="shared" ca="1" si="279"/>
        <v>0</v>
      </c>
      <c r="G482" s="125">
        <f ca="1">IF('Simulador - 1º Pilar'!$E$99="Sí",IF('Aportaciones PPE'!$B$13&lt;'Aportaciones PPE'!E482,0,F482*$B$8/12),F482*$B$8/12)</f>
        <v>0</v>
      </c>
      <c r="H482" s="125">
        <f t="shared" ca="1" si="268"/>
        <v>0</v>
      </c>
      <c r="I482" s="125">
        <f t="shared" ca="1" si="280"/>
        <v>0</v>
      </c>
      <c r="J482" s="125">
        <f t="shared" ca="1" si="281"/>
        <v>0</v>
      </c>
      <c r="K482" s="125">
        <f t="shared" ca="1" si="282"/>
        <v>0</v>
      </c>
      <c r="L482" s="125">
        <f t="shared" ca="1" si="300"/>
        <v>0</v>
      </c>
      <c r="M482" s="125">
        <f t="shared" ca="1" si="283"/>
        <v>0</v>
      </c>
      <c r="N482" s="125">
        <f t="shared" ca="1" si="284"/>
        <v>0</v>
      </c>
      <c r="R482">
        <f t="shared" si="301"/>
        <v>475</v>
      </c>
      <c r="U482" s="55"/>
      <c r="V482">
        <f t="shared" si="302"/>
        <v>8</v>
      </c>
      <c r="W482">
        <f t="shared" ca="1" si="303"/>
        <v>2063</v>
      </c>
      <c r="X482" s="123">
        <f t="shared" ca="1" si="285"/>
        <v>59749</v>
      </c>
      <c r="Y482" s="64">
        <f t="shared" ca="1" si="286"/>
        <v>0</v>
      </c>
      <c r="Z482" s="64">
        <f t="shared" ca="1" si="287"/>
        <v>0</v>
      </c>
      <c r="AA482" s="64">
        <f t="shared" ca="1" si="288"/>
        <v>0</v>
      </c>
      <c r="AB482" s="64">
        <f t="shared" ca="1" si="289"/>
        <v>0</v>
      </c>
      <c r="AF482" t="str">
        <f t="shared" ca="1" si="269"/>
        <v>122004</v>
      </c>
      <c r="AG482" s="126">
        <f t="shared" ca="1" si="270"/>
        <v>0</v>
      </c>
      <c r="AH482" s="126">
        <f t="shared" ca="1" si="271"/>
        <v>0</v>
      </c>
      <c r="AI482" s="126">
        <f t="shared" ca="1" si="272"/>
        <v>0</v>
      </c>
      <c r="AJ482" t="str">
        <f t="shared" ca="1" si="273"/>
        <v>82063</v>
      </c>
      <c r="AK482" s="126">
        <f t="shared" ca="1" si="290"/>
        <v>0</v>
      </c>
      <c r="AL482" s="126">
        <f t="shared" ca="1" si="291"/>
        <v>0</v>
      </c>
      <c r="AM482" s="126">
        <f t="shared" ca="1" si="304"/>
        <v>0</v>
      </c>
      <c r="AN482" s="753">
        <f t="shared" ca="1" si="305"/>
        <v>0</v>
      </c>
      <c r="AO482" s="750">
        <f t="shared" ca="1" si="292"/>
        <v>0</v>
      </c>
      <c r="AP482" s="126">
        <f t="shared" ca="1" si="293"/>
        <v>0</v>
      </c>
      <c r="AQ482" s="126">
        <f t="shared" ca="1" si="294"/>
        <v>0</v>
      </c>
      <c r="AR482" s="126">
        <f t="shared" ca="1" si="274"/>
        <v>10000</v>
      </c>
      <c r="AS482" s="750">
        <f t="shared" ca="1" si="275"/>
        <v>0</v>
      </c>
      <c r="AT482" s="750">
        <f t="shared" ca="1" si="276"/>
        <v>0</v>
      </c>
      <c r="AU482" s="126">
        <f t="shared" ca="1" si="295"/>
        <v>0</v>
      </c>
      <c r="AV482" s="126">
        <f t="shared" ca="1" si="296"/>
        <v>0</v>
      </c>
      <c r="AW482" s="126">
        <f t="shared" ca="1" si="277"/>
        <v>10000</v>
      </c>
      <c r="AX482" s="750">
        <f t="shared" ca="1" si="297"/>
        <v>0</v>
      </c>
      <c r="AY482" s="750">
        <f t="shared" ca="1" si="298"/>
        <v>0</v>
      </c>
      <c r="AZ482">
        <f t="shared" si="299"/>
        <v>5750</v>
      </c>
    </row>
    <row r="483" spans="4:52">
      <c r="D483">
        <v>476</v>
      </c>
      <c r="E483" s="6">
        <f t="shared" ca="1" si="278"/>
        <v>38292</v>
      </c>
      <c r="F483" s="7">
        <f t="shared" ca="1" si="279"/>
        <v>0</v>
      </c>
      <c r="G483" s="125">
        <f ca="1">IF('Simulador - 1º Pilar'!$E$99="Sí",IF('Aportaciones PPE'!$B$13&lt;'Aportaciones PPE'!E483,0,F483*$B$8/12),F483*$B$8/12)</f>
        <v>0</v>
      </c>
      <c r="H483" s="125">
        <f t="shared" ca="1" si="268"/>
        <v>0</v>
      </c>
      <c r="I483" s="125">
        <f t="shared" ca="1" si="280"/>
        <v>0</v>
      </c>
      <c r="J483" s="125">
        <f t="shared" ca="1" si="281"/>
        <v>0</v>
      </c>
      <c r="K483" s="125">
        <f t="shared" ca="1" si="282"/>
        <v>0</v>
      </c>
      <c r="L483" s="125">
        <f t="shared" ca="1" si="300"/>
        <v>0</v>
      </c>
      <c r="M483" s="125">
        <f t="shared" ca="1" si="283"/>
        <v>0</v>
      </c>
      <c r="N483" s="125">
        <f t="shared" ca="1" si="284"/>
        <v>0</v>
      </c>
      <c r="R483">
        <f t="shared" si="301"/>
        <v>476</v>
      </c>
      <c r="U483" s="55"/>
      <c r="V483">
        <f t="shared" si="302"/>
        <v>9</v>
      </c>
      <c r="W483">
        <f t="shared" ca="1" si="303"/>
        <v>2063</v>
      </c>
      <c r="X483" s="123">
        <f t="shared" ca="1" si="285"/>
        <v>59780</v>
      </c>
      <c r="Y483" s="64">
        <f t="shared" ca="1" si="286"/>
        <v>0</v>
      </c>
      <c r="Z483" s="64">
        <f t="shared" ca="1" si="287"/>
        <v>0</v>
      </c>
      <c r="AA483" s="64">
        <f t="shared" ca="1" si="288"/>
        <v>0</v>
      </c>
      <c r="AB483" s="64">
        <f t="shared" ca="1" si="289"/>
        <v>0</v>
      </c>
      <c r="AF483" t="str">
        <f t="shared" ca="1" si="269"/>
        <v>112004</v>
      </c>
      <c r="AG483" s="126">
        <f t="shared" ca="1" si="270"/>
        <v>0</v>
      </c>
      <c r="AH483" s="126">
        <f t="shared" ca="1" si="271"/>
        <v>0</v>
      </c>
      <c r="AI483" s="126">
        <f t="shared" ca="1" si="272"/>
        <v>0</v>
      </c>
      <c r="AJ483" t="str">
        <f t="shared" ca="1" si="273"/>
        <v>92063</v>
      </c>
      <c r="AK483" s="126">
        <f t="shared" ca="1" si="290"/>
        <v>0</v>
      </c>
      <c r="AL483" s="126">
        <f t="shared" ca="1" si="291"/>
        <v>0</v>
      </c>
      <c r="AM483" s="126">
        <f t="shared" ca="1" si="304"/>
        <v>0</v>
      </c>
      <c r="AN483" s="753">
        <f t="shared" ca="1" si="305"/>
        <v>0</v>
      </c>
      <c r="AO483" s="750">
        <f t="shared" ca="1" si="292"/>
        <v>0</v>
      </c>
      <c r="AP483" s="126">
        <f t="shared" ca="1" si="293"/>
        <v>0</v>
      </c>
      <c r="AQ483" s="126">
        <f t="shared" ca="1" si="294"/>
        <v>0</v>
      </c>
      <c r="AR483" s="126">
        <f t="shared" ca="1" si="274"/>
        <v>10000</v>
      </c>
      <c r="AS483" s="750">
        <f t="shared" ca="1" si="275"/>
        <v>0</v>
      </c>
      <c r="AT483" s="750">
        <f t="shared" ca="1" si="276"/>
        <v>0</v>
      </c>
      <c r="AU483" s="126">
        <f t="shared" ca="1" si="295"/>
        <v>0</v>
      </c>
      <c r="AV483" s="126">
        <f t="shared" ca="1" si="296"/>
        <v>0</v>
      </c>
      <c r="AW483" s="126">
        <f t="shared" ca="1" si="277"/>
        <v>10000</v>
      </c>
      <c r="AX483" s="750">
        <f t="shared" ca="1" si="297"/>
        <v>0</v>
      </c>
      <c r="AY483" s="750">
        <f t="shared" ca="1" si="298"/>
        <v>0</v>
      </c>
      <c r="AZ483">
        <f t="shared" si="299"/>
        <v>5750</v>
      </c>
    </row>
    <row r="484" spans="4:52">
      <c r="D484">
        <v>477</v>
      </c>
      <c r="E484" s="6">
        <f t="shared" ca="1" si="278"/>
        <v>38261</v>
      </c>
      <c r="F484" s="7">
        <f t="shared" ca="1" si="279"/>
        <v>0</v>
      </c>
      <c r="G484" s="125">
        <f ca="1">IF('Simulador - 1º Pilar'!$E$99="Sí",IF('Aportaciones PPE'!$B$13&lt;'Aportaciones PPE'!E484,0,F484*$B$8/12),F484*$B$8/12)</f>
        <v>0</v>
      </c>
      <c r="H484" s="125">
        <f t="shared" ca="1" si="268"/>
        <v>0</v>
      </c>
      <c r="I484" s="125">
        <f t="shared" ca="1" si="280"/>
        <v>0</v>
      </c>
      <c r="J484" s="125">
        <f t="shared" ca="1" si="281"/>
        <v>0</v>
      </c>
      <c r="K484" s="125">
        <f t="shared" ca="1" si="282"/>
        <v>0</v>
      </c>
      <c r="L484" s="125">
        <f t="shared" ca="1" si="300"/>
        <v>0</v>
      </c>
      <c r="M484" s="125">
        <f t="shared" ca="1" si="283"/>
        <v>0</v>
      </c>
      <c r="N484" s="125">
        <f t="shared" ca="1" si="284"/>
        <v>0</v>
      </c>
      <c r="R484">
        <f t="shared" si="301"/>
        <v>477</v>
      </c>
      <c r="U484" s="55"/>
      <c r="V484">
        <f t="shared" si="302"/>
        <v>10</v>
      </c>
      <c r="W484">
        <f t="shared" ca="1" si="303"/>
        <v>2063</v>
      </c>
      <c r="X484" s="123">
        <f t="shared" ca="1" si="285"/>
        <v>59810</v>
      </c>
      <c r="Y484" s="64">
        <f t="shared" ca="1" si="286"/>
        <v>0</v>
      </c>
      <c r="Z484" s="64">
        <f t="shared" ca="1" si="287"/>
        <v>0</v>
      </c>
      <c r="AA484" s="64">
        <f t="shared" ca="1" si="288"/>
        <v>0</v>
      </c>
      <c r="AB484" s="64">
        <f t="shared" ca="1" si="289"/>
        <v>0</v>
      </c>
      <c r="AF484" t="str">
        <f t="shared" ca="1" si="269"/>
        <v>102004</v>
      </c>
      <c r="AG484" s="126">
        <f t="shared" ca="1" si="270"/>
        <v>0</v>
      </c>
      <c r="AH484" s="126">
        <f t="shared" ca="1" si="271"/>
        <v>0</v>
      </c>
      <c r="AI484" s="126">
        <f t="shared" ca="1" si="272"/>
        <v>0</v>
      </c>
      <c r="AJ484" t="str">
        <f t="shared" ca="1" si="273"/>
        <v>102063</v>
      </c>
      <c r="AK484" s="126">
        <f t="shared" ca="1" si="290"/>
        <v>0</v>
      </c>
      <c r="AL484" s="126">
        <f t="shared" ca="1" si="291"/>
        <v>0</v>
      </c>
      <c r="AM484" s="126">
        <f t="shared" ca="1" si="304"/>
        <v>0</v>
      </c>
      <c r="AN484" s="753">
        <f t="shared" ca="1" si="305"/>
        <v>0</v>
      </c>
      <c r="AO484" s="750">
        <f t="shared" ca="1" si="292"/>
        <v>0</v>
      </c>
      <c r="AP484" s="126">
        <f t="shared" ca="1" si="293"/>
        <v>0</v>
      </c>
      <c r="AQ484" s="126">
        <f t="shared" ca="1" si="294"/>
        <v>0</v>
      </c>
      <c r="AR484" s="126">
        <f t="shared" ca="1" si="274"/>
        <v>10000</v>
      </c>
      <c r="AS484" s="750">
        <f t="shared" ca="1" si="275"/>
        <v>0</v>
      </c>
      <c r="AT484" s="750">
        <f t="shared" ca="1" si="276"/>
        <v>0</v>
      </c>
      <c r="AU484" s="126">
        <f t="shared" ca="1" si="295"/>
        <v>0</v>
      </c>
      <c r="AV484" s="126">
        <f t="shared" ca="1" si="296"/>
        <v>0</v>
      </c>
      <c r="AW484" s="126">
        <f t="shared" ca="1" si="277"/>
        <v>10000</v>
      </c>
      <c r="AX484" s="750">
        <f t="shared" ca="1" si="297"/>
        <v>0</v>
      </c>
      <c r="AY484" s="750">
        <f t="shared" ca="1" si="298"/>
        <v>0</v>
      </c>
      <c r="AZ484">
        <f t="shared" si="299"/>
        <v>5750</v>
      </c>
    </row>
    <row r="485" spans="4:52">
      <c r="D485">
        <v>478</v>
      </c>
      <c r="E485" s="6">
        <f t="shared" ca="1" si="278"/>
        <v>38231</v>
      </c>
      <c r="F485" s="7">
        <f t="shared" ca="1" si="279"/>
        <v>0</v>
      </c>
      <c r="G485" s="125">
        <f ca="1">IF('Simulador - 1º Pilar'!$E$99="Sí",IF('Aportaciones PPE'!$B$13&lt;'Aportaciones PPE'!E485,0,F485*$B$8/12),F485*$B$8/12)</f>
        <v>0</v>
      </c>
      <c r="H485" s="125">
        <f t="shared" ca="1" si="268"/>
        <v>0</v>
      </c>
      <c r="I485" s="125">
        <f t="shared" ca="1" si="280"/>
        <v>0</v>
      </c>
      <c r="J485" s="125">
        <f t="shared" ca="1" si="281"/>
        <v>0</v>
      </c>
      <c r="K485" s="125">
        <f t="shared" ca="1" si="282"/>
        <v>0</v>
      </c>
      <c r="L485" s="125">
        <f t="shared" ca="1" si="300"/>
        <v>0</v>
      </c>
      <c r="M485" s="125">
        <f t="shared" ca="1" si="283"/>
        <v>0</v>
      </c>
      <c r="N485" s="125">
        <f t="shared" ca="1" si="284"/>
        <v>0</v>
      </c>
      <c r="R485">
        <f t="shared" si="301"/>
        <v>478</v>
      </c>
      <c r="U485" s="55"/>
      <c r="V485">
        <f t="shared" si="302"/>
        <v>11</v>
      </c>
      <c r="W485">
        <f t="shared" ca="1" si="303"/>
        <v>2063</v>
      </c>
      <c r="X485" s="123">
        <f t="shared" ca="1" si="285"/>
        <v>59841</v>
      </c>
      <c r="Y485" s="64">
        <f t="shared" ca="1" si="286"/>
        <v>0</v>
      </c>
      <c r="Z485" s="64">
        <f t="shared" ca="1" si="287"/>
        <v>0</v>
      </c>
      <c r="AA485" s="64">
        <f t="shared" ca="1" si="288"/>
        <v>0</v>
      </c>
      <c r="AB485" s="64">
        <f t="shared" ca="1" si="289"/>
        <v>0</v>
      </c>
      <c r="AF485" t="str">
        <f t="shared" ca="1" si="269"/>
        <v>92004</v>
      </c>
      <c r="AG485" s="126">
        <f t="shared" ca="1" si="270"/>
        <v>0</v>
      </c>
      <c r="AH485" s="126">
        <f t="shared" ca="1" si="271"/>
        <v>0</v>
      </c>
      <c r="AI485" s="126">
        <f t="shared" ca="1" si="272"/>
        <v>0</v>
      </c>
      <c r="AJ485" t="str">
        <f t="shared" ca="1" si="273"/>
        <v>112063</v>
      </c>
      <c r="AK485" s="126">
        <f t="shared" ca="1" si="290"/>
        <v>0</v>
      </c>
      <c r="AL485" s="126">
        <f t="shared" ca="1" si="291"/>
        <v>0</v>
      </c>
      <c r="AM485" s="126">
        <f t="shared" ca="1" si="304"/>
        <v>0</v>
      </c>
      <c r="AN485" s="753">
        <f t="shared" ca="1" si="305"/>
        <v>0</v>
      </c>
      <c r="AO485" s="750">
        <f t="shared" ca="1" si="292"/>
        <v>0</v>
      </c>
      <c r="AP485" s="126">
        <f t="shared" ca="1" si="293"/>
        <v>0</v>
      </c>
      <c r="AQ485" s="126">
        <f t="shared" ca="1" si="294"/>
        <v>0</v>
      </c>
      <c r="AR485" s="126">
        <f t="shared" ca="1" si="274"/>
        <v>10000</v>
      </c>
      <c r="AS485" s="750">
        <f t="shared" ca="1" si="275"/>
        <v>0</v>
      </c>
      <c r="AT485" s="750">
        <f t="shared" ca="1" si="276"/>
        <v>0</v>
      </c>
      <c r="AU485" s="126">
        <f t="shared" ca="1" si="295"/>
        <v>0</v>
      </c>
      <c r="AV485" s="126">
        <f t="shared" ca="1" si="296"/>
        <v>0</v>
      </c>
      <c r="AW485" s="126">
        <f t="shared" ca="1" si="277"/>
        <v>10000</v>
      </c>
      <c r="AX485" s="750">
        <f t="shared" ca="1" si="297"/>
        <v>0</v>
      </c>
      <c r="AY485" s="750">
        <f t="shared" ca="1" si="298"/>
        <v>0</v>
      </c>
      <c r="AZ485">
        <f t="shared" si="299"/>
        <v>5750</v>
      </c>
    </row>
    <row r="486" spans="4:52">
      <c r="D486">
        <v>479</v>
      </c>
      <c r="E486" s="6">
        <f t="shared" ca="1" si="278"/>
        <v>38200</v>
      </c>
      <c r="F486" s="7">
        <f t="shared" ca="1" si="279"/>
        <v>0</v>
      </c>
      <c r="G486" s="125">
        <f ca="1">IF('Simulador - 1º Pilar'!$E$99="Sí",IF('Aportaciones PPE'!$B$13&lt;'Aportaciones PPE'!E486,0,F486*$B$8/12),F486*$B$8/12)</f>
        <v>0</v>
      </c>
      <c r="H486" s="125">
        <f t="shared" ca="1" si="268"/>
        <v>0</v>
      </c>
      <c r="I486" s="125">
        <f t="shared" ca="1" si="280"/>
        <v>0</v>
      </c>
      <c r="J486" s="125">
        <f t="shared" ca="1" si="281"/>
        <v>0</v>
      </c>
      <c r="K486" s="125">
        <f t="shared" ca="1" si="282"/>
        <v>0</v>
      </c>
      <c r="L486" s="125">
        <f t="shared" ca="1" si="300"/>
        <v>0</v>
      </c>
      <c r="M486" s="125">
        <f t="shared" ca="1" si="283"/>
        <v>0</v>
      </c>
      <c r="N486" s="125">
        <f t="shared" ca="1" si="284"/>
        <v>0</v>
      </c>
      <c r="R486">
        <f t="shared" si="301"/>
        <v>479</v>
      </c>
      <c r="U486" s="55"/>
      <c r="V486">
        <f t="shared" si="302"/>
        <v>12</v>
      </c>
      <c r="W486">
        <f t="shared" ca="1" si="303"/>
        <v>2063</v>
      </c>
      <c r="X486" s="123">
        <f t="shared" ca="1" si="285"/>
        <v>59871</v>
      </c>
      <c r="Y486" s="64">
        <f t="shared" ca="1" si="286"/>
        <v>0</v>
      </c>
      <c r="Z486" s="64">
        <f t="shared" ca="1" si="287"/>
        <v>0</v>
      </c>
      <c r="AA486" s="64">
        <f t="shared" ca="1" si="288"/>
        <v>0</v>
      </c>
      <c r="AB486" s="64">
        <f t="shared" ca="1" si="289"/>
        <v>0</v>
      </c>
      <c r="AF486" t="str">
        <f t="shared" ca="1" si="269"/>
        <v>82004</v>
      </c>
      <c r="AG486" s="126">
        <f t="shared" ca="1" si="270"/>
        <v>0</v>
      </c>
      <c r="AH486" s="126">
        <f t="shared" ca="1" si="271"/>
        <v>0</v>
      </c>
      <c r="AI486" s="126">
        <f t="shared" ca="1" si="272"/>
        <v>0</v>
      </c>
      <c r="AJ486" t="str">
        <f t="shared" ca="1" si="273"/>
        <v>122063</v>
      </c>
      <c r="AK486" s="126">
        <f t="shared" ca="1" si="290"/>
        <v>0</v>
      </c>
      <c r="AL486" s="126">
        <f t="shared" ca="1" si="291"/>
        <v>0</v>
      </c>
      <c r="AM486" s="126">
        <f t="shared" ca="1" si="304"/>
        <v>0</v>
      </c>
      <c r="AN486" s="753">
        <f t="shared" ca="1" si="305"/>
        <v>0</v>
      </c>
      <c r="AO486" s="750">
        <f t="shared" ca="1" si="292"/>
        <v>0</v>
      </c>
      <c r="AP486" s="126">
        <f t="shared" ca="1" si="293"/>
        <v>0</v>
      </c>
      <c r="AQ486" s="126">
        <f t="shared" ca="1" si="294"/>
        <v>0</v>
      </c>
      <c r="AR486" s="126">
        <f t="shared" ca="1" si="274"/>
        <v>10000</v>
      </c>
      <c r="AS486" s="750">
        <f t="shared" ca="1" si="275"/>
        <v>0</v>
      </c>
      <c r="AT486" s="750">
        <f t="shared" ca="1" si="276"/>
        <v>0</v>
      </c>
      <c r="AU486" s="126">
        <f t="shared" ca="1" si="295"/>
        <v>0</v>
      </c>
      <c r="AV486" s="126">
        <f t="shared" ca="1" si="296"/>
        <v>0</v>
      </c>
      <c r="AW486" s="126">
        <f t="shared" ca="1" si="277"/>
        <v>10000</v>
      </c>
      <c r="AX486" s="750">
        <f t="shared" ca="1" si="297"/>
        <v>0</v>
      </c>
      <c r="AY486" s="750">
        <f t="shared" ca="1" si="298"/>
        <v>0</v>
      </c>
      <c r="AZ486">
        <f t="shared" si="299"/>
        <v>5750</v>
      </c>
    </row>
    <row r="487" spans="4:52">
      <c r="D487">
        <v>480</v>
      </c>
      <c r="E487" s="6">
        <f t="shared" ca="1" si="278"/>
        <v>38169</v>
      </c>
      <c r="F487" s="7">
        <f t="shared" ca="1" si="279"/>
        <v>0</v>
      </c>
      <c r="G487" s="125">
        <f ca="1">IF('Simulador - 1º Pilar'!$E$99="Sí",IF('Aportaciones PPE'!$B$13&lt;'Aportaciones PPE'!E487,0,F487*$B$8/12),F487*$B$8/12)</f>
        <v>0</v>
      </c>
      <c r="H487" s="125">
        <f t="shared" ca="1" si="268"/>
        <v>0</v>
      </c>
      <c r="I487" s="125">
        <f t="shared" ca="1" si="280"/>
        <v>0</v>
      </c>
      <c r="J487" s="125">
        <f t="shared" ca="1" si="281"/>
        <v>0</v>
      </c>
      <c r="K487" s="125">
        <f t="shared" ca="1" si="282"/>
        <v>0</v>
      </c>
      <c r="L487" s="125">
        <f t="shared" ca="1" si="300"/>
        <v>0</v>
      </c>
      <c r="M487" s="125">
        <f t="shared" ca="1" si="283"/>
        <v>0</v>
      </c>
      <c r="N487" s="125">
        <f t="shared" ca="1" si="284"/>
        <v>0</v>
      </c>
      <c r="R487">
        <f t="shared" si="301"/>
        <v>480</v>
      </c>
      <c r="U487" s="55"/>
      <c r="V487">
        <f t="shared" si="302"/>
        <v>1</v>
      </c>
      <c r="W487">
        <f t="shared" ca="1" si="303"/>
        <v>2064</v>
      </c>
      <c r="X487" s="123">
        <f t="shared" ca="1" si="285"/>
        <v>59902</v>
      </c>
      <c r="Y487" s="64">
        <f t="shared" ca="1" si="286"/>
        <v>0</v>
      </c>
      <c r="Z487" s="64">
        <f t="shared" ca="1" si="287"/>
        <v>0</v>
      </c>
      <c r="AA487" s="64">
        <f t="shared" ca="1" si="288"/>
        <v>0</v>
      </c>
      <c r="AB487" s="64">
        <f t="shared" ca="1" si="289"/>
        <v>0</v>
      </c>
      <c r="AF487" t="str">
        <f t="shared" ca="1" si="269"/>
        <v>72004</v>
      </c>
      <c r="AG487" s="126">
        <f t="shared" ca="1" si="270"/>
        <v>0</v>
      </c>
      <c r="AH487" s="126">
        <f t="shared" ca="1" si="271"/>
        <v>0</v>
      </c>
      <c r="AI487" s="126">
        <f t="shared" ca="1" si="272"/>
        <v>0</v>
      </c>
      <c r="AJ487" t="str">
        <f t="shared" ca="1" si="273"/>
        <v>12064</v>
      </c>
      <c r="AK487" s="126">
        <f t="shared" ca="1" si="290"/>
        <v>0</v>
      </c>
      <c r="AL487" s="126">
        <f t="shared" ca="1" si="291"/>
        <v>0</v>
      </c>
      <c r="AM487" s="126">
        <f t="shared" ca="1" si="304"/>
        <v>0</v>
      </c>
      <c r="AN487" s="753">
        <f t="shared" ca="1" si="305"/>
        <v>0</v>
      </c>
      <c r="AO487" s="750">
        <f t="shared" ca="1" si="292"/>
        <v>0</v>
      </c>
      <c r="AP487" s="126">
        <f t="shared" ca="1" si="293"/>
        <v>0</v>
      </c>
      <c r="AQ487" s="126">
        <f t="shared" ca="1" si="294"/>
        <v>0</v>
      </c>
      <c r="AR487" s="126">
        <f t="shared" ca="1" si="274"/>
        <v>10000</v>
      </c>
      <c r="AS487" s="750">
        <f t="shared" ca="1" si="275"/>
        <v>0</v>
      </c>
      <c r="AT487" s="750">
        <f t="shared" ca="1" si="276"/>
        <v>0</v>
      </c>
      <c r="AU487" s="126">
        <f t="shared" ca="1" si="295"/>
        <v>0</v>
      </c>
      <c r="AV487" s="126">
        <f t="shared" ca="1" si="296"/>
        <v>0</v>
      </c>
      <c r="AW487" s="126">
        <f t="shared" ca="1" si="277"/>
        <v>10000</v>
      </c>
      <c r="AX487" s="750">
        <f t="shared" ca="1" si="297"/>
        <v>0</v>
      </c>
      <c r="AY487" s="750">
        <f t="shared" ca="1" si="298"/>
        <v>0</v>
      </c>
      <c r="AZ487">
        <f t="shared" si="299"/>
        <v>5750</v>
      </c>
    </row>
    <row r="488" spans="4:52">
      <c r="D488">
        <v>481</v>
      </c>
      <c r="E488" s="6">
        <f t="shared" ca="1" si="278"/>
        <v>38139</v>
      </c>
      <c r="F488" s="7">
        <f t="shared" ca="1" si="279"/>
        <v>0</v>
      </c>
      <c r="G488" s="125">
        <f ca="1">IF('Simulador - 1º Pilar'!$E$99="Sí",IF('Aportaciones PPE'!$B$13&lt;'Aportaciones PPE'!E488,0,F488*$B$8/12),F488*$B$8/12)</f>
        <v>0</v>
      </c>
      <c r="H488" s="125">
        <f t="shared" ca="1" si="268"/>
        <v>0</v>
      </c>
      <c r="I488" s="125">
        <f t="shared" ca="1" si="280"/>
        <v>0</v>
      </c>
      <c r="J488" s="125">
        <f t="shared" ca="1" si="281"/>
        <v>0</v>
      </c>
      <c r="K488" s="125">
        <f t="shared" ca="1" si="282"/>
        <v>0</v>
      </c>
      <c r="L488" s="125">
        <f t="shared" ca="1" si="300"/>
        <v>0</v>
      </c>
      <c r="M488" s="125">
        <f t="shared" ca="1" si="283"/>
        <v>0</v>
      </c>
      <c r="N488" s="125">
        <f t="shared" ca="1" si="284"/>
        <v>0</v>
      </c>
      <c r="R488">
        <f t="shared" si="301"/>
        <v>481</v>
      </c>
      <c r="U488" s="55"/>
      <c r="V488">
        <f t="shared" si="302"/>
        <v>2</v>
      </c>
      <c r="W488">
        <f t="shared" ca="1" si="303"/>
        <v>2064</v>
      </c>
      <c r="X488" s="123">
        <f t="shared" ca="1" si="285"/>
        <v>59933</v>
      </c>
      <c r="Y488" s="64">
        <f t="shared" ca="1" si="286"/>
        <v>0</v>
      </c>
      <c r="Z488" s="64">
        <f t="shared" ca="1" si="287"/>
        <v>0</v>
      </c>
      <c r="AA488" s="64">
        <f t="shared" ca="1" si="288"/>
        <v>0</v>
      </c>
      <c r="AB488" s="64">
        <f t="shared" ca="1" si="289"/>
        <v>0</v>
      </c>
      <c r="AF488" t="str">
        <f t="shared" ca="1" si="269"/>
        <v>62004</v>
      </c>
      <c r="AG488" s="126">
        <f t="shared" ca="1" si="270"/>
        <v>0</v>
      </c>
      <c r="AH488" s="126">
        <f t="shared" ca="1" si="271"/>
        <v>0</v>
      </c>
      <c r="AI488" s="126">
        <f t="shared" ca="1" si="272"/>
        <v>0</v>
      </c>
      <c r="AJ488" t="str">
        <f t="shared" ca="1" si="273"/>
        <v>22064</v>
      </c>
      <c r="AK488" s="126">
        <f t="shared" ca="1" si="290"/>
        <v>0</v>
      </c>
      <c r="AL488" s="126">
        <f t="shared" ca="1" si="291"/>
        <v>0</v>
      </c>
      <c r="AM488" s="126">
        <f t="shared" ca="1" si="304"/>
        <v>0</v>
      </c>
      <c r="AN488" s="753">
        <f t="shared" ca="1" si="305"/>
        <v>0</v>
      </c>
      <c r="AO488" s="750">
        <f t="shared" ca="1" si="292"/>
        <v>0</v>
      </c>
      <c r="AP488" s="126">
        <f t="shared" ca="1" si="293"/>
        <v>0</v>
      </c>
      <c r="AQ488" s="126">
        <f t="shared" ca="1" si="294"/>
        <v>0</v>
      </c>
      <c r="AR488" s="126">
        <f t="shared" ca="1" si="274"/>
        <v>10000</v>
      </c>
      <c r="AS488" s="750">
        <f t="shared" ca="1" si="275"/>
        <v>0</v>
      </c>
      <c r="AT488" s="750">
        <f t="shared" ca="1" si="276"/>
        <v>0</v>
      </c>
      <c r="AU488" s="126">
        <f t="shared" ca="1" si="295"/>
        <v>0</v>
      </c>
      <c r="AV488" s="126">
        <f t="shared" ca="1" si="296"/>
        <v>0</v>
      </c>
      <c r="AW488" s="126">
        <f t="shared" ca="1" si="277"/>
        <v>10000</v>
      </c>
      <c r="AX488" s="750">
        <f t="shared" ca="1" si="297"/>
        <v>0</v>
      </c>
      <c r="AY488" s="750">
        <f t="shared" ca="1" si="298"/>
        <v>0</v>
      </c>
      <c r="AZ488">
        <f t="shared" si="299"/>
        <v>5750</v>
      </c>
    </row>
    <row r="489" spans="4:52">
      <c r="D489">
        <v>482</v>
      </c>
      <c r="E489" s="6">
        <f t="shared" ca="1" si="278"/>
        <v>38108</v>
      </c>
      <c r="F489" s="7">
        <f t="shared" ca="1" si="279"/>
        <v>0</v>
      </c>
      <c r="G489" s="125">
        <f ca="1">IF('Simulador - 1º Pilar'!$E$99="Sí",IF('Aportaciones PPE'!$B$13&lt;'Aportaciones PPE'!E489,0,F489*$B$8/12),F489*$B$8/12)</f>
        <v>0</v>
      </c>
      <c r="H489" s="125">
        <f t="shared" ca="1" si="268"/>
        <v>0</v>
      </c>
      <c r="I489" s="125">
        <f t="shared" ca="1" si="280"/>
        <v>0</v>
      </c>
      <c r="J489" s="125">
        <f t="shared" ca="1" si="281"/>
        <v>0</v>
      </c>
      <c r="K489" s="125">
        <f t="shared" ca="1" si="282"/>
        <v>0</v>
      </c>
      <c r="L489" s="125">
        <f t="shared" ca="1" si="300"/>
        <v>0</v>
      </c>
      <c r="M489" s="125">
        <f t="shared" ca="1" si="283"/>
        <v>0</v>
      </c>
      <c r="N489" s="125">
        <f t="shared" ca="1" si="284"/>
        <v>0</v>
      </c>
      <c r="R489">
        <f t="shared" si="301"/>
        <v>482</v>
      </c>
      <c r="U489" s="55"/>
      <c r="V489">
        <f t="shared" si="302"/>
        <v>3</v>
      </c>
      <c r="W489">
        <f t="shared" ca="1" si="303"/>
        <v>2064</v>
      </c>
      <c r="X489" s="123">
        <f t="shared" ca="1" si="285"/>
        <v>59962</v>
      </c>
      <c r="Y489" s="64">
        <f t="shared" ca="1" si="286"/>
        <v>0</v>
      </c>
      <c r="Z489" s="64">
        <f t="shared" ca="1" si="287"/>
        <v>0</v>
      </c>
      <c r="AA489" s="64">
        <f t="shared" ca="1" si="288"/>
        <v>0</v>
      </c>
      <c r="AB489" s="64">
        <f t="shared" ca="1" si="289"/>
        <v>0</v>
      </c>
      <c r="AF489" t="str">
        <f t="shared" ca="1" si="269"/>
        <v>52004</v>
      </c>
      <c r="AG489" s="126">
        <f t="shared" ca="1" si="270"/>
        <v>0</v>
      </c>
      <c r="AH489" s="126">
        <f t="shared" ca="1" si="271"/>
        <v>0</v>
      </c>
      <c r="AI489" s="126">
        <f t="shared" ca="1" si="272"/>
        <v>0</v>
      </c>
      <c r="AJ489" t="str">
        <f t="shared" ca="1" si="273"/>
        <v>32064</v>
      </c>
      <c r="AK489" s="126">
        <f t="shared" ca="1" si="290"/>
        <v>0</v>
      </c>
      <c r="AL489" s="126">
        <f t="shared" ca="1" si="291"/>
        <v>0</v>
      </c>
      <c r="AM489" s="126">
        <f t="shared" ca="1" si="304"/>
        <v>0</v>
      </c>
      <c r="AN489" s="753">
        <f t="shared" ca="1" si="305"/>
        <v>0</v>
      </c>
      <c r="AO489" s="750">
        <f t="shared" ca="1" si="292"/>
        <v>0</v>
      </c>
      <c r="AP489" s="126">
        <f t="shared" ca="1" si="293"/>
        <v>0</v>
      </c>
      <c r="AQ489" s="126">
        <f t="shared" ca="1" si="294"/>
        <v>0</v>
      </c>
      <c r="AR489" s="126">
        <f t="shared" ca="1" si="274"/>
        <v>10000</v>
      </c>
      <c r="AS489" s="750">
        <f t="shared" ca="1" si="275"/>
        <v>0</v>
      </c>
      <c r="AT489" s="750">
        <f t="shared" ca="1" si="276"/>
        <v>0</v>
      </c>
      <c r="AU489" s="126">
        <f t="shared" ca="1" si="295"/>
        <v>0</v>
      </c>
      <c r="AV489" s="126">
        <f t="shared" ca="1" si="296"/>
        <v>0</v>
      </c>
      <c r="AW489" s="126">
        <f t="shared" ca="1" si="277"/>
        <v>10000</v>
      </c>
      <c r="AX489" s="750">
        <f t="shared" ca="1" si="297"/>
        <v>0</v>
      </c>
      <c r="AY489" s="750">
        <f t="shared" ca="1" si="298"/>
        <v>0</v>
      </c>
      <c r="AZ489">
        <f t="shared" si="299"/>
        <v>5750</v>
      </c>
    </row>
    <row r="490" spans="4:52">
      <c r="D490">
        <v>483</v>
      </c>
      <c r="E490" s="6">
        <f t="shared" ca="1" si="278"/>
        <v>38078</v>
      </c>
      <c r="F490" s="7">
        <f t="shared" ca="1" si="279"/>
        <v>0</v>
      </c>
      <c r="G490" s="125">
        <f ca="1">IF('Simulador - 1º Pilar'!$E$99="Sí",IF('Aportaciones PPE'!$B$13&lt;'Aportaciones PPE'!E490,0,F490*$B$8/12),F490*$B$8/12)</f>
        <v>0</v>
      </c>
      <c r="H490" s="125">
        <f t="shared" ca="1" si="268"/>
        <v>0</v>
      </c>
      <c r="I490" s="125">
        <f t="shared" ca="1" si="280"/>
        <v>0</v>
      </c>
      <c r="J490" s="125">
        <f t="shared" ca="1" si="281"/>
        <v>0</v>
      </c>
      <c r="K490" s="125">
        <f t="shared" ca="1" si="282"/>
        <v>0</v>
      </c>
      <c r="L490" s="125">
        <f t="shared" ca="1" si="300"/>
        <v>0</v>
      </c>
      <c r="M490" s="125">
        <f t="shared" ca="1" si="283"/>
        <v>0</v>
      </c>
      <c r="N490" s="125">
        <f t="shared" ca="1" si="284"/>
        <v>0</v>
      </c>
      <c r="R490">
        <f t="shared" si="301"/>
        <v>483</v>
      </c>
      <c r="U490" s="55"/>
      <c r="V490">
        <f t="shared" si="302"/>
        <v>4</v>
      </c>
      <c r="W490">
        <f t="shared" ca="1" si="303"/>
        <v>2064</v>
      </c>
      <c r="X490" s="123">
        <f t="shared" ca="1" si="285"/>
        <v>59993</v>
      </c>
      <c r="Y490" s="64">
        <f t="shared" ca="1" si="286"/>
        <v>0</v>
      </c>
      <c r="Z490" s="64">
        <f t="shared" ca="1" si="287"/>
        <v>0</v>
      </c>
      <c r="AA490" s="64">
        <f t="shared" ca="1" si="288"/>
        <v>0</v>
      </c>
      <c r="AB490" s="64">
        <f t="shared" ca="1" si="289"/>
        <v>0</v>
      </c>
      <c r="AF490" t="str">
        <f t="shared" ca="1" si="269"/>
        <v>42004</v>
      </c>
      <c r="AG490" s="126">
        <f t="shared" ca="1" si="270"/>
        <v>0</v>
      </c>
      <c r="AH490" s="126">
        <f t="shared" ca="1" si="271"/>
        <v>0</v>
      </c>
      <c r="AI490" s="126">
        <f t="shared" ca="1" si="272"/>
        <v>0</v>
      </c>
      <c r="AJ490" t="str">
        <f t="shared" ca="1" si="273"/>
        <v>42064</v>
      </c>
      <c r="AK490" s="126">
        <f t="shared" ca="1" si="290"/>
        <v>0</v>
      </c>
      <c r="AL490" s="126">
        <f t="shared" ca="1" si="291"/>
        <v>0</v>
      </c>
      <c r="AM490" s="126">
        <f t="shared" ca="1" si="304"/>
        <v>0</v>
      </c>
      <c r="AN490" s="753">
        <f t="shared" ca="1" si="305"/>
        <v>0</v>
      </c>
      <c r="AO490" s="750">
        <f t="shared" ca="1" si="292"/>
        <v>0</v>
      </c>
      <c r="AP490" s="126">
        <f t="shared" ca="1" si="293"/>
        <v>0</v>
      </c>
      <c r="AQ490" s="126">
        <f t="shared" ca="1" si="294"/>
        <v>0</v>
      </c>
      <c r="AR490" s="126">
        <f t="shared" ca="1" si="274"/>
        <v>10000</v>
      </c>
      <c r="AS490" s="750">
        <f t="shared" ca="1" si="275"/>
        <v>0</v>
      </c>
      <c r="AT490" s="750">
        <f t="shared" ca="1" si="276"/>
        <v>0</v>
      </c>
      <c r="AU490" s="126">
        <f t="shared" ca="1" si="295"/>
        <v>0</v>
      </c>
      <c r="AV490" s="126">
        <f t="shared" ca="1" si="296"/>
        <v>0</v>
      </c>
      <c r="AW490" s="126">
        <f t="shared" ca="1" si="277"/>
        <v>10000</v>
      </c>
      <c r="AX490" s="750">
        <f t="shared" ca="1" si="297"/>
        <v>0</v>
      </c>
      <c r="AY490" s="750">
        <f t="shared" ca="1" si="298"/>
        <v>0</v>
      </c>
      <c r="AZ490">
        <f t="shared" si="299"/>
        <v>5750</v>
      </c>
    </row>
    <row r="491" spans="4:52">
      <c r="D491">
        <v>484</v>
      </c>
      <c r="E491" s="6">
        <f t="shared" ca="1" si="278"/>
        <v>38047</v>
      </c>
      <c r="F491" s="7">
        <f t="shared" ca="1" si="279"/>
        <v>0</v>
      </c>
      <c r="G491" s="125">
        <f ca="1">IF('Simulador - 1º Pilar'!$E$99="Sí",IF('Aportaciones PPE'!$B$13&lt;'Aportaciones PPE'!E491,0,F491*$B$8/12),F491*$B$8/12)</f>
        <v>0</v>
      </c>
      <c r="H491" s="125">
        <f t="shared" ca="1" si="268"/>
        <v>0</v>
      </c>
      <c r="I491" s="125">
        <f t="shared" ca="1" si="280"/>
        <v>0</v>
      </c>
      <c r="J491" s="125">
        <f t="shared" ca="1" si="281"/>
        <v>0</v>
      </c>
      <c r="K491" s="125">
        <f t="shared" ca="1" si="282"/>
        <v>0</v>
      </c>
      <c r="L491" s="125">
        <f t="shared" ca="1" si="300"/>
        <v>0</v>
      </c>
      <c r="M491" s="125">
        <f t="shared" ca="1" si="283"/>
        <v>0</v>
      </c>
      <c r="N491" s="125">
        <f t="shared" ca="1" si="284"/>
        <v>0</v>
      </c>
      <c r="R491">
        <f t="shared" si="301"/>
        <v>484</v>
      </c>
      <c r="U491" s="55"/>
      <c r="V491">
        <f t="shared" si="302"/>
        <v>5</v>
      </c>
      <c r="W491">
        <f t="shared" ca="1" si="303"/>
        <v>2064</v>
      </c>
      <c r="X491" s="123">
        <f t="shared" ca="1" si="285"/>
        <v>60023</v>
      </c>
      <c r="Y491" s="64">
        <f t="shared" ca="1" si="286"/>
        <v>0</v>
      </c>
      <c r="Z491" s="64">
        <f t="shared" ca="1" si="287"/>
        <v>0</v>
      </c>
      <c r="AA491" s="64">
        <f t="shared" ca="1" si="288"/>
        <v>0</v>
      </c>
      <c r="AB491" s="64">
        <f t="shared" ca="1" si="289"/>
        <v>0</v>
      </c>
      <c r="AF491" t="str">
        <f t="shared" ca="1" si="269"/>
        <v>32004</v>
      </c>
      <c r="AG491" s="126">
        <f t="shared" ca="1" si="270"/>
        <v>0</v>
      </c>
      <c r="AH491" s="126">
        <f t="shared" ca="1" si="271"/>
        <v>0</v>
      </c>
      <c r="AI491" s="126">
        <f t="shared" ca="1" si="272"/>
        <v>0</v>
      </c>
      <c r="AJ491" t="str">
        <f t="shared" ca="1" si="273"/>
        <v>52064</v>
      </c>
      <c r="AK491" s="126">
        <f t="shared" ca="1" si="290"/>
        <v>0</v>
      </c>
      <c r="AL491" s="126">
        <f t="shared" ca="1" si="291"/>
        <v>0</v>
      </c>
      <c r="AM491" s="126">
        <f t="shared" ca="1" si="304"/>
        <v>0</v>
      </c>
      <c r="AN491" s="753">
        <f t="shared" ca="1" si="305"/>
        <v>0</v>
      </c>
      <c r="AO491" s="750">
        <f t="shared" ca="1" si="292"/>
        <v>0</v>
      </c>
      <c r="AP491" s="126">
        <f t="shared" ca="1" si="293"/>
        <v>0</v>
      </c>
      <c r="AQ491" s="126">
        <f t="shared" ca="1" si="294"/>
        <v>0</v>
      </c>
      <c r="AR491" s="126">
        <f t="shared" ca="1" si="274"/>
        <v>10000</v>
      </c>
      <c r="AS491" s="750">
        <f t="shared" ca="1" si="275"/>
        <v>0</v>
      </c>
      <c r="AT491" s="750">
        <f t="shared" ca="1" si="276"/>
        <v>0</v>
      </c>
      <c r="AU491" s="126">
        <f t="shared" ca="1" si="295"/>
        <v>0</v>
      </c>
      <c r="AV491" s="126">
        <f t="shared" ca="1" si="296"/>
        <v>0</v>
      </c>
      <c r="AW491" s="126">
        <f t="shared" ca="1" si="277"/>
        <v>10000</v>
      </c>
      <c r="AX491" s="750">
        <f t="shared" ca="1" si="297"/>
        <v>0</v>
      </c>
      <c r="AY491" s="750">
        <f t="shared" ca="1" si="298"/>
        <v>0</v>
      </c>
      <c r="AZ491">
        <f t="shared" si="299"/>
        <v>5750</v>
      </c>
    </row>
    <row r="492" spans="4:52">
      <c r="D492">
        <v>485</v>
      </c>
      <c r="E492" s="6">
        <f t="shared" ca="1" si="278"/>
        <v>38018</v>
      </c>
      <c r="F492" s="7">
        <f t="shared" ca="1" si="279"/>
        <v>0</v>
      </c>
      <c r="G492" s="125">
        <f ca="1">IF('Simulador - 1º Pilar'!$E$99="Sí",IF('Aportaciones PPE'!$B$13&lt;'Aportaciones PPE'!E492,0,F492*$B$8/12),F492*$B$8/12)</f>
        <v>0</v>
      </c>
      <c r="H492" s="125">
        <f t="shared" ca="1" si="268"/>
        <v>0</v>
      </c>
      <c r="I492" s="125">
        <f t="shared" ca="1" si="280"/>
        <v>0</v>
      </c>
      <c r="J492" s="125">
        <f t="shared" ca="1" si="281"/>
        <v>0</v>
      </c>
      <c r="K492" s="125">
        <f t="shared" ca="1" si="282"/>
        <v>0</v>
      </c>
      <c r="L492" s="125">
        <f t="shared" ca="1" si="300"/>
        <v>0</v>
      </c>
      <c r="M492" s="125">
        <f t="shared" ca="1" si="283"/>
        <v>0</v>
      </c>
      <c r="N492" s="125">
        <f t="shared" ca="1" si="284"/>
        <v>0</v>
      </c>
      <c r="R492">
        <f t="shared" si="301"/>
        <v>485</v>
      </c>
      <c r="U492" s="55"/>
      <c r="V492">
        <f t="shared" si="302"/>
        <v>6</v>
      </c>
      <c r="W492">
        <f t="shared" ca="1" si="303"/>
        <v>2064</v>
      </c>
      <c r="X492" s="123">
        <f t="shared" ca="1" si="285"/>
        <v>60054</v>
      </c>
      <c r="Y492" s="64">
        <f t="shared" ca="1" si="286"/>
        <v>0</v>
      </c>
      <c r="Z492" s="64">
        <f t="shared" ca="1" si="287"/>
        <v>0</v>
      </c>
      <c r="AA492" s="64">
        <f t="shared" ca="1" si="288"/>
        <v>0</v>
      </c>
      <c r="AB492" s="64">
        <f t="shared" ca="1" si="289"/>
        <v>0</v>
      </c>
      <c r="AF492" t="str">
        <f t="shared" ca="1" si="269"/>
        <v>22004</v>
      </c>
      <c r="AG492" s="126">
        <f t="shared" ca="1" si="270"/>
        <v>0</v>
      </c>
      <c r="AH492" s="126">
        <f t="shared" ca="1" si="271"/>
        <v>0</v>
      </c>
      <c r="AI492" s="126">
        <f t="shared" ca="1" si="272"/>
        <v>0</v>
      </c>
      <c r="AJ492" t="str">
        <f t="shared" ca="1" si="273"/>
        <v>62064</v>
      </c>
      <c r="AK492" s="126">
        <f t="shared" ca="1" si="290"/>
        <v>0</v>
      </c>
      <c r="AL492" s="126">
        <f t="shared" ca="1" si="291"/>
        <v>0</v>
      </c>
      <c r="AM492" s="126">
        <f t="shared" ca="1" si="304"/>
        <v>0</v>
      </c>
      <c r="AN492" s="753">
        <f t="shared" ca="1" si="305"/>
        <v>0</v>
      </c>
      <c r="AO492" s="750">
        <f t="shared" ca="1" si="292"/>
        <v>0</v>
      </c>
      <c r="AP492" s="126">
        <f t="shared" ca="1" si="293"/>
        <v>0</v>
      </c>
      <c r="AQ492" s="126">
        <f t="shared" ca="1" si="294"/>
        <v>0</v>
      </c>
      <c r="AR492" s="126">
        <f t="shared" ca="1" si="274"/>
        <v>10000</v>
      </c>
      <c r="AS492" s="750">
        <f t="shared" ca="1" si="275"/>
        <v>0</v>
      </c>
      <c r="AT492" s="750">
        <f t="shared" ca="1" si="276"/>
        <v>0</v>
      </c>
      <c r="AU492" s="126">
        <f t="shared" ca="1" si="295"/>
        <v>0</v>
      </c>
      <c r="AV492" s="126">
        <f t="shared" ca="1" si="296"/>
        <v>0</v>
      </c>
      <c r="AW492" s="126">
        <f t="shared" ca="1" si="277"/>
        <v>10000</v>
      </c>
      <c r="AX492" s="750">
        <f t="shared" ca="1" si="297"/>
        <v>0</v>
      </c>
      <c r="AY492" s="750">
        <f t="shared" ca="1" si="298"/>
        <v>0</v>
      </c>
      <c r="AZ492">
        <f t="shared" si="299"/>
        <v>5750</v>
      </c>
    </row>
    <row r="493" spans="4:52">
      <c r="D493">
        <v>486</v>
      </c>
      <c r="E493" s="6">
        <f t="shared" ca="1" si="278"/>
        <v>37987</v>
      </c>
      <c r="F493" s="7">
        <f t="shared" ca="1" si="279"/>
        <v>0</v>
      </c>
      <c r="G493" s="125">
        <f ca="1">IF('Simulador - 1º Pilar'!$E$99="Sí",IF('Aportaciones PPE'!$B$13&lt;'Aportaciones PPE'!E493,0,F493*$B$8/12),F493*$B$8/12)</f>
        <v>0</v>
      </c>
      <c r="H493" s="125">
        <f t="shared" ca="1" si="268"/>
        <v>0</v>
      </c>
      <c r="I493" s="125">
        <f t="shared" ca="1" si="280"/>
        <v>0</v>
      </c>
      <c r="J493" s="125">
        <f t="shared" ca="1" si="281"/>
        <v>0</v>
      </c>
      <c r="K493" s="125">
        <f t="shared" ca="1" si="282"/>
        <v>0</v>
      </c>
      <c r="L493" s="125">
        <f t="shared" ca="1" si="300"/>
        <v>0</v>
      </c>
      <c r="M493" s="125">
        <f t="shared" ca="1" si="283"/>
        <v>0</v>
      </c>
      <c r="N493" s="125">
        <f t="shared" ca="1" si="284"/>
        <v>0</v>
      </c>
      <c r="R493">
        <f t="shared" si="301"/>
        <v>486</v>
      </c>
      <c r="U493" s="55"/>
      <c r="V493">
        <f t="shared" si="302"/>
        <v>7</v>
      </c>
      <c r="W493">
        <f t="shared" ca="1" si="303"/>
        <v>2064</v>
      </c>
      <c r="X493" s="123">
        <f t="shared" ca="1" si="285"/>
        <v>60084</v>
      </c>
      <c r="Y493" s="64">
        <f t="shared" ca="1" si="286"/>
        <v>0</v>
      </c>
      <c r="Z493" s="64">
        <f t="shared" ca="1" si="287"/>
        <v>0</v>
      </c>
      <c r="AA493" s="64">
        <f t="shared" ca="1" si="288"/>
        <v>0</v>
      </c>
      <c r="AB493" s="64">
        <f t="shared" ca="1" si="289"/>
        <v>0</v>
      </c>
      <c r="AF493" t="str">
        <f t="shared" ca="1" si="269"/>
        <v>12004</v>
      </c>
      <c r="AG493" s="126">
        <f t="shared" ca="1" si="270"/>
        <v>0</v>
      </c>
      <c r="AH493" s="126">
        <f t="shared" ca="1" si="271"/>
        <v>0</v>
      </c>
      <c r="AI493" s="126">
        <f t="shared" ca="1" si="272"/>
        <v>0</v>
      </c>
      <c r="AJ493" t="str">
        <f t="shared" ca="1" si="273"/>
        <v>72064</v>
      </c>
      <c r="AK493" s="126">
        <f t="shared" ca="1" si="290"/>
        <v>0</v>
      </c>
      <c r="AL493" s="126">
        <f t="shared" ca="1" si="291"/>
        <v>0</v>
      </c>
      <c r="AM493" s="126">
        <f t="shared" ca="1" si="304"/>
        <v>0</v>
      </c>
      <c r="AN493" s="753">
        <f t="shared" ca="1" si="305"/>
        <v>0</v>
      </c>
      <c r="AO493" s="750">
        <f t="shared" ca="1" si="292"/>
        <v>0</v>
      </c>
      <c r="AP493" s="126">
        <f t="shared" ca="1" si="293"/>
        <v>0</v>
      </c>
      <c r="AQ493" s="126">
        <f t="shared" ca="1" si="294"/>
        <v>0</v>
      </c>
      <c r="AR493" s="126">
        <f t="shared" ca="1" si="274"/>
        <v>10000</v>
      </c>
      <c r="AS493" s="750">
        <f t="shared" ca="1" si="275"/>
        <v>0</v>
      </c>
      <c r="AT493" s="750">
        <f t="shared" ca="1" si="276"/>
        <v>0</v>
      </c>
      <c r="AU493" s="126">
        <f t="shared" ca="1" si="295"/>
        <v>0</v>
      </c>
      <c r="AV493" s="126">
        <f t="shared" ca="1" si="296"/>
        <v>0</v>
      </c>
      <c r="AW493" s="126">
        <f t="shared" ca="1" si="277"/>
        <v>10000</v>
      </c>
      <c r="AX493" s="750">
        <f t="shared" ca="1" si="297"/>
        <v>0</v>
      </c>
      <c r="AY493" s="750">
        <f t="shared" ca="1" si="298"/>
        <v>0</v>
      </c>
      <c r="AZ493">
        <f t="shared" si="299"/>
        <v>5750</v>
      </c>
    </row>
    <row r="494" spans="4:52">
      <c r="D494">
        <v>487</v>
      </c>
      <c r="E494" s="6">
        <f t="shared" ca="1" si="278"/>
        <v>37956</v>
      </c>
      <c r="F494" s="7">
        <f t="shared" ca="1" si="279"/>
        <v>0</v>
      </c>
      <c r="G494" s="125">
        <f ca="1">IF('Simulador - 1º Pilar'!$E$99="Sí",IF('Aportaciones PPE'!$B$13&lt;'Aportaciones PPE'!E494,0,F494*$B$8/12),F494*$B$8/12)</f>
        <v>0</v>
      </c>
      <c r="H494" s="125">
        <f t="shared" ca="1" si="268"/>
        <v>0</v>
      </c>
      <c r="I494" s="125">
        <f t="shared" ca="1" si="280"/>
        <v>0</v>
      </c>
      <c r="J494" s="125">
        <f t="shared" ca="1" si="281"/>
        <v>0</v>
      </c>
      <c r="K494" s="125">
        <f t="shared" ca="1" si="282"/>
        <v>0</v>
      </c>
      <c r="L494" s="125">
        <f t="shared" ca="1" si="300"/>
        <v>0</v>
      </c>
      <c r="M494" s="125">
        <f t="shared" ca="1" si="283"/>
        <v>0</v>
      </c>
      <c r="N494" s="125">
        <f t="shared" ca="1" si="284"/>
        <v>0</v>
      </c>
      <c r="R494">
        <f t="shared" si="301"/>
        <v>487</v>
      </c>
      <c r="U494" s="55"/>
      <c r="V494">
        <f t="shared" si="302"/>
        <v>8</v>
      </c>
      <c r="W494">
        <f t="shared" ca="1" si="303"/>
        <v>2064</v>
      </c>
      <c r="X494" s="123">
        <f t="shared" ca="1" si="285"/>
        <v>60115</v>
      </c>
      <c r="Y494" s="64">
        <f t="shared" ca="1" si="286"/>
        <v>0</v>
      </c>
      <c r="Z494" s="64">
        <f t="shared" ca="1" si="287"/>
        <v>0</v>
      </c>
      <c r="AA494" s="64">
        <f t="shared" ca="1" si="288"/>
        <v>0</v>
      </c>
      <c r="AB494" s="64">
        <f t="shared" ca="1" si="289"/>
        <v>0</v>
      </c>
      <c r="AF494" t="str">
        <f t="shared" ca="1" si="269"/>
        <v>122003</v>
      </c>
      <c r="AG494" s="126">
        <f t="shared" ca="1" si="270"/>
        <v>0</v>
      </c>
      <c r="AH494" s="126">
        <f t="shared" ca="1" si="271"/>
        <v>0</v>
      </c>
      <c r="AI494" s="126">
        <f t="shared" ca="1" si="272"/>
        <v>0</v>
      </c>
      <c r="AJ494" t="str">
        <f t="shared" ca="1" si="273"/>
        <v>82064</v>
      </c>
      <c r="AK494" s="126">
        <f t="shared" ca="1" si="290"/>
        <v>0</v>
      </c>
      <c r="AL494" s="126">
        <f t="shared" ca="1" si="291"/>
        <v>0</v>
      </c>
      <c r="AM494" s="126">
        <f t="shared" ca="1" si="304"/>
        <v>0</v>
      </c>
      <c r="AN494" s="753">
        <f t="shared" ca="1" si="305"/>
        <v>0</v>
      </c>
      <c r="AO494" s="750">
        <f t="shared" ca="1" si="292"/>
        <v>0</v>
      </c>
      <c r="AP494" s="126">
        <f t="shared" ca="1" si="293"/>
        <v>0</v>
      </c>
      <c r="AQ494" s="126">
        <f t="shared" ca="1" si="294"/>
        <v>0</v>
      </c>
      <c r="AR494" s="126">
        <f t="shared" ca="1" si="274"/>
        <v>10000</v>
      </c>
      <c r="AS494" s="750">
        <f t="shared" ca="1" si="275"/>
        <v>0</v>
      </c>
      <c r="AT494" s="750">
        <f t="shared" ca="1" si="276"/>
        <v>0</v>
      </c>
      <c r="AU494" s="126">
        <f t="shared" ca="1" si="295"/>
        <v>0</v>
      </c>
      <c r="AV494" s="126">
        <f t="shared" ca="1" si="296"/>
        <v>0</v>
      </c>
      <c r="AW494" s="126">
        <f t="shared" ca="1" si="277"/>
        <v>10000</v>
      </c>
      <c r="AX494" s="750">
        <f t="shared" ca="1" si="297"/>
        <v>0</v>
      </c>
      <c r="AY494" s="750">
        <f t="shared" ca="1" si="298"/>
        <v>0</v>
      </c>
      <c r="AZ494">
        <f t="shared" si="299"/>
        <v>5750</v>
      </c>
    </row>
    <row r="495" spans="4:52">
      <c r="D495">
        <v>488</v>
      </c>
      <c r="E495" s="6">
        <f t="shared" ca="1" si="278"/>
        <v>37926</v>
      </c>
      <c r="F495" s="7">
        <f t="shared" ca="1" si="279"/>
        <v>0</v>
      </c>
      <c r="G495" s="125">
        <f ca="1">IF('Simulador - 1º Pilar'!$E$99="Sí",IF('Aportaciones PPE'!$B$13&lt;'Aportaciones PPE'!E495,0,F495*$B$8/12),F495*$B$8/12)</f>
        <v>0</v>
      </c>
      <c r="H495" s="125">
        <f t="shared" ca="1" si="268"/>
        <v>0</v>
      </c>
      <c r="I495" s="125">
        <f t="shared" ca="1" si="280"/>
        <v>0</v>
      </c>
      <c r="J495" s="125">
        <f t="shared" ca="1" si="281"/>
        <v>0</v>
      </c>
      <c r="K495" s="125">
        <f t="shared" ca="1" si="282"/>
        <v>0</v>
      </c>
      <c r="L495" s="125">
        <f t="shared" ca="1" si="300"/>
        <v>0</v>
      </c>
      <c r="M495" s="125">
        <f t="shared" ca="1" si="283"/>
        <v>0</v>
      </c>
      <c r="N495" s="125">
        <f t="shared" ca="1" si="284"/>
        <v>0</v>
      </c>
      <c r="R495">
        <f t="shared" si="301"/>
        <v>488</v>
      </c>
      <c r="U495" s="55"/>
      <c r="V495">
        <f t="shared" si="302"/>
        <v>9</v>
      </c>
      <c r="W495">
        <f t="shared" ca="1" si="303"/>
        <v>2064</v>
      </c>
      <c r="X495" s="123">
        <f t="shared" ca="1" si="285"/>
        <v>60146</v>
      </c>
      <c r="Y495" s="64">
        <f t="shared" ca="1" si="286"/>
        <v>0</v>
      </c>
      <c r="Z495" s="64">
        <f t="shared" ca="1" si="287"/>
        <v>0</v>
      </c>
      <c r="AA495" s="64">
        <f t="shared" ca="1" si="288"/>
        <v>0</v>
      </c>
      <c r="AB495" s="64">
        <f t="shared" ca="1" si="289"/>
        <v>0</v>
      </c>
      <c r="AF495" t="str">
        <f t="shared" ca="1" si="269"/>
        <v>112003</v>
      </c>
      <c r="AG495" s="126">
        <f t="shared" ca="1" si="270"/>
        <v>0</v>
      </c>
      <c r="AH495" s="126">
        <f t="shared" ca="1" si="271"/>
        <v>0</v>
      </c>
      <c r="AI495" s="126">
        <f t="shared" ca="1" si="272"/>
        <v>0</v>
      </c>
      <c r="AJ495" t="str">
        <f t="shared" ca="1" si="273"/>
        <v>92064</v>
      </c>
      <c r="AK495" s="126">
        <f t="shared" ca="1" si="290"/>
        <v>0</v>
      </c>
      <c r="AL495" s="126">
        <f t="shared" ca="1" si="291"/>
        <v>0</v>
      </c>
      <c r="AM495" s="126">
        <f t="shared" ca="1" si="304"/>
        <v>0</v>
      </c>
      <c r="AN495" s="753">
        <f t="shared" ca="1" si="305"/>
        <v>0</v>
      </c>
      <c r="AO495" s="750">
        <f t="shared" ca="1" si="292"/>
        <v>0</v>
      </c>
      <c r="AP495" s="126">
        <f t="shared" ca="1" si="293"/>
        <v>0</v>
      </c>
      <c r="AQ495" s="126">
        <f t="shared" ca="1" si="294"/>
        <v>0</v>
      </c>
      <c r="AR495" s="126">
        <f t="shared" ca="1" si="274"/>
        <v>10000</v>
      </c>
      <c r="AS495" s="750">
        <f t="shared" ca="1" si="275"/>
        <v>0</v>
      </c>
      <c r="AT495" s="750">
        <f t="shared" ca="1" si="276"/>
        <v>0</v>
      </c>
      <c r="AU495" s="126">
        <f t="shared" ca="1" si="295"/>
        <v>0</v>
      </c>
      <c r="AV495" s="126">
        <f t="shared" ca="1" si="296"/>
        <v>0</v>
      </c>
      <c r="AW495" s="126">
        <f t="shared" ca="1" si="277"/>
        <v>10000</v>
      </c>
      <c r="AX495" s="750">
        <f t="shared" ca="1" si="297"/>
        <v>0</v>
      </c>
      <c r="AY495" s="750">
        <f t="shared" ca="1" si="298"/>
        <v>0</v>
      </c>
      <c r="AZ495">
        <f t="shared" si="299"/>
        <v>5750</v>
      </c>
    </row>
    <row r="496" spans="4:52">
      <c r="D496">
        <v>489</v>
      </c>
      <c r="E496" s="6">
        <f t="shared" ca="1" si="278"/>
        <v>37895</v>
      </c>
      <c r="F496" s="7">
        <f t="shared" ca="1" si="279"/>
        <v>0</v>
      </c>
      <c r="G496" s="125">
        <f ca="1">IF('Simulador - 1º Pilar'!$E$99="Sí",IF('Aportaciones PPE'!$B$13&lt;'Aportaciones PPE'!E496,0,F496*$B$8/12),F496*$B$8/12)</f>
        <v>0</v>
      </c>
      <c r="H496" s="125">
        <f t="shared" ca="1" si="268"/>
        <v>0</v>
      </c>
      <c r="I496" s="125">
        <f t="shared" ca="1" si="280"/>
        <v>0</v>
      </c>
      <c r="J496" s="125">
        <f t="shared" ca="1" si="281"/>
        <v>0</v>
      </c>
      <c r="K496" s="125">
        <f t="shared" ca="1" si="282"/>
        <v>0</v>
      </c>
      <c r="L496" s="125">
        <f t="shared" ca="1" si="300"/>
        <v>0</v>
      </c>
      <c r="M496" s="125">
        <f t="shared" ca="1" si="283"/>
        <v>0</v>
      </c>
      <c r="N496" s="125">
        <f t="shared" ca="1" si="284"/>
        <v>0</v>
      </c>
      <c r="R496">
        <f t="shared" si="301"/>
        <v>489</v>
      </c>
      <c r="U496" s="55"/>
      <c r="V496">
        <f t="shared" si="302"/>
        <v>10</v>
      </c>
      <c r="W496">
        <f t="shared" ca="1" si="303"/>
        <v>2064</v>
      </c>
      <c r="X496" s="123">
        <f t="shared" ca="1" si="285"/>
        <v>60176</v>
      </c>
      <c r="Y496" s="64">
        <f t="shared" ca="1" si="286"/>
        <v>0</v>
      </c>
      <c r="Z496" s="64">
        <f t="shared" ca="1" si="287"/>
        <v>0</v>
      </c>
      <c r="AA496" s="64">
        <f t="shared" ca="1" si="288"/>
        <v>0</v>
      </c>
      <c r="AB496" s="64">
        <f t="shared" ca="1" si="289"/>
        <v>0</v>
      </c>
      <c r="AF496" t="str">
        <f t="shared" ca="1" si="269"/>
        <v>102003</v>
      </c>
      <c r="AG496" s="126">
        <f t="shared" ca="1" si="270"/>
        <v>0</v>
      </c>
      <c r="AH496" s="126">
        <f t="shared" ca="1" si="271"/>
        <v>0</v>
      </c>
      <c r="AI496" s="126">
        <f t="shared" ca="1" si="272"/>
        <v>0</v>
      </c>
      <c r="AJ496" t="str">
        <f t="shared" ca="1" si="273"/>
        <v>102064</v>
      </c>
      <c r="AK496" s="126">
        <f t="shared" ca="1" si="290"/>
        <v>0</v>
      </c>
      <c r="AL496" s="126">
        <f t="shared" ca="1" si="291"/>
        <v>0</v>
      </c>
      <c r="AM496" s="126">
        <f t="shared" ca="1" si="304"/>
        <v>0</v>
      </c>
      <c r="AN496" s="753">
        <f t="shared" ca="1" si="305"/>
        <v>0</v>
      </c>
      <c r="AO496" s="750">
        <f t="shared" ca="1" si="292"/>
        <v>0</v>
      </c>
      <c r="AP496" s="126">
        <f t="shared" ca="1" si="293"/>
        <v>0</v>
      </c>
      <c r="AQ496" s="126">
        <f t="shared" ca="1" si="294"/>
        <v>0</v>
      </c>
      <c r="AR496" s="126">
        <f t="shared" ca="1" si="274"/>
        <v>10000</v>
      </c>
      <c r="AS496" s="750">
        <f t="shared" ca="1" si="275"/>
        <v>0</v>
      </c>
      <c r="AT496" s="750">
        <f t="shared" ca="1" si="276"/>
        <v>0</v>
      </c>
      <c r="AU496" s="126">
        <f t="shared" ca="1" si="295"/>
        <v>0</v>
      </c>
      <c r="AV496" s="126">
        <f t="shared" ca="1" si="296"/>
        <v>0</v>
      </c>
      <c r="AW496" s="126">
        <f t="shared" ca="1" si="277"/>
        <v>10000</v>
      </c>
      <c r="AX496" s="750">
        <f t="shared" ca="1" si="297"/>
        <v>0</v>
      </c>
      <c r="AY496" s="750">
        <f t="shared" ca="1" si="298"/>
        <v>0</v>
      </c>
      <c r="AZ496">
        <f t="shared" si="299"/>
        <v>5750</v>
      </c>
    </row>
    <row r="497" spans="4:52">
      <c r="D497">
        <v>490</v>
      </c>
      <c r="E497" s="6">
        <f t="shared" ca="1" si="278"/>
        <v>37865</v>
      </c>
      <c r="F497" s="7">
        <f t="shared" ca="1" si="279"/>
        <v>0</v>
      </c>
      <c r="G497" s="125">
        <f ca="1">IF('Simulador - 1º Pilar'!$E$99="Sí",IF('Aportaciones PPE'!$B$13&lt;'Aportaciones PPE'!E497,0,F497*$B$8/12),F497*$B$8/12)</f>
        <v>0</v>
      </c>
      <c r="H497" s="125">
        <f t="shared" ca="1" si="268"/>
        <v>0</v>
      </c>
      <c r="I497" s="125">
        <f t="shared" ca="1" si="280"/>
        <v>0</v>
      </c>
      <c r="J497" s="125">
        <f t="shared" ca="1" si="281"/>
        <v>0</v>
      </c>
      <c r="K497" s="125">
        <f t="shared" ca="1" si="282"/>
        <v>0</v>
      </c>
      <c r="L497" s="125">
        <f t="shared" ca="1" si="300"/>
        <v>0</v>
      </c>
      <c r="M497" s="125">
        <f t="shared" ca="1" si="283"/>
        <v>0</v>
      </c>
      <c r="N497" s="125">
        <f t="shared" ca="1" si="284"/>
        <v>0</v>
      </c>
      <c r="R497">
        <f t="shared" si="301"/>
        <v>490</v>
      </c>
      <c r="U497" s="55"/>
      <c r="V497">
        <f t="shared" si="302"/>
        <v>11</v>
      </c>
      <c r="W497">
        <f t="shared" ca="1" si="303"/>
        <v>2064</v>
      </c>
      <c r="X497" s="123">
        <f t="shared" ca="1" si="285"/>
        <v>60207</v>
      </c>
      <c r="Y497" s="64">
        <f t="shared" ca="1" si="286"/>
        <v>0</v>
      </c>
      <c r="Z497" s="64">
        <f t="shared" ca="1" si="287"/>
        <v>0</v>
      </c>
      <c r="AA497" s="64">
        <f t="shared" ca="1" si="288"/>
        <v>0</v>
      </c>
      <c r="AB497" s="64">
        <f t="shared" ca="1" si="289"/>
        <v>0</v>
      </c>
      <c r="AF497" t="str">
        <f t="shared" ca="1" si="269"/>
        <v>92003</v>
      </c>
      <c r="AG497" s="126">
        <f t="shared" ca="1" si="270"/>
        <v>0</v>
      </c>
      <c r="AH497" s="126">
        <f t="shared" ca="1" si="271"/>
        <v>0</v>
      </c>
      <c r="AI497" s="126">
        <f t="shared" ca="1" si="272"/>
        <v>0</v>
      </c>
      <c r="AJ497" t="str">
        <f t="shared" ca="1" si="273"/>
        <v>112064</v>
      </c>
      <c r="AK497" s="126">
        <f t="shared" ca="1" si="290"/>
        <v>0</v>
      </c>
      <c r="AL497" s="126">
        <f t="shared" ca="1" si="291"/>
        <v>0</v>
      </c>
      <c r="AM497" s="126">
        <f t="shared" ca="1" si="304"/>
        <v>0</v>
      </c>
      <c r="AN497" s="753">
        <f t="shared" ca="1" si="305"/>
        <v>0</v>
      </c>
      <c r="AO497" s="750">
        <f t="shared" ca="1" si="292"/>
        <v>0</v>
      </c>
      <c r="AP497" s="126">
        <f t="shared" ca="1" si="293"/>
        <v>0</v>
      </c>
      <c r="AQ497" s="126">
        <f t="shared" ca="1" si="294"/>
        <v>0</v>
      </c>
      <c r="AR497" s="126">
        <f t="shared" ca="1" si="274"/>
        <v>10000</v>
      </c>
      <c r="AS497" s="750">
        <f t="shared" ca="1" si="275"/>
        <v>0</v>
      </c>
      <c r="AT497" s="750">
        <f t="shared" ca="1" si="276"/>
        <v>0</v>
      </c>
      <c r="AU497" s="126">
        <f t="shared" ca="1" si="295"/>
        <v>0</v>
      </c>
      <c r="AV497" s="126">
        <f t="shared" ca="1" si="296"/>
        <v>0</v>
      </c>
      <c r="AW497" s="126">
        <f t="shared" ca="1" si="277"/>
        <v>10000</v>
      </c>
      <c r="AX497" s="750">
        <f t="shared" ca="1" si="297"/>
        <v>0</v>
      </c>
      <c r="AY497" s="750">
        <f t="shared" ca="1" si="298"/>
        <v>0</v>
      </c>
      <c r="AZ497">
        <f t="shared" si="299"/>
        <v>5750</v>
      </c>
    </row>
    <row r="498" spans="4:52">
      <c r="D498">
        <v>491</v>
      </c>
      <c r="E498" s="6">
        <f t="shared" ca="1" si="278"/>
        <v>37834</v>
      </c>
      <c r="F498" s="7">
        <f t="shared" ca="1" si="279"/>
        <v>0</v>
      </c>
      <c r="G498" s="125">
        <f ca="1">IF('Simulador - 1º Pilar'!$E$99="Sí",IF('Aportaciones PPE'!$B$13&lt;'Aportaciones PPE'!E498,0,F498*$B$8/12),F498*$B$8/12)</f>
        <v>0</v>
      </c>
      <c r="H498" s="125">
        <f t="shared" ca="1" si="268"/>
        <v>0</v>
      </c>
      <c r="I498" s="125">
        <f t="shared" ca="1" si="280"/>
        <v>0</v>
      </c>
      <c r="J498" s="125">
        <f t="shared" ca="1" si="281"/>
        <v>0</v>
      </c>
      <c r="K498" s="125">
        <f t="shared" ca="1" si="282"/>
        <v>0</v>
      </c>
      <c r="L498" s="125">
        <f t="shared" ca="1" si="300"/>
        <v>0</v>
      </c>
      <c r="M498" s="125">
        <f t="shared" ca="1" si="283"/>
        <v>0</v>
      </c>
      <c r="N498" s="125">
        <f t="shared" ca="1" si="284"/>
        <v>0</v>
      </c>
      <c r="R498">
        <f t="shared" si="301"/>
        <v>491</v>
      </c>
      <c r="U498" s="55"/>
      <c r="V498">
        <f t="shared" si="302"/>
        <v>12</v>
      </c>
      <c r="W498">
        <f t="shared" ca="1" si="303"/>
        <v>2064</v>
      </c>
      <c r="X498" s="123">
        <f t="shared" ca="1" si="285"/>
        <v>60237</v>
      </c>
      <c r="Y498" s="64">
        <f t="shared" ca="1" si="286"/>
        <v>0</v>
      </c>
      <c r="Z498" s="64">
        <f t="shared" ca="1" si="287"/>
        <v>0</v>
      </c>
      <c r="AA498" s="64">
        <f t="shared" ca="1" si="288"/>
        <v>0</v>
      </c>
      <c r="AB498" s="64">
        <f t="shared" ca="1" si="289"/>
        <v>0</v>
      </c>
      <c r="AF498" t="str">
        <f t="shared" ca="1" si="269"/>
        <v>82003</v>
      </c>
      <c r="AG498" s="126">
        <f t="shared" ca="1" si="270"/>
        <v>0</v>
      </c>
      <c r="AH498" s="126">
        <f t="shared" ca="1" si="271"/>
        <v>0</v>
      </c>
      <c r="AI498" s="126">
        <f t="shared" ca="1" si="272"/>
        <v>0</v>
      </c>
      <c r="AJ498" t="str">
        <f t="shared" ca="1" si="273"/>
        <v>122064</v>
      </c>
      <c r="AK498" s="126">
        <f t="shared" ca="1" si="290"/>
        <v>0</v>
      </c>
      <c r="AL498" s="126">
        <f t="shared" ca="1" si="291"/>
        <v>0</v>
      </c>
      <c r="AM498" s="126">
        <f t="shared" ca="1" si="304"/>
        <v>0</v>
      </c>
      <c r="AN498" s="753">
        <f t="shared" ca="1" si="305"/>
        <v>0</v>
      </c>
      <c r="AO498" s="750">
        <f t="shared" ca="1" si="292"/>
        <v>0</v>
      </c>
      <c r="AP498" s="126">
        <f t="shared" ca="1" si="293"/>
        <v>0</v>
      </c>
      <c r="AQ498" s="126">
        <f t="shared" ca="1" si="294"/>
        <v>0</v>
      </c>
      <c r="AR498" s="126">
        <f t="shared" ca="1" si="274"/>
        <v>10000</v>
      </c>
      <c r="AS498" s="750">
        <f t="shared" ca="1" si="275"/>
        <v>0</v>
      </c>
      <c r="AT498" s="750">
        <f t="shared" ca="1" si="276"/>
        <v>0</v>
      </c>
      <c r="AU498" s="126">
        <f t="shared" ca="1" si="295"/>
        <v>0</v>
      </c>
      <c r="AV498" s="126">
        <f t="shared" ca="1" si="296"/>
        <v>0</v>
      </c>
      <c r="AW498" s="126">
        <f t="shared" ca="1" si="277"/>
        <v>10000</v>
      </c>
      <c r="AX498" s="750">
        <f t="shared" ca="1" si="297"/>
        <v>0</v>
      </c>
      <c r="AY498" s="750">
        <f t="shared" ca="1" si="298"/>
        <v>0</v>
      </c>
      <c r="AZ498">
        <f t="shared" si="299"/>
        <v>5750</v>
      </c>
    </row>
    <row r="499" spans="4:52">
      <c r="D499">
        <v>492</v>
      </c>
      <c r="E499" s="6">
        <f t="shared" ca="1" si="278"/>
        <v>37803</v>
      </c>
      <c r="F499" s="7">
        <f t="shared" ca="1" si="279"/>
        <v>0</v>
      </c>
      <c r="G499" s="125">
        <f ca="1">IF('Simulador - 1º Pilar'!$E$99="Sí",IF('Aportaciones PPE'!$B$13&lt;'Aportaciones PPE'!E499,0,F499*$B$8/12),F499*$B$8/12)</f>
        <v>0</v>
      </c>
      <c r="H499" s="125">
        <f t="shared" ca="1" si="268"/>
        <v>0</v>
      </c>
      <c r="I499" s="125">
        <f t="shared" ca="1" si="280"/>
        <v>0</v>
      </c>
      <c r="J499" s="125">
        <f t="shared" ca="1" si="281"/>
        <v>0</v>
      </c>
      <c r="K499" s="125">
        <f t="shared" ca="1" si="282"/>
        <v>0</v>
      </c>
      <c r="L499" s="125">
        <f t="shared" ca="1" si="300"/>
        <v>0</v>
      </c>
      <c r="M499" s="125">
        <f t="shared" ca="1" si="283"/>
        <v>0</v>
      </c>
      <c r="N499" s="125">
        <f t="shared" ca="1" si="284"/>
        <v>0</v>
      </c>
      <c r="R499">
        <f t="shared" si="301"/>
        <v>492</v>
      </c>
      <c r="U499" s="55"/>
      <c r="V499">
        <f t="shared" si="302"/>
        <v>1</v>
      </c>
      <c r="W499">
        <f t="shared" ca="1" si="303"/>
        <v>2065</v>
      </c>
      <c r="X499" s="123">
        <f t="shared" ca="1" si="285"/>
        <v>60268</v>
      </c>
      <c r="Y499" s="64">
        <f t="shared" ca="1" si="286"/>
        <v>0</v>
      </c>
      <c r="Z499" s="64">
        <f t="shared" ca="1" si="287"/>
        <v>0</v>
      </c>
      <c r="AA499" s="64">
        <f t="shared" ca="1" si="288"/>
        <v>0</v>
      </c>
      <c r="AB499" s="64">
        <f t="shared" ca="1" si="289"/>
        <v>0</v>
      </c>
      <c r="AF499" t="str">
        <f t="shared" ca="1" si="269"/>
        <v>72003</v>
      </c>
      <c r="AG499" s="126">
        <f t="shared" ca="1" si="270"/>
        <v>0</v>
      </c>
      <c r="AH499" s="126">
        <f t="shared" ca="1" si="271"/>
        <v>0</v>
      </c>
      <c r="AI499" s="126">
        <f t="shared" ca="1" si="272"/>
        <v>0</v>
      </c>
      <c r="AJ499" t="str">
        <f t="shared" ca="1" si="273"/>
        <v>12065</v>
      </c>
      <c r="AK499" s="126">
        <f t="shared" ca="1" si="290"/>
        <v>0</v>
      </c>
      <c r="AL499" s="126">
        <f t="shared" ca="1" si="291"/>
        <v>0</v>
      </c>
      <c r="AM499" s="126">
        <f t="shared" ca="1" si="304"/>
        <v>0</v>
      </c>
      <c r="AN499" s="753">
        <f t="shared" ca="1" si="305"/>
        <v>0</v>
      </c>
      <c r="AO499" s="750">
        <f t="shared" ca="1" si="292"/>
        <v>0</v>
      </c>
      <c r="AP499" s="126">
        <f t="shared" ca="1" si="293"/>
        <v>0</v>
      </c>
      <c r="AQ499" s="126">
        <f t="shared" ca="1" si="294"/>
        <v>0</v>
      </c>
      <c r="AR499" s="126">
        <f t="shared" ca="1" si="274"/>
        <v>10000</v>
      </c>
      <c r="AS499" s="750">
        <f t="shared" ca="1" si="275"/>
        <v>0</v>
      </c>
      <c r="AT499" s="750">
        <f t="shared" ca="1" si="276"/>
        <v>0</v>
      </c>
      <c r="AU499" s="126">
        <f t="shared" ca="1" si="295"/>
        <v>0</v>
      </c>
      <c r="AV499" s="126">
        <f t="shared" ca="1" si="296"/>
        <v>0</v>
      </c>
      <c r="AW499" s="126">
        <f t="shared" ca="1" si="277"/>
        <v>10000</v>
      </c>
      <c r="AX499" s="750">
        <f t="shared" ca="1" si="297"/>
        <v>0</v>
      </c>
      <c r="AY499" s="750">
        <f t="shared" ca="1" si="298"/>
        <v>0</v>
      </c>
      <c r="AZ499">
        <f t="shared" si="299"/>
        <v>5750</v>
      </c>
    </row>
    <row r="500" spans="4:52">
      <c r="D500">
        <v>493</v>
      </c>
      <c r="E500" s="6">
        <f t="shared" ca="1" si="278"/>
        <v>37773</v>
      </c>
      <c r="F500" s="7">
        <f t="shared" ca="1" si="279"/>
        <v>0</v>
      </c>
      <c r="G500" s="125">
        <f ca="1">IF('Simulador - 1º Pilar'!$E$99="Sí",IF('Aportaciones PPE'!$B$13&lt;'Aportaciones PPE'!E500,0,F500*$B$8/12),F500*$B$8/12)</f>
        <v>0</v>
      </c>
      <c r="H500" s="125">
        <f t="shared" ca="1" si="268"/>
        <v>0</v>
      </c>
      <c r="I500" s="125">
        <f t="shared" ca="1" si="280"/>
        <v>0</v>
      </c>
      <c r="J500" s="125">
        <f t="shared" ca="1" si="281"/>
        <v>0</v>
      </c>
      <c r="K500" s="125">
        <f t="shared" ca="1" si="282"/>
        <v>0</v>
      </c>
      <c r="L500" s="125">
        <f t="shared" ca="1" si="300"/>
        <v>0</v>
      </c>
      <c r="M500" s="125">
        <f t="shared" ca="1" si="283"/>
        <v>0</v>
      </c>
      <c r="N500" s="125">
        <f t="shared" ca="1" si="284"/>
        <v>0</v>
      </c>
      <c r="R500">
        <f t="shared" si="301"/>
        <v>493</v>
      </c>
      <c r="U500" s="55"/>
      <c r="V500">
        <f t="shared" si="302"/>
        <v>2</v>
      </c>
      <c r="W500">
        <f t="shared" ca="1" si="303"/>
        <v>2065</v>
      </c>
      <c r="X500" s="123">
        <f t="shared" ca="1" si="285"/>
        <v>60299</v>
      </c>
      <c r="Y500" s="64">
        <f t="shared" ca="1" si="286"/>
        <v>0</v>
      </c>
      <c r="Z500" s="64">
        <f t="shared" ca="1" si="287"/>
        <v>0</v>
      </c>
      <c r="AA500" s="64">
        <f t="shared" ca="1" si="288"/>
        <v>0</v>
      </c>
      <c r="AB500" s="64">
        <f t="shared" ca="1" si="289"/>
        <v>0</v>
      </c>
      <c r="AF500" t="str">
        <f t="shared" ca="1" si="269"/>
        <v>62003</v>
      </c>
      <c r="AG500" s="126">
        <f t="shared" ca="1" si="270"/>
        <v>0</v>
      </c>
      <c r="AH500" s="126">
        <f t="shared" ca="1" si="271"/>
        <v>0</v>
      </c>
      <c r="AI500" s="126">
        <f t="shared" ca="1" si="272"/>
        <v>0</v>
      </c>
      <c r="AJ500" t="str">
        <f t="shared" ca="1" si="273"/>
        <v>22065</v>
      </c>
      <c r="AK500" s="126">
        <f t="shared" ca="1" si="290"/>
        <v>0</v>
      </c>
      <c r="AL500" s="126">
        <f t="shared" ca="1" si="291"/>
        <v>0</v>
      </c>
      <c r="AM500" s="126">
        <f t="shared" ca="1" si="304"/>
        <v>0</v>
      </c>
      <c r="AN500" s="753">
        <f t="shared" ca="1" si="305"/>
        <v>0</v>
      </c>
      <c r="AO500" s="750">
        <f t="shared" ca="1" si="292"/>
        <v>0</v>
      </c>
      <c r="AP500" s="126">
        <f t="shared" ca="1" si="293"/>
        <v>0</v>
      </c>
      <c r="AQ500" s="126">
        <f t="shared" ca="1" si="294"/>
        <v>0</v>
      </c>
      <c r="AR500" s="126">
        <f t="shared" ca="1" si="274"/>
        <v>10000</v>
      </c>
      <c r="AS500" s="750">
        <f t="shared" ca="1" si="275"/>
        <v>0</v>
      </c>
      <c r="AT500" s="750">
        <f t="shared" ca="1" si="276"/>
        <v>0</v>
      </c>
      <c r="AU500" s="126">
        <f t="shared" ca="1" si="295"/>
        <v>0</v>
      </c>
      <c r="AV500" s="126">
        <f t="shared" ca="1" si="296"/>
        <v>0</v>
      </c>
      <c r="AW500" s="126">
        <f t="shared" ca="1" si="277"/>
        <v>10000</v>
      </c>
      <c r="AX500" s="750">
        <f t="shared" ca="1" si="297"/>
        <v>0</v>
      </c>
      <c r="AY500" s="750">
        <f t="shared" ca="1" si="298"/>
        <v>0</v>
      </c>
      <c r="AZ500">
        <f t="shared" si="299"/>
        <v>5750</v>
      </c>
    </row>
    <row r="501" spans="4:52">
      <c r="D501">
        <v>494</v>
      </c>
      <c r="E501" s="6">
        <f t="shared" ca="1" si="278"/>
        <v>37742</v>
      </c>
      <c r="F501" s="7">
        <f t="shared" ca="1" si="279"/>
        <v>0</v>
      </c>
      <c r="G501" s="125">
        <f ca="1">IF('Simulador - 1º Pilar'!$E$99="Sí",IF('Aportaciones PPE'!$B$13&lt;'Aportaciones PPE'!E501,0,F501*$B$8/12),F501*$B$8/12)</f>
        <v>0</v>
      </c>
      <c r="H501" s="125">
        <f t="shared" ca="1" si="268"/>
        <v>0</v>
      </c>
      <c r="I501" s="125">
        <f t="shared" ca="1" si="280"/>
        <v>0</v>
      </c>
      <c r="J501" s="125">
        <f t="shared" ca="1" si="281"/>
        <v>0</v>
      </c>
      <c r="K501" s="125">
        <f t="shared" ca="1" si="282"/>
        <v>0</v>
      </c>
      <c r="L501" s="125">
        <f t="shared" ca="1" si="300"/>
        <v>0</v>
      </c>
      <c r="M501" s="125">
        <f t="shared" ca="1" si="283"/>
        <v>0</v>
      </c>
      <c r="N501" s="125">
        <f t="shared" ca="1" si="284"/>
        <v>0</v>
      </c>
      <c r="R501">
        <f t="shared" si="301"/>
        <v>494</v>
      </c>
      <c r="U501" s="55"/>
      <c r="V501">
        <f t="shared" si="302"/>
        <v>3</v>
      </c>
      <c r="W501">
        <f t="shared" ca="1" si="303"/>
        <v>2065</v>
      </c>
      <c r="X501" s="123">
        <f t="shared" ca="1" si="285"/>
        <v>60327</v>
      </c>
      <c r="Y501" s="64">
        <f t="shared" ca="1" si="286"/>
        <v>0</v>
      </c>
      <c r="Z501" s="64">
        <f t="shared" ca="1" si="287"/>
        <v>0</v>
      </c>
      <c r="AA501" s="64">
        <f t="shared" ca="1" si="288"/>
        <v>0</v>
      </c>
      <c r="AB501" s="64">
        <f t="shared" ca="1" si="289"/>
        <v>0</v>
      </c>
      <c r="AF501" t="str">
        <f t="shared" ca="1" si="269"/>
        <v>52003</v>
      </c>
      <c r="AG501" s="126">
        <f t="shared" ca="1" si="270"/>
        <v>0</v>
      </c>
      <c r="AH501" s="126">
        <f t="shared" ca="1" si="271"/>
        <v>0</v>
      </c>
      <c r="AI501" s="126">
        <f t="shared" ca="1" si="272"/>
        <v>0</v>
      </c>
      <c r="AJ501" t="str">
        <f t="shared" ca="1" si="273"/>
        <v>32065</v>
      </c>
      <c r="AK501" s="126">
        <f t="shared" ca="1" si="290"/>
        <v>0</v>
      </c>
      <c r="AL501" s="126">
        <f t="shared" ca="1" si="291"/>
        <v>0</v>
      </c>
      <c r="AM501" s="126">
        <f t="shared" ca="1" si="304"/>
        <v>0</v>
      </c>
      <c r="AN501" s="753">
        <f t="shared" ca="1" si="305"/>
        <v>0</v>
      </c>
      <c r="AO501" s="750">
        <f t="shared" ca="1" si="292"/>
        <v>0</v>
      </c>
      <c r="AP501" s="126">
        <f t="shared" ca="1" si="293"/>
        <v>0</v>
      </c>
      <c r="AQ501" s="126">
        <f t="shared" ca="1" si="294"/>
        <v>0</v>
      </c>
      <c r="AR501" s="126">
        <f t="shared" ca="1" si="274"/>
        <v>10000</v>
      </c>
      <c r="AS501" s="750">
        <f t="shared" ca="1" si="275"/>
        <v>0</v>
      </c>
      <c r="AT501" s="750">
        <f t="shared" ca="1" si="276"/>
        <v>0</v>
      </c>
      <c r="AU501" s="126">
        <f t="shared" ca="1" si="295"/>
        <v>0</v>
      </c>
      <c r="AV501" s="126">
        <f t="shared" ca="1" si="296"/>
        <v>0</v>
      </c>
      <c r="AW501" s="126">
        <f t="shared" ca="1" si="277"/>
        <v>10000</v>
      </c>
      <c r="AX501" s="750">
        <f t="shared" ca="1" si="297"/>
        <v>0</v>
      </c>
      <c r="AY501" s="750">
        <f t="shared" ca="1" si="298"/>
        <v>0</v>
      </c>
      <c r="AZ501">
        <f t="shared" si="299"/>
        <v>5750</v>
      </c>
    </row>
    <row r="502" spans="4:52">
      <c r="D502">
        <v>495</v>
      </c>
      <c r="E502" s="6">
        <f t="shared" ca="1" si="278"/>
        <v>37712</v>
      </c>
      <c r="F502" s="7">
        <f t="shared" ca="1" si="279"/>
        <v>0</v>
      </c>
      <c r="G502" s="125">
        <f ca="1">IF('Simulador - 1º Pilar'!$E$99="Sí",IF('Aportaciones PPE'!$B$13&lt;'Aportaciones PPE'!E502,0,F502*$B$8/12),F502*$B$8/12)</f>
        <v>0</v>
      </c>
      <c r="H502" s="125">
        <f t="shared" ca="1" si="268"/>
        <v>0</v>
      </c>
      <c r="I502" s="125">
        <f t="shared" ca="1" si="280"/>
        <v>0</v>
      </c>
      <c r="J502" s="125">
        <f t="shared" ca="1" si="281"/>
        <v>0</v>
      </c>
      <c r="K502" s="125">
        <f t="shared" ca="1" si="282"/>
        <v>0</v>
      </c>
      <c r="L502" s="125">
        <f t="shared" ca="1" si="300"/>
        <v>0</v>
      </c>
      <c r="M502" s="125">
        <f t="shared" ca="1" si="283"/>
        <v>0</v>
      </c>
      <c r="N502" s="125">
        <f t="shared" ca="1" si="284"/>
        <v>0</v>
      </c>
      <c r="R502">
        <f t="shared" si="301"/>
        <v>495</v>
      </c>
      <c r="U502" s="55"/>
      <c r="V502">
        <f t="shared" si="302"/>
        <v>4</v>
      </c>
      <c r="W502">
        <f t="shared" ca="1" si="303"/>
        <v>2065</v>
      </c>
      <c r="X502" s="123">
        <f t="shared" ca="1" si="285"/>
        <v>60358</v>
      </c>
      <c r="Y502" s="64">
        <f t="shared" ca="1" si="286"/>
        <v>0</v>
      </c>
      <c r="Z502" s="64">
        <f t="shared" ca="1" si="287"/>
        <v>0</v>
      </c>
      <c r="AA502" s="64">
        <f t="shared" ca="1" si="288"/>
        <v>0</v>
      </c>
      <c r="AB502" s="64">
        <f t="shared" ca="1" si="289"/>
        <v>0</v>
      </c>
      <c r="AF502" t="str">
        <f t="shared" ca="1" si="269"/>
        <v>42003</v>
      </c>
      <c r="AG502" s="126">
        <f t="shared" ca="1" si="270"/>
        <v>0</v>
      </c>
      <c r="AH502" s="126">
        <f t="shared" ca="1" si="271"/>
        <v>0</v>
      </c>
      <c r="AI502" s="126">
        <f t="shared" ca="1" si="272"/>
        <v>0</v>
      </c>
      <c r="AJ502" t="str">
        <f t="shared" ca="1" si="273"/>
        <v>42065</v>
      </c>
      <c r="AK502" s="126">
        <f t="shared" ca="1" si="290"/>
        <v>0</v>
      </c>
      <c r="AL502" s="126">
        <f t="shared" ca="1" si="291"/>
        <v>0</v>
      </c>
      <c r="AM502" s="126">
        <f t="shared" ca="1" si="304"/>
        <v>0</v>
      </c>
      <c r="AN502" s="753">
        <f t="shared" ca="1" si="305"/>
        <v>0</v>
      </c>
      <c r="AO502" s="750">
        <f t="shared" ca="1" si="292"/>
        <v>0</v>
      </c>
      <c r="AP502" s="126">
        <f t="shared" ca="1" si="293"/>
        <v>0</v>
      </c>
      <c r="AQ502" s="126">
        <f t="shared" ca="1" si="294"/>
        <v>0</v>
      </c>
      <c r="AR502" s="126">
        <f t="shared" ca="1" si="274"/>
        <v>10000</v>
      </c>
      <c r="AS502" s="750">
        <f t="shared" ca="1" si="275"/>
        <v>0</v>
      </c>
      <c r="AT502" s="750">
        <f t="shared" ca="1" si="276"/>
        <v>0</v>
      </c>
      <c r="AU502" s="126">
        <f t="shared" ca="1" si="295"/>
        <v>0</v>
      </c>
      <c r="AV502" s="126">
        <f t="shared" ca="1" si="296"/>
        <v>0</v>
      </c>
      <c r="AW502" s="126">
        <f t="shared" ca="1" si="277"/>
        <v>10000</v>
      </c>
      <c r="AX502" s="750">
        <f t="shared" ca="1" si="297"/>
        <v>0</v>
      </c>
      <c r="AY502" s="750">
        <f t="shared" ca="1" si="298"/>
        <v>0</v>
      </c>
      <c r="AZ502">
        <f t="shared" si="299"/>
        <v>5750</v>
      </c>
    </row>
    <row r="503" spans="4:52">
      <c r="D503">
        <v>496</v>
      </c>
      <c r="E503" s="6">
        <f t="shared" ca="1" si="278"/>
        <v>37681</v>
      </c>
      <c r="F503" s="7">
        <f t="shared" ca="1" si="279"/>
        <v>0</v>
      </c>
      <c r="G503" s="125">
        <f ca="1">IF('Simulador - 1º Pilar'!$E$99="Sí",IF('Aportaciones PPE'!$B$13&lt;'Aportaciones PPE'!E503,0,F503*$B$8/12),F503*$B$8/12)</f>
        <v>0</v>
      </c>
      <c r="H503" s="125">
        <f t="shared" ca="1" si="268"/>
        <v>0</v>
      </c>
      <c r="I503" s="125">
        <f t="shared" ca="1" si="280"/>
        <v>0</v>
      </c>
      <c r="J503" s="125">
        <f t="shared" ca="1" si="281"/>
        <v>0</v>
      </c>
      <c r="K503" s="125">
        <f t="shared" ca="1" si="282"/>
        <v>0</v>
      </c>
      <c r="L503" s="125">
        <f t="shared" ca="1" si="300"/>
        <v>0</v>
      </c>
      <c r="M503" s="125">
        <f t="shared" ca="1" si="283"/>
        <v>0</v>
      </c>
      <c r="N503" s="125">
        <f t="shared" ca="1" si="284"/>
        <v>0</v>
      </c>
      <c r="R503">
        <f t="shared" si="301"/>
        <v>496</v>
      </c>
      <c r="U503" s="55"/>
      <c r="V503">
        <f t="shared" si="302"/>
        <v>5</v>
      </c>
      <c r="W503">
        <f t="shared" ca="1" si="303"/>
        <v>2065</v>
      </c>
      <c r="X503" s="123">
        <f t="shared" ca="1" si="285"/>
        <v>60388</v>
      </c>
      <c r="Y503" s="64">
        <f t="shared" ca="1" si="286"/>
        <v>0</v>
      </c>
      <c r="Z503" s="64">
        <f t="shared" ca="1" si="287"/>
        <v>0</v>
      </c>
      <c r="AA503" s="64">
        <f t="shared" ca="1" si="288"/>
        <v>0</v>
      </c>
      <c r="AB503" s="64">
        <f t="shared" ca="1" si="289"/>
        <v>0</v>
      </c>
      <c r="AF503" t="str">
        <f t="shared" ca="1" si="269"/>
        <v>32003</v>
      </c>
      <c r="AG503" s="126">
        <f t="shared" ca="1" si="270"/>
        <v>0</v>
      </c>
      <c r="AH503" s="126">
        <f t="shared" ca="1" si="271"/>
        <v>0</v>
      </c>
      <c r="AI503" s="126">
        <f t="shared" ca="1" si="272"/>
        <v>0</v>
      </c>
      <c r="AJ503" t="str">
        <f t="shared" ca="1" si="273"/>
        <v>52065</v>
      </c>
      <c r="AK503" s="126">
        <f t="shared" ca="1" si="290"/>
        <v>0</v>
      </c>
      <c r="AL503" s="126">
        <f t="shared" ca="1" si="291"/>
        <v>0</v>
      </c>
      <c r="AM503" s="126">
        <f t="shared" ca="1" si="304"/>
        <v>0</v>
      </c>
      <c r="AN503" s="753">
        <f t="shared" ca="1" si="305"/>
        <v>0</v>
      </c>
      <c r="AO503" s="750">
        <f t="shared" ca="1" si="292"/>
        <v>0</v>
      </c>
      <c r="AP503" s="126">
        <f t="shared" ca="1" si="293"/>
        <v>0</v>
      </c>
      <c r="AQ503" s="126">
        <f t="shared" ca="1" si="294"/>
        <v>0</v>
      </c>
      <c r="AR503" s="126">
        <f t="shared" ca="1" si="274"/>
        <v>10000</v>
      </c>
      <c r="AS503" s="750">
        <f t="shared" ca="1" si="275"/>
        <v>0</v>
      </c>
      <c r="AT503" s="750">
        <f t="shared" ca="1" si="276"/>
        <v>0</v>
      </c>
      <c r="AU503" s="126">
        <f t="shared" ca="1" si="295"/>
        <v>0</v>
      </c>
      <c r="AV503" s="126">
        <f t="shared" ca="1" si="296"/>
        <v>0</v>
      </c>
      <c r="AW503" s="126">
        <f t="shared" ca="1" si="277"/>
        <v>10000</v>
      </c>
      <c r="AX503" s="750">
        <f t="shared" ca="1" si="297"/>
        <v>0</v>
      </c>
      <c r="AY503" s="750">
        <f t="shared" ca="1" si="298"/>
        <v>0</v>
      </c>
      <c r="AZ503">
        <f t="shared" si="299"/>
        <v>5750</v>
      </c>
    </row>
    <row r="504" spans="4:52">
      <c r="D504">
        <v>497</v>
      </c>
      <c r="E504" s="6">
        <f t="shared" ca="1" si="278"/>
        <v>37653</v>
      </c>
      <c r="F504" s="7">
        <f t="shared" ca="1" si="279"/>
        <v>0</v>
      </c>
      <c r="G504" s="125">
        <f ca="1">IF('Simulador - 1º Pilar'!$E$99="Sí",IF('Aportaciones PPE'!$B$13&lt;'Aportaciones PPE'!E504,0,F504*$B$8/12),F504*$B$8/12)</f>
        <v>0</v>
      </c>
      <c r="H504" s="125">
        <f t="shared" ca="1" si="268"/>
        <v>0</v>
      </c>
      <c r="I504" s="125">
        <f t="shared" ca="1" si="280"/>
        <v>0</v>
      </c>
      <c r="J504" s="125">
        <f t="shared" ca="1" si="281"/>
        <v>0</v>
      </c>
      <c r="K504" s="125">
        <f t="shared" ca="1" si="282"/>
        <v>0</v>
      </c>
      <c r="L504" s="125">
        <f t="shared" ca="1" si="300"/>
        <v>0</v>
      </c>
      <c r="M504" s="125">
        <f t="shared" ca="1" si="283"/>
        <v>0</v>
      </c>
      <c r="N504" s="125">
        <f t="shared" ca="1" si="284"/>
        <v>0</v>
      </c>
      <c r="R504">
        <f t="shared" si="301"/>
        <v>497</v>
      </c>
      <c r="U504" s="55"/>
      <c r="V504">
        <f t="shared" si="302"/>
        <v>6</v>
      </c>
      <c r="W504">
        <f t="shared" ca="1" si="303"/>
        <v>2065</v>
      </c>
      <c r="X504" s="123">
        <f t="shared" ca="1" si="285"/>
        <v>60419</v>
      </c>
      <c r="Y504" s="64">
        <f t="shared" ca="1" si="286"/>
        <v>0</v>
      </c>
      <c r="Z504" s="64">
        <f t="shared" ca="1" si="287"/>
        <v>0</v>
      </c>
      <c r="AA504" s="64">
        <f t="shared" ca="1" si="288"/>
        <v>0</v>
      </c>
      <c r="AB504" s="64">
        <f t="shared" ca="1" si="289"/>
        <v>0</v>
      </c>
      <c r="AF504" t="str">
        <f t="shared" ca="1" si="269"/>
        <v>22003</v>
      </c>
      <c r="AG504" s="126">
        <f t="shared" ca="1" si="270"/>
        <v>0</v>
      </c>
      <c r="AH504" s="126">
        <f t="shared" ca="1" si="271"/>
        <v>0</v>
      </c>
      <c r="AI504" s="126">
        <f t="shared" ca="1" si="272"/>
        <v>0</v>
      </c>
      <c r="AJ504" t="str">
        <f t="shared" ca="1" si="273"/>
        <v>62065</v>
      </c>
      <c r="AK504" s="126">
        <f t="shared" ca="1" si="290"/>
        <v>0</v>
      </c>
      <c r="AL504" s="126">
        <f t="shared" ca="1" si="291"/>
        <v>0</v>
      </c>
      <c r="AM504" s="126">
        <f t="shared" ca="1" si="304"/>
        <v>0</v>
      </c>
      <c r="AN504" s="753">
        <f t="shared" ca="1" si="305"/>
        <v>0</v>
      </c>
      <c r="AO504" s="750">
        <f t="shared" ca="1" si="292"/>
        <v>0</v>
      </c>
      <c r="AP504" s="126">
        <f t="shared" ca="1" si="293"/>
        <v>0</v>
      </c>
      <c r="AQ504" s="126">
        <f t="shared" ca="1" si="294"/>
        <v>0</v>
      </c>
      <c r="AR504" s="126">
        <f t="shared" ca="1" si="274"/>
        <v>10000</v>
      </c>
      <c r="AS504" s="750">
        <f t="shared" ca="1" si="275"/>
        <v>0</v>
      </c>
      <c r="AT504" s="750">
        <f t="shared" ca="1" si="276"/>
        <v>0</v>
      </c>
      <c r="AU504" s="126">
        <f t="shared" ca="1" si="295"/>
        <v>0</v>
      </c>
      <c r="AV504" s="126">
        <f t="shared" ca="1" si="296"/>
        <v>0</v>
      </c>
      <c r="AW504" s="126">
        <f t="shared" ca="1" si="277"/>
        <v>10000</v>
      </c>
      <c r="AX504" s="750">
        <f t="shared" ca="1" si="297"/>
        <v>0</v>
      </c>
      <c r="AY504" s="750">
        <f t="shared" ca="1" si="298"/>
        <v>0</v>
      </c>
      <c r="AZ504">
        <f t="shared" si="299"/>
        <v>5750</v>
      </c>
    </row>
    <row r="505" spans="4:52">
      <c r="D505">
        <v>498</v>
      </c>
      <c r="E505" s="6">
        <f t="shared" ca="1" si="278"/>
        <v>37622</v>
      </c>
      <c r="F505" s="7">
        <f t="shared" ca="1" si="279"/>
        <v>0</v>
      </c>
      <c r="G505" s="125">
        <f ca="1">IF('Simulador - 1º Pilar'!$E$99="Sí",IF('Aportaciones PPE'!$B$13&lt;'Aportaciones PPE'!E505,0,F505*$B$8/12),F505*$B$8/12)</f>
        <v>0</v>
      </c>
      <c r="H505" s="125">
        <f t="shared" ca="1" si="268"/>
        <v>0</v>
      </c>
      <c r="I505" s="125">
        <f t="shared" ca="1" si="280"/>
        <v>0</v>
      </c>
      <c r="J505" s="125">
        <f t="shared" ca="1" si="281"/>
        <v>0</v>
      </c>
      <c r="K505" s="125">
        <f t="shared" ca="1" si="282"/>
        <v>0</v>
      </c>
      <c r="L505" s="125">
        <f t="shared" ca="1" si="300"/>
        <v>0</v>
      </c>
      <c r="M505" s="125">
        <f t="shared" ca="1" si="283"/>
        <v>0</v>
      </c>
      <c r="N505" s="125">
        <f t="shared" ca="1" si="284"/>
        <v>0</v>
      </c>
      <c r="R505">
        <f t="shared" si="301"/>
        <v>498</v>
      </c>
      <c r="U505" s="55"/>
      <c r="V505">
        <f t="shared" si="302"/>
        <v>7</v>
      </c>
      <c r="W505">
        <f t="shared" ca="1" si="303"/>
        <v>2065</v>
      </c>
      <c r="X505" s="123">
        <f t="shared" ca="1" si="285"/>
        <v>60449</v>
      </c>
      <c r="Y505" s="64">
        <f t="shared" ca="1" si="286"/>
        <v>0</v>
      </c>
      <c r="Z505" s="64">
        <f t="shared" ca="1" si="287"/>
        <v>0</v>
      </c>
      <c r="AA505" s="64">
        <f t="shared" ca="1" si="288"/>
        <v>0</v>
      </c>
      <c r="AB505" s="64">
        <f t="shared" ca="1" si="289"/>
        <v>0</v>
      </c>
      <c r="AF505" t="str">
        <f t="shared" ca="1" si="269"/>
        <v>12003</v>
      </c>
      <c r="AG505" s="126">
        <f t="shared" ca="1" si="270"/>
        <v>0</v>
      </c>
      <c r="AH505" s="126">
        <f t="shared" ca="1" si="271"/>
        <v>0</v>
      </c>
      <c r="AI505" s="126">
        <f t="shared" ca="1" si="272"/>
        <v>0</v>
      </c>
      <c r="AJ505" t="str">
        <f t="shared" ca="1" si="273"/>
        <v>72065</v>
      </c>
      <c r="AK505" s="126">
        <f t="shared" ca="1" si="290"/>
        <v>0</v>
      </c>
      <c r="AL505" s="126">
        <f t="shared" ca="1" si="291"/>
        <v>0</v>
      </c>
      <c r="AM505" s="126">
        <f t="shared" ca="1" si="304"/>
        <v>0</v>
      </c>
      <c r="AN505" s="753">
        <f t="shared" ca="1" si="305"/>
        <v>0</v>
      </c>
      <c r="AO505" s="750">
        <f t="shared" ca="1" si="292"/>
        <v>0</v>
      </c>
      <c r="AP505" s="126">
        <f t="shared" ca="1" si="293"/>
        <v>0</v>
      </c>
      <c r="AQ505" s="126">
        <f t="shared" ca="1" si="294"/>
        <v>0</v>
      </c>
      <c r="AR505" s="126">
        <f t="shared" ca="1" si="274"/>
        <v>10000</v>
      </c>
      <c r="AS505" s="750">
        <f t="shared" ca="1" si="275"/>
        <v>0</v>
      </c>
      <c r="AT505" s="750">
        <f t="shared" ca="1" si="276"/>
        <v>0</v>
      </c>
      <c r="AU505" s="126">
        <f t="shared" ca="1" si="295"/>
        <v>0</v>
      </c>
      <c r="AV505" s="126">
        <f t="shared" ca="1" si="296"/>
        <v>0</v>
      </c>
      <c r="AW505" s="126">
        <f t="shared" ca="1" si="277"/>
        <v>10000</v>
      </c>
      <c r="AX505" s="750">
        <f t="shared" ca="1" si="297"/>
        <v>0</v>
      </c>
      <c r="AY505" s="750">
        <f t="shared" ca="1" si="298"/>
        <v>0</v>
      </c>
      <c r="AZ505">
        <f t="shared" si="299"/>
        <v>5750</v>
      </c>
    </row>
    <row r="506" spans="4:52">
      <c r="D506">
        <v>499</v>
      </c>
      <c r="E506" s="6">
        <f t="shared" ca="1" si="278"/>
        <v>37591</v>
      </c>
      <c r="F506" s="7">
        <f t="shared" ca="1" si="279"/>
        <v>0</v>
      </c>
      <c r="G506" s="125">
        <f ca="1">IF('Simulador - 1º Pilar'!$E$99="Sí",IF('Aportaciones PPE'!$B$13&lt;'Aportaciones PPE'!E506,0,F506*$B$8/12),F506*$B$8/12)</f>
        <v>0</v>
      </c>
      <c r="H506" s="125">
        <f t="shared" ca="1" si="268"/>
        <v>0</v>
      </c>
      <c r="I506" s="125">
        <f t="shared" ca="1" si="280"/>
        <v>0</v>
      </c>
      <c r="J506" s="125">
        <f t="shared" ca="1" si="281"/>
        <v>0</v>
      </c>
      <c r="K506" s="125">
        <f t="shared" ca="1" si="282"/>
        <v>0</v>
      </c>
      <c r="L506" s="125">
        <f t="shared" ca="1" si="300"/>
        <v>0</v>
      </c>
      <c r="M506" s="125">
        <f t="shared" ca="1" si="283"/>
        <v>0</v>
      </c>
      <c r="N506" s="125">
        <f t="shared" ca="1" si="284"/>
        <v>0</v>
      </c>
      <c r="R506">
        <f t="shared" si="301"/>
        <v>499</v>
      </c>
      <c r="U506" s="55"/>
      <c r="V506">
        <f t="shared" si="302"/>
        <v>8</v>
      </c>
      <c r="W506">
        <f t="shared" ca="1" si="303"/>
        <v>2065</v>
      </c>
      <c r="X506" s="123">
        <f t="shared" ca="1" si="285"/>
        <v>60480</v>
      </c>
      <c r="Y506" s="64">
        <f t="shared" ca="1" si="286"/>
        <v>0</v>
      </c>
      <c r="Z506" s="64">
        <f t="shared" ca="1" si="287"/>
        <v>0</v>
      </c>
      <c r="AA506" s="64">
        <f t="shared" ca="1" si="288"/>
        <v>0</v>
      </c>
      <c r="AB506" s="64">
        <f t="shared" ca="1" si="289"/>
        <v>0</v>
      </c>
      <c r="AF506" t="str">
        <f t="shared" ca="1" si="269"/>
        <v>122002</v>
      </c>
      <c r="AG506" s="126">
        <f t="shared" ca="1" si="270"/>
        <v>0</v>
      </c>
      <c r="AH506" s="126">
        <f t="shared" ca="1" si="271"/>
        <v>0</v>
      </c>
      <c r="AI506" s="126">
        <f t="shared" ca="1" si="272"/>
        <v>0</v>
      </c>
      <c r="AJ506" t="str">
        <f t="shared" ca="1" si="273"/>
        <v>82065</v>
      </c>
      <c r="AK506" s="126">
        <f t="shared" ca="1" si="290"/>
        <v>0</v>
      </c>
      <c r="AL506" s="126">
        <f t="shared" ca="1" si="291"/>
        <v>0</v>
      </c>
      <c r="AM506" s="126">
        <f t="shared" ca="1" si="304"/>
        <v>0</v>
      </c>
      <c r="AN506" s="753">
        <f t="shared" ca="1" si="305"/>
        <v>0</v>
      </c>
      <c r="AO506" s="750">
        <f t="shared" ca="1" si="292"/>
        <v>0</v>
      </c>
      <c r="AP506" s="126">
        <f t="shared" ca="1" si="293"/>
        <v>0</v>
      </c>
      <c r="AQ506" s="126">
        <f t="shared" ca="1" si="294"/>
        <v>0</v>
      </c>
      <c r="AR506" s="126">
        <f t="shared" ca="1" si="274"/>
        <v>10000</v>
      </c>
      <c r="AS506" s="750">
        <f t="shared" ca="1" si="275"/>
        <v>0</v>
      </c>
      <c r="AT506" s="750">
        <f t="shared" ca="1" si="276"/>
        <v>0</v>
      </c>
      <c r="AU506" s="126">
        <f t="shared" ca="1" si="295"/>
        <v>0</v>
      </c>
      <c r="AV506" s="126">
        <f t="shared" ca="1" si="296"/>
        <v>0</v>
      </c>
      <c r="AW506" s="126">
        <f t="shared" ca="1" si="277"/>
        <v>10000</v>
      </c>
      <c r="AX506" s="750">
        <f t="shared" ca="1" si="297"/>
        <v>0</v>
      </c>
      <c r="AY506" s="750">
        <f t="shared" ca="1" si="298"/>
        <v>0</v>
      </c>
      <c r="AZ506">
        <f t="shared" si="299"/>
        <v>5750</v>
      </c>
    </row>
    <row r="507" spans="4:52">
      <c r="D507">
        <v>500</v>
      </c>
      <c r="E507" s="6">
        <f t="shared" ca="1" si="278"/>
        <v>37561</v>
      </c>
      <c r="F507" s="7">
        <f t="shared" ca="1" si="279"/>
        <v>0</v>
      </c>
      <c r="G507" s="125">
        <f ca="1">IF('Simulador - 1º Pilar'!$E$99="Sí",IF('Aportaciones PPE'!$B$13&lt;'Aportaciones PPE'!E507,0,F507*$B$8/12),F507*$B$8/12)</f>
        <v>0</v>
      </c>
      <c r="H507" s="125">
        <f t="shared" ca="1" si="268"/>
        <v>0</v>
      </c>
      <c r="I507" s="125">
        <f t="shared" ca="1" si="280"/>
        <v>0</v>
      </c>
      <c r="J507" s="125">
        <f t="shared" ca="1" si="281"/>
        <v>0</v>
      </c>
      <c r="K507" s="125">
        <f t="shared" ca="1" si="282"/>
        <v>0</v>
      </c>
      <c r="L507" s="125">
        <f t="shared" ca="1" si="300"/>
        <v>0</v>
      </c>
      <c r="M507" s="125">
        <f t="shared" ca="1" si="283"/>
        <v>0</v>
      </c>
      <c r="N507" s="125">
        <f t="shared" ca="1" si="284"/>
        <v>0</v>
      </c>
      <c r="R507">
        <f t="shared" si="301"/>
        <v>500</v>
      </c>
      <c r="U507" s="55"/>
      <c r="V507">
        <f t="shared" si="302"/>
        <v>9</v>
      </c>
      <c r="W507">
        <f t="shared" ca="1" si="303"/>
        <v>2065</v>
      </c>
      <c r="X507" s="123">
        <f t="shared" ca="1" si="285"/>
        <v>60511</v>
      </c>
      <c r="Y507" s="64">
        <f t="shared" ca="1" si="286"/>
        <v>0</v>
      </c>
      <c r="Z507" s="64">
        <f t="shared" ca="1" si="287"/>
        <v>0</v>
      </c>
      <c r="AA507" s="64">
        <f t="shared" ca="1" si="288"/>
        <v>0</v>
      </c>
      <c r="AB507" s="64">
        <f t="shared" ca="1" si="289"/>
        <v>0</v>
      </c>
      <c r="AF507" t="str">
        <f t="shared" ca="1" si="269"/>
        <v>112002</v>
      </c>
      <c r="AG507" s="126">
        <f t="shared" ca="1" si="270"/>
        <v>0</v>
      </c>
      <c r="AH507" s="126">
        <f t="shared" ca="1" si="271"/>
        <v>0</v>
      </c>
      <c r="AI507" s="126">
        <f t="shared" ca="1" si="272"/>
        <v>0</v>
      </c>
      <c r="AJ507" t="str">
        <f t="shared" ca="1" si="273"/>
        <v>92065</v>
      </c>
      <c r="AK507" s="126">
        <f t="shared" ca="1" si="290"/>
        <v>0</v>
      </c>
      <c r="AL507" s="126">
        <f t="shared" ca="1" si="291"/>
        <v>0</v>
      </c>
      <c r="AM507" s="126">
        <f t="shared" ca="1" si="304"/>
        <v>0</v>
      </c>
      <c r="AN507" s="753">
        <f t="shared" ca="1" si="305"/>
        <v>0</v>
      </c>
      <c r="AO507" s="750">
        <f t="shared" ca="1" si="292"/>
        <v>0</v>
      </c>
      <c r="AP507" s="126">
        <f t="shared" ca="1" si="293"/>
        <v>0</v>
      </c>
      <c r="AQ507" s="126">
        <f t="shared" ca="1" si="294"/>
        <v>0</v>
      </c>
      <c r="AR507" s="126">
        <f t="shared" ca="1" si="274"/>
        <v>10000</v>
      </c>
      <c r="AS507" s="750">
        <f t="shared" ca="1" si="275"/>
        <v>0</v>
      </c>
      <c r="AT507" s="750">
        <f t="shared" ca="1" si="276"/>
        <v>0</v>
      </c>
      <c r="AU507" s="126">
        <f t="shared" ca="1" si="295"/>
        <v>0</v>
      </c>
      <c r="AV507" s="126">
        <f t="shared" ca="1" si="296"/>
        <v>0</v>
      </c>
      <c r="AW507" s="126">
        <f t="shared" ca="1" si="277"/>
        <v>10000</v>
      </c>
      <c r="AX507" s="750">
        <f t="shared" ca="1" si="297"/>
        <v>0</v>
      </c>
      <c r="AY507" s="750">
        <f t="shared" ca="1" si="298"/>
        <v>0</v>
      </c>
      <c r="AZ507">
        <f t="shared" si="299"/>
        <v>5750</v>
      </c>
    </row>
    <row r="508" spans="4:52">
      <c r="D508">
        <v>501</v>
      </c>
      <c r="E508" s="6">
        <f t="shared" ca="1" si="278"/>
        <v>37530</v>
      </c>
      <c r="F508" s="7">
        <f t="shared" ca="1" si="279"/>
        <v>0</v>
      </c>
      <c r="G508" s="125">
        <f ca="1">IF('Simulador - 1º Pilar'!$E$99="Sí",IF('Aportaciones PPE'!$B$13&lt;'Aportaciones PPE'!E508,0,F508*$B$8/12),F508*$B$8/12)</f>
        <v>0</v>
      </c>
      <c r="H508" s="125">
        <f t="shared" ca="1" si="268"/>
        <v>0</v>
      </c>
      <c r="I508" s="125">
        <f t="shared" ca="1" si="280"/>
        <v>0</v>
      </c>
      <c r="J508" s="125">
        <f t="shared" ca="1" si="281"/>
        <v>0</v>
      </c>
      <c r="K508" s="125">
        <f t="shared" ca="1" si="282"/>
        <v>0</v>
      </c>
      <c r="L508" s="125">
        <f t="shared" ca="1" si="300"/>
        <v>0</v>
      </c>
      <c r="M508" s="125">
        <f t="shared" ca="1" si="283"/>
        <v>0</v>
      </c>
      <c r="N508" s="125">
        <f t="shared" ca="1" si="284"/>
        <v>0</v>
      </c>
      <c r="R508">
        <f t="shared" si="301"/>
        <v>501</v>
      </c>
      <c r="U508" s="55"/>
      <c r="V508">
        <f t="shared" si="302"/>
        <v>10</v>
      </c>
      <c r="W508">
        <f t="shared" ca="1" si="303"/>
        <v>2065</v>
      </c>
      <c r="X508" s="123">
        <f t="shared" ca="1" si="285"/>
        <v>60541</v>
      </c>
      <c r="Y508" s="64">
        <f t="shared" ca="1" si="286"/>
        <v>0</v>
      </c>
      <c r="Z508" s="64">
        <f t="shared" ca="1" si="287"/>
        <v>0</v>
      </c>
      <c r="AA508" s="64">
        <f t="shared" ca="1" si="288"/>
        <v>0</v>
      </c>
      <c r="AB508" s="64">
        <f t="shared" ca="1" si="289"/>
        <v>0</v>
      </c>
      <c r="AF508" t="str">
        <f t="shared" ca="1" si="269"/>
        <v>102002</v>
      </c>
      <c r="AG508" s="126">
        <f t="shared" ca="1" si="270"/>
        <v>0</v>
      </c>
      <c r="AH508" s="126">
        <f t="shared" ca="1" si="271"/>
        <v>0</v>
      </c>
      <c r="AI508" s="126">
        <f t="shared" ca="1" si="272"/>
        <v>0</v>
      </c>
      <c r="AJ508" t="str">
        <f t="shared" ca="1" si="273"/>
        <v>102065</v>
      </c>
      <c r="AK508" s="126">
        <f t="shared" ca="1" si="290"/>
        <v>0</v>
      </c>
      <c r="AL508" s="126">
        <f t="shared" ca="1" si="291"/>
        <v>0</v>
      </c>
      <c r="AM508" s="126">
        <f t="shared" ca="1" si="304"/>
        <v>0</v>
      </c>
      <c r="AN508" s="753">
        <f t="shared" ca="1" si="305"/>
        <v>0</v>
      </c>
      <c r="AO508" s="750">
        <f t="shared" ca="1" si="292"/>
        <v>0</v>
      </c>
      <c r="AP508" s="126">
        <f t="shared" ca="1" si="293"/>
        <v>0</v>
      </c>
      <c r="AQ508" s="126">
        <f t="shared" ca="1" si="294"/>
        <v>0</v>
      </c>
      <c r="AR508" s="126">
        <f t="shared" ca="1" si="274"/>
        <v>10000</v>
      </c>
      <c r="AS508" s="750">
        <f t="shared" ca="1" si="275"/>
        <v>0</v>
      </c>
      <c r="AT508" s="750">
        <f t="shared" ca="1" si="276"/>
        <v>0</v>
      </c>
      <c r="AU508" s="126">
        <f t="shared" ca="1" si="295"/>
        <v>0</v>
      </c>
      <c r="AV508" s="126">
        <f t="shared" ca="1" si="296"/>
        <v>0</v>
      </c>
      <c r="AW508" s="126">
        <f t="shared" ca="1" si="277"/>
        <v>10000</v>
      </c>
      <c r="AX508" s="750">
        <f t="shared" ca="1" si="297"/>
        <v>0</v>
      </c>
      <c r="AY508" s="750">
        <f t="shared" ca="1" si="298"/>
        <v>0</v>
      </c>
      <c r="AZ508">
        <f t="shared" si="299"/>
        <v>5750</v>
      </c>
    </row>
    <row r="509" spans="4:52">
      <c r="D509">
        <v>502</v>
      </c>
      <c r="E509" s="6">
        <f t="shared" ca="1" si="278"/>
        <v>37500</v>
      </c>
      <c r="F509" s="7">
        <f t="shared" ca="1" si="279"/>
        <v>0</v>
      </c>
      <c r="G509" s="125">
        <f ca="1">IF('Simulador - 1º Pilar'!$E$99="Sí",IF('Aportaciones PPE'!$B$13&lt;'Aportaciones PPE'!E509,0,F509*$B$8/12),F509*$B$8/12)</f>
        <v>0</v>
      </c>
      <c r="H509" s="125">
        <f t="shared" ca="1" si="268"/>
        <v>0</v>
      </c>
      <c r="I509" s="125">
        <f t="shared" ca="1" si="280"/>
        <v>0</v>
      </c>
      <c r="J509" s="125">
        <f t="shared" ca="1" si="281"/>
        <v>0</v>
      </c>
      <c r="K509" s="125">
        <f t="shared" ca="1" si="282"/>
        <v>0</v>
      </c>
      <c r="L509" s="125">
        <f t="shared" ca="1" si="300"/>
        <v>0</v>
      </c>
      <c r="M509" s="125">
        <f t="shared" ca="1" si="283"/>
        <v>0</v>
      </c>
      <c r="N509" s="125">
        <f t="shared" ca="1" si="284"/>
        <v>0</v>
      </c>
      <c r="R509">
        <f t="shared" si="301"/>
        <v>502</v>
      </c>
      <c r="U509" s="55"/>
      <c r="V509">
        <f t="shared" si="302"/>
        <v>11</v>
      </c>
      <c r="W509">
        <f t="shared" ca="1" si="303"/>
        <v>2065</v>
      </c>
      <c r="X509" s="123">
        <f t="shared" ca="1" si="285"/>
        <v>60572</v>
      </c>
      <c r="Y509" s="64">
        <f t="shared" ca="1" si="286"/>
        <v>0</v>
      </c>
      <c r="Z509" s="64">
        <f t="shared" ca="1" si="287"/>
        <v>0</v>
      </c>
      <c r="AA509" s="64">
        <f t="shared" ca="1" si="288"/>
        <v>0</v>
      </c>
      <c r="AB509" s="64">
        <f t="shared" ca="1" si="289"/>
        <v>0</v>
      </c>
      <c r="AF509" t="str">
        <f t="shared" ca="1" si="269"/>
        <v>92002</v>
      </c>
      <c r="AG509" s="126">
        <f t="shared" ca="1" si="270"/>
        <v>0</v>
      </c>
      <c r="AH509" s="126">
        <f t="shared" ca="1" si="271"/>
        <v>0</v>
      </c>
      <c r="AI509" s="126">
        <f t="shared" ca="1" si="272"/>
        <v>0</v>
      </c>
      <c r="AJ509" t="str">
        <f t="shared" ca="1" si="273"/>
        <v>112065</v>
      </c>
      <c r="AK509" s="126">
        <f t="shared" ca="1" si="290"/>
        <v>0</v>
      </c>
      <c r="AL509" s="126">
        <f t="shared" ca="1" si="291"/>
        <v>0</v>
      </c>
      <c r="AM509" s="126">
        <f t="shared" ca="1" si="304"/>
        <v>0</v>
      </c>
      <c r="AN509" s="753">
        <f t="shared" ca="1" si="305"/>
        <v>0</v>
      </c>
      <c r="AO509" s="750">
        <f t="shared" ca="1" si="292"/>
        <v>0</v>
      </c>
      <c r="AP509" s="126">
        <f t="shared" ca="1" si="293"/>
        <v>0</v>
      </c>
      <c r="AQ509" s="126">
        <f t="shared" ca="1" si="294"/>
        <v>0</v>
      </c>
      <c r="AR509" s="126">
        <f t="shared" ca="1" si="274"/>
        <v>10000</v>
      </c>
      <c r="AS509" s="750">
        <f t="shared" ca="1" si="275"/>
        <v>0</v>
      </c>
      <c r="AT509" s="750">
        <f t="shared" ca="1" si="276"/>
        <v>0</v>
      </c>
      <c r="AU509" s="126">
        <f t="shared" ca="1" si="295"/>
        <v>0</v>
      </c>
      <c r="AV509" s="126">
        <f t="shared" ca="1" si="296"/>
        <v>0</v>
      </c>
      <c r="AW509" s="126">
        <f t="shared" ca="1" si="277"/>
        <v>10000</v>
      </c>
      <c r="AX509" s="750">
        <f t="shared" ca="1" si="297"/>
        <v>0</v>
      </c>
      <c r="AY509" s="750">
        <f t="shared" ca="1" si="298"/>
        <v>0</v>
      </c>
      <c r="AZ509">
        <f t="shared" si="299"/>
        <v>5750</v>
      </c>
    </row>
    <row r="510" spans="4:52">
      <c r="D510">
        <v>503</v>
      </c>
      <c r="E510" s="6">
        <f t="shared" ca="1" si="278"/>
        <v>37469</v>
      </c>
      <c r="F510" s="7">
        <f t="shared" ca="1" si="279"/>
        <v>0</v>
      </c>
      <c r="G510" s="125">
        <f ca="1">IF('Simulador - 1º Pilar'!$E$99="Sí",IF('Aportaciones PPE'!$B$13&lt;'Aportaciones PPE'!E510,0,F510*$B$8/12),F510*$B$8/12)</f>
        <v>0</v>
      </c>
      <c r="H510" s="125">
        <f t="shared" ca="1" si="268"/>
        <v>0</v>
      </c>
      <c r="I510" s="125">
        <f t="shared" ca="1" si="280"/>
        <v>0</v>
      </c>
      <c r="J510" s="125">
        <f t="shared" ca="1" si="281"/>
        <v>0</v>
      </c>
      <c r="K510" s="125">
        <f t="shared" ca="1" si="282"/>
        <v>0</v>
      </c>
      <c r="L510" s="125">
        <f t="shared" ca="1" si="300"/>
        <v>0</v>
      </c>
      <c r="M510" s="125">
        <f t="shared" ca="1" si="283"/>
        <v>0</v>
      </c>
      <c r="N510" s="125">
        <f t="shared" ca="1" si="284"/>
        <v>0</v>
      </c>
      <c r="R510">
        <f t="shared" si="301"/>
        <v>503</v>
      </c>
      <c r="U510" s="55"/>
      <c r="V510">
        <f t="shared" si="302"/>
        <v>12</v>
      </c>
      <c r="W510">
        <f t="shared" ca="1" si="303"/>
        <v>2065</v>
      </c>
      <c r="X510" s="123">
        <f t="shared" ca="1" si="285"/>
        <v>60602</v>
      </c>
      <c r="Y510" s="64">
        <f t="shared" ca="1" si="286"/>
        <v>0</v>
      </c>
      <c r="Z510" s="64">
        <f t="shared" ca="1" si="287"/>
        <v>0</v>
      </c>
      <c r="AA510" s="64">
        <f t="shared" ca="1" si="288"/>
        <v>0</v>
      </c>
      <c r="AB510" s="64">
        <f t="shared" ca="1" si="289"/>
        <v>0</v>
      </c>
      <c r="AF510" t="str">
        <f t="shared" ca="1" si="269"/>
        <v>82002</v>
      </c>
      <c r="AG510" s="126">
        <f t="shared" ca="1" si="270"/>
        <v>0</v>
      </c>
      <c r="AH510" s="126">
        <f t="shared" ca="1" si="271"/>
        <v>0</v>
      </c>
      <c r="AI510" s="126">
        <f t="shared" ca="1" si="272"/>
        <v>0</v>
      </c>
      <c r="AJ510" t="str">
        <f t="shared" ca="1" si="273"/>
        <v>122065</v>
      </c>
      <c r="AK510" s="126">
        <f t="shared" ca="1" si="290"/>
        <v>0</v>
      </c>
      <c r="AL510" s="126">
        <f t="shared" ca="1" si="291"/>
        <v>0</v>
      </c>
      <c r="AM510" s="126">
        <f t="shared" ca="1" si="304"/>
        <v>0</v>
      </c>
      <c r="AN510" s="753">
        <f t="shared" ca="1" si="305"/>
        <v>0</v>
      </c>
      <c r="AO510" s="750">
        <f t="shared" ca="1" si="292"/>
        <v>0</v>
      </c>
      <c r="AP510" s="126">
        <f t="shared" ca="1" si="293"/>
        <v>0</v>
      </c>
      <c r="AQ510" s="126">
        <f t="shared" ca="1" si="294"/>
        <v>0</v>
      </c>
      <c r="AR510" s="126">
        <f t="shared" ca="1" si="274"/>
        <v>10000</v>
      </c>
      <c r="AS510" s="750">
        <f t="shared" ca="1" si="275"/>
        <v>0</v>
      </c>
      <c r="AT510" s="750">
        <f t="shared" ca="1" si="276"/>
        <v>0</v>
      </c>
      <c r="AU510" s="126">
        <f t="shared" ca="1" si="295"/>
        <v>0</v>
      </c>
      <c r="AV510" s="126">
        <f t="shared" ca="1" si="296"/>
        <v>0</v>
      </c>
      <c r="AW510" s="126">
        <f t="shared" ca="1" si="277"/>
        <v>10000</v>
      </c>
      <c r="AX510" s="750">
        <f t="shared" ca="1" si="297"/>
        <v>0</v>
      </c>
      <c r="AY510" s="750">
        <f t="shared" ca="1" si="298"/>
        <v>0</v>
      </c>
      <c r="AZ510">
        <f t="shared" si="299"/>
        <v>5750</v>
      </c>
    </row>
    <row r="511" spans="4:52">
      <c r="D511">
        <v>504</v>
      </c>
      <c r="E511" s="6">
        <f t="shared" ca="1" si="278"/>
        <v>37438</v>
      </c>
      <c r="F511" s="7">
        <f t="shared" ca="1" si="279"/>
        <v>0</v>
      </c>
      <c r="G511" s="125">
        <f ca="1">IF('Simulador - 1º Pilar'!$E$99="Sí",IF('Aportaciones PPE'!$B$13&lt;'Aportaciones PPE'!E511,0,F511*$B$8/12),F511*$B$8/12)</f>
        <v>0</v>
      </c>
      <c r="H511" s="125">
        <f t="shared" ca="1" si="268"/>
        <v>0</v>
      </c>
      <c r="I511" s="125">
        <f t="shared" ca="1" si="280"/>
        <v>0</v>
      </c>
      <c r="J511" s="125">
        <f t="shared" ca="1" si="281"/>
        <v>0</v>
      </c>
      <c r="K511" s="125">
        <f t="shared" ca="1" si="282"/>
        <v>0</v>
      </c>
      <c r="L511" s="125">
        <f t="shared" ca="1" si="300"/>
        <v>0</v>
      </c>
      <c r="M511" s="125">
        <f t="shared" ca="1" si="283"/>
        <v>0</v>
      </c>
      <c r="N511" s="125">
        <f t="shared" ca="1" si="284"/>
        <v>0</v>
      </c>
      <c r="R511">
        <f t="shared" si="301"/>
        <v>504</v>
      </c>
      <c r="U511" s="55"/>
      <c r="V511">
        <f t="shared" si="302"/>
        <v>1</v>
      </c>
      <c r="W511">
        <f t="shared" ca="1" si="303"/>
        <v>2066</v>
      </c>
      <c r="X511" s="123">
        <f t="shared" ca="1" si="285"/>
        <v>60633</v>
      </c>
      <c r="Y511" s="64">
        <f t="shared" ca="1" si="286"/>
        <v>0</v>
      </c>
      <c r="Z511" s="64">
        <f t="shared" ca="1" si="287"/>
        <v>0</v>
      </c>
      <c r="AA511" s="64">
        <f t="shared" ca="1" si="288"/>
        <v>0</v>
      </c>
      <c r="AB511" s="64">
        <f t="shared" ca="1" si="289"/>
        <v>0</v>
      </c>
      <c r="AF511" t="str">
        <f t="shared" ca="1" si="269"/>
        <v>72002</v>
      </c>
      <c r="AG511" s="126">
        <f t="shared" ca="1" si="270"/>
        <v>0</v>
      </c>
      <c r="AH511" s="126">
        <f t="shared" ca="1" si="271"/>
        <v>0</v>
      </c>
      <c r="AI511" s="126">
        <f t="shared" ca="1" si="272"/>
        <v>0</v>
      </c>
      <c r="AJ511" t="str">
        <f t="shared" ca="1" si="273"/>
        <v>12066</v>
      </c>
      <c r="AK511" s="126">
        <f t="shared" ca="1" si="290"/>
        <v>0</v>
      </c>
      <c r="AL511" s="126">
        <f t="shared" ca="1" si="291"/>
        <v>0</v>
      </c>
      <c r="AM511" s="126">
        <f t="shared" ca="1" si="304"/>
        <v>0</v>
      </c>
      <c r="AN511" s="753">
        <f t="shared" ca="1" si="305"/>
        <v>0</v>
      </c>
      <c r="AO511" s="750">
        <f t="shared" ca="1" si="292"/>
        <v>0</v>
      </c>
      <c r="AP511" s="126">
        <f t="shared" ca="1" si="293"/>
        <v>0</v>
      </c>
      <c r="AQ511" s="126">
        <f t="shared" ca="1" si="294"/>
        <v>0</v>
      </c>
      <c r="AR511" s="126">
        <f t="shared" ca="1" si="274"/>
        <v>10000</v>
      </c>
      <c r="AS511" s="750">
        <f t="shared" ca="1" si="275"/>
        <v>0</v>
      </c>
      <c r="AT511" s="750">
        <f t="shared" ca="1" si="276"/>
        <v>0</v>
      </c>
      <c r="AU511" s="126">
        <f t="shared" ca="1" si="295"/>
        <v>0</v>
      </c>
      <c r="AV511" s="126">
        <f t="shared" ca="1" si="296"/>
        <v>0</v>
      </c>
      <c r="AW511" s="126">
        <f t="shared" ca="1" si="277"/>
        <v>10000</v>
      </c>
      <c r="AX511" s="750">
        <f t="shared" ca="1" si="297"/>
        <v>0</v>
      </c>
      <c r="AY511" s="750">
        <f t="shared" ca="1" si="298"/>
        <v>0</v>
      </c>
      <c r="AZ511">
        <f t="shared" si="299"/>
        <v>5750</v>
      </c>
    </row>
    <row r="512" spans="4:52">
      <c r="D512">
        <v>505</v>
      </c>
      <c r="E512" s="6">
        <f t="shared" ca="1" si="278"/>
        <v>37408</v>
      </c>
      <c r="F512" s="7">
        <f t="shared" ca="1" si="279"/>
        <v>0</v>
      </c>
      <c r="G512" s="125">
        <f ca="1">IF('Simulador - 1º Pilar'!$E$99="Sí",IF('Aportaciones PPE'!$B$13&lt;'Aportaciones PPE'!E512,0,F512*$B$8/12),F512*$B$8/12)</f>
        <v>0</v>
      </c>
      <c r="H512" s="125">
        <f t="shared" ca="1" si="268"/>
        <v>0</v>
      </c>
      <c r="I512" s="125">
        <f t="shared" ca="1" si="280"/>
        <v>0</v>
      </c>
      <c r="J512" s="125">
        <f t="shared" ca="1" si="281"/>
        <v>0</v>
      </c>
      <c r="K512" s="125">
        <f t="shared" ca="1" si="282"/>
        <v>0</v>
      </c>
      <c r="L512" s="125">
        <f t="shared" ca="1" si="300"/>
        <v>0</v>
      </c>
      <c r="M512" s="125">
        <f t="shared" ca="1" si="283"/>
        <v>0</v>
      </c>
      <c r="N512" s="125">
        <f t="shared" ca="1" si="284"/>
        <v>0</v>
      </c>
      <c r="R512">
        <f t="shared" si="301"/>
        <v>505</v>
      </c>
      <c r="U512" s="55"/>
      <c r="V512">
        <f t="shared" si="302"/>
        <v>2</v>
      </c>
      <c r="W512">
        <f t="shared" ca="1" si="303"/>
        <v>2066</v>
      </c>
      <c r="X512" s="123">
        <f t="shared" ca="1" si="285"/>
        <v>60664</v>
      </c>
      <c r="Y512" s="64">
        <f t="shared" ca="1" si="286"/>
        <v>0</v>
      </c>
      <c r="Z512" s="64">
        <f t="shared" ca="1" si="287"/>
        <v>0</v>
      </c>
      <c r="AA512" s="64">
        <f t="shared" ca="1" si="288"/>
        <v>0</v>
      </c>
      <c r="AB512" s="64">
        <f t="shared" ca="1" si="289"/>
        <v>0</v>
      </c>
      <c r="AF512" t="str">
        <f t="shared" ca="1" si="269"/>
        <v>62002</v>
      </c>
      <c r="AG512" s="126">
        <f t="shared" ca="1" si="270"/>
        <v>0</v>
      </c>
      <c r="AH512" s="126">
        <f t="shared" ca="1" si="271"/>
        <v>0</v>
      </c>
      <c r="AI512" s="126">
        <f t="shared" ca="1" si="272"/>
        <v>0</v>
      </c>
      <c r="AJ512" t="str">
        <f t="shared" ca="1" si="273"/>
        <v>22066</v>
      </c>
      <c r="AK512" s="126">
        <f t="shared" ca="1" si="290"/>
        <v>0</v>
      </c>
      <c r="AL512" s="126">
        <f t="shared" ca="1" si="291"/>
        <v>0</v>
      </c>
      <c r="AM512" s="126">
        <f t="shared" ca="1" si="304"/>
        <v>0</v>
      </c>
      <c r="AN512" s="753">
        <f t="shared" ca="1" si="305"/>
        <v>0</v>
      </c>
      <c r="AO512" s="750">
        <f t="shared" ca="1" si="292"/>
        <v>0</v>
      </c>
      <c r="AP512" s="126">
        <f t="shared" ca="1" si="293"/>
        <v>0</v>
      </c>
      <c r="AQ512" s="126">
        <f t="shared" ca="1" si="294"/>
        <v>0</v>
      </c>
      <c r="AR512" s="126">
        <f t="shared" ca="1" si="274"/>
        <v>10000</v>
      </c>
      <c r="AS512" s="750">
        <f t="shared" ca="1" si="275"/>
        <v>0</v>
      </c>
      <c r="AT512" s="750">
        <f t="shared" ca="1" si="276"/>
        <v>0</v>
      </c>
      <c r="AU512" s="126">
        <f t="shared" ca="1" si="295"/>
        <v>0</v>
      </c>
      <c r="AV512" s="126">
        <f t="shared" ca="1" si="296"/>
        <v>0</v>
      </c>
      <c r="AW512" s="126">
        <f t="shared" ca="1" si="277"/>
        <v>10000</v>
      </c>
      <c r="AX512" s="750">
        <f t="shared" ca="1" si="297"/>
        <v>0</v>
      </c>
      <c r="AY512" s="750">
        <f t="shared" ca="1" si="298"/>
        <v>0</v>
      </c>
      <c r="AZ512">
        <f t="shared" si="299"/>
        <v>5750</v>
      </c>
    </row>
    <row r="513" spans="4:52">
      <c r="D513">
        <v>506</v>
      </c>
      <c r="E513" s="6">
        <f t="shared" ca="1" si="278"/>
        <v>37377</v>
      </c>
      <c r="F513" s="7">
        <f t="shared" ca="1" si="279"/>
        <v>0</v>
      </c>
      <c r="G513" s="125">
        <f ca="1">IF('Simulador - 1º Pilar'!$E$99="Sí",IF('Aportaciones PPE'!$B$13&lt;'Aportaciones PPE'!E513,0,F513*$B$8/12),F513*$B$8/12)</f>
        <v>0</v>
      </c>
      <c r="H513" s="125">
        <f t="shared" ca="1" si="268"/>
        <v>0</v>
      </c>
      <c r="I513" s="125">
        <f t="shared" ca="1" si="280"/>
        <v>0</v>
      </c>
      <c r="J513" s="125">
        <f t="shared" ca="1" si="281"/>
        <v>0</v>
      </c>
      <c r="K513" s="125">
        <f t="shared" ca="1" si="282"/>
        <v>0</v>
      </c>
      <c r="L513" s="125">
        <f t="shared" ca="1" si="300"/>
        <v>0</v>
      </c>
      <c r="M513" s="125">
        <f t="shared" ca="1" si="283"/>
        <v>0</v>
      </c>
      <c r="N513" s="125">
        <f t="shared" ca="1" si="284"/>
        <v>0</v>
      </c>
      <c r="R513">
        <f t="shared" si="301"/>
        <v>506</v>
      </c>
      <c r="U513" s="55"/>
      <c r="V513">
        <f t="shared" si="302"/>
        <v>3</v>
      </c>
      <c r="W513">
        <f t="shared" ca="1" si="303"/>
        <v>2066</v>
      </c>
      <c r="X513" s="123">
        <f t="shared" ca="1" si="285"/>
        <v>60692</v>
      </c>
      <c r="Y513" s="64">
        <f t="shared" ca="1" si="286"/>
        <v>0</v>
      </c>
      <c r="Z513" s="64">
        <f t="shared" ca="1" si="287"/>
        <v>0</v>
      </c>
      <c r="AA513" s="64">
        <f t="shared" ca="1" si="288"/>
        <v>0</v>
      </c>
      <c r="AB513" s="64">
        <f t="shared" ca="1" si="289"/>
        <v>0</v>
      </c>
      <c r="AF513" t="str">
        <f t="shared" ca="1" si="269"/>
        <v>52002</v>
      </c>
      <c r="AG513" s="126">
        <f t="shared" ca="1" si="270"/>
        <v>0</v>
      </c>
      <c r="AH513" s="126">
        <f t="shared" ca="1" si="271"/>
        <v>0</v>
      </c>
      <c r="AI513" s="126">
        <f t="shared" ca="1" si="272"/>
        <v>0</v>
      </c>
      <c r="AJ513" t="str">
        <f t="shared" ca="1" si="273"/>
        <v>32066</v>
      </c>
      <c r="AK513" s="126">
        <f t="shared" ca="1" si="290"/>
        <v>0</v>
      </c>
      <c r="AL513" s="126">
        <f t="shared" ca="1" si="291"/>
        <v>0</v>
      </c>
      <c r="AM513" s="126">
        <f t="shared" ca="1" si="304"/>
        <v>0</v>
      </c>
      <c r="AN513" s="753">
        <f t="shared" ca="1" si="305"/>
        <v>0</v>
      </c>
      <c r="AO513" s="750">
        <f t="shared" ca="1" si="292"/>
        <v>0</v>
      </c>
      <c r="AP513" s="126">
        <f t="shared" ca="1" si="293"/>
        <v>0</v>
      </c>
      <c r="AQ513" s="126">
        <f t="shared" ca="1" si="294"/>
        <v>0</v>
      </c>
      <c r="AR513" s="126">
        <f t="shared" ca="1" si="274"/>
        <v>10000</v>
      </c>
      <c r="AS513" s="750">
        <f t="shared" ca="1" si="275"/>
        <v>0</v>
      </c>
      <c r="AT513" s="750">
        <f t="shared" ca="1" si="276"/>
        <v>0</v>
      </c>
      <c r="AU513" s="126">
        <f t="shared" ca="1" si="295"/>
        <v>0</v>
      </c>
      <c r="AV513" s="126">
        <f t="shared" ca="1" si="296"/>
        <v>0</v>
      </c>
      <c r="AW513" s="126">
        <f t="shared" ca="1" si="277"/>
        <v>10000</v>
      </c>
      <c r="AX513" s="750">
        <f t="shared" ca="1" si="297"/>
        <v>0</v>
      </c>
      <c r="AY513" s="750">
        <f t="shared" ca="1" si="298"/>
        <v>0</v>
      </c>
      <c r="AZ513">
        <f t="shared" si="299"/>
        <v>5750</v>
      </c>
    </row>
    <row r="514" spans="4:52">
      <c r="D514">
        <v>507</v>
      </c>
      <c r="E514" s="6">
        <f t="shared" ca="1" si="278"/>
        <v>37347</v>
      </c>
      <c r="F514" s="7">
        <f t="shared" ca="1" si="279"/>
        <v>0</v>
      </c>
      <c r="G514" s="125">
        <f ca="1">IF('Simulador - 1º Pilar'!$E$99="Sí",IF('Aportaciones PPE'!$B$13&lt;'Aportaciones PPE'!E514,0,F514*$B$8/12),F514*$B$8/12)</f>
        <v>0</v>
      </c>
      <c r="H514" s="125">
        <f t="shared" ca="1" si="268"/>
        <v>0</v>
      </c>
      <c r="I514" s="125">
        <f t="shared" ca="1" si="280"/>
        <v>0</v>
      </c>
      <c r="J514" s="125">
        <f t="shared" ca="1" si="281"/>
        <v>0</v>
      </c>
      <c r="K514" s="125">
        <f t="shared" ca="1" si="282"/>
        <v>0</v>
      </c>
      <c r="L514" s="125">
        <f t="shared" ca="1" si="300"/>
        <v>0</v>
      </c>
      <c r="M514" s="125">
        <f t="shared" ca="1" si="283"/>
        <v>0</v>
      </c>
      <c r="N514" s="125">
        <f t="shared" ca="1" si="284"/>
        <v>0</v>
      </c>
      <c r="R514">
        <f t="shared" si="301"/>
        <v>507</v>
      </c>
      <c r="U514" s="55"/>
      <c r="V514">
        <f t="shared" si="302"/>
        <v>4</v>
      </c>
      <c r="W514">
        <f t="shared" ca="1" si="303"/>
        <v>2066</v>
      </c>
      <c r="X514" s="123">
        <f t="shared" ca="1" si="285"/>
        <v>60723</v>
      </c>
      <c r="Y514" s="64">
        <f t="shared" ca="1" si="286"/>
        <v>0</v>
      </c>
      <c r="Z514" s="64">
        <f t="shared" ca="1" si="287"/>
        <v>0</v>
      </c>
      <c r="AA514" s="64">
        <f t="shared" ca="1" si="288"/>
        <v>0</v>
      </c>
      <c r="AB514" s="64">
        <f t="shared" ca="1" si="289"/>
        <v>0</v>
      </c>
      <c r="AF514" t="str">
        <f t="shared" ca="1" si="269"/>
        <v>42002</v>
      </c>
      <c r="AG514" s="126">
        <f t="shared" ca="1" si="270"/>
        <v>0</v>
      </c>
      <c r="AH514" s="126">
        <f t="shared" ca="1" si="271"/>
        <v>0</v>
      </c>
      <c r="AI514" s="126">
        <f t="shared" ca="1" si="272"/>
        <v>0</v>
      </c>
      <c r="AJ514" t="str">
        <f t="shared" ca="1" si="273"/>
        <v>42066</v>
      </c>
      <c r="AK514" s="126">
        <f t="shared" ca="1" si="290"/>
        <v>0</v>
      </c>
      <c r="AL514" s="126">
        <f t="shared" ca="1" si="291"/>
        <v>0</v>
      </c>
      <c r="AM514" s="126">
        <f t="shared" ca="1" si="304"/>
        <v>0</v>
      </c>
      <c r="AN514" s="753">
        <f t="shared" ca="1" si="305"/>
        <v>0</v>
      </c>
      <c r="AO514" s="750">
        <f t="shared" ca="1" si="292"/>
        <v>0</v>
      </c>
      <c r="AP514" s="126">
        <f t="shared" ca="1" si="293"/>
        <v>0</v>
      </c>
      <c r="AQ514" s="126">
        <f t="shared" ca="1" si="294"/>
        <v>0</v>
      </c>
      <c r="AR514" s="126">
        <f t="shared" ca="1" si="274"/>
        <v>10000</v>
      </c>
      <c r="AS514" s="750">
        <f t="shared" ca="1" si="275"/>
        <v>0</v>
      </c>
      <c r="AT514" s="750">
        <f t="shared" ca="1" si="276"/>
        <v>0</v>
      </c>
      <c r="AU514" s="126">
        <f t="shared" ca="1" si="295"/>
        <v>0</v>
      </c>
      <c r="AV514" s="126">
        <f t="shared" ca="1" si="296"/>
        <v>0</v>
      </c>
      <c r="AW514" s="126">
        <f t="shared" ca="1" si="277"/>
        <v>10000</v>
      </c>
      <c r="AX514" s="750">
        <f t="shared" ca="1" si="297"/>
        <v>0</v>
      </c>
      <c r="AY514" s="750">
        <f t="shared" ca="1" si="298"/>
        <v>0</v>
      </c>
      <c r="AZ514">
        <f t="shared" si="299"/>
        <v>5750</v>
      </c>
    </row>
    <row r="515" spans="4:52">
      <c r="D515">
        <v>508</v>
      </c>
      <c r="E515" s="6">
        <f t="shared" ca="1" si="278"/>
        <v>37316</v>
      </c>
      <c r="F515" s="7">
        <f t="shared" ca="1" si="279"/>
        <v>0</v>
      </c>
      <c r="G515" s="125">
        <f ca="1">IF('Simulador - 1º Pilar'!$E$99="Sí",IF('Aportaciones PPE'!$B$13&lt;'Aportaciones PPE'!E515,0,F515*$B$8/12),F515*$B$8/12)</f>
        <v>0</v>
      </c>
      <c r="H515" s="125">
        <f t="shared" ca="1" si="268"/>
        <v>0</v>
      </c>
      <c r="I515" s="125">
        <f t="shared" ca="1" si="280"/>
        <v>0</v>
      </c>
      <c r="J515" s="125">
        <f t="shared" ca="1" si="281"/>
        <v>0</v>
      </c>
      <c r="K515" s="125">
        <f t="shared" ca="1" si="282"/>
        <v>0</v>
      </c>
      <c r="L515" s="125">
        <f t="shared" ca="1" si="300"/>
        <v>0</v>
      </c>
      <c r="M515" s="125">
        <f t="shared" ca="1" si="283"/>
        <v>0</v>
      </c>
      <c r="N515" s="125">
        <f t="shared" ca="1" si="284"/>
        <v>0</v>
      </c>
      <c r="R515">
        <f t="shared" si="301"/>
        <v>508</v>
      </c>
      <c r="U515" s="55"/>
      <c r="V515">
        <f t="shared" si="302"/>
        <v>5</v>
      </c>
      <c r="W515">
        <f t="shared" ca="1" si="303"/>
        <v>2066</v>
      </c>
      <c r="X515" s="123">
        <f t="shared" ca="1" si="285"/>
        <v>60753</v>
      </c>
      <c r="Y515" s="64">
        <f t="shared" ca="1" si="286"/>
        <v>0</v>
      </c>
      <c r="Z515" s="64">
        <f t="shared" ca="1" si="287"/>
        <v>0</v>
      </c>
      <c r="AA515" s="64">
        <f t="shared" ca="1" si="288"/>
        <v>0</v>
      </c>
      <c r="AB515" s="64">
        <f t="shared" ca="1" si="289"/>
        <v>0</v>
      </c>
      <c r="AF515" t="str">
        <f t="shared" ca="1" si="269"/>
        <v>32002</v>
      </c>
      <c r="AG515" s="126">
        <f t="shared" ca="1" si="270"/>
        <v>0</v>
      </c>
      <c r="AH515" s="126">
        <f t="shared" ca="1" si="271"/>
        <v>0</v>
      </c>
      <c r="AI515" s="126">
        <f t="shared" ca="1" si="272"/>
        <v>0</v>
      </c>
      <c r="AJ515" t="str">
        <f t="shared" ca="1" si="273"/>
        <v>52066</v>
      </c>
      <c r="AK515" s="126">
        <f t="shared" ca="1" si="290"/>
        <v>0</v>
      </c>
      <c r="AL515" s="126">
        <f t="shared" ca="1" si="291"/>
        <v>0</v>
      </c>
      <c r="AM515" s="126">
        <f t="shared" ca="1" si="304"/>
        <v>0</v>
      </c>
      <c r="AN515" s="753">
        <f t="shared" ca="1" si="305"/>
        <v>0</v>
      </c>
      <c r="AO515" s="750">
        <f t="shared" ca="1" si="292"/>
        <v>0</v>
      </c>
      <c r="AP515" s="126">
        <f t="shared" ca="1" si="293"/>
        <v>0</v>
      </c>
      <c r="AQ515" s="126">
        <f t="shared" ca="1" si="294"/>
        <v>0</v>
      </c>
      <c r="AR515" s="126">
        <f t="shared" ca="1" si="274"/>
        <v>10000</v>
      </c>
      <c r="AS515" s="750">
        <f t="shared" ca="1" si="275"/>
        <v>0</v>
      </c>
      <c r="AT515" s="750">
        <f t="shared" ca="1" si="276"/>
        <v>0</v>
      </c>
      <c r="AU515" s="126">
        <f t="shared" ca="1" si="295"/>
        <v>0</v>
      </c>
      <c r="AV515" s="126">
        <f t="shared" ca="1" si="296"/>
        <v>0</v>
      </c>
      <c r="AW515" s="126">
        <f t="shared" ca="1" si="277"/>
        <v>10000</v>
      </c>
      <c r="AX515" s="750">
        <f t="shared" ca="1" si="297"/>
        <v>0</v>
      </c>
      <c r="AY515" s="750">
        <f t="shared" ca="1" si="298"/>
        <v>0</v>
      </c>
      <c r="AZ515">
        <f t="shared" si="299"/>
        <v>5750</v>
      </c>
    </row>
    <row r="516" spans="4:52">
      <c r="D516">
        <v>509</v>
      </c>
      <c r="E516" s="6">
        <f t="shared" ca="1" si="278"/>
        <v>37288</v>
      </c>
      <c r="F516" s="7">
        <f t="shared" ca="1" si="279"/>
        <v>0</v>
      </c>
      <c r="G516" s="125">
        <f ca="1">IF('Simulador - 1º Pilar'!$E$99="Sí",IF('Aportaciones PPE'!$B$13&lt;'Aportaciones PPE'!E516,0,F516*$B$8/12),F516*$B$8/12)</f>
        <v>0</v>
      </c>
      <c r="H516" s="125">
        <f t="shared" ca="1" si="268"/>
        <v>0</v>
      </c>
      <c r="I516" s="125">
        <f t="shared" ca="1" si="280"/>
        <v>0</v>
      </c>
      <c r="J516" s="125">
        <f t="shared" ca="1" si="281"/>
        <v>0</v>
      </c>
      <c r="K516" s="125">
        <f t="shared" ca="1" si="282"/>
        <v>0</v>
      </c>
      <c r="L516" s="125">
        <f t="shared" ca="1" si="300"/>
        <v>0</v>
      </c>
      <c r="M516" s="125">
        <f t="shared" ca="1" si="283"/>
        <v>0</v>
      </c>
      <c r="N516" s="125">
        <f t="shared" ca="1" si="284"/>
        <v>0</v>
      </c>
      <c r="R516">
        <f t="shared" si="301"/>
        <v>509</v>
      </c>
      <c r="U516" s="55"/>
      <c r="V516">
        <f t="shared" si="302"/>
        <v>6</v>
      </c>
      <c r="W516">
        <f t="shared" ca="1" si="303"/>
        <v>2066</v>
      </c>
      <c r="X516" s="123">
        <f t="shared" ca="1" si="285"/>
        <v>60784</v>
      </c>
      <c r="Y516" s="64">
        <f t="shared" ca="1" si="286"/>
        <v>0</v>
      </c>
      <c r="Z516" s="64">
        <f t="shared" ca="1" si="287"/>
        <v>0</v>
      </c>
      <c r="AA516" s="64">
        <f t="shared" ca="1" si="288"/>
        <v>0</v>
      </c>
      <c r="AB516" s="64">
        <f t="shared" ca="1" si="289"/>
        <v>0</v>
      </c>
      <c r="AF516" t="str">
        <f t="shared" ca="1" si="269"/>
        <v>22002</v>
      </c>
      <c r="AG516" s="126">
        <f t="shared" ca="1" si="270"/>
        <v>0</v>
      </c>
      <c r="AH516" s="126">
        <f t="shared" ca="1" si="271"/>
        <v>0</v>
      </c>
      <c r="AI516" s="126">
        <f t="shared" ca="1" si="272"/>
        <v>0</v>
      </c>
      <c r="AJ516" t="str">
        <f t="shared" ca="1" si="273"/>
        <v>62066</v>
      </c>
      <c r="AK516" s="126">
        <f t="shared" ca="1" si="290"/>
        <v>0</v>
      </c>
      <c r="AL516" s="126">
        <f t="shared" ca="1" si="291"/>
        <v>0</v>
      </c>
      <c r="AM516" s="126">
        <f t="shared" ca="1" si="304"/>
        <v>0</v>
      </c>
      <c r="AN516" s="753">
        <f t="shared" ca="1" si="305"/>
        <v>0</v>
      </c>
      <c r="AO516" s="750">
        <f t="shared" ca="1" si="292"/>
        <v>0</v>
      </c>
      <c r="AP516" s="126">
        <f t="shared" ca="1" si="293"/>
        <v>0</v>
      </c>
      <c r="AQ516" s="126">
        <f t="shared" ca="1" si="294"/>
        <v>0</v>
      </c>
      <c r="AR516" s="126">
        <f t="shared" ca="1" si="274"/>
        <v>10000</v>
      </c>
      <c r="AS516" s="750">
        <f t="shared" ca="1" si="275"/>
        <v>0</v>
      </c>
      <c r="AT516" s="750">
        <f t="shared" ca="1" si="276"/>
        <v>0</v>
      </c>
      <c r="AU516" s="126">
        <f t="shared" ca="1" si="295"/>
        <v>0</v>
      </c>
      <c r="AV516" s="126">
        <f t="shared" ca="1" si="296"/>
        <v>0</v>
      </c>
      <c r="AW516" s="126">
        <f t="shared" ca="1" si="277"/>
        <v>10000</v>
      </c>
      <c r="AX516" s="750">
        <f t="shared" ca="1" si="297"/>
        <v>0</v>
      </c>
      <c r="AY516" s="750">
        <f t="shared" ca="1" si="298"/>
        <v>0</v>
      </c>
      <c r="AZ516">
        <f t="shared" si="299"/>
        <v>5750</v>
      </c>
    </row>
    <row r="517" spans="4:52">
      <c r="D517">
        <v>510</v>
      </c>
      <c r="E517" s="6">
        <f t="shared" ca="1" si="278"/>
        <v>37257</v>
      </c>
      <c r="F517" s="7">
        <f t="shared" ca="1" si="279"/>
        <v>0</v>
      </c>
      <c r="G517" s="125">
        <f ca="1">IF('Simulador - 1º Pilar'!$E$99="Sí",IF('Aportaciones PPE'!$B$13&lt;'Aportaciones PPE'!E517,0,F517*$B$8/12),F517*$B$8/12)</f>
        <v>0</v>
      </c>
      <c r="H517" s="125">
        <f t="shared" ca="1" si="268"/>
        <v>0</v>
      </c>
      <c r="I517" s="125">
        <f t="shared" ca="1" si="280"/>
        <v>0</v>
      </c>
      <c r="J517" s="125">
        <f t="shared" ca="1" si="281"/>
        <v>0</v>
      </c>
      <c r="K517" s="125">
        <f t="shared" ca="1" si="282"/>
        <v>0</v>
      </c>
      <c r="L517" s="125">
        <f t="shared" ca="1" si="300"/>
        <v>0</v>
      </c>
      <c r="M517" s="125">
        <f t="shared" ca="1" si="283"/>
        <v>0</v>
      </c>
      <c r="N517" s="125">
        <f t="shared" ca="1" si="284"/>
        <v>0</v>
      </c>
      <c r="R517">
        <f t="shared" si="301"/>
        <v>510</v>
      </c>
      <c r="U517" s="55"/>
      <c r="V517">
        <f t="shared" si="302"/>
        <v>7</v>
      </c>
      <c r="W517">
        <f t="shared" ca="1" si="303"/>
        <v>2066</v>
      </c>
      <c r="X517" s="123">
        <f t="shared" ca="1" si="285"/>
        <v>60814</v>
      </c>
      <c r="Y517" s="64">
        <f t="shared" ca="1" si="286"/>
        <v>0</v>
      </c>
      <c r="Z517" s="64">
        <f t="shared" ca="1" si="287"/>
        <v>0</v>
      </c>
      <c r="AA517" s="64">
        <f t="shared" ca="1" si="288"/>
        <v>0</v>
      </c>
      <c r="AB517" s="64">
        <f t="shared" ca="1" si="289"/>
        <v>0</v>
      </c>
      <c r="AF517" t="str">
        <f t="shared" ca="1" si="269"/>
        <v>12002</v>
      </c>
      <c r="AG517" s="126">
        <f t="shared" ca="1" si="270"/>
        <v>0</v>
      </c>
      <c r="AH517" s="126">
        <f t="shared" ca="1" si="271"/>
        <v>0</v>
      </c>
      <c r="AI517" s="126">
        <f t="shared" ca="1" si="272"/>
        <v>0</v>
      </c>
      <c r="AJ517" t="str">
        <f t="shared" ca="1" si="273"/>
        <v>72066</v>
      </c>
      <c r="AK517" s="126">
        <f t="shared" ca="1" si="290"/>
        <v>0</v>
      </c>
      <c r="AL517" s="126">
        <f t="shared" ca="1" si="291"/>
        <v>0</v>
      </c>
      <c r="AM517" s="126">
        <f t="shared" ca="1" si="304"/>
        <v>0</v>
      </c>
      <c r="AN517" s="753">
        <f t="shared" ca="1" si="305"/>
        <v>0</v>
      </c>
      <c r="AO517" s="750">
        <f t="shared" ca="1" si="292"/>
        <v>0</v>
      </c>
      <c r="AP517" s="126">
        <f t="shared" ca="1" si="293"/>
        <v>0</v>
      </c>
      <c r="AQ517" s="126">
        <f t="shared" ca="1" si="294"/>
        <v>0</v>
      </c>
      <c r="AR517" s="126">
        <f t="shared" ca="1" si="274"/>
        <v>10000</v>
      </c>
      <c r="AS517" s="750">
        <f t="shared" ca="1" si="275"/>
        <v>0</v>
      </c>
      <c r="AT517" s="750">
        <f t="shared" ca="1" si="276"/>
        <v>0</v>
      </c>
      <c r="AU517" s="126">
        <f t="shared" ca="1" si="295"/>
        <v>0</v>
      </c>
      <c r="AV517" s="126">
        <f t="shared" ca="1" si="296"/>
        <v>0</v>
      </c>
      <c r="AW517" s="126">
        <f t="shared" ca="1" si="277"/>
        <v>10000</v>
      </c>
      <c r="AX517" s="750">
        <f t="shared" ca="1" si="297"/>
        <v>0</v>
      </c>
      <c r="AY517" s="750">
        <f t="shared" ca="1" si="298"/>
        <v>0</v>
      </c>
      <c r="AZ517">
        <f t="shared" si="299"/>
        <v>5750</v>
      </c>
    </row>
    <row r="518" spans="4:52">
      <c r="D518">
        <v>511</v>
      </c>
      <c r="E518" s="6">
        <f t="shared" ca="1" si="278"/>
        <v>37226</v>
      </c>
      <c r="F518" s="7">
        <f t="shared" ca="1" si="279"/>
        <v>0</v>
      </c>
      <c r="G518" s="125">
        <f ca="1">IF('Simulador - 1º Pilar'!$E$99="Sí",IF('Aportaciones PPE'!$B$13&lt;'Aportaciones PPE'!E518,0,F518*$B$8/12),F518*$B$8/12)</f>
        <v>0</v>
      </c>
      <c r="H518" s="125">
        <f t="shared" ca="1" si="268"/>
        <v>0</v>
      </c>
      <c r="I518" s="125">
        <f t="shared" ca="1" si="280"/>
        <v>0</v>
      </c>
      <c r="J518" s="125">
        <f t="shared" ca="1" si="281"/>
        <v>0</v>
      </c>
      <c r="K518" s="125">
        <f t="shared" ca="1" si="282"/>
        <v>0</v>
      </c>
      <c r="L518" s="125">
        <f t="shared" ca="1" si="300"/>
        <v>0</v>
      </c>
      <c r="M518" s="125">
        <f t="shared" ca="1" si="283"/>
        <v>0</v>
      </c>
      <c r="N518" s="125">
        <f t="shared" ca="1" si="284"/>
        <v>0</v>
      </c>
      <c r="R518">
        <f t="shared" si="301"/>
        <v>511</v>
      </c>
      <c r="U518" s="55"/>
      <c r="V518">
        <f t="shared" si="302"/>
        <v>8</v>
      </c>
      <c r="W518">
        <f t="shared" ca="1" si="303"/>
        <v>2066</v>
      </c>
      <c r="X518" s="123">
        <f t="shared" ca="1" si="285"/>
        <v>60845</v>
      </c>
      <c r="Y518" s="64">
        <f t="shared" ca="1" si="286"/>
        <v>0</v>
      </c>
      <c r="Z518" s="64">
        <f t="shared" ca="1" si="287"/>
        <v>0</v>
      </c>
      <c r="AA518" s="64">
        <f t="shared" ca="1" si="288"/>
        <v>0</v>
      </c>
      <c r="AB518" s="64">
        <f t="shared" ca="1" si="289"/>
        <v>0</v>
      </c>
      <c r="AF518" t="str">
        <f t="shared" ca="1" si="269"/>
        <v>122001</v>
      </c>
      <c r="AG518" s="126">
        <f t="shared" ca="1" si="270"/>
        <v>0</v>
      </c>
      <c r="AH518" s="126">
        <f t="shared" ca="1" si="271"/>
        <v>0</v>
      </c>
      <c r="AI518" s="126">
        <f t="shared" ca="1" si="272"/>
        <v>0</v>
      </c>
      <c r="AJ518" t="str">
        <f t="shared" ca="1" si="273"/>
        <v>82066</v>
      </c>
      <c r="AK518" s="126">
        <f t="shared" ca="1" si="290"/>
        <v>0</v>
      </c>
      <c r="AL518" s="126">
        <f t="shared" ca="1" si="291"/>
        <v>0</v>
      </c>
      <c r="AM518" s="126">
        <f t="shared" ca="1" si="304"/>
        <v>0</v>
      </c>
      <c r="AN518" s="753">
        <f t="shared" ca="1" si="305"/>
        <v>0</v>
      </c>
      <c r="AO518" s="750">
        <f t="shared" ca="1" si="292"/>
        <v>0</v>
      </c>
      <c r="AP518" s="126">
        <f t="shared" ca="1" si="293"/>
        <v>0</v>
      </c>
      <c r="AQ518" s="126">
        <f t="shared" ca="1" si="294"/>
        <v>0</v>
      </c>
      <c r="AR518" s="126">
        <f t="shared" ca="1" si="274"/>
        <v>10000</v>
      </c>
      <c r="AS518" s="750">
        <f t="shared" ca="1" si="275"/>
        <v>0</v>
      </c>
      <c r="AT518" s="750">
        <f t="shared" ca="1" si="276"/>
        <v>0</v>
      </c>
      <c r="AU518" s="126">
        <f t="shared" ca="1" si="295"/>
        <v>0</v>
      </c>
      <c r="AV518" s="126">
        <f t="shared" ca="1" si="296"/>
        <v>0</v>
      </c>
      <c r="AW518" s="126">
        <f t="shared" ca="1" si="277"/>
        <v>10000</v>
      </c>
      <c r="AX518" s="750">
        <f t="shared" ca="1" si="297"/>
        <v>0</v>
      </c>
      <c r="AY518" s="750">
        <f t="shared" ca="1" si="298"/>
        <v>0</v>
      </c>
      <c r="AZ518">
        <f t="shared" si="299"/>
        <v>5750</v>
      </c>
    </row>
    <row r="519" spans="4:52">
      <c r="D519">
        <v>512</v>
      </c>
      <c r="E519" s="6">
        <f t="shared" ca="1" si="278"/>
        <v>37196</v>
      </c>
      <c r="F519" s="7">
        <f t="shared" ca="1" si="279"/>
        <v>0</v>
      </c>
      <c r="G519" s="125">
        <f ca="1">IF('Simulador - 1º Pilar'!$E$99="Sí",IF('Aportaciones PPE'!$B$13&lt;'Aportaciones PPE'!E519,0,F519*$B$8/12),F519*$B$8/12)</f>
        <v>0</v>
      </c>
      <c r="H519" s="125">
        <f t="shared" ref="H519:H582" ca="1" si="306">$H$5*G519</f>
        <v>0</v>
      </c>
      <c r="I519" s="125">
        <f t="shared" ca="1" si="280"/>
        <v>0</v>
      </c>
      <c r="J519" s="125">
        <f t="shared" ca="1" si="281"/>
        <v>0</v>
      </c>
      <c r="K519" s="125">
        <f t="shared" ca="1" si="282"/>
        <v>0</v>
      </c>
      <c r="L519" s="125">
        <f t="shared" ca="1" si="300"/>
        <v>0</v>
      </c>
      <c r="M519" s="125">
        <f t="shared" ca="1" si="283"/>
        <v>0</v>
      </c>
      <c r="N519" s="125">
        <f t="shared" ca="1" si="284"/>
        <v>0</v>
      </c>
      <c r="R519">
        <f t="shared" si="301"/>
        <v>512</v>
      </c>
      <c r="U519" s="55"/>
      <c r="V519">
        <f t="shared" si="302"/>
        <v>9</v>
      </c>
      <c r="W519">
        <f t="shared" ca="1" si="303"/>
        <v>2066</v>
      </c>
      <c r="X519" s="123">
        <f t="shared" ca="1" si="285"/>
        <v>60876</v>
      </c>
      <c r="Y519" s="64">
        <f t="shared" ca="1" si="286"/>
        <v>0</v>
      </c>
      <c r="Z519" s="64">
        <f t="shared" ca="1" si="287"/>
        <v>0</v>
      </c>
      <c r="AA519" s="64">
        <f t="shared" ca="1" si="288"/>
        <v>0</v>
      </c>
      <c r="AB519" s="64">
        <f t="shared" ca="1" si="289"/>
        <v>0</v>
      </c>
      <c r="AF519" t="str">
        <f t="shared" ref="AF519:AF582" ca="1" si="307">+MONTH(E519)&amp;YEAR(E519)</f>
        <v>112001</v>
      </c>
      <c r="AG519" s="126">
        <f t="shared" ref="AG519:AG582" ca="1" si="308">+I519</f>
        <v>0</v>
      </c>
      <c r="AH519" s="126">
        <f t="shared" ref="AH519:AH582" ca="1" si="309">+J519</f>
        <v>0</v>
      </c>
      <c r="AI519" s="126">
        <f t="shared" ref="AI519:AI582" ca="1" si="310">+H519</f>
        <v>0</v>
      </c>
      <c r="AJ519" t="str">
        <f t="shared" ref="AJ519:AJ582" ca="1" si="311">+V519&amp;W519</f>
        <v>92066</v>
      </c>
      <c r="AK519" s="126">
        <f t="shared" ca="1" si="290"/>
        <v>0</v>
      </c>
      <c r="AL519" s="126">
        <f t="shared" ca="1" si="291"/>
        <v>0</v>
      </c>
      <c r="AM519" s="126">
        <f t="shared" ca="1" si="304"/>
        <v>0</v>
      </c>
      <c r="AN519" s="753">
        <f t="shared" ca="1" si="305"/>
        <v>0</v>
      </c>
      <c r="AO519" s="750">
        <f t="shared" ca="1" si="292"/>
        <v>0</v>
      </c>
      <c r="AP519" s="126">
        <f t="shared" ca="1" si="293"/>
        <v>0</v>
      </c>
      <c r="AQ519" s="126">
        <f t="shared" ca="1" si="294"/>
        <v>0</v>
      </c>
      <c r="AR519" s="126">
        <f t="shared" ref="AR519:AR582" ca="1" si="312">+MAX($AM$2-SUMIF($W$7:$W$1066,W519,$AN$7:$AN$1066),0)</f>
        <v>10000</v>
      </c>
      <c r="AS519" s="750">
        <f t="shared" ref="AS519:AS582" ca="1" si="313">+MAX(IF(AQ519&gt;AR519,AR519-AQ518,AP519),0)</f>
        <v>0</v>
      </c>
      <c r="AT519" s="750">
        <f t="shared" ref="AT519:AT582" ca="1" si="314">+AP519-AS519</f>
        <v>0</v>
      </c>
      <c r="AU519" s="126">
        <f t="shared" ca="1" si="295"/>
        <v>0</v>
      </c>
      <c r="AV519" s="126">
        <f t="shared" ca="1" si="296"/>
        <v>0</v>
      </c>
      <c r="AW519" s="126">
        <f t="shared" ref="AW519:AW582" ca="1" si="315">+MAX($AM$2-SUMIF($W$7:$W$1066,W519,$AN$7:$AN$1066)-SUMIF($W$7:$W$1066,W519,$AS$7:$AS$1066),0)</f>
        <v>10000</v>
      </c>
      <c r="AX519" s="750">
        <f t="shared" ca="1" si="297"/>
        <v>0</v>
      </c>
      <c r="AY519" s="750">
        <f t="shared" ca="1" si="298"/>
        <v>0</v>
      </c>
      <c r="AZ519">
        <f t="shared" si="299"/>
        <v>5750</v>
      </c>
    </row>
    <row r="520" spans="4:52">
      <c r="D520">
        <v>513</v>
      </c>
      <c r="E520" s="6">
        <f t="shared" ref="E520:E583" ca="1" si="316">+DATE(YEAR(E519),MONTH(E519)-1,DAY(E519))</f>
        <v>37165</v>
      </c>
      <c r="F520" s="7">
        <f t="shared" ref="F520:F583" ca="1" si="317">IF(DATE(YEAR($B$6),MONTH($B$6)+1,DAY(1))=E520,1,IF(MONTH(E520)=1,F521*(1+$F$5),F521))</f>
        <v>0</v>
      </c>
      <c r="G520" s="125">
        <f ca="1">IF('Simulador - 1º Pilar'!$E$99="Sí",IF('Aportaciones PPE'!$B$13&lt;'Aportaciones PPE'!E520,0,F520*$B$8/12),F520*$B$8/12)</f>
        <v>0</v>
      </c>
      <c r="H520" s="125">
        <f t="shared" ca="1" si="306"/>
        <v>0</v>
      </c>
      <c r="I520" s="125">
        <f t="shared" ref="I520:I583" ca="1" si="318">$I$5*G520</f>
        <v>0</v>
      </c>
      <c r="J520" s="125">
        <f t="shared" ref="J520:J583" ca="1" si="319">+I520</f>
        <v>0</v>
      </c>
      <c r="K520" s="125">
        <f t="shared" ref="K520:K583" ca="1" si="320">(1+$O$5)^(D520/12)*(H520+IF(AND(F520=1,F521=0),$S$4,0))</f>
        <v>0</v>
      </c>
      <c r="L520" s="125">
        <f t="shared" ca="1" si="300"/>
        <v>0</v>
      </c>
      <c r="M520" s="125">
        <f t="shared" ref="M520:M583" ca="1" si="321">+L520</f>
        <v>0</v>
      </c>
      <c r="N520" s="125">
        <f t="shared" ref="N520:N583" ca="1" si="322">L520+K520+M520</f>
        <v>0</v>
      </c>
      <c r="R520">
        <f t="shared" si="301"/>
        <v>513</v>
      </c>
      <c r="U520" s="55"/>
      <c r="V520">
        <f t="shared" si="302"/>
        <v>10</v>
      </c>
      <c r="W520">
        <f t="shared" ca="1" si="303"/>
        <v>2066</v>
      </c>
      <c r="X520" s="123">
        <f t="shared" ref="X520:X583" ca="1" si="323">+DATE(W520,V520,1)</f>
        <v>60906</v>
      </c>
      <c r="Y520" s="64">
        <f t="shared" ref="Y520:Y583" ca="1" si="324">+_xlfn.IFNA(AN520+AS520+AX520,0)</f>
        <v>0</v>
      </c>
      <c r="Z520" s="64">
        <f t="shared" ref="Z520:Z583" ca="1" si="325">+_xlfn.IFNA(AO520+AT520+AY520,0)</f>
        <v>0</v>
      </c>
      <c r="AA520" s="64">
        <f t="shared" ref="AA520:AA583" ca="1" si="326">Y520*(1+$O$5)^(($B$7-X520)/365.25)</f>
        <v>0</v>
      </c>
      <c r="AB520" s="64">
        <f t="shared" ref="AB520:AB583" ca="1" si="327">Z520*(1+$O$5)^(($B$7-X520)/365.25)</f>
        <v>0</v>
      </c>
      <c r="AF520" t="str">
        <f t="shared" ca="1" si="307"/>
        <v>102001</v>
      </c>
      <c r="AG520" s="126">
        <f t="shared" ca="1" si="308"/>
        <v>0</v>
      </c>
      <c r="AH520" s="126">
        <f t="shared" ca="1" si="309"/>
        <v>0</v>
      </c>
      <c r="AI520" s="126">
        <f t="shared" ca="1" si="310"/>
        <v>0</v>
      </c>
      <c r="AJ520" t="str">
        <f t="shared" ca="1" si="311"/>
        <v>102066</v>
      </c>
      <c r="AK520" s="126">
        <f t="shared" ref="AK520:AK583" ca="1" si="328">+_xlfn.IFNA(VLOOKUP(AJ520,$AF$7:$AG$1066,2,0),0)</f>
        <v>0</v>
      </c>
      <c r="AL520" s="126">
        <f t="shared" ref="AL520:AL583" ca="1" si="329">+IF(W520&gt;W519,AK520,AL519+AK520)</f>
        <v>0</v>
      </c>
      <c r="AM520" s="126">
        <f t="shared" ca="1" si="304"/>
        <v>0</v>
      </c>
      <c r="AN520" s="753">
        <f t="shared" ca="1" si="305"/>
        <v>0</v>
      </c>
      <c r="AO520" s="750">
        <f t="shared" ref="AO520:AO583" ca="1" si="330">+AK520-AN520</f>
        <v>0</v>
      </c>
      <c r="AP520" s="126">
        <f t="shared" ref="AP520:AP583" ca="1" si="331">+_xlfn.IFNA(VLOOKUP(AJ520,$AF$7:$AI$1066,3,0),0)</f>
        <v>0</v>
      </c>
      <c r="AQ520" s="126">
        <f t="shared" ref="AQ520:AQ583" ca="1" si="332">+IF(W520&gt;W519,AP520,AQ519+AP520)</f>
        <v>0</v>
      </c>
      <c r="AR520" s="126">
        <f t="shared" ca="1" si="312"/>
        <v>10000</v>
      </c>
      <c r="AS520" s="750">
        <f t="shared" ca="1" si="313"/>
        <v>0</v>
      </c>
      <c r="AT520" s="750">
        <f t="shared" ca="1" si="314"/>
        <v>0</v>
      </c>
      <c r="AU520" s="126">
        <f t="shared" ref="AU520:AU583" ca="1" si="333">+_xlfn.IFNA(VLOOKUP(AJ520,$AF$7:$AI$1066,4,0),0)</f>
        <v>0</v>
      </c>
      <c r="AV520" s="126">
        <f t="shared" ref="AV520:AV583" ca="1" si="334">+IF(W520&gt;W519,AU520,AV519+AU520)</f>
        <v>0</v>
      </c>
      <c r="AW520" s="126">
        <f t="shared" ca="1" si="315"/>
        <v>10000</v>
      </c>
      <c r="AX520" s="750">
        <f t="shared" ref="AX520:AX583" ca="1" si="335">+MAX(IF(AV520&gt;AW520,AW520-AV519,AU520),0)</f>
        <v>0</v>
      </c>
      <c r="AY520" s="750">
        <f t="shared" ref="AY520:AY583" ca="1" si="336">+AU520-AX520</f>
        <v>0</v>
      </c>
      <c r="AZ520">
        <f t="shared" ref="AZ520:AZ583" si="337">+$AM$1+IF($AP$1&gt;$AP$2,$AM$3/2)</f>
        <v>5750</v>
      </c>
    </row>
    <row r="521" spans="4:52">
      <c r="D521">
        <v>514</v>
      </c>
      <c r="E521" s="6">
        <f t="shared" ca="1" si="316"/>
        <v>37135</v>
      </c>
      <c r="F521" s="7">
        <f t="shared" ca="1" si="317"/>
        <v>0</v>
      </c>
      <c r="G521" s="125">
        <f ca="1">IF('Simulador - 1º Pilar'!$E$99="Sí",IF('Aportaciones PPE'!$B$13&lt;'Aportaciones PPE'!E521,0,F521*$B$8/12),F521*$B$8/12)</f>
        <v>0</v>
      </c>
      <c r="H521" s="125">
        <f t="shared" ca="1" si="306"/>
        <v>0</v>
      </c>
      <c r="I521" s="125">
        <f t="shared" ca="1" si="318"/>
        <v>0</v>
      </c>
      <c r="J521" s="125">
        <f t="shared" ca="1" si="319"/>
        <v>0</v>
      </c>
      <c r="K521" s="125">
        <f t="shared" ca="1" si="320"/>
        <v>0</v>
      </c>
      <c r="L521" s="125">
        <f t="shared" ref="L521:L584" ca="1" si="338">(1+$O$5)^(D521/12)*(I521+IF(AND(F521=1,F522=0),0))</f>
        <v>0</v>
      </c>
      <c r="M521" s="125">
        <f t="shared" ca="1" si="321"/>
        <v>0</v>
      </c>
      <c r="N521" s="125">
        <f t="shared" ca="1" si="322"/>
        <v>0</v>
      </c>
      <c r="R521">
        <f t="shared" ref="R521:R584" si="339">D521</f>
        <v>514</v>
      </c>
      <c r="U521" s="55"/>
      <c r="V521">
        <f t="shared" ref="V521:V584" si="340">+IF(V520=11,12,IF(V520=12,1,V520+1))</f>
        <v>11</v>
      </c>
      <c r="W521">
        <f t="shared" ref="W521:W584" ca="1" si="341">+W520+IF(V520=12,1,0)</f>
        <v>2066</v>
      </c>
      <c r="X521" s="123">
        <f t="shared" ca="1" si="323"/>
        <v>60937</v>
      </c>
      <c r="Y521" s="64">
        <f t="shared" ca="1" si="324"/>
        <v>0</v>
      </c>
      <c r="Z521" s="64">
        <f t="shared" ca="1" si="325"/>
        <v>0</v>
      </c>
      <c r="AA521" s="64">
        <f t="shared" ca="1" si="326"/>
        <v>0</v>
      </c>
      <c r="AB521" s="64">
        <f t="shared" ca="1" si="327"/>
        <v>0</v>
      </c>
      <c r="AF521" t="str">
        <f t="shared" ca="1" si="307"/>
        <v>92001</v>
      </c>
      <c r="AG521" s="126">
        <f t="shared" ca="1" si="308"/>
        <v>0</v>
      </c>
      <c r="AH521" s="126">
        <f t="shared" ca="1" si="309"/>
        <v>0</v>
      </c>
      <c r="AI521" s="126">
        <f t="shared" ca="1" si="310"/>
        <v>0</v>
      </c>
      <c r="AJ521" t="str">
        <f t="shared" ca="1" si="311"/>
        <v>112066</v>
      </c>
      <c r="AK521" s="126">
        <f t="shared" ca="1" si="328"/>
        <v>0</v>
      </c>
      <c r="AL521" s="126">
        <f t="shared" ca="1" si="329"/>
        <v>0</v>
      </c>
      <c r="AM521" s="126">
        <f t="shared" ref="AM521:AM584" ca="1" si="342">IF(W521&gt;W520,IF(AL521&gt;=$AZ$8,$AZ$8,AL521),IF(OR(AM520=$AZ$8,AM520=0),0,IF(AL521&gt;=$AZ$8,$AZ$8,AL521)))</f>
        <v>0</v>
      </c>
      <c r="AN521" s="753">
        <f t="shared" ref="AN521:AN584" ca="1" si="343">+IF(OR(AM521&gt;AZ520,AM521=0),0,IF(AM521=AL521,AK521,$AZ$7-AL520))</f>
        <v>0</v>
      </c>
      <c r="AO521" s="750">
        <f t="shared" ca="1" si="330"/>
        <v>0</v>
      </c>
      <c r="AP521" s="126">
        <f t="shared" ca="1" si="331"/>
        <v>0</v>
      </c>
      <c r="AQ521" s="126">
        <f t="shared" ca="1" si="332"/>
        <v>0</v>
      </c>
      <c r="AR521" s="126">
        <f t="shared" ca="1" si="312"/>
        <v>10000</v>
      </c>
      <c r="AS521" s="750">
        <f t="shared" ca="1" si="313"/>
        <v>0</v>
      </c>
      <c r="AT521" s="750">
        <f t="shared" ca="1" si="314"/>
        <v>0</v>
      </c>
      <c r="AU521" s="126">
        <f t="shared" ca="1" si="333"/>
        <v>0</v>
      </c>
      <c r="AV521" s="126">
        <f t="shared" ca="1" si="334"/>
        <v>0</v>
      </c>
      <c r="AW521" s="126">
        <f t="shared" ca="1" si="315"/>
        <v>10000</v>
      </c>
      <c r="AX521" s="750">
        <f t="shared" ca="1" si="335"/>
        <v>0</v>
      </c>
      <c r="AY521" s="750">
        <f t="shared" ca="1" si="336"/>
        <v>0</v>
      </c>
      <c r="AZ521">
        <f t="shared" si="337"/>
        <v>5750</v>
      </c>
    </row>
    <row r="522" spans="4:52">
      <c r="D522">
        <v>515</v>
      </c>
      <c r="E522" s="6">
        <f t="shared" ca="1" si="316"/>
        <v>37104</v>
      </c>
      <c r="F522" s="7">
        <f t="shared" ca="1" si="317"/>
        <v>0</v>
      </c>
      <c r="G522" s="125">
        <f ca="1">IF('Simulador - 1º Pilar'!$E$99="Sí",IF('Aportaciones PPE'!$B$13&lt;'Aportaciones PPE'!E522,0,F522*$B$8/12),F522*$B$8/12)</f>
        <v>0</v>
      </c>
      <c r="H522" s="125">
        <f t="shared" ca="1" si="306"/>
        <v>0</v>
      </c>
      <c r="I522" s="125">
        <f t="shared" ca="1" si="318"/>
        <v>0</v>
      </c>
      <c r="J522" s="125">
        <f t="shared" ca="1" si="319"/>
        <v>0</v>
      </c>
      <c r="K522" s="125">
        <f t="shared" ca="1" si="320"/>
        <v>0</v>
      </c>
      <c r="L522" s="125">
        <f t="shared" ca="1" si="338"/>
        <v>0</v>
      </c>
      <c r="M522" s="125">
        <f t="shared" ca="1" si="321"/>
        <v>0</v>
      </c>
      <c r="N522" s="125">
        <f t="shared" ca="1" si="322"/>
        <v>0</v>
      </c>
      <c r="R522">
        <f t="shared" si="339"/>
        <v>515</v>
      </c>
      <c r="U522" s="55"/>
      <c r="V522">
        <f t="shared" si="340"/>
        <v>12</v>
      </c>
      <c r="W522">
        <f t="shared" ca="1" si="341"/>
        <v>2066</v>
      </c>
      <c r="X522" s="123">
        <f t="shared" ca="1" si="323"/>
        <v>60967</v>
      </c>
      <c r="Y522" s="64">
        <f t="shared" ca="1" si="324"/>
        <v>0</v>
      </c>
      <c r="Z522" s="64">
        <f t="shared" ca="1" si="325"/>
        <v>0</v>
      </c>
      <c r="AA522" s="64">
        <f t="shared" ca="1" si="326"/>
        <v>0</v>
      </c>
      <c r="AB522" s="64">
        <f t="shared" ca="1" si="327"/>
        <v>0</v>
      </c>
      <c r="AF522" t="str">
        <f t="shared" ca="1" si="307"/>
        <v>82001</v>
      </c>
      <c r="AG522" s="126">
        <f t="shared" ca="1" si="308"/>
        <v>0</v>
      </c>
      <c r="AH522" s="126">
        <f t="shared" ca="1" si="309"/>
        <v>0</v>
      </c>
      <c r="AI522" s="126">
        <f t="shared" ca="1" si="310"/>
        <v>0</v>
      </c>
      <c r="AJ522" t="str">
        <f t="shared" ca="1" si="311"/>
        <v>122066</v>
      </c>
      <c r="AK522" s="126">
        <f t="shared" ca="1" si="328"/>
        <v>0</v>
      </c>
      <c r="AL522" s="126">
        <f t="shared" ca="1" si="329"/>
        <v>0</v>
      </c>
      <c r="AM522" s="126">
        <f t="shared" ca="1" si="342"/>
        <v>0</v>
      </c>
      <c r="AN522" s="753">
        <f t="shared" ca="1" si="343"/>
        <v>0</v>
      </c>
      <c r="AO522" s="750">
        <f t="shared" ca="1" si="330"/>
        <v>0</v>
      </c>
      <c r="AP522" s="126">
        <f t="shared" ca="1" si="331"/>
        <v>0</v>
      </c>
      <c r="AQ522" s="126">
        <f t="shared" ca="1" si="332"/>
        <v>0</v>
      </c>
      <c r="AR522" s="126">
        <f t="shared" ca="1" si="312"/>
        <v>10000</v>
      </c>
      <c r="AS522" s="750">
        <f t="shared" ca="1" si="313"/>
        <v>0</v>
      </c>
      <c r="AT522" s="750">
        <f t="shared" ca="1" si="314"/>
        <v>0</v>
      </c>
      <c r="AU522" s="126">
        <f t="shared" ca="1" si="333"/>
        <v>0</v>
      </c>
      <c r="AV522" s="126">
        <f t="shared" ca="1" si="334"/>
        <v>0</v>
      </c>
      <c r="AW522" s="126">
        <f t="shared" ca="1" si="315"/>
        <v>10000</v>
      </c>
      <c r="AX522" s="750">
        <f t="shared" ca="1" si="335"/>
        <v>0</v>
      </c>
      <c r="AY522" s="750">
        <f t="shared" ca="1" si="336"/>
        <v>0</v>
      </c>
      <c r="AZ522">
        <f t="shared" si="337"/>
        <v>5750</v>
      </c>
    </row>
    <row r="523" spans="4:52">
      <c r="D523">
        <v>516</v>
      </c>
      <c r="E523" s="6">
        <f t="shared" ca="1" si="316"/>
        <v>37073</v>
      </c>
      <c r="F523" s="7">
        <f t="shared" ca="1" si="317"/>
        <v>0</v>
      </c>
      <c r="G523" s="125">
        <f ca="1">IF('Simulador - 1º Pilar'!$E$99="Sí",IF('Aportaciones PPE'!$B$13&lt;'Aportaciones PPE'!E523,0,F523*$B$8/12),F523*$B$8/12)</f>
        <v>0</v>
      </c>
      <c r="H523" s="125">
        <f t="shared" ca="1" si="306"/>
        <v>0</v>
      </c>
      <c r="I523" s="125">
        <f t="shared" ca="1" si="318"/>
        <v>0</v>
      </c>
      <c r="J523" s="125">
        <f t="shared" ca="1" si="319"/>
        <v>0</v>
      </c>
      <c r="K523" s="125">
        <f t="shared" ca="1" si="320"/>
        <v>0</v>
      </c>
      <c r="L523" s="125">
        <f t="shared" ca="1" si="338"/>
        <v>0</v>
      </c>
      <c r="M523" s="125">
        <f t="shared" ca="1" si="321"/>
        <v>0</v>
      </c>
      <c r="N523" s="125">
        <f t="shared" ca="1" si="322"/>
        <v>0</v>
      </c>
      <c r="R523">
        <f t="shared" si="339"/>
        <v>516</v>
      </c>
      <c r="U523" s="55"/>
      <c r="V523">
        <f t="shared" si="340"/>
        <v>1</v>
      </c>
      <c r="W523">
        <f t="shared" ca="1" si="341"/>
        <v>2067</v>
      </c>
      <c r="X523" s="123">
        <f t="shared" ca="1" si="323"/>
        <v>60998</v>
      </c>
      <c r="Y523" s="64">
        <f t="shared" ca="1" si="324"/>
        <v>0</v>
      </c>
      <c r="Z523" s="64">
        <f t="shared" ca="1" si="325"/>
        <v>0</v>
      </c>
      <c r="AA523" s="64">
        <f t="shared" ca="1" si="326"/>
        <v>0</v>
      </c>
      <c r="AB523" s="64">
        <f t="shared" ca="1" si="327"/>
        <v>0</v>
      </c>
      <c r="AF523" t="str">
        <f t="shared" ca="1" si="307"/>
        <v>72001</v>
      </c>
      <c r="AG523" s="126">
        <f t="shared" ca="1" si="308"/>
        <v>0</v>
      </c>
      <c r="AH523" s="126">
        <f t="shared" ca="1" si="309"/>
        <v>0</v>
      </c>
      <c r="AI523" s="126">
        <f t="shared" ca="1" si="310"/>
        <v>0</v>
      </c>
      <c r="AJ523" t="str">
        <f t="shared" ca="1" si="311"/>
        <v>12067</v>
      </c>
      <c r="AK523" s="126">
        <f t="shared" ca="1" si="328"/>
        <v>0</v>
      </c>
      <c r="AL523" s="126">
        <f t="shared" ca="1" si="329"/>
        <v>0</v>
      </c>
      <c r="AM523" s="126">
        <f t="shared" ca="1" si="342"/>
        <v>0</v>
      </c>
      <c r="AN523" s="753">
        <f t="shared" ca="1" si="343"/>
        <v>0</v>
      </c>
      <c r="AO523" s="750">
        <f t="shared" ca="1" si="330"/>
        <v>0</v>
      </c>
      <c r="AP523" s="126">
        <f t="shared" ca="1" si="331"/>
        <v>0</v>
      </c>
      <c r="AQ523" s="126">
        <f t="shared" ca="1" si="332"/>
        <v>0</v>
      </c>
      <c r="AR523" s="126">
        <f t="shared" ca="1" si="312"/>
        <v>10000</v>
      </c>
      <c r="AS523" s="750">
        <f t="shared" ca="1" si="313"/>
        <v>0</v>
      </c>
      <c r="AT523" s="750">
        <f t="shared" ca="1" si="314"/>
        <v>0</v>
      </c>
      <c r="AU523" s="126">
        <f t="shared" ca="1" si="333"/>
        <v>0</v>
      </c>
      <c r="AV523" s="126">
        <f t="shared" ca="1" si="334"/>
        <v>0</v>
      </c>
      <c r="AW523" s="126">
        <f t="shared" ca="1" si="315"/>
        <v>10000</v>
      </c>
      <c r="AX523" s="750">
        <f t="shared" ca="1" si="335"/>
        <v>0</v>
      </c>
      <c r="AY523" s="750">
        <f t="shared" ca="1" si="336"/>
        <v>0</v>
      </c>
      <c r="AZ523">
        <f t="shared" si="337"/>
        <v>5750</v>
      </c>
    </row>
    <row r="524" spans="4:52">
      <c r="D524">
        <v>517</v>
      </c>
      <c r="E524" s="6">
        <f t="shared" ca="1" si="316"/>
        <v>37043</v>
      </c>
      <c r="F524" s="7">
        <f t="shared" ca="1" si="317"/>
        <v>0</v>
      </c>
      <c r="G524" s="125">
        <f ca="1">IF('Simulador - 1º Pilar'!$E$99="Sí",IF('Aportaciones PPE'!$B$13&lt;'Aportaciones PPE'!E524,0,F524*$B$8/12),F524*$B$8/12)</f>
        <v>0</v>
      </c>
      <c r="H524" s="125">
        <f t="shared" ca="1" si="306"/>
        <v>0</v>
      </c>
      <c r="I524" s="125">
        <f t="shared" ca="1" si="318"/>
        <v>0</v>
      </c>
      <c r="J524" s="125">
        <f t="shared" ca="1" si="319"/>
        <v>0</v>
      </c>
      <c r="K524" s="125">
        <f t="shared" ca="1" si="320"/>
        <v>0</v>
      </c>
      <c r="L524" s="125">
        <f t="shared" ca="1" si="338"/>
        <v>0</v>
      </c>
      <c r="M524" s="125">
        <f t="shared" ca="1" si="321"/>
        <v>0</v>
      </c>
      <c r="N524" s="125">
        <f t="shared" ca="1" si="322"/>
        <v>0</v>
      </c>
      <c r="R524">
        <f t="shared" si="339"/>
        <v>517</v>
      </c>
      <c r="U524" s="55"/>
      <c r="V524">
        <f t="shared" si="340"/>
        <v>2</v>
      </c>
      <c r="W524">
        <f t="shared" ca="1" si="341"/>
        <v>2067</v>
      </c>
      <c r="X524" s="123">
        <f t="shared" ca="1" si="323"/>
        <v>61029</v>
      </c>
      <c r="Y524" s="64">
        <f t="shared" ca="1" si="324"/>
        <v>0</v>
      </c>
      <c r="Z524" s="64">
        <f t="shared" ca="1" si="325"/>
        <v>0</v>
      </c>
      <c r="AA524" s="64">
        <f t="shared" ca="1" si="326"/>
        <v>0</v>
      </c>
      <c r="AB524" s="64">
        <f t="shared" ca="1" si="327"/>
        <v>0</v>
      </c>
      <c r="AF524" t="str">
        <f t="shared" ca="1" si="307"/>
        <v>62001</v>
      </c>
      <c r="AG524" s="126">
        <f t="shared" ca="1" si="308"/>
        <v>0</v>
      </c>
      <c r="AH524" s="126">
        <f t="shared" ca="1" si="309"/>
        <v>0</v>
      </c>
      <c r="AI524" s="126">
        <f t="shared" ca="1" si="310"/>
        <v>0</v>
      </c>
      <c r="AJ524" t="str">
        <f t="shared" ca="1" si="311"/>
        <v>22067</v>
      </c>
      <c r="AK524" s="126">
        <f t="shared" ca="1" si="328"/>
        <v>0</v>
      </c>
      <c r="AL524" s="126">
        <f t="shared" ca="1" si="329"/>
        <v>0</v>
      </c>
      <c r="AM524" s="126">
        <f t="shared" ca="1" si="342"/>
        <v>0</v>
      </c>
      <c r="AN524" s="753">
        <f t="shared" ca="1" si="343"/>
        <v>0</v>
      </c>
      <c r="AO524" s="750">
        <f t="shared" ca="1" si="330"/>
        <v>0</v>
      </c>
      <c r="AP524" s="126">
        <f t="shared" ca="1" si="331"/>
        <v>0</v>
      </c>
      <c r="AQ524" s="126">
        <f t="shared" ca="1" si="332"/>
        <v>0</v>
      </c>
      <c r="AR524" s="126">
        <f t="shared" ca="1" si="312"/>
        <v>10000</v>
      </c>
      <c r="AS524" s="750">
        <f t="shared" ca="1" si="313"/>
        <v>0</v>
      </c>
      <c r="AT524" s="750">
        <f t="shared" ca="1" si="314"/>
        <v>0</v>
      </c>
      <c r="AU524" s="126">
        <f t="shared" ca="1" si="333"/>
        <v>0</v>
      </c>
      <c r="AV524" s="126">
        <f t="shared" ca="1" si="334"/>
        <v>0</v>
      </c>
      <c r="AW524" s="126">
        <f t="shared" ca="1" si="315"/>
        <v>10000</v>
      </c>
      <c r="AX524" s="750">
        <f t="shared" ca="1" si="335"/>
        <v>0</v>
      </c>
      <c r="AY524" s="750">
        <f t="shared" ca="1" si="336"/>
        <v>0</v>
      </c>
      <c r="AZ524">
        <f t="shared" si="337"/>
        <v>5750</v>
      </c>
    </row>
    <row r="525" spans="4:52">
      <c r="D525">
        <v>518</v>
      </c>
      <c r="E525" s="6">
        <f t="shared" ca="1" si="316"/>
        <v>37012</v>
      </c>
      <c r="F525" s="7">
        <f t="shared" ca="1" si="317"/>
        <v>0</v>
      </c>
      <c r="G525" s="125">
        <f ca="1">IF('Simulador - 1º Pilar'!$E$99="Sí",IF('Aportaciones PPE'!$B$13&lt;'Aportaciones PPE'!E525,0,F525*$B$8/12),F525*$B$8/12)</f>
        <v>0</v>
      </c>
      <c r="H525" s="125">
        <f t="shared" ca="1" si="306"/>
        <v>0</v>
      </c>
      <c r="I525" s="125">
        <f t="shared" ca="1" si="318"/>
        <v>0</v>
      </c>
      <c r="J525" s="125">
        <f t="shared" ca="1" si="319"/>
        <v>0</v>
      </c>
      <c r="K525" s="125">
        <f t="shared" ca="1" si="320"/>
        <v>0</v>
      </c>
      <c r="L525" s="125">
        <f t="shared" ca="1" si="338"/>
        <v>0</v>
      </c>
      <c r="M525" s="125">
        <f t="shared" ca="1" si="321"/>
        <v>0</v>
      </c>
      <c r="N525" s="125">
        <f t="shared" ca="1" si="322"/>
        <v>0</v>
      </c>
      <c r="R525">
        <f t="shared" si="339"/>
        <v>518</v>
      </c>
      <c r="U525" s="55"/>
      <c r="V525">
        <f t="shared" si="340"/>
        <v>3</v>
      </c>
      <c r="W525">
        <f t="shared" ca="1" si="341"/>
        <v>2067</v>
      </c>
      <c r="X525" s="123">
        <f t="shared" ca="1" si="323"/>
        <v>61057</v>
      </c>
      <c r="Y525" s="64">
        <f t="shared" ca="1" si="324"/>
        <v>0</v>
      </c>
      <c r="Z525" s="64">
        <f t="shared" ca="1" si="325"/>
        <v>0</v>
      </c>
      <c r="AA525" s="64">
        <f t="shared" ca="1" si="326"/>
        <v>0</v>
      </c>
      <c r="AB525" s="64">
        <f t="shared" ca="1" si="327"/>
        <v>0</v>
      </c>
      <c r="AF525" t="str">
        <f t="shared" ca="1" si="307"/>
        <v>52001</v>
      </c>
      <c r="AG525" s="126">
        <f t="shared" ca="1" si="308"/>
        <v>0</v>
      </c>
      <c r="AH525" s="126">
        <f t="shared" ca="1" si="309"/>
        <v>0</v>
      </c>
      <c r="AI525" s="126">
        <f t="shared" ca="1" si="310"/>
        <v>0</v>
      </c>
      <c r="AJ525" t="str">
        <f t="shared" ca="1" si="311"/>
        <v>32067</v>
      </c>
      <c r="AK525" s="126">
        <f t="shared" ca="1" si="328"/>
        <v>0</v>
      </c>
      <c r="AL525" s="126">
        <f t="shared" ca="1" si="329"/>
        <v>0</v>
      </c>
      <c r="AM525" s="126">
        <f t="shared" ca="1" si="342"/>
        <v>0</v>
      </c>
      <c r="AN525" s="753">
        <f t="shared" ca="1" si="343"/>
        <v>0</v>
      </c>
      <c r="AO525" s="750">
        <f t="shared" ca="1" si="330"/>
        <v>0</v>
      </c>
      <c r="AP525" s="126">
        <f t="shared" ca="1" si="331"/>
        <v>0</v>
      </c>
      <c r="AQ525" s="126">
        <f t="shared" ca="1" si="332"/>
        <v>0</v>
      </c>
      <c r="AR525" s="126">
        <f t="shared" ca="1" si="312"/>
        <v>10000</v>
      </c>
      <c r="AS525" s="750">
        <f t="shared" ca="1" si="313"/>
        <v>0</v>
      </c>
      <c r="AT525" s="750">
        <f t="shared" ca="1" si="314"/>
        <v>0</v>
      </c>
      <c r="AU525" s="126">
        <f t="shared" ca="1" si="333"/>
        <v>0</v>
      </c>
      <c r="AV525" s="126">
        <f t="shared" ca="1" si="334"/>
        <v>0</v>
      </c>
      <c r="AW525" s="126">
        <f t="shared" ca="1" si="315"/>
        <v>10000</v>
      </c>
      <c r="AX525" s="750">
        <f t="shared" ca="1" si="335"/>
        <v>0</v>
      </c>
      <c r="AY525" s="750">
        <f t="shared" ca="1" si="336"/>
        <v>0</v>
      </c>
      <c r="AZ525">
        <f t="shared" si="337"/>
        <v>5750</v>
      </c>
    </row>
    <row r="526" spans="4:52">
      <c r="D526">
        <v>519</v>
      </c>
      <c r="E526" s="6">
        <f t="shared" ca="1" si="316"/>
        <v>36982</v>
      </c>
      <c r="F526" s="7">
        <f t="shared" ca="1" si="317"/>
        <v>0</v>
      </c>
      <c r="G526" s="125">
        <f ca="1">IF('Simulador - 1º Pilar'!$E$99="Sí",IF('Aportaciones PPE'!$B$13&lt;'Aportaciones PPE'!E526,0,F526*$B$8/12),F526*$B$8/12)</f>
        <v>0</v>
      </c>
      <c r="H526" s="125">
        <f t="shared" ca="1" si="306"/>
        <v>0</v>
      </c>
      <c r="I526" s="125">
        <f t="shared" ca="1" si="318"/>
        <v>0</v>
      </c>
      <c r="J526" s="125">
        <f t="shared" ca="1" si="319"/>
        <v>0</v>
      </c>
      <c r="K526" s="125">
        <f t="shared" ca="1" si="320"/>
        <v>0</v>
      </c>
      <c r="L526" s="125">
        <f t="shared" ca="1" si="338"/>
        <v>0</v>
      </c>
      <c r="M526" s="125">
        <f t="shared" ca="1" si="321"/>
        <v>0</v>
      </c>
      <c r="N526" s="125">
        <f t="shared" ca="1" si="322"/>
        <v>0</v>
      </c>
      <c r="R526">
        <f t="shared" si="339"/>
        <v>519</v>
      </c>
      <c r="U526" s="55"/>
      <c r="V526">
        <f t="shared" si="340"/>
        <v>4</v>
      </c>
      <c r="W526">
        <f t="shared" ca="1" si="341"/>
        <v>2067</v>
      </c>
      <c r="X526" s="123">
        <f t="shared" ca="1" si="323"/>
        <v>61088</v>
      </c>
      <c r="Y526" s="64">
        <f t="shared" ca="1" si="324"/>
        <v>0</v>
      </c>
      <c r="Z526" s="64">
        <f t="shared" ca="1" si="325"/>
        <v>0</v>
      </c>
      <c r="AA526" s="64">
        <f t="shared" ca="1" si="326"/>
        <v>0</v>
      </c>
      <c r="AB526" s="64">
        <f t="shared" ca="1" si="327"/>
        <v>0</v>
      </c>
      <c r="AF526" t="str">
        <f t="shared" ca="1" si="307"/>
        <v>42001</v>
      </c>
      <c r="AG526" s="126">
        <f t="shared" ca="1" si="308"/>
        <v>0</v>
      </c>
      <c r="AH526" s="126">
        <f t="shared" ca="1" si="309"/>
        <v>0</v>
      </c>
      <c r="AI526" s="126">
        <f t="shared" ca="1" si="310"/>
        <v>0</v>
      </c>
      <c r="AJ526" t="str">
        <f t="shared" ca="1" si="311"/>
        <v>42067</v>
      </c>
      <c r="AK526" s="126">
        <f t="shared" ca="1" si="328"/>
        <v>0</v>
      </c>
      <c r="AL526" s="126">
        <f t="shared" ca="1" si="329"/>
        <v>0</v>
      </c>
      <c r="AM526" s="126">
        <f t="shared" ca="1" si="342"/>
        <v>0</v>
      </c>
      <c r="AN526" s="753">
        <f t="shared" ca="1" si="343"/>
        <v>0</v>
      </c>
      <c r="AO526" s="750">
        <f t="shared" ca="1" si="330"/>
        <v>0</v>
      </c>
      <c r="AP526" s="126">
        <f t="shared" ca="1" si="331"/>
        <v>0</v>
      </c>
      <c r="AQ526" s="126">
        <f t="shared" ca="1" si="332"/>
        <v>0</v>
      </c>
      <c r="AR526" s="126">
        <f t="shared" ca="1" si="312"/>
        <v>10000</v>
      </c>
      <c r="AS526" s="750">
        <f t="shared" ca="1" si="313"/>
        <v>0</v>
      </c>
      <c r="AT526" s="750">
        <f t="shared" ca="1" si="314"/>
        <v>0</v>
      </c>
      <c r="AU526" s="126">
        <f t="shared" ca="1" si="333"/>
        <v>0</v>
      </c>
      <c r="AV526" s="126">
        <f t="shared" ca="1" si="334"/>
        <v>0</v>
      </c>
      <c r="AW526" s="126">
        <f t="shared" ca="1" si="315"/>
        <v>10000</v>
      </c>
      <c r="AX526" s="750">
        <f t="shared" ca="1" si="335"/>
        <v>0</v>
      </c>
      <c r="AY526" s="750">
        <f t="shared" ca="1" si="336"/>
        <v>0</v>
      </c>
      <c r="AZ526">
        <f t="shared" si="337"/>
        <v>5750</v>
      </c>
    </row>
    <row r="527" spans="4:52">
      <c r="D527">
        <v>520</v>
      </c>
      <c r="E527" s="6">
        <f t="shared" ca="1" si="316"/>
        <v>36951</v>
      </c>
      <c r="F527" s="7">
        <f t="shared" ca="1" si="317"/>
        <v>0</v>
      </c>
      <c r="G527" s="125">
        <f ca="1">IF('Simulador - 1º Pilar'!$E$99="Sí",IF('Aportaciones PPE'!$B$13&lt;'Aportaciones PPE'!E527,0,F527*$B$8/12),F527*$B$8/12)</f>
        <v>0</v>
      </c>
      <c r="H527" s="125">
        <f t="shared" ca="1" si="306"/>
        <v>0</v>
      </c>
      <c r="I527" s="125">
        <f t="shared" ca="1" si="318"/>
        <v>0</v>
      </c>
      <c r="J527" s="125">
        <f t="shared" ca="1" si="319"/>
        <v>0</v>
      </c>
      <c r="K527" s="125">
        <f t="shared" ca="1" si="320"/>
        <v>0</v>
      </c>
      <c r="L527" s="125">
        <f t="shared" ca="1" si="338"/>
        <v>0</v>
      </c>
      <c r="M527" s="125">
        <f t="shared" ca="1" si="321"/>
        <v>0</v>
      </c>
      <c r="N527" s="125">
        <f t="shared" ca="1" si="322"/>
        <v>0</v>
      </c>
      <c r="R527">
        <f t="shared" si="339"/>
        <v>520</v>
      </c>
      <c r="U527" s="55"/>
      <c r="V527">
        <f t="shared" si="340"/>
        <v>5</v>
      </c>
      <c r="W527">
        <f t="shared" ca="1" si="341"/>
        <v>2067</v>
      </c>
      <c r="X527" s="123">
        <f t="shared" ca="1" si="323"/>
        <v>61118</v>
      </c>
      <c r="Y527" s="64">
        <f t="shared" ca="1" si="324"/>
        <v>0</v>
      </c>
      <c r="Z527" s="64">
        <f t="shared" ca="1" si="325"/>
        <v>0</v>
      </c>
      <c r="AA527" s="64">
        <f t="shared" ca="1" si="326"/>
        <v>0</v>
      </c>
      <c r="AB527" s="64">
        <f t="shared" ca="1" si="327"/>
        <v>0</v>
      </c>
      <c r="AF527" t="str">
        <f t="shared" ca="1" si="307"/>
        <v>32001</v>
      </c>
      <c r="AG527" s="126">
        <f t="shared" ca="1" si="308"/>
        <v>0</v>
      </c>
      <c r="AH527" s="126">
        <f t="shared" ca="1" si="309"/>
        <v>0</v>
      </c>
      <c r="AI527" s="126">
        <f t="shared" ca="1" si="310"/>
        <v>0</v>
      </c>
      <c r="AJ527" t="str">
        <f t="shared" ca="1" si="311"/>
        <v>52067</v>
      </c>
      <c r="AK527" s="126">
        <f t="shared" ca="1" si="328"/>
        <v>0</v>
      </c>
      <c r="AL527" s="126">
        <f t="shared" ca="1" si="329"/>
        <v>0</v>
      </c>
      <c r="AM527" s="126">
        <f t="shared" ca="1" si="342"/>
        <v>0</v>
      </c>
      <c r="AN527" s="753">
        <f t="shared" ca="1" si="343"/>
        <v>0</v>
      </c>
      <c r="AO527" s="750">
        <f t="shared" ca="1" si="330"/>
        <v>0</v>
      </c>
      <c r="AP527" s="126">
        <f t="shared" ca="1" si="331"/>
        <v>0</v>
      </c>
      <c r="AQ527" s="126">
        <f t="shared" ca="1" si="332"/>
        <v>0</v>
      </c>
      <c r="AR527" s="126">
        <f t="shared" ca="1" si="312"/>
        <v>10000</v>
      </c>
      <c r="AS527" s="750">
        <f t="shared" ca="1" si="313"/>
        <v>0</v>
      </c>
      <c r="AT527" s="750">
        <f t="shared" ca="1" si="314"/>
        <v>0</v>
      </c>
      <c r="AU527" s="126">
        <f t="shared" ca="1" si="333"/>
        <v>0</v>
      </c>
      <c r="AV527" s="126">
        <f t="shared" ca="1" si="334"/>
        <v>0</v>
      </c>
      <c r="AW527" s="126">
        <f t="shared" ca="1" si="315"/>
        <v>10000</v>
      </c>
      <c r="AX527" s="750">
        <f t="shared" ca="1" si="335"/>
        <v>0</v>
      </c>
      <c r="AY527" s="750">
        <f t="shared" ca="1" si="336"/>
        <v>0</v>
      </c>
      <c r="AZ527">
        <f t="shared" si="337"/>
        <v>5750</v>
      </c>
    </row>
    <row r="528" spans="4:52">
      <c r="D528">
        <v>521</v>
      </c>
      <c r="E528" s="6">
        <f t="shared" ca="1" si="316"/>
        <v>36923</v>
      </c>
      <c r="F528" s="7">
        <f t="shared" ca="1" si="317"/>
        <v>0</v>
      </c>
      <c r="G528" s="125">
        <f ca="1">IF('Simulador - 1º Pilar'!$E$99="Sí",IF('Aportaciones PPE'!$B$13&lt;'Aportaciones PPE'!E528,0,F528*$B$8/12),F528*$B$8/12)</f>
        <v>0</v>
      </c>
      <c r="H528" s="125">
        <f t="shared" ca="1" si="306"/>
        <v>0</v>
      </c>
      <c r="I528" s="125">
        <f t="shared" ca="1" si="318"/>
        <v>0</v>
      </c>
      <c r="J528" s="125">
        <f t="shared" ca="1" si="319"/>
        <v>0</v>
      </c>
      <c r="K528" s="125">
        <f t="shared" ca="1" si="320"/>
        <v>0</v>
      </c>
      <c r="L528" s="125">
        <f t="shared" ca="1" si="338"/>
        <v>0</v>
      </c>
      <c r="M528" s="125">
        <f t="shared" ca="1" si="321"/>
        <v>0</v>
      </c>
      <c r="N528" s="125">
        <f t="shared" ca="1" si="322"/>
        <v>0</v>
      </c>
      <c r="R528">
        <f t="shared" si="339"/>
        <v>521</v>
      </c>
      <c r="U528" s="55"/>
      <c r="V528">
        <f t="shared" si="340"/>
        <v>6</v>
      </c>
      <c r="W528">
        <f t="shared" ca="1" si="341"/>
        <v>2067</v>
      </c>
      <c r="X528" s="123">
        <f t="shared" ca="1" si="323"/>
        <v>61149</v>
      </c>
      <c r="Y528" s="64">
        <f t="shared" ca="1" si="324"/>
        <v>0</v>
      </c>
      <c r="Z528" s="64">
        <f t="shared" ca="1" si="325"/>
        <v>0</v>
      </c>
      <c r="AA528" s="64">
        <f t="shared" ca="1" si="326"/>
        <v>0</v>
      </c>
      <c r="AB528" s="64">
        <f t="shared" ca="1" si="327"/>
        <v>0</v>
      </c>
      <c r="AF528" t="str">
        <f t="shared" ca="1" si="307"/>
        <v>22001</v>
      </c>
      <c r="AG528" s="126">
        <f t="shared" ca="1" si="308"/>
        <v>0</v>
      </c>
      <c r="AH528" s="126">
        <f t="shared" ca="1" si="309"/>
        <v>0</v>
      </c>
      <c r="AI528" s="126">
        <f t="shared" ca="1" si="310"/>
        <v>0</v>
      </c>
      <c r="AJ528" t="str">
        <f t="shared" ca="1" si="311"/>
        <v>62067</v>
      </c>
      <c r="AK528" s="126">
        <f t="shared" ca="1" si="328"/>
        <v>0</v>
      </c>
      <c r="AL528" s="126">
        <f t="shared" ca="1" si="329"/>
        <v>0</v>
      </c>
      <c r="AM528" s="126">
        <f t="shared" ca="1" si="342"/>
        <v>0</v>
      </c>
      <c r="AN528" s="753">
        <f t="shared" ca="1" si="343"/>
        <v>0</v>
      </c>
      <c r="AO528" s="750">
        <f t="shared" ca="1" si="330"/>
        <v>0</v>
      </c>
      <c r="AP528" s="126">
        <f t="shared" ca="1" si="331"/>
        <v>0</v>
      </c>
      <c r="AQ528" s="126">
        <f t="shared" ca="1" si="332"/>
        <v>0</v>
      </c>
      <c r="AR528" s="126">
        <f t="shared" ca="1" si="312"/>
        <v>10000</v>
      </c>
      <c r="AS528" s="750">
        <f t="shared" ca="1" si="313"/>
        <v>0</v>
      </c>
      <c r="AT528" s="750">
        <f t="shared" ca="1" si="314"/>
        <v>0</v>
      </c>
      <c r="AU528" s="126">
        <f t="shared" ca="1" si="333"/>
        <v>0</v>
      </c>
      <c r="AV528" s="126">
        <f t="shared" ca="1" si="334"/>
        <v>0</v>
      </c>
      <c r="AW528" s="126">
        <f t="shared" ca="1" si="315"/>
        <v>10000</v>
      </c>
      <c r="AX528" s="750">
        <f t="shared" ca="1" si="335"/>
        <v>0</v>
      </c>
      <c r="AY528" s="750">
        <f t="shared" ca="1" si="336"/>
        <v>0</v>
      </c>
      <c r="AZ528">
        <f t="shared" si="337"/>
        <v>5750</v>
      </c>
    </row>
    <row r="529" spans="4:52">
      <c r="D529">
        <v>522</v>
      </c>
      <c r="E529" s="6">
        <f t="shared" ca="1" si="316"/>
        <v>36892</v>
      </c>
      <c r="F529" s="7">
        <f t="shared" ca="1" si="317"/>
        <v>0</v>
      </c>
      <c r="G529" s="125">
        <f ca="1">IF('Simulador - 1º Pilar'!$E$99="Sí",IF('Aportaciones PPE'!$B$13&lt;'Aportaciones PPE'!E529,0,F529*$B$8/12),F529*$B$8/12)</f>
        <v>0</v>
      </c>
      <c r="H529" s="125">
        <f t="shared" ca="1" si="306"/>
        <v>0</v>
      </c>
      <c r="I529" s="125">
        <f t="shared" ca="1" si="318"/>
        <v>0</v>
      </c>
      <c r="J529" s="125">
        <f t="shared" ca="1" si="319"/>
        <v>0</v>
      </c>
      <c r="K529" s="125">
        <f t="shared" ca="1" si="320"/>
        <v>0</v>
      </c>
      <c r="L529" s="125">
        <f t="shared" ca="1" si="338"/>
        <v>0</v>
      </c>
      <c r="M529" s="125">
        <f t="shared" ca="1" si="321"/>
        <v>0</v>
      </c>
      <c r="N529" s="125">
        <f t="shared" ca="1" si="322"/>
        <v>0</v>
      </c>
      <c r="R529">
        <f t="shared" si="339"/>
        <v>522</v>
      </c>
      <c r="U529" s="55"/>
      <c r="V529">
        <f t="shared" si="340"/>
        <v>7</v>
      </c>
      <c r="W529">
        <f t="shared" ca="1" si="341"/>
        <v>2067</v>
      </c>
      <c r="X529" s="123">
        <f t="shared" ca="1" si="323"/>
        <v>61179</v>
      </c>
      <c r="Y529" s="64">
        <f t="shared" ca="1" si="324"/>
        <v>0</v>
      </c>
      <c r="Z529" s="64">
        <f t="shared" ca="1" si="325"/>
        <v>0</v>
      </c>
      <c r="AA529" s="64">
        <f t="shared" ca="1" si="326"/>
        <v>0</v>
      </c>
      <c r="AB529" s="64">
        <f t="shared" ca="1" si="327"/>
        <v>0</v>
      </c>
      <c r="AF529" t="str">
        <f t="shared" ca="1" si="307"/>
        <v>12001</v>
      </c>
      <c r="AG529" s="126">
        <f t="shared" ca="1" si="308"/>
        <v>0</v>
      </c>
      <c r="AH529" s="126">
        <f t="shared" ca="1" si="309"/>
        <v>0</v>
      </c>
      <c r="AI529" s="126">
        <f t="shared" ca="1" si="310"/>
        <v>0</v>
      </c>
      <c r="AJ529" t="str">
        <f t="shared" ca="1" si="311"/>
        <v>72067</v>
      </c>
      <c r="AK529" s="126">
        <f t="shared" ca="1" si="328"/>
        <v>0</v>
      </c>
      <c r="AL529" s="126">
        <f t="shared" ca="1" si="329"/>
        <v>0</v>
      </c>
      <c r="AM529" s="126">
        <f t="shared" ca="1" si="342"/>
        <v>0</v>
      </c>
      <c r="AN529" s="753">
        <f t="shared" ca="1" si="343"/>
        <v>0</v>
      </c>
      <c r="AO529" s="750">
        <f t="shared" ca="1" si="330"/>
        <v>0</v>
      </c>
      <c r="AP529" s="126">
        <f t="shared" ca="1" si="331"/>
        <v>0</v>
      </c>
      <c r="AQ529" s="126">
        <f t="shared" ca="1" si="332"/>
        <v>0</v>
      </c>
      <c r="AR529" s="126">
        <f t="shared" ca="1" si="312"/>
        <v>10000</v>
      </c>
      <c r="AS529" s="750">
        <f t="shared" ca="1" si="313"/>
        <v>0</v>
      </c>
      <c r="AT529" s="750">
        <f t="shared" ca="1" si="314"/>
        <v>0</v>
      </c>
      <c r="AU529" s="126">
        <f t="shared" ca="1" si="333"/>
        <v>0</v>
      </c>
      <c r="AV529" s="126">
        <f t="shared" ca="1" si="334"/>
        <v>0</v>
      </c>
      <c r="AW529" s="126">
        <f t="shared" ca="1" si="315"/>
        <v>10000</v>
      </c>
      <c r="AX529" s="750">
        <f t="shared" ca="1" si="335"/>
        <v>0</v>
      </c>
      <c r="AY529" s="750">
        <f t="shared" ca="1" si="336"/>
        <v>0</v>
      </c>
      <c r="AZ529">
        <f t="shared" si="337"/>
        <v>5750</v>
      </c>
    </row>
    <row r="530" spans="4:52">
      <c r="D530">
        <v>523</v>
      </c>
      <c r="E530" s="6">
        <f t="shared" ca="1" si="316"/>
        <v>36861</v>
      </c>
      <c r="F530" s="7">
        <f t="shared" ca="1" si="317"/>
        <v>0</v>
      </c>
      <c r="G530" s="125">
        <f ca="1">IF('Simulador - 1º Pilar'!$E$99="Sí",IF('Aportaciones PPE'!$B$13&lt;'Aportaciones PPE'!E530,0,F530*$B$8/12),F530*$B$8/12)</f>
        <v>0</v>
      </c>
      <c r="H530" s="125">
        <f t="shared" ca="1" si="306"/>
        <v>0</v>
      </c>
      <c r="I530" s="125">
        <f t="shared" ca="1" si="318"/>
        <v>0</v>
      </c>
      <c r="J530" s="125">
        <f t="shared" ca="1" si="319"/>
        <v>0</v>
      </c>
      <c r="K530" s="125">
        <f t="shared" ca="1" si="320"/>
        <v>0</v>
      </c>
      <c r="L530" s="125">
        <f t="shared" ca="1" si="338"/>
        <v>0</v>
      </c>
      <c r="M530" s="125">
        <f t="shared" ca="1" si="321"/>
        <v>0</v>
      </c>
      <c r="N530" s="125">
        <f t="shared" ca="1" si="322"/>
        <v>0</v>
      </c>
      <c r="R530">
        <f t="shared" si="339"/>
        <v>523</v>
      </c>
      <c r="U530" s="55"/>
      <c r="V530">
        <f t="shared" si="340"/>
        <v>8</v>
      </c>
      <c r="W530">
        <f t="shared" ca="1" si="341"/>
        <v>2067</v>
      </c>
      <c r="X530" s="123">
        <f t="shared" ca="1" si="323"/>
        <v>61210</v>
      </c>
      <c r="Y530" s="64">
        <f t="shared" ca="1" si="324"/>
        <v>0</v>
      </c>
      <c r="Z530" s="64">
        <f t="shared" ca="1" si="325"/>
        <v>0</v>
      </c>
      <c r="AA530" s="64">
        <f t="shared" ca="1" si="326"/>
        <v>0</v>
      </c>
      <c r="AB530" s="64">
        <f t="shared" ca="1" si="327"/>
        <v>0</v>
      </c>
      <c r="AF530" t="str">
        <f t="shared" ca="1" si="307"/>
        <v>122000</v>
      </c>
      <c r="AG530" s="126">
        <f t="shared" ca="1" si="308"/>
        <v>0</v>
      </c>
      <c r="AH530" s="126">
        <f t="shared" ca="1" si="309"/>
        <v>0</v>
      </c>
      <c r="AI530" s="126">
        <f t="shared" ca="1" si="310"/>
        <v>0</v>
      </c>
      <c r="AJ530" t="str">
        <f t="shared" ca="1" si="311"/>
        <v>82067</v>
      </c>
      <c r="AK530" s="126">
        <f t="shared" ca="1" si="328"/>
        <v>0</v>
      </c>
      <c r="AL530" s="126">
        <f t="shared" ca="1" si="329"/>
        <v>0</v>
      </c>
      <c r="AM530" s="126">
        <f t="shared" ca="1" si="342"/>
        <v>0</v>
      </c>
      <c r="AN530" s="753">
        <f t="shared" ca="1" si="343"/>
        <v>0</v>
      </c>
      <c r="AO530" s="750">
        <f t="shared" ca="1" si="330"/>
        <v>0</v>
      </c>
      <c r="AP530" s="126">
        <f t="shared" ca="1" si="331"/>
        <v>0</v>
      </c>
      <c r="AQ530" s="126">
        <f t="shared" ca="1" si="332"/>
        <v>0</v>
      </c>
      <c r="AR530" s="126">
        <f t="shared" ca="1" si="312"/>
        <v>10000</v>
      </c>
      <c r="AS530" s="750">
        <f t="shared" ca="1" si="313"/>
        <v>0</v>
      </c>
      <c r="AT530" s="750">
        <f t="shared" ca="1" si="314"/>
        <v>0</v>
      </c>
      <c r="AU530" s="126">
        <f t="shared" ca="1" si="333"/>
        <v>0</v>
      </c>
      <c r="AV530" s="126">
        <f t="shared" ca="1" si="334"/>
        <v>0</v>
      </c>
      <c r="AW530" s="126">
        <f t="shared" ca="1" si="315"/>
        <v>10000</v>
      </c>
      <c r="AX530" s="750">
        <f t="shared" ca="1" si="335"/>
        <v>0</v>
      </c>
      <c r="AY530" s="750">
        <f t="shared" ca="1" si="336"/>
        <v>0</v>
      </c>
      <c r="AZ530">
        <f t="shared" si="337"/>
        <v>5750</v>
      </c>
    </row>
    <row r="531" spans="4:52">
      <c r="D531">
        <v>524</v>
      </c>
      <c r="E531" s="6">
        <f t="shared" ca="1" si="316"/>
        <v>36831</v>
      </c>
      <c r="F531" s="7">
        <f t="shared" ca="1" si="317"/>
        <v>0</v>
      </c>
      <c r="G531" s="125">
        <f ca="1">IF('Simulador - 1º Pilar'!$E$99="Sí",IF('Aportaciones PPE'!$B$13&lt;'Aportaciones PPE'!E531,0,F531*$B$8/12),F531*$B$8/12)</f>
        <v>0</v>
      </c>
      <c r="H531" s="125">
        <f t="shared" ca="1" si="306"/>
        <v>0</v>
      </c>
      <c r="I531" s="125">
        <f t="shared" ca="1" si="318"/>
        <v>0</v>
      </c>
      <c r="J531" s="125">
        <f t="shared" ca="1" si="319"/>
        <v>0</v>
      </c>
      <c r="K531" s="125">
        <f t="shared" ca="1" si="320"/>
        <v>0</v>
      </c>
      <c r="L531" s="125">
        <f t="shared" ca="1" si="338"/>
        <v>0</v>
      </c>
      <c r="M531" s="125">
        <f t="shared" ca="1" si="321"/>
        <v>0</v>
      </c>
      <c r="N531" s="125">
        <f t="shared" ca="1" si="322"/>
        <v>0</v>
      </c>
      <c r="R531">
        <f t="shared" si="339"/>
        <v>524</v>
      </c>
      <c r="U531" s="55"/>
      <c r="V531">
        <f t="shared" si="340"/>
        <v>9</v>
      </c>
      <c r="W531">
        <f t="shared" ca="1" si="341"/>
        <v>2067</v>
      </c>
      <c r="X531" s="123">
        <f t="shared" ca="1" si="323"/>
        <v>61241</v>
      </c>
      <c r="Y531" s="64">
        <f t="shared" ca="1" si="324"/>
        <v>0</v>
      </c>
      <c r="Z531" s="64">
        <f t="shared" ca="1" si="325"/>
        <v>0</v>
      </c>
      <c r="AA531" s="64">
        <f t="shared" ca="1" si="326"/>
        <v>0</v>
      </c>
      <c r="AB531" s="64">
        <f t="shared" ca="1" si="327"/>
        <v>0</v>
      </c>
      <c r="AF531" t="str">
        <f t="shared" ca="1" si="307"/>
        <v>112000</v>
      </c>
      <c r="AG531" s="126">
        <f t="shared" ca="1" si="308"/>
        <v>0</v>
      </c>
      <c r="AH531" s="126">
        <f t="shared" ca="1" si="309"/>
        <v>0</v>
      </c>
      <c r="AI531" s="126">
        <f t="shared" ca="1" si="310"/>
        <v>0</v>
      </c>
      <c r="AJ531" t="str">
        <f t="shared" ca="1" si="311"/>
        <v>92067</v>
      </c>
      <c r="AK531" s="126">
        <f t="shared" ca="1" si="328"/>
        <v>0</v>
      </c>
      <c r="AL531" s="126">
        <f t="shared" ca="1" si="329"/>
        <v>0</v>
      </c>
      <c r="AM531" s="126">
        <f t="shared" ca="1" si="342"/>
        <v>0</v>
      </c>
      <c r="AN531" s="753">
        <f t="shared" ca="1" si="343"/>
        <v>0</v>
      </c>
      <c r="AO531" s="750">
        <f t="shared" ca="1" si="330"/>
        <v>0</v>
      </c>
      <c r="AP531" s="126">
        <f t="shared" ca="1" si="331"/>
        <v>0</v>
      </c>
      <c r="AQ531" s="126">
        <f t="shared" ca="1" si="332"/>
        <v>0</v>
      </c>
      <c r="AR531" s="126">
        <f t="shared" ca="1" si="312"/>
        <v>10000</v>
      </c>
      <c r="AS531" s="750">
        <f t="shared" ca="1" si="313"/>
        <v>0</v>
      </c>
      <c r="AT531" s="750">
        <f t="shared" ca="1" si="314"/>
        <v>0</v>
      </c>
      <c r="AU531" s="126">
        <f t="shared" ca="1" si="333"/>
        <v>0</v>
      </c>
      <c r="AV531" s="126">
        <f t="shared" ca="1" si="334"/>
        <v>0</v>
      </c>
      <c r="AW531" s="126">
        <f t="shared" ca="1" si="315"/>
        <v>10000</v>
      </c>
      <c r="AX531" s="750">
        <f t="shared" ca="1" si="335"/>
        <v>0</v>
      </c>
      <c r="AY531" s="750">
        <f t="shared" ca="1" si="336"/>
        <v>0</v>
      </c>
      <c r="AZ531">
        <f t="shared" si="337"/>
        <v>5750</v>
      </c>
    </row>
    <row r="532" spans="4:52">
      <c r="D532">
        <v>525</v>
      </c>
      <c r="E532" s="6">
        <f t="shared" ca="1" si="316"/>
        <v>36800</v>
      </c>
      <c r="F532" s="7">
        <f t="shared" ca="1" si="317"/>
        <v>0</v>
      </c>
      <c r="G532" s="125">
        <f ca="1">IF('Simulador - 1º Pilar'!$E$99="Sí",IF('Aportaciones PPE'!$B$13&lt;'Aportaciones PPE'!E532,0,F532*$B$8/12),F532*$B$8/12)</f>
        <v>0</v>
      </c>
      <c r="H532" s="125">
        <f t="shared" ca="1" si="306"/>
        <v>0</v>
      </c>
      <c r="I532" s="125">
        <f t="shared" ca="1" si="318"/>
        <v>0</v>
      </c>
      <c r="J532" s="125">
        <f t="shared" ca="1" si="319"/>
        <v>0</v>
      </c>
      <c r="K532" s="125">
        <f t="shared" ca="1" si="320"/>
        <v>0</v>
      </c>
      <c r="L532" s="125">
        <f t="shared" ca="1" si="338"/>
        <v>0</v>
      </c>
      <c r="M532" s="125">
        <f t="shared" ca="1" si="321"/>
        <v>0</v>
      </c>
      <c r="N532" s="125">
        <f t="shared" ca="1" si="322"/>
        <v>0</v>
      </c>
      <c r="R532">
        <f t="shared" si="339"/>
        <v>525</v>
      </c>
      <c r="U532" s="55"/>
      <c r="V532">
        <f t="shared" si="340"/>
        <v>10</v>
      </c>
      <c r="W532">
        <f t="shared" ca="1" si="341"/>
        <v>2067</v>
      </c>
      <c r="X532" s="123">
        <f t="shared" ca="1" si="323"/>
        <v>61271</v>
      </c>
      <c r="Y532" s="64">
        <f t="shared" ca="1" si="324"/>
        <v>0</v>
      </c>
      <c r="Z532" s="64">
        <f t="shared" ca="1" si="325"/>
        <v>0</v>
      </c>
      <c r="AA532" s="64">
        <f t="shared" ca="1" si="326"/>
        <v>0</v>
      </c>
      <c r="AB532" s="64">
        <f t="shared" ca="1" si="327"/>
        <v>0</v>
      </c>
      <c r="AF532" t="str">
        <f t="shared" ca="1" si="307"/>
        <v>102000</v>
      </c>
      <c r="AG532" s="126">
        <f t="shared" ca="1" si="308"/>
        <v>0</v>
      </c>
      <c r="AH532" s="126">
        <f t="shared" ca="1" si="309"/>
        <v>0</v>
      </c>
      <c r="AI532" s="126">
        <f t="shared" ca="1" si="310"/>
        <v>0</v>
      </c>
      <c r="AJ532" t="str">
        <f t="shared" ca="1" si="311"/>
        <v>102067</v>
      </c>
      <c r="AK532" s="126">
        <f t="shared" ca="1" si="328"/>
        <v>0</v>
      </c>
      <c r="AL532" s="126">
        <f t="shared" ca="1" si="329"/>
        <v>0</v>
      </c>
      <c r="AM532" s="126">
        <f t="shared" ca="1" si="342"/>
        <v>0</v>
      </c>
      <c r="AN532" s="753">
        <f t="shared" ca="1" si="343"/>
        <v>0</v>
      </c>
      <c r="AO532" s="750">
        <f t="shared" ca="1" si="330"/>
        <v>0</v>
      </c>
      <c r="AP532" s="126">
        <f t="shared" ca="1" si="331"/>
        <v>0</v>
      </c>
      <c r="AQ532" s="126">
        <f t="shared" ca="1" si="332"/>
        <v>0</v>
      </c>
      <c r="AR532" s="126">
        <f t="shared" ca="1" si="312"/>
        <v>10000</v>
      </c>
      <c r="AS532" s="750">
        <f t="shared" ca="1" si="313"/>
        <v>0</v>
      </c>
      <c r="AT532" s="750">
        <f t="shared" ca="1" si="314"/>
        <v>0</v>
      </c>
      <c r="AU532" s="126">
        <f t="shared" ca="1" si="333"/>
        <v>0</v>
      </c>
      <c r="AV532" s="126">
        <f t="shared" ca="1" si="334"/>
        <v>0</v>
      </c>
      <c r="AW532" s="126">
        <f t="shared" ca="1" si="315"/>
        <v>10000</v>
      </c>
      <c r="AX532" s="750">
        <f t="shared" ca="1" si="335"/>
        <v>0</v>
      </c>
      <c r="AY532" s="750">
        <f t="shared" ca="1" si="336"/>
        <v>0</v>
      </c>
      <c r="AZ532">
        <f t="shared" si="337"/>
        <v>5750</v>
      </c>
    </row>
    <row r="533" spans="4:52">
      <c r="D533">
        <v>526</v>
      </c>
      <c r="E533" s="6">
        <f t="shared" ca="1" si="316"/>
        <v>36770</v>
      </c>
      <c r="F533" s="7">
        <f t="shared" ca="1" si="317"/>
        <v>0</v>
      </c>
      <c r="G533" s="125">
        <f ca="1">IF('Simulador - 1º Pilar'!$E$99="Sí",IF('Aportaciones PPE'!$B$13&lt;'Aportaciones PPE'!E533,0,F533*$B$8/12),F533*$B$8/12)</f>
        <v>0</v>
      </c>
      <c r="H533" s="125">
        <f t="shared" ca="1" si="306"/>
        <v>0</v>
      </c>
      <c r="I533" s="125">
        <f t="shared" ca="1" si="318"/>
        <v>0</v>
      </c>
      <c r="J533" s="125">
        <f t="shared" ca="1" si="319"/>
        <v>0</v>
      </c>
      <c r="K533" s="125">
        <f t="shared" ca="1" si="320"/>
        <v>0</v>
      </c>
      <c r="L533" s="125">
        <f t="shared" ca="1" si="338"/>
        <v>0</v>
      </c>
      <c r="M533" s="125">
        <f t="shared" ca="1" si="321"/>
        <v>0</v>
      </c>
      <c r="N533" s="125">
        <f t="shared" ca="1" si="322"/>
        <v>0</v>
      </c>
      <c r="R533">
        <f t="shared" si="339"/>
        <v>526</v>
      </c>
      <c r="U533" s="55"/>
      <c r="V533">
        <f t="shared" si="340"/>
        <v>11</v>
      </c>
      <c r="W533">
        <f t="shared" ca="1" si="341"/>
        <v>2067</v>
      </c>
      <c r="X533" s="123">
        <f t="shared" ca="1" si="323"/>
        <v>61302</v>
      </c>
      <c r="Y533" s="64">
        <f t="shared" ca="1" si="324"/>
        <v>0</v>
      </c>
      <c r="Z533" s="64">
        <f t="shared" ca="1" si="325"/>
        <v>0</v>
      </c>
      <c r="AA533" s="64">
        <f t="shared" ca="1" si="326"/>
        <v>0</v>
      </c>
      <c r="AB533" s="64">
        <f t="shared" ca="1" si="327"/>
        <v>0</v>
      </c>
      <c r="AF533" t="str">
        <f t="shared" ca="1" si="307"/>
        <v>92000</v>
      </c>
      <c r="AG533" s="126">
        <f t="shared" ca="1" si="308"/>
        <v>0</v>
      </c>
      <c r="AH533" s="126">
        <f t="shared" ca="1" si="309"/>
        <v>0</v>
      </c>
      <c r="AI533" s="126">
        <f t="shared" ca="1" si="310"/>
        <v>0</v>
      </c>
      <c r="AJ533" t="str">
        <f t="shared" ca="1" si="311"/>
        <v>112067</v>
      </c>
      <c r="AK533" s="126">
        <f t="shared" ca="1" si="328"/>
        <v>0</v>
      </c>
      <c r="AL533" s="126">
        <f t="shared" ca="1" si="329"/>
        <v>0</v>
      </c>
      <c r="AM533" s="126">
        <f t="shared" ca="1" si="342"/>
        <v>0</v>
      </c>
      <c r="AN533" s="753">
        <f t="shared" ca="1" si="343"/>
        <v>0</v>
      </c>
      <c r="AO533" s="750">
        <f t="shared" ca="1" si="330"/>
        <v>0</v>
      </c>
      <c r="AP533" s="126">
        <f t="shared" ca="1" si="331"/>
        <v>0</v>
      </c>
      <c r="AQ533" s="126">
        <f t="shared" ca="1" si="332"/>
        <v>0</v>
      </c>
      <c r="AR533" s="126">
        <f t="shared" ca="1" si="312"/>
        <v>10000</v>
      </c>
      <c r="AS533" s="750">
        <f t="shared" ca="1" si="313"/>
        <v>0</v>
      </c>
      <c r="AT533" s="750">
        <f t="shared" ca="1" si="314"/>
        <v>0</v>
      </c>
      <c r="AU533" s="126">
        <f t="shared" ca="1" si="333"/>
        <v>0</v>
      </c>
      <c r="AV533" s="126">
        <f t="shared" ca="1" si="334"/>
        <v>0</v>
      </c>
      <c r="AW533" s="126">
        <f t="shared" ca="1" si="315"/>
        <v>10000</v>
      </c>
      <c r="AX533" s="750">
        <f t="shared" ca="1" si="335"/>
        <v>0</v>
      </c>
      <c r="AY533" s="750">
        <f t="shared" ca="1" si="336"/>
        <v>0</v>
      </c>
      <c r="AZ533">
        <f t="shared" si="337"/>
        <v>5750</v>
      </c>
    </row>
    <row r="534" spans="4:52">
      <c r="D534">
        <v>527</v>
      </c>
      <c r="E534" s="6">
        <f t="shared" ca="1" si="316"/>
        <v>36739</v>
      </c>
      <c r="F534" s="7">
        <f t="shared" ca="1" si="317"/>
        <v>0</v>
      </c>
      <c r="G534" s="125">
        <f ca="1">IF('Simulador - 1º Pilar'!$E$99="Sí",IF('Aportaciones PPE'!$B$13&lt;'Aportaciones PPE'!E534,0,F534*$B$8/12),F534*$B$8/12)</f>
        <v>0</v>
      </c>
      <c r="H534" s="125">
        <f t="shared" ca="1" si="306"/>
        <v>0</v>
      </c>
      <c r="I534" s="125">
        <f t="shared" ca="1" si="318"/>
        <v>0</v>
      </c>
      <c r="J534" s="125">
        <f t="shared" ca="1" si="319"/>
        <v>0</v>
      </c>
      <c r="K534" s="125">
        <f t="shared" ca="1" si="320"/>
        <v>0</v>
      </c>
      <c r="L534" s="125">
        <f t="shared" ca="1" si="338"/>
        <v>0</v>
      </c>
      <c r="M534" s="125">
        <f t="shared" ca="1" si="321"/>
        <v>0</v>
      </c>
      <c r="N534" s="125">
        <f t="shared" ca="1" si="322"/>
        <v>0</v>
      </c>
      <c r="R534">
        <f t="shared" si="339"/>
        <v>527</v>
      </c>
      <c r="U534" s="55"/>
      <c r="V534">
        <f t="shared" si="340"/>
        <v>12</v>
      </c>
      <c r="W534">
        <f t="shared" ca="1" si="341"/>
        <v>2067</v>
      </c>
      <c r="X534" s="123">
        <f t="shared" ca="1" si="323"/>
        <v>61332</v>
      </c>
      <c r="Y534" s="64">
        <f t="shared" ca="1" si="324"/>
        <v>0</v>
      </c>
      <c r="Z534" s="64">
        <f t="shared" ca="1" si="325"/>
        <v>0</v>
      </c>
      <c r="AA534" s="64">
        <f t="shared" ca="1" si="326"/>
        <v>0</v>
      </c>
      <c r="AB534" s="64">
        <f t="shared" ca="1" si="327"/>
        <v>0</v>
      </c>
      <c r="AF534" t="str">
        <f t="shared" ca="1" si="307"/>
        <v>82000</v>
      </c>
      <c r="AG534" s="126">
        <f t="shared" ca="1" si="308"/>
        <v>0</v>
      </c>
      <c r="AH534" s="126">
        <f t="shared" ca="1" si="309"/>
        <v>0</v>
      </c>
      <c r="AI534" s="126">
        <f t="shared" ca="1" si="310"/>
        <v>0</v>
      </c>
      <c r="AJ534" t="str">
        <f t="shared" ca="1" si="311"/>
        <v>122067</v>
      </c>
      <c r="AK534" s="126">
        <f t="shared" ca="1" si="328"/>
        <v>0</v>
      </c>
      <c r="AL534" s="126">
        <f t="shared" ca="1" si="329"/>
        <v>0</v>
      </c>
      <c r="AM534" s="126">
        <f t="shared" ca="1" si="342"/>
        <v>0</v>
      </c>
      <c r="AN534" s="753">
        <f t="shared" ca="1" si="343"/>
        <v>0</v>
      </c>
      <c r="AO534" s="750">
        <f t="shared" ca="1" si="330"/>
        <v>0</v>
      </c>
      <c r="AP534" s="126">
        <f t="shared" ca="1" si="331"/>
        <v>0</v>
      </c>
      <c r="AQ534" s="126">
        <f t="shared" ca="1" si="332"/>
        <v>0</v>
      </c>
      <c r="AR534" s="126">
        <f t="shared" ca="1" si="312"/>
        <v>10000</v>
      </c>
      <c r="AS534" s="750">
        <f t="shared" ca="1" si="313"/>
        <v>0</v>
      </c>
      <c r="AT534" s="750">
        <f t="shared" ca="1" si="314"/>
        <v>0</v>
      </c>
      <c r="AU534" s="126">
        <f t="shared" ca="1" si="333"/>
        <v>0</v>
      </c>
      <c r="AV534" s="126">
        <f t="shared" ca="1" si="334"/>
        <v>0</v>
      </c>
      <c r="AW534" s="126">
        <f t="shared" ca="1" si="315"/>
        <v>10000</v>
      </c>
      <c r="AX534" s="750">
        <f t="shared" ca="1" si="335"/>
        <v>0</v>
      </c>
      <c r="AY534" s="750">
        <f t="shared" ca="1" si="336"/>
        <v>0</v>
      </c>
      <c r="AZ534">
        <f t="shared" si="337"/>
        <v>5750</v>
      </c>
    </row>
    <row r="535" spans="4:52">
      <c r="D535">
        <v>528</v>
      </c>
      <c r="E535" s="6">
        <f t="shared" ca="1" si="316"/>
        <v>36708</v>
      </c>
      <c r="F535" s="7">
        <f t="shared" ca="1" si="317"/>
        <v>0</v>
      </c>
      <c r="G535" s="125">
        <f ca="1">IF('Simulador - 1º Pilar'!$E$99="Sí",IF('Aportaciones PPE'!$B$13&lt;'Aportaciones PPE'!E535,0,F535*$B$8/12),F535*$B$8/12)</f>
        <v>0</v>
      </c>
      <c r="H535" s="125">
        <f t="shared" ca="1" si="306"/>
        <v>0</v>
      </c>
      <c r="I535" s="125">
        <f t="shared" ca="1" si="318"/>
        <v>0</v>
      </c>
      <c r="J535" s="125">
        <f t="shared" ca="1" si="319"/>
        <v>0</v>
      </c>
      <c r="K535" s="125">
        <f t="shared" ca="1" si="320"/>
        <v>0</v>
      </c>
      <c r="L535" s="125">
        <f t="shared" ca="1" si="338"/>
        <v>0</v>
      </c>
      <c r="M535" s="125">
        <f t="shared" ca="1" si="321"/>
        <v>0</v>
      </c>
      <c r="N535" s="125">
        <f t="shared" ca="1" si="322"/>
        <v>0</v>
      </c>
      <c r="R535">
        <f t="shared" si="339"/>
        <v>528</v>
      </c>
      <c r="U535" s="55"/>
      <c r="V535">
        <f t="shared" si="340"/>
        <v>1</v>
      </c>
      <c r="W535">
        <f t="shared" ca="1" si="341"/>
        <v>2068</v>
      </c>
      <c r="X535" s="123">
        <f t="shared" ca="1" si="323"/>
        <v>61363</v>
      </c>
      <c r="Y535" s="64">
        <f t="shared" ca="1" si="324"/>
        <v>0</v>
      </c>
      <c r="Z535" s="64">
        <f t="shared" ca="1" si="325"/>
        <v>0</v>
      </c>
      <c r="AA535" s="64">
        <f t="shared" ca="1" si="326"/>
        <v>0</v>
      </c>
      <c r="AB535" s="64">
        <f t="shared" ca="1" si="327"/>
        <v>0</v>
      </c>
      <c r="AF535" t="str">
        <f t="shared" ca="1" si="307"/>
        <v>72000</v>
      </c>
      <c r="AG535" s="126">
        <f t="shared" ca="1" si="308"/>
        <v>0</v>
      </c>
      <c r="AH535" s="126">
        <f t="shared" ca="1" si="309"/>
        <v>0</v>
      </c>
      <c r="AI535" s="126">
        <f t="shared" ca="1" si="310"/>
        <v>0</v>
      </c>
      <c r="AJ535" t="str">
        <f t="shared" ca="1" si="311"/>
        <v>12068</v>
      </c>
      <c r="AK535" s="126">
        <f t="shared" ca="1" si="328"/>
        <v>0</v>
      </c>
      <c r="AL535" s="126">
        <f t="shared" ca="1" si="329"/>
        <v>0</v>
      </c>
      <c r="AM535" s="126">
        <f t="shared" ca="1" si="342"/>
        <v>0</v>
      </c>
      <c r="AN535" s="753">
        <f t="shared" ca="1" si="343"/>
        <v>0</v>
      </c>
      <c r="AO535" s="750">
        <f t="shared" ca="1" si="330"/>
        <v>0</v>
      </c>
      <c r="AP535" s="126">
        <f t="shared" ca="1" si="331"/>
        <v>0</v>
      </c>
      <c r="AQ535" s="126">
        <f t="shared" ca="1" si="332"/>
        <v>0</v>
      </c>
      <c r="AR535" s="126">
        <f t="shared" ca="1" si="312"/>
        <v>10000</v>
      </c>
      <c r="AS535" s="750">
        <f t="shared" ca="1" si="313"/>
        <v>0</v>
      </c>
      <c r="AT535" s="750">
        <f t="shared" ca="1" si="314"/>
        <v>0</v>
      </c>
      <c r="AU535" s="126">
        <f t="shared" ca="1" si="333"/>
        <v>0</v>
      </c>
      <c r="AV535" s="126">
        <f t="shared" ca="1" si="334"/>
        <v>0</v>
      </c>
      <c r="AW535" s="126">
        <f t="shared" ca="1" si="315"/>
        <v>10000</v>
      </c>
      <c r="AX535" s="750">
        <f t="shared" ca="1" si="335"/>
        <v>0</v>
      </c>
      <c r="AY535" s="750">
        <f t="shared" ca="1" si="336"/>
        <v>0</v>
      </c>
      <c r="AZ535">
        <f t="shared" si="337"/>
        <v>5750</v>
      </c>
    </row>
    <row r="536" spans="4:52">
      <c r="D536">
        <v>529</v>
      </c>
      <c r="E536" s="6">
        <f t="shared" ca="1" si="316"/>
        <v>36678</v>
      </c>
      <c r="F536" s="7">
        <f t="shared" ca="1" si="317"/>
        <v>0</v>
      </c>
      <c r="G536" s="125">
        <f ca="1">IF('Simulador - 1º Pilar'!$E$99="Sí",IF('Aportaciones PPE'!$B$13&lt;'Aportaciones PPE'!E536,0,F536*$B$8/12),F536*$B$8/12)</f>
        <v>0</v>
      </c>
      <c r="H536" s="125">
        <f t="shared" ca="1" si="306"/>
        <v>0</v>
      </c>
      <c r="I536" s="125">
        <f t="shared" ca="1" si="318"/>
        <v>0</v>
      </c>
      <c r="J536" s="125">
        <f t="shared" ca="1" si="319"/>
        <v>0</v>
      </c>
      <c r="K536" s="125">
        <f t="shared" ca="1" si="320"/>
        <v>0</v>
      </c>
      <c r="L536" s="125">
        <f t="shared" ca="1" si="338"/>
        <v>0</v>
      </c>
      <c r="M536" s="125">
        <f t="shared" ca="1" si="321"/>
        <v>0</v>
      </c>
      <c r="N536" s="125">
        <f t="shared" ca="1" si="322"/>
        <v>0</v>
      </c>
      <c r="R536">
        <f t="shared" si="339"/>
        <v>529</v>
      </c>
      <c r="U536" s="55"/>
      <c r="V536">
        <f t="shared" si="340"/>
        <v>2</v>
      </c>
      <c r="W536">
        <f t="shared" ca="1" si="341"/>
        <v>2068</v>
      </c>
      <c r="X536" s="123">
        <f t="shared" ca="1" si="323"/>
        <v>61394</v>
      </c>
      <c r="Y536" s="64">
        <f t="shared" ca="1" si="324"/>
        <v>0</v>
      </c>
      <c r="Z536" s="64">
        <f t="shared" ca="1" si="325"/>
        <v>0</v>
      </c>
      <c r="AA536" s="64">
        <f t="shared" ca="1" si="326"/>
        <v>0</v>
      </c>
      <c r="AB536" s="64">
        <f t="shared" ca="1" si="327"/>
        <v>0</v>
      </c>
      <c r="AF536" t="str">
        <f t="shared" ca="1" si="307"/>
        <v>62000</v>
      </c>
      <c r="AG536" s="126">
        <f t="shared" ca="1" si="308"/>
        <v>0</v>
      </c>
      <c r="AH536" s="126">
        <f t="shared" ca="1" si="309"/>
        <v>0</v>
      </c>
      <c r="AI536" s="126">
        <f t="shared" ca="1" si="310"/>
        <v>0</v>
      </c>
      <c r="AJ536" t="str">
        <f t="shared" ca="1" si="311"/>
        <v>22068</v>
      </c>
      <c r="AK536" s="126">
        <f t="shared" ca="1" si="328"/>
        <v>0</v>
      </c>
      <c r="AL536" s="126">
        <f t="shared" ca="1" si="329"/>
        <v>0</v>
      </c>
      <c r="AM536" s="126">
        <f t="shared" ca="1" si="342"/>
        <v>0</v>
      </c>
      <c r="AN536" s="753">
        <f t="shared" ca="1" si="343"/>
        <v>0</v>
      </c>
      <c r="AO536" s="750">
        <f t="shared" ca="1" si="330"/>
        <v>0</v>
      </c>
      <c r="AP536" s="126">
        <f t="shared" ca="1" si="331"/>
        <v>0</v>
      </c>
      <c r="AQ536" s="126">
        <f t="shared" ca="1" si="332"/>
        <v>0</v>
      </c>
      <c r="AR536" s="126">
        <f t="shared" ca="1" si="312"/>
        <v>10000</v>
      </c>
      <c r="AS536" s="750">
        <f t="shared" ca="1" si="313"/>
        <v>0</v>
      </c>
      <c r="AT536" s="750">
        <f t="shared" ca="1" si="314"/>
        <v>0</v>
      </c>
      <c r="AU536" s="126">
        <f t="shared" ca="1" si="333"/>
        <v>0</v>
      </c>
      <c r="AV536" s="126">
        <f t="shared" ca="1" si="334"/>
        <v>0</v>
      </c>
      <c r="AW536" s="126">
        <f t="shared" ca="1" si="315"/>
        <v>10000</v>
      </c>
      <c r="AX536" s="750">
        <f t="shared" ca="1" si="335"/>
        <v>0</v>
      </c>
      <c r="AY536" s="750">
        <f t="shared" ca="1" si="336"/>
        <v>0</v>
      </c>
      <c r="AZ536">
        <f t="shared" si="337"/>
        <v>5750</v>
      </c>
    </row>
    <row r="537" spans="4:52">
      <c r="D537">
        <v>530</v>
      </c>
      <c r="E537" s="6">
        <f t="shared" ca="1" si="316"/>
        <v>36647</v>
      </c>
      <c r="F537" s="7">
        <f t="shared" ca="1" si="317"/>
        <v>0</v>
      </c>
      <c r="G537" s="125">
        <f ca="1">IF('Simulador - 1º Pilar'!$E$99="Sí",IF('Aportaciones PPE'!$B$13&lt;'Aportaciones PPE'!E537,0,F537*$B$8/12),F537*$B$8/12)</f>
        <v>0</v>
      </c>
      <c r="H537" s="125">
        <f t="shared" ca="1" si="306"/>
        <v>0</v>
      </c>
      <c r="I537" s="125">
        <f t="shared" ca="1" si="318"/>
        <v>0</v>
      </c>
      <c r="J537" s="125">
        <f t="shared" ca="1" si="319"/>
        <v>0</v>
      </c>
      <c r="K537" s="125">
        <f t="shared" ca="1" si="320"/>
        <v>0</v>
      </c>
      <c r="L537" s="125">
        <f t="shared" ca="1" si="338"/>
        <v>0</v>
      </c>
      <c r="M537" s="125">
        <f t="shared" ca="1" si="321"/>
        <v>0</v>
      </c>
      <c r="N537" s="125">
        <f t="shared" ca="1" si="322"/>
        <v>0</v>
      </c>
      <c r="R537">
        <f t="shared" si="339"/>
        <v>530</v>
      </c>
      <c r="U537" s="55"/>
      <c r="V537">
        <f t="shared" si="340"/>
        <v>3</v>
      </c>
      <c r="W537">
        <f t="shared" ca="1" si="341"/>
        <v>2068</v>
      </c>
      <c r="X537" s="123">
        <f t="shared" ca="1" si="323"/>
        <v>61423</v>
      </c>
      <c r="Y537" s="64">
        <f t="shared" ca="1" si="324"/>
        <v>0</v>
      </c>
      <c r="Z537" s="64">
        <f t="shared" ca="1" si="325"/>
        <v>0</v>
      </c>
      <c r="AA537" s="64">
        <f t="shared" ca="1" si="326"/>
        <v>0</v>
      </c>
      <c r="AB537" s="64">
        <f t="shared" ca="1" si="327"/>
        <v>0</v>
      </c>
      <c r="AF537" t="str">
        <f t="shared" ca="1" si="307"/>
        <v>52000</v>
      </c>
      <c r="AG537" s="126">
        <f t="shared" ca="1" si="308"/>
        <v>0</v>
      </c>
      <c r="AH537" s="126">
        <f t="shared" ca="1" si="309"/>
        <v>0</v>
      </c>
      <c r="AI537" s="126">
        <f t="shared" ca="1" si="310"/>
        <v>0</v>
      </c>
      <c r="AJ537" t="str">
        <f t="shared" ca="1" si="311"/>
        <v>32068</v>
      </c>
      <c r="AK537" s="126">
        <f t="shared" ca="1" si="328"/>
        <v>0</v>
      </c>
      <c r="AL537" s="126">
        <f t="shared" ca="1" si="329"/>
        <v>0</v>
      </c>
      <c r="AM537" s="126">
        <f t="shared" ca="1" si="342"/>
        <v>0</v>
      </c>
      <c r="AN537" s="753">
        <f t="shared" ca="1" si="343"/>
        <v>0</v>
      </c>
      <c r="AO537" s="750">
        <f t="shared" ca="1" si="330"/>
        <v>0</v>
      </c>
      <c r="AP537" s="126">
        <f t="shared" ca="1" si="331"/>
        <v>0</v>
      </c>
      <c r="AQ537" s="126">
        <f t="shared" ca="1" si="332"/>
        <v>0</v>
      </c>
      <c r="AR537" s="126">
        <f t="shared" ca="1" si="312"/>
        <v>10000</v>
      </c>
      <c r="AS537" s="750">
        <f t="shared" ca="1" si="313"/>
        <v>0</v>
      </c>
      <c r="AT537" s="750">
        <f t="shared" ca="1" si="314"/>
        <v>0</v>
      </c>
      <c r="AU537" s="126">
        <f t="shared" ca="1" si="333"/>
        <v>0</v>
      </c>
      <c r="AV537" s="126">
        <f t="shared" ca="1" si="334"/>
        <v>0</v>
      </c>
      <c r="AW537" s="126">
        <f t="shared" ca="1" si="315"/>
        <v>10000</v>
      </c>
      <c r="AX537" s="750">
        <f t="shared" ca="1" si="335"/>
        <v>0</v>
      </c>
      <c r="AY537" s="750">
        <f t="shared" ca="1" si="336"/>
        <v>0</v>
      </c>
      <c r="AZ537">
        <f t="shared" si="337"/>
        <v>5750</v>
      </c>
    </row>
    <row r="538" spans="4:52">
      <c r="D538">
        <v>531</v>
      </c>
      <c r="E538" s="6">
        <f t="shared" ca="1" si="316"/>
        <v>36617</v>
      </c>
      <c r="F538" s="7">
        <f t="shared" ca="1" si="317"/>
        <v>0</v>
      </c>
      <c r="G538" s="125">
        <f ca="1">IF('Simulador - 1º Pilar'!$E$99="Sí",IF('Aportaciones PPE'!$B$13&lt;'Aportaciones PPE'!E538,0,F538*$B$8/12),F538*$B$8/12)</f>
        <v>0</v>
      </c>
      <c r="H538" s="125">
        <f t="shared" ca="1" si="306"/>
        <v>0</v>
      </c>
      <c r="I538" s="125">
        <f t="shared" ca="1" si="318"/>
        <v>0</v>
      </c>
      <c r="J538" s="125">
        <f t="shared" ca="1" si="319"/>
        <v>0</v>
      </c>
      <c r="K538" s="125">
        <f t="shared" ca="1" si="320"/>
        <v>0</v>
      </c>
      <c r="L538" s="125">
        <f t="shared" ca="1" si="338"/>
        <v>0</v>
      </c>
      <c r="M538" s="125">
        <f t="shared" ca="1" si="321"/>
        <v>0</v>
      </c>
      <c r="N538" s="125">
        <f t="shared" ca="1" si="322"/>
        <v>0</v>
      </c>
      <c r="R538">
        <f t="shared" si="339"/>
        <v>531</v>
      </c>
      <c r="U538" s="55"/>
      <c r="V538">
        <f t="shared" si="340"/>
        <v>4</v>
      </c>
      <c r="W538">
        <f t="shared" ca="1" si="341"/>
        <v>2068</v>
      </c>
      <c r="X538" s="123">
        <f t="shared" ca="1" si="323"/>
        <v>61454</v>
      </c>
      <c r="Y538" s="64">
        <f t="shared" ca="1" si="324"/>
        <v>0</v>
      </c>
      <c r="Z538" s="64">
        <f t="shared" ca="1" si="325"/>
        <v>0</v>
      </c>
      <c r="AA538" s="64">
        <f t="shared" ca="1" si="326"/>
        <v>0</v>
      </c>
      <c r="AB538" s="64">
        <f t="shared" ca="1" si="327"/>
        <v>0</v>
      </c>
      <c r="AF538" t="str">
        <f t="shared" ca="1" si="307"/>
        <v>42000</v>
      </c>
      <c r="AG538" s="126">
        <f t="shared" ca="1" si="308"/>
        <v>0</v>
      </c>
      <c r="AH538" s="126">
        <f t="shared" ca="1" si="309"/>
        <v>0</v>
      </c>
      <c r="AI538" s="126">
        <f t="shared" ca="1" si="310"/>
        <v>0</v>
      </c>
      <c r="AJ538" t="str">
        <f t="shared" ca="1" si="311"/>
        <v>42068</v>
      </c>
      <c r="AK538" s="126">
        <f t="shared" ca="1" si="328"/>
        <v>0</v>
      </c>
      <c r="AL538" s="126">
        <f t="shared" ca="1" si="329"/>
        <v>0</v>
      </c>
      <c r="AM538" s="126">
        <f t="shared" ca="1" si="342"/>
        <v>0</v>
      </c>
      <c r="AN538" s="753">
        <f t="shared" ca="1" si="343"/>
        <v>0</v>
      </c>
      <c r="AO538" s="750">
        <f t="shared" ca="1" si="330"/>
        <v>0</v>
      </c>
      <c r="AP538" s="126">
        <f t="shared" ca="1" si="331"/>
        <v>0</v>
      </c>
      <c r="AQ538" s="126">
        <f t="shared" ca="1" si="332"/>
        <v>0</v>
      </c>
      <c r="AR538" s="126">
        <f t="shared" ca="1" si="312"/>
        <v>10000</v>
      </c>
      <c r="AS538" s="750">
        <f t="shared" ca="1" si="313"/>
        <v>0</v>
      </c>
      <c r="AT538" s="750">
        <f t="shared" ca="1" si="314"/>
        <v>0</v>
      </c>
      <c r="AU538" s="126">
        <f t="shared" ca="1" si="333"/>
        <v>0</v>
      </c>
      <c r="AV538" s="126">
        <f t="shared" ca="1" si="334"/>
        <v>0</v>
      </c>
      <c r="AW538" s="126">
        <f t="shared" ca="1" si="315"/>
        <v>10000</v>
      </c>
      <c r="AX538" s="750">
        <f t="shared" ca="1" si="335"/>
        <v>0</v>
      </c>
      <c r="AY538" s="750">
        <f t="shared" ca="1" si="336"/>
        <v>0</v>
      </c>
      <c r="AZ538">
        <f t="shared" si="337"/>
        <v>5750</v>
      </c>
    </row>
    <row r="539" spans="4:52">
      <c r="D539">
        <v>532</v>
      </c>
      <c r="E539" s="6">
        <f t="shared" ca="1" si="316"/>
        <v>36586</v>
      </c>
      <c r="F539" s="7">
        <f t="shared" ca="1" si="317"/>
        <v>0</v>
      </c>
      <c r="G539" s="125">
        <f ca="1">IF('Simulador - 1º Pilar'!$E$99="Sí",IF('Aportaciones PPE'!$B$13&lt;'Aportaciones PPE'!E539,0,F539*$B$8/12),F539*$B$8/12)</f>
        <v>0</v>
      </c>
      <c r="H539" s="125">
        <f t="shared" ca="1" si="306"/>
        <v>0</v>
      </c>
      <c r="I539" s="125">
        <f t="shared" ca="1" si="318"/>
        <v>0</v>
      </c>
      <c r="J539" s="125">
        <f t="shared" ca="1" si="319"/>
        <v>0</v>
      </c>
      <c r="K539" s="125">
        <f t="shared" ca="1" si="320"/>
        <v>0</v>
      </c>
      <c r="L539" s="125">
        <f t="shared" ca="1" si="338"/>
        <v>0</v>
      </c>
      <c r="M539" s="125">
        <f t="shared" ca="1" si="321"/>
        <v>0</v>
      </c>
      <c r="N539" s="125">
        <f t="shared" ca="1" si="322"/>
        <v>0</v>
      </c>
      <c r="R539">
        <f t="shared" si="339"/>
        <v>532</v>
      </c>
      <c r="U539" s="55"/>
      <c r="V539">
        <f t="shared" si="340"/>
        <v>5</v>
      </c>
      <c r="W539">
        <f t="shared" ca="1" si="341"/>
        <v>2068</v>
      </c>
      <c r="X539" s="123">
        <f t="shared" ca="1" si="323"/>
        <v>61484</v>
      </c>
      <c r="Y539" s="64">
        <f t="shared" ca="1" si="324"/>
        <v>0</v>
      </c>
      <c r="Z539" s="64">
        <f t="shared" ca="1" si="325"/>
        <v>0</v>
      </c>
      <c r="AA539" s="64">
        <f t="shared" ca="1" si="326"/>
        <v>0</v>
      </c>
      <c r="AB539" s="64">
        <f t="shared" ca="1" si="327"/>
        <v>0</v>
      </c>
      <c r="AF539" t="str">
        <f t="shared" ca="1" si="307"/>
        <v>32000</v>
      </c>
      <c r="AG539" s="126">
        <f t="shared" ca="1" si="308"/>
        <v>0</v>
      </c>
      <c r="AH539" s="126">
        <f t="shared" ca="1" si="309"/>
        <v>0</v>
      </c>
      <c r="AI539" s="126">
        <f t="shared" ca="1" si="310"/>
        <v>0</v>
      </c>
      <c r="AJ539" t="str">
        <f t="shared" ca="1" si="311"/>
        <v>52068</v>
      </c>
      <c r="AK539" s="126">
        <f t="shared" ca="1" si="328"/>
        <v>0</v>
      </c>
      <c r="AL539" s="126">
        <f t="shared" ca="1" si="329"/>
        <v>0</v>
      </c>
      <c r="AM539" s="126">
        <f t="shared" ca="1" si="342"/>
        <v>0</v>
      </c>
      <c r="AN539" s="753">
        <f t="shared" ca="1" si="343"/>
        <v>0</v>
      </c>
      <c r="AO539" s="750">
        <f t="shared" ca="1" si="330"/>
        <v>0</v>
      </c>
      <c r="AP539" s="126">
        <f t="shared" ca="1" si="331"/>
        <v>0</v>
      </c>
      <c r="AQ539" s="126">
        <f t="shared" ca="1" si="332"/>
        <v>0</v>
      </c>
      <c r="AR539" s="126">
        <f t="shared" ca="1" si="312"/>
        <v>10000</v>
      </c>
      <c r="AS539" s="750">
        <f t="shared" ca="1" si="313"/>
        <v>0</v>
      </c>
      <c r="AT539" s="750">
        <f t="shared" ca="1" si="314"/>
        <v>0</v>
      </c>
      <c r="AU539" s="126">
        <f t="shared" ca="1" si="333"/>
        <v>0</v>
      </c>
      <c r="AV539" s="126">
        <f t="shared" ca="1" si="334"/>
        <v>0</v>
      </c>
      <c r="AW539" s="126">
        <f t="shared" ca="1" si="315"/>
        <v>10000</v>
      </c>
      <c r="AX539" s="750">
        <f t="shared" ca="1" si="335"/>
        <v>0</v>
      </c>
      <c r="AY539" s="750">
        <f t="shared" ca="1" si="336"/>
        <v>0</v>
      </c>
      <c r="AZ539">
        <f t="shared" si="337"/>
        <v>5750</v>
      </c>
    </row>
    <row r="540" spans="4:52">
      <c r="D540">
        <v>533</v>
      </c>
      <c r="E540" s="6">
        <f t="shared" ca="1" si="316"/>
        <v>36557</v>
      </c>
      <c r="F540" s="7">
        <f t="shared" ca="1" si="317"/>
        <v>0</v>
      </c>
      <c r="G540" s="125">
        <f ca="1">IF('Simulador - 1º Pilar'!$E$99="Sí",IF('Aportaciones PPE'!$B$13&lt;'Aportaciones PPE'!E540,0,F540*$B$8/12),F540*$B$8/12)</f>
        <v>0</v>
      </c>
      <c r="H540" s="125">
        <f t="shared" ca="1" si="306"/>
        <v>0</v>
      </c>
      <c r="I540" s="125">
        <f t="shared" ca="1" si="318"/>
        <v>0</v>
      </c>
      <c r="J540" s="125">
        <f t="shared" ca="1" si="319"/>
        <v>0</v>
      </c>
      <c r="K540" s="125">
        <f t="shared" ca="1" si="320"/>
        <v>0</v>
      </c>
      <c r="L540" s="125">
        <f t="shared" ca="1" si="338"/>
        <v>0</v>
      </c>
      <c r="M540" s="125">
        <f t="shared" ca="1" si="321"/>
        <v>0</v>
      </c>
      <c r="N540" s="125">
        <f t="shared" ca="1" si="322"/>
        <v>0</v>
      </c>
      <c r="R540">
        <f t="shared" si="339"/>
        <v>533</v>
      </c>
      <c r="U540" s="55"/>
      <c r="V540">
        <f t="shared" si="340"/>
        <v>6</v>
      </c>
      <c r="W540">
        <f t="shared" ca="1" si="341"/>
        <v>2068</v>
      </c>
      <c r="X540" s="123">
        <f t="shared" ca="1" si="323"/>
        <v>61515</v>
      </c>
      <c r="Y540" s="64">
        <f t="shared" ca="1" si="324"/>
        <v>0</v>
      </c>
      <c r="Z540" s="64">
        <f t="shared" ca="1" si="325"/>
        <v>0</v>
      </c>
      <c r="AA540" s="64">
        <f t="shared" ca="1" si="326"/>
        <v>0</v>
      </c>
      <c r="AB540" s="64">
        <f t="shared" ca="1" si="327"/>
        <v>0</v>
      </c>
      <c r="AF540" t="str">
        <f t="shared" ca="1" si="307"/>
        <v>22000</v>
      </c>
      <c r="AG540" s="126">
        <f t="shared" ca="1" si="308"/>
        <v>0</v>
      </c>
      <c r="AH540" s="126">
        <f t="shared" ca="1" si="309"/>
        <v>0</v>
      </c>
      <c r="AI540" s="126">
        <f t="shared" ca="1" si="310"/>
        <v>0</v>
      </c>
      <c r="AJ540" t="str">
        <f t="shared" ca="1" si="311"/>
        <v>62068</v>
      </c>
      <c r="AK540" s="126">
        <f t="shared" ca="1" si="328"/>
        <v>0</v>
      </c>
      <c r="AL540" s="126">
        <f t="shared" ca="1" si="329"/>
        <v>0</v>
      </c>
      <c r="AM540" s="126">
        <f t="shared" ca="1" si="342"/>
        <v>0</v>
      </c>
      <c r="AN540" s="753">
        <f t="shared" ca="1" si="343"/>
        <v>0</v>
      </c>
      <c r="AO540" s="750">
        <f t="shared" ca="1" si="330"/>
        <v>0</v>
      </c>
      <c r="AP540" s="126">
        <f t="shared" ca="1" si="331"/>
        <v>0</v>
      </c>
      <c r="AQ540" s="126">
        <f t="shared" ca="1" si="332"/>
        <v>0</v>
      </c>
      <c r="AR540" s="126">
        <f t="shared" ca="1" si="312"/>
        <v>10000</v>
      </c>
      <c r="AS540" s="750">
        <f t="shared" ca="1" si="313"/>
        <v>0</v>
      </c>
      <c r="AT540" s="750">
        <f t="shared" ca="1" si="314"/>
        <v>0</v>
      </c>
      <c r="AU540" s="126">
        <f t="shared" ca="1" si="333"/>
        <v>0</v>
      </c>
      <c r="AV540" s="126">
        <f t="shared" ca="1" si="334"/>
        <v>0</v>
      </c>
      <c r="AW540" s="126">
        <f t="shared" ca="1" si="315"/>
        <v>10000</v>
      </c>
      <c r="AX540" s="750">
        <f t="shared" ca="1" si="335"/>
        <v>0</v>
      </c>
      <c r="AY540" s="750">
        <f t="shared" ca="1" si="336"/>
        <v>0</v>
      </c>
      <c r="AZ540">
        <f t="shared" si="337"/>
        <v>5750</v>
      </c>
    </row>
    <row r="541" spans="4:52">
      <c r="D541">
        <v>534</v>
      </c>
      <c r="E541" s="6">
        <f t="shared" ca="1" si="316"/>
        <v>36526</v>
      </c>
      <c r="F541" s="7">
        <f t="shared" ca="1" si="317"/>
        <v>0</v>
      </c>
      <c r="G541" s="125">
        <f ca="1">IF('Simulador - 1º Pilar'!$E$99="Sí",IF('Aportaciones PPE'!$B$13&lt;'Aportaciones PPE'!E541,0,F541*$B$8/12),F541*$B$8/12)</f>
        <v>0</v>
      </c>
      <c r="H541" s="125">
        <f t="shared" ca="1" si="306"/>
        <v>0</v>
      </c>
      <c r="I541" s="125">
        <f t="shared" ca="1" si="318"/>
        <v>0</v>
      </c>
      <c r="J541" s="125">
        <f t="shared" ca="1" si="319"/>
        <v>0</v>
      </c>
      <c r="K541" s="125">
        <f t="shared" ca="1" si="320"/>
        <v>0</v>
      </c>
      <c r="L541" s="125">
        <f t="shared" ca="1" si="338"/>
        <v>0</v>
      </c>
      <c r="M541" s="125">
        <f t="shared" ca="1" si="321"/>
        <v>0</v>
      </c>
      <c r="N541" s="125">
        <f t="shared" ca="1" si="322"/>
        <v>0</v>
      </c>
      <c r="R541">
        <f t="shared" si="339"/>
        <v>534</v>
      </c>
      <c r="U541" s="55"/>
      <c r="V541">
        <f t="shared" si="340"/>
        <v>7</v>
      </c>
      <c r="W541">
        <f t="shared" ca="1" si="341"/>
        <v>2068</v>
      </c>
      <c r="X541" s="123">
        <f t="shared" ca="1" si="323"/>
        <v>61545</v>
      </c>
      <c r="Y541" s="64">
        <f t="shared" ca="1" si="324"/>
        <v>0</v>
      </c>
      <c r="Z541" s="64">
        <f t="shared" ca="1" si="325"/>
        <v>0</v>
      </c>
      <c r="AA541" s="64">
        <f t="shared" ca="1" si="326"/>
        <v>0</v>
      </c>
      <c r="AB541" s="64">
        <f t="shared" ca="1" si="327"/>
        <v>0</v>
      </c>
      <c r="AF541" t="str">
        <f t="shared" ca="1" si="307"/>
        <v>12000</v>
      </c>
      <c r="AG541" s="126">
        <f t="shared" ca="1" si="308"/>
        <v>0</v>
      </c>
      <c r="AH541" s="126">
        <f t="shared" ca="1" si="309"/>
        <v>0</v>
      </c>
      <c r="AI541" s="126">
        <f t="shared" ca="1" si="310"/>
        <v>0</v>
      </c>
      <c r="AJ541" t="str">
        <f t="shared" ca="1" si="311"/>
        <v>72068</v>
      </c>
      <c r="AK541" s="126">
        <f t="shared" ca="1" si="328"/>
        <v>0</v>
      </c>
      <c r="AL541" s="126">
        <f t="shared" ca="1" si="329"/>
        <v>0</v>
      </c>
      <c r="AM541" s="126">
        <f t="shared" ca="1" si="342"/>
        <v>0</v>
      </c>
      <c r="AN541" s="753">
        <f t="shared" ca="1" si="343"/>
        <v>0</v>
      </c>
      <c r="AO541" s="750">
        <f t="shared" ca="1" si="330"/>
        <v>0</v>
      </c>
      <c r="AP541" s="126">
        <f t="shared" ca="1" si="331"/>
        <v>0</v>
      </c>
      <c r="AQ541" s="126">
        <f t="shared" ca="1" si="332"/>
        <v>0</v>
      </c>
      <c r="AR541" s="126">
        <f t="shared" ca="1" si="312"/>
        <v>10000</v>
      </c>
      <c r="AS541" s="750">
        <f t="shared" ca="1" si="313"/>
        <v>0</v>
      </c>
      <c r="AT541" s="750">
        <f t="shared" ca="1" si="314"/>
        <v>0</v>
      </c>
      <c r="AU541" s="126">
        <f t="shared" ca="1" si="333"/>
        <v>0</v>
      </c>
      <c r="AV541" s="126">
        <f t="shared" ca="1" si="334"/>
        <v>0</v>
      </c>
      <c r="AW541" s="126">
        <f t="shared" ca="1" si="315"/>
        <v>10000</v>
      </c>
      <c r="AX541" s="750">
        <f t="shared" ca="1" si="335"/>
        <v>0</v>
      </c>
      <c r="AY541" s="750">
        <f t="shared" ca="1" si="336"/>
        <v>0</v>
      </c>
      <c r="AZ541">
        <f t="shared" si="337"/>
        <v>5750</v>
      </c>
    </row>
    <row r="542" spans="4:52">
      <c r="D542">
        <v>535</v>
      </c>
      <c r="E542" s="6">
        <f t="shared" ca="1" si="316"/>
        <v>36495</v>
      </c>
      <c r="F542" s="7">
        <f t="shared" ca="1" si="317"/>
        <v>0</v>
      </c>
      <c r="G542" s="125">
        <f ca="1">IF('Simulador - 1º Pilar'!$E$99="Sí",IF('Aportaciones PPE'!$B$13&lt;'Aportaciones PPE'!E542,0,F542*$B$8/12),F542*$B$8/12)</f>
        <v>0</v>
      </c>
      <c r="H542" s="125">
        <f t="shared" ca="1" si="306"/>
        <v>0</v>
      </c>
      <c r="I542" s="125">
        <f t="shared" ca="1" si="318"/>
        <v>0</v>
      </c>
      <c r="J542" s="125">
        <f t="shared" ca="1" si="319"/>
        <v>0</v>
      </c>
      <c r="K542" s="125">
        <f t="shared" ca="1" si="320"/>
        <v>0</v>
      </c>
      <c r="L542" s="125">
        <f t="shared" ca="1" si="338"/>
        <v>0</v>
      </c>
      <c r="M542" s="125">
        <f t="shared" ca="1" si="321"/>
        <v>0</v>
      </c>
      <c r="N542" s="125">
        <f t="shared" ca="1" si="322"/>
        <v>0</v>
      </c>
      <c r="R542">
        <f t="shared" si="339"/>
        <v>535</v>
      </c>
      <c r="U542" s="55"/>
      <c r="V542">
        <f t="shared" si="340"/>
        <v>8</v>
      </c>
      <c r="W542">
        <f t="shared" ca="1" si="341"/>
        <v>2068</v>
      </c>
      <c r="X542" s="123">
        <f t="shared" ca="1" si="323"/>
        <v>61576</v>
      </c>
      <c r="Y542" s="64">
        <f t="shared" ca="1" si="324"/>
        <v>0</v>
      </c>
      <c r="Z542" s="64">
        <f t="shared" ca="1" si="325"/>
        <v>0</v>
      </c>
      <c r="AA542" s="64">
        <f t="shared" ca="1" si="326"/>
        <v>0</v>
      </c>
      <c r="AB542" s="64">
        <f t="shared" ca="1" si="327"/>
        <v>0</v>
      </c>
      <c r="AF542" t="str">
        <f t="shared" ca="1" si="307"/>
        <v>121999</v>
      </c>
      <c r="AG542" s="126">
        <f t="shared" ca="1" si="308"/>
        <v>0</v>
      </c>
      <c r="AH542" s="126">
        <f t="shared" ca="1" si="309"/>
        <v>0</v>
      </c>
      <c r="AI542" s="126">
        <f t="shared" ca="1" si="310"/>
        <v>0</v>
      </c>
      <c r="AJ542" t="str">
        <f t="shared" ca="1" si="311"/>
        <v>82068</v>
      </c>
      <c r="AK542" s="126">
        <f t="shared" ca="1" si="328"/>
        <v>0</v>
      </c>
      <c r="AL542" s="126">
        <f t="shared" ca="1" si="329"/>
        <v>0</v>
      </c>
      <c r="AM542" s="126">
        <f t="shared" ca="1" si="342"/>
        <v>0</v>
      </c>
      <c r="AN542" s="753">
        <f t="shared" ca="1" si="343"/>
        <v>0</v>
      </c>
      <c r="AO542" s="750">
        <f t="shared" ca="1" si="330"/>
        <v>0</v>
      </c>
      <c r="AP542" s="126">
        <f t="shared" ca="1" si="331"/>
        <v>0</v>
      </c>
      <c r="AQ542" s="126">
        <f t="shared" ca="1" si="332"/>
        <v>0</v>
      </c>
      <c r="AR542" s="126">
        <f t="shared" ca="1" si="312"/>
        <v>10000</v>
      </c>
      <c r="AS542" s="750">
        <f t="shared" ca="1" si="313"/>
        <v>0</v>
      </c>
      <c r="AT542" s="750">
        <f t="shared" ca="1" si="314"/>
        <v>0</v>
      </c>
      <c r="AU542" s="126">
        <f t="shared" ca="1" si="333"/>
        <v>0</v>
      </c>
      <c r="AV542" s="126">
        <f t="shared" ca="1" si="334"/>
        <v>0</v>
      </c>
      <c r="AW542" s="126">
        <f t="shared" ca="1" si="315"/>
        <v>10000</v>
      </c>
      <c r="AX542" s="750">
        <f t="shared" ca="1" si="335"/>
        <v>0</v>
      </c>
      <c r="AY542" s="750">
        <f t="shared" ca="1" si="336"/>
        <v>0</v>
      </c>
      <c r="AZ542">
        <f t="shared" si="337"/>
        <v>5750</v>
      </c>
    </row>
    <row r="543" spans="4:52">
      <c r="D543">
        <v>536</v>
      </c>
      <c r="E543" s="6">
        <f t="shared" ca="1" si="316"/>
        <v>36465</v>
      </c>
      <c r="F543" s="7">
        <f t="shared" ca="1" si="317"/>
        <v>0</v>
      </c>
      <c r="G543" s="125">
        <f ca="1">IF('Simulador - 1º Pilar'!$E$99="Sí",IF('Aportaciones PPE'!$B$13&lt;'Aportaciones PPE'!E543,0,F543*$B$8/12),F543*$B$8/12)</f>
        <v>0</v>
      </c>
      <c r="H543" s="125">
        <f t="shared" ca="1" si="306"/>
        <v>0</v>
      </c>
      <c r="I543" s="125">
        <f t="shared" ca="1" si="318"/>
        <v>0</v>
      </c>
      <c r="J543" s="125">
        <f t="shared" ca="1" si="319"/>
        <v>0</v>
      </c>
      <c r="K543" s="125">
        <f t="shared" ca="1" si="320"/>
        <v>0</v>
      </c>
      <c r="L543" s="125">
        <f t="shared" ca="1" si="338"/>
        <v>0</v>
      </c>
      <c r="M543" s="125">
        <f t="shared" ca="1" si="321"/>
        <v>0</v>
      </c>
      <c r="N543" s="125">
        <f t="shared" ca="1" si="322"/>
        <v>0</v>
      </c>
      <c r="R543">
        <f t="shared" si="339"/>
        <v>536</v>
      </c>
      <c r="U543" s="55"/>
      <c r="V543">
        <f t="shared" si="340"/>
        <v>9</v>
      </c>
      <c r="W543">
        <f t="shared" ca="1" si="341"/>
        <v>2068</v>
      </c>
      <c r="X543" s="123">
        <f t="shared" ca="1" si="323"/>
        <v>61607</v>
      </c>
      <c r="Y543" s="64">
        <f t="shared" ca="1" si="324"/>
        <v>0</v>
      </c>
      <c r="Z543" s="64">
        <f t="shared" ca="1" si="325"/>
        <v>0</v>
      </c>
      <c r="AA543" s="64">
        <f t="shared" ca="1" si="326"/>
        <v>0</v>
      </c>
      <c r="AB543" s="64">
        <f t="shared" ca="1" si="327"/>
        <v>0</v>
      </c>
      <c r="AF543" t="str">
        <f t="shared" ca="1" si="307"/>
        <v>111999</v>
      </c>
      <c r="AG543" s="126">
        <f t="shared" ca="1" si="308"/>
        <v>0</v>
      </c>
      <c r="AH543" s="126">
        <f t="shared" ca="1" si="309"/>
        <v>0</v>
      </c>
      <c r="AI543" s="126">
        <f t="shared" ca="1" si="310"/>
        <v>0</v>
      </c>
      <c r="AJ543" t="str">
        <f t="shared" ca="1" si="311"/>
        <v>92068</v>
      </c>
      <c r="AK543" s="126">
        <f t="shared" ca="1" si="328"/>
        <v>0</v>
      </c>
      <c r="AL543" s="126">
        <f t="shared" ca="1" si="329"/>
        <v>0</v>
      </c>
      <c r="AM543" s="126">
        <f t="shared" ca="1" si="342"/>
        <v>0</v>
      </c>
      <c r="AN543" s="753">
        <f t="shared" ca="1" si="343"/>
        <v>0</v>
      </c>
      <c r="AO543" s="750">
        <f t="shared" ca="1" si="330"/>
        <v>0</v>
      </c>
      <c r="AP543" s="126">
        <f t="shared" ca="1" si="331"/>
        <v>0</v>
      </c>
      <c r="AQ543" s="126">
        <f t="shared" ca="1" si="332"/>
        <v>0</v>
      </c>
      <c r="AR543" s="126">
        <f t="shared" ca="1" si="312"/>
        <v>10000</v>
      </c>
      <c r="AS543" s="750">
        <f t="shared" ca="1" si="313"/>
        <v>0</v>
      </c>
      <c r="AT543" s="750">
        <f t="shared" ca="1" si="314"/>
        <v>0</v>
      </c>
      <c r="AU543" s="126">
        <f t="shared" ca="1" si="333"/>
        <v>0</v>
      </c>
      <c r="AV543" s="126">
        <f t="shared" ca="1" si="334"/>
        <v>0</v>
      </c>
      <c r="AW543" s="126">
        <f t="shared" ca="1" si="315"/>
        <v>10000</v>
      </c>
      <c r="AX543" s="750">
        <f t="shared" ca="1" si="335"/>
        <v>0</v>
      </c>
      <c r="AY543" s="750">
        <f t="shared" ca="1" si="336"/>
        <v>0</v>
      </c>
      <c r="AZ543">
        <f t="shared" si="337"/>
        <v>5750</v>
      </c>
    </row>
    <row r="544" spans="4:52">
      <c r="D544">
        <v>537</v>
      </c>
      <c r="E544" s="6">
        <f t="shared" ca="1" si="316"/>
        <v>36434</v>
      </c>
      <c r="F544" s="7">
        <f t="shared" ca="1" si="317"/>
        <v>0</v>
      </c>
      <c r="G544" s="125">
        <f ca="1">IF('Simulador - 1º Pilar'!$E$99="Sí",IF('Aportaciones PPE'!$B$13&lt;'Aportaciones PPE'!E544,0,F544*$B$8/12),F544*$B$8/12)</f>
        <v>0</v>
      </c>
      <c r="H544" s="125">
        <f t="shared" ca="1" si="306"/>
        <v>0</v>
      </c>
      <c r="I544" s="125">
        <f t="shared" ca="1" si="318"/>
        <v>0</v>
      </c>
      <c r="J544" s="125">
        <f t="shared" ca="1" si="319"/>
        <v>0</v>
      </c>
      <c r="K544" s="125">
        <f t="shared" ca="1" si="320"/>
        <v>0</v>
      </c>
      <c r="L544" s="125">
        <f t="shared" ca="1" si="338"/>
        <v>0</v>
      </c>
      <c r="M544" s="125">
        <f t="shared" ca="1" si="321"/>
        <v>0</v>
      </c>
      <c r="N544" s="125">
        <f t="shared" ca="1" si="322"/>
        <v>0</v>
      </c>
      <c r="R544">
        <f t="shared" si="339"/>
        <v>537</v>
      </c>
      <c r="U544" s="55"/>
      <c r="V544">
        <f t="shared" si="340"/>
        <v>10</v>
      </c>
      <c r="W544">
        <f t="shared" ca="1" si="341"/>
        <v>2068</v>
      </c>
      <c r="X544" s="123">
        <f t="shared" ca="1" si="323"/>
        <v>61637</v>
      </c>
      <c r="Y544" s="64">
        <f t="shared" ca="1" si="324"/>
        <v>0</v>
      </c>
      <c r="Z544" s="64">
        <f t="shared" ca="1" si="325"/>
        <v>0</v>
      </c>
      <c r="AA544" s="64">
        <f t="shared" ca="1" si="326"/>
        <v>0</v>
      </c>
      <c r="AB544" s="64">
        <f t="shared" ca="1" si="327"/>
        <v>0</v>
      </c>
      <c r="AF544" t="str">
        <f t="shared" ca="1" si="307"/>
        <v>101999</v>
      </c>
      <c r="AG544" s="126">
        <f t="shared" ca="1" si="308"/>
        <v>0</v>
      </c>
      <c r="AH544" s="126">
        <f t="shared" ca="1" si="309"/>
        <v>0</v>
      </c>
      <c r="AI544" s="126">
        <f t="shared" ca="1" si="310"/>
        <v>0</v>
      </c>
      <c r="AJ544" t="str">
        <f t="shared" ca="1" si="311"/>
        <v>102068</v>
      </c>
      <c r="AK544" s="126">
        <f t="shared" ca="1" si="328"/>
        <v>0</v>
      </c>
      <c r="AL544" s="126">
        <f t="shared" ca="1" si="329"/>
        <v>0</v>
      </c>
      <c r="AM544" s="126">
        <f t="shared" ca="1" si="342"/>
        <v>0</v>
      </c>
      <c r="AN544" s="753">
        <f t="shared" ca="1" si="343"/>
        <v>0</v>
      </c>
      <c r="AO544" s="750">
        <f t="shared" ca="1" si="330"/>
        <v>0</v>
      </c>
      <c r="AP544" s="126">
        <f t="shared" ca="1" si="331"/>
        <v>0</v>
      </c>
      <c r="AQ544" s="126">
        <f t="shared" ca="1" si="332"/>
        <v>0</v>
      </c>
      <c r="AR544" s="126">
        <f t="shared" ca="1" si="312"/>
        <v>10000</v>
      </c>
      <c r="AS544" s="750">
        <f t="shared" ca="1" si="313"/>
        <v>0</v>
      </c>
      <c r="AT544" s="750">
        <f t="shared" ca="1" si="314"/>
        <v>0</v>
      </c>
      <c r="AU544" s="126">
        <f t="shared" ca="1" si="333"/>
        <v>0</v>
      </c>
      <c r="AV544" s="126">
        <f t="shared" ca="1" si="334"/>
        <v>0</v>
      </c>
      <c r="AW544" s="126">
        <f t="shared" ca="1" si="315"/>
        <v>10000</v>
      </c>
      <c r="AX544" s="750">
        <f t="shared" ca="1" si="335"/>
        <v>0</v>
      </c>
      <c r="AY544" s="750">
        <f t="shared" ca="1" si="336"/>
        <v>0</v>
      </c>
      <c r="AZ544">
        <f t="shared" si="337"/>
        <v>5750</v>
      </c>
    </row>
    <row r="545" spans="4:52">
      <c r="D545">
        <v>538</v>
      </c>
      <c r="E545" s="6">
        <f t="shared" ca="1" si="316"/>
        <v>36404</v>
      </c>
      <c r="F545" s="7">
        <f t="shared" ca="1" si="317"/>
        <v>0</v>
      </c>
      <c r="G545" s="125">
        <f ca="1">IF('Simulador - 1º Pilar'!$E$99="Sí",IF('Aportaciones PPE'!$B$13&lt;'Aportaciones PPE'!E545,0,F545*$B$8/12),F545*$B$8/12)</f>
        <v>0</v>
      </c>
      <c r="H545" s="125">
        <f t="shared" ca="1" si="306"/>
        <v>0</v>
      </c>
      <c r="I545" s="125">
        <f t="shared" ca="1" si="318"/>
        <v>0</v>
      </c>
      <c r="J545" s="125">
        <f t="shared" ca="1" si="319"/>
        <v>0</v>
      </c>
      <c r="K545" s="125">
        <f t="shared" ca="1" si="320"/>
        <v>0</v>
      </c>
      <c r="L545" s="125">
        <f t="shared" ca="1" si="338"/>
        <v>0</v>
      </c>
      <c r="M545" s="125">
        <f t="shared" ca="1" si="321"/>
        <v>0</v>
      </c>
      <c r="N545" s="125">
        <f t="shared" ca="1" si="322"/>
        <v>0</v>
      </c>
      <c r="R545">
        <f t="shared" si="339"/>
        <v>538</v>
      </c>
      <c r="U545" s="55"/>
      <c r="V545">
        <f t="shared" si="340"/>
        <v>11</v>
      </c>
      <c r="W545">
        <f t="shared" ca="1" si="341"/>
        <v>2068</v>
      </c>
      <c r="X545" s="123">
        <f t="shared" ca="1" si="323"/>
        <v>61668</v>
      </c>
      <c r="Y545" s="64">
        <f t="shared" ca="1" si="324"/>
        <v>0</v>
      </c>
      <c r="Z545" s="64">
        <f t="shared" ca="1" si="325"/>
        <v>0</v>
      </c>
      <c r="AA545" s="64">
        <f t="shared" ca="1" si="326"/>
        <v>0</v>
      </c>
      <c r="AB545" s="64">
        <f t="shared" ca="1" si="327"/>
        <v>0</v>
      </c>
      <c r="AF545" t="str">
        <f t="shared" ca="1" si="307"/>
        <v>91999</v>
      </c>
      <c r="AG545" s="126">
        <f t="shared" ca="1" si="308"/>
        <v>0</v>
      </c>
      <c r="AH545" s="126">
        <f t="shared" ca="1" si="309"/>
        <v>0</v>
      </c>
      <c r="AI545" s="126">
        <f t="shared" ca="1" si="310"/>
        <v>0</v>
      </c>
      <c r="AJ545" t="str">
        <f t="shared" ca="1" si="311"/>
        <v>112068</v>
      </c>
      <c r="AK545" s="126">
        <f t="shared" ca="1" si="328"/>
        <v>0</v>
      </c>
      <c r="AL545" s="126">
        <f t="shared" ca="1" si="329"/>
        <v>0</v>
      </c>
      <c r="AM545" s="126">
        <f t="shared" ca="1" si="342"/>
        <v>0</v>
      </c>
      <c r="AN545" s="753">
        <f t="shared" ca="1" si="343"/>
        <v>0</v>
      </c>
      <c r="AO545" s="750">
        <f t="shared" ca="1" si="330"/>
        <v>0</v>
      </c>
      <c r="AP545" s="126">
        <f t="shared" ca="1" si="331"/>
        <v>0</v>
      </c>
      <c r="AQ545" s="126">
        <f t="shared" ca="1" si="332"/>
        <v>0</v>
      </c>
      <c r="AR545" s="126">
        <f t="shared" ca="1" si="312"/>
        <v>10000</v>
      </c>
      <c r="AS545" s="750">
        <f t="shared" ca="1" si="313"/>
        <v>0</v>
      </c>
      <c r="AT545" s="750">
        <f t="shared" ca="1" si="314"/>
        <v>0</v>
      </c>
      <c r="AU545" s="126">
        <f t="shared" ca="1" si="333"/>
        <v>0</v>
      </c>
      <c r="AV545" s="126">
        <f t="shared" ca="1" si="334"/>
        <v>0</v>
      </c>
      <c r="AW545" s="126">
        <f t="shared" ca="1" si="315"/>
        <v>10000</v>
      </c>
      <c r="AX545" s="750">
        <f t="shared" ca="1" si="335"/>
        <v>0</v>
      </c>
      <c r="AY545" s="750">
        <f t="shared" ca="1" si="336"/>
        <v>0</v>
      </c>
      <c r="AZ545">
        <f t="shared" si="337"/>
        <v>5750</v>
      </c>
    </row>
    <row r="546" spans="4:52">
      <c r="D546">
        <v>539</v>
      </c>
      <c r="E546" s="6">
        <f t="shared" ca="1" si="316"/>
        <v>36373</v>
      </c>
      <c r="F546" s="7">
        <f t="shared" ca="1" si="317"/>
        <v>0</v>
      </c>
      <c r="G546" s="125">
        <f ca="1">IF('Simulador - 1º Pilar'!$E$99="Sí",IF('Aportaciones PPE'!$B$13&lt;'Aportaciones PPE'!E546,0,F546*$B$8/12),F546*$B$8/12)</f>
        <v>0</v>
      </c>
      <c r="H546" s="125">
        <f t="shared" ca="1" si="306"/>
        <v>0</v>
      </c>
      <c r="I546" s="125">
        <f t="shared" ca="1" si="318"/>
        <v>0</v>
      </c>
      <c r="J546" s="125">
        <f t="shared" ca="1" si="319"/>
        <v>0</v>
      </c>
      <c r="K546" s="125">
        <f t="shared" ca="1" si="320"/>
        <v>0</v>
      </c>
      <c r="L546" s="125">
        <f t="shared" ca="1" si="338"/>
        <v>0</v>
      </c>
      <c r="M546" s="125">
        <f t="shared" ca="1" si="321"/>
        <v>0</v>
      </c>
      <c r="N546" s="125">
        <f t="shared" ca="1" si="322"/>
        <v>0</v>
      </c>
      <c r="R546">
        <f t="shared" si="339"/>
        <v>539</v>
      </c>
      <c r="U546" s="55"/>
      <c r="V546">
        <f t="shared" si="340"/>
        <v>12</v>
      </c>
      <c r="W546">
        <f t="shared" ca="1" si="341"/>
        <v>2068</v>
      </c>
      <c r="X546" s="123">
        <f t="shared" ca="1" si="323"/>
        <v>61698</v>
      </c>
      <c r="Y546" s="64">
        <f t="shared" ca="1" si="324"/>
        <v>0</v>
      </c>
      <c r="Z546" s="64">
        <f t="shared" ca="1" si="325"/>
        <v>0</v>
      </c>
      <c r="AA546" s="64">
        <f t="shared" ca="1" si="326"/>
        <v>0</v>
      </c>
      <c r="AB546" s="64">
        <f t="shared" ca="1" si="327"/>
        <v>0</v>
      </c>
      <c r="AF546" t="str">
        <f t="shared" ca="1" si="307"/>
        <v>81999</v>
      </c>
      <c r="AG546" s="126">
        <f t="shared" ca="1" si="308"/>
        <v>0</v>
      </c>
      <c r="AH546" s="126">
        <f t="shared" ca="1" si="309"/>
        <v>0</v>
      </c>
      <c r="AI546" s="126">
        <f t="shared" ca="1" si="310"/>
        <v>0</v>
      </c>
      <c r="AJ546" t="str">
        <f t="shared" ca="1" si="311"/>
        <v>122068</v>
      </c>
      <c r="AK546" s="126">
        <f t="shared" ca="1" si="328"/>
        <v>0</v>
      </c>
      <c r="AL546" s="126">
        <f t="shared" ca="1" si="329"/>
        <v>0</v>
      </c>
      <c r="AM546" s="126">
        <f t="shared" ca="1" si="342"/>
        <v>0</v>
      </c>
      <c r="AN546" s="753">
        <f t="shared" ca="1" si="343"/>
        <v>0</v>
      </c>
      <c r="AO546" s="750">
        <f t="shared" ca="1" si="330"/>
        <v>0</v>
      </c>
      <c r="AP546" s="126">
        <f t="shared" ca="1" si="331"/>
        <v>0</v>
      </c>
      <c r="AQ546" s="126">
        <f t="shared" ca="1" si="332"/>
        <v>0</v>
      </c>
      <c r="AR546" s="126">
        <f t="shared" ca="1" si="312"/>
        <v>10000</v>
      </c>
      <c r="AS546" s="750">
        <f t="shared" ca="1" si="313"/>
        <v>0</v>
      </c>
      <c r="AT546" s="750">
        <f t="shared" ca="1" si="314"/>
        <v>0</v>
      </c>
      <c r="AU546" s="126">
        <f t="shared" ca="1" si="333"/>
        <v>0</v>
      </c>
      <c r="AV546" s="126">
        <f t="shared" ca="1" si="334"/>
        <v>0</v>
      </c>
      <c r="AW546" s="126">
        <f t="shared" ca="1" si="315"/>
        <v>10000</v>
      </c>
      <c r="AX546" s="750">
        <f t="shared" ca="1" si="335"/>
        <v>0</v>
      </c>
      <c r="AY546" s="750">
        <f t="shared" ca="1" si="336"/>
        <v>0</v>
      </c>
      <c r="AZ546">
        <f t="shared" si="337"/>
        <v>5750</v>
      </c>
    </row>
    <row r="547" spans="4:52">
      <c r="D547">
        <v>540</v>
      </c>
      <c r="E547" s="6">
        <f t="shared" ca="1" si="316"/>
        <v>36342</v>
      </c>
      <c r="F547" s="7">
        <f t="shared" ca="1" si="317"/>
        <v>0</v>
      </c>
      <c r="G547" s="125">
        <f ca="1">IF('Simulador - 1º Pilar'!$E$99="Sí",IF('Aportaciones PPE'!$B$13&lt;'Aportaciones PPE'!E547,0,F547*$B$8/12),F547*$B$8/12)</f>
        <v>0</v>
      </c>
      <c r="H547" s="125">
        <f t="shared" ca="1" si="306"/>
        <v>0</v>
      </c>
      <c r="I547" s="125">
        <f t="shared" ca="1" si="318"/>
        <v>0</v>
      </c>
      <c r="J547" s="125">
        <f t="shared" ca="1" si="319"/>
        <v>0</v>
      </c>
      <c r="K547" s="125">
        <f t="shared" ca="1" si="320"/>
        <v>0</v>
      </c>
      <c r="L547" s="125">
        <f t="shared" ca="1" si="338"/>
        <v>0</v>
      </c>
      <c r="M547" s="125">
        <f t="shared" ca="1" si="321"/>
        <v>0</v>
      </c>
      <c r="N547" s="125">
        <f t="shared" ca="1" si="322"/>
        <v>0</v>
      </c>
      <c r="R547">
        <f t="shared" si="339"/>
        <v>540</v>
      </c>
      <c r="U547" s="55"/>
      <c r="V547">
        <f t="shared" si="340"/>
        <v>1</v>
      </c>
      <c r="W547">
        <f t="shared" ca="1" si="341"/>
        <v>2069</v>
      </c>
      <c r="X547" s="123">
        <f t="shared" ca="1" si="323"/>
        <v>61729</v>
      </c>
      <c r="Y547" s="64">
        <f t="shared" ca="1" si="324"/>
        <v>0</v>
      </c>
      <c r="Z547" s="64">
        <f t="shared" ca="1" si="325"/>
        <v>0</v>
      </c>
      <c r="AA547" s="64">
        <f t="shared" ca="1" si="326"/>
        <v>0</v>
      </c>
      <c r="AB547" s="64">
        <f t="shared" ca="1" si="327"/>
        <v>0</v>
      </c>
      <c r="AF547" t="str">
        <f t="shared" ca="1" si="307"/>
        <v>71999</v>
      </c>
      <c r="AG547" s="126">
        <f t="shared" ca="1" si="308"/>
        <v>0</v>
      </c>
      <c r="AH547" s="126">
        <f t="shared" ca="1" si="309"/>
        <v>0</v>
      </c>
      <c r="AI547" s="126">
        <f t="shared" ca="1" si="310"/>
        <v>0</v>
      </c>
      <c r="AJ547" t="str">
        <f t="shared" ca="1" si="311"/>
        <v>12069</v>
      </c>
      <c r="AK547" s="126">
        <f t="shared" ca="1" si="328"/>
        <v>0</v>
      </c>
      <c r="AL547" s="126">
        <f t="shared" ca="1" si="329"/>
        <v>0</v>
      </c>
      <c r="AM547" s="126">
        <f t="shared" ca="1" si="342"/>
        <v>0</v>
      </c>
      <c r="AN547" s="753">
        <f t="shared" ca="1" si="343"/>
        <v>0</v>
      </c>
      <c r="AO547" s="750">
        <f t="shared" ca="1" si="330"/>
        <v>0</v>
      </c>
      <c r="AP547" s="126">
        <f t="shared" ca="1" si="331"/>
        <v>0</v>
      </c>
      <c r="AQ547" s="126">
        <f t="shared" ca="1" si="332"/>
        <v>0</v>
      </c>
      <c r="AR547" s="126">
        <f t="shared" ca="1" si="312"/>
        <v>10000</v>
      </c>
      <c r="AS547" s="750">
        <f t="shared" ca="1" si="313"/>
        <v>0</v>
      </c>
      <c r="AT547" s="750">
        <f t="shared" ca="1" si="314"/>
        <v>0</v>
      </c>
      <c r="AU547" s="126">
        <f t="shared" ca="1" si="333"/>
        <v>0</v>
      </c>
      <c r="AV547" s="126">
        <f t="shared" ca="1" si="334"/>
        <v>0</v>
      </c>
      <c r="AW547" s="126">
        <f t="shared" ca="1" si="315"/>
        <v>10000</v>
      </c>
      <c r="AX547" s="750">
        <f t="shared" ca="1" si="335"/>
        <v>0</v>
      </c>
      <c r="AY547" s="750">
        <f t="shared" ca="1" si="336"/>
        <v>0</v>
      </c>
      <c r="AZ547">
        <f t="shared" si="337"/>
        <v>5750</v>
      </c>
    </row>
    <row r="548" spans="4:52">
      <c r="D548">
        <v>541</v>
      </c>
      <c r="E548" s="6">
        <f t="shared" ca="1" si="316"/>
        <v>36312</v>
      </c>
      <c r="F548" s="7">
        <f t="shared" ca="1" si="317"/>
        <v>0</v>
      </c>
      <c r="G548" s="125">
        <f ca="1">IF('Simulador - 1º Pilar'!$E$99="Sí",IF('Aportaciones PPE'!$B$13&lt;'Aportaciones PPE'!E548,0,F548*$B$8/12),F548*$B$8/12)</f>
        <v>0</v>
      </c>
      <c r="H548" s="125">
        <f t="shared" ca="1" si="306"/>
        <v>0</v>
      </c>
      <c r="I548" s="125">
        <f t="shared" ca="1" si="318"/>
        <v>0</v>
      </c>
      <c r="J548" s="125">
        <f t="shared" ca="1" si="319"/>
        <v>0</v>
      </c>
      <c r="K548" s="125">
        <f t="shared" ca="1" si="320"/>
        <v>0</v>
      </c>
      <c r="L548" s="125">
        <f t="shared" ca="1" si="338"/>
        <v>0</v>
      </c>
      <c r="M548" s="125">
        <f t="shared" ca="1" si="321"/>
        <v>0</v>
      </c>
      <c r="N548" s="125">
        <f t="shared" ca="1" si="322"/>
        <v>0</v>
      </c>
      <c r="R548">
        <f t="shared" si="339"/>
        <v>541</v>
      </c>
      <c r="U548" s="55"/>
      <c r="V548">
        <f t="shared" si="340"/>
        <v>2</v>
      </c>
      <c r="W548">
        <f t="shared" ca="1" si="341"/>
        <v>2069</v>
      </c>
      <c r="X548" s="123">
        <f t="shared" ca="1" si="323"/>
        <v>61760</v>
      </c>
      <c r="Y548" s="64">
        <f t="shared" ca="1" si="324"/>
        <v>0</v>
      </c>
      <c r="Z548" s="64">
        <f t="shared" ca="1" si="325"/>
        <v>0</v>
      </c>
      <c r="AA548" s="64">
        <f t="shared" ca="1" si="326"/>
        <v>0</v>
      </c>
      <c r="AB548" s="64">
        <f t="shared" ca="1" si="327"/>
        <v>0</v>
      </c>
      <c r="AF548" t="str">
        <f t="shared" ca="1" si="307"/>
        <v>61999</v>
      </c>
      <c r="AG548" s="126">
        <f t="shared" ca="1" si="308"/>
        <v>0</v>
      </c>
      <c r="AH548" s="126">
        <f t="shared" ca="1" si="309"/>
        <v>0</v>
      </c>
      <c r="AI548" s="126">
        <f t="shared" ca="1" si="310"/>
        <v>0</v>
      </c>
      <c r="AJ548" t="str">
        <f t="shared" ca="1" si="311"/>
        <v>22069</v>
      </c>
      <c r="AK548" s="126">
        <f t="shared" ca="1" si="328"/>
        <v>0</v>
      </c>
      <c r="AL548" s="126">
        <f t="shared" ca="1" si="329"/>
        <v>0</v>
      </c>
      <c r="AM548" s="126">
        <f t="shared" ca="1" si="342"/>
        <v>0</v>
      </c>
      <c r="AN548" s="753">
        <f t="shared" ca="1" si="343"/>
        <v>0</v>
      </c>
      <c r="AO548" s="750">
        <f t="shared" ca="1" si="330"/>
        <v>0</v>
      </c>
      <c r="AP548" s="126">
        <f t="shared" ca="1" si="331"/>
        <v>0</v>
      </c>
      <c r="AQ548" s="126">
        <f t="shared" ca="1" si="332"/>
        <v>0</v>
      </c>
      <c r="AR548" s="126">
        <f t="shared" ca="1" si="312"/>
        <v>10000</v>
      </c>
      <c r="AS548" s="750">
        <f t="shared" ca="1" si="313"/>
        <v>0</v>
      </c>
      <c r="AT548" s="750">
        <f t="shared" ca="1" si="314"/>
        <v>0</v>
      </c>
      <c r="AU548" s="126">
        <f t="shared" ca="1" si="333"/>
        <v>0</v>
      </c>
      <c r="AV548" s="126">
        <f t="shared" ca="1" si="334"/>
        <v>0</v>
      </c>
      <c r="AW548" s="126">
        <f t="shared" ca="1" si="315"/>
        <v>10000</v>
      </c>
      <c r="AX548" s="750">
        <f t="shared" ca="1" si="335"/>
        <v>0</v>
      </c>
      <c r="AY548" s="750">
        <f t="shared" ca="1" si="336"/>
        <v>0</v>
      </c>
      <c r="AZ548">
        <f t="shared" si="337"/>
        <v>5750</v>
      </c>
    </row>
    <row r="549" spans="4:52">
      <c r="D549">
        <v>542</v>
      </c>
      <c r="E549" s="6">
        <f t="shared" ca="1" si="316"/>
        <v>36281</v>
      </c>
      <c r="F549" s="7">
        <f t="shared" ca="1" si="317"/>
        <v>0</v>
      </c>
      <c r="G549" s="125">
        <f ca="1">IF('Simulador - 1º Pilar'!$E$99="Sí",IF('Aportaciones PPE'!$B$13&lt;'Aportaciones PPE'!E549,0,F549*$B$8/12),F549*$B$8/12)</f>
        <v>0</v>
      </c>
      <c r="H549" s="125">
        <f t="shared" ca="1" si="306"/>
        <v>0</v>
      </c>
      <c r="I549" s="125">
        <f t="shared" ca="1" si="318"/>
        <v>0</v>
      </c>
      <c r="J549" s="125">
        <f t="shared" ca="1" si="319"/>
        <v>0</v>
      </c>
      <c r="K549" s="125">
        <f t="shared" ca="1" si="320"/>
        <v>0</v>
      </c>
      <c r="L549" s="125">
        <f t="shared" ca="1" si="338"/>
        <v>0</v>
      </c>
      <c r="M549" s="125">
        <f t="shared" ca="1" si="321"/>
        <v>0</v>
      </c>
      <c r="N549" s="125">
        <f t="shared" ca="1" si="322"/>
        <v>0</v>
      </c>
      <c r="R549">
        <f t="shared" si="339"/>
        <v>542</v>
      </c>
      <c r="U549" s="55"/>
      <c r="V549">
        <f t="shared" si="340"/>
        <v>3</v>
      </c>
      <c r="W549">
        <f t="shared" ca="1" si="341"/>
        <v>2069</v>
      </c>
      <c r="X549" s="123">
        <f t="shared" ca="1" si="323"/>
        <v>61788</v>
      </c>
      <c r="Y549" s="64">
        <f t="shared" ca="1" si="324"/>
        <v>0</v>
      </c>
      <c r="Z549" s="64">
        <f t="shared" ca="1" si="325"/>
        <v>0</v>
      </c>
      <c r="AA549" s="64">
        <f t="shared" ca="1" si="326"/>
        <v>0</v>
      </c>
      <c r="AB549" s="64">
        <f t="shared" ca="1" si="327"/>
        <v>0</v>
      </c>
      <c r="AF549" t="str">
        <f t="shared" ca="1" si="307"/>
        <v>51999</v>
      </c>
      <c r="AG549" s="126">
        <f t="shared" ca="1" si="308"/>
        <v>0</v>
      </c>
      <c r="AH549" s="126">
        <f t="shared" ca="1" si="309"/>
        <v>0</v>
      </c>
      <c r="AI549" s="126">
        <f t="shared" ca="1" si="310"/>
        <v>0</v>
      </c>
      <c r="AJ549" t="str">
        <f t="shared" ca="1" si="311"/>
        <v>32069</v>
      </c>
      <c r="AK549" s="126">
        <f t="shared" ca="1" si="328"/>
        <v>0</v>
      </c>
      <c r="AL549" s="126">
        <f t="shared" ca="1" si="329"/>
        <v>0</v>
      </c>
      <c r="AM549" s="126">
        <f t="shared" ca="1" si="342"/>
        <v>0</v>
      </c>
      <c r="AN549" s="753">
        <f t="shared" ca="1" si="343"/>
        <v>0</v>
      </c>
      <c r="AO549" s="750">
        <f t="shared" ca="1" si="330"/>
        <v>0</v>
      </c>
      <c r="AP549" s="126">
        <f t="shared" ca="1" si="331"/>
        <v>0</v>
      </c>
      <c r="AQ549" s="126">
        <f t="shared" ca="1" si="332"/>
        <v>0</v>
      </c>
      <c r="AR549" s="126">
        <f t="shared" ca="1" si="312"/>
        <v>10000</v>
      </c>
      <c r="AS549" s="750">
        <f t="shared" ca="1" si="313"/>
        <v>0</v>
      </c>
      <c r="AT549" s="750">
        <f t="shared" ca="1" si="314"/>
        <v>0</v>
      </c>
      <c r="AU549" s="126">
        <f t="shared" ca="1" si="333"/>
        <v>0</v>
      </c>
      <c r="AV549" s="126">
        <f t="shared" ca="1" si="334"/>
        <v>0</v>
      </c>
      <c r="AW549" s="126">
        <f t="shared" ca="1" si="315"/>
        <v>10000</v>
      </c>
      <c r="AX549" s="750">
        <f t="shared" ca="1" si="335"/>
        <v>0</v>
      </c>
      <c r="AY549" s="750">
        <f t="shared" ca="1" si="336"/>
        <v>0</v>
      </c>
      <c r="AZ549">
        <f t="shared" si="337"/>
        <v>5750</v>
      </c>
    </row>
    <row r="550" spans="4:52">
      <c r="D550">
        <v>543</v>
      </c>
      <c r="E550" s="6">
        <f t="shared" ca="1" si="316"/>
        <v>36251</v>
      </c>
      <c r="F550" s="7">
        <f t="shared" ca="1" si="317"/>
        <v>0</v>
      </c>
      <c r="G550" s="125">
        <f ca="1">IF('Simulador - 1º Pilar'!$E$99="Sí",IF('Aportaciones PPE'!$B$13&lt;'Aportaciones PPE'!E550,0,F550*$B$8/12),F550*$B$8/12)</f>
        <v>0</v>
      </c>
      <c r="H550" s="125">
        <f t="shared" ca="1" si="306"/>
        <v>0</v>
      </c>
      <c r="I550" s="125">
        <f t="shared" ca="1" si="318"/>
        <v>0</v>
      </c>
      <c r="J550" s="125">
        <f t="shared" ca="1" si="319"/>
        <v>0</v>
      </c>
      <c r="K550" s="125">
        <f t="shared" ca="1" si="320"/>
        <v>0</v>
      </c>
      <c r="L550" s="125">
        <f t="shared" ca="1" si="338"/>
        <v>0</v>
      </c>
      <c r="M550" s="125">
        <f t="shared" ca="1" si="321"/>
        <v>0</v>
      </c>
      <c r="N550" s="125">
        <f t="shared" ca="1" si="322"/>
        <v>0</v>
      </c>
      <c r="R550">
        <f t="shared" si="339"/>
        <v>543</v>
      </c>
      <c r="U550" s="55"/>
      <c r="V550">
        <f t="shared" si="340"/>
        <v>4</v>
      </c>
      <c r="W550">
        <f t="shared" ca="1" si="341"/>
        <v>2069</v>
      </c>
      <c r="X550" s="123">
        <f t="shared" ca="1" si="323"/>
        <v>61819</v>
      </c>
      <c r="Y550" s="64">
        <f t="shared" ca="1" si="324"/>
        <v>0</v>
      </c>
      <c r="Z550" s="64">
        <f t="shared" ca="1" si="325"/>
        <v>0</v>
      </c>
      <c r="AA550" s="64">
        <f t="shared" ca="1" si="326"/>
        <v>0</v>
      </c>
      <c r="AB550" s="64">
        <f t="shared" ca="1" si="327"/>
        <v>0</v>
      </c>
      <c r="AF550" t="str">
        <f t="shared" ca="1" si="307"/>
        <v>41999</v>
      </c>
      <c r="AG550" s="126">
        <f t="shared" ca="1" si="308"/>
        <v>0</v>
      </c>
      <c r="AH550" s="126">
        <f t="shared" ca="1" si="309"/>
        <v>0</v>
      </c>
      <c r="AI550" s="126">
        <f t="shared" ca="1" si="310"/>
        <v>0</v>
      </c>
      <c r="AJ550" t="str">
        <f t="shared" ca="1" si="311"/>
        <v>42069</v>
      </c>
      <c r="AK550" s="126">
        <f t="shared" ca="1" si="328"/>
        <v>0</v>
      </c>
      <c r="AL550" s="126">
        <f t="shared" ca="1" si="329"/>
        <v>0</v>
      </c>
      <c r="AM550" s="126">
        <f t="shared" ca="1" si="342"/>
        <v>0</v>
      </c>
      <c r="AN550" s="753">
        <f t="shared" ca="1" si="343"/>
        <v>0</v>
      </c>
      <c r="AO550" s="750">
        <f t="shared" ca="1" si="330"/>
        <v>0</v>
      </c>
      <c r="AP550" s="126">
        <f t="shared" ca="1" si="331"/>
        <v>0</v>
      </c>
      <c r="AQ550" s="126">
        <f t="shared" ca="1" si="332"/>
        <v>0</v>
      </c>
      <c r="AR550" s="126">
        <f t="shared" ca="1" si="312"/>
        <v>10000</v>
      </c>
      <c r="AS550" s="750">
        <f t="shared" ca="1" si="313"/>
        <v>0</v>
      </c>
      <c r="AT550" s="750">
        <f t="shared" ca="1" si="314"/>
        <v>0</v>
      </c>
      <c r="AU550" s="126">
        <f t="shared" ca="1" si="333"/>
        <v>0</v>
      </c>
      <c r="AV550" s="126">
        <f t="shared" ca="1" si="334"/>
        <v>0</v>
      </c>
      <c r="AW550" s="126">
        <f t="shared" ca="1" si="315"/>
        <v>10000</v>
      </c>
      <c r="AX550" s="750">
        <f t="shared" ca="1" si="335"/>
        <v>0</v>
      </c>
      <c r="AY550" s="750">
        <f t="shared" ca="1" si="336"/>
        <v>0</v>
      </c>
      <c r="AZ550">
        <f t="shared" si="337"/>
        <v>5750</v>
      </c>
    </row>
    <row r="551" spans="4:52">
      <c r="D551">
        <v>544</v>
      </c>
      <c r="E551" s="6">
        <f t="shared" ca="1" si="316"/>
        <v>36220</v>
      </c>
      <c r="F551" s="7">
        <f t="shared" ca="1" si="317"/>
        <v>0</v>
      </c>
      <c r="G551" s="125">
        <f ca="1">IF('Simulador - 1º Pilar'!$E$99="Sí",IF('Aportaciones PPE'!$B$13&lt;'Aportaciones PPE'!E551,0,F551*$B$8/12),F551*$B$8/12)</f>
        <v>0</v>
      </c>
      <c r="H551" s="125">
        <f t="shared" ca="1" si="306"/>
        <v>0</v>
      </c>
      <c r="I551" s="125">
        <f t="shared" ca="1" si="318"/>
        <v>0</v>
      </c>
      <c r="J551" s="125">
        <f t="shared" ca="1" si="319"/>
        <v>0</v>
      </c>
      <c r="K551" s="125">
        <f t="shared" ca="1" si="320"/>
        <v>0</v>
      </c>
      <c r="L551" s="125">
        <f t="shared" ca="1" si="338"/>
        <v>0</v>
      </c>
      <c r="M551" s="125">
        <f t="shared" ca="1" si="321"/>
        <v>0</v>
      </c>
      <c r="N551" s="125">
        <f t="shared" ca="1" si="322"/>
        <v>0</v>
      </c>
      <c r="R551">
        <f t="shared" si="339"/>
        <v>544</v>
      </c>
      <c r="U551" s="55"/>
      <c r="V551">
        <f t="shared" si="340"/>
        <v>5</v>
      </c>
      <c r="W551">
        <f t="shared" ca="1" si="341"/>
        <v>2069</v>
      </c>
      <c r="X551" s="123">
        <f t="shared" ca="1" si="323"/>
        <v>61849</v>
      </c>
      <c r="Y551" s="64">
        <f t="shared" ca="1" si="324"/>
        <v>0</v>
      </c>
      <c r="Z551" s="64">
        <f t="shared" ca="1" si="325"/>
        <v>0</v>
      </c>
      <c r="AA551" s="64">
        <f t="shared" ca="1" si="326"/>
        <v>0</v>
      </c>
      <c r="AB551" s="64">
        <f t="shared" ca="1" si="327"/>
        <v>0</v>
      </c>
      <c r="AF551" t="str">
        <f t="shared" ca="1" si="307"/>
        <v>31999</v>
      </c>
      <c r="AG551" s="126">
        <f t="shared" ca="1" si="308"/>
        <v>0</v>
      </c>
      <c r="AH551" s="126">
        <f t="shared" ca="1" si="309"/>
        <v>0</v>
      </c>
      <c r="AI551" s="126">
        <f t="shared" ca="1" si="310"/>
        <v>0</v>
      </c>
      <c r="AJ551" t="str">
        <f t="shared" ca="1" si="311"/>
        <v>52069</v>
      </c>
      <c r="AK551" s="126">
        <f t="shared" ca="1" si="328"/>
        <v>0</v>
      </c>
      <c r="AL551" s="126">
        <f t="shared" ca="1" si="329"/>
        <v>0</v>
      </c>
      <c r="AM551" s="126">
        <f t="shared" ca="1" si="342"/>
        <v>0</v>
      </c>
      <c r="AN551" s="753">
        <f t="shared" ca="1" si="343"/>
        <v>0</v>
      </c>
      <c r="AO551" s="750">
        <f t="shared" ca="1" si="330"/>
        <v>0</v>
      </c>
      <c r="AP551" s="126">
        <f t="shared" ca="1" si="331"/>
        <v>0</v>
      </c>
      <c r="AQ551" s="126">
        <f t="shared" ca="1" si="332"/>
        <v>0</v>
      </c>
      <c r="AR551" s="126">
        <f t="shared" ca="1" si="312"/>
        <v>10000</v>
      </c>
      <c r="AS551" s="750">
        <f t="shared" ca="1" si="313"/>
        <v>0</v>
      </c>
      <c r="AT551" s="750">
        <f t="shared" ca="1" si="314"/>
        <v>0</v>
      </c>
      <c r="AU551" s="126">
        <f t="shared" ca="1" si="333"/>
        <v>0</v>
      </c>
      <c r="AV551" s="126">
        <f t="shared" ca="1" si="334"/>
        <v>0</v>
      </c>
      <c r="AW551" s="126">
        <f t="shared" ca="1" si="315"/>
        <v>10000</v>
      </c>
      <c r="AX551" s="750">
        <f t="shared" ca="1" si="335"/>
        <v>0</v>
      </c>
      <c r="AY551" s="750">
        <f t="shared" ca="1" si="336"/>
        <v>0</v>
      </c>
      <c r="AZ551">
        <f t="shared" si="337"/>
        <v>5750</v>
      </c>
    </row>
    <row r="552" spans="4:52">
      <c r="D552">
        <v>545</v>
      </c>
      <c r="E552" s="6">
        <f t="shared" ca="1" si="316"/>
        <v>36192</v>
      </c>
      <c r="F552" s="7">
        <f t="shared" ca="1" si="317"/>
        <v>0</v>
      </c>
      <c r="G552" s="125">
        <f ca="1">IF('Simulador - 1º Pilar'!$E$99="Sí",IF('Aportaciones PPE'!$B$13&lt;'Aportaciones PPE'!E552,0,F552*$B$8/12),F552*$B$8/12)</f>
        <v>0</v>
      </c>
      <c r="H552" s="125">
        <f t="shared" ca="1" si="306"/>
        <v>0</v>
      </c>
      <c r="I552" s="125">
        <f t="shared" ca="1" si="318"/>
        <v>0</v>
      </c>
      <c r="J552" s="125">
        <f t="shared" ca="1" si="319"/>
        <v>0</v>
      </c>
      <c r="K552" s="125">
        <f t="shared" ca="1" si="320"/>
        <v>0</v>
      </c>
      <c r="L552" s="125">
        <f t="shared" ca="1" si="338"/>
        <v>0</v>
      </c>
      <c r="M552" s="125">
        <f t="shared" ca="1" si="321"/>
        <v>0</v>
      </c>
      <c r="N552" s="125">
        <f t="shared" ca="1" si="322"/>
        <v>0</v>
      </c>
      <c r="R552">
        <f t="shared" si="339"/>
        <v>545</v>
      </c>
      <c r="U552" s="55"/>
      <c r="V552">
        <f t="shared" si="340"/>
        <v>6</v>
      </c>
      <c r="W552">
        <f t="shared" ca="1" si="341"/>
        <v>2069</v>
      </c>
      <c r="X552" s="123">
        <f t="shared" ca="1" si="323"/>
        <v>61880</v>
      </c>
      <c r="Y552" s="64">
        <f t="shared" ca="1" si="324"/>
        <v>0</v>
      </c>
      <c r="Z552" s="64">
        <f t="shared" ca="1" si="325"/>
        <v>0</v>
      </c>
      <c r="AA552" s="64">
        <f t="shared" ca="1" si="326"/>
        <v>0</v>
      </c>
      <c r="AB552" s="64">
        <f t="shared" ca="1" si="327"/>
        <v>0</v>
      </c>
      <c r="AF552" t="str">
        <f t="shared" ca="1" si="307"/>
        <v>21999</v>
      </c>
      <c r="AG552" s="126">
        <f t="shared" ca="1" si="308"/>
        <v>0</v>
      </c>
      <c r="AH552" s="126">
        <f t="shared" ca="1" si="309"/>
        <v>0</v>
      </c>
      <c r="AI552" s="126">
        <f t="shared" ca="1" si="310"/>
        <v>0</v>
      </c>
      <c r="AJ552" t="str">
        <f t="shared" ca="1" si="311"/>
        <v>62069</v>
      </c>
      <c r="AK552" s="126">
        <f t="shared" ca="1" si="328"/>
        <v>0</v>
      </c>
      <c r="AL552" s="126">
        <f t="shared" ca="1" si="329"/>
        <v>0</v>
      </c>
      <c r="AM552" s="126">
        <f t="shared" ca="1" si="342"/>
        <v>0</v>
      </c>
      <c r="AN552" s="753">
        <f t="shared" ca="1" si="343"/>
        <v>0</v>
      </c>
      <c r="AO552" s="750">
        <f t="shared" ca="1" si="330"/>
        <v>0</v>
      </c>
      <c r="AP552" s="126">
        <f t="shared" ca="1" si="331"/>
        <v>0</v>
      </c>
      <c r="AQ552" s="126">
        <f t="shared" ca="1" si="332"/>
        <v>0</v>
      </c>
      <c r="AR552" s="126">
        <f t="shared" ca="1" si="312"/>
        <v>10000</v>
      </c>
      <c r="AS552" s="750">
        <f t="shared" ca="1" si="313"/>
        <v>0</v>
      </c>
      <c r="AT552" s="750">
        <f t="shared" ca="1" si="314"/>
        <v>0</v>
      </c>
      <c r="AU552" s="126">
        <f t="shared" ca="1" si="333"/>
        <v>0</v>
      </c>
      <c r="AV552" s="126">
        <f t="shared" ca="1" si="334"/>
        <v>0</v>
      </c>
      <c r="AW552" s="126">
        <f t="shared" ca="1" si="315"/>
        <v>10000</v>
      </c>
      <c r="AX552" s="750">
        <f t="shared" ca="1" si="335"/>
        <v>0</v>
      </c>
      <c r="AY552" s="750">
        <f t="shared" ca="1" si="336"/>
        <v>0</v>
      </c>
      <c r="AZ552">
        <f t="shared" si="337"/>
        <v>5750</v>
      </c>
    </row>
    <row r="553" spans="4:52">
      <c r="D553">
        <v>546</v>
      </c>
      <c r="E553" s="6">
        <f t="shared" ca="1" si="316"/>
        <v>36161</v>
      </c>
      <c r="F553" s="7">
        <f t="shared" ca="1" si="317"/>
        <v>0</v>
      </c>
      <c r="G553" s="125">
        <f ca="1">IF('Simulador - 1º Pilar'!$E$99="Sí",IF('Aportaciones PPE'!$B$13&lt;'Aportaciones PPE'!E553,0,F553*$B$8/12),F553*$B$8/12)</f>
        <v>0</v>
      </c>
      <c r="H553" s="125">
        <f t="shared" ca="1" si="306"/>
        <v>0</v>
      </c>
      <c r="I553" s="125">
        <f t="shared" ca="1" si="318"/>
        <v>0</v>
      </c>
      <c r="J553" s="125">
        <f t="shared" ca="1" si="319"/>
        <v>0</v>
      </c>
      <c r="K553" s="125">
        <f t="shared" ca="1" si="320"/>
        <v>0</v>
      </c>
      <c r="L553" s="125">
        <f t="shared" ca="1" si="338"/>
        <v>0</v>
      </c>
      <c r="M553" s="125">
        <f t="shared" ca="1" si="321"/>
        <v>0</v>
      </c>
      <c r="N553" s="125">
        <f t="shared" ca="1" si="322"/>
        <v>0</v>
      </c>
      <c r="R553">
        <f t="shared" si="339"/>
        <v>546</v>
      </c>
      <c r="U553" s="55"/>
      <c r="V553">
        <f t="shared" si="340"/>
        <v>7</v>
      </c>
      <c r="W553">
        <f t="shared" ca="1" si="341"/>
        <v>2069</v>
      </c>
      <c r="X553" s="123">
        <f t="shared" ca="1" si="323"/>
        <v>61910</v>
      </c>
      <c r="Y553" s="64">
        <f t="shared" ca="1" si="324"/>
        <v>0</v>
      </c>
      <c r="Z553" s="64">
        <f t="shared" ca="1" si="325"/>
        <v>0</v>
      </c>
      <c r="AA553" s="64">
        <f t="shared" ca="1" si="326"/>
        <v>0</v>
      </c>
      <c r="AB553" s="64">
        <f t="shared" ca="1" si="327"/>
        <v>0</v>
      </c>
      <c r="AF553" t="str">
        <f t="shared" ca="1" si="307"/>
        <v>11999</v>
      </c>
      <c r="AG553" s="126">
        <f t="shared" ca="1" si="308"/>
        <v>0</v>
      </c>
      <c r="AH553" s="126">
        <f t="shared" ca="1" si="309"/>
        <v>0</v>
      </c>
      <c r="AI553" s="126">
        <f t="shared" ca="1" si="310"/>
        <v>0</v>
      </c>
      <c r="AJ553" t="str">
        <f t="shared" ca="1" si="311"/>
        <v>72069</v>
      </c>
      <c r="AK553" s="126">
        <f t="shared" ca="1" si="328"/>
        <v>0</v>
      </c>
      <c r="AL553" s="126">
        <f t="shared" ca="1" si="329"/>
        <v>0</v>
      </c>
      <c r="AM553" s="126">
        <f t="shared" ca="1" si="342"/>
        <v>0</v>
      </c>
      <c r="AN553" s="753">
        <f t="shared" ca="1" si="343"/>
        <v>0</v>
      </c>
      <c r="AO553" s="750">
        <f t="shared" ca="1" si="330"/>
        <v>0</v>
      </c>
      <c r="AP553" s="126">
        <f t="shared" ca="1" si="331"/>
        <v>0</v>
      </c>
      <c r="AQ553" s="126">
        <f t="shared" ca="1" si="332"/>
        <v>0</v>
      </c>
      <c r="AR553" s="126">
        <f t="shared" ca="1" si="312"/>
        <v>10000</v>
      </c>
      <c r="AS553" s="750">
        <f t="shared" ca="1" si="313"/>
        <v>0</v>
      </c>
      <c r="AT553" s="750">
        <f t="shared" ca="1" si="314"/>
        <v>0</v>
      </c>
      <c r="AU553" s="126">
        <f t="shared" ca="1" si="333"/>
        <v>0</v>
      </c>
      <c r="AV553" s="126">
        <f t="shared" ca="1" si="334"/>
        <v>0</v>
      </c>
      <c r="AW553" s="126">
        <f t="shared" ca="1" si="315"/>
        <v>10000</v>
      </c>
      <c r="AX553" s="750">
        <f t="shared" ca="1" si="335"/>
        <v>0</v>
      </c>
      <c r="AY553" s="750">
        <f t="shared" ca="1" si="336"/>
        <v>0</v>
      </c>
      <c r="AZ553">
        <f t="shared" si="337"/>
        <v>5750</v>
      </c>
    </row>
    <row r="554" spans="4:52">
      <c r="D554">
        <v>547</v>
      </c>
      <c r="E554" s="6">
        <f t="shared" ca="1" si="316"/>
        <v>36130</v>
      </c>
      <c r="F554" s="7">
        <f t="shared" ca="1" si="317"/>
        <v>0</v>
      </c>
      <c r="G554" s="125">
        <f ca="1">IF('Simulador - 1º Pilar'!$E$99="Sí",IF('Aportaciones PPE'!$B$13&lt;'Aportaciones PPE'!E554,0,F554*$B$8/12),F554*$B$8/12)</f>
        <v>0</v>
      </c>
      <c r="H554" s="125">
        <f t="shared" ca="1" si="306"/>
        <v>0</v>
      </c>
      <c r="I554" s="125">
        <f t="shared" ca="1" si="318"/>
        <v>0</v>
      </c>
      <c r="J554" s="125">
        <f t="shared" ca="1" si="319"/>
        <v>0</v>
      </c>
      <c r="K554" s="125">
        <f t="shared" ca="1" si="320"/>
        <v>0</v>
      </c>
      <c r="L554" s="125">
        <f t="shared" ca="1" si="338"/>
        <v>0</v>
      </c>
      <c r="M554" s="125">
        <f t="shared" ca="1" si="321"/>
        <v>0</v>
      </c>
      <c r="N554" s="125">
        <f t="shared" ca="1" si="322"/>
        <v>0</v>
      </c>
      <c r="R554">
        <f t="shared" si="339"/>
        <v>547</v>
      </c>
      <c r="U554" s="55"/>
      <c r="V554">
        <f t="shared" si="340"/>
        <v>8</v>
      </c>
      <c r="W554">
        <f t="shared" ca="1" si="341"/>
        <v>2069</v>
      </c>
      <c r="X554" s="123">
        <f t="shared" ca="1" si="323"/>
        <v>61941</v>
      </c>
      <c r="Y554" s="64">
        <f t="shared" ca="1" si="324"/>
        <v>0</v>
      </c>
      <c r="Z554" s="64">
        <f t="shared" ca="1" si="325"/>
        <v>0</v>
      </c>
      <c r="AA554" s="64">
        <f t="shared" ca="1" si="326"/>
        <v>0</v>
      </c>
      <c r="AB554" s="64">
        <f t="shared" ca="1" si="327"/>
        <v>0</v>
      </c>
      <c r="AF554" t="str">
        <f t="shared" ca="1" si="307"/>
        <v>121998</v>
      </c>
      <c r="AG554" s="126">
        <f t="shared" ca="1" si="308"/>
        <v>0</v>
      </c>
      <c r="AH554" s="126">
        <f t="shared" ca="1" si="309"/>
        <v>0</v>
      </c>
      <c r="AI554" s="126">
        <f t="shared" ca="1" si="310"/>
        <v>0</v>
      </c>
      <c r="AJ554" t="str">
        <f t="shared" ca="1" si="311"/>
        <v>82069</v>
      </c>
      <c r="AK554" s="126">
        <f t="shared" ca="1" si="328"/>
        <v>0</v>
      </c>
      <c r="AL554" s="126">
        <f t="shared" ca="1" si="329"/>
        <v>0</v>
      </c>
      <c r="AM554" s="126">
        <f t="shared" ca="1" si="342"/>
        <v>0</v>
      </c>
      <c r="AN554" s="753">
        <f t="shared" ca="1" si="343"/>
        <v>0</v>
      </c>
      <c r="AO554" s="750">
        <f t="shared" ca="1" si="330"/>
        <v>0</v>
      </c>
      <c r="AP554" s="126">
        <f t="shared" ca="1" si="331"/>
        <v>0</v>
      </c>
      <c r="AQ554" s="126">
        <f t="shared" ca="1" si="332"/>
        <v>0</v>
      </c>
      <c r="AR554" s="126">
        <f t="shared" ca="1" si="312"/>
        <v>10000</v>
      </c>
      <c r="AS554" s="750">
        <f t="shared" ca="1" si="313"/>
        <v>0</v>
      </c>
      <c r="AT554" s="750">
        <f t="shared" ca="1" si="314"/>
        <v>0</v>
      </c>
      <c r="AU554" s="126">
        <f t="shared" ca="1" si="333"/>
        <v>0</v>
      </c>
      <c r="AV554" s="126">
        <f t="shared" ca="1" si="334"/>
        <v>0</v>
      </c>
      <c r="AW554" s="126">
        <f t="shared" ca="1" si="315"/>
        <v>10000</v>
      </c>
      <c r="AX554" s="750">
        <f t="shared" ca="1" si="335"/>
        <v>0</v>
      </c>
      <c r="AY554" s="750">
        <f t="shared" ca="1" si="336"/>
        <v>0</v>
      </c>
      <c r="AZ554">
        <f t="shared" si="337"/>
        <v>5750</v>
      </c>
    </row>
    <row r="555" spans="4:52">
      <c r="D555">
        <v>548</v>
      </c>
      <c r="E555" s="6">
        <f t="shared" ca="1" si="316"/>
        <v>36100</v>
      </c>
      <c r="F555" s="7">
        <f t="shared" ca="1" si="317"/>
        <v>0</v>
      </c>
      <c r="G555" s="125">
        <f ca="1">IF('Simulador - 1º Pilar'!$E$99="Sí",IF('Aportaciones PPE'!$B$13&lt;'Aportaciones PPE'!E555,0,F555*$B$8/12),F555*$B$8/12)</f>
        <v>0</v>
      </c>
      <c r="H555" s="125">
        <f t="shared" ca="1" si="306"/>
        <v>0</v>
      </c>
      <c r="I555" s="125">
        <f t="shared" ca="1" si="318"/>
        <v>0</v>
      </c>
      <c r="J555" s="125">
        <f t="shared" ca="1" si="319"/>
        <v>0</v>
      </c>
      <c r="K555" s="125">
        <f t="shared" ca="1" si="320"/>
        <v>0</v>
      </c>
      <c r="L555" s="125">
        <f t="shared" ca="1" si="338"/>
        <v>0</v>
      </c>
      <c r="M555" s="125">
        <f t="shared" ca="1" si="321"/>
        <v>0</v>
      </c>
      <c r="N555" s="125">
        <f t="shared" ca="1" si="322"/>
        <v>0</v>
      </c>
      <c r="R555">
        <f t="shared" si="339"/>
        <v>548</v>
      </c>
      <c r="U555" s="55"/>
      <c r="V555">
        <f t="shared" si="340"/>
        <v>9</v>
      </c>
      <c r="W555">
        <f t="shared" ca="1" si="341"/>
        <v>2069</v>
      </c>
      <c r="X555" s="123">
        <f t="shared" ca="1" si="323"/>
        <v>61972</v>
      </c>
      <c r="Y555" s="64">
        <f t="shared" ca="1" si="324"/>
        <v>0</v>
      </c>
      <c r="Z555" s="64">
        <f t="shared" ca="1" si="325"/>
        <v>0</v>
      </c>
      <c r="AA555" s="64">
        <f t="shared" ca="1" si="326"/>
        <v>0</v>
      </c>
      <c r="AB555" s="64">
        <f t="shared" ca="1" si="327"/>
        <v>0</v>
      </c>
      <c r="AF555" t="str">
        <f t="shared" ca="1" si="307"/>
        <v>111998</v>
      </c>
      <c r="AG555" s="126">
        <f t="shared" ca="1" si="308"/>
        <v>0</v>
      </c>
      <c r="AH555" s="126">
        <f t="shared" ca="1" si="309"/>
        <v>0</v>
      </c>
      <c r="AI555" s="126">
        <f t="shared" ca="1" si="310"/>
        <v>0</v>
      </c>
      <c r="AJ555" t="str">
        <f t="shared" ca="1" si="311"/>
        <v>92069</v>
      </c>
      <c r="AK555" s="126">
        <f t="shared" ca="1" si="328"/>
        <v>0</v>
      </c>
      <c r="AL555" s="126">
        <f t="shared" ca="1" si="329"/>
        <v>0</v>
      </c>
      <c r="AM555" s="126">
        <f t="shared" ca="1" si="342"/>
        <v>0</v>
      </c>
      <c r="AN555" s="753">
        <f t="shared" ca="1" si="343"/>
        <v>0</v>
      </c>
      <c r="AO555" s="750">
        <f t="shared" ca="1" si="330"/>
        <v>0</v>
      </c>
      <c r="AP555" s="126">
        <f t="shared" ca="1" si="331"/>
        <v>0</v>
      </c>
      <c r="AQ555" s="126">
        <f t="shared" ca="1" si="332"/>
        <v>0</v>
      </c>
      <c r="AR555" s="126">
        <f t="shared" ca="1" si="312"/>
        <v>10000</v>
      </c>
      <c r="AS555" s="750">
        <f t="shared" ca="1" si="313"/>
        <v>0</v>
      </c>
      <c r="AT555" s="750">
        <f t="shared" ca="1" si="314"/>
        <v>0</v>
      </c>
      <c r="AU555" s="126">
        <f t="shared" ca="1" si="333"/>
        <v>0</v>
      </c>
      <c r="AV555" s="126">
        <f t="shared" ca="1" si="334"/>
        <v>0</v>
      </c>
      <c r="AW555" s="126">
        <f t="shared" ca="1" si="315"/>
        <v>10000</v>
      </c>
      <c r="AX555" s="750">
        <f t="shared" ca="1" si="335"/>
        <v>0</v>
      </c>
      <c r="AY555" s="750">
        <f t="shared" ca="1" si="336"/>
        <v>0</v>
      </c>
      <c r="AZ555">
        <f t="shared" si="337"/>
        <v>5750</v>
      </c>
    </row>
    <row r="556" spans="4:52">
      <c r="D556">
        <v>549</v>
      </c>
      <c r="E556" s="6">
        <f t="shared" ca="1" si="316"/>
        <v>36069</v>
      </c>
      <c r="F556" s="7">
        <f t="shared" ca="1" si="317"/>
        <v>0</v>
      </c>
      <c r="G556" s="125">
        <f ca="1">IF('Simulador - 1º Pilar'!$E$99="Sí",IF('Aportaciones PPE'!$B$13&lt;'Aportaciones PPE'!E556,0,F556*$B$8/12),F556*$B$8/12)</f>
        <v>0</v>
      </c>
      <c r="H556" s="125">
        <f t="shared" ca="1" si="306"/>
        <v>0</v>
      </c>
      <c r="I556" s="125">
        <f t="shared" ca="1" si="318"/>
        <v>0</v>
      </c>
      <c r="J556" s="125">
        <f t="shared" ca="1" si="319"/>
        <v>0</v>
      </c>
      <c r="K556" s="125">
        <f t="shared" ca="1" si="320"/>
        <v>0</v>
      </c>
      <c r="L556" s="125">
        <f t="shared" ca="1" si="338"/>
        <v>0</v>
      </c>
      <c r="M556" s="125">
        <f t="shared" ca="1" si="321"/>
        <v>0</v>
      </c>
      <c r="N556" s="125">
        <f t="shared" ca="1" si="322"/>
        <v>0</v>
      </c>
      <c r="R556">
        <f t="shared" si="339"/>
        <v>549</v>
      </c>
      <c r="U556" s="55"/>
      <c r="V556">
        <f t="shared" si="340"/>
        <v>10</v>
      </c>
      <c r="W556">
        <f t="shared" ca="1" si="341"/>
        <v>2069</v>
      </c>
      <c r="X556" s="123">
        <f t="shared" ca="1" si="323"/>
        <v>62002</v>
      </c>
      <c r="Y556" s="64">
        <f t="shared" ca="1" si="324"/>
        <v>0</v>
      </c>
      <c r="Z556" s="64">
        <f t="shared" ca="1" si="325"/>
        <v>0</v>
      </c>
      <c r="AA556" s="64">
        <f t="shared" ca="1" si="326"/>
        <v>0</v>
      </c>
      <c r="AB556" s="64">
        <f t="shared" ca="1" si="327"/>
        <v>0</v>
      </c>
      <c r="AF556" t="str">
        <f t="shared" ca="1" si="307"/>
        <v>101998</v>
      </c>
      <c r="AG556" s="126">
        <f t="shared" ca="1" si="308"/>
        <v>0</v>
      </c>
      <c r="AH556" s="126">
        <f t="shared" ca="1" si="309"/>
        <v>0</v>
      </c>
      <c r="AI556" s="126">
        <f t="shared" ca="1" si="310"/>
        <v>0</v>
      </c>
      <c r="AJ556" t="str">
        <f t="shared" ca="1" si="311"/>
        <v>102069</v>
      </c>
      <c r="AK556" s="126">
        <f t="shared" ca="1" si="328"/>
        <v>0</v>
      </c>
      <c r="AL556" s="126">
        <f t="shared" ca="1" si="329"/>
        <v>0</v>
      </c>
      <c r="AM556" s="126">
        <f t="shared" ca="1" si="342"/>
        <v>0</v>
      </c>
      <c r="AN556" s="753">
        <f t="shared" ca="1" si="343"/>
        <v>0</v>
      </c>
      <c r="AO556" s="750">
        <f t="shared" ca="1" si="330"/>
        <v>0</v>
      </c>
      <c r="AP556" s="126">
        <f t="shared" ca="1" si="331"/>
        <v>0</v>
      </c>
      <c r="AQ556" s="126">
        <f t="shared" ca="1" si="332"/>
        <v>0</v>
      </c>
      <c r="AR556" s="126">
        <f t="shared" ca="1" si="312"/>
        <v>10000</v>
      </c>
      <c r="AS556" s="750">
        <f t="shared" ca="1" si="313"/>
        <v>0</v>
      </c>
      <c r="AT556" s="750">
        <f t="shared" ca="1" si="314"/>
        <v>0</v>
      </c>
      <c r="AU556" s="126">
        <f t="shared" ca="1" si="333"/>
        <v>0</v>
      </c>
      <c r="AV556" s="126">
        <f t="shared" ca="1" si="334"/>
        <v>0</v>
      </c>
      <c r="AW556" s="126">
        <f t="shared" ca="1" si="315"/>
        <v>10000</v>
      </c>
      <c r="AX556" s="750">
        <f t="shared" ca="1" si="335"/>
        <v>0</v>
      </c>
      <c r="AY556" s="750">
        <f t="shared" ca="1" si="336"/>
        <v>0</v>
      </c>
      <c r="AZ556">
        <f t="shared" si="337"/>
        <v>5750</v>
      </c>
    </row>
    <row r="557" spans="4:52">
      <c r="D557">
        <v>550</v>
      </c>
      <c r="E557" s="6">
        <f t="shared" ca="1" si="316"/>
        <v>36039</v>
      </c>
      <c r="F557" s="7">
        <f t="shared" ca="1" si="317"/>
        <v>0</v>
      </c>
      <c r="G557" s="125">
        <f ca="1">IF('Simulador - 1º Pilar'!$E$99="Sí",IF('Aportaciones PPE'!$B$13&lt;'Aportaciones PPE'!E557,0,F557*$B$8/12),F557*$B$8/12)</f>
        <v>0</v>
      </c>
      <c r="H557" s="125">
        <f t="shared" ca="1" si="306"/>
        <v>0</v>
      </c>
      <c r="I557" s="125">
        <f t="shared" ca="1" si="318"/>
        <v>0</v>
      </c>
      <c r="J557" s="125">
        <f t="shared" ca="1" si="319"/>
        <v>0</v>
      </c>
      <c r="K557" s="125">
        <f t="shared" ca="1" si="320"/>
        <v>0</v>
      </c>
      <c r="L557" s="125">
        <f t="shared" ca="1" si="338"/>
        <v>0</v>
      </c>
      <c r="M557" s="125">
        <f t="shared" ca="1" si="321"/>
        <v>0</v>
      </c>
      <c r="N557" s="125">
        <f t="shared" ca="1" si="322"/>
        <v>0</v>
      </c>
      <c r="R557">
        <f t="shared" si="339"/>
        <v>550</v>
      </c>
      <c r="U557" s="55"/>
      <c r="V557">
        <f t="shared" si="340"/>
        <v>11</v>
      </c>
      <c r="W557">
        <f t="shared" ca="1" si="341"/>
        <v>2069</v>
      </c>
      <c r="X557" s="123">
        <f t="shared" ca="1" si="323"/>
        <v>62033</v>
      </c>
      <c r="Y557" s="64">
        <f t="shared" ca="1" si="324"/>
        <v>0</v>
      </c>
      <c r="Z557" s="64">
        <f t="shared" ca="1" si="325"/>
        <v>0</v>
      </c>
      <c r="AA557" s="64">
        <f t="shared" ca="1" si="326"/>
        <v>0</v>
      </c>
      <c r="AB557" s="64">
        <f t="shared" ca="1" si="327"/>
        <v>0</v>
      </c>
      <c r="AF557" t="str">
        <f t="shared" ca="1" si="307"/>
        <v>91998</v>
      </c>
      <c r="AG557" s="126">
        <f t="shared" ca="1" si="308"/>
        <v>0</v>
      </c>
      <c r="AH557" s="126">
        <f t="shared" ca="1" si="309"/>
        <v>0</v>
      </c>
      <c r="AI557" s="126">
        <f t="shared" ca="1" si="310"/>
        <v>0</v>
      </c>
      <c r="AJ557" t="str">
        <f t="shared" ca="1" si="311"/>
        <v>112069</v>
      </c>
      <c r="AK557" s="126">
        <f t="shared" ca="1" si="328"/>
        <v>0</v>
      </c>
      <c r="AL557" s="126">
        <f t="shared" ca="1" si="329"/>
        <v>0</v>
      </c>
      <c r="AM557" s="126">
        <f t="shared" ca="1" si="342"/>
        <v>0</v>
      </c>
      <c r="AN557" s="753">
        <f t="shared" ca="1" si="343"/>
        <v>0</v>
      </c>
      <c r="AO557" s="750">
        <f t="shared" ca="1" si="330"/>
        <v>0</v>
      </c>
      <c r="AP557" s="126">
        <f t="shared" ca="1" si="331"/>
        <v>0</v>
      </c>
      <c r="AQ557" s="126">
        <f t="shared" ca="1" si="332"/>
        <v>0</v>
      </c>
      <c r="AR557" s="126">
        <f t="shared" ca="1" si="312"/>
        <v>10000</v>
      </c>
      <c r="AS557" s="750">
        <f t="shared" ca="1" si="313"/>
        <v>0</v>
      </c>
      <c r="AT557" s="750">
        <f t="shared" ca="1" si="314"/>
        <v>0</v>
      </c>
      <c r="AU557" s="126">
        <f t="shared" ca="1" si="333"/>
        <v>0</v>
      </c>
      <c r="AV557" s="126">
        <f t="shared" ca="1" si="334"/>
        <v>0</v>
      </c>
      <c r="AW557" s="126">
        <f t="shared" ca="1" si="315"/>
        <v>10000</v>
      </c>
      <c r="AX557" s="750">
        <f t="shared" ca="1" si="335"/>
        <v>0</v>
      </c>
      <c r="AY557" s="750">
        <f t="shared" ca="1" si="336"/>
        <v>0</v>
      </c>
      <c r="AZ557">
        <f t="shared" si="337"/>
        <v>5750</v>
      </c>
    </row>
    <row r="558" spans="4:52">
      <c r="D558">
        <v>551</v>
      </c>
      <c r="E558" s="6">
        <f t="shared" ca="1" si="316"/>
        <v>36008</v>
      </c>
      <c r="F558" s="7">
        <f t="shared" ca="1" si="317"/>
        <v>0</v>
      </c>
      <c r="G558" s="125">
        <f ca="1">IF('Simulador - 1º Pilar'!$E$99="Sí",IF('Aportaciones PPE'!$B$13&lt;'Aportaciones PPE'!E558,0,F558*$B$8/12),F558*$B$8/12)</f>
        <v>0</v>
      </c>
      <c r="H558" s="125">
        <f t="shared" ca="1" si="306"/>
        <v>0</v>
      </c>
      <c r="I558" s="125">
        <f t="shared" ca="1" si="318"/>
        <v>0</v>
      </c>
      <c r="J558" s="125">
        <f t="shared" ca="1" si="319"/>
        <v>0</v>
      </c>
      <c r="K558" s="125">
        <f t="shared" ca="1" si="320"/>
        <v>0</v>
      </c>
      <c r="L558" s="125">
        <f t="shared" ca="1" si="338"/>
        <v>0</v>
      </c>
      <c r="M558" s="125">
        <f t="shared" ca="1" si="321"/>
        <v>0</v>
      </c>
      <c r="N558" s="125">
        <f t="shared" ca="1" si="322"/>
        <v>0</v>
      </c>
      <c r="R558">
        <f t="shared" si="339"/>
        <v>551</v>
      </c>
      <c r="U558" s="55"/>
      <c r="V558">
        <f t="shared" si="340"/>
        <v>12</v>
      </c>
      <c r="W558">
        <f t="shared" ca="1" si="341"/>
        <v>2069</v>
      </c>
      <c r="X558" s="123">
        <f t="shared" ca="1" si="323"/>
        <v>62063</v>
      </c>
      <c r="Y558" s="64">
        <f t="shared" ca="1" si="324"/>
        <v>0</v>
      </c>
      <c r="Z558" s="64">
        <f t="shared" ca="1" si="325"/>
        <v>0</v>
      </c>
      <c r="AA558" s="64">
        <f t="shared" ca="1" si="326"/>
        <v>0</v>
      </c>
      <c r="AB558" s="64">
        <f t="shared" ca="1" si="327"/>
        <v>0</v>
      </c>
      <c r="AF558" t="str">
        <f t="shared" ca="1" si="307"/>
        <v>81998</v>
      </c>
      <c r="AG558" s="126">
        <f t="shared" ca="1" si="308"/>
        <v>0</v>
      </c>
      <c r="AH558" s="126">
        <f t="shared" ca="1" si="309"/>
        <v>0</v>
      </c>
      <c r="AI558" s="126">
        <f t="shared" ca="1" si="310"/>
        <v>0</v>
      </c>
      <c r="AJ558" t="str">
        <f t="shared" ca="1" si="311"/>
        <v>122069</v>
      </c>
      <c r="AK558" s="126">
        <f t="shared" ca="1" si="328"/>
        <v>0</v>
      </c>
      <c r="AL558" s="126">
        <f t="shared" ca="1" si="329"/>
        <v>0</v>
      </c>
      <c r="AM558" s="126">
        <f t="shared" ca="1" si="342"/>
        <v>0</v>
      </c>
      <c r="AN558" s="753">
        <f t="shared" ca="1" si="343"/>
        <v>0</v>
      </c>
      <c r="AO558" s="750">
        <f t="shared" ca="1" si="330"/>
        <v>0</v>
      </c>
      <c r="AP558" s="126">
        <f t="shared" ca="1" si="331"/>
        <v>0</v>
      </c>
      <c r="AQ558" s="126">
        <f t="shared" ca="1" si="332"/>
        <v>0</v>
      </c>
      <c r="AR558" s="126">
        <f t="shared" ca="1" si="312"/>
        <v>10000</v>
      </c>
      <c r="AS558" s="750">
        <f t="shared" ca="1" si="313"/>
        <v>0</v>
      </c>
      <c r="AT558" s="750">
        <f t="shared" ca="1" si="314"/>
        <v>0</v>
      </c>
      <c r="AU558" s="126">
        <f t="shared" ca="1" si="333"/>
        <v>0</v>
      </c>
      <c r="AV558" s="126">
        <f t="shared" ca="1" si="334"/>
        <v>0</v>
      </c>
      <c r="AW558" s="126">
        <f t="shared" ca="1" si="315"/>
        <v>10000</v>
      </c>
      <c r="AX558" s="750">
        <f t="shared" ca="1" si="335"/>
        <v>0</v>
      </c>
      <c r="AY558" s="750">
        <f t="shared" ca="1" si="336"/>
        <v>0</v>
      </c>
      <c r="AZ558">
        <f t="shared" si="337"/>
        <v>5750</v>
      </c>
    </row>
    <row r="559" spans="4:52">
      <c r="D559">
        <v>552</v>
      </c>
      <c r="E559" s="6">
        <f t="shared" ca="1" si="316"/>
        <v>35977</v>
      </c>
      <c r="F559" s="7">
        <f t="shared" ca="1" si="317"/>
        <v>0</v>
      </c>
      <c r="G559" s="125">
        <f ca="1">IF('Simulador - 1º Pilar'!$E$99="Sí",IF('Aportaciones PPE'!$B$13&lt;'Aportaciones PPE'!E559,0,F559*$B$8/12),F559*$B$8/12)</f>
        <v>0</v>
      </c>
      <c r="H559" s="125">
        <f t="shared" ca="1" si="306"/>
        <v>0</v>
      </c>
      <c r="I559" s="125">
        <f t="shared" ca="1" si="318"/>
        <v>0</v>
      </c>
      <c r="J559" s="125">
        <f t="shared" ca="1" si="319"/>
        <v>0</v>
      </c>
      <c r="K559" s="125">
        <f t="shared" ca="1" si="320"/>
        <v>0</v>
      </c>
      <c r="L559" s="125">
        <f t="shared" ca="1" si="338"/>
        <v>0</v>
      </c>
      <c r="M559" s="125">
        <f t="shared" ca="1" si="321"/>
        <v>0</v>
      </c>
      <c r="N559" s="125">
        <f t="shared" ca="1" si="322"/>
        <v>0</v>
      </c>
      <c r="R559">
        <f t="shared" si="339"/>
        <v>552</v>
      </c>
      <c r="U559" s="55"/>
      <c r="V559">
        <f t="shared" si="340"/>
        <v>1</v>
      </c>
      <c r="W559">
        <f t="shared" ca="1" si="341"/>
        <v>2070</v>
      </c>
      <c r="X559" s="123">
        <f t="shared" ca="1" si="323"/>
        <v>62094</v>
      </c>
      <c r="Y559" s="64">
        <f t="shared" ca="1" si="324"/>
        <v>0</v>
      </c>
      <c r="Z559" s="64">
        <f t="shared" ca="1" si="325"/>
        <v>0</v>
      </c>
      <c r="AA559" s="64">
        <f t="shared" ca="1" si="326"/>
        <v>0</v>
      </c>
      <c r="AB559" s="64">
        <f t="shared" ca="1" si="327"/>
        <v>0</v>
      </c>
      <c r="AF559" t="str">
        <f t="shared" ca="1" si="307"/>
        <v>71998</v>
      </c>
      <c r="AG559" s="126">
        <f t="shared" ca="1" si="308"/>
        <v>0</v>
      </c>
      <c r="AH559" s="126">
        <f t="shared" ca="1" si="309"/>
        <v>0</v>
      </c>
      <c r="AI559" s="126">
        <f t="shared" ca="1" si="310"/>
        <v>0</v>
      </c>
      <c r="AJ559" t="str">
        <f t="shared" ca="1" si="311"/>
        <v>12070</v>
      </c>
      <c r="AK559" s="126">
        <f t="shared" ca="1" si="328"/>
        <v>0</v>
      </c>
      <c r="AL559" s="126">
        <f t="shared" ca="1" si="329"/>
        <v>0</v>
      </c>
      <c r="AM559" s="126">
        <f t="shared" ca="1" si="342"/>
        <v>0</v>
      </c>
      <c r="AN559" s="753">
        <f t="shared" ca="1" si="343"/>
        <v>0</v>
      </c>
      <c r="AO559" s="750">
        <f t="shared" ca="1" si="330"/>
        <v>0</v>
      </c>
      <c r="AP559" s="126">
        <f t="shared" ca="1" si="331"/>
        <v>0</v>
      </c>
      <c r="AQ559" s="126">
        <f t="shared" ca="1" si="332"/>
        <v>0</v>
      </c>
      <c r="AR559" s="126">
        <f t="shared" ca="1" si="312"/>
        <v>10000</v>
      </c>
      <c r="AS559" s="750">
        <f t="shared" ca="1" si="313"/>
        <v>0</v>
      </c>
      <c r="AT559" s="750">
        <f t="shared" ca="1" si="314"/>
        <v>0</v>
      </c>
      <c r="AU559" s="126">
        <f t="shared" ca="1" si="333"/>
        <v>0</v>
      </c>
      <c r="AV559" s="126">
        <f t="shared" ca="1" si="334"/>
        <v>0</v>
      </c>
      <c r="AW559" s="126">
        <f t="shared" ca="1" si="315"/>
        <v>10000</v>
      </c>
      <c r="AX559" s="750">
        <f t="shared" ca="1" si="335"/>
        <v>0</v>
      </c>
      <c r="AY559" s="750">
        <f t="shared" ca="1" si="336"/>
        <v>0</v>
      </c>
      <c r="AZ559">
        <f t="shared" si="337"/>
        <v>5750</v>
      </c>
    </row>
    <row r="560" spans="4:52">
      <c r="D560">
        <v>553</v>
      </c>
      <c r="E560" s="6">
        <f t="shared" ca="1" si="316"/>
        <v>35947</v>
      </c>
      <c r="F560" s="7">
        <f t="shared" ca="1" si="317"/>
        <v>0</v>
      </c>
      <c r="G560" s="125">
        <f ca="1">IF('Simulador - 1º Pilar'!$E$99="Sí",IF('Aportaciones PPE'!$B$13&lt;'Aportaciones PPE'!E560,0,F560*$B$8/12),F560*$B$8/12)</f>
        <v>0</v>
      </c>
      <c r="H560" s="125">
        <f t="shared" ca="1" si="306"/>
        <v>0</v>
      </c>
      <c r="I560" s="125">
        <f t="shared" ca="1" si="318"/>
        <v>0</v>
      </c>
      <c r="J560" s="125">
        <f t="shared" ca="1" si="319"/>
        <v>0</v>
      </c>
      <c r="K560" s="125">
        <f t="shared" ca="1" si="320"/>
        <v>0</v>
      </c>
      <c r="L560" s="125">
        <f t="shared" ca="1" si="338"/>
        <v>0</v>
      </c>
      <c r="M560" s="125">
        <f t="shared" ca="1" si="321"/>
        <v>0</v>
      </c>
      <c r="N560" s="125">
        <f t="shared" ca="1" si="322"/>
        <v>0</v>
      </c>
      <c r="R560">
        <f t="shared" si="339"/>
        <v>553</v>
      </c>
      <c r="U560" s="55"/>
      <c r="V560">
        <f t="shared" si="340"/>
        <v>2</v>
      </c>
      <c r="W560">
        <f t="shared" ca="1" si="341"/>
        <v>2070</v>
      </c>
      <c r="X560" s="123">
        <f t="shared" ca="1" si="323"/>
        <v>62125</v>
      </c>
      <c r="Y560" s="64">
        <f t="shared" ca="1" si="324"/>
        <v>0</v>
      </c>
      <c r="Z560" s="64">
        <f t="shared" ca="1" si="325"/>
        <v>0</v>
      </c>
      <c r="AA560" s="64">
        <f t="shared" ca="1" si="326"/>
        <v>0</v>
      </c>
      <c r="AB560" s="64">
        <f t="shared" ca="1" si="327"/>
        <v>0</v>
      </c>
      <c r="AF560" t="str">
        <f t="shared" ca="1" si="307"/>
        <v>61998</v>
      </c>
      <c r="AG560" s="126">
        <f t="shared" ca="1" si="308"/>
        <v>0</v>
      </c>
      <c r="AH560" s="126">
        <f t="shared" ca="1" si="309"/>
        <v>0</v>
      </c>
      <c r="AI560" s="126">
        <f t="shared" ca="1" si="310"/>
        <v>0</v>
      </c>
      <c r="AJ560" t="str">
        <f t="shared" ca="1" si="311"/>
        <v>22070</v>
      </c>
      <c r="AK560" s="126">
        <f t="shared" ca="1" si="328"/>
        <v>0</v>
      </c>
      <c r="AL560" s="126">
        <f t="shared" ca="1" si="329"/>
        <v>0</v>
      </c>
      <c r="AM560" s="126">
        <f t="shared" ca="1" si="342"/>
        <v>0</v>
      </c>
      <c r="AN560" s="753">
        <f t="shared" ca="1" si="343"/>
        <v>0</v>
      </c>
      <c r="AO560" s="750">
        <f t="shared" ca="1" si="330"/>
        <v>0</v>
      </c>
      <c r="AP560" s="126">
        <f t="shared" ca="1" si="331"/>
        <v>0</v>
      </c>
      <c r="AQ560" s="126">
        <f t="shared" ca="1" si="332"/>
        <v>0</v>
      </c>
      <c r="AR560" s="126">
        <f t="shared" ca="1" si="312"/>
        <v>10000</v>
      </c>
      <c r="AS560" s="750">
        <f t="shared" ca="1" si="313"/>
        <v>0</v>
      </c>
      <c r="AT560" s="750">
        <f t="shared" ca="1" si="314"/>
        <v>0</v>
      </c>
      <c r="AU560" s="126">
        <f t="shared" ca="1" si="333"/>
        <v>0</v>
      </c>
      <c r="AV560" s="126">
        <f t="shared" ca="1" si="334"/>
        <v>0</v>
      </c>
      <c r="AW560" s="126">
        <f t="shared" ca="1" si="315"/>
        <v>10000</v>
      </c>
      <c r="AX560" s="750">
        <f t="shared" ca="1" si="335"/>
        <v>0</v>
      </c>
      <c r="AY560" s="750">
        <f t="shared" ca="1" si="336"/>
        <v>0</v>
      </c>
      <c r="AZ560">
        <f t="shared" si="337"/>
        <v>5750</v>
      </c>
    </row>
    <row r="561" spans="4:52">
      <c r="D561">
        <v>554</v>
      </c>
      <c r="E561" s="6">
        <f t="shared" ca="1" si="316"/>
        <v>35916</v>
      </c>
      <c r="F561" s="7">
        <f t="shared" ca="1" si="317"/>
        <v>0</v>
      </c>
      <c r="G561" s="125">
        <f ca="1">IF('Simulador - 1º Pilar'!$E$99="Sí",IF('Aportaciones PPE'!$B$13&lt;'Aportaciones PPE'!E561,0,F561*$B$8/12),F561*$B$8/12)</f>
        <v>0</v>
      </c>
      <c r="H561" s="125">
        <f t="shared" ca="1" si="306"/>
        <v>0</v>
      </c>
      <c r="I561" s="125">
        <f t="shared" ca="1" si="318"/>
        <v>0</v>
      </c>
      <c r="J561" s="125">
        <f t="shared" ca="1" si="319"/>
        <v>0</v>
      </c>
      <c r="K561" s="125">
        <f t="shared" ca="1" si="320"/>
        <v>0</v>
      </c>
      <c r="L561" s="125">
        <f t="shared" ca="1" si="338"/>
        <v>0</v>
      </c>
      <c r="M561" s="125">
        <f t="shared" ca="1" si="321"/>
        <v>0</v>
      </c>
      <c r="N561" s="125">
        <f t="shared" ca="1" si="322"/>
        <v>0</v>
      </c>
      <c r="R561">
        <f t="shared" si="339"/>
        <v>554</v>
      </c>
      <c r="U561" s="55"/>
      <c r="V561">
        <f t="shared" si="340"/>
        <v>3</v>
      </c>
      <c r="W561">
        <f t="shared" ca="1" si="341"/>
        <v>2070</v>
      </c>
      <c r="X561" s="123">
        <f t="shared" ca="1" si="323"/>
        <v>62153</v>
      </c>
      <c r="Y561" s="64">
        <f t="shared" ca="1" si="324"/>
        <v>0</v>
      </c>
      <c r="Z561" s="64">
        <f t="shared" ca="1" si="325"/>
        <v>0</v>
      </c>
      <c r="AA561" s="64">
        <f t="shared" ca="1" si="326"/>
        <v>0</v>
      </c>
      <c r="AB561" s="64">
        <f t="shared" ca="1" si="327"/>
        <v>0</v>
      </c>
      <c r="AF561" t="str">
        <f t="shared" ca="1" si="307"/>
        <v>51998</v>
      </c>
      <c r="AG561" s="126">
        <f t="shared" ca="1" si="308"/>
        <v>0</v>
      </c>
      <c r="AH561" s="126">
        <f t="shared" ca="1" si="309"/>
        <v>0</v>
      </c>
      <c r="AI561" s="126">
        <f t="shared" ca="1" si="310"/>
        <v>0</v>
      </c>
      <c r="AJ561" t="str">
        <f t="shared" ca="1" si="311"/>
        <v>32070</v>
      </c>
      <c r="AK561" s="126">
        <f t="shared" ca="1" si="328"/>
        <v>0</v>
      </c>
      <c r="AL561" s="126">
        <f t="shared" ca="1" si="329"/>
        <v>0</v>
      </c>
      <c r="AM561" s="126">
        <f t="shared" ca="1" si="342"/>
        <v>0</v>
      </c>
      <c r="AN561" s="753">
        <f t="shared" ca="1" si="343"/>
        <v>0</v>
      </c>
      <c r="AO561" s="750">
        <f t="shared" ca="1" si="330"/>
        <v>0</v>
      </c>
      <c r="AP561" s="126">
        <f t="shared" ca="1" si="331"/>
        <v>0</v>
      </c>
      <c r="AQ561" s="126">
        <f t="shared" ca="1" si="332"/>
        <v>0</v>
      </c>
      <c r="AR561" s="126">
        <f t="shared" ca="1" si="312"/>
        <v>10000</v>
      </c>
      <c r="AS561" s="750">
        <f t="shared" ca="1" si="313"/>
        <v>0</v>
      </c>
      <c r="AT561" s="750">
        <f t="shared" ca="1" si="314"/>
        <v>0</v>
      </c>
      <c r="AU561" s="126">
        <f t="shared" ca="1" si="333"/>
        <v>0</v>
      </c>
      <c r="AV561" s="126">
        <f t="shared" ca="1" si="334"/>
        <v>0</v>
      </c>
      <c r="AW561" s="126">
        <f t="shared" ca="1" si="315"/>
        <v>10000</v>
      </c>
      <c r="AX561" s="750">
        <f t="shared" ca="1" si="335"/>
        <v>0</v>
      </c>
      <c r="AY561" s="750">
        <f t="shared" ca="1" si="336"/>
        <v>0</v>
      </c>
      <c r="AZ561">
        <f t="shared" si="337"/>
        <v>5750</v>
      </c>
    </row>
    <row r="562" spans="4:52">
      <c r="D562">
        <v>555</v>
      </c>
      <c r="E562" s="6">
        <f t="shared" ca="1" si="316"/>
        <v>35886</v>
      </c>
      <c r="F562" s="7">
        <f t="shared" ca="1" si="317"/>
        <v>0</v>
      </c>
      <c r="G562" s="125">
        <f ca="1">IF('Simulador - 1º Pilar'!$E$99="Sí",IF('Aportaciones PPE'!$B$13&lt;'Aportaciones PPE'!E562,0,F562*$B$8/12),F562*$B$8/12)</f>
        <v>0</v>
      </c>
      <c r="H562" s="125">
        <f t="shared" ca="1" si="306"/>
        <v>0</v>
      </c>
      <c r="I562" s="125">
        <f t="shared" ca="1" si="318"/>
        <v>0</v>
      </c>
      <c r="J562" s="125">
        <f t="shared" ca="1" si="319"/>
        <v>0</v>
      </c>
      <c r="K562" s="125">
        <f t="shared" ca="1" si="320"/>
        <v>0</v>
      </c>
      <c r="L562" s="125">
        <f t="shared" ca="1" si="338"/>
        <v>0</v>
      </c>
      <c r="M562" s="125">
        <f t="shared" ca="1" si="321"/>
        <v>0</v>
      </c>
      <c r="N562" s="125">
        <f t="shared" ca="1" si="322"/>
        <v>0</v>
      </c>
      <c r="R562">
        <f t="shared" si="339"/>
        <v>555</v>
      </c>
      <c r="U562" s="55"/>
      <c r="V562">
        <f t="shared" si="340"/>
        <v>4</v>
      </c>
      <c r="W562">
        <f t="shared" ca="1" si="341"/>
        <v>2070</v>
      </c>
      <c r="X562" s="123">
        <f t="shared" ca="1" si="323"/>
        <v>62184</v>
      </c>
      <c r="Y562" s="64">
        <f t="shared" ca="1" si="324"/>
        <v>0</v>
      </c>
      <c r="Z562" s="64">
        <f t="shared" ca="1" si="325"/>
        <v>0</v>
      </c>
      <c r="AA562" s="64">
        <f t="shared" ca="1" si="326"/>
        <v>0</v>
      </c>
      <c r="AB562" s="64">
        <f t="shared" ca="1" si="327"/>
        <v>0</v>
      </c>
      <c r="AF562" t="str">
        <f t="shared" ca="1" si="307"/>
        <v>41998</v>
      </c>
      <c r="AG562" s="126">
        <f t="shared" ca="1" si="308"/>
        <v>0</v>
      </c>
      <c r="AH562" s="126">
        <f t="shared" ca="1" si="309"/>
        <v>0</v>
      </c>
      <c r="AI562" s="126">
        <f t="shared" ca="1" si="310"/>
        <v>0</v>
      </c>
      <c r="AJ562" t="str">
        <f t="shared" ca="1" si="311"/>
        <v>42070</v>
      </c>
      <c r="AK562" s="126">
        <f t="shared" ca="1" si="328"/>
        <v>0</v>
      </c>
      <c r="AL562" s="126">
        <f t="shared" ca="1" si="329"/>
        <v>0</v>
      </c>
      <c r="AM562" s="126">
        <f t="shared" ca="1" si="342"/>
        <v>0</v>
      </c>
      <c r="AN562" s="753">
        <f t="shared" ca="1" si="343"/>
        <v>0</v>
      </c>
      <c r="AO562" s="750">
        <f t="shared" ca="1" si="330"/>
        <v>0</v>
      </c>
      <c r="AP562" s="126">
        <f t="shared" ca="1" si="331"/>
        <v>0</v>
      </c>
      <c r="AQ562" s="126">
        <f t="shared" ca="1" si="332"/>
        <v>0</v>
      </c>
      <c r="AR562" s="126">
        <f t="shared" ca="1" si="312"/>
        <v>10000</v>
      </c>
      <c r="AS562" s="750">
        <f t="shared" ca="1" si="313"/>
        <v>0</v>
      </c>
      <c r="AT562" s="750">
        <f t="shared" ca="1" si="314"/>
        <v>0</v>
      </c>
      <c r="AU562" s="126">
        <f t="shared" ca="1" si="333"/>
        <v>0</v>
      </c>
      <c r="AV562" s="126">
        <f t="shared" ca="1" si="334"/>
        <v>0</v>
      </c>
      <c r="AW562" s="126">
        <f t="shared" ca="1" si="315"/>
        <v>10000</v>
      </c>
      <c r="AX562" s="750">
        <f t="shared" ca="1" si="335"/>
        <v>0</v>
      </c>
      <c r="AY562" s="750">
        <f t="shared" ca="1" si="336"/>
        <v>0</v>
      </c>
      <c r="AZ562">
        <f t="shared" si="337"/>
        <v>5750</v>
      </c>
    </row>
    <row r="563" spans="4:52">
      <c r="D563">
        <v>556</v>
      </c>
      <c r="E563" s="6">
        <f t="shared" ca="1" si="316"/>
        <v>35855</v>
      </c>
      <c r="F563" s="7">
        <f t="shared" ca="1" si="317"/>
        <v>0</v>
      </c>
      <c r="G563" s="125">
        <f ca="1">IF('Simulador - 1º Pilar'!$E$99="Sí",IF('Aportaciones PPE'!$B$13&lt;'Aportaciones PPE'!E563,0,F563*$B$8/12),F563*$B$8/12)</f>
        <v>0</v>
      </c>
      <c r="H563" s="125">
        <f t="shared" ca="1" si="306"/>
        <v>0</v>
      </c>
      <c r="I563" s="125">
        <f t="shared" ca="1" si="318"/>
        <v>0</v>
      </c>
      <c r="J563" s="125">
        <f t="shared" ca="1" si="319"/>
        <v>0</v>
      </c>
      <c r="K563" s="125">
        <f t="shared" ca="1" si="320"/>
        <v>0</v>
      </c>
      <c r="L563" s="125">
        <f t="shared" ca="1" si="338"/>
        <v>0</v>
      </c>
      <c r="M563" s="125">
        <f t="shared" ca="1" si="321"/>
        <v>0</v>
      </c>
      <c r="N563" s="125">
        <f t="shared" ca="1" si="322"/>
        <v>0</v>
      </c>
      <c r="R563">
        <f t="shared" si="339"/>
        <v>556</v>
      </c>
      <c r="U563" s="55"/>
      <c r="V563">
        <f t="shared" si="340"/>
        <v>5</v>
      </c>
      <c r="W563">
        <f t="shared" ca="1" si="341"/>
        <v>2070</v>
      </c>
      <c r="X563" s="123">
        <f t="shared" ca="1" si="323"/>
        <v>62214</v>
      </c>
      <c r="Y563" s="64">
        <f t="shared" ca="1" si="324"/>
        <v>0</v>
      </c>
      <c r="Z563" s="64">
        <f t="shared" ca="1" si="325"/>
        <v>0</v>
      </c>
      <c r="AA563" s="64">
        <f t="shared" ca="1" si="326"/>
        <v>0</v>
      </c>
      <c r="AB563" s="64">
        <f t="shared" ca="1" si="327"/>
        <v>0</v>
      </c>
      <c r="AF563" t="str">
        <f t="shared" ca="1" si="307"/>
        <v>31998</v>
      </c>
      <c r="AG563" s="126">
        <f t="shared" ca="1" si="308"/>
        <v>0</v>
      </c>
      <c r="AH563" s="126">
        <f t="shared" ca="1" si="309"/>
        <v>0</v>
      </c>
      <c r="AI563" s="126">
        <f t="shared" ca="1" si="310"/>
        <v>0</v>
      </c>
      <c r="AJ563" t="str">
        <f t="shared" ca="1" si="311"/>
        <v>52070</v>
      </c>
      <c r="AK563" s="126">
        <f t="shared" ca="1" si="328"/>
        <v>0</v>
      </c>
      <c r="AL563" s="126">
        <f t="shared" ca="1" si="329"/>
        <v>0</v>
      </c>
      <c r="AM563" s="126">
        <f t="shared" ca="1" si="342"/>
        <v>0</v>
      </c>
      <c r="AN563" s="753">
        <f t="shared" ca="1" si="343"/>
        <v>0</v>
      </c>
      <c r="AO563" s="750">
        <f t="shared" ca="1" si="330"/>
        <v>0</v>
      </c>
      <c r="AP563" s="126">
        <f t="shared" ca="1" si="331"/>
        <v>0</v>
      </c>
      <c r="AQ563" s="126">
        <f t="shared" ca="1" si="332"/>
        <v>0</v>
      </c>
      <c r="AR563" s="126">
        <f t="shared" ca="1" si="312"/>
        <v>10000</v>
      </c>
      <c r="AS563" s="750">
        <f t="shared" ca="1" si="313"/>
        <v>0</v>
      </c>
      <c r="AT563" s="750">
        <f t="shared" ca="1" si="314"/>
        <v>0</v>
      </c>
      <c r="AU563" s="126">
        <f t="shared" ca="1" si="333"/>
        <v>0</v>
      </c>
      <c r="AV563" s="126">
        <f t="shared" ca="1" si="334"/>
        <v>0</v>
      </c>
      <c r="AW563" s="126">
        <f t="shared" ca="1" si="315"/>
        <v>10000</v>
      </c>
      <c r="AX563" s="750">
        <f t="shared" ca="1" si="335"/>
        <v>0</v>
      </c>
      <c r="AY563" s="750">
        <f t="shared" ca="1" si="336"/>
        <v>0</v>
      </c>
      <c r="AZ563">
        <f t="shared" si="337"/>
        <v>5750</v>
      </c>
    </row>
    <row r="564" spans="4:52">
      <c r="D564">
        <v>557</v>
      </c>
      <c r="E564" s="6">
        <f t="shared" ca="1" si="316"/>
        <v>35827</v>
      </c>
      <c r="F564" s="7">
        <f t="shared" ca="1" si="317"/>
        <v>0</v>
      </c>
      <c r="G564" s="125">
        <f ca="1">IF('Simulador - 1º Pilar'!$E$99="Sí",IF('Aportaciones PPE'!$B$13&lt;'Aportaciones PPE'!E564,0,F564*$B$8/12),F564*$B$8/12)</f>
        <v>0</v>
      </c>
      <c r="H564" s="125">
        <f t="shared" ca="1" si="306"/>
        <v>0</v>
      </c>
      <c r="I564" s="125">
        <f t="shared" ca="1" si="318"/>
        <v>0</v>
      </c>
      <c r="J564" s="125">
        <f t="shared" ca="1" si="319"/>
        <v>0</v>
      </c>
      <c r="K564" s="125">
        <f t="shared" ca="1" si="320"/>
        <v>0</v>
      </c>
      <c r="L564" s="125">
        <f t="shared" ca="1" si="338"/>
        <v>0</v>
      </c>
      <c r="M564" s="125">
        <f t="shared" ca="1" si="321"/>
        <v>0</v>
      </c>
      <c r="N564" s="125">
        <f t="shared" ca="1" si="322"/>
        <v>0</v>
      </c>
      <c r="R564">
        <f t="shared" si="339"/>
        <v>557</v>
      </c>
      <c r="U564" s="55"/>
      <c r="V564">
        <f t="shared" si="340"/>
        <v>6</v>
      </c>
      <c r="W564">
        <f t="shared" ca="1" si="341"/>
        <v>2070</v>
      </c>
      <c r="X564" s="123">
        <f t="shared" ca="1" si="323"/>
        <v>62245</v>
      </c>
      <c r="Y564" s="64">
        <f t="shared" ca="1" si="324"/>
        <v>0</v>
      </c>
      <c r="Z564" s="64">
        <f t="shared" ca="1" si="325"/>
        <v>0</v>
      </c>
      <c r="AA564" s="64">
        <f t="shared" ca="1" si="326"/>
        <v>0</v>
      </c>
      <c r="AB564" s="64">
        <f t="shared" ca="1" si="327"/>
        <v>0</v>
      </c>
      <c r="AF564" t="str">
        <f t="shared" ca="1" si="307"/>
        <v>21998</v>
      </c>
      <c r="AG564" s="126">
        <f t="shared" ca="1" si="308"/>
        <v>0</v>
      </c>
      <c r="AH564" s="126">
        <f t="shared" ca="1" si="309"/>
        <v>0</v>
      </c>
      <c r="AI564" s="126">
        <f t="shared" ca="1" si="310"/>
        <v>0</v>
      </c>
      <c r="AJ564" t="str">
        <f t="shared" ca="1" si="311"/>
        <v>62070</v>
      </c>
      <c r="AK564" s="126">
        <f t="shared" ca="1" si="328"/>
        <v>0</v>
      </c>
      <c r="AL564" s="126">
        <f t="shared" ca="1" si="329"/>
        <v>0</v>
      </c>
      <c r="AM564" s="126">
        <f t="shared" ca="1" si="342"/>
        <v>0</v>
      </c>
      <c r="AN564" s="753">
        <f t="shared" ca="1" si="343"/>
        <v>0</v>
      </c>
      <c r="AO564" s="750">
        <f t="shared" ca="1" si="330"/>
        <v>0</v>
      </c>
      <c r="AP564" s="126">
        <f t="shared" ca="1" si="331"/>
        <v>0</v>
      </c>
      <c r="AQ564" s="126">
        <f t="shared" ca="1" si="332"/>
        <v>0</v>
      </c>
      <c r="AR564" s="126">
        <f t="shared" ca="1" si="312"/>
        <v>10000</v>
      </c>
      <c r="AS564" s="750">
        <f t="shared" ca="1" si="313"/>
        <v>0</v>
      </c>
      <c r="AT564" s="750">
        <f t="shared" ca="1" si="314"/>
        <v>0</v>
      </c>
      <c r="AU564" s="126">
        <f t="shared" ca="1" si="333"/>
        <v>0</v>
      </c>
      <c r="AV564" s="126">
        <f t="shared" ca="1" si="334"/>
        <v>0</v>
      </c>
      <c r="AW564" s="126">
        <f t="shared" ca="1" si="315"/>
        <v>10000</v>
      </c>
      <c r="AX564" s="750">
        <f t="shared" ca="1" si="335"/>
        <v>0</v>
      </c>
      <c r="AY564" s="750">
        <f t="shared" ca="1" si="336"/>
        <v>0</v>
      </c>
      <c r="AZ564">
        <f t="shared" si="337"/>
        <v>5750</v>
      </c>
    </row>
    <row r="565" spans="4:52">
      <c r="D565">
        <v>558</v>
      </c>
      <c r="E565" s="6">
        <f t="shared" ca="1" si="316"/>
        <v>35796</v>
      </c>
      <c r="F565" s="7">
        <f t="shared" ca="1" si="317"/>
        <v>0</v>
      </c>
      <c r="G565" s="125">
        <f ca="1">IF('Simulador - 1º Pilar'!$E$99="Sí",IF('Aportaciones PPE'!$B$13&lt;'Aportaciones PPE'!E565,0,F565*$B$8/12),F565*$B$8/12)</f>
        <v>0</v>
      </c>
      <c r="H565" s="125">
        <f t="shared" ca="1" si="306"/>
        <v>0</v>
      </c>
      <c r="I565" s="125">
        <f t="shared" ca="1" si="318"/>
        <v>0</v>
      </c>
      <c r="J565" s="125">
        <f t="shared" ca="1" si="319"/>
        <v>0</v>
      </c>
      <c r="K565" s="125">
        <f t="shared" ca="1" si="320"/>
        <v>0</v>
      </c>
      <c r="L565" s="125">
        <f t="shared" ca="1" si="338"/>
        <v>0</v>
      </c>
      <c r="M565" s="125">
        <f t="shared" ca="1" si="321"/>
        <v>0</v>
      </c>
      <c r="N565" s="125">
        <f t="shared" ca="1" si="322"/>
        <v>0</v>
      </c>
      <c r="R565">
        <f t="shared" si="339"/>
        <v>558</v>
      </c>
      <c r="U565" s="55"/>
      <c r="V565">
        <f t="shared" si="340"/>
        <v>7</v>
      </c>
      <c r="W565">
        <f t="shared" ca="1" si="341"/>
        <v>2070</v>
      </c>
      <c r="X565" s="123">
        <f t="shared" ca="1" si="323"/>
        <v>62275</v>
      </c>
      <c r="Y565" s="64">
        <f t="shared" ca="1" si="324"/>
        <v>0</v>
      </c>
      <c r="Z565" s="64">
        <f t="shared" ca="1" si="325"/>
        <v>0</v>
      </c>
      <c r="AA565" s="64">
        <f t="shared" ca="1" si="326"/>
        <v>0</v>
      </c>
      <c r="AB565" s="64">
        <f t="shared" ca="1" si="327"/>
        <v>0</v>
      </c>
      <c r="AF565" t="str">
        <f t="shared" ca="1" si="307"/>
        <v>11998</v>
      </c>
      <c r="AG565" s="126">
        <f t="shared" ca="1" si="308"/>
        <v>0</v>
      </c>
      <c r="AH565" s="126">
        <f t="shared" ca="1" si="309"/>
        <v>0</v>
      </c>
      <c r="AI565" s="126">
        <f t="shared" ca="1" si="310"/>
        <v>0</v>
      </c>
      <c r="AJ565" t="str">
        <f t="shared" ca="1" si="311"/>
        <v>72070</v>
      </c>
      <c r="AK565" s="126">
        <f t="shared" ca="1" si="328"/>
        <v>0</v>
      </c>
      <c r="AL565" s="126">
        <f t="shared" ca="1" si="329"/>
        <v>0</v>
      </c>
      <c r="AM565" s="126">
        <f t="shared" ca="1" si="342"/>
        <v>0</v>
      </c>
      <c r="AN565" s="753">
        <f t="shared" ca="1" si="343"/>
        <v>0</v>
      </c>
      <c r="AO565" s="750">
        <f t="shared" ca="1" si="330"/>
        <v>0</v>
      </c>
      <c r="AP565" s="126">
        <f t="shared" ca="1" si="331"/>
        <v>0</v>
      </c>
      <c r="AQ565" s="126">
        <f t="shared" ca="1" si="332"/>
        <v>0</v>
      </c>
      <c r="AR565" s="126">
        <f t="shared" ca="1" si="312"/>
        <v>10000</v>
      </c>
      <c r="AS565" s="750">
        <f t="shared" ca="1" si="313"/>
        <v>0</v>
      </c>
      <c r="AT565" s="750">
        <f t="shared" ca="1" si="314"/>
        <v>0</v>
      </c>
      <c r="AU565" s="126">
        <f t="shared" ca="1" si="333"/>
        <v>0</v>
      </c>
      <c r="AV565" s="126">
        <f t="shared" ca="1" si="334"/>
        <v>0</v>
      </c>
      <c r="AW565" s="126">
        <f t="shared" ca="1" si="315"/>
        <v>10000</v>
      </c>
      <c r="AX565" s="750">
        <f t="shared" ca="1" si="335"/>
        <v>0</v>
      </c>
      <c r="AY565" s="750">
        <f t="shared" ca="1" si="336"/>
        <v>0</v>
      </c>
      <c r="AZ565">
        <f t="shared" si="337"/>
        <v>5750</v>
      </c>
    </row>
    <row r="566" spans="4:52">
      <c r="D566">
        <v>559</v>
      </c>
      <c r="E566" s="6">
        <f t="shared" ca="1" si="316"/>
        <v>35765</v>
      </c>
      <c r="F566" s="7">
        <f t="shared" ca="1" si="317"/>
        <v>0</v>
      </c>
      <c r="G566" s="125">
        <f ca="1">IF('Simulador - 1º Pilar'!$E$99="Sí",IF('Aportaciones PPE'!$B$13&lt;'Aportaciones PPE'!E566,0,F566*$B$8/12),F566*$B$8/12)</f>
        <v>0</v>
      </c>
      <c r="H566" s="125">
        <f t="shared" ca="1" si="306"/>
        <v>0</v>
      </c>
      <c r="I566" s="125">
        <f t="shared" ca="1" si="318"/>
        <v>0</v>
      </c>
      <c r="J566" s="125">
        <f t="shared" ca="1" si="319"/>
        <v>0</v>
      </c>
      <c r="K566" s="125">
        <f t="shared" ca="1" si="320"/>
        <v>0</v>
      </c>
      <c r="L566" s="125">
        <f t="shared" ca="1" si="338"/>
        <v>0</v>
      </c>
      <c r="M566" s="125">
        <f t="shared" ca="1" si="321"/>
        <v>0</v>
      </c>
      <c r="N566" s="125">
        <f t="shared" ca="1" si="322"/>
        <v>0</v>
      </c>
      <c r="R566">
        <f t="shared" si="339"/>
        <v>559</v>
      </c>
      <c r="U566" s="55"/>
      <c r="V566">
        <f t="shared" si="340"/>
        <v>8</v>
      </c>
      <c r="W566">
        <f t="shared" ca="1" si="341"/>
        <v>2070</v>
      </c>
      <c r="X566" s="123">
        <f t="shared" ca="1" si="323"/>
        <v>62306</v>
      </c>
      <c r="Y566" s="64">
        <f t="shared" ca="1" si="324"/>
        <v>0</v>
      </c>
      <c r="Z566" s="64">
        <f t="shared" ca="1" si="325"/>
        <v>0</v>
      </c>
      <c r="AA566" s="64">
        <f t="shared" ca="1" si="326"/>
        <v>0</v>
      </c>
      <c r="AB566" s="64">
        <f t="shared" ca="1" si="327"/>
        <v>0</v>
      </c>
      <c r="AF566" t="str">
        <f t="shared" ca="1" si="307"/>
        <v>121997</v>
      </c>
      <c r="AG566" s="126">
        <f t="shared" ca="1" si="308"/>
        <v>0</v>
      </c>
      <c r="AH566" s="126">
        <f t="shared" ca="1" si="309"/>
        <v>0</v>
      </c>
      <c r="AI566" s="126">
        <f t="shared" ca="1" si="310"/>
        <v>0</v>
      </c>
      <c r="AJ566" t="str">
        <f t="shared" ca="1" si="311"/>
        <v>82070</v>
      </c>
      <c r="AK566" s="126">
        <f t="shared" ca="1" si="328"/>
        <v>0</v>
      </c>
      <c r="AL566" s="126">
        <f t="shared" ca="1" si="329"/>
        <v>0</v>
      </c>
      <c r="AM566" s="126">
        <f t="shared" ca="1" si="342"/>
        <v>0</v>
      </c>
      <c r="AN566" s="753">
        <f t="shared" ca="1" si="343"/>
        <v>0</v>
      </c>
      <c r="AO566" s="750">
        <f t="shared" ca="1" si="330"/>
        <v>0</v>
      </c>
      <c r="AP566" s="126">
        <f t="shared" ca="1" si="331"/>
        <v>0</v>
      </c>
      <c r="AQ566" s="126">
        <f t="shared" ca="1" si="332"/>
        <v>0</v>
      </c>
      <c r="AR566" s="126">
        <f t="shared" ca="1" si="312"/>
        <v>10000</v>
      </c>
      <c r="AS566" s="750">
        <f t="shared" ca="1" si="313"/>
        <v>0</v>
      </c>
      <c r="AT566" s="750">
        <f t="shared" ca="1" si="314"/>
        <v>0</v>
      </c>
      <c r="AU566" s="126">
        <f t="shared" ca="1" si="333"/>
        <v>0</v>
      </c>
      <c r="AV566" s="126">
        <f t="shared" ca="1" si="334"/>
        <v>0</v>
      </c>
      <c r="AW566" s="126">
        <f t="shared" ca="1" si="315"/>
        <v>10000</v>
      </c>
      <c r="AX566" s="750">
        <f t="shared" ca="1" si="335"/>
        <v>0</v>
      </c>
      <c r="AY566" s="750">
        <f t="shared" ca="1" si="336"/>
        <v>0</v>
      </c>
      <c r="AZ566">
        <f t="shared" si="337"/>
        <v>5750</v>
      </c>
    </row>
    <row r="567" spans="4:52">
      <c r="D567">
        <v>560</v>
      </c>
      <c r="E567" s="6">
        <f t="shared" ca="1" si="316"/>
        <v>35735</v>
      </c>
      <c r="F567" s="7">
        <f t="shared" ca="1" si="317"/>
        <v>0</v>
      </c>
      <c r="G567" s="125">
        <f ca="1">IF('Simulador - 1º Pilar'!$E$99="Sí",IF('Aportaciones PPE'!$B$13&lt;'Aportaciones PPE'!E567,0,F567*$B$8/12),F567*$B$8/12)</f>
        <v>0</v>
      </c>
      <c r="H567" s="125">
        <f t="shared" ca="1" si="306"/>
        <v>0</v>
      </c>
      <c r="I567" s="125">
        <f t="shared" ca="1" si="318"/>
        <v>0</v>
      </c>
      <c r="J567" s="125">
        <f t="shared" ca="1" si="319"/>
        <v>0</v>
      </c>
      <c r="K567" s="125">
        <f t="shared" ca="1" si="320"/>
        <v>0</v>
      </c>
      <c r="L567" s="125">
        <f t="shared" ca="1" si="338"/>
        <v>0</v>
      </c>
      <c r="M567" s="125">
        <f t="shared" ca="1" si="321"/>
        <v>0</v>
      </c>
      <c r="N567" s="125">
        <f t="shared" ca="1" si="322"/>
        <v>0</v>
      </c>
      <c r="R567">
        <f t="shared" si="339"/>
        <v>560</v>
      </c>
      <c r="U567" s="55"/>
      <c r="V567">
        <f t="shared" si="340"/>
        <v>9</v>
      </c>
      <c r="W567">
        <f t="shared" ca="1" si="341"/>
        <v>2070</v>
      </c>
      <c r="X567" s="123">
        <f t="shared" ca="1" si="323"/>
        <v>62337</v>
      </c>
      <c r="Y567" s="64">
        <f t="shared" ca="1" si="324"/>
        <v>0</v>
      </c>
      <c r="Z567" s="64">
        <f t="shared" ca="1" si="325"/>
        <v>0</v>
      </c>
      <c r="AA567" s="64">
        <f t="shared" ca="1" si="326"/>
        <v>0</v>
      </c>
      <c r="AB567" s="64">
        <f t="shared" ca="1" si="327"/>
        <v>0</v>
      </c>
      <c r="AF567" t="str">
        <f t="shared" ca="1" si="307"/>
        <v>111997</v>
      </c>
      <c r="AG567" s="126">
        <f t="shared" ca="1" si="308"/>
        <v>0</v>
      </c>
      <c r="AH567" s="126">
        <f t="shared" ca="1" si="309"/>
        <v>0</v>
      </c>
      <c r="AI567" s="126">
        <f t="shared" ca="1" si="310"/>
        <v>0</v>
      </c>
      <c r="AJ567" t="str">
        <f t="shared" ca="1" si="311"/>
        <v>92070</v>
      </c>
      <c r="AK567" s="126">
        <f t="shared" ca="1" si="328"/>
        <v>0</v>
      </c>
      <c r="AL567" s="126">
        <f t="shared" ca="1" si="329"/>
        <v>0</v>
      </c>
      <c r="AM567" s="126">
        <f t="shared" ca="1" si="342"/>
        <v>0</v>
      </c>
      <c r="AN567" s="753">
        <f t="shared" ca="1" si="343"/>
        <v>0</v>
      </c>
      <c r="AO567" s="750">
        <f t="shared" ca="1" si="330"/>
        <v>0</v>
      </c>
      <c r="AP567" s="126">
        <f t="shared" ca="1" si="331"/>
        <v>0</v>
      </c>
      <c r="AQ567" s="126">
        <f t="shared" ca="1" si="332"/>
        <v>0</v>
      </c>
      <c r="AR567" s="126">
        <f t="shared" ca="1" si="312"/>
        <v>10000</v>
      </c>
      <c r="AS567" s="750">
        <f t="shared" ca="1" si="313"/>
        <v>0</v>
      </c>
      <c r="AT567" s="750">
        <f t="shared" ca="1" si="314"/>
        <v>0</v>
      </c>
      <c r="AU567" s="126">
        <f t="shared" ca="1" si="333"/>
        <v>0</v>
      </c>
      <c r="AV567" s="126">
        <f t="shared" ca="1" si="334"/>
        <v>0</v>
      </c>
      <c r="AW567" s="126">
        <f t="shared" ca="1" si="315"/>
        <v>10000</v>
      </c>
      <c r="AX567" s="750">
        <f t="shared" ca="1" si="335"/>
        <v>0</v>
      </c>
      <c r="AY567" s="750">
        <f t="shared" ca="1" si="336"/>
        <v>0</v>
      </c>
      <c r="AZ567">
        <f t="shared" si="337"/>
        <v>5750</v>
      </c>
    </row>
    <row r="568" spans="4:52">
      <c r="D568">
        <v>561</v>
      </c>
      <c r="E568" s="6">
        <f t="shared" ca="1" si="316"/>
        <v>35704</v>
      </c>
      <c r="F568" s="7">
        <f t="shared" ca="1" si="317"/>
        <v>0</v>
      </c>
      <c r="G568" s="125">
        <f ca="1">IF('Simulador - 1º Pilar'!$E$99="Sí",IF('Aportaciones PPE'!$B$13&lt;'Aportaciones PPE'!E568,0,F568*$B$8/12),F568*$B$8/12)</f>
        <v>0</v>
      </c>
      <c r="H568" s="125">
        <f t="shared" ca="1" si="306"/>
        <v>0</v>
      </c>
      <c r="I568" s="125">
        <f t="shared" ca="1" si="318"/>
        <v>0</v>
      </c>
      <c r="J568" s="125">
        <f t="shared" ca="1" si="319"/>
        <v>0</v>
      </c>
      <c r="K568" s="125">
        <f t="shared" ca="1" si="320"/>
        <v>0</v>
      </c>
      <c r="L568" s="125">
        <f t="shared" ca="1" si="338"/>
        <v>0</v>
      </c>
      <c r="M568" s="125">
        <f t="shared" ca="1" si="321"/>
        <v>0</v>
      </c>
      <c r="N568" s="125">
        <f t="shared" ca="1" si="322"/>
        <v>0</v>
      </c>
      <c r="R568">
        <f t="shared" si="339"/>
        <v>561</v>
      </c>
      <c r="U568" s="55"/>
      <c r="V568">
        <f t="shared" si="340"/>
        <v>10</v>
      </c>
      <c r="W568">
        <f t="shared" ca="1" si="341"/>
        <v>2070</v>
      </c>
      <c r="X568" s="123">
        <f t="shared" ca="1" si="323"/>
        <v>62367</v>
      </c>
      <c r="Y568" s="64">
        <f t="shared" ca="1" si="324"/>
        <v>0</v>
      </c>
      <c r="Z568" s="64">
        <f t="shared" ca="1" si="325"/>
        <v>0</v>
      </c>
      <c r="AA568" s="64">
        <f t="shared" ca="1" si="326"/>
        <v>0</v>
      </c>
      <c r="AB568" s="64">
        <f t="shared" ca="1" si="327"/>
        <v>0</v>
      </c>
      <c r="AF568" t="str">
        <f t="shared" ca="1" si="307"/>
        <v>101997</v>
      </c>
      <c r="AG568" s="126">
        <f t="shared" ca="1" si="308"/>
        <v>0</v>
      </c>
      <c r="AH568" s="126">
        <f t="shared" ca="1" si="309"/>
        <v>0</v>
      </c>
      <c r="AI568" s="126">
        <f t="shared" ca="1" si="310"/>
        <v>0</v>
      </c>
      <c r="AJ568" t="str">
        <f t="shared" ca="1" si="311"/>
        <v>102070</v>
      </c>
      <c r="AK568" s="126">
        <f t="shared" ca="1" si="328"/>
        <v>0</v>
      </c>
      <c r="AL568" s="126">
        <f t="shared" ca="1" si="329"/>
        <v>0</v>
      </c>
      <c r="AM568" s="126">
        <f t="shared" ca="1" si="342"/>
        <v>0</v>
      </c>
      <c r="AN568" s="753">
        <f t="shared" ca="1" si="343"/>
        <v>0</v>
      </c>
      <c r="AO568" s="750">
        <f t="shared" ca="1" si="330"/>
        <v>0</v>
      </c>
      <c r="AP568" s="126">
        <f t="shared" ca="1" si="331"/>
        <v>0</v>
      </c>
      <c r="AQ568" s="126">
        <f t="shared" ca="1" si="332"/>
        <v>0</v>
      </c>
      <c r="AR568" s="126">
        <f t="shared" ca="1" si="312"/>
        <v>10000</v>
      </c>
      <c r="AS568" s="750">
        <f t="shared" ca="1" si="313"/>
        <v>0</v>
      </c>
      <c r="AT568" s="750">
        <f t="shared" ca="1" si="314"/>
        <v>0</v>
      </c>
      <c r="AU568" s="126">
        <f t="shared" ca="1" si="333"/>
        <v>0</v>
      </c>
      <c r="AV568" s="126">
        <f t="shared" ca="1" si="334"/>
        <v>0</v>
      </c>
      <c r="AW568" s="126">
        <f t="shared" ca="1" si="315"/>
        <v>10000</v>
      </c>
      <c r="AX568" s="750">
        <f t="shared" ca="1" si="335"/>
        <v>0</v>
      </c>
      <c r="AY568" s="750">
        <f t="shared" ca="1" si="336"/>
        <v>0</v>
      </c>
      <c r="AZ568">
        <f t="shared" si="337"/>
        <v>5750</v>
      </c>
    </row>
    <row r="569" spans="4:52">
      <c r="D569">
        <v>562</v>
      </c>
      <c r="E569" s="6">
        <f t="shared" ca="1" si="316"/>
        <v>35674</v>
      </c>
      <c r="F569" s="7">
        <f t="shared" ca="1" si="317"/>
        <v>0</v>
      </c>
      <c r="G569" s="125">
        <f ca="1">IF('Simulador - 1º Pilar'!$E$99="Sí",IF('Aportaciones PPE'!$B$13&lt;'Aportaciones PPE'!E569,0,F569*$B$8/12),F569*$B$8/12)</f>
        <v>0</v>
      </c>
      <c r="H569" s="125">
        <f t="shared" ca="1" si="306"/>
        <v>0</v>
      </c>
      <c r="I569" s="125">
        <f t="shared" ca="1" si="318"/>
        <v>0</v>
      </c>
      <c r="J569" s="125">
        <f t="shared" ca="1" si="319"/>
        <v>0</v>
      </c>
      <c r="K569" s="125">
        <f t="shared" ca="1" si="320"/>
        <v>0</v>
      </c>
      <c r="L569" s="125">
        <f t="shared" ca="1" si="338"/>
        <v>0</v>
      </c>
      <c r="M569" s="125">
        <f t="shared" ca="1" si="321"/>
        <v>0</v>
      </c>
      <c r="N569" s="125">
        <f t="shared" ca="1" si="322"/>
        <v>0</v>
      </c>
      <c r="R569">
        <f t="shared" si="339"/>
        <v>562</v>
      </c>
      <c r="U569" s="55"/>
      <c r="V569">
        <f t="shared" si="340"/>
        <v>11</v>
      </c>
      <c r="W569">
        <f t="shared" ca="1" si="341"/>
        <v>2070</v>
      </c>
      <c r="X569" s="123">
        <f t="shared" ca="1" si="323"/>
        <v>62398</v>
      </c>
      <c r="Y569" s="64">
        <f t="shared" ca="1" si="324"/>
        <v>0</v>
      </c>
      <c r="Z569" s="64">
        <f t="shared" ca="1" si="325"/>
        <v>0</v>
      </c>
      <c r="AA569" s="64">
        <f t="shared" ca="1" si="326"/>
        <v>0</v>
      </c>
      <c r="AB569" s="64">
        <f t="shared" ca="1" si="327"/>
        <v>0</v>
      </c>
      <c r="AF569" t="str">
        <f t="shared" ca="1" si="307"/>
        <v>91997</v>
      </c>
      <c r="AG569" s="126">
        <f t="shared" ca="1" si="308"/>
        <v>0</v>
      </c>
      <c r="AH569" s="126">
        <f t="shared" ca="1" si="309"/>
        <v>0</v>
      </c>
      <c r="AI569" s="126">
        <f t="shared" ca="1" si="310"/>
        <v>0</v>
      </c>
      <c r="AJ569" t="str">
        <f t="shared" ca="1" si="311"/>
        <v>112070</v>
      </c>
      <c r="AK569" s="126">
        <f t="shared" ca="1" si="328"/>
        <v>0</v>
      </c>
      <c r="AL569" s="126">
        <f t="shared" ca="1" si="329"/>
        <v>0</v>
      </c>
      <c r="AM569" s="126">
        <f t="shared" ca="1" si="342"/>
        <v>0</v>
      </c>
      <c r="AN569" s="753">
        <f t="shared" ca="1" si="343"/>
        <v>0</v>
      </c>
      <c r="AO569" s="750">
        <f t="shared" ca="1" si="330"/>
        <v>0</v>
      </c>
      <c r="AP569" s="126">
        <f t="shared" ca="1" si="331"/>
        <v>0</v>
      </c>
      <c r="AQ569" s="126">
        <f t="shared" ca="1" si="332"/>
        <v>0</v>
      </c>
      <c r="AR569" s="126">
        <f t="shared" ca="1" si="312"/>
        <v>10000</v>
      </c>
      <c r="AS569" s="750">
        <f t="shared" ca="1" si="313"/>
        <v>0</v>
      </c>
      <c r="AT569" s="750">
        <f t="shared" ca="1" si="314"/>
        <v>0</v>
      </c>
      <c r="AU569" s="126">
        <f t="shared" ca="1" si="333"/>
        <v>0</v>
      </c>
      <c r="AV569" s="126">
        <f t="shared" ca="1" si="334"/>
        <v>0</v>
      </c>
      <c r="AW569" s="126">
        <f t="shared" ca="1" si="315"/>
        <v>10000</v>
      </c>
      <c r="AX569" s="750">
        <f t="shared" ca="1" si="335"/>
        <v>0</v>
      </c>
      <c r="AY569" s="750">
        <f t="shared" ca="1" si="336"/>
        <v>0</v>
      </c>
      <c r="AZ569">
        <f t="shared" si="337"/>
        <v>5750</v>
      </c>
    </row>
    <row r="570" spans="4:52">
      <c r="D570">
        <v>563</v>
      </c>
      <c r="E570" s="6">
        <f t="shared" ca="1" si="316"/>
        <v>35643</v>
      </c>
      <c r="F570" s="7">
        <f t="shared" ca="1" si="317"/>
        <v>0</v>
      </c>
      <c r="G570" s="125">
        <f ca="1">IF('Simulador - 1º Pilar'!$E$99="Sí",IF('Aportaciones PPE'!$B$13&lt;'Aportaciones PPE'!E570,0,F570*$B$8/12),F570*$B$8/12)</f>
        <v>0</v>
      </c>
      <c r="H570" s="125">
        <f t="shared" ca="1" si="306"/>
        <v>0</v>
      </c>
      <c r="I570" s="125">
        <f t="shared" ca="1" si="318"/>
        <v>0</v>
      </c>
      <c r="J570" s="125">
        <f t="shared" ca="1" si="319"/>
        <v>0</v>
      </c>
      <c r="K570" s="125">
        <f t="shared" ca="1" si="320"/>
        <v>0</v>
      </c>
      <c r="L570" s="125">
        <f t="shared" ca="1" si="338"/>
        <v>0</v>
      </c>
      <c r="M570" s="125">
        <f t="shared" ca="1" si="321"/>
        <v>0</v>
      </c>
      <c r="N570" s="125">
        <f t="shared" ca="1" si="322"/>
        <v>0</v>
      </c>
      <c r="R570">
        <f t="shared" si="339"/>
        <v>563</v>
      </c>
      <c r="U570" s="55"/>
      <c r="V570">
        <f t="shared" si="340"/>
        <v>12</v>
      </c>
      <c r="W570">
        <f t="shared" ca="1" si="341"/>
        <v>2070</v>
      </c>
      <c r="X570" s="123">
        <f t="shared" ca="1" si="323"/>
        <v>62428</v>
      </c>
      <c r="Y570" s="64">
        <f t="shared" ca="1" si="324"/>
        <v>0</v>
      </c>
      <c r="Z570" s="64">
        <f t="shared" ca="1" si="325"/>
        <v>0</v>
      </c>
      <c r="AA570" s="64">
        <f t="shared" ca="1" si="326"/>
        <v>0</v>
      </c>
      <c r="AB570" s="64">
        <f t="shared" ca="1" si="327"/>
        <v>0</v>
      </c>
      <c r="AF570" t="str">
        <f t="shared" ca="1" si="307"/>
        <v>81997</v>
      </c>
      <c r="AG570" s="126">
        <f t="shared" ca="1" si="308"/>
        <v>0</v>
      </c>
      <c r="AH570" s="126">
        <f t="shared" ca="1" si="309"/>
        <v>0</v>
      </c>
      <c r="AI570" s="126">
        <f t="shared" ca="1" si="310"/>
        <v>0</v>
      </c>
      <c r="AJ570" t="str">
        <f t="shared" ca="1" si="311"/>
        <v>122070</v>
      </c>
      <c r="AK570" s="126">
        <f t="shared" ca="1" si="328"/>
        <v>0</v>
      </c>
      <c r="AL570" s="126">
        <f t="shared" ca="1" si="329"/>
        <v>0</v>
      </c>
      <c r="AM570" s="126">
        <f t="shared" ca="1" si="342"/>
        <v>0</v>
      </c>
      <c r="AN570" s="753">
        <f t="shared" ca="1" si="343"/>
        <v>0</v>
      </c>
      <c r="AO570" s="750">
        <f t="shared" ca="1" si="330"/>
        <v>0</v>
      </c>
      <c r="AP570" s="126">
        <f t="shared" ca="1" si="331"/>
        <v>0</v>
      </c>
      <c r="AQ570" s="126">
        <f t="shared" ca="1" si="332"/>
        <v>0</v>
      </c>
      <c r="AR570" s="126">
        <f t="shared" ca="1" si="312"/>
        <v>10000</v>
      </c>
      <c r="AS570" s="750">
        <f t="shared" ca="1" si="313"/>
        <v>0</v>
      </c>
      <c r="AT570" s="750">
        <f t="shared" ca="1" si="314"/>
        <v>0</v>
      </c>
      <c r="AU570" s="126">
        <f t="shared" ca="1" si="333"/>
        <v>0</v>
      </c>
      <c r="AV570" s="126">
        <f t="shared" ca="1" si="334"/>
        <v>0</v>
      </c>
      <c r="AW570" s="126">
        <f t="shared" ca="1" si="315"/>
        <v>10000</v>
      </c>
      <c r="AX570" s="750">
        <f t="shared" ca="1" si="335"/>
        <v>0</v>
      </c>
      <c r="AY570" s="750">
        <f t="shared" ca="1" si="336"/>
        <v>0</v>
      </c>
      <c r="AZ570">
        <f t="shared" si="337"/>
        <v>5750</v>
      </c>
    </row>
    <row r="571" spans="4:52">
      <c r="D571">
        <v>564</v>
      </c>
      <c r="E571" s="6">
        <f t="shared" ca="1" si="316"/>
        <v>35612</v>
      </c>
      <c r="F571" s="7">
        <f t="shared" ca="1" si="317"/>
        <v>0</v>
      </c>
      <c r="G571" s="125">
        <f ca="1">IF('Simulador - 1º Pilar'!$E$99="Sí",IF('Aportaciones PPE'!$B$13&lt;'Aportaciones PPE'!E571,0,F571*$B$8/12),F571*$B$8/12)</f>
        <v>0</v>
      </c>
      <c r="H571" s="125">
        <f t="shared" ca="1" si="306"/>
        <v>0</v>
      </c>
      <c r="I571" s="125">
        <f t="shared" ca="1" si="318"/>
        <v>0</v>
      </c>
      <c r="J571" s="125">
        <f t="shared" ca="1" si="319"/>
        <v>0</v>
      </c>
      <c r="K571" s="125">
        <f t="shared" ca="1" si="320"/>
        <v>0</v>
      </c>
      <c r="L571" s="125">
        <f t="shared" ca="1" si="338"/>
        <v>0</v>
      </c>
      <c r="M571" s="125">
        <f t="shared" ca="1" si="321"/>
        <v>0</v>
      </c>
      <c r="N571" s="125">
        <f t="shared" ca="1" si="322"/>
        <v>0</v>
      </c>
      <c r="R571">
        <f t="shared" si="339"/>
        <v>564</v>
      </c>
      <c r="U571" s="55"/>
      <c r="V571">
        <f t="shared" si="340"/>
        <v>1</v>
      </c>
      <c r="W571">
        <f t="shared" ca="1" si="341"/>
        <v>2071</v>
      </c>
      <c r="X571" s="123">
        <f t="shared" ca="1" si="323"/>
        <v>62459</v>
      </c>
      <c r="Y571" s="64">
        <f t="shared" ca="1" si="324"/>
        <v>0</v>
      </c>
      <c r="Z571" s="64">
        <f t="shared" ca="1" si="325"/>
        <v>0</v>
      </c>
      <c r="AA571" s="64">
        <f t="shared" ca="1" si="326"/>
        <v>0</v>
      </c>
      <c r="AB571" s="64">
        <f t="shared" ca="1" si="327"/>
        <v>0</v>
      </c>
      <c r="AF571" t="str">
        <f t="shared" ca="1" si="307"/>
        <v>71997</v>
      </c>
      <c r="AG571" s="126">
        <f t="shared" ca="1" si="308"/>
        <v>0</v>
      </c>
      <c r="AH571" s="126">
        <f t="shared" ca="1" si="309"/>
        <v>0</v>
      </c>
      <c r="AI571" s="126">
        <f t="shared" ca="1" si="310"/>
        <v>0</v>
      </c>
      <c r="AJ571" t="str">
        <f t="shared" ca="1" si="311"/>
        <v>12071</v>
      </c>
      <c r="AK571" s="126">
        <f t="shared" ca="1" si="328"/>
        <v>0</v>
      </c>
      <c r="AL571" s="126">
        <f t="shared" ca="1" si="329"/>
        <v>0</v>
      </c>
      <c r="AM571" s="126">
        <f t="shared" ca="1" si="342"/>
        <v>0</v>
      </c>
      <c r="AN571" s="753">
        <f t="shared" ca="1" si="343"/>
        <v>0</v>
      </c>
      <c r="AO571" s="750">
        <f t="shared" ca="1" si="330"/>
        <v>0</v>
      </c>
      <c r="AP571" s="126">
        <f t="shared" ca="1" si="331"/>
        <v>0</v>
      </c>
      <c r="AQ571" s="126">
        <f t="shared" ca="1" si="332"/>
        <v>0</v>
      </c>
      <c r="AR571" s="126">
        <f t="shared" ca="1" si="312"/>
        <v>10000</v>
      </c>
      <c r="AS571" s="750">
        <f t="shared" ca="1" si="313"/>
        <v>0</v>
      </c>
      <c r="AT571" s="750">
        <f t="shared" ca="1" si="314"/>
        <v>0</v>
      </c>
      <c r="AU571" s="126">
        <f t="shared" ca="1" si="333"/>
        <v>0</v>
      </c>
      <c r="AV571" s="126">
        <f t="shared" ca="1" si="334"/>
        <v>0</v>
      </c>
      <c r="AW571" s="126">
        <f t="shared" ca="1" si="315"/>
        <v>10000</v>
      </c>
      <c r="AX571" s="750">
        <f t="shared" ca="1" si="335"/>
        <v>0</v>
      </c>
      <c r="AY571" s="750">
        <f t="shared" ca="1" si="336"/>
        <v>0</v>
      </c>
      <c r="AZ571">
        <f t="shared" si="337"/>
        <v>5750</v>
      </c>
    </row>
    <row r="572" spans="4:52">
      <c r="D572">
        <v>565</v>
      </c>
      <c r="E572" s="6">
        <f t="shared" ca="1" si="316"/>
        <v>35582</v>
      </c>
      <c r="F572" s="7">
        <f t="shared" ca="1" si="317"/>
        <v>0</v>
      </c>
      <c r="G572" s="125">
        <f ca="1">IF('Simulador - 1º Pilar'!$E$99="Sí",IF('Aportaciones PPE'!$B$13&lt;'Aportaciones PPE'!E572,0,F572*$B$8/12),F572*$B$8/12)</f>
        <v>0</v>
      </c>
      <c r="H572" s="125">
        <f t="shared" ca="1" si="306"/>
        <v>0</v>
      </c>
      <c r="I572" s="125">
        <f t="shared" ca="1" si="318"/>
        <v>0</v>
      </c>
      <c r="J572" s="125">
        <f t="shared" ca="1" si="319"/>
        <v>0</v>
      </c>
      <c r="K572" s="125">
        <f t="shared" ca="1" si="320"/>
        <v>0</v>
      </c>
      <c r="L572" s="125">
        <f t="shared" ca="1" si="338"/>
        <v>0</v>
      </c>
      <c r="M572" s="125">
        <f t="shared" ca="1" si="321"/>
        <v>0</v>
      </c>
      <c r="N572" s="125">
        <f t="shared" ca="1" si="322"/>
        <v>0</v>
      </c>
      <c r="R572">
        <f t="shared" si="339"/>
        <v>565</v>
      </c>
      <c r="U572" s="55"/>
      <c r="V572">
        <f t="shared" si="340"/>
        <v>2</v>
      </c>
      <c r="W572">
        <f t="shared" ca="1" si="341"/>
        <v>2071</v>
      </c>
      <c r="X572" s="123">
        <f t="shared" ca="1" si="323"/>
        <v>62490</v>
      </c>
      <c r="Y572" s="64">
        <f t="shared" ca="1" si="324"/>
        <v>0</v>
      </c>
      <c r="Z572" s="64">
        <f t="shared" ca="1" si="325"/>
        <v>0</v>
      </c>
      <c r="AA572" s="64">
        <f t="shared" ca="1" si="326"/>
        <v>0</v>
      </c>
      <c r="AB572" s="64">
        <f t="shared" ca="1" si="327"/>
        <v>0</v>
      </c>
      <c r="AF572" t="str">
        <f t="shared" ca="1" si="307"/>
        <v>61997</v>
      </c>
      <c r="AG572" s="126">
        <f t="shared" ca="1" si="308"/>
        <v>0</v>
      </c>
      <c r="AH572" s="126">
        <f t="shared" ca="1" si="309"/>
        <v>0</v>
      </c>
      <c r="AI572" s="126">
        <f t="shared" ca="1" si="310"/>
        <v>0</v>
      </c>
      <c r="AJ572" t="str">
        <f t="shared" ca="1" si="311"/>
        <v>22071</v>
      </c>
      <c r="AK572" s="126">
        <f t="shared" ca="1" si="328"/>
        <v>0</v>
      </c>
      <c r="AL572" s="126">
        <f t="shared" ca="1" si="329"/>
        <v>0</v>
      </c>
      <c r="AM572" s="126">
        <f t="shared" ca="1" si="342"/>
        <v>0</v>
      </c>
      <c r="AN572" s="753">
        <f t="shared" ca="1" si="343"/>
        <v>0</v>
      </c>
      <c r="AO572" s="750">
        <f t="shared" ca="1" si="330"/>
        <v>0</v>
      </c>
      <c r="AP572" s="126">
        <f t="shared" ca="1" si="331"/>
        <v>0</v>
      </c>
      <c r="AQ572" s="126">
        <f t="shared" ca="1" si="332"/>
        <v>0</v>
      </c>
      <c r="AR572" s="126">
        <f t="shared" ca="1" si="312"/>
        <v>10000</v>
      </c>
      <c r="AS572" s="750">
        <f t="shared" ca="1" si="313"/>
        <v>0</v>
      </c>
      <c r="AT572" s="750">
        <f t="shared" ca="1" si="314"/>
        <v>0</v>
      </c>
      <c r="AU572" s="126">
        <f t="shared" ca="1" si="333"/>
        <v>0</v>
      </c>
      <c r="AV572" s="126">
        <f t="shared" ca="1" si="334"/>
        <v>0</v>
      </c>
      <c r="AW572" s="126">
        <f t="shared" ca="1" si="315"/>
        <v>10000</v>
      </c>
      <c r="AX572" s="750">
        <f t="shared" ca="1" si="335"/>
        <v>0</v>
      </c>
      <c r="AY572" s="750">
        <f t="shared" ca="1" si="336"/>
        <v>0</v>
      </c>
      <c r="AZ572">
        <f t="shared" si="337"/>
        <v>5750</v>
      </c>
    </row>
    <row r="573" spans="4:52">
      <c r="D573">
        <v>566</v>
      </c>
      <c r="E573" s="6">
        <f t="shared" ca="1" si="316"/>
        <v>35551</v>
      </c>
      <c r="F573" s="7">
        <f t="shared" ca="1" si="317"/>
        <v>0</v>
      </c>
      <c r="G573" s="125">
        <f ca="1">IF('Simulador - 1º Pilar'!$E$99="Sí",IF('Aportaciones PPE'!$B$13&lt;'Aportaciones PPE'!E573,0,F573*$B$8/12),F573*$B$8/12)</f>
        <v>0</v>
      </c>
      <c r="H573" s="125">
        <f t="shared" ca="1" si="306"/>
        <v>0</v>
      </c>
      <c r="I573" s="125">
        <f t="shared" ca="1" si="318"/>
        <v>0</v>
      </c>
      <c r="J573" s="125">
        <f t="shared" ca="1" si="319"/>
        <v>0</v>
      </c>
      <c r="K573" s="125">
        <f t="shared" ca="1" si="320"/>
        <v>0</v>
      </c>
      <c r="L573" s="125">
        <f t="shared" ca="1" si="338"/>
        <v>0</v>
      </c>
      <c r="M573" s="125">
        <f t="shared" ca="1" si="321"/>
        <v>0</v>
      </c>
      <c r="N573" s="125">
        <f t="shared" ca="1" si="322"/>
        <v>0</v>
      </c>
      <c r="R573">
        <f t="shared" si="339"/>
        <v>566</v>
      </c>
      <c r="U573" s="55"/>
      <c r="V573">
        <f t="shared" si="340"/>
        <v>3</v>
      </c>
      <c r="W573">
        <f t="shared" ca="1" si="341"/>
        <v>2071</v>
      </c>
      <c r="X573" s="123">
        <f t="shared" ca="1" si="323"/>
        <v>62518</v>
      </c>
      <c r="Y573" s="64">
        <f t="shared" ca="1" si="324"/>
        <v>0</v>
      </c>
      <c r="Z573" s="64">
        <f t="shared" ca="1" si="325"/>
        <v>0</v>
      </c>
      <c r="AA573" s="64">
        <f t="shared" ca="1" si="326"/>
        <v>0</v>
      </c>
      <c r="AB573" s="64">
        <f t="shared" ca="1" si="327"/>
        <v>0</v>
      </c>
      <c r="AF573" t="str">
        <f t="shared" ca="1" si="307"/>
        <v>51997</v>
      </c>
      <c r="AG573" s="126">
        <f t="shared" ca="1" si="308"/>
        <v>0</v>
      </c>
      <c r="AH573" s="126">
        <f t="shared" ca="1" si="309"/>
        <v>0</v>
      </c>
      <c r="AI573" s="126">
        <f t="shared" ca="1" si="310"/>
        <v>0</v>
      </c>
      <c r="AJ573" t="str">
        <f t="shared" ca="1" si="311"/>
        <v>32071</v>
      </c>
      <c r="AK573" s="126">
        <f t="shared" ca="1" si="328"/>
        <v>0</v>
      </c>
      <c r="AL573" s="126">
        <f t="shared" ca="1" si="329"/>
        <v>0</v>
      </c>
      <c r="AM573" s="126">
        <f t="shared" ca="1" si="342"/>
        <v>0</v>
      </c>
      <c r="AN573" s="753">
        <f t="shared" ca="1" si="343"/>
        <v>0</v>
      </c>
      <c r="AO573" s="750">
        <f t="shared" ca="1" si="330"/>
        <v>0</v>
      </c>
      <c r="AP573" s="126">
        <f t="shared" ca="1" si="331"/>
        <v>0</v>
      </c>
      <c r="AQ573" s="126">
        <f t="shared" ca="1" si="332"/>
        <v>0</v>
      </c>
      <c r="AR573" s="126">
        <f t="shared" ca="1" si="312"/>
        <v>10000</v>
      </c>
      <c r="AS573" s="750">
        <f t="shared" ca="1" si="313"/>
        <v>0</v>
      </c>
      <c r="AT573" s="750">
        <f t="shared" ca="1" si="314"/>
        <v>0</v>
      </c>
      <c r="AU573" s="126">
        <f t="shared" ca="1" si="333"/>
        <v>0</v>
      </c>
      <c r="AV573" s="126">
        <f t="shared" ca="1" si="334"/>
        <v>0</v>
      </c>
      <c r="AW573" s="126">
        <f t="shared" ca="1" si="315"/>
        <v>10000</v>
      </c>
      <c r="AX573" s="750">
        <f t="shared" ca="1" si="335"/>
        <v>0</v>
      </c>
      <c r="AY573" s="750">
        <f t="shared" ca="1" si="336"/>
        <v>0</v>
      </c>
      <c r="AZ573">
        <f t="shared" si="337"/>
        <v>5750</v>
      </c>
    </row>
    <row r="574" spans="4:52">
      <c r="D574">
        <v>567</v>
      </c>
      <c r="E574" s="6">
        <f t="shared" ca="1" si="316"/>
        <v>35521</v>
      </c>
      <c r="F574" s="7">
        <f t="shared" ca="1" si="317"/>
        <v>0</v>
      </c>
      <c r="G574" s="125">
        <f ca="1">IF('Simulador - 1º Pilar'!$E$99="Sí",IF('Aportaciones PPE'!$B$13&lt;'Aportaciones PPE'!E574,0,F574*$B$8/12),F574*$B$8/12)</f>
        <v>0</v>
      </c>
      <c r="H574" s="125">
        <f t="shared" ca="1" si="306"/>
        <v>0</v>
      </c>
      <c r="I574" s="125">
        <f t="shared" ca="1" si="318"/>
        <v>0</v>
      </c>
      <c r="J574" s="125">
        <f t="shared" ca="1" si="319"/>
        <v>0</v>
      </c>
      <c r="K574" s="125">
        <f t="shared" ca="1" si="320"/>
        <v>0</v>
      </c>
      <c r="L574" s="125">
        <f t="shared" ca="1" si="338"/>
        <v>0</v>
      </c>
      <c r="M574" s="125">
        <f t="shared" ca="1" si="321"/>
        <v>0</v>
      </c>
      <c r="N574" s="125">
        <f t="shared" ca="1" si="322"/>
        <v>0</v>
      </c>
      <c r="R574">
        <f t="shared" si="339"/>
        <v>567</v>
      </c>
      <c r="U574" s="55"/>
      <c r="V574">
        <f t="shared" si="340"/>
        <v>4</v>
      </c>
      <c r="W574">
        <f t="shared" ca="1" si="341"/>
        <v>2071</v>
      </c>
      <c r="X574" s="123">
        <f t="shared" ca="1" si="323"/>
        <v>62549</v>
      </c>
      <c r="Y574" s="64">
        <f t="shared" ca="1" si="324"/>
        <v>0</v>
      </c>
      <c r="Z574" s="64">
        <f t="shared" ca="1" si="325"/>
        <v>0</v>
      </c>
      <c r="AA574" s="64">
        <f t="shared" ca="1" si="326"/>
        <v>0</v>
      </c>
      <c r="AB574" s="64">
        <f t="shared" ca="1" si="327"/>
        <v>0</v>
      </c>
      <c r="AF574" t="str">
        <f t="shared" ca="1" si="307"/>
        <v>41997</v>
      </c>
      <c r="AG574" s="126">
        <f t="shared" ca="1" si="308"/>
        <v>0</v>
      </c>
      <c r="AH574" s="126">
        <f t="shared" ca="1" si="309"/>
        <v>0</v>
      </c>
      <c r="AI574" s="126">
        <f t="shared" ca="1" si="310"/>
        <v>0</v>
      </c>
      <c r="AJ574" t="str">
        <f t="shared" ca="1" si="311"/>
        <v>42071</v>
      </c>
      <c r="AK574" s="126">
        <f t="shared" ca="1" si="328"/>
        <v>0</v>
      </c>
      <c r="AL574" s="126">
        <f t="shared" ca="1" si="329"/>
        <v>0</v>
      </c>
      <c r="AM574" s="126">
        <f t="shared" ca="1" si="342"/>
        <v>0</v>
      </c>
      <c r="AN574" s="753">
        <f t="shared" ca="1" si="343"/>
        <v>0</v>
      </c>
      <c r="AO574" s="750">
        <f t="shared" ca="1" si="330"/>
        <v>0</v>
      </c>
      <c r="AP574" s="126">
        <f t="shared" ca="1" si="331"/>
        <v>0</v>
      </c>
      <c r="AQ574" s="126">
        <f t="shared" ca="1" si="332"/>
        <v>0</v>
      </c>
      <c r="AR574" s="126">
        <f t="shared" ca="1" si="312"/>
        <v>10000</v>
      </c>
      <c r="AS574" s="750">
        <f t="shared" ca="1" si="313"/>
        <v>0</v>
      </c>
      <c r="AT574" s="750">
        <f t="shared" ca="1" si="314"/>
        <v>0</v>
      </c>
      <c r="AU574" s="126">
        <f t="shared" ca="1" si="333"/>
        <v>0</v>
      </c>
      <c r="AV574" s="126">
        <f t="shared" ca="1" si="334"/>
        <v>0</v>
      </c>
      <c r="AW574" s="126">
        <f t="shared" ca="1" si="315"/>
        <v>10000</v>
      </c>
      <c r="AX574" s="750">
        <f t="shared" ca="1" si="335"/>
        <v>0</v>
      </c>
      <c r="AY574" s="750">
        <f t="shared" ca="1" si="336"/>
        <v>0</v>
      </c>
      <c r="AZ574">
        <f t="shared" si="337"/>
        <v>5750</v>
      </c>
    </row>
    <row r="575" spans="4:52">
      <c r="D575">
        <v>568</v>
      </c>
      <c r="E575" s="6">
        <f t="shared" ca="1" si="316"/>
        <v>35490</v>
      </c>
      <c r="F575" s="7">
        <f t="shared" ca="1" si="317"/>
        <v>0</v>
      </c>
      <c r="G575" s="125">
        <f ca="1">IF('Simulador - 1º Pilar'!$E$99="Sí",IF('Aportaciones PPE'!$B$13&lt;'Aportaciones PPE'!E575,0,F575*$B$8/12),F575*$B$8/12)</f>
        <v>0</v>
      </c>
      <c r="H575" s="125">
        <f t="shared" ca="1" si="306"/>
        <v>0</v>
      </c>
      <c r="I575" s="125">
        <f t="shared" ca="1" si="318"/>
        <v>0</v>
      </c>
      <c r="J575" s="125">
        <f t="shared" ca="1" si="319"/>
        <v>0</v>
      </c>
      <c r="K575" s="125">
        <f t="shared" ca="1" si="320"/>
        <v>0</v>
      </c>
      <c r="L575" s="125">
        <f t="shared" ca="1" si="338"/>
        <v>0</v>
      </c>
      <c r="M575" s="125">
        <f t="shared" ca="1" si="321"/>
        <v>0</v>
      </c>
      <c r="N575" s="125">
        <f t="shared" ca="1" si="322"/>
        <v>0</v>
      </c>
      <c r="R575">
        <f t="shared" si="339"/>
        <v>568</v>
      </c>
      <c r="U575" s="55"/>
      <c r="V575">
        <f t="shared" si="340"/>
        <v>5</v>
      </c>
      <c r="W575">
        <f t="shared" ca="1" si="341"/>
        <v>2071</v>
      </c>
      <c r="X575" s="123">
        <f t="shared" ca="1" si="323"/>
        <v>62579</v>
      </c>
      <c r="Y575" s="64">
        <f t="shared" ca="1" si="324"/>
        <v>0</v>
      </c>
      <c r="Z575" s="64">
        <f t="shared" ca="1" si="325"/>
        <v>0</v>
      </c>
      <c r="AA575" s="64">
        <f t="shared" ca="1" si="326"/>
        <v>0</v>
      </c>
      <c r="AB575" s="64">
        <f t="shared" ca="1" si="327"/>
        <v>0</v>
      </c>
      <c r="AF575" t="str">
        <f t="shared" ca="1" si="307"/>
        <v>31997</v>
      </c>
      <c r="AG575" s="126">
        <f t="shared" ca="1" si="308"/>
        <v>0</v>
      </c>
      <c r="AH575" s="126">
        <f t="shared" ca="1" si="309"/>
        <v>0</v>
      </c>
      <c r="AI575" s="126">
        <f t="shared" ca="1" si="310"/>
        <v>0</v>
      </c>
      <c r="AJ575" t="str">
        <f t="shared" ca="1" si="311"/>
        <v>52071</v>
      </c>
      <c r="AK575" s="126">
        <f t="shared" ca="1" si="328"/>
        <v>0</v>
      </c>
      <c r="AL575" s="126">
        <f t="shared" ca="1" si="329"/>
        <v>0</v>
      </c>
      <c r="AM575" s="126">
        <f t="shared" ca="1" si="342"/>
        <v>0</v>
      </c>
      <c r="AN575" s="753">
        <f t="shared" ca="1" si="343"/>
        <v>0</v>
      </c>
      <c r="AO575" s="750">
        <f t="shared" ca="1" si="330"/>
        <v>0</v>
      </c>
      <c r="AP575" s="126">
        <f t="shared" ca="1" si="331"/>
        <v>0</v>
      </c>
      <c r="AQ575" s="126">
        <f t="shared" ca="1" si="332"/>
        <v>0</v>
      </c>
      <c r="AR575" s="126">
        <f t="shared" ca="1" si="312"/>
        <v>10000</v>
      </c>
      <c r="AS575" s="750">
        <f t="shared" ca="1" si="313"/>
        <v>0</v>
      </c>
      <c r="AT575" s="750">
        <f t="shared" ca="1" si="314"/>
        <v>0</v>
      </c>
      <c r="AU575" s="126">
        <f t="shared" ca="1" si="333"/>
        <v>0</v>
      </c>
      <c r="AV575" s="126">
        <f t="shared" ca="1" si="334"/>
        <v>0</v>
      </c>
      <c r="AW575" s="126">
        <f t="shared" ca="1" si="315"/>
        <v>10000</v>
      </c>
      <c r="AX575" s="750">
        <f t="shared" ca="1" si="335"/>
        <v>0</v>
      </c>
      <c r="AY575" s="750">
        <f t="shared" ca="1" si="336"/>
        <v>0</v>
      </c>
      <c r="AZ575">
        <f t="shared" si="337"/>
        <v>5750</v>
      </c>
    </row>
    <row r="576" spans="4:52">
      <c r="D576">
        <v>569</v>
      </c>
      <c r="E576" s="6">
        <f t="shared" ca="1" si="316"/>
        <v>35462</v>
      </c>
      <c r="F576" s="7">
        <f t="shared" ca="1" si="317"/>
        <v>0</v>
      </c>
      <c r="G576" s="125">
        <f ca="1">IF('Simulador - 1º Pilar'!$E$99="Sí",IF('Aportaciones PPE'!$B$13&lt;'Aportaciones PPE'!E576,0,F576*$B$8/12),F576*$B$8/12)</f>
        <v>0</v>
      </c>
      <c r="H576" s="125">
        <f t="shared" ca="1" si="306"/>
        <v>0</v>
      </c>
      <c r="I576" s="125">
        <f t="shared" ca="1" si="318"/>
        <v>0</v>
      </c>
      <c r="J576" s="125">
        <f t="shared" ca="1" si="319"/>
        <v>0</v>
      </c>
      <c r="K576" s="125">
        <f t="shared" ca="1" si="320"/>
        <v>0</v>
      </c>
      <c r="L576" s="125">
        <f t="shared" ca="1" si="338"/>
        <v>0</v>
      </c>
      <c r="M576" s="125">
        <f t="shared" ca="1" si="321"/>
        <v>0</v>
      </c>
      <c r="N576" s="125">
        <f t="shared" ca="1" si="322"/>
        <v>0</v>
      </c>
      <c r="R576">
        <f t="shared" si="339"/>
        <v>569</v>
      </c>
      <c r="U576" s="55"/>
      <c r="V576">
        <f t="shared" si="340"/>
        <v>6</v>
      </c>
      <c r="W576">
        <f t="shared" ca="1" si="341"/>
        <v>2071</v>
      </c>
      <c r="X576" s="123">
        <f t="shared" ca="1" si="323"/>
        <v>62610</v>
      </c>
      <c r="Y576" s="64">
        <f t="shared" ca="1" si="324"/>
        <v>0</v>
      </c>
      <c r="Z576" s="64">
        <f t="shared" ca="1" si="325"/>
        <v>0</v>
      </c>
      <c r="AA576" s="64">
        <f t="shared" ca="1" si="326"/>
        <v>0</v>
      </c>
      <c r="AB576" s="64">
        <f t="shared" ca="1" si="327"/>
        <v>0</v>
      </c>
      <c r="AF576" t="str">
        <f t="shared" ca="1" si="307"/>
        <v>21997</v>
      </c>
      <c r="AG576" s="126">
        <f t="shared" ca="1" si="308"/>
        <v>0</v>
      </c>
      <c r="AH576" s="126">
        <f t="shared" ca="1" si="309"/>
        <v>0</v>
      </c>
      <c r="AI576" s="126">
        <f t="shared" ca="1" si="310"/>
        <v>0</v>
      </c>
      <c r="AJ576" t="str">
        <f t="shared" ca="1" si="311"/>
        <v>62071</v>
      </c>
      <c r="AK576" s="126">
        <f t="shared" ca="1" si="328"/>
        <v>0</v>
      </c>
      <c r="AL576" s="126">
        <f t="shared" ca="1" si="329"/>
        <v>0</v>
      </c>
      <c r="AM576" s="126">
        <f t="shared" ca="1" si="342"/>
        <v>0</v>
      </c>
      <c r="AN576" s="753">
        <f t="shared" ca="1" si="343"/>
        <v>0</v>
      </c>
      <c r="AO576" s="750">
        <f t="shared" ca="1" si="330"/>
        <v>0</v>
      </c>
      <c r="AP576" s="126">
        <f t="shared" ca="1" si="331"/>
        <v>0</v>
      </c>
      <c r="AQ576" s="126">
        <f t="shared" ca="1" si="332"/>
        <v>0</v>
      </c>
      <c r="AR576" s="126">
        <f t="shared" ca="1" si="312"/>
        <v>10000</v>
      </c>
      <c r="AS576" s="750">
        <f t="shared" ca="1" si="313"/>
        <v>0</v>
      </c>
      <c r="AT576" s="750">
        <f t="shared" ca="1" si="314"/>
        <v>0</v>
      </c>
      <c r="AU576" s="126">
        <f t="shared" ca="1" si="333"/>
        <v>0</v>
      </c>
      <c r="AV576" s="126">
        <f t="shared" ca="1" si="334"/>
        <v>0</v>
      </c>
      <c r="AW576" s="126">
        <f t="shared" ca="1" si="315"/>
        <v>10000</v>
      </c>
      <c r="AX576" s="750">
        <f t="shared" ca="1" si="335"/>
        <v>0</v>
      </c>
      <c r="AY576" s="750">
        <f t="shared" ca="1" si="336"/>
        <v>0</v>
      </c>
      <c r="AZ576">
        <f t="shared" si="337"/>
        <v>5750</v>
      </c>
    </row>
    <row r="577" spans="4:52">
      <c r="D577">
        <v>570</v>
      </c>
      <c r="E577" s="6">
        <f t="shared" ca="1" si="316"/>
        <v>35431</v>
      </c>
      <c r="F577" s="7">
        <f t="shared" ca="1" si="317"/>
        <v>0</v>
      </c>
      <c r="G577" s="125">
        <f ca="1">IF('Simulador - 1º Pilar'!$E$99="Sí",IF('Aportaciones PPE'!$B$13&lt;'Aportaciones PPE'!E577,0,F577*$B$8/12),F577*$B$8/12)</f>
        <v>0</v>
      </c>
      <c r="H577" s="125">
        <f t="shared" ca="1" si="306"/>
        <v>0</v>
      </c>
      <c r="I577" s="125">
        <f t="shared" ca="1" si="318"/>
        <v>0</v>
      </c>
      <c r="J577" s="125">
        <f t="shared" ca="1" si="319"/>
        <v>0</v>
      </c>
      <c r="K577" s="125">
        <f t="shared" ca="1" si="320"/>
        <v>0</v>
      </c>
      <c r="L577" s="125">
        <f t="shared" ca="1" si="338"/>
        <v>0</v>
      </c>
      <c r="M577" s="125">
        <f t="shared" ca="1" si="321"/>
        <v>0</v>
      </c>
      <c r="N577" s="125">
        <f t="shared" ca="1" si="322"/>
        <v>0</v>
      </c>
      <c r="R577">
        <f t="shared" si="339"/>
        <v>570</v>
      </c>
      <c r="U577" s="55"/>
      <c r="V577">
        <f t="shared" si="340"/>
        <v>7</v>
      </c>
      <c r="W577">
        <f t="shared" ca="1" si="341"/>
        <v>2071</v>
      </c>
      <c r="X577" s="123">
        <f t="shared" ca="1" si="323"/>
        <v>62640</v>
      </c>
      <c r="Y577" s="64">
        <f t="shared" ca="1" si="324"/>
        <v>0</v>
      </c>
      <c r="Z577" s="64">
        <f t="shared" ca="1" si="325"/>
        <v>0</v>
      </c>
      <c r="AA577" s="64">
        <f t="shared" ca="1" si="326"/>
        <v>0</v>
      </c>
      <c r="AB577" s="64">
        <f t="shared" ca="1" si="327"/>
        <v>0</v>
      </c>
      <c r="AF577" t="str">
        <f t="shared" ca="1" si="307"/>
        <v>11997</v>
      </c>
      <c r="AG577" s="126">
        <f t="shared" ca="1" si="308"/>
        <v>0</v>
      </c>
      <c r="AH577" s="126">
        <f t="shared" ca="1" si="309"/>
        <v>0</v>
      </c>
      <c r="AI577" s="126">
        <f t="shared" ca="1" si="310"/>
        <v>0</v>
      </c>
      <c r="AJ577" t="str">
        <f t="shared" ca="1" si="311"/>
        <v>72071</v>
      </c>
      <c r="AK577" s="126">
        <f t="shared" ca="1" si="328"/>
        <v>0</v>
      </c>
      <c r="AL577" s="126">
        <f t="shared" ca="1" si="329"/>
        <v>0</v>
      </c>
      <c r="AM577" s="126">
        <f t="shared" ca="1" si="342"/>
        <v>0</v>
      </c>
      <c r="AN577" s="753">
        <f t="shared" ca="1" si="343"/>
        <v>0</v>
      </c>
      <c r="AO577" s="750">
        <f t="shared" ca="1" si="330"/>
        <v>0</v>
      </c>
      <c r="AP577" s="126">
        <f t="shared" ca="1" si="331"/>
        <v>0</v>
      </c>
      <c r="AQ577" s="126">
        <f t="shared" ca="1" si="332"/>
        <v>0</v>
      </c>
      <c r="AR577" s="126">
        <f t="shared" ca="1" si="312"/>
        <v>10000</v>
      </c>
      <c r="AS577" s="750">
        <f t="shared" ca="1" si="313"/>
        <v>0</v>
      </c>
      <c r="AT577" s="750">
        <f t="shared" ca="1" si="314"/>
        <v>0</v>
      </c>
      <c r="AU577" s="126">
        <f t="shared" ca="1" si="333"/>
        <v>0</v>
      </c>
      <c r="AV577" s="126">
        <f t="shared" ca="1" si="334"/>
        <v>0</v>
      </c>
      <c r="AW577" s="126">
        <f t="shared" ca="1" si="315"/>
        <v>10000</v>
      </c>
      <c r="AX577" s="750">
        <f t="shared" ca="1" si="335"/>
        <v>0</v>
      </c>
      <c r="AY577" s="750">
        <f t="shared" ca="1" si="336"/>
        <v>0</v>
      </c>
      <c r="AZ577">
        <f t="shared" si="337"/>
        <v>5750</v>
      </c>
    </row>
    <row r="578" spans="4:52">
      <c r="D578">
        <v>571</v>
      </c>
      <c r="E578" s="6">
        <f t="shared" ca="1" si="316"/>
        <v>35400</v>
      </c>
      <c r="F578" s="7">
        <f t="shared" ca="1" si="317"/>
        <v>0</v>
      </c>
      <c r="G578" s="125">
        <f ca="1">IF('Simulador - 1º Pilar'!$E$99="Sí",IF('Aportaciones PPE'!$B$13&lt;'Aportaciones PPE'!E578,0,F578*$B$8/12),F578*$B$8/12)</f>
        <v>0</v>
      </c>
      <c r="H578" s="125">
        <f t="shared" ca="1" si="306"/>
        <v>0</v>
      </c>
      <c r="I578" s="125">
        <f t="shared" ca="1" si="318"/>
        <v>0</v>
      </c>
      <c r="J578" s="125">
        <f t="shared" ca="1" si="319"/>
        <v>0</v>
      </c>
      <c r="K578" s="125">
        <f t="shared" ca="1" si="320"/>
        <v>0</v>
      </c>
      <c r="L578" s="125">
        <f t="shared" ca="1" si="338"/>
        <v>0</v>
      </c>
      <c r="M578" s="125">
        <f t="shared" ca="1" si="321"/>
        <v>0</v>
      </c>
      <c r="N578" s="125">
        <f t="shared" ca="1" si="322"/>
        <v>0</v>
      </c>
      <c r="R578">
        <f t="shared" si="339"/>
        <v>571</v>
      </c>
      <c r="U578" s="55"/>
      <c r="V578">
        <f t="shared" si="340"/>
        <v>8</v>
      </c>
      <c r="W578">
        <f t="shared" ca="1" si="341"/>
        <v>2071</v>
      </c>
      <c r="X578" s="123">
        <f t="shared" ca="1" si="323"/>
        <v>62671</v>
      </c>
      <c r="Y578" s="64">
        <f t="shared" ca="1" si="324"/>
        <v>0</v>
      </c>
      <c r="Z578" s="64">
        <f t="shared" ca="1" si="325"/>
        <v>0</v>
      </c>
      <c r="AA578" s="64">
        <f t="shared" ca="1" si="326"/>
        <v>0</v>
      </c>
      <c r="AB578" s="64">
        <f t="shared" ca="1" si="327"/>
        <v>0</v>
      </c>
      <c r="AF578" t="str">
        <f t="shared" ca="1" si="307"/>
        <v>121996</v>
      </c>
      <c r="AG578" s="126">
        <f t="shared" ca="1" si="308"/>
        <v>0</v>
      </c>
      <c r="AH578" s="126">
        <f t="shared" ca="1" si="309"/>
        <v>0</v>
      </c>
      <c r="AI578" s="126">
        <f t="shared" ca="1" si="310"/>
        <v>0</v>
      </c>
      <c r="AJ578" t="str">
        <f t="shared" ca="1" si="311"/>
        <v>82071</v>
      </c>
      <c r="AK578" s="126">
        <f t="shared" ca="1" si="328"/>
        <v>0</v>
      </c>
      <c r="AL578" s="126">
        <f t="shared" ca="1" si="329"/>
        <v>0</v>
      </c>
      <c r="AM578" s="126">
        <f t="shared" ca="1" si="342"/>
        <v>0</v>
      </c>
      <c r="AN578" s="753">
        <f t="shared" ca="1" si="343"/>
        <v>0</v>
      </c>
      <c r="AO578" s="750">
        <f t="shared" ca="1" si="330"/>
        <v>0</v>
      </c>
      <c r="AP578" s="126">
        <f t="shared" ca="1" si="331"/>
        <v>0</v>
      </c>
      <c r="AQ578" s="126">
        <f t="shared" ca="1" si="332"/>
        <v>0</v>
      </c>
      <c r="AR578" s="126">
        <f t="shared" ca="1" si="312"/>
        <v>10000</v>
      </c>
      <c r="AS578" s="750">
        <f t="shared" ca="1" si="313"/>
        <v>0</v>
      </c>
      <c r="AT578" s="750">
        <f t="shared" ca="1" si="314"/>
        <v>0</v>
      </c>
      <c r="AU578" s="126">
        <f t="shared" ca="1" si="333"/>
        <v>0</v>
      </c>
      <c r="AV578" s="126">
        <f t="shared" ca="1" si="334"/>
        <v>0</v>
      </c>
      <c r="AW578" s="126">
        <f t="shared" ca="1" si="315"/>
        <v>10000</v>
      </c>
      <c r="AX578" s="750">
        <f t="shared" ca="1" si="335"/>
        <v>0</v>
      </c>
      <c r="AY578" s="750">
        <f t="shared" ca="1" si="336"/>
        <v>0</v>
      </c>
      <c r="AZ578">
        <f t="shared" si="337"/>
        <v>5750</v>
      </c>
    </row>
    <row r="579" spans="4:52">
      <c r="D579">
        <v>572</v>
      </c>
      <c r="E579" s="6">
        <f t="shared" ca="1" si="316"/>
        <v>35370</v>
      </c>
      <c r="F579" s="7">
        <f t="shared" ca="1" si="317"/>
        <v>0</v>
      </c>
      <c r="G579" s="125">
        <f ca="1">IF('Simulador - 1º Pilar'!$E$99="Sí",IF('Aportaciones PPE'!$B$13&lt;'Aportaciones PPE'!E579,0,F579*$B$8/12),F579*$B$8/12)</f>
        <v>0</v>
      </c>
      <c r="H579" s="125">
        <f t="shared" ca="1" si="306"/>
        <v>0</v>
      </c>
      <c r="I579" s="125">
        <f t="shared" ca="1" si="318"/>
        <v>0</v>
      </c>
      <c r="J579" s="125">
        <f t="shared" ca="1" si="319"/>
        <v>0</v>
      </c>
      <c r="K579" s="125">
        <f t="shared" ca="1" si="320"/>
        <v>0</v>
      </c>
      <c r="L579" s="125">
        <f t="shared" ca="1" si="338"/>
        <v>0</v>
      </c>
      <c r="M579" s="125">
        <f t="shared" ca="1" si="321"/>
        <v>0</v>
      </c>
      <c r="N579" s="125">
        <f t="shared" ca="1" si="322"/>
        <v>0</v>
      </c>
      <c r="R579">
        <f t="shared" si="339"/>
        <v>572</v>
      </c>
      <c r="U579" s="55"/>
      <c r="V579">
        <f t="shared" si="340"/>
        <v>9</v>
      </c>
      <c r="W579">
        <f t="shared" ca="1" si="341"/>
        <v>2071</v>
      </c>
      <c r="X579" s="123">
        <f t="shared" ca="1" si="323"/>
        <v>62702</v>
      </c>
      <c r="Y579" s="64">
        <f t="shared" ca="1" si="324"/>
        <v>0</v>
      </c>
      <c r="Z579" s="64">
        <f t="shared" ca="1" si="325"/>
        <v>0</v>
      </c>
      <c r="AA579" s="64">
        <f t="shared" ca="1" si="326"/>
        <v>0</v>
      </c>
      <c r="AB579" s="64">
        <f t="shared" ca="1" si="327"/>
        <v>0</v>
      </c>
      <c r="AF579" t="str">
        <f t="shared" ca="1" si="307"/>
        <v>111996</v>
      </c>
      <c r="AG579" s="126">
        <f t="shared" ca="1" si="308"/>
        <v>0</v>
      </c>
      <c r="AH579" s="126">
        <f t="shared" ca="1" si="309"/>
        <v>0</v>
      </c>
      <c r="AI579" s="126">
        <f t="shared" ca="1" si="310"/>
        <v>0</v>
      </c>
      <c r="AJ579" t="str">
        <f t="shared" ca="1" si="311"/>
        <v>92071</v>
      </c>
      <c r="AK579" s="126">
        <f t="shared" ca="1" si="328"/>
        <v>0</v>
      </c>
      <c r="AL579" s="126">
        <f t="shared" ca="1" si="329"/>
        <v>0</v>
      </c>
      <c r="AM579" s="126">
        <f t="shared" ca="1" si="342"/>
        <v>0</v>
      </c>
      <c r="AN579" s="753">
        <f t="shared" ca="1" si="343"/>
        <v>0</v>
      </c>
      <c r="AO579" s="750">
        <f t="shared" ca="1" si="330"/>
        <v>0</v>
      </c>
      <c r="AP579" s="126">
        <f t="shared" ca="1" si="331"/>
        <v>0</v>
      </c>
      <c r="AQ579" s="126">
        <f t="shared" ca="1" si="332"/>
        <v>0</v>
      </c>
      <c r="AR579" s="126">
        <f t="shared" ca="1" si="312"/>
        <v>10000</v>
      </c>
      <c r="AS579" s="750">
        <f t="shared" ca="1" si="313"/>
        <v>0</v>
      </c>
      <c r="AT579" s="750">
        <f t="shared" ca="1" si="314"/>
        <v>0</v>
      </c>
      <c r="AU579" s="126">
        <f t="shared" ca="1" si="333"/>
        <v>0</v>
      </c>
      <c r="AV579" s="126">
        <f t="shared" ca="1" si="334"/>
        <v>0</v>
      </c>
      <c r="AW579" s="126">
        <f t="shared" ca="1" si="315"/>
        <v>10000</v>
      </c>
      <c r="AX579" s="750">
        <f t="shared" ca="1" si="335"/>
        <v>0</v>
      </c>
      <c r="AY579" s="750">
        <f t="shared" ca="1" si="336"/>
        <v>0</v>
      </c>
      <c r="AZ579">
        <f t="shared" si="337"/>
        <v>5750</v>
      </c>
    </row>
    <row r="580" spans="4:52">
      <c r="D580">
        <v>573</v>
      </c>
      <c r="E580" s="6">
        <f t="shared" ca="1" si="316"/>
        <v>35339</v>
      </c>
      <c r="F580" s="7">
        <f t="shared" ca="1" si="317"/>
        <v>0</v>
      </c>
      <c r="G580" s="125">
        <f ca="1">IF('Simulador - 1º Pilar'!$E$99="Sí",IF('Aportaciones PPE'!$B$13&lt;'Aportaciones PPE'!E580,0,F580*$B$8/12),F580*$B$8/12)</f>
        <v>0</v>
      </c>
      <c r="H580" s="125">
        <f t="shared" ca="1" si="306"/>
        <v>0</v>
      </c>
      <c r="I580" s="125">
        <f t="shared" ca="1" si="318"/>
        <v>0</v>
      </c>
      <c r="J580" s="125">
        <f t="shared" ca="1" si="319"/>
        <v>0</v>
      </c>
      <c r="K580" s="125">
        <f t="shared" ca="1" si="320"/>
        <v>0</v>
      </c>
      <c r="L580" s="125">
        <f t="shared" ca="1" si="338"/>
        <v>0</v>
      </c>
      <c r="M580" s="125">
        <f t="shared" ca="1" si="321"/>
        <v>0</v>
      </c>
      <c r="N580" s="125">
        <f t="shared" ca="1" si="322"/>
        <v>0</v>
      </c>
      <c r="R580">
        <f t="shared" si="339"/>
        <v>573</v>
      </c>
      <c r="U580" s="55"/>
      <c r="V580">
        <f t="shared" si="340"/>
        <v>10</v>
      </c>
      <c r="W580">
        <f t="shared" ca="1" si="341"/>
        <v>2071</v>
      </c>
      <c r="X580" s="123">
        <f t="shared" ca="1" si="323"/>
        <v>62732</v>
      </c>
      <c r="Y580" s="64">
        <f t="shared" ca="1" si="324"/>
        <v>0</v>
      </c>
      <c r="Z580" s="64">
        <f t="shared" ca="1" si="325"/>
        <v>0</v>
      </c>
      <c r="AA580" s="64">
        <f t="shared" ca="1" si="326"/>
        <v>0</v>
      </c>
      <c r="AB580" s="64">
        <f t="shared" ca="1" si="327"/>
        <v>0</v>
      </c>
      <c r="AF580" t="str">
        <f t="shared" ca="1" si="307"/>
        <v>101996</v>
      </c>
      <c r="AG580" s="126">
        <f t="shared" ca="1" si="308"/>
        <v>0</v>
      </c>
      <c r="AH580" s="126">
        <f t="shared" ca="1" si="309"/>
        <v>0</v>
      </c>
      <c r="AI580" s="126">
        <f t="shared" ca="1" si="310"/>
        <v>0</v>
      </c>
      <c r="AJ580" t="str">
        <f t="shared" ca="1" si="311"/>
        <v>102071</v>
      </c>
      <c r="AK580" s="126">
        <f t="shared" ca="1" si="328"/>
        <v>0</v>
      </c>
      <c r="AL580" s="126">
        <f t="shared" ca="1" si="329"/>
        <v>0</v>
      </c>
      <c r="AM580" s="126">
        <f t="shared" ca="1" si="342"/>
        <v>0</v>
      </c>
      <c r="AN580" s="753">
        <f t="shared" ca="1" si="343"/>
        <v>0</v>
      </c>
      <c r="AO580" s="750">
        <f t="shared" ca="1" si="330"/>
        <v>0</v>
      </c>
      <c r="AP580" s="126">
        <f t="shared" ca="1" si="331"/>
        <v>0</v>
      </c>
      <c r="AQ580" s="126">
        <f t="shared" ca="1" si="332"/>
        <v>0</v>
      </c>
      <c r="AR580" s="126">
        <f t="shared" ca="1" si="312"/>
        <v>10000</v>
      </c>
      <c r="AS580" s="750">
        <f t="shared" ca="1" si="313"/>
        <v>0</v>
      </c>
      <c r="AT580" s="750">
        <f t="shared" ca="1" si="314"/>
        <v>0</v>
      </c>
      <c r="AU580" s="126">
        <f t="shared" ca="1" si="333"/>
        <v>0</v>
      </c>
      <c r="AV580" s="126">
        <f t="shared" ca="1" si="334"/>
        <v>0</v>
      </c>
      <c r="AW580" s="126">
        <f t="shared" ca="1" si="315"/>
        <v>10000</v>
      </c>
      <c r="AX580" s="750">
        <f t="shared" ca="1" si="335"/>
        <v>0</v>
      </c>
      <c r="AY580" s="750">
        <f t="shared" ca="1" si="336"/>
        <v>0</v>
      </c>
      <c r="AZ580">
        <f t="shared" si="337"/>
        <v>5750</v>
      </c>
    </row>
    <row r="581" spans="4:52">
      <c r="D581">
        <v>574</v>
      </c>
      <c r="E581" s="6">
        <f t="shared" ca="1" si="316"/>
        <v>35309</v>
      </c>
      <c r="F581" s="7">
        <f t="shared" ca="1" si="317"/>
        <v>0</v>
      </c>
      <c r="G581" s="125">
        <f ca="1">IF('Simulador - 1º Pilar'!$E$99="Sí",IF('Aportaciones PPE'!$B$13&lt;'Aportaciones PPE'!E581,0,F581*$B$8/12),F581*$B$8/12)</f>
        <v>0</v>
      </c>
      <c r="H581" s="125">
        <f t="shared" ca="1" si="306"/>
        <v>0</v>
      </c>
      <c r="I581" s="125">
        <f t="shared" ca="1" si="318"/>
        <v>0</v>
      </c>
      <c r="J581" s="125">
        <f t="shared" ca="1" si="319"/>
        <v>0</v>
      </c>
      <c r="K581" s="125">
        <f t="shared" ca="1" si="320"/>
        <v>0</v>
      </c>
      <c r="L581" s="125">
        <f t="shared" ca="1" si="338"/>
        <v>0</v>
      </c>
      <c r="M581" s="125">
        <f t="shared" ca="1" si="321"/>
        <v>0</v>
      </c>
      <c r="N581" s="125">
        <f t="shared" ca="1" si="322"/>
        <v>0</v>
      </c>
      <c r="R581">
        <f t="shared" si="339"/>
        <v>574</v>
      </c>
      <c r="U581" s="55"/>
      <c r="V581">
        <f t="shared" si="340"/>
        <v>11</v>
      </c>
      <c r="W581">
        <f t="shared" ca="1" si="341"/>
        <v>2071</v>
      </c>
      <c r="X581" s="123">
        <f t="shared" ca="1" si="323"/>
        <v>62763</v>
      </c>
      <c r="Y581" s="64">
        <f t="shared" ca="1" si="324"/>
        <v>0</v>
      </c>
      <c r="Z581" s="64">
        <f t="shared" ca="1" si="325"/>
        <v>0</v>
      </c>
      <c r="AA581" s="64">
        <f t="shared" ca="1" si="326"/>
        <v>0</v>
      </c>
      <c r="AB581" s="64">
        <f t="shared" ca="1" si="327"/>
        <v>0</v>
      </c>
      <c r="AF581" t="str">
        <f t="shared" ca="1" si="307"/>
        <v>91996</v>
      </c>
      <c r="AG581" s="126">
        <f t="shared" ca="1" si="308"/>
        <v>0</v>
      </c>
      <c r="AH581" s="126">
        <f t="shared" ca="1" si="309"/>
        <v>0</v>
      </c>
      <c r="AI581" s="126">
        <f t="shared" ca="1" si="310"/>
        <v>0</v>
      </c>
      <c r="AJ581" t="str">
        <f t="shared" ca="1" si="311"/>
        <v>112071</v>
      </c>
      <c r="AK581" s="126">
        <f t="shared" ca="1" si="328"/>
        <v>0</v>
      </c>
      <c r="AL581" s="126">
        <f t="shared" ca="1" si="329"/>
        <v>0</v>
      </c>
      <c r="AM581" s="126">
        <f t="shared" ca="1" si="342"/>
        <v>0</v>
      </c>
      <c r="AN581" s="753">
        <f t="shared" ca="1" si="343"/>
        <v>0</v>
      </c>
      <c r="AO581" s="750">
        <f t="shared" ca="1" si="330"/>
        <v>0</v>
      </c>
      <c r="AP581" s="126">
        <f t="shared" ca="1" si="331"/>
        <v>0</v>
      </c>
      <c r="AQ581" s="126">
        <f t="shared" ca="1" si="332"/>
        <v>0</v>
      </c>
      <c r="AR581" s="126">
        <f t="shared" ca="1" si="312"/>
        <v>10000</v>
      </c>
      <c r="AS581" s="750">
        <f t="shared" ca="1" si="313"/>
        <v>0</v>
      </c>
      <c r="AT581" s="750">
        <f t="shared" ca="1" si="314"/>
        <v>0</v>
      </c>
      <c r="AU581" s="126">
        <f t="shared" ca="1" si="333"/>
        <v>0</v>
      </c>
      <c r="AV581" s="126">
        <f t="shared" ca="1" si="334"/>
        <v>0</v>
      </c>
      <c r="AW581" s="126">
        <f t="shared" ca="1" si="315"/>
        <v>10000</v>
      </c>
      <c r="AX581" s="750">
        <f t="shared" ca="1" si="335"/>
        <v>0</v>
      </c>
      <c r="AY581" s="750">
        <f t="shared" ca="1" si="336"/>
        <v>0</v>
      </c>
      <c r="AZ581">
        <f t="shared" si="337"/>
        <v>5750</v>
      </c>
    </row>
    <row r="582" spans="4:52">
      <c r="D582">
        <v>575</v>
      </c>
      <c r="E582" s="6">
        <f t="shared" ca="1" si="316"/>
        <v>35278</v>
      </c>
      <c r="F582" s="7">
        <f t="shared" ca="1" si="317"/>
        <v>0</v>
      </c>
      <c r="G582" s="125">
        <f ca="1">IF('Simulador - 1º Pilar'!$E$99="Sí",IF('Aportaciones PPE'!$B$13&lt;'Aportaciones PPE'!E582,0,F582*$B$8/12),F582*$B$8/12)</f>
        <v>0</v>
      </c>
      <c r="H582" s="125">
        <f t="shared" ca="1" si="306"/>
        <v>0</v>
      </c>
      <c r="I582" s="125">
        <f t="shared" ca="1" si="318"/>
        <v>0</v>
      </c>
      <c r="J582" s="125">
        <f t="shared" ca="1" si="319"/>
        <v>0</v>
      </c>
      <c r="K582" s="125">
        <f t="shared" ca="1" si="320"/>
        <v>0</v>
      </c>
      <c r="L582" s="125">
        <f t="shared" ca="1" si="338"/>
        <v>0</v>
      </c>
      <c r="M582" s="125">
        <f t="shared" ca="1" si="321"/>
        <v>0</v>
      </c>
      <c r="N582" s="125">
        <f t="shared" ca="1" si="322"/>
        <v>0</v>
      </c>
      <c r="R582">
        <f t="shared" si="339"/>
        <v>575</v>
      </c>
      <c r="U582" s="55"/>
      <c r="V582">
        <f t="shared" si="340"/>
        <v>12</v>
      </c>
      <c r="W582">
        <f t="shared" ca="1" si="341"/>
        <v>2071</v>
      </c>
      <c r="X582" s="123">
        <f t="shared" ca="1" si="323"/>
        <v>62793</v>
      </c>
      <c r="Y582" s="64">
        <f t="shared" ca="1" si="324"/>
        <v>0</v>
      </c>
      <c r="Z582" s="64">
        <f t="shared" ca="1" si="325"/>
        <v>0</v>
      </c>
      <c r="AA582" s="64">
        <f t="shared" ca="1" si="326"/>
        <v>0</v>
      </c>
      <c r="AB582" s="64">
        <f t="shared" ca="1" si="327"/>
        <v>0</v>
      </c>
      <c r="AF582" t="str">
        <f t="shared" ca="1" si="307"/>
        <v>81996</v>
      </c>
      <c r="AG582" s="126">
        <f t="shared" ca="1" si="308"/>
        <v>0</v>
      </c>
      <c r="AH582" s="126">
        <f t="shared" ca="1" si="309"/>
        <v>0</v>
      </c>
      <c r="AI582" s="126">
        <f t="shared" ca="1" si="310"/>
        <v>0</v>
      </c>
      <c r="AJ582" t="str">
        <f t="shared" ca="1" si="311"/>
        <v>122071</v>
      </c>
      <c r="AK582" s="126">
        <f t="shared" ca="1" si="328"/>
        <v>0</v>
      </c>
      <c r="AL582" s="126">
        <f t="shared" ca="1" si="329"/>
        <v>0</v>
      </c>
      <c r="AM582" s="126">
        <f t="shared" ca="1" si="342"/>
        <v>0</v>
      </c>
      <c r="AN582" s="753">
        <f t="shared" ca="1" si="343"/>
        <v>0</v>
      </c>
      <c r="AO582" s="750">
        <f t="shared" ca="1" si="330"/>
        <v>0</v>
      </c>
      <c r="AP582" s="126">
        <f t="shared" ca="1" si="331"/>
        <v>0</v>
      </c>
      <c r="AQ582" s="126">
        <f t="shared" ca="1" si="332"/>
        <v>0</v>
      </c>
      <c r="AR582" s="126">
        <f t="shared" ca="1" si="312"/>
        <v>10000</v>
      </c>
      <c r="AS582" s="750">
        <f t="shared" ca="1" si="313"/>
        <v>0</v>
      </c>
      <c r="AT582" s="750">
        <f t="shared" ca="1" si="314"/>
        <v>0</v>
      </c>
      <c r="AU582" s="126">
        <f t="shared" ca="1" si="333"/>
        <v>0</v>
      </c>
      <c r="AV582" s="126">
        <f t="shared" ca="1" si="334"/>
        <v>0</v>
      </c>
      <c r="AW582" s="126">
        <f t="shared" ca="1" si="315"/>
        <v>10000</v>
      </c>
      <c r="AX582" s="750">
        <f t="shared" ca="1" si="335"/>
        <v>0</v>
      </c>
      <c r="AY582" s="750">
        <f t="shared" ca="1" si="336"/>
        <v>0</v>
      </c>
      <c r="AZ582">
        <f t="shared" si="337"/>
        <v>5750</v>
      </c>
    </row>
    <row r="583" spans="4:52">
      <c r="D583">
        <v>576</v>
      </c>
      <c r="E583" s="6">
        <f t="shared" ca="1" si="316"/>
        <v>35247</v>
      </c>
      <c r="F583" s="7">
        <f t="shared" ca="1" si="317"/>
        <v>0</v>
      </c>
      <c r="G583" s="125">
        <f ca="1">IF('Simulador - 1º Pilar'!$E$99="Sí",IF('Aportaciones PPE'!$B$13&lt;'Aportaciones PPE'!E583,0,F583*$B$8/12),F583*$B$8/12)</f>
        <v>0</v>
      </c>
      <c r="H583" s="125">
        <f t="shared" ref="H583:H646" ca="1" si="344">$H$5*G583</f>
        <v>0</v>
      </c>
      <c r="I583" s="125">
        <f t="shared" ca="1" si="318"/>
        <v>0</v>
      </c>
      <c r="J583" s="125">
        <f t="shared" ca="1" si="319"/>
        <v>0</v>
      </c>
      <c r="K583" s="125">
        <f t="shared" ca="1" si="320"/>
        <v>0</v>
      </c>
      <c r="L583" s="125">
        <f t="shared" ca="1" si="338"/>
        <v>0</v>
      </c>
      <c r="M583" s="125">
        <f t="shared" ca="1" si="321"/>
        <v>0</v>
      </c>
      <c r="N583" s="125">
        <f t="shared" ca="1" si="322"/>
        <v>0</v>
      </c>
      <c r="R583">
        <f t="shared" si="339"/>
        <v>576</v>
      </c>
      <c r="U583" s="55"/>
      <c r="V583">
        <f t="shared" si="340"/>
        <v>1</v>
      </c>
      <c r="W583">
        <f t="shared" ca="1" si="341"/>
        <v>2072</v>
      </c>
      <c r="X583" s="123">
        <f t="shared" ca="1" si="323"/>
        <v>62824</v>
      </c>
      <c r="Y583" s="64">
        <f t="shared" ca="1" si="324"/>
        <v>0</v>
      </c>
      <c r="Z583" s="64">
        <f t="shared" ca="1" si="325"/>
        <v>0</v>
      </c>
      <c r="AA583" s="64">
        <f t="shared" ca="1" si="326"/>
        <v>0</v>
      </c>
      <c r="AB583" s="64">
        <f t="shared" ca="1" si="327"/>
        <v>0</v>
      </c>
      <c r="AF583" t="str">
        <f t="shared" ref="AF583:AF646" ca="1" si="345">+MONTH(E583)&amp;YEAR(E583)</f>
        <v>71996</v>
      </c>
      <c r="AG583" s="126">
        <f t="shared" ref="AG583:AG646" ca="1" si="346">+I583</f>
        <v>0</v>
      </c>
      <c r="AH583" s="126">
        <f t="shared" ref="AH583:AH646" ca="1" si="347">+J583</f>
        <v>0</v>
      </c>
      <c r="AI583" s="126">
        <f t="shared" ref="AI583:AI646" ca="1" si="348">+H583</f>
        <v>0</v>
      </c>
      <c r="AJ583" t="str">
        <f t="shared" ref="AJ583:AJ646" ca="1" si="349">+V583&amp;W583</f>
        <v>12072</v>
      </c>
      <c r="AK583" s="126">
        <f t="shared" ca="1" si="328"/>
        <v>0</v>
      </c>
      <c r="AL583" s="126">
        <f t="shared" ca="1" si="329"/>
        <v>0</v>
      </c>
      <c r="AM583" s="126">
        <f t="shared" ca="1" si="342"/>
        <v>0</v>
      </c>
      <c r="AN583" s="753">
        <f t="shared" ca="1" si="343"/>
        <v>0</v>
      </c>
      <c r="AO583" s="750">
        <f t="shared" ca="1" si="330"/>
        <v>0</v>
      </c>
      <c r="AP583" s="126">
        <f t="shared" ca="1" si="331"/>
        <v>0</v>
      </c>
      <c r="AQ583" s="126">
        <f t="shared" ca="1" si="332"/>
        <v>0</v>
      </c>
      <c r="AR583" s="126">
        <f t="shared" ref="AR583:AR646" ca="1" si="350">+MAX($AM$2-SUMIF($W$7:$W$1066,W583,$AN$7:$AN$1066),0)</f>
        <v>10000</v>
      </c>
      <c r="AS583" s="750">
        <f t="shared" ref="AS583:AS646" ca="1" si="351">+MAX(IF(AQ583&gt;AR583,AR583-AQ582,AP583),0)</f>
        <v>0</v>
      </c>
      <c r="AT583" s="750">
        <f t="shared" ref="AT583:AT646" ca="1" si="352">+AP583-AS583</f>
        <v>0</v>
      </c>
      <c r="AU583" s="126">
        <f t="shared" ca="1" si="333"/>
        <v>0</v>
      </c>
      <c r="AV583" s="126">
        <f t="shared" ca="1" si="334"/>
        <v>0</v>
      </c>
      <c r="AW583" s="126">
        <f t="shared" ref="AW583:AW646" ca="1" si="353">+MAX($AM$2-SUMIF($W$7:$W$1066,W583,$AN$7:$AN$1066)-SUMIF($W$7:$W$1066,W583,$AS$7:$AS$1066),0)</f>
        <v>10000</v>
      </c>
      <c r="AX583" s="750">
        <f t="shared" ca="1" si="335"/>
        <v>0</v>
      </c>
      <c r="AY583" s="750">
        <f t="shared" ca="1" si="336"/>
        <v>0</v>
      </c>
      <c r="AZ583">
        <f t="shared" si="337"/>
        <v>5750</v>
      </c>
    </row>
    <row r="584" spans="4:52">
      <c r="D584">
        <v>577</v>
      </c>
      <c r="E584" s="6">
        <f t="shared" ref="E584:E647" ca="1" si="354">+DATE(YEAR(E583),MONTH(E583)-1,DAY(E583))</f>
        <v>35217</v>
      </c>
      <c r="F584" s="7">
        <f t="shared" ref="F584:F647" ca="1" si="355">IF(DATE(YEAR($B$6),MONTH($B$6)+1,DAY(1))=E584,1,IF(MONTH(E584)=1,F585*(1+$F$5),F585))</f>
        <v>0</v>
      </c>
      <c r="G584" s="125">
        <f ca="1">IF('Simulador - 1º Pilar'!$E$99="Sí",IF('Aportaciones PPE'!$B$13&lt;'Aportaciones PPE'!E584,0,F584*$B$8/12),F584*$B$8/12)</f>
        <v>0</v>
      </c>
      <c r="H584" s="125">
        <f t="shared" ca="1" si="344"/>
        <v>0</v>
      </c>
      <c r="I584" s="125">
        <f t="shared" ref="I584:I647" ca="1" si="356">$I$5*G584</f>
        <v>0</v>
      </c>
      <c r="J584" s="125">
        <f t="shared" ref="J584:J647" ca="1" si="357">+I584</f>
        <v>0</v>
      </c>
      <c r="K584" s="125">
        <f t="shared" ref="K584:K647" ca="1" si="358">(1+$O$5)^(D584/12)*(H584+IF(AND(F584=1,F585=0),$S$4,0))</f>
        <v>0</v>
      </c>
      <c r="L584" s="125">
        <f t="shared" ca="1" si="338"/>
        <v>0</v>
      </c>
      <c r="M584" s="125">
        <f t="shared" ref="M584:M647" ca="1" si="359">+L584</f>
        <v>0</v>
      </c>
      <c r="N584" s="125">
        <f t="shared" ref="N584:N647" ca="1" si="360">L584+K584+M584</f>
        <v>0</v>
      </c>
      <c r="R584">
        <f t="shared" si="339"/>
        <v>577</v>
      </c>
      <c r="U584" s="55"/>
      <c r="V584">
        <f t="shared" si="340"/>
        <v>2</v>
      </c>
      <c r="W584">
        <f t="shared" ca="1" si="341"/>
        <v>2072</v>
      </c>
      <c r="X584" s="123">
        <f t="shared" ref="X584:X647" ca="1" si="361">+DATE(W584,V584,1)</f>
        <v>62855</v>
      </c>
      <c r="Y584" s="64">
        <f t="shared" ref="Y584:Y647" ca="1" si="362">+_xlfn.IFNA(AN584+AS584+AX584,0)</f>
        <v>0</v>
      </c>
      <c r="Z584" s="64">
        <f t="shared" ref="Z584:Z647" ca="1" si="363">+_xlfn.IFNA(AO584+AT584+AY584,0)</f>
        <v>0</v>
      </c>
      <c r="AA584" s="64">
        <f t="shared" ref="AA584:AA647" ca="1" si="364">Y584*(1+$O$5)^(($B$7-X584)/365.25)</f>
        <v>0</v>
      </c>
      <c r="AB584" s="64">
        <f t="shared" ref="AB584:AB647" ca="1" si="365">Z584*(1+$O$5)^(($B$7-X584)/365.25)</f>
        <v>0</v>
      </c>
      <c r="AF584" t="str">
        <f t="shared" ca="1" si="345"/>
        <v>61996</v>
      </c>
      <c r="AG584" s="126">
        <f t="shared" ca="1" si="346"/>
        <v>0</v>
      </c>
      <c r="AH584" s="126">
        <f t="shared" ca="1" si="347"/>
        <v>0</v>
      </c>
      <c r="AI584" s="126">
        <f t="shared" ca="1" si="348"/>
        <v>0</v>
      </c>
      <c r="AJ584" t="str">
        <f t="shared" ca="1" si="349"/>
        <v>22072</v>
      </c>
      <c r="AK584" s="126">
        <f t="shared" ref="AK584:AK647" ca="1" si="366">+_xlfn.IFNA(VLOOKUP(AJ584,$AF$7:$AG$1066,2,0),0)</f>
        <v>0</v>
      </c>
      <c r="AL584" s="126">
        <f t="shared" ref="AL584:AL647" ca="1" si="367">+IF(W584&gt;W583,AK584,AL583+AK584)</f>
        <v>0</v>
      </c>
      <c r="AM584" s="126">
        <f t="shared" ca="1" si="342"/>
        <v>0</v>
      </c>
      <c r="AN584" s="753">
        <f t="shared" ca="1" si="343"/>
        <v>0</v>
      </c>
      <c r="AO584" s="750">
        <f t="shared" ref="AO584:AO647" ca="1" si="368">+AK584-AN584</f>
        <v>0</v>
      </c>
      <c r="AP584" s="126">
        <f t="shared" ref="AP584:AP647" ca="1" si="369">+_xlfn.IFNA(VLOOKUP(AJ584,$AF$7:$AI$1066,3,0),0)</f>
        <v>0</v>
      </c>
      <c r="AQ584" s="126">
        <f t="shared" ref="AQ584:AQ647" ca="1" si="370">+IF(W584&gt;W583,AP584,AQ583+AP584)</f>
        <v>0</v>
      </c>
      <c r="AR584" s="126">
        <f t="shared" ca="1" si="350"/>
        <v>10000</v>
      </c>
      <c r="AS584" s="750">
        <f t="shared" ca="1" si="351"/>
        <v>0</v>
      </c>
      <c r="AT584" s="750">
        <f t="shared" ca="1" si="352"/>
        <v>0</v>
      </c>
      <c r="AU584" s="126">
        <f t="shared" ref="AU584:AU647" ca="1" si="371">+_xlfn.IFNA(VLOOKUP(AJ584,$AF$7:$AI$1066,4,0),0)</f>
        <v>0</v>
      </c>
      <c r="AV584" s="126">
        <f t="shared" ref="AV584:AV647" ca="1" si="372">+IF(W584&gt;W583,AU584,AV583+AU584)</f>
        <v>0</v>
      </c>
      <c r="AW584" s="126">
        <f t="shared" ca="1" si="353"/>
        <v>10000</v>
      </c>
      <c r="AX584" s="750">
        <f t="shared" ref="AX584:AX647" ca="1" si="373">+MAX(IF(AV584&gt;AW584,AW584-AV583,AU584),0)</f>
        <v>0</v>
      </c>
      <c r="AY584" s="750">
        <f t="shared" ref="AY584:AY647" ca="1" si="374">+AU584-AX584</f>
        <v>0</v>
      </c>
      <c r="AZ584">
        <f t="shared" ref="AZ584:AZ647" si="375">+$AM$1+IF($AP$1&gt;$AP$2,$AM$3/2)</f>
        <v>5750</v>
      </c>
    </row>
    <row r="585" spans="4:52">
      <c r="D585">
        <v>578</v>
      </c>
      <c r="E585" s="6">
        <f t="shared" ca="1" si="354"/>
        <v>35186</v>
      </c>
      <c r="F585" s="7">
        <f t="shared" ca="1" si="355"/>
        <v>0</v>
      </c>
      <c r="G585" s="125">
        <f ca="1">IF('Simulador - 1º Pilar'!$E$99="Sí",IF('Aportaciones PPE'!$B$13&lt;'Aportaciones PPE'!E585,0,F585*$B$8/12),F585*$B$8/12)</f>
        <v>0</v>
      </c>
      <c r="H585" s="125">
        <f t="shared" ca="1" si="344"/>
        <v>0</v>
      </c>
      <c r="I585" s="125">
        <f t="shared" ca="1" si="356"/>
        <v>0</v>
      </c>
      <c r="J585" s="125">
        <f t="shared" ca="1" si="357"/>
        <v>0</v>
      </c>
      <c r="K585" s="125">
        <f t="shared" ca="1" si="358"/>
        <v>0</v>
      </c>
      <c r="L585" s="125">
        <f t="shared" ref="L585:L648" ca="1" si="376">(1+$O$5)^(D585/12)*(I585+IF(AND(F585=1,F586=0),0))</f>
        <v>0</v>
      </c>
      <c r="M585" s="125">
        <f t="shared" ca="1" si="359"/>
        <v>0</v>
      </c>
      <c r="N585" s="125">
        <f t="shared" ca="1" si="360"/>
        <v>0</v>
      </c>
      <c r="R585">
        <f t="shared" ref="R585:R648" si="377">D585</f>
        <v>578</v>
      </c>
      <c r="U585" s="55"/>
      <c r="V585">
        <f t="shared" ref="V585:V648" si="378">+IF(V584=11,12,IF(V584=12,1,V584+1))</f>
        <v>3</v>
      </c>
      <c r="W585">
        <f t="shared" ref="W585:W648" ca="1" si="379">+W584+IF(V584=12,1,0)</f>
        <v>2072</v>
      </c>
      <c r="X585" s="123">
        <f t="shared" ca="1" si="361"/>
        <v>62884</v>
      </c>
      <c r="Y585" s="64">
        <f t="shared" ca="1" si="362"/>
        <v>0</v>
      </c>
      <c r="Z585" s="64">
        <f t="shared" ca="1" si="363"/>
        <v>0</v>
      </c>
      <c r="AA585" s="64">
        <f t="shared" ca="1" si="364"/>
        <v>0</v>
      </c>
      <c r="AB585" s="64">
        <f t="shared" ca="1" si="365"/>
        <v>0</v>
      </c>
      <c r="AF585" t="str">
        <f t="shared" ca="1" si="345"/>
        <v>51996</v>
      </c>
      <c r="AG585" s="126">
        <f t="shared" ca="1" si="346"/>
        <v>0</v>
      </c>
      <c r="AH585" s="126">
        <f t="shared" ca="1" si="347"/>
        <v>0</v>
      </c>
      <c r="AI585" s="126">
        <f t="shared" ca="1" si="348"/>
        <v>0</v>
      </c>
      <c r="AJ585" t="str">
        <f t="shared" ca="1" si="349"/>
        <v>32072</v>
      </c>
      <c r="AK585" s="126">
        <f t="shared" ca="1" si="366"/>
        <v>0</v>
      </c>
      <c r="AL585" s="126">
        <f t="shared" ca="1" si="367"/>
        <v>0</v>
      </c>
      <c r="AM585" s="126">
        <f t="shared" ref="AM585:AM648" ca="1" si="380">IF(W585&gt;W584,IF(AL585&gt;=$AZ$8,$AZ$8,AL585),IF(OR(AM584=$AZ$8,AM584=0),0,IF(AL585&gt;=$AZ$8,$AZ$8,AL585)))</f>
        <v>0</v>
      </c>
      <c r="AN585" s="753">
        <f t="shared" ref="AN585:AN648" ca="1" si="381">+IF(OR(AM585&gt;AZ584,AM585=0),0,IF(AM585=AL585,AK585,$AZ$7-AL584))</f>
        <v>0</v>
      </c>
      <c r="AO585" s="750">
        <f t="shared" ca="1" si="368"/>
        <v>0</v>
      </c>
      <c r="AP585" s="126">
        <f t="shared" ca="1" si="369"/>
        <v>0</v>
      </c>
      <c r="AQ585" s="126">
        <f t="shared" ca="1" si="370"/>
        <v>0</v>
      </c>
      <c r="AR585" s="126">
        <f t="shared" ca="1" si="350"/>
        <v>10000</v>
      </c>
      <c r="AS585" s="750">
        <f t="shared" ca="1" si="351"/>
        <v>0</v>
      </c>
      <c r="AT585" s="750">
        <f t="shared" ca="1" si="352"/>
        <v>0</v>
      </c>
      <c r="AU585" s="126">
        <f t="shared" ca="1" si="371"/>
        <v>0</v>
      </c>
      <c r="AV585" s="126">
        <f t="shared" ca="1" si="372"/>
        <v>0</v>
      </c>
      <c r="AW585" s="126">
        <f t="shared" ca="1" si="353"/>
        <v>10000</v>
      </c>
      <c r="AX585" s="750">
        <f t="shared" ca="1" si="373"/>
        <v>0</v>
      </c>
      <c r="AY585" s="750">
        <f t="shared" ca="1" si="374"/>
        <v>0</v>
      </c>
      <c r="AZ585">
        <f t="shared" si="375"/>
        <v>5750</v>
      </c>
    </row>
    <row r="586" spans="4:52">
      <c r="D586">
        <v>579</v>
      </c>
      <c r="E586" s="6">
        <f t="shared" ca="1" si="354"/>
        <v>35156</v>
      </c>
      <c r="F586" s="7">
        <f t="shared" ca="1" si="355"/>
        <v>0</v>
      </c>
      <c r="G586" s="125">
        <f ca="1">IF('Simulador - 1º Pilar'!$E$99="Sí",IF('Aportaciones PPE'!$B$13&lt;'Aportaciones PPE'!E586,0,F586*$B$8/12),F586*$B$8/12)</f>
        <v>0</v>
      </c>
      <c r="H586" s="125">
        <f t="shared" ca="1" si="344"/>
        <v>0</v>
      </c>
      <c r="I586" s="125">
        <f t="shared" ca="1" si="356"/>
        <v>0</v>
      </c>
      <c r="J586" s="125">
        <f t="shared" ca="1" si="357"/>
        <v>0</v>
      </c>
      <c r="K586" s="125">
        <f t="shared" ca="1" si="358"/>
        <v>0</v>
      </c>
      <c r="L586" s="125">
        <f t="shared" ca="1" si="376"/>
        <v>0</v>
      </c>
      <c r="M586" s="125">
        <f t="shared" ca="1" si="359"/>
        <v>0</v>
      </c>
      <c r="N586" s="125">
        <f t="shared" ca="1" si="360"/>
        <v>0</v>
      </c>
      <c r="R586">
        <f t="shared" si="377"/>
        <v>579</v>
      </c>
      <c r="U586" s="55"/>
      <c r="V586">
        <f t="shared" si="378"/>
        <v>4</v>
      </c>
      <c r="W586">
        <f t="shared" ca="1" si="379"/>
        <v>2072</v>
      </c>
      <c r="X586" s="123">
        <f t="shared" ca="1" si="361"/>
        <v>62915</v>
      </c>
      <c r="Y586" s="64">
        <f t="shared" ca="1" si="362"/>
        <v>0</v>
      </c>
      <c r="Z586" s="64">
        <f t="shared" ca="1" si="363"/>
        <v>0</v>
      </c>
      <c r="AA586" s="64">
        <f t="shared" ca="1" si="364"/>
        <v>0</v>
      </c>
      <c r="AB586" s="64">
        <f t="shared" ca="1" si="365"/>
        <v>0</v>
      </c>
      <c r="AF586" t="str">
        <f t="shared" ca="1" si="345"/>
        <v>41996</v>
      </c>
      <c r="AG586" s="126">
        <f t="shared" ca="1" si="346"/>
        <v>0</v>
      </c>
      <c r="AH586" s="126">
        <f t="shared" ca="1" si="347"/>
        <v>0</v>
      </c>
      <c r="AI586" s="126">
        <f t="shared" ca="1" si="348"/>
        <v>0</v>
      </c>
      <c r="AJ586" t="str">
        <f t="shared" ca="1" si="349"/>
        <v>42072</v>
      </c>
      <c r="AK586" s="126">
        <f t="shared" ca="1" si="366"/>
        <v>0</v>
      </c>
      <c r="AL586" s="126">
        <f t="shared" ca="1" si="367"/>
        <v>0</v>
      </c>
      <c r="AM586" s="126">
        <f t="shared" ca="1" si="380"/>
        <v>0</v>
      </c>
      <c r="AN586" s="753">
        <f t="shared" ca="1" si="381"/>
        <v>0</v>
      </c>
      <c r="AO586" s="750">
        <f t="shared" ca="1" si="368"/>
        <v>0</v>
      </c>
      <c r="AP586" s="126">
        <f t="shared" ca="1" si="369"/>
        <v>0</v>
      </c>
      <c r="AQ586" s="126">
        <f t="shared" ca="1" si="370"/>
        <v>0</v>
      </c>
      <c r="AR586" s="126">
        <f t="shared" ca="1" si="350"/>
        <v>10000</v>
      </c>
      <c r="AS586" s="750">
        <f t="shared" ca="1" si="351"/>
        <v>0</v>
      </c>
      <c r="AT586" s="750">
        <f t="shared" ca="1" si="352"/>
        <v>0</v>
      </c>
      <c r="AU586" s="126">
        <f t="shared" ca="1" si="371"/>
        <v>0</v>
      </c>
      <c r="AV586" s="126">
        <f t="shared" ca="1" si="372"/>
        <v>0</v>
      </c>
      <c r="AW586" s="126">
        <f t="shared" ca="1" si="353"/>
        <v>10000</v>
      </c>
      <c r="AX586" s="750">
        <f t="shared" ca="1" si="373"/>
        <v>0</v>
      </c>
      <c r="AY586" s="750">
        <f t="shared" ca="1" si="374"/>
        <v>0</v>
      </c>
      <c r="AZ586">
        <f t="shared" si="375"/>
        <v>5750</v>
      </c>
    </row>
    <row r="587" spans="4:52">
      <c r="D587">
        <v>580</v>
      </c>
      <c r="E587" s="6">
        <f t="shared" ca="1" si="354"/>
        <v>35125</v>
      </c>
      <c r="F587" s="7">
        <f t="shared" ca="1" si="355"/>
        <v>0</v>
      </c>
      <c r="G587" s="125">
        <f ca="1">IF('Simulador - 1º Pilar'!$E$99="Sí",IF('Aportaciones PPE'!$B$13&lt;'Aportaciones PPE'!E587,0,F587*$B$8/12),F587*$B$8/12)</f>
        <v>0</v>
      </c>
      <c r="H587" s="125">
        <f t="shared" ca="1" si="344"/>
        <v>0</v>
      </c>
      <c r="I587" s="125">
        <f t="shared" ca="1" si="356"/>
        <v>0</v>
      </c>
      <c r="J587" s="125">
        <f t="shared" ca="1" si="357"/>
        <v>0</v>
      </c>
      <c r="K587" s="125">
        <f t="shared" ca="1" si="358"/>
        <v>0</v>
      </c>
      <c r="L587" s="125">
        <f t="shared" ca="1" si="376"/>
        <v>0</v>
      </c>
      <c r="M587" s="125">
        <f t="shared" ca="1" si="359"/>
        <v>0</v>
      </c>
      <c r="N587" s="125">
        <f t="shared" ca="1" si="360"/>
        <v>0</v>
      </c>
      <c r="R587">
        <f t="shared" si="377"/>
        <v>580</v>
      </c>
      <c r="U587" s="55"/>
      <c r="V587">
        <f t="shared" si="378"/>
        <v>5</v>
      </c>
      <c r="W587">
        <f t="shared" ca="1" si="379"/>
        <v>2072</v>
      </c>
      <c r="X587" s="123">
        <f t="shared" ca="1" si="361"/>
        <v>62945</v>
      </c>
      <c r="Y587" s="64">
        <f t="shared" ca="1" si="362"/>
        <v>0</v>
      </c>
      <c r="Z587" s="64">
        <f t="shared" ca="1" si="363"/>
        <v>0</v>
      </c>
      <c r="AA587" s="64">
        <f t="shared" ca="1" si="364"/>
        <v>0</v>
      </c>
      <c r="AB587" s="64">
        <f t="shared" ca="1" si="365"/>
        <v>0</v>
      </c>
      <c r="AF587" t="str">
        <f t="shared" ca="1" si="345"/>
        <v>31996</v>
      </c>
      <c r="AG587" s="126">
        <f t="shared" ca="1" si="346"/>
        <v>0</v>
      </c>
      <c r="AH587" s="126">
        <f t="shared" ca="1" si="347"/>
        <v>0</v>
      </c>
      <c r="AI587" s="126">
        <f t="shared" ca="1" si="348"/>
        <v>0</v>
      </c>
      <c r="AJ587" t="str">
        <f t="shared" ca="1" si="349"/>
        <v>52072</v>
      </c>
      <c r="AK587" s="126">
        <f t="shared" ca="1" si="366"/>
        <v>0</v>
      </c>
      <c r="AL587" s="126">
        <f t="shared" ca="1" si="367"/>
        <v>0</v>
      </c>
      <c r="AM587" s="126">
        <f t="shared" ca="1" si="380"/>
        <v>0</v>
      </c>
      <c r="AN587" s="753">
        <f t="shared" ca="1" si="381"/>
        <v>0</v>
      </c>
      <c r="AO587" s="750">
        <f t="shared" ca="1" si="368"/>
        <v>0</v>
      </c>
      <c r="AP587" s="126">
        <f t="shared" ca="1" si="369"/>
        <v>0</v>
      </c>
      <c r="AQ587" s="126">
        <f t="shared" ca="1" si="370"/>
        <v>0</v>
      </c>
      <c r="AR587" s="126">
        <f t="shared" ca="1" si="350"/>
        <v>10000</v>
      </c>
      <c r="AS587" s="750">
        <f t="shared" ca="1" si="351"/>
        <v>0</v>
      </c>
      <c r="AT587" s="750">
        <f t="shared" ca="1" si="352"/>
        <v>0</v>
      </c>
      <c r="AU587" s="126">
        <f t="shared" ca="1" si="371"/>
        <v>0</v>
      </c>
      <c r="AV587" s="126">
        <f t="shared" ca="1" si="372"/>
        <v>0</v>
      </c>
      <c r="AW587" s="126">
        <f t="shared" ca="1" si="353"/>
        <v>10000</v>
      </c>
      <c r="AX587" s="750">
        <f t="shared" ca="1" si="373"/>
        <v>0</v>
      </c>
      <c r="AY587" s="750">
        <f t="shared" ca="1" si="374"/>
        <v>0</v>
      </c>
      <c r="AZ587">
        <f t="shared" si="375"/>
        <v>5750</v>
      </c>
    </row>
    <row r="588" spans="4:52">
      <c r="D588">
        <v>581</v>
      </c>
      <c r="E588" s="6">
        <f t="shared" ca="1" si="354"/>
        <v>35096</v>
      </c>
      <c r="F588" s="7">
        <f t="shared" ca="1" si="355"/>
        <v>0</v>
      </c>
      <c r="G588" s="125">
        <f ca="1">IF('Simulador - 1º Pilar'!$E$99="Sí",IF('Aportaciones PPE'!$B$13&lt;'Aportaciones PPE'!E588,0,F588*$B$8/12),F588*$B$8/12)</f>
        <v>0</v>
      </c>
      <c r="H588" s="125">
        <f t="shared" ca="1" si="344"/>
        <v>0</v>
      </c>
      <c r="I588" s="125">
        <f t="shared" ca="1" si="356"/>
        <v>0</v>
      </c>
      <c r="J588" s="125">
        <f t="shared" ca="1" si="357"/>
        <v>0</v>
      </c>
      <c r="K588" s="125">
        <f t="shared" ca="1" si="358"/>
        <v>0</v>
      </c>
      <c r="L588" s="125">
        <f t="shared" ca="1" si="376"/>
        <v>0</v>
      </c>
      <c r="M588" s="125">
        <f t="shared" ca="1" si="359"/>
        <v>0</v>
      </c>
      <c r="N588" s="125">
        <f t="shared" ca="1" si="360"/>
        <v>0</v>
      </c>
      <c r="R588">
        <f t="shared" si="377"/>
        <v>581</v>
      </c>
      <c r="U588" s="55"/>
      <c r="V588">
        <f t="shared" si="378"/>
        <v>6</v>
      </c>
      <c r="W588">
        <f t="shared" ca="1" si="379"/>
        <v>2072</v>
      </c>
      <c r="X588" s="123">
        <f t="shared" ca="1" si="361"/>
        <v>62976</v>
      </c>
      <c r="Y588" s="64">
        <f t="shared" ca="1" si="362"/>
        <v>0</v>
      </c>
      <c r="Z588" s="64">
        <f t="shared" ca="1" si="363"/>
        <v>0</v>
      </c>
      <c r="AA588" s="64">
        <f t="shared" ca="1" si="364"/>
        <v>0</v>
      </c>
      <c r="AB588" s="64">
        <f t="shared" ca="1" si="365"/>
        <v>0</v>
      </c>
      <c r="AF588" t="str">
        <f t="shared" ca="1" si="345"/>
        <v>21996</v>
      </c>
      <c r="AG588" s="126">
        <f t="shared" ca="1" si="346"/>
        <v>0</v>
      </c>
      <c r="AH588" s="126">
        <f t="shared" ca="1" si="347"/>
        <v>0</v>
      </c>
      <c r="AI588" s="126">
        <f t="shared" ca="1" si="348"/>
        <v>0</v>
      </c>
      <c r="AJ588" t="str">
        <f t="shared" ca="1" si="349"/>
        <v>62072</v>
      </c>
      <c r="AK588" s="126">
        <f t="shared" ca="1" si="366"/>
        <v>0</v>
      </c>
      <c r="AL588" s="126">
        <f t="shared" ca="1" si="367"/>
        <v>0</v>
      </c>
      <c r="AM588" s="126">
        <f t="shared" ca="1" si="380"/>
        <v>0</v>
      </c>
      <c r="AN588" s="753">
        <f t="shared" ca="1" si="381"/>
        <v>0</v>
      </c>
      <c r="AO588" s="750">
        <f t="shared" ca="1" si="368"/>
        <v>0</v>
      </c>
      <c r="AP588" s="126">
        <f t="shared" ca="1" si="369"/>
        <v>0</v>
      </c>
      <c r="AQ588" s="126">
        <f t="shared" ca="1" si="370"/>
        <v>0</v>
      </c>
      <c r="AR588" s="126">
        <f t="shared" ca="1" si="350"/>
        <v>10000</v>
      </c>
      <c r="AS588" s="750">
        <f t="shared" ca="1" si="351"/>
        <v>0</v>
      </c>
      <c r="AT588" s="750">
        <f t="shared" ca="1" si="352"/>
        <v>0</v>
      </c>
      <c r="AU588" s="126">
        <f t="shared" ca="1" si="371"/>
        <v>0</v>
      </c>
      <c r="AV588" s="126">
        <f t="shared" ca="1" si="372"/>
        <v>0</v>
      </c>
      <c r="AW588" s="126">
        <f t="shared" ca="1" si="353"/>
        <v>10000</v>
      </c>
      <c r="AX588" s="750">
        <f t="shared" ca="1" si="373"/>
        <v>0</v>
      </c>
      <c r="AY588" s="750">
        <f t="shared" ca="1" si="374"/>
        <v>0</v>
      </c>
      <c r="AZ588">
        <f t="shared" si="375"/>
        <v>5750</v>
      </c>
    </row>
    <row r="589" spans="4:52">
      <c r="D589">
        <v>582</v>
      </c>
      <c r="E589" s="6">
        <f t="shared" ca="1" si="354"/>
        <v>35065</v>
      </c>
      <c r="F589" s="7">
        <f t="shared" ca="1" si="355"/>
        <v>0</v>
      </c>
      <c r="G589" s="125">
        <f ca="1">IF('Simulador - 1º Pilar'!$E$99="Sí",IF('Aportaciones PPE'!$B$13&lt;'Aportaciones PPE'!E589,0,F589*$B$8/12),F589*$B$8/12)</f>
        <v>0</v>
      </c>
      <c r="H589" s="125">
        <f t="shared" ca="1" si="344"/>
        <v>0</v>
      </c>
      <c r="I589" s="125">
        <f t="shared" ca="1" si="356"/>
        <v>0</v>
      </c>
      <c r="J589" s="125">
        <f t="shared" ca="1" si="357"/>
        <v>0</v>
      </c>
      <c r="K589" s="125">
        <f t="shared" ca="1" si="358"/>
        <v>0</v>
      </c>
      <c r="L589" s="125">
        <f t="shared" ca="1" si="376"/>
        <v>0</v>
      </c>
      <c r="M589" s="125">
        <f t="shared" ca="1" si="359"/>
        <v>0</v>
      </c>
      <c r="N589" s="125">
        <f t="shared" ca="1" si="360"/>
        <v>0</v>
      </c>
      <c r="R589">
        <f t="shared" si="377"/>
        <v>582</v>
      </c>
      <c r="U589" s="55"/>
      <c r="V589">
        <f t="shared" si="378"/>
        <v>7</v>
      </c>
      <c r="W589">
        <f t="shared" ca="1" si="379"/>
        <v>2072</v>
      </c>
      <c r="X589" s="123">
        <f t="shared" ca="1" si="361"/>
        <v>63006</v>
      </c>
      <c r="Y589" s="64">
        <f t="shared" ca="1" si="362"/>
        <v>0</v>
      </c>
      <c r="Z589" s="64">
        <f t="shared" ca="1" si="363"/>
        <v>0</v>
      </c>
      <c r="AA589" s="64">
        <f t="shared" ca="1" si="364"/>
        <v>0</v>
      </c>
      <c r="AB589" s="64">
        <f t="shared" ca="1" si="365"/>
        <v>0</v>
      </c>
      <c r="AF589" t="str">
        <f t="shared" ca="1" si="345"/>
        <v>11996</v>
      </c>
      <c r="AG589" s="126">
        <f t="shared" ca="1" si="346"/>
        <v>0</v>
      </c>
      <c r="AH589" s="126">
        <f t="shared" ca="1" si="347"/>
        <v>0</v>
      </c>
      <c r="AI589" s="126">
        <f t="shared" ca="1" si="348"/>
        <v>0</v>
      </c>
      <c r="AJ589" t="str">
        <f t="shared" ca="1" si="349"/>
        <v>72072</v>
      </c>
      <c r="AK589" s="126">
        <f t="shared" ca="1" si="366"/>
        <v>0</v>
      </c>
      <c r="AL589" s="126">
        <f t="shared" ca="1" si="367"/>
        <v>0</v>
      </c>
      <c r="AM589" s="126">
        <f t="shared" ca="1" si="380"/>
        <v>0</v>
      </c>
      <c r="AN589" s="753">
        <f t="shared" ca="1" si="381"/>
        <v>0</v>
      </c>
      <c r="AO589" s="750">
        <f t="shared" ca="1" si="368"/>
        <v>0</v>
      </c>
      <c r="AP589" s="126">
        <f t="shared" ca="1" si="369"/>
        <v>0</v>
      </c>
      <c r="AQ589" s="126">
        <f t="shared" ca="1" si="370"/>
        <v>0</v>
      </c>
      <c r="AR589" s="126">
        <f t="shared" ca="1" si="350"/>
        <v>10000</v>
      </c>
      <c r="AS589" s="750">
        <f t="shared" ca="1" si="351"/>
        <v>0</v>
      </c>
      <c r="AT589" s="750">
        <f t="shared" ca="1" si="352"/>
        <v>0</v>
      </c>
      <c r="AU589" s="126">
        <f t="shared" ca="1" si="371"/>
        <v>0</v>
      </c>
      <c r="AV589" s="126">
        <f t="shared" ca="1" si="372"/>
        <v>0</v>
      </c>
      <c r="AW589" s="126">
        <f t="shared" ca="1" si="353"/>
        <v>10000</v>
      </c>
      <c r="AX589" s="750">
        <f t="shared" ca="1" si="373"/>
        <v>0</v>
      </c>
      <c r="AY589" s="750">
        <f t="shared" ca="1" si="374"/>
        <v>0</v>
      </c>
      <c r="AZ589">
        <f t="shared" si="375"/>
        <v>5750</v>
      </c>
    </row>
    <row r="590" spans="4:52">
      <c r="D590">
        <v>583</v>
      </c>
      <c r="E590" s="6">
        <f t="shared" ca="1" si="354"/>
        <v>35034</v>
      </c>
      <c r="F590" s="7">
        <f t="shared" ca="1" si="355"/>
        <v>0</v>
      </c>
      <c r="G590" s="125">
        <f ca="1">IF('Simulador - 1º Pilar'!$E$99="Sí",IF('Aportaciones PPE'!$B$13&lt;'Aportaciones PPE'!E590,0,F590*$B$8/12),F590*$B$8/12)</f>
        <v>0</v>
      </c>
      <c r="H590" s="125">
        <f t="shared" ca="1" si="344"/>
        <v>0</v>
      </c>
      <c r="I590" s="125">
        <f t="shared" ca="1" si="356"/>
        <v>0</v>
      </c>
      <c r="J590" s="125">
        <f t="shared" ca="1" si="357"/>
        <v>0</v>
      </c>
      <c r="K590" s="125">
        <f t="shared" ca="1" si="358"/>
        <v>0</v>
      </c>
      <c r="L590" s="125">
        <f t="shared" ca="1" si="376"/>
        <v>0</v>
      </c>
      <c r="M590" s="125">
        <f t="shared" ca="1" si="359"/>
        <v>0</v>
      </c>
      <c r="N590" s="125">
        <f t="shared" ca="1" si="360"/>
        <v>0</v>
      </c>
      <c r="R590">
        <f t="shared" si="377"/>
        <v>583</v>
      </c>
      <c r="U590" s="55"/>
      <c r="V590">
        <f t="shared" si="378"/>
        <v>8</v>
      </c>
      <c r="W590">
        <f t="shared" ca="1" si="379"/>
        <v>2072</v>
      </c>
      <c r="X590" s="123">
        <f t="shared" ca="1" si="361"/>
        <v>63037</v>
      </c>
      <c r="Y590" s="64">
        <f t="shared" ca="1" si="362"/>
        <v>0</v>
      </c>
      <c r="Z590" s="64">
        <f t="shared" ca="1" si="363"/>
        <v>0</v>
      </c>
      <c r="AA590" s="64">
        <f t="shared" ca="1" si="364"/>
        <v>0</v>
      </c>
      <c r="AB590" s="64">
        <f t="shared" ca="1" si="365"/>
        <v>0</v>
      </c>
      <c r="AF590" t="str">
        <f t="shared" ca="1" si="345"/>
        <v>121995</v>
      </c>
      <c r="AG590" s="126">
        <f t="shared" ca="1" si="346"/>
        <v>0</v>
      </c>
      <c r="AH590" s="126">
        <f t="shared" ca="1" si="347"/>
        <v>0</v>
      </c>
      <c r="AI590" s="126">
        <f t="shared" ca="1" si="348"/>
        <v>0</v>
      </c>
      <c r="AJ590" t="str">
        <f t="shared" ca="1" si="349"/>
        <v>82072</v>
      </c>
      <c r="AK590" s="126">
        <f t="shared" ca="1" si="366"/>
        <v>0</v>
      </c>
      <c r="AL590" s="126">
        <f t="shared" ca="1" si="367"/>
        <v>0</v>
      </c>
      <c r="AM590" s="126">
        <f t="shared" ca="1" si="380"/>
        <v>0</v>
      </c>
      <c r="AN590" s="753">
        <f t="shared" ca="1" si="381"/>
        <v>0</v>
      </c>
      <c r="AO590" s="750">
        <f t="shared" ca="1" si="368"/>
        <v>0</v>
      </c>
      <c r="AP590" s="126">
        <f t="shared" ca="1" si="369"/>
        <v>0</v>
      </c>
      <c r="AQ590" s="126">
        <f t="shared" ca="1" si="370"/>
        <v>0</v>
      </c>
      <c r="AR590" s="126">
        <f t="shared" ca="1" si="350"/>
        <v>10000</v>
      </c>
      <c r="AS590" s="750">
        <f t="shared" ca="1" si="351"/>
        <v>0</v>
      </c>
      <c r="AT590" s="750">
        <f t="shared" ca="1" si="352"/>
        <v>0</v>
      </c>
      <c r="AU590" s="126">
        <f t="shared" ca="1" si="371"/>
        <v>0</v>
      </c>
      <c r="AV590" s="126">
        <f t="shared" ca="1" si="372"/>
        <v>0</v>
      </c>
      <c r="AW590" s="126">
        <f t="shared" ca="1" si="353"/>
        <v>10000</v>
      </c>
      <c r="AX590" s="750">
        <f t="shared" ca="1" si="373"/>
        <v>0</v>
      </c>
      <c r="AY590" s="750">
        <f t="shared" ca="1" si="374"/>
        <v>0</v>
      </c>
      <c r="AZ590">
        <f t="shared" si="375"/>
        <v>5750</v>
      </c>
    </row>
    <row r="591" spans="4:52">
      <c r="D591">
        <v>584</v>
      </c>
      <c r="E591" s="6">
        <f t="shared" ca="1" si="354"/>
        <v>35004</v>
      </c>
      <c r="F591" s="7">
        <f t="shared" ca="1" si="355"/>
        <v>0</v>
      </c>
      <c r="G591" s="125">
        <f ca="1">IF('Simulador - 1º Pilar'!$E$99="Sí",IF('Aportaciones PPE'!$B$13&lt;'Aportaciones PPE'!E591,0,F591*$B$8/12),F591*$B$8/12)</f>
        <v>0</v>
      </c>
      <c r="H591" s="125">
        <f t="shared" ca="1" si="344"/>
        <v>0</v>
      </c>
      <c r="I591" s="125">
        <f t="shared" ca="1" si="356"/>
        <v>0</v>
      </c>
      <c r="J591" s="125">
        <f t="shared" ca="1" si="357"/>
        <v>0</v>
      </c>
      <c r="K591" s="125">
        <f t="shared" ca="1" si="358"/>
        <v>0</v>
      </c>
      <c r="L591" s="125">
        <f t="shared" ca="1" si="376"/>
        <v>0</v>
      </c>
      <c r="M591" s="125">
        <f t="shared" ca="1" si="359"/>
        <v>0</v>
      </c>
      <c r="N591" s="125">
        <f t="shared" ca="1" si="360"/>
        <v>0</v>
      </c>
      <c r="R591">
        <f t="shared" si="377"/>
        <v>584</v>
      </c>
      <c r="U591" s="55"/>
      <c r="V591">
        <f t="shared" si="378"/>
        <v>9</v>
      </c>
      <c r="W591">
        <f t="shared" ca="1" si="379"/>
        <v>2072</v>
      </c>
      <c r="X591" s="123">
        <f t="shared" ca="1" si="361"/>
        <v>63068</v>
      </c>
      <c r="Y591" s="64">
        <f t="shared" ca="1" si="362"/>
        <v>0</v>
      </c>
      <c r="Z591" s="64">
        <f t="shared" ca="1" si="363"/>
        <v>0</v>
      </c>
      <c r="AA591" s="64">
        <f t="shared" ca="1" si="364"/>
        <v>0</v>
      </c>
      <c r="AB591" s="64">
        <f t="shared" ca="1" si="365"/>
        <v>0</v>
      </c>
      <c r="AF591" t="str">
        <f t="shared" ca="1" si="345"/>
        <v>111995</v>
      </c>
      <c r="AG591" s="126">
        <f t="shared" ca="1" si="346"/>
        <v>0</v>
      </c>
      <c r="AH591" s="126">
        <f t="shared" ca="1" si="347"/>
        <v>0</v>
      </c>
      <c r="AI591" s="126">
        <f t="shared" ca="1" si="348"/>
        <v>0</v>
      </c>
      <c r="AJ591" t="str">
        <f t="shared" ca="1" si="349"/>
        <v>92072</v>
      </c>
      <c r="AK591" s="126">
        <f t="shared" ca="1" si="366"/>
        <v>0</v>
      </c>
      <c r="AL591" s="126">
        <f t="shared" ca="1" si="367"/>
        <v>0</v>
      </c>
      <c r="AM591" s="126">
        <f t="shared" ca="1" si="380"/>
        <v>0</v>
      </c>
      <c r="AN591" s="753">
        <f t="shared" ca="1" si="381"/>
        <v>0</v>
      </c>
      <c r="AO591" s="750">
        <f t="shared" ca="1" si="368"/>
        <v>0</v>
      </c>
      <c r="AP591" s="126">
        <f t="shared" ca="1" si="369"/>
        <v>0</v>
      </c>
      <c r="AQ591" s="126">
        <f t="shared" ca="1" si="370"/>
        <v>0</v>
      </c>
      <c r="AR591" s="126">
        <f t="shared" ca="1" si="350"/>
        <v>10000</v>
      </c>
      <c r="AS591" s="750">
        <f t="shared" ca="1" si="351"/>
        <v>0</v>
      </c>
      <c r="AT591" s="750">
        <f t="shared" ca="1" si="352"/>
        <v>0</v>
      </c>
      <c r="AU591" s="126">
        <f t="shared" ca="1" si="371"/>
        <v>0</v>
      </c>
      <c r="AV591" s="126">
        <f t="shared" ca="1" si="372"/>
        <v>0</v>
      </c>
      <c r="AW591" s="126">
        <f t="shared" ca="1" si="353"/>
        <v>10000</v>
      </c>
      <c r="AX591" s="750">
        <f t="shared" ca="1" si="373"/>
        <v>0</v>
      </c>
      <c r="AY591" s="750">
        <f t="shared" ca="1" si="374"/>
        <v>0</v>
      </c>
      <c r="AZ591">
        <f t="shared" si="375"/>
        <v>5750</v>
      </c>
    </row>
    <row r="592" spans="4:52">
      <c r="D592">
        <v>585</v>
      </c>
      <c r="E592" s="6">
        <f t="shared" ca="1" si="354"/>
        <v>34973</v>
      </c>
      <c r="F592" s="7">
        <f t="shared" ca="1" si="355"/>
        <v>0</v>
      </c>
      <c r="G592" s="125">
        <f ca="1">IF('Simulador - 1º Pilar'!$E$99="Sí",IF('Aportaciones PPE'!$B$13&lt;'Aportaciones PPE'!E592,0,F592*$B$8/12),F592*$B$8/12)</f>
        <v>0</v>
      </c>
      <c r="H592" s="125">
        <f t="shared" ca="1" si="344"/>
        <v>0</v>
      </c>
      <c r="I592" s="125">
        <f t="shared" ca="1" si="356"/>
        <v>0</v>
      </c>
      <c r="J592" s="125">
        <f t="shared" ca="1" si="357"/>
        <v>0</v>
      </c>
      <c r="K592" s="125">
        <f t="shared" ca="1" si="358"/>
        <v>0</v>
      </c>
      <c r="L592" s="125">
        <f t="shared" ca="1" si="376"/>
        <v>0</v>
      </c>
      <c r="M592" s="125">
        <f t="shared" ca="1" si="359"/>
        <v>0</v>
      </c>
      <c r="N592" s="125">
        <f t="shared" ca="1" si="360"/>
        <v>0</v>
      </c>
      <c r="R592">
        <f t="shared" si="377"/>
        <v>585</v>
      </c>
      <c r="U592" s="55"/>
      <c r="V592">
        <f t="shared" si="378"/>
        <v>10</v>
      </c>
      <c r="W592">
        <f t="shared" ca="1" si="379"/>
        <v>2072</v>
      </c>
      <c r="X592" s="123">
        <f t="shared" ca="1" si="361"/>
        <v>63098</v>
      </c>
      <c r="Y592" s="64">
        <f t="shared" ca="1" si="362"/>
        <v>0</v>
      </c>
      <c r="Z592" s="64">
        <f t="shared" ca="1" si="363"/>
        <v>0</v>
      </c>
      <c r="AA592" s="64">
        <f t="shared" ca="1" si="364"/>
        <v>0</v>
      </c>
      <c r="AB592" s="64">
        <f t="shared" ca="1" si="365"/>
        <v>0</v>
      </c>
      <c r="AF592" t="str">
        <f t="shared" ca="1" si="345"/>
        <v>101995</v>
      </c>
      <c r="AG592" s="126">
        <f t="shared" ca="1" si="346"/>
        <v>0</v>
      </c>
      <c r="AH592" s="126">
        <f t="shared" ca="1" si="347"/>
        <v>0</v>
      </c>
      <c r="AI592" s="126">
        <f t="shared" ca="1" si="348"/>
        <v>0</v>
      </c>
      <c r="AJ592" t="str">
        <f t="shared" ca="1" si="349"/>
        <v>102072</v>
      </c>
      <c r="AK592" s="126">
        <f t="shared" ca="1" si="366"/>
        <v>0</v>
      </c>
      <c r="AL592" s="126">
        <f t="shared" ca="1" si="367"/>
        <v>0</v>
      </c>
      <c r="AM592" s="126">
        <f t="shared" ca="1" si="380"/>
        <v>0</v>
      </c>
      <c r="AN592" s="753">
        <f t="shared" ca="1" si="381"/>
        <v>0</v>
      </c>
      <c r="AO592" s="750">
        <f t="shared" ca="1" si="368"/>
        <v>0</v>
      </c>
      <c r="AP592" s="126">
        <f t="shared" ca="1" si="369"/>
        <v>0</v>
      </c>
      <c r="AQ592" s="126">
        <f t="shared" ca="1" si="370"/>
        <v>0</v>
      </c>
      <c r="AR592" s="126">
        <f t="shared" ca="1" si="350"/>
        <v>10000</v>
      </c>
      <c r="AS592" s="750">
        <f t="shared" ca="1" si="351"/>
        <v>0</v>
      </c>
      <c r="AT592" s="750">
        <f t="shared" ca="1" si="352"/>
        <v>0</v>
      </c>
      <c r="AU592" s="126">
        <f t="shared" ca="1" si="371"/>
        <v>0</v>
      </c>
      <c r="AV592" s="126">
        <f t="shared" ca="1" si="372"/>
        <v>0</v>
      </c>
      <c r="AW592" s="126">
        <f t="shared" ca="1" si="353"/>
        <v>10000</v>
      </c>
      <c r="AX592" s="750">
        <f t="shared" ca="1" si="373"/>
        <v>0</v>
      </c>
      <c r="AY592" s="750">
        <f t="shared" ca="1" si="374"/>
        <v>0</v>
      </c>
      <c r="AZ592">
        <f t="shared" si="375"/>
        <v>5750</v>
      </c>
    </row>
    <row r="593" spans="4:52">
      <c r="D593">
        <v>586</v>
      </c>
      <c r="E593" s="6">
        <f t="shared" ca="1" si="354"/>
        <v>34943</v>
      </c>
      <c r="F593" s="7">
        <f t="shared" ca="1" si="355"/>
        <v>0</v>
      </c>
      <c r="G593" s="125">
        <f ca="1">IF('Simulador - 1º Pilar'!$E$99="Sí",IF('Aportaciones PPE'!$B$13&lt;'Aportaciones PPE'!E593,0,F593*$B$8/12),F593*$B$8/12)</f>
        <v>0</v>
      </c>
      <c r="H593" s="125">
        <f t="shared" ca="1" si="344"/>
        <v>0</v>
      </c>
      <c r="I593" s="125">
        <f t="shared" ca="1" si="356"/>
        <v>0</v>
      </c>
      <c r="J593" s="125">
        <f t="shared" ca="1" si="357"/>
        <v>0</v>
      </c>
      <c r="K593" s="125">
        <f t="shared" ca="1" si="358"/>
        <v>0</v>
      </c>
      <c r="L593" s="125">
        <f t="shared" ca="1" si="376"/>
        <v>0</v>
      </c>
      <c r="M593" s="125">
        <f t="shared" ca="1" si="359"/>
        <v>0</v>
      </c>
      <c r="N593" s="125">
        <f t="shared" ca="1" si="360"/>
        <v>0</v>
      </c>
      <c r="R593">
        <f t="shared" si="377"/>
        <v>586</v>
      </c>
      <c r="U593" s="55"/>
      <c r="V593">
        <f t="shared" si="378"/>
        <v>11</v>
      </c>
      <c r="W593">
        <f t="shared" ca="1" si="379"/>
        <v>2072</v>
      </c>
      <c r="X593" s="123">
        <f t="shared" ca="1" si="361"/>
        <v>63129</v>
      </c>
      <c r="Y593" s="64">
        <f t="shared" ca="1" si="362"/>
        <v>0</v>
      </c>
      <c r="Z593" s="64">
        <f t="shared" ca="1" si="363"/>
        <v>0</v>
      </c>
      <c r="AA593" s="64">
        <f t="shared" ca="1" si="364"/>
        <v>0</v>
      </c>
      <c r="AB593" s="64">
        <f t="shared" ca="1" si="365"/>
        <v>0</v>
      </c>
      <c r="AF593" t="str">
        <f t="shared" ca="1" si="345"/>
        <v>91995</v>
      </c>
      <c r="AG593" s="126">
        <f t="shared" ca="1" si="346"/>
        <v>0</v>
      </c>
      <c r="AH593" s="126">
        <f t="shared" ca="1" si="347"/>
        <v>0</v>
      </c>
      <c r="AI593" s="126">
        <f t="shared" ca="1" si="348"/>
        <v>0</v>
      </c>
      <c r="AJ593" t="str">
        <f t="shared" ca="1" si="349"/>
        <v>112072</v>
      </c>
      <c r="AK593" s="126">
        <f t="shared" ca="1" si="366"/>
        <v>0</v>
      </c>
      <c r="AL593" s="126">
        <f t="shared" ca="1" si="367"/>
        <v>0</v>
      </c>
      <c r="AM593" s="126">
        <f t="shared" ca="1" si="380"/>
        <v>0</v>
      </c>
      <c r="AN593" s="753">
        <f t="shared" ca="1" si="381"/>
        <v>0</v>
      </c>
      <c r="AO593" s="750">
        <f t="shared" ca="1" si="368"/>
        <v>0</v>
      </c>
      <c r="AP593" s="126">
        <f t="shared" ca="1" si="369"/>
        <v>0</v>
      </c>
      <c r="AQ593" s="126">
        <f t="shared" ca="1" si="370"/>
        <v>0</v>
      </c>
      <c r="AR593" s="126">
        <f t="shared" ca="1" si="350"/>
        <v>10000</v>
      </c>
      <c r="AS593" s="750">
        <f t="shared" ca="1" si="351"/>
        <v>0</v>
      </c>
      <c r="AT593" s="750">
        <f t="shared" ca="1" si="352"/>
        <v>0</v>
      </c>
      <c r="AU593" s="126">
        <f t="shared" ca="1" si="371"/>
        <v>0</v>
      </c>
      <c r="AV593" s="126">
        <f t="shared" ca="1" si="372"/>
        <v>0</v>
      </c>
      <c r="AW593" s="126">
        <f t="shared" ca="1" si="353"/>
        <v>10000</v>
      </c>
      <c r="AX593" s="750">
        <f t="shared" ca="1" si="373"/>
        <v>0</v>
      </c>
      <c r="AY593" s="750">
        <f t="shared" ca="1" si="374"/>
        <v>0</v>
      </c>
      <c r="AZ593">
        <f t="shared" si="375"/>
        <v>5750</v>
      </c>
    </row>
    <row r="594" spans="4:52">
      <c r="D594">
        <v>587</v>
      </c>
      <c r="E594" s="6">
        <f t="shared" ca="1" si="354"/>
        <v>34912</v>
      </c>
      <c r="F594" s="7">
        <f t="shared" ca="1" si="355"/>
        <v>0</v>
      </c>
      <c r="G594" s="125">
        <f ca="1">IF('Simulador - 1º Pilar'!$E$99="Sí",IF('Aportaciones PPE'!$B$13&lt;'Aportaciones PPE'!E594,0,F594*$B$8/12),F594*$B$8/12)</f>
        <v>0</v>
      </c>
      <c r="H594" s="125">
        <f t="shared" ca="1" si="344"/>
        <v>0</v>
      </c>
      <c r="I594" s="125">
        <f t="shared" ca="1" si="356"/>
        <v>0</v>
      </c>
      <c r="J594" s="125">
        <f t="shared" ca="1" si="357"/>
        <v>0</v>
      </c>
      <c r="K594" s="125">
        <f t="shared" ca="1" si="358"/>
        <v>0</v>
      </c>
      <c r="L594" s="125">
        <f t="shared" ca="1" si="376"/>
        <v>0</v>
      </c>
      <c r="M594" s="125">
        <f t="shared" ca="1" si="359"/>
        <v>0</v>
      </c>
      <c r="N594" s="125">
        <f t="shared" ca="1" si="360"/>
        <v>0</v>
      </c>
      <c r="R594">
        <f t="shared" si="377"/>
        <v>587</v>
      </c>
      <c r="U594" s="55"/>
      <c r="V594">
        <f t="shared" si="378"/>
        <v>12</v>
      </c>
      <c r="W594">
        <f t="shared" ca="1" si="379"/>
        <v>2072</v>
      </c>
      <c r="X594" s="123">
        <f t="shared" ca="1" si="361"/>
        <v>63159</v>
      </c>
      <c r="Y594" s="64">
        <f t="shared" ca="1" si="362"/>
        <v>0</v>
      </c>
      <c r="Z594" s="64">
        <f t="shared" ca="1" si="363"/>
        <v>0</v>
      </c>
      <c r="AA594" s="64">
        <f t="shared" ca="1" si="364"/>
        <v>0</v>
      </c>
      <c r="AB594" s="64">
        <f t="shared" ca="1" si="365"/>
        <v>0</v>
      </c>
      <c r="AF594" t="str">
        <f t="shared" ca="1" si="345"/>
        <v>81995</v>
      </c>
      <c r="AG594" s="126">
        <f t="shared" ca="1" si="346"/>
        <v>0</v>
      </c>
      <c r="AH594" s="126">
        <f t="shared" ca="1" si="347"/>
        <v>0</v>
      </c>
      <c r="AI594" s="126">
        <f t="shared" ca="1" si="348"/>
        <v>0</v>
      </c>
      <c r="AJ594" t="str">
        <f t="shared" ca="1" si="349"/>
        <v>122072</v>
      </c>
      <c r="AK594" s="126">
        <f t="shared" ca="1" si="366"/>
        <v>0</v>
      </c>
      <c r="AL594" s="126">
        <f t="shared" ca="1" si="367"/>
        <v>0</v>
      </c>
      <c r="AM594" s="126">
        <f t="shared" ca="1" si="380"/>
        <v>0</v>
      </c>
      <c r="AN594" s="753">
        <f t="shared" ca="1" si="381"/>
        <v>0</v>
      </c>
      <c r="AO594" s="750">
        <f t="shared" ca="1" si="368"/>
        <v>0</v>
      </c>
      <c r="AP594" s="126">
        <f t="shared" ca="1" si="369"/>
        <v>0</v>
      </c>
      <c r="AQ594" s="126">
        <f t="shared" ca="1" si="370"/>
        <v>0</v>
      </c>
      <c r="AR594" s="126">
        <f t="shared" ca="1" si="350"/>
        <v>10000</v>
      </c>
      <c r="AS594" s="750">
        <f t="shared" ca="1" si="351"/>
        <v>0</v>
      </c>
      <c r="AT594" s="750">
        <f t="shared" ca="1" si="352"/>
        <v>0</v>
      </c>
      <c r="AU594" s="126">
        <f t="shared" ca="1" si="371"/>
        <v>0</v>
      </c>
      <c r="AV594" s="126">
        <f t="shared" ca="1" si="372"/>
        <v>0</v>
      </c>
      <c r="AW594" s="126">
        <f t="shared" ca="1" si="353"/>
        <v>10000</v>
      </c>
      <c r="AX594" s="750">
        <f t="shared" ca="1" si="373"/>
        <v>0</v>
      </c>
      <c r="AY594" s="750">
        <f t="shared" ca="1" si="374"/>
        <v>0</v>
      </c>
      <c r="AZ594">
        <f t="shared" si="375"/>
        <v>5750</v>
      </c>
    </row>
    <row r="595" spans="4:52">
      <c r="D595">
        <v>588</v>
      </c>
      <c r="E595" s="6">
        <f t="shared" ca="1" si="354"/>
        <v>34881</v>
      </c>
      <c r="F595" s="7">
        <f t="shared" ca="1" si="355"/>
        <v>0</v>
      </c>
      <c r="G595" s="125">
        <f ca="1">IF('Simulador - 1º Pilar'!$E$99="Sí",IF('Aportaciones PPE'!$B$13&lt;'Aportaciones PPE'!E595,0,F595*$B$8/12),F595*$B$8/12)</f>
        <v>0</v>
      </c>
      <c r="H595" s="125">
        <f t="shared" ca="1" si="344"/>
        <v>0</v>
      </c>
      <c r="I595" s="125">
        <f t="shared" ca="1" si="356"/>
        <v>0</v>
      </c>
      <c r="J595" s="125">
        <f t="shared" ca="1" si="357"/>
        <v>0</v>
      </c>
      <c r="K595" s="125">
        <f t="shared" ca="1" si="358"/>
        <v>0</v>
      </c>
      <c r="L595" s="125">
        <f t="shared" ca="1" si="376"/>
        <v>0</v>
      </c>
      <c r="M595" s="125">
        <f t="shared" ca="1" si="359"/>
        <v>0</v>
      </c>
      <c r="N595" s="125">
        <f t="shared" ca="1" si="360"/>
        <v>0</v>
      </c>
      <c r="R595">
        <f t="shared" si="377"/>
        <v>588</v>
      </c>
      <c r="U595" s="55"/>
      <c r="V595">
        <f t="shared" si="378"/>
        <v>1</v>
      </c>
      <c r="W595">
        <f t="shared" ca="1" si="379"/>
        <v>2073</v>
      </c>
      <c r="X595" s="123">
        <f t="shared" ca="1" si="361"/>
        <v>63190</v>
      </c>
      <c r="Y595" s="64">
        <f t="shared" ca="1" si="362"/>
        <v>0</v>
      </c>
      <c r="Z595" s="64">
        <f t="shared" ca="1" si="363"/>
        <v>0</v>
      </c>
      <c r="AA595" s="64">
        <f t="shared" ca="1" si="364"/>
        <v>0</v>
      </c>
      <c r="AB595" s="64">
        <f t="shared" ca="1" si="365"/>
        <v>0</v>
      </c>
      <c r="AF595" t="str">
        <f t="shared" ca="1" si="345"/>
        <v>71995</v>
      </c>
      <c r="AG595" s="126">
        <f t="shared" ca="1" si="346"/>
        <v>0</v>
      </c>
      <c r="AH595" s="126">
        <f t="shared" ca="1" si="347"/>
        <v>0</v>
      </c>
      <c r="AI595" s="126">
        <f t="shared" ca="1" si="348"/>
        <v>0</v>
      </c>
      <c r="AJ595" t="str">
        <f t="shared" ca="1" si="349"/>
        <v>12073</v>
      </c>
      <c r="AK595" s="126">
        <f t="shared" ca="1" si="366"/>
        <v>0</v>
      </c>
      <c r="AL595" s="126">
        <f t="shared" ca="1" si="367"/>
        <v>0</v>
      </c>
      <c r="AM595" s="126">
        <f t="shared" ca="1" si="380"/>
        <v>0</v>
      </c>
      <c r="AN595" s="753">
        <f t="shared" ca="1" si="381"/>
        <v>0</v>
      </c>
      <c r="AO595" s="750">
        <f t="shared" ca="1" si="368"/>
        <v>0</v>
      </c>
      <c r="AP595" s="126">
        <f t="shared" ca="1" si="369"/>
        <v>0</v>
      </c>
      <c r="AQ595" s="126">
        <f t="shared" ca="1" si="370"/>
        <v>0</v>
      </c>
      <c r="AR595" s="126">
        <f t="shared" ca="1" si="350"/>
        <v>10000</v>
      </c>
      <c r="AS595" s="750">
        <f t="shared" ca="1" si="351"/>
        <v>0</v>
      </c>
      <c r="AT595" s="750">
        <f t="shared" ca="1" si="352"/>
        <v>0</v>
      </c>
      <c r="AU595" s="126">
        <f t="shared" ca="1" si="371"/>
        <v>0</v>
      </c>
      <c r="AV595" s="126">
        <f t="shared" ca="1" si="372"/>
        <v>0</v>
      </c>
      <c r="AW595" s="126">
        <f t="shared" ca="1" si="353"/>
        <v>10000</v>
      </c>
      <c r="AX595" s="750">
        <f t="shared" ca="1" si="373"/>
        <v>0</v>
      </c>
      <c r="AY595" s="750">
        <f t="shared" ca="1" si="374"/>
        <v>0</v>
      </c>
      <c r="AZ595">
        <f t="shared" si="375"/>
        <v>5750</v>
      </c>
    </row>
    <row r="596" spans="4:52">
      <c r="D596">
        <v>589</v>
      </c>
      <c r="E596" s="6">
        <f t="shared" ca="1" si="354"/>
        <v>34851</v>
      </c>
      <c r="F596" s="7">
        <f t="shared" ca="1" si="355"/>
        <v>0</v>
      </c>
      <c r="G596" s="125">
        <f ca="1">IF('Simulador - 1º Pilar'!$E$99="Sí",IF('Aportaciones PPE'!$B$13&lt;'Aportaciones PPE'!E596,0,F596*$B$8/12),F596*$B$8/12)</f>
        <v>0</v>
      </c>
      <c r="H596" s="125">
        <f t="shared" ca="1" si="344"/>
        <v>0</v>
      </c>
      <c r="I596" s="125">
        <f t="shared" ca="1" si="356"/>
        <v>0</v>
      </c>
      <c r="J596" s="125">
        <f t="shared" ca="1" si="357"/>
        <v>0</v>
      </c>
      <c r="K596" s="125">
        <f t="shared" ca="1" si="358"/>
        <v>0</v>
      </c>
      <c r="L596" s="125">
        <f t="shared" ca="1" si="376"/>
        <v>0</v>
      </c>
      <c r="M596" s="125">
        <f t="shared" ca="1" si="359"/>
        <v>0</v>
      </c>
      <c r="N596" s="125">
        <f t="shared" ca="1" si="360"/>
        <v>0</v>
      </c>
      <c r="R596">
        <f t="shared" si="377"/>
        <v>589</v>
      </c>
      <c r="U596" s="55"/>
      <c r="V596">
        <f t="shared" si="378"/>
        <v>2</v>
      </c>
      <c r="W596">
        <f t="shared" ca="1" si="379"/>
        <v>2073</v>
      </c>
      <c r="X596" s="123">
        <f t="shared" ca="1" si="361"/>
        <v>63221</v>
      </c>
      <c r="Y596" s="64">
        <f t="shared" ca="1" si="362"/>
        <v>0</v>
      </c>
      <c r="Z596" s="64">
        <f t="shared" ca="1" si="363"/>
        <v>0</v>
      </c>
      <c r="AA596" s="64">
        <f t="shared" ca="1" si="364"/>
        <v>0</v>
      </c>
      <c r="AB596" s="64">
        <f t="shared" ca="1" si="365"/>
        <v>0</v>
      </c>
      <c r="AF596" t="str">
        <f t="shared" ca="1" si="345"/>
        <v>61995</v>
      </c>
      <c r="AG596" s="126">
        <f t="shared" ca="1" si="346"/>
        <v>0</v>
      </c>
      <c r="AH596" s="126">
        <f t="shared" ca="1" si="347"/>
        <v>0</v>
      </c>
      <c r="AI596" s="126">
        <f t="shared" ca="1" si="348"/>
        <v>0</v>
      </c>
      <c r="AJ596" t="str">
        <f t="shared" ca="1" si="349"/>
        <v>22073</v>
      </c>
      <c r="AK596" s="126">
        <f t="shared" ca="1" si="366"/>
        <v>0</v>
      </c>
      <c r="AL596" s="126">
        <f t="shared" ca="1" si="367"/>
        <v>0</v>
      </c>
      <c r="AM596" s="126">
        <f t="shared" ca="1" si="380"/>
        <v>0</v>
      </c>
      <c r="AN596" s="753">
        <f t="shared" ca="1" si="381"/>
        <v>0</v>
      </c>
      <c r="AO596" s="750">
        <f t="shared" ca="1" si="368"/>
        <v>0</v>
      </c>
      <c r="AP596" s="126">
        <f t="shared" ca="1" si="369"/>
        <v>0</v>
      </c>
      <c r="AQ596" s="126">
        <f t="shared" ca="1" si="370"/>
        <v>0</v>
      </c>
      <c r="AR596" s="126">
        <f t="shared" ca="1" si="350"/>
        <v>10000</v>
      </c>
      <c r="AS596" s="750">
        <f t="shared" ca="1" si="351"/>
        <v>0</v>
      </c>
      <c r="AT596" s="750">
        <f t="shared" ca="1" si="352"/>
        <v>0</v>
      </c>
      <c r="AU596" s="126">
        <f t="shared" ca="1" si="371"/>
        <v>0</v>
      </c>
      <c r="AV596" s="126">
        <f t="shared" ca="1" si="372"/>
        <v>0</v>
      </c>
      <c r="AW596" s="126">
        <f t="shared" ca="1" si="353"/>
        <v>10000</v>
      </c>
      <c r="AX596" s="750">
        <f t="shared" ca="1" si="373"/>
        <v>0</v>
      </c>
      <c r="AY596" s="750">
        <f t="shared" ca="1" si="374"/>
        <v>0</v>
      </c>
      <c r="AZ596">
        <f t="shared" si="375"/>
        <v>5750</v>
      </c>
    </row>
    <row r="597" spans="4:52">
      <c r="D597">
        <v>590</v>
      </c>
      <c r="E597" s="6">
        <f t="shared" ca="1" si="354"/>
        <v>34820</v>
      </c>
      <c r="F597" s="7">
        <f t="shared" ca="1" si="355"/>
        <v>0</v>
      </c>
      <c r="G597" s="125">
        <f ca="1">IF('Simulador - 1º Pilar'!$E$99="Sí",IF('Aportaciones PPE'!$B$13&lt;'Aportaciones PPE'!E597,0,F597*$B$8/12),F597*$B$8/12)</f>
        <v>0</v>
      </c>
      <c r="H597" s="125">
        <f t="shared" ca="1" si="344"/>
        <v>0</v>
      </c>
      <c r="I597" s="125">
        <f t="shared" ca="1" si="356"/>
        <v>0</v>
      </c>
      <c r="J597" s="125">
        <f t="shared" ca="1" si="357"/>
        <v>0</v>
      </c>
      <c r="K597" s="125">
        <f t="shared" ca="1" si="358"/>
        <v>0</v>
      </c>
      <c r="L597" s="125">
        <f t="shared" ca="1" si="376"/>
        <v>0</v>
      </c>
      <c r="M597" s="125">
        <f t="shared" ca="1" si="359"/>
        <v>0</v>
      </c>
      <c r="N597" s="125">
        <f t="shared" ca="1" si="360"/>
        <v>0</v>
      </c>
      <c r="R597">
        <f t="shared" si="377"/>
        <v>590</v>
      </c>
      <c r="U597" s="55"/>
      <c r="V597">
        <f t="shared" si="378"/>
        <v>3</v>
      </c>
      <c r="W597">
        <f t="shared" ca="1" si="379"/>
        <v>2073</v>
      </c>
      <c r="X597" s="123">
        <f t="shared" ca="1" si="361"/>
        <v>63249</v>
      </c>
      <c r="Y597" s="64">
        <f t="shared" ca="1" si="362"/>
        <v>0</v>
      </c>
      <c r="Z597" s="64">
        <f t="shared" ca="1" si="363"/>
        <v>0</v>
      </c>
      <c r="AA597" s="64">
        <f t="shared" ca="1" si="364"/>
        <v>0</v>
      </c>
      <c r="AB597" s="64">
        <f t="shared" ca="1" si="365"/>
        <v>0</v>
      </c>
      <c r="AF597" t="str">
        <f t="shared" ca="1" si="345"/>
        <v>51995</v>
      </c>
      <c r="AG597" s="126">
        <f t="shared" ca="1" si="346"/>
        <v>0</v>
      </c>
      <c r="AH597" s="126">
        <f t="shared" ca="1" si="347"/>
        <v>0</v>
      </c>
      <c r="AI597" s="126">
        <f t="shared" ca="1" si="348"/>
        <v>0</v>
      </c>
      <c r="AJ597" t="str">
        <f t="shared" ca="1" si="349"/>
        <v>32073</v>
      </c>
      <c r="AK597" s="126">
        <f t="shared" ca="1" si="366"/>
        <v>0</v>
      </c>
      <c r="AL597" s="126">
        <f t="shared" ca="1" si="367"/>
        <v>0</v>
      </c>
      <c r="AM597" s="126">
        <f t="shared" ca="1" si="380"/>
        <v>0</v>
      </c>
      <c r="AN597" s="753">
        <f t="shared" ca="1" si="381"/>
        <v>0</v>
      </c>
      <c r="AO597" s="750">
        <f t="shared" ca="1" si="368"/>
        <v>0</v>
      </c>
      <c r="AP597" s="126">
        <f t="shared" ca="1" si="369"/>
        <v>0</v>
      </c>
      <c r="AQ597" s="126">
        <f t="shared" ca="1" si="370"/>
        <v>0</v>
      </c>
      <c r="AR597" s="126">
        <f t="shared" ca="1" si="350"/>
        <v>10000</v>
      </c>
      <c r="AS597" s="750">
        <f t="shared" ca="1" si="351"/>
        <v>0</v>
      </c>
      <c r="AT597" s="750">
        <f t="shared" ca="1" si="352"/>
        <v>0</v>
      </c>
      <c r="AU597" s="126">
        <f t="shared" ca="1" si="371"/>
        <v>0</v>
      </c>
      <c r="AV597" s="126">
        <f t="shared" ca="1" si="372"/>
        <v>0</v>
      </c>
      <c r="AW597" s="126">
        <f t="shared" ca="1" si="353"/>
        <v>10000</v>
      </c>
      <c r="AX597" s="750">
        <f t="shared" ca="1" si="373"/>
        <v>0</v>
      </c>
      <c r="AY597" s="750">
        <f t="shared" ca="1" si="374"/>
        <v>0</v>
      </c>
      <c r="AZ597">
        <f t="shared" si="375"/>
        <v>5750</v>
      </c>
    </row>
    <row r="598" spans="4:52">
      <c r="D598">
        <v>591</v>
      </c>
      <c r="E598" s="6">
        <f t="shared" ca="1" si="354"/>
        <v>34790</v>
      </c>
      <c r="F598" s="7">
        <f t="shared" ca="1" si="355"/>
        <v>0</v>
      </c>
      <c r="G598" s="125">
        <f ca="1">IF('Simulador - 1º Pilar'!$E$99="Sí",IF('Aportaciones PPE'!$B$13&lt;'Aportaciones PPE'!E598,0,F598*$B$8/12),F598*$B$8/12)</f>
        <v>0</v>
      </c>
      <c r="H598" s="125">
        <f t="shared" ca="1" si="344"/>
        <v>0</v>
      </c>
      <c r="I598" s="125">
        <f t="shared" ca="1" si="356"/>
        <v>0</v>
      </c>
      <c r="J598" s="125">
        <f t="shared" ca="1" si="357"/>
        <v>0</v>
      </c>
      <c r="K598" s="125">
        <f t="shared" ca="1" si="358"/>
        <v>0</v>
      </c>
      <c r="L598" s="125">
        <f t="shared" ca="1" si="376"/>
        <v>0</v>
      </c>
      <c r="M598" s="125">
        <f t="shared" ca="1" si="359"/>
        <v>0</v>
      </c>
      <c r="N598" s="125">
        <f t="shared" ca="1" si="360"/>
        <v>0</v>
      </c>
      <c r="R598">
        <f t="shared" si="377"/>
        <v>591</v>
      </c>
      <c r="U598" s="55"/>
      <c r="V598">
        <f t="shared" si="378"/>
        <v>4</v>
      </c>
      <c r="W598">
        <f t="shared" ca="1" si="379"/>
        <v>2073</v>
      </c>
      <c r="X598" s="123">
        <f t="shared" ca="1" si="361"/>
        <v>63280</v>
      </c>
      <c r="Y598" s="64">
        <f t="shared" ca="1" si="362"/>
        <v>0</v>
      </c>
      <c r="Z598" s="64">
        <f t="shared" ca="1" si="363"/>
        <v>0</v>
      </c>
      <c r="AA598" s="64">
        <f t="shared" ca="1" si="364"/>
        <v>0</v>
      </c>
      <c r="AB598" s="64">
        <f t="shared" ca="1" si="365"/>
        <v>0</v>
      </c>
      <c r="AF598" t="str">
        <f t="shared" ca="1" si="345"/>
        <v>41995</v>
      </c>
      <c r="AG598" s="126">
        <f t="shared" ca="1" si="346"/>
        <v>0</v>
      </c>
      <c r="AH598" s="126">
        <f t="shared" ca="1" si="347"/>
        <v>0</v>
      </c>
      <c r="AI598" s="126">
        <f t="shared" ca="1" si="348"/>
        <v>0</v>
      </c>
      <c r="AJ598" t="str">
        <f t="shared" ca="1" si="349"/>
        <v>42073</v>
      </c>
      <c r="AK598" s="126">
        <f t="shared" ca="1" si="366"/>
        <v>0</v>
      </c>
      <c r="AL598" s="126">
        <f t="shared" ca="1" si="367"/>
        <v>0</v>
      </c>
      <c r="AM598" s="126">
        <f t="shared" ca="1" si="380"/>
        <v>0</v>
      </c>
      <c r="AN598" s="753">
        <f t="shared" ca="1" si="381"/>
        <v>0</v>
      </c>
      <c r="AO598" s="750">
        <f t="shared" ca="1" si="368"/>
        <v>0</v>
      </c>
      <c r="AP598" s="126">
        <f t="shared" ca="1" si="369"/>
        <v>0</v>
      </c>
      <c r="AQ598" s="126">
        <f t="shared" ca="1" si="370"/>
        <v>0</v>
      </c>
      <c r="AR598" s="126">
        <f t="shared" ca="1" si="350"/>
        <v>10000</v>
      </c>
      <c r="AS598" s="750">
        <f t="shared" ca="1" si="351"/>
        <v>0</v>
      </c>
      <c r="AT598" s="750">
        <f t="shared" ca="1" si="352"/>
        <v>0</v>
      </c>
      <c r="AU598" s="126">
        <f t="shared" ca="1" si="371"/>
        <v>0</v>
      </c>
      <c r="AV598" s="126">
        <f t="shared" ca="1" si="372"/>
        <v>0</v>
      </c>
      <c r="AW598" s="126">
        <f t="shared" ca="1" si="353"/>
        <v>10000</v>
      </c>
      <c r="AX598" s="750">
        <f t="shared" ca="1" si="373"/>
        <v>0</v>
      </c>
      <c r="AY598" s="750">
        <f t="shared" ca="1" si="374"/>
        <v>0</v>
      </c>
      <c r="AZ598">
        <f t="shared" si="375"/>
        <v>5750</v>
      </c>
    </row>
    <row r="599" spans="4:52">
      <c r="D599">
        <v>592</v>
      </c>
      <c r="E599" s="6">
        <f t="shared" ca="1" si="354"/>
        <v>34759</v>
      </c>
      <c r="F599" s="7">
        <f t="shared" ca="1" si="355"/>
        <v>0</v>
      </c>
      <c r="G599" s="125">
        <f ca="1">IF('Simulador - 1º Pilar'!$E$99="Sí",IF('Aportaciones PPE'!$B$13&lt;'Aportaciones PPE'!E599,0,F599*$B$8/12),F599*$B$8/12)</f>
        <v>0</v>
      </c>
      <c r="H599" s="125">
        <f t="shared" ca="1" si="344"/>
        <v>0</v>
      </c>
      <c r="I599" s="125">
        <f t="shared" ca="1" si="356"/>
        <v>0</v>
      </c>
      <c r="J599" s="125">
        <f t="shared" ca="1" si="357"/>
        <v>0</v>
      </c>
      <c r="K599" s="125">
        <f t="shared" ca="1" si="358"/>
        <v>0</v>
      </c>
      <c r="L599" s="125">
        <f t="shared" ca="1" si="376"/>
        <v>0</v>
      </c>
      <c r="M599" s="125">
        <f t="shared" ca="1" si="359"/>
        <v>0</v>
      </c>
      <c r="N599" s="125">
        <f t="shared" ca="1" si="360"/>
        <v>0</v>
      </c>
      <c r="R599">
        <f t="shared" si="377"/>
        <v>592</v>
      </c>
      <c r="U599" s="55"/>
      <c r="V599">
        <f t="shared" si="378"/>
        <v>5</v>
      </c>
      <c r="W599">
        <f t="shared" ca="1" si="379"/>
        <v>2073</v>
      </c>
      <c r="X599" s="123">
        <f t="shared" ca="1" si="361"/>
        <v>63310</v>
      </c>
      <c r="Y599" s="64">
        <f t="shared" ca="1" si="362"/>
        <v>0</v>
      </c>
      <c r="Z599" s="64">
        <f t="shared" ca="1" si="363"/>
        <v>0</v>
      </c>
      <c r="AA599" s="64">
        <f t="shared" ca="1" si="364"/>
        <v>0</v>
      </c>
      <c r="AB599" s="64">
        <f t="shared" ca="1" si="365"/>
        <v>0</v>
      </c>
      <c r="AF599" t="str">
        <f t="shared" ca="1" si="345"/>
        <v>31995</v>
      </c>
      <c r="AG599" s="126">
        <f t="shared" ca="1" si="346"/>
        <v>0</v>
      </c>
      <c r="AH599" s="126">
        <f t="shared" ca="1" si="347"/>
        <v>0</v>
      </c>
      <c r="AI599" s="126">
        <f t="shared" ca="1" si="348"/>
        <v>0</v>
      </c>
      <c r="AJ599" t="str">
        <f t="shared" ca="1" si="349"/>
        <v>52073</v>
      </c>
      <c r="AK599" s="126">
        <f t="shared" ca="1" si="366"/>
        <v>0</v>
      </c>
      <c r="AL599" s="126">
        <f t="shared" ca="1" si="367"/>
        <v>0</v>
      </c>
      <c r="AM599" s="126">
        <f t="shared" ca="1" si="380"/>
        <v>0</v>
      </c>
      <c r="AN599" s="753">
        <f t="shared" ca="1" si="381"/>
        <v>0</v>
      </c>
      <c r="AO599" s="750">
        <f t="shared" ca="1" si="368"/>
        <v>0</v>
      </c>
      <c r="AP599" s="126">
        <f t="shared" ca="1" si="369"/>
        <v>0</v>
      </c>
      <c r="AQ599" s="126">
        <f t="shared" ca="1" si="370"/>
        <v>0</v>
      </c>
      <c r="AR599" s="126">
        <f t="shared" ca="1" si="350"/>
        <v>10000</v>
      </c>
      <c r="AS599" s="750">
        <f t="shared" ca="1" si="351"/>
        <v>0</v>
      </c>
      <c r="AT599" s="750">
        <f t="shared" ca="1" si="352"/>
        <v>0</v>
      </c>
      <c r="AU599" s="126">
        <f t="shared" ca="1" si="371"/>
        <v>0</v>
      </c>
      <c r="AV599" s="126">
        <f t="shared" ca="1" si="372"/>
        <v>0</v>
      </c>
      <c r="AW599" s="126">
        <f t="shared" ca="1" si="353"/>
        <v>10000</v>
      </c>
      <c r="AX599" s="750">
        <f t="shared" ca="1" si="373"/>
        <v>0</v>
      </c>
      <c r="AY599" s="750">
        <f t="shared" ca="1" si="374"/>
        <v>0</v>
      </c>
      <c r="AZ599">
        <f t="shared" si="375"/>
        <v>5750</v>
      </c>
    </row>
    <row r="600" spans="4:52">
      <c r="D600">
        <v>593</v>
      </c>
      <c r="E600" s="6">
        <f t="shared" ca="1" si="354"/>
        <v>34731</v>
      </c>
      <c r="F600" s="7">
        <f t="shared" ca="1" si="355"/>
        <v>0</v>
      </c>
      <c r="G600" s="125">
        <f ca="1">IF('Simulador - 1º Pilar'!$E$99="Sí",IF('Aportaciones PPE'!$B$13&lt;'Aportaciones PPE'!E600,0,F600*$B$8/12),F600*$B$8/12)</f>
        <v>0</v>
      </c>
      <c r="H600" s="125">
        <f t="shared" ca="1" si="344"/>
        <v>0</v>
      </c>
      <c r="I600" s="125">
        <f t="shared" ca="1" si="356"/>
        <v>0</v>
      </c>
      <c r="J600" s="125">
        <f t="shared" ca="1" si="357"/>
        <v>0</v>
      </c>
      <c r="K600" s="125">
        <f t="shared" ca="1" si="358"/>
        <v>0</v>
      </c>
      <c r="L600" s="125">
        <f t="shared" ca="1" si="376"/>
        <v>0</v>
      </c>
      <c r="M600" s="125">
        <f t="shared" ca="1" si="359"/>
        <v>0</v>
      </c>
      <c r="N600" s="125">
        <f t="shared" ca="1" si="360"/>
        <v>0</v>
      </c>
      <c r="R600">
        <f t="shared" si="377"/>
        <v>593</v>
      </c>
      <c r="U600" s="55"/>
      <c r="V600">
        <f t="shared" si="378"/>
        <v>6</v>
      </c>
      <c r="W600">
        <f t="shared" ca="1" si="379"/>
        <v>2073</v>
      </c>
      <c r="X600" s="123">
        <f t="shared" ca="1" si="361"/>
        <v>63341</v>
      </c>
      <c r="Y600" s="64">
        <f t="shared" ca="1" si="362"/>
        <v>0</v>
      </c>
      <c r="Z600" s="64">
        <f t="shared" ca="1" si="363"/>
        <v>0</v>
      </c>
      <c r="AA600" s="64">
        <f t="shared" ca="1" si="364"/>
        <v>0</v>
      </c>
      <c r="AB600" s="64">
        <f t="shared" ca="1" si="365"/>
        <v>0</v>
      </c>
      <c r="AF600" t="str">
        <f t="shared" ca="1" si="345"/>
        <v>21995</v>
      </c>
      <c r="AG600" s="126">
        <f t="shared" ca="1" si="346"/>
        <v>0</v>
      </c>
      <c r="AH600" s="126">
        <f t="shared" ca="1" si="347"/>
        <v>0</v>
      </c>
      <c r="AI600" s="126">
        <f t="shared" ca="1" si="348"/>
        <v>0</v>
      </c>
      <c r="AJ600" t="str">
        <f t="shared" ca="1" si="349"/>
        <v>62073</v>
      </c>
      <c r="AK600" s="126">
        <f t="shared" ca="1" si="366"/>
        <v>0</v>
      </c>
      <c r="AL600" s="126">
        <f t="shared" ca="1" si="367"/>
        <v>0</v>
      </c>
      <c r="AM600" s="126">
        <f t="shared" ca="1" si="380"/>
        <v>0</v>
      </c>
      <c r="AN600" s="753">
        <f t="shared" ca="1" si="381"/>
        <v>0</v>
      </c>
      <c r="AO600" s="750">
        <f t="shared" ca="1" si="368"/>
        <v>0</v>
      </c>
      <c r="AP600" s="126">
        <f t="shared" ca="1" si="369"/>
        <v>0</v>
      </c>
      <c r="AQ600" s="126">
        <f t="shared" ca="1" si="370"/>
        <v>0</v>
      </c>
      <c r="AR600" s="126">
        <f t="shared" ca="1" si="350"/>
        <v>10000</v>
      </c>
      <c r="AS600" s="750">
        <f t="shared" ca="1" si="351"/>
        <v>0</v>
      </c>
      <c r="AT600" s="750">
        <f t="shared" ca="1" si="352"/>
        <v>0</v>
      </c>
      <c r="AU600" s="126">
        <f t="shared" ca="1" si="371"/>
        <v>0</v>
      </c>
      <c r="AV600" s="126">
        <f t="shared" ca="1" si="372"/>
        <v>0</v>
      </c>
      <c r="AW600" s="126">
        <f t="shared" ca="1" si="353"/>
        <v>10000</v>
      </c>
      <c r="AX600" s="750">
        <f t="shared" ca="1" si="373"/>
        <v>0</v>
      </c>
      <c r="AY600" s="750">
        <f t="shared" ca="1" si="374"/>
        <v>0</v>
      </c>
      <c r="AZ600">
        <f t="shared" si="375"/>
        <v>5750</v>
      </c>
    </row>
    <row r="601" spans="4:52">
      <c r="D601">
        <v>594</v>
      </c>
      <c r="E601" s="6">
        <f t="shared" ca="1" si="354"/>
        <v>34700</v>
      </c>
      <c r="F601" s="7">
        <f t="shared" ca="1" si="355"/>
        <v>0</v>
      </c>
      <c r="G601" s="125">
        <f ca="1">IF('Simulador - 1º Pilar'!$E$99="Sí",IF('Aportaciones PPE'!$B$13&lt;'Aportaciones PPE'!E601,0,F601*$B$8/12),F601*$B$8/12)</f>
        <v>0</v>
      </c>
      <c r="H601" s="125">
        <f t="shared" ca="1" si="344"/>
        <v>0</v>
      </c>
      <c r="I601" s="125">
        <f t="shared" ca="1" si="356"/>
        <v>0</v>
      </c>
      <c r="J601" s="125">
        <f t="shared" ca="1" si="357"/>
        <v>0</v>
      </c>
      <c r="K601" s="125">
        <f t="shared" ca="1" si="358"/>
        <v>0</v>
      </c>
      <c r="L601" s="125">
        <f t="shared" ca="1" si="376"/>
        <v>0</v>
      </c>
      <c r="M601" s="125">
        <f t="shared" ca="1" si="359"/>
        <v>0</v>
      </c>
      <c r="N601" s="125">
        <f t="shared" ca="1" si="360"/>
        <v>0</v>
      </c>
      <c r="R601">
        <f t="shared" si="377"/>
        <v>594</v>
      </c>
      <c r="U601" s="55"/>
      <c r="V601">
        <f t="shared" si="378"/>
        <v>7</v>
      </c>
      <c r="W601">
        <f t="shared" ca="1" si="379"/>
        <v>2073</v>
      </c>
      <c r="X601" s="123">
        <f t="shared" ca="1" si="361"/>
        <v>63371</v>
      </c>
      <c r="Y601" s="64">
        <f t="shared" ca="1" si="362"/>
        <v>0</v>
      </c>
      <c r="Z601" s="64">
        <f t="shared" ca="1" si="363"/>
        <v>0</v>
      </c>
      <c r="AA601" s="64">
        <f t="shared" ca="1" si="364"/>
        <v>0</v>
      </c>
      <c r="AB601" s="64">
        <f t="shared" ca="1" si="365"/>
        <v>0</v>
      </c>
      <c r="AF601" t="str">
        <f t="shared" ca="1" si="345"/>
        <v>11995</v>
      </c>
      <c r="AG601" s="126">
        <f t="shared" ca="1" si="346"/>
        <v>0</v>
      </c>
      <c r="AH601" s="126">
        <f t="shared" ca="1" si="347"/>
        <v>0</v>
      </c>
      <c r="AI601" s="126">
        <f t="shared" ca="1" si="348"/>
        <v>0</v>
      </c>
      <c r="AJ601" t="str">
        <f t="shared" ca="1" si="349"/>
        <v>72073</v>
      </c>
      <c r="AK601" s="126">
        <f t="shared" ca="1" si="366"/>
        <v>0</v>
      </c>
      <c r="AL601" s="126">
        <f t="shared" ca="1" si="367"/>
        <v>0</v>
      </c>
      <c r="AM601" s="126">
        <f t="shared" ca="1" si="380"/>
        <v>0</v>
      </c>
      <c r="AN601" s="753">
        <f t="shared" ca="1" si="381"/>
        <v>0</v>
      </c>
      <c r="AO601" s="750">
        <f t="shared" ca="1" si="368"/>
        <v>0</v>
      </c>
      <c r="AP601" s="126">
        <f t="shared" ca="1" si="369"/>
        <v>0</v>
      </c>
      <c r="AQ601" s="126">
        <f t="shared" ca="1" si="370"/>
        <v>0</v>
      </c>
      <c r="AR601" s="126">
        <f t="shared" ca="1" si="350"/>
        <v>10000</v>
      </c>
      <c r="AS601" s="750">
        <f t="shared" ca="1" si="351"/>
        <v>0</v>
      </c>
      <c r="AT601" s="750">
        <f t="shared" ca="1" si="352"/>
        <v>0</v>
      </c>
      <c r="AU601" s="126">
        <f t="shared" ca="1" si="371"/>
        <v>0</v>
      </c>
      <c r="AV601" s="126">
        <f t="shared" ca="1" si="372"/>
        <v>0</v>
      </c>
      <c r="AW601" s="126">
        <f t="shared" ca="1" si="353"/>
        <v>10000</v>
      </c>
      <c r="AX601" s="750">
        <f t="shared" ca="1" si="373"/>
        <v>0</v>
      </c>
      <c r="AY601" s="750">
        <f t="shared" ca="1" si="374"/>
        <v>0</v>
      </c>
      <c r="AZ601">
        <f t="shared" si="375"/>
        <v>5750</v>
      </c>
    </row>
    <row r="602" spans="4:52">
      <c r="D602">
        <v>595</v>
      </c>
      <c r="E602" s="6">
        <f t="shared" ca="1" si="354"/>
        <v>34669</v>
      </c>
      <c r="F602" s="7">
        <f t="shared" ca="1" si="355"/>
        <v>0</v>
      </c>
      <c r="G602" s="125">
        <f ca="1">IF('Simulador - 1º Pilar'!$E$99="Sí",IF('Aportaciones PPE'!$B$13&lt;'Aportaciones PPE'!E602,0,F602*$B$8/12),F602*$B$8/12)</f>
        <v>0</v>
      </c>
      <c r="H602" s="125">
        <f t="shared" ca="1" si="344"/>
        <v>0</v>
      </c>
      <c r="I602" s="125">
        <f t="shared" ca="1" si="356"/>
        <v>0</v>
      </c>
      <c r="J602" s="125">
        <f t="shared" ca="1" si="357"/>
        <v>0</v>
      </c>
      <c r="K602" s="125">
        <f t="shared" ca="1" si="358"/>
        <v>0</v>
      </c>
      <c r="L602" s="125">
        <f t="shared" ca="1" si="376"/>
        <v>0</v>
      </c>
      <c r="M602" s="125">
        <f t="shared" ca="1" si="359"/>
        <v>0</v>
      </c>
      <c r="N602" s="125">
        <f t="shared" ca="1" si="360"/>
        <v>0</v>
      </c>
      <c r="R602">
        <f t="shared" si="377"/>
        <v>595</v>
      </c>
      <c r="U602" s="55"/>
      <c r="V602">
        <f t="shared" si="378"/>
        <v>8</v>
      </c>
      <c r="W602">
        <f t="shared" ca="1" si="379"/>
        <v>2073</v>
      </c>
      <c r="X602" s="123">
        <f t="shared" ca="1" si="361"/>
        <v>63402</v>
      </c>
      <c r="Y602" s="64">
        <f t="shared" ca="1" si="362"/>
        <v>0</v>
      </c>
      <c r="Z602" s="64">
        <f t="shared" ca="1" si="363"/>
        <v>0</v>
      </c>
      <c r="AA602" s="64">
        <f t="shared" ca="1" si="364"/>
        <v>0</v>
      </c>
      <c r="AB602" s="64">
        <f t="shared" ca="1" si="365"/>
        <v>0</v>
      </c>
      <c r="AF602" t="str">
        <f t="shared" ca="1" si="345"/>
        <v>121994</v>
      </c>
      <c r="AG602" s="126">
        <f t="shared" ca="1" si="346"/>
        <v>0</v>
      </c>
      <c r="AH602" s="126">
        <f t="shared" ca="1" si="347"/>
        <v>0</v>
      </c>
      <c r="AI602" s="126">
        <f t="shared" ca="1" si="348"/>
        <v>0</v>
      </c>
      <c r="AJ602" t="str">
        <f t="shared" ca="1" si="349"/>
        <v>82073</v>
      </c>
      <c r="AK602" s="126">
        <f t="shared" ca="1" si="366"/>
        <v>0</v>
      </c>
      <c r="AL602" s="126">
        <f t="shared" ca="1" si="367"/>
        <v>0</v>
      </c>
      <c r="AM602" s="126">
        <f t="shared" ca="1" si="380"/>
        <v>0</v>
      </c>
      <c r="AN602" s="753">
        <f t="shared" ca="1" si="381"/>
        <v>0</v>
      </c>
      <c r="AO602" s="750">
        <f t="shared" ca="1" si="368"/>
        <v>0</v>
      </c>
      <c r="AP602" s="126">
        <f t="shared" ca="1" si="369"/>
        <v>0</v>
      </c>
      <c r="AQ602" s="126">
        <f t="shared" ca="1" si="370"/>
        <v>0</v>
      </c>
      <c r="AR602" s="126">
        <f t="shared" ca="1" si="350"/>
        <v>10000</v>
      </c>
      <c r="AS602" s="750">
        <f t="shared" ca="1" si="351"/>
        <v>0</v>
      </c>
      <c r="AT602" s="750">
        <f t="shared" ca="1" si="352"/>
        <v>0</v>
      </c>
      <c r="AU602" s="126">
        <f t="shared" ca="1" si="371"/>
        <v>0</v>
      </c>
      <c r="AV602" s="126">
        <f t="shared" ca="1" si="372"/>
        <v>0</v>
      </c>
      <c r="AW602" s="126">
        <f t="shared" ca="1" si="353"/>
        <v>10000</v>
      </c>
      <c r="AX602" s="750">
        <f t="shared" ca="1" si="373"/>
        <v>0</v>
      </c>
      <c r="AY602" s="750">
        <f t="shared" ca="1" si="374"/>
        <v>0</v>
      </c>
      <c r="AZ602">
        <f t="shared" si="375"/>
        <v>5750</v>
      </c>
    </row>
    <row r="603" spans="4:52">
      <c r="D603">
        <v>596</v>
      </c>
      <c r="E603" s="6">
        <f t="shared" ca="1" si="354"/>
        <v>34639</v>
      </c>
      <c r="F603" s="7">
        <f t="shared" ca="1" si="355"/>
        <v>0</v>
      </c>
      <c r="G603" s="125">
        <f ca="1">IF('Simulador - 1º Pilar'!$E$99="Sí",IF('Aportaciones PPE'!$B$13&lt;'Aportaciones PPE'!E603,0,F603*$B$8/12),F603*$B$8/12)</f>
        <v>0</v>
      </c>
      <c r="H603" s="125">
        <f t="shared" ca="1" si="344"/>
        <v>0</v>
      </c>
      <c r="I603" s="125">
        <f t="shared" ca="1" si="356"/>
        <v>0</v>
      </c>
      <c r="J603" s="125">
        <f t="shared" ca="1" si="357"/>
        <v>0</v>
      </c>
      <c r="K603" s="125">
        <f t="shared" ca="1" si="358"/>
        <v>0</v>
      </c>
      <c r="L603" s="125">
        <f t="shared" ca="1" si="376"/>
        <v>0</v>
      </c>
      <c r="M603" s="125">
        <f t="shared" ca="1" si="359"/>
        <v>0</v>
      </c>
      <c r="N603" s="125">
        <f t="shared" ca="1" si="360"/>
        <v>0</v>
      </c>
      <c r="R603">
        <f t="shared" si="377"/>
        <v>596</v>
      </c>
      <c r="U603" s="55"/>
      <c r="V603">
        <f t="shared" si="378"/>
        <v>9</v>
      </c>
      <c r="W603">
        <f t="shared" ca="1" si="379"/>
        <v>2073</v>
      </c>
      <c r="X603" s="123">
        <f t="shared" ca="1" si="361"/>
        <v>63433</v>
      </c>
      <c r="Y603" s="64">
        <f t="shared" ca="1" si="362"/>
        <v>0</v>
      </c>
      <c r="Z603" s="64">
        <f t="shared" ca="1" si="363"/>
        <v>0</v>
      </c>
      <c r="AA603" s="64">
        <f t="shared" ca="1" si="364"/>
        <v>0</v>
      </c>
      <c r="AB603" s="64">
        <f t="shared" ca="1" si="365"/>
        <v>0</v>
      </c>
      <c r="AF603" t="str">
        <f t="shared" ca="1" si="345"/>
        <v>111994</v>
      </c>
      <c r="AG603" s="126">
        <f t="shared" ca="1" si="346"/>
        <v>0</v>
      </c>
      <c r="AH603" s="126">
        <f t="shared" ca="1" si="347"/>
        <v>0</v>
      </c>
      <c r="AI603" s="126">
        <f t="shared" ca="1" si="348"/>
        <v>0</v>
      </c>
      <c r="AJ603" t="str">
        <f t="shared" ca="1" si="349"/>
        <v>92073</v>
      </c>
      <c r="AK603" s="126">
        <f t="shared" ca="1" si="366"/>
        <v>0</v>
      </c>
      <c r="AL603" s="126">
        <f t="shared" ca="1" si="367"/>
        <v>0</v>
      </c>
      <c r="AM603" s="126">
        <f t="shared" ca="1" si="380"/>
        <v>0</v>
      </c>
      <c r="AN603" s="753">
        <f t="shared" ca="1" si="381"/>
        <v>0</v>
      </c>
      <c r="AO603" s="750">
        <f t="shared" ca="1" si="368"/>
        <v>0</v>
      </c>
      <c r="AP603" s="126">
        <f t="shared" ca="1" si="369"/>
        <v>0</v>
      </c>
      <c r="AQ603" s="126">
        <f t="shared" ca="1" si="370"/>
        <v>0</v>
      </c>
      <c r="AR603" s="126">
        <f t="shared" ca="1" si="350"/>
        <v>10000</v>
      </c>
      <c r="AS603" s="750">
        <f t="shared" ca="1" si="351"/>
        <v>0</v>
      </c>
      <c r="AT603" s="750">
        <f t="shared" ca="1" si="352"/>
        <v>0</v>
      </c>
      <c r="AU603" s="126">
        <f t="shared" ca="1" si="371"/>
        <v>0</v>
      </c>
      <c r="AV603" s="126">
        <f t="shared" ca="1" si="372"/>
        <v>0</v>
      </c>
      <c r="AW603" s="126">
        <f t="shared" ca="1" si="353"/>
        <v>10000</v>
      </c>
      <c r="AX603" s="750">
        <f t="shared" ca="1" si="373"/>
        <v>0</v>
      </c>
      <c r="AY603" s="750">
        <f t="shared" ca="1" si="374"/>
        <v>0</v>
      </c>
      <c r="AZ603">
        <f t="shared" si="375"/>
        <v>5750</v>
      </c>
    </row>
    <row r="604" spans="4:52">
      <c r="D604">
        <v>597</v>
      </c>
      <c r="E604" s="6">
        <f t="shared" ca="1" si="354"/>
        <v>34608</v>
      </c>
      <c r="F604" s="7">
        <f t="shared" ca="1" si="355"/>
        <v>0</v>
      </c>
      <c r="G604" s="125">
        <f ca="1">IF('Simulador - 1º Pilar'!$E$99="Sí",IF('Aportaciones PPE'!$B$13&lt;'Aportaciones PPE'!E604,0,F604*$B$8/12),F604*$B$8/12)</f>
        <v>0</v>
      </c>
      <c r="H604" s="125">
        <f t="shared" ca="1" si="344"/>
        <v>0</v>
      </c>
      <c r="I604" s="125">
        <f t="shared" ca="1" si="356"/>
        <v>0</v>
      </c>
      <c r="J604" s="125">
        <f t="shared" ca="1" si="357"/>
        <v>0</v>
      </c>
      <c r="K604" s="125">
        <f t="shared" ca="1" si="358"/>
        <v>0</v>
      </c>
      <c r="L604" s="125">
        <f t="shared" ca="1" si="376"/>
        <v>0</v>
      </c>
      <c r="M604" s="125">
        <f t="shared" ca="1" si="359"/>
        <v>0</v>
      </c>
      <c r="N604" s="125">
        <f t="shared" ca="1" si="360"/>
        <v>0</v>
      </c>
      <c r="R604">
        <f t="shared" si="377"/>
        <v>597</v>
      </c>
      <c r="U604" s="55"/>
      <c r="V604">
        <f t="shared" si="378"/>
        <v>10</v>
      </c>
      <c r="W604">
        <f t="shared" ca="1" si="379"/>
        <v>2073</v>
      </c>
      <c r="X604" s="123">
        <f t="shared" ca="1" si="361"/>
        <v>63463</v>
      </c>
      <c r="Y604" s="64">
        <f t="shared" ca="1" si="362"/>
        <v>0</v>
      </c>
      <c r="Z604" s="64">
        <f t="shared" ca="1" si="363"/>
        <v>0</v>
      </c>
      <c r="AA604" s="64">
        <f t="shared" ca="1" si="364"/>
        <v>0</v>
      </c>
      <c r="AB604" s="64">
        <f t="shared" ca="1" si="365"/>
        <v>0</v>
      </c>
      <c r="AF604" t="str">
        <f t="shared" ca="1" si="345"/>
        <v>101994</v>
      </c>
      <c r="AG604" s="126">
        <f t="shared" ca="1" si="346"/>
        <v>0</v>
      </c>
      <c r="AH604" s="126">
        <f t="shared" ca="1" si="347"/>
        <v>0</v>
      </c>
      <c r="AI604" s="126">
        <f t="shared" ca="1" si="348"/>
        <v>0</v>
      </c>
      <c r="AJ604" t="str">
        <f t="shared" ca="1" si="349"/>
        <v>102073</v>
      </c>
      <c r="AK604" s="126">
        <f t="shared" ca="1" si="366"/>
        <v>0</v>
      </c>
      <c r="AL604" s="126">
        <f t="shared" ca="1" si="367"/>
        <v>0</v>
      </c>
      <c r="AM604" s="126">
        <f t="shared" ca="1" si="380"/>
        <v>0</v>
      </c>
      <c r="AN604" s="753">
        <f t="shared" ca="1" si="381"/>
        <v>0</v>
      </c>
      <c r="AO604" s="750">
        <f t="shared" ca="1" si="368"/>
        <v>0</v>
      </c>
      <c r="AP604" s="126">
        <f t="shared" ca="1" si="369"/>
        <v>0</v>
      </c>
      <c r="AQ604" s="126">
        <f t="shared" ca="1" si="370"/>
        <v>0</v>
      </c>
      <c r="AR604" s="126">
        <f t="shared" ca="1" si="350"/>
        <v>10000</v>
      </c>
      <c r="AS604" s="750">
        <f t="shared" ca="1" si="351"/>
        <v>0</v>
      </c>
      <c r="AT604" s="750">
        <f t="shared" ca="1" si="352"/>
        <v>0</v>
      </c>
      <c r="AU604" s="126">
        <f t="shared" ca="1" si="371"/>
        <v>0</v>
      </c>
      <c r="AV604" s="126">
        <f t="shared" ca="1" si="372"/>
        <v>0</v>
      </c>
      <c r="AW604" s="126">
        <f t="shared" ca="1" si="353"/>
        <v>10000</v>
      </c>
      <c r="AX604" s="750">
        <f t="shared" ca="1" si="373"/>
        <v>0</v>
      </c>
      <c r="AY604" s="750">
        <f t="shared" ca="1" si="374"/>
        <v>0</v>
      </c>
      <c r="AZ604">
        <f t="shared" si="375"/>
        <v>5750</v>
      </c>
    </row>
    <row r="605" spans="4:52">
      <c r="D605">
        <v>598</v>
      </c>
      <c r="E605" s="6">
        <f t="shared" ca="1" si="354"/>
        <v>34578</v>
      </c>
      <c r="F605" s="7">
        <f t="shared" ca="1" si="355"/>
        <v>0</v>
      </c>
      <c r="G605" s="125">
        <f ca="1">IF('Simulador - 1º Pilar'!$E$99="Sí",IF('Aportaciones PPE'!$B$13&lt;'Aportaciones PPE'!E605,0,F605*$B$8/12),F605*$B$8/12)</f>
        <v>0</v>
      </c>
      <c r="H605" s="125">
        <f t="shared" ca="1" si="344"/>
        <v>0</v>
      </c>
      <c r="I605" s="125">
        <f t="shared" ca="1" si="356"/>
        <v>0</v>
      </c>
      <c r="J605" s="125">
        <f t="shared" ca="1" si="357"/>
        <v>0</v>
      </c>
      <c r="K605" s="125">
        <f t="shared" ca="1" si="358"/>
        <v>0</v>
      </c>
      <c r="L605" s="125">
        <f t="shared" ca="1" si="376"/>
        <v>0</v>
      </c>
      <c r="M605" s="125">
        <f t="shared" ca="1" si="359"/>
        <v>0</v>
      </c>
      <c r="N605" s="125">
        <f t="shared" ca="1" si="360"/>
        <v>0</v>
      </c>
      <c r="R605">
        <f t="shared" si="377"/>
        <v>598</v>
      </c>
      <c r="U605" s="55"/>
      <c r="V605">
        <f t="shared" si="378"/>
        <v>11</v>
      </c>
      <c r="W605">
        <f t="shared" ca="1" si="379"/>
        <v>2073</v>
      </c>
      <c r="X605" s="123">
        <f t="shared" ca="1" si="361"/>
        <v>63494</v>
      </c>
      <c r="Y605" s="64">
        <f t="shared" ca="1" si="362"/>
        <v>0</v>
      </c>
      <c r="Z605" s="64">
        <f t="shared" ca="1" si="363"/>
        <v>0</v>
      </c>
      <c r="AA605" s="64">
        <f t="shared" ca="1" si="364"/>
        <v>0</v>
      </c>
      <c r="AB605" s="64">
        <f t="shared" ca="1" si="365"/>
        <v>0</v>
      </c>
      <c r="AF605" t="str">
        <f t="shared" ca="1" si="345"/>
        <v>91994</v>
      </c>
      <c r="AG605" s="126">
        <f t="shared" ca="1" si="346"/>
        <v>0</v>
      </c>
      <c r="AH605" s="126">
        <f t="shared" ca="1" si="347"/>
        <v>0</v>
      </c>
      <c r="AI605" s="126">
        <f t="shared" ca="1" si="348"/>
        <v>0</v>
      </c>
      <c r="AJ605" t="str">
        <f t="shared" ca="1" si="349"/>
        <v>112073</v>
      </c>
      <c r="AK605" s="126">
        <f t="shared" ca="1" si="366"/>
        <v>0</v>
      </c>
      <c r="AL605" s="126">
        <f t="shared" ca="1" si="367"/>
        <v>0</v>
      </c>
      <c r="AM605" s="126">
        <f t="shared" ca="1" si="380"/>
        <v>0</v>
      </c>
      <c r="AN605" s="753">
        <f t="shared" ca="1" si="381"/>
        <v>0</v>
      </c>
      <c r="AO605" s="750">
        <f t="shared" ca="1" si="368"/>
        <v>0</v>
      </c>
      <c r="AP605" s="126">
        <f t="shared" ca="1" si="369"/>
        <v>0</v>
      </c>
      <c r="AQ605" s="126">
        <f t="shared" ca="1" si="370"/>
        <v>0</v>
      </c>
      <c r="AR605" s="126">
        <f t="shared" ca="1" si="350"/>
        <v>10000</v>
      </c>
      <c r="AS605" s="750">
        <f t="shared" ca="1" si="351"/>
        <v>0</v>
      </c>
      <c r="AT605" s="750">
        <f t="shared" ca="1" si="352"/>
        <v>0</v>
      </c>
      <c r="AU605" s="126">
        <f t="shared" ca="1" si="371"/>
        <v>0</v>
      </c>
      <c r="AV605" s="126">
        <f t="shared" ca="1" si="372"/>
        <v>0</v>
      </c>
      <c r="AW605" s="126">
        <f t="shared" ca="1" si="353"/>
        <v>10000</v>
      </c>
      <c r="AX605" s="750">
        <f t="shared" ca="1" si="373"/>
        <v>0</v>
      </c>
      <c r="AY605" s="750">
        <f t="shared" ca="1" si="374"/>
        <v>0</v>
      </c>
      <c r="AZ605">
        <f t="shared" si="375"/>
        <v>5750</v>
      </c>
    </row>
    <row r="606" spans="4:52">
      <c r="D606">
        <v>599</v>
      </c>
      <c r="E606" s="6">
        <f t="shared" ca="1" si="354"/>
        <v>34547</v>
      </c>
      <c r="F606" s="7">
        <f t="shared" ca="1" si="355"/>
        <v>0</v>
      </c>
      <c r="G606" s="125">
        <f ca="1">IF('Simulador - 1º Pilar'!$E$99="Sí",IF('Aportaciones PPE'!$B$13&lt;'Aportaciones PPE'!E606,0,F606*$B$8/12),F606*$B$8/12)</f>
        <v>0</v>
      </c>
      <c r="H606" s="125">
        <f t="shared" ca="1" si="344"/>
        <v>0</v>
      </c>
      <c r="I606" s="125">
        <f t="shared" ca="1" si="356"/>
        <v>0</v>
      </c>
      <c r="J606" s="125">
        <f t="shared" ca="1" si="357"/>
        <v>0</v>
      </c>
      <c r="K606" s="125">
        <f t="shared" ca="1" si="358"/>
        <v>0</v>
      </c>
      <c r="L606" s="125">
        <f t="shared" ca="1" si="376"/>
        <v>0</v>
      </c>
      <c r="M606" s="125">
        <f t="shared" ca="1" si="359"/>
        <v>0</v>
      </c>
      <c r="N606" s="125">
        <f t="shared" ca="1" si="360"/>
        <v>0</v>
      </c>
      <c r="R606">
        <f t="shared" si="377"/>
        <v>599</v>
      </c>
      <c r="U606" s="55"/>
      <c r="V606">
        <f t="shared" si="378"/>
        <v>12</v>
      </c>
      <c r="W606">
        <f t="shared" ca="1" si="379"/>
        <v>2073</v>
      </c>
      <c r="X606" s="123">
        <f t="shared" ca="1" si="361"/>
        <v>63524</v>
      </c>
      <c r="Y606" s="64">
        <f t="shared" ca="1" si="362"/>
        <v>0</v>
      </c>
      <c r="Z606" s="64">
        <f t="shared" ca="1" si="363"/>
        <v>0</v>
      </c>
      <c r="AA606" s="64">
        <f t="shared" ca="1" si="364"/>
        <v>0</v>
      </c>
      <c r="AB606" s="64">
        <f t="shared" ca="1" si="365"/>
        <v>0</v>
      </c>
      <c r="AF606" t="str">
        <f t="shared" ca="1" si="345"/>
        <v>81994</v>
      </c>
      <c r="AG606" s="126">
        <f t="shared" ca="1" si="346"/>
        <v>0</v>
      </c>
      <c r="AH606" s="126">
        <f t="shared" ca="1" si="347"/>
        <v>0</v>
      </c>
      <c r="AI606" s="126">
        <f t="shared" ca="1" si="348"/>
        <v>0</v>
      </c>
      <c r="AJ606" t="str">
        <f t="shared" ca="1" si="349"/>
        <v>122073</v>
      </c>
      <c r="AK606" s="126">
        <f t="shared" ca="1" si="366"/>
        <v>0</v>
      </c>
      <c r="AL606" s="126">
        <f t="shared" ca="1" si="367"/>
        <v>0</v>
      </c>
      <c r="AM606" s="126">
        <f t="shared" ca="1" si="380"/>
        <v>0</v>
      </c>
      <c r="AN606" s="753">
        <f t="shared" ca="1" si="381"/>
        <v>0</v>
      </c>
      <c r="AO606" s="750">
        <f t="shared" ca="1" si="368"/>
        <v>0</v>
      </c>
      <c r="AP606" s="126">
        <f t="shared" ca="1" si="369"/>
        <v>0</v>
      </c>
      <c r="AQ606" s="126">
        <f t="shared" ca="1" si="370"/>
        <v>0</v>
      </c>
      <c r="AR606" s="126">
        <f t="shared" ca="1" si="350"/>
        <v>10000</v>
      </c>
      <c r="AS606" s="750">
        <f t="shared" ca="1" si="351"/>
        <v>0</v>
      </c>
      <c r="AT606" s="750">
        <f t="shared" ca="1" si="352"/>
        <v>0</v>
      </c>
      <c r="AU606" s="126">
        <f t="shared" ca="1" si="371"/>
        <v>0</v>
      </c>
      <c r="AV606" s="126">
        <f t="shared" ca="1" si="372"/>
        <v>0</v>
      </c>
      <c r="AW606" s="126">
        <f t="shared" ca="1" si="353"/>
        <v>10000</v>
      </c>
      <c r="AX606" s="750">
        <f t="shared" ca="1" si="373"/>
        <v>0</v>
      </c>
      <c r="AY606" s="750">
        <f t="shared" ca="1" si="374"/>
        <v>0</v>
      </c>
      <c r="AZ606">
        <f t="shared" si="375"/>
        <v>5750</v>
      </c>
    </row>
    <row r="607" spans="4:52">
      <c r="D607">
        <v>600</v>
      </c>
      <c r="E607" s="6">
        <f t="shared" ca="1" si="354"/>
        <v>34516</v>
      </c>
      <c r="F607" s="7">
        <f t="shared" ca="1" si="355"/>
        <v>0</v>
      </c>
      <c r="G607" s="125">
        <f ca="1">IF('Simulador - 1º Pilar'!$E$99="Sí",IF('Aportaciones PPE'!$B$13&lt;'Aportaciones PPE'!E607,0,F607*$B$8/12),F607*$B$8/12)</f>
        <v>0</v>
      </c>
      <c r="H607" s="125">
        <f t="shared" ca="1" si="344"/>
        <v>0</v>
      </c>
      <c r="I607" s="125">
        <f t="shared" ca="1" si="356"/>
        <v>0</v>
      </c>
      <c r="J607" s="125">
        <f t="shared" ca="1" si="357"/>
        <v>0</v>
      </c>
      <c r="K607" s="125">
        <f t="shared" ca="1" si="358"/>
        <v>0</v>
      </c>
      <c r="L607" s="125">
        <f t="shared" ca="1" si="376"/>
        <v>0</v>
      </c>
      <c r="M607" s="125">
        <f t="shared" ca="1" si="359"/>
        <v>0</v>
      </c>
      <c r="N607" s="125">
        <f t="shared" ca="1" si="360"/>
        <v>0</v>
      </c>
      <c r="R607">
        <f t="shared" si="377"/>
        <v>600</v>
      </c>
      <c r="U607" s="55"/>
      <c r="V607">
        <f t="shared" si="378"/>
        <v>1</v>
      </c>
      <c r="W607">
        <f t="shared" ca="1" si="379"/>
        <v>2074</v>
      </c>
      <c r="X607" s="123">
        <f t="shared" ca="1" si="361"/>
        <v>63555</v>
      </c>
      <c r="Y607" s="64">
        <f t="shared" ca="1" si="362"/>
        <v>0</v>
      </c>
      <c r="Z607" s="64">
        <f t="shared" ca="1" si="363"/>
        <v>0</v>
      </c>
      <c r="AA607" s="64">
        <f t="shared" ca="1" si="364"/>
        <v>0</v>
      </c>
      <c r="AB607" s="64">
        <f t="shared" ca="1" si="365"/>
        <v>0</v>
      </c>
      <c r="AF607" t="str">
        <f t="shared" ca="1" si="345"/>
        <v>71994</v>
      </c>
      <c r="AG607" s="126">
        <f t="shared" ca="1" si="346"/>
        <v>0</v>
      </c>
      <c r="AH607" s="126">
        <f t="shared" ca="1" si="347"/>
        <v>0</v>
      </c>
      <c r="AI607" s="126">
        <f t="shared" ca="1" si="348"/>
        <v>0</v>
      </c>
      <c r="AJ607" t="str">
        <f t="shared" ca="1" si="349"/>
        <v>12074</v>
      </c>
      <c r="AK607" s="126">
        <f t="shared" ca="1" si="366"/>
        <v>0</v>
      </c>
      <c r="AL607" s="126">
        <f t="shared" ca="1" si="367"/>
        <v>0</v>
      </c>
      <c r="AM607" s="126">
        <f t="shared" ca="1" si="380"/>
        <v>0</v>
      </c>
      <c r="AN607" s="753">
        <f t="shared" ca="1" si="381"/>
        <v>0</v>
      </c>
      <c r="AO607" s="750">
        <f t="shared" ca="1" si="368"/>
        <v>0</v>
      </c>
      <c r="AP607" s="126">
        <f t="shared" ca="1" si="369"/>
        <v>0</v>
      </c>
      <c r="AQ607" s="126">
        <f t="shared" ca="1" si="370"/>
        <v>0</v>
      </c>
      <c r="AR607" s="126">
        <f t="shared" ca="1" si="350"/>
        <v>10000</v>
      </c>
      <c r="AS607" s="750">
        <f t="shared" ca="1" si="351"/>
        <v>0</v>
      </c>
      <c r="AT607" s="750">
        <f t="shared" ca="1" si="352"/>
        <v>0</v>
      </c>
      <c r="AU607" s="126">
        <f t="shared" ca="1" si="371"/>
        <v>0</v>
      </c>
      <c r="AV607" s="126">
        <f t="shared" ca="1" si="372"/>
        <v>0</v>
      </c>
      <c r="AW607" s="126">
        <f t="shared" ca="1" si="353"/>
        <v>10000</v>
      </c>
      <c r="AX607" s="750">
        <f t="shared" ca="1" si="373"/>
        <v>0</v>
      </c>
      <c r="AY607" s="750">
        <f t="shared" ca="1" si="374"/>
        <v>0</v>
      </c>
      <c r="AZ607">
        <f t="shared" si="375"/>
        <v>5750</v>
      </c>
    </row>
    <row r="608" spans="4:52">
      <c r="D608">
        <v>601</v>
      </c>
      <c r="E608" s="6">
        <f t="shared" ca="1" si="354"/>
        <v>34486</v>
      </c>
      <c r="F608" s="7">
        <f t="shared" ca="1" si="355"/>
        <v>0</v>
      </c>
      <c r="G608" s="125">
        <f ca="1">IF('Simulador - 1º Pilar'!$E$99="Sí",IF('Aportaciones PPE'!$B$13&lt;'Aportaciones PPE'!E608,0,F608*$B$8/12),F608*$B$8/12)</f>
        <v>0</v>
      </c>
      <c r="H608" s="125">
        <f t="shared" ca="1" si="344"/>
        <v>0</v>
      </c>
      <c r="I608" s="125">
        <f t="shared" ca="1" si="356"/>
        <v>0</v>
      </c>
      <c r="J608" s="125">
        <f t="shared" ca="1" si="357"/>
        <v>0</v>
      </c>
      <c r="K608" s="125">
        <f t="shared" ca="1" si="358"/>
        <v>0</v>
      </c>
      <c r="L608" s="125">
        <f t="shared" ca="1" si="376"/>
        <v>0</v>
      </c>
      <c r="M608" s="125">
        <f t="shared" ca="1" si="359"/>
        <v>0</v>
      </c>
      <c r="N608" s="125">
        <f t="shared" ca="1" si="360"/>
        <v>0</v>
      </c>
      <c r="R608">
        <f t="shared" si="377"/>
        <v>601</v>
      </c>
      <c r="U608" s="55"/>
      <c r="V608">
        <f t="shared" si="378"/>
        <v>2</v>
      </c>
      <c r="W608">
        <f t="shared" ca="1" si="379"/>
        <v>2074</v>
      </c>
      <c r="X608" s="123">
        <f t="shared" ca="1" si="361"/>
        <v>63586</v>
      </c>
      <c r="Y608" s="64">
        <f t="shared" ca="1" si="362"/>
        <v>0</v>
      </c>
      <c r="Z608" s="64">
        <f t="shared" ca="1" si="363"/>
        <v>0</v>
      </c>
      <c r="AA608" s="64">
        <f t="shared" ca="1" si="364"/>
        <v>0</v>
      </c>
      <c r="AB608" s="64">
        <f t="shared" ca="1" si="365"/>
        <v>0</v>
      </c>
      <c r="AF608" t="str">
        <f t="shared" ca="1" si="345"/>
        <v>61994</v>
      </c>
      <c r="AG608" s="126">
        <f t="shared" ca="1" si="346"/>
        <v>0</v>
      </c>
      <c r="AH608" s="126">
        <f t="shared" ca="1" si="347"/>
        <v>0</v>
      </c>
      <c r="AI608" s="126">
        <f t="shared" ca="1" si="348"/>
        <v>0</v>
      </c>
      <c r="AJ608" t="str">
        <f t="shared" ca="1" si="349"/>
        <v>22074</v>
      </c>
      <c r="AK608" s="126">
        <f t="shared" ca="1" si="366"/>
        <v>0</v>
      </c>
      <c r="AL608" s="126">
        <f t="shared" ca="1" si="367"/>
        <v>0</v>
      </c>
      <c r="AM608" s="126">
        <f t="shared" ca="1" si="380"/>
        <v>0</v>
      </c>
      <c r="AN608" s="753">
        <f t="shared" ca="1" si="381"/>
        <v>0</v>
      </c>
      <c r="AO608" s="750">
        <f t="shared" ca="1" si="368"/>
        <v>0</v>
      </c>
      <c r="AP608" s="126">
        <f t="shared" ca="1" si="369"/>
        <v>0</v>
      </c>
      <c r="AQ608" s="126">
        <f t="shared" ca="1" si="370"/>
        <v>0</v>
      </c>
      <c r="AR608" s="126">
        <f t="shared" ca="1" si="350"/>
        <v>10000</v>
      </c>
      <c r="AS608" s="750">
        <f t="shared" ca="1" si="351"/>
        <v>0</v>
      </c>
      <c r="AT608" s="750">
        <f t="shared" ca="1" si="352"/>
        <v>0</v>
      </c>
      <c r="AU608" s="126">
        <f t="shared" ca="1" si="371"/>
        <v>0</v>
      </c>
      <c r="AV608" s="126">
        <f t="shared" ca="1" si="372"/>
        <v>0</v>
      </c>
      <c r="AW608" s="126">
        <f t="shared" ca="1" si="353"/>
        <v>10000</v>
      </c>
      <c r="AX608" s="750">
        <f t="shared" ca="1" si="373"/>
        <v>0</v>
      </c>
      <c r="AY608" s="750">
        <f t="shared" ca="1" si="374"/>
        <v>0</v>
      </c>
      <c r="AZ608">
        <f t="shared" si="375"/>
        <v>5750</v>
      </c>
    </row>
    <row r="609" spans="4:52">
      <c r="D609">
        <v>602</v>
      </c>
      <c r="E609" s="6">
        <f t="shared" ca="1" si="354"/>
        <v>34455</v>
      </c>
      <c r="F609" s="7">
        <f t="shared" ca="1" si="355"/>
        <v>0</v>
      </c>
      <c r="G609" s="125">
        <f ca="1">IF('Simulador - 1º Pilar'!$E$99="Sí",IF('Aportaciones PPE'!$B$13&lt;'Aportaciones PPE'!E609,0,F609*$B$8/12),F609*$B$8/12)</f>
        <v>0</v>
      </c>
      <c r="H609" s="125">
        <f t="shared" ca="1" si="344"/>
        <v>0</v>
      </c>
      <c r="I609" s="125">
        <f t="shared" ca="1" si="356"/>
        <v>0</v>
      </c>
      <c r="J609" s="125">
        <f t="shared" ca="1" si="357"/>
        <v>0</v>
      </c>
      <c r="K609" s="125">
        <f t="shared" ca="1" si="358"/>
        <v>0</v>
      </c>
      <c r="L609" s="125">
        <f t="shared" ca="1" si="376"/>
        <v>0</v>
      </c>
      <c r="M609" s="125">
        <f t="shared" ca="1" si="359"/>
        <v>0</v>
      </c>
      <c r="N609" s="125">
        <f t="shared" ca="1" si="360"/>
        <v>0</v>
      </c>
      <c r="R609">
        <f t="shared" si="377"/>
        <v>602</v>
      </c>
      <c r="U609" s="55"/>
      <c r="V609">
        <f t="shared" si="378"/>
        <v>3</v>
      </c>
      <c r="W609">
        <f t="shared" ca="1" si="379"/>
        <v>2074</v>
      </c>
      <c r="X609" s="123">
        <f t="shared" ca="1" si="361"/>
        <v>63614</v>
      </c>
      <c r="Y609" s="64">
        <f t="shared" ca="1" si="362"/>
        <v>0</v>
      </c>
      <c r="Z609" s="64">
        <f t="shared" ca="1" si="363"/>
        <v>0</v>
      </c>
      <c r="AA609" s="64">
        <f t="shared" ca="1" si="364"/>
        <v>0</v>
      </c>
      <c r="AB609" s="64">
        <f t="shared" ca="1" si="365"/>
        <v>0</v>
      </c>
      <c r="AF609" t="str">
        <f t="shared" ca="1" si="345"/>
        <v>51994</v>
      </c>
      <c r="AG609" s="126">
        <f t="shared" ca="1" si="346"/>
        <v>0</v>
      </c>
      <c r="AH609" s="126">
        <f t="shared" ca="1" si="347"/>
        <v>0</v>
      </c>
      <c r="AI609" s="126">
        <f t="shared" ca="1" si="348"/>
        <v>0</v>
      </c>
      <c r="AJ609" t="str">
        <f t="shared" ca="1" si="349"/>
        <v>32074</v>
      </c>
      <c r="AK609" s="126">
        <f t="shared" ca="1" si="366"/>
        <v>0</v>
      </c>
      <c r="AL609" s="126">
        <f t="shared" ca="1" si="367"/>
        <v>0</v>
      </c>
      <c r="AM609" s="126">
        <f t="shared" ca="1" si="380"/>
        <v>0</v>
      </c>
      <c r="AN609" s="753">
        <f t="shared" ca="1" si="381"/>
        <v>0</v>
      </c>
      <c r="AO609" s="750">
        <f t="shared" ca="1" si="368"/>
        <v>0</v>
      </c>
      <c r="AP609" s="126">
        <f t="shared" ca="1" si="369"/>
        <v>0</v>
      </c>
      <c r="AQ609" s="126">
        <f t="shared" ca="1" si="370"/>
        <v>0</v>
      </c>
      <c r="AR609" s="126">
        <f t="shared" ca="1" si="350"/>
        <v>10000</v>
      </c>
      <c r="AS609" s="750">
        <f t="shared" ca="1" si="351"/>
        <v>0</v>
      </c>
      <c r="AT609" s="750">
        <f t="shared" ca="1" si="352"/>
        <v>0</v>
      </c>
      <c r="AU609" s="126">
        <f t="shared" ca="1" si="371"/>
        <v>0</v>
      </c>
      <c r="AV609" s="126">
        <f t="shared" ca="1" si="372"/>
        <v>0</v>
      </c>
      <c r="AW609" s="126">
        <f t="shared" ca="1" si="353"/>
        <v>10000</v>
      </c>
      <c r="AX609" s="750">
        <f t="shared" ca="1" si="373"/>
        <v>0</v>
      </c>
      <c r="AY609" s="750">
        <f t="shared" ca="1" si="374"/>
        <v>0</v>
      </c>
      <c r="AZ609">
        <f t="shared" si="375"/>
        <v>5750</v>
      </c>
    </row>
    <row r="610" spans="4:52">
      <c r="D610">
        <v>603</v>
      </c>
      <c r="E610" s="6">
        <f t="shared" ca="1" si="354"/>
        <v>34425</v>
      </c>
      <c r="F610" s="7">
        <f t="shared" ca="1" si="355"/>
        <v>0</v>
      </c>
      <c r="G610" s="125">
        <f ca="1">IF('Simulador - 1º Pilar'!$E$99="Sí",IF('Aportaciones PPE'!$B$13&lt;'Aportaciones PPE'!E610,0,F610*$B$8/12),F610*$B$8/12)</f>
        <v>0</v>
      </c>
      <c r="H610" s="125">
        <f t="shared" ca="1" si="344"/>
        <v>0</v>
      </c>
      <c r="I610" s="125">
        <f t="shared" ca="1" si="356"/>
        <v>0</v>
      </c>
      <c r="J610" s="125">
        <f t="shared" ca="1" si="357"/>
        <v>0</v>
      </c>
      <c r="K610" s="125">
        <f t="shared" ca="1" si="358"/>
        <v>0</v>
      </c>
      <c r="L610" s="125">
        <f t="shared" ca="1" si="376"/>
        <v>0</v>
      </c>
      <c r="M610" s="125">
        <f t="shared" ca="1" si="359"/>
        <v>0</v>
      </c>
      <c r="N610" s="125">
        <f t="shared" ca="1" si="360"/>
        <v>0</v>
      </c>
      <c r="R610">
        <f t="shared" si="377"/>
        <v>603</v>
      </c>
      <c r="U610" s="55"/>
      <c r="V610">
        <f t="shared" si="378"/>
        <v>4</v>
      </c>
      <c r="W610">
        <f t="shared" ca="1" si="379"/>
        <v>2074</v>
      </c>
      <c r="X610" s="123">
        <f t="shared" ca="1" si="361"/>
        <v>63645</v>
      </c>
      <c r="Y610" s="64">
        <f t="shared" ca="1" si="362"/>
        <v>0</v>
      </c>
      <c r="Z610" s="64">
        <f t="shared" ca="1" si="363"/>
        <v>0</v>
      </c>
      <c r="AA610" s="64">
        <f t="shared" ca="1" si="364"/>
        <v>0</v>
      </c>
      <c r="AB610" s="64">
        <f t="shared" ca="1" si="365"/>
        <v>0</v>
      </c>
      <c r="AF610" t="str">
        <f t="shared" ca="1" si="345"/>
        <v>41994</v>
      </c>
      <c r="AG610" s="126">
        <f t="shared" ca="1" si="346"/>
        <v>0</v>
      </c>
      <c r="AH610" s="126">
        <f t="shared" ca="1" si="347"/>
        <v>0</v>
      </c>
      <c r="AI610" s="126">
        <f t="shared" ca="1" si="348"/>
        <v>0</v>
      </c>
      <c r="AJ610" t="str">
        <f t="shared" ca="1" si="349"/>
        <v>42074</v>
      </c>
      <c r="AK610" s="126">
        <f t="shared" ca="1" si="366"/>
        <v>0</v>
      </c>
      <c r="AL610" s="126">
        <f t="shared" ca="1" si="367"/>
        <v>0</v>
      </c>
      <c r="AM610" s="126">
        <f t="shared" ca="1" si="380"/>
        <v>0</v>
      </c>
      <c r="AN610" s="753">
        <f t="shared" ca="1" si="381"/>
        <v>0</v>
      </c>
      <c r="AO610" s="750">
        <f t="shared" ca="1" si="368"/>
        <v>0</v>
      </c>
      <c r="AP610" s="126">
        <f t="shared" ca="1" si="369"/>
        <v>0</v>
      </c>
      <c r="AQ610" s="126">
        <f t="shared" ca="1" si="370"/>
        <v>0</v>
      </c>
      <c r="AR610" s="126">
        <f t="shared" ca="1" si="350"/>
        <v>10000</v>
      </c>
      <c r="AS610" s="750">
        <f t="shared" ca="1" si="351"/>
        <v>0</v>
      </c>
      <c r="AT610" s="750">
        <f t="shared" ca="1" si="352"/>
        <v>0</v>
      </c>
      <c r="AU610" s="126">
        <f t="shared" ca="1" si="371"/>
        <v>0</v>
      </c>
      <c r="AV610" s="126">
        <f t="shared" ca="1" si="372"/>
        <v>0</v>
      </c>
      <c r="AW610" s="126">
        <f t="shared" ca="1" si="353"/>
        <v>10000</v>
      </c>
      <c r="AX610" s="750">
        <f t="shared" ca="1" si="373"/>
        <v>0</v>
      </c>
      <c r="AY610" s="750">
        <f t="shared" ca="1" si="374"/>
        <v>0</v>
      </c>
      <c r="AZ610">
        <f t="shared" si="375"/>
        <v>5750</v>
      </c>
    </row>
    <row r="611" spans="4:52">
      <c r="D611">
        <v>604</v>
      </c>
      <c r="E611" s="6">
        <f t="shared" ca="1" si="354"/>
        <v>34394</v>
      </c>
      <c r="F611" s="7">
        <f t="shared" ca="1" si="355"/>
        <v>0</v>
      </c>
      <c r="G611" s="125">
        <f ca="1">IF('Simulador - 1º Pilar'!$E$99="Sí",IF('Aportaciones PPE'!$B$13&lt;'Aportaciones PPE'!E611,0,F611*$B$8/12),F611*$B$8/12)</f>
        <v>0</v>
      </c>
      <c r="H611" s="125">
        <f t="shared" ca="1" si="344"/>
        <v>0</v>
      </c>
      <c r="I611" s="125">
        <f t="shared" ca="1" si="356"/>
        <v>0</v>
      </c>
      <c r="J611" s="125">
        <f t="shared" ca="1" si="357"/>
        <v>0</v>
      </c>
      <c r="K611" s="125">
        <f t="shared" ca="1" si="358"/>
        <v>0</v>
      </c>
      <c r="L611" s="125">
        <f t="shared" ca="1" si="376"/>
        <v>0</v>
      </c>
      <c r="M611" s="125">
        <f t="shared" ca="1" si="359"/>
        <v>0</v>
      </c>
      <c r="N611" s="125">
        <f t="shared" ca="1" si="360"/>
        <v>0</v>
      </c>
      <c r="R611">
        <f t="shared" si="377"/>
        <v>604</v>
      </c>
      <c r="U611" s="55"/>
      <c r="V611">
        <f t="shared" si="378"/>
        <v>5</v>
      </c>
      <c r="W611">
        <f t="shared" ca="1" si="379"/>
        <v>2074</v>
      </c>
      <c r="X611" s="123">
        <f t="shared" ca="1" si="361"/>
        <v>63675</v>
      </c>
      <c r="Y611" s="64">
        <f t="shared" ca="1" si="362"/>
        <v>0</v>
      </c>
      <c r="Z611" s="64">
        <f t="shared" ca="1" si="363"/>
        <v>0</v>
      </c>
      <c r="AA611" s="64">
        <f t="shared" ca="1" si="364"/>
        <v>0</v>
      </c>
      <c r="AB611" s="64">
        <f t="shared" ca="1" si="365"/>
        <v>0</v>
      </c>
      <c r="AF611" t="str">
        <f t="shared" ca="1" si="345"/>
        <v>31994</v>
      </c>
      <c r="AG611" s="126">
        <f t="shared" ca="1" si="346"/>
        <v>0</v>
      </c>
      <c r="AH611" s="126">
        <f t="shared" ca="1" si="347"/>
        <v>0</v>
      </c>
      <c r="AI611" s="126">
        <f t="shared" ca="1" si="348"/>
        <v>0</v>
      </c>
      <c r="AJ611" t="str">
        <f t="shared" ca="1" si="349"/>
        <v>52074</v>
      </c>
      <c r="AK611" s="126">
        <f t="shared" ca="1" si="366"/>
        <v>0</v>
      </c>
      <c r="AL611" s="126">
        <f t="shared" ca="1" si="367"/>
        <v>0</v>
      </c>
      <c r="AM611" s="126">
        <f t="shared" ca="1" si="380"/>
        <v>0</v>
      </c>
      <c r="AN611" s="753">
        <f t="shared" ca="1" si="381"/>
        <v>0</v>
      </c>
      <c r="AO611" s="750">
        <f t="shared" ca="1" si="368"/>
        <v>0</v>
      </c>
      <c r="AP611" s="126">
        <f t="shared" ca="1" si="369"/>
        <v>0</v>
      </c>
      <c r="AQ611" s="126">
        <f t="shared" ca="1" si="370"/>
        <v>0</v>
      </c>
      <c r="AR611" s="126">
        <f t="shared" ca="1" si="350"/>
        <v>10000</v>
      </c>
      <c r="AS611" s="750">
        <f t="shared" ca="1" si="351"/>
        <v>0</v>
      </c>
      <c r="AT611" s="750">
        <f t="shared" ca="1" si="352"/>
        <v>0</v>
      </c>
      <c r="AU611" s="126">
        <f t="shared" ca="1" si="371"/>
        <v>0</v>
      </c>
      <c r="AV611" s="126">
        <f t="shared" ca="1" si="372"/>
        <v>0</v>
      </c>
      <c r="AW611" s="126">
        <f t="shared" ca="1" si="353"/>
        <v>10000</v>
      </c>
      <c r="AX611" s="750">
        <f t="shared" ca="1" si="373"/>
        <v>0</v>
      </c>
      <c r="AY611" s="750">
        <f t="shared" ca="1" si="374"/>
        <v>0</v>
      </c>
      <c r="AZ611">
        <f t="shared" si="375"/>
        <v>5750</v>
      </c>
    </row>
    <row r="612" spans="4:52">
      <c r="D612">
        <v>605</v>
      </c>
      <c r="E612" s="6">
        <f t="shared" ca="1" si="354"/>
        <v>34366</v>
      </c>
      <c r="F612" s="7">
        <f t="shared" ca="1" si="355"/>
        <v>0</v>
      </c>
      <c r="G612" s="125">
        <f ca="1">IF('Simulador - 1º Pilar'!$E$99="Sí",IF('Aportaciones PPE'!$B$13&lt;'Aportaciones PPE'!E612,0,F612*$B$8/12),F612*$B$8/12)</f>
        <v>0</v>
      </c>
      <c r="H612" s="125">
        <f t="shared" ca="1" si="344"/>
        <v>0</v>
      </c>
      <c r="I612" s="125">
        <f t="shared" ca="1" si="356"/>
        <v>0</v>
      </c>
      <c r="J612" s="125">
        <f t="shared" ca="1" si="357"/>
        <v>0</v>
      </c>
      <c r="K612" s="125">
        <f t="shared" ca="1" si="358"/>
        <v>0</v>
      </c>
      <c r="L612" s="125">
        <f t="shared" ca="1" si="376"/>
        <v>0</v>
      </c>
      <c r="M612" s="125">
        <f t="shared" ca="1" si="359"/>
        <v>0</v>
      </c>
      <c r="N612" s="125">
        <f t="shared" ca="1" si="360"/>
        <v>0</v>
      </c>
      <c r="R612">
        <f t="shared" si="377"/>
        <v>605</v>
      </c>
      <c r="U612" s="55"/>
      <c r="V612">
        <f t="shared" si="378"/>
        <v>6</v>
      </c>
      <c r="W612">
        <f t="shared" ca="1" si="379"/>
        <v>2074</v>
      </c>
      <c r="X612" s="123">
        <f t="shared" ca="1" si="361"/>
        <v>63706</v>
      </c>
      <c r="Y612" s="64">
        <f t="shared" ca="1" si="362"/>
        <v>0</v>
      </c>
      <c r="Z612" s="64">
        <f t="shared" ca="1" si="363"/>
        <v>0</v>
      </c>
      <c r="AA612" s="64">
        <f t="shared" ca="1" si="364"/>
        <v>0</v>
      </c>
      <c r="AB612" s="64">
        <f t="shared" ca="1" si="365"/>
        <v>0</v>
      </c>
      <c r="AF612" t="str">
        <f t="shared" ca="1" si="345"/>
        <v>21994</v>
      </c>
      <c r="AG612" s="126">
        <f t="shared" ca="1" si="346"/>
        <v>0</v>
      </c>
      <c r="AH612" s="126">
        <f t="shared" ca="1" si="347"/>
        <v>0</v>
      </c>
      <c r="AI612" s="126">
        <f t="shared" ca="1" si="348"/>
        <v>0</v>
      </c>
      <c r="AJ612" t="str">
        <f t="shared" ca="1" si="349"/>
        <v>62074</v>
      </c>
      <c r="AK612" s="126">
        <f t="shared" ca="1" si="366"/>
        <v>0</v>
      </c>
      <c r="AL612" s="126">
        <f t="shared" ca="1" si="367"/>
        <v>0</v>
      </c>
      <c r="AM612" s="126">
        <f t="shared" ca="1" si="380"/>
        <v>0</v>
      </c>
      <c r="AN612" s="753">
        <f t="shared" ca="1" si="381"/>
        <v>0</v>
      </c>
      <c r="AO612" s="750">
        <f t="shared" ca="1" si="368"/>
        <v>0</v>
      </c>
      <c r="AP612" s="126">
        <f t="shared" ca="1" si="369"/>
        <v>0</v>
      </c>
      <c r="AQ612" s="126">
        <f t="shared" ca="1" si="370"/>
        <v>0</v>
      </c>
      <c r="AR612" s="126">
        <f t="shared" ca="1" si="350"/>
        <v>10000</v>
      </c>
      <c r="AS612" s="750">
        <f t="shared" ca="1" si="351"/>
        <v>0</v>
      </c>
      <c r="AT612" s="750">
        <f t="shared" ca="1" si="352"/>
        <v>0</v>
      </c>
      <c r="AU612" s="126">
        <f t="shared" ca="1" si="371"/>
        <v>0</v>
      </c>
      <c r="AV612" s="126">
        <f t="shared" ca="1" si="372"/>
        <v>0</v>
      </c>
      <c r="AW612" s="126">
        <f t="shared" ca="1" si="353"/>
        <v>10000</v>
      </c>
      <c r="AX612" s="750">
        <f t="shared" ca="1" si="373"/>
        <v>0</v>
      </c>
      <c r="AY612" s="750">
        <f t="shared" ca="1" si="374"/>
        <v>0</v>
      </c>
      <c r="AZ612">
        <f t="shared" si="375"/>
        <v>5750</v>
      </c>
    </row>
    <row r="613" spans="4:52">
      <c r="D613">
        <v>606</v>
      </c>
      <c r="E613" s="6">
        <f t="shared" ca="1" si="354"/>
        <v>34335</v>
      </c>
      <c r="F613" s="7">
        <f t="shared" ca="1" si="355"/>
        <v>0</v>
      </c>
      <c r="G613" s="125">
        <f ca="1">IF('Simulador - 1º Pilar'!$E$99="Sí",IF('Aportaciones PPE'!$B$13&lt;'Aportaciones PPE'!E613,0,F613*$B$8/12),F613*$B$8/12)</f>
        <v>0</v>
      </c>
      <c r="H613" s="125">
        <f t="shared" ca="1" si="344"/>
        <v>0</v>
      </c>
      <c r="I613" s="125">
        <f t="shared" ca="1" si="356"/>
        <v>0</v>
      </c>
      <c r="J613" s="125">
        <f t="shared" ca="1" si="357"/>
        <v>0</v>
      </c>
      <c r="K613" s="125">
        <f t="shared" ca="1" si="358"/>
        <v>0</v>
      </c>
      <c r="L613" s="125">
        <f t="shared" ca="1" si="376"/>
        <v>0</v>
      </c>
      <c r="M613" s="125">
        <f t="shared" ca="1" si="359"/>
        <v>0</v>
      </c>
      <c r="N613" s="125">
        <f t="shared" ca="1" si="360"/>
        <v>0</v>
      </c>
      <c r="R613">
        <f t="shared" si="377"/>
        <v>606</v>
      </c>
      <c r="U613" s="55"/>
      <c r="V613">
        <f t="shared" si="378"/>
        <v>7</v>
      </c>
      <c r="W613">
        <f t="shared" ca="1" si="379"/>
        <v>2074</v>
      </c>
      <c r="X613" s="123">
        <f t="shared" ca="1" si="361"/>
        <v>63736</v>
      </c>
      <c r="Y613" s="64">
        <f t="shared" ca="1" si="362"/>
        <v>0</v>
      </c>
      <c r="Z613" s="64">
        <f t="shared" ca="1" si="363"/>
        <v>0</v>
      </c>
      <c r="AA613" s="64">
        <f t="shared" ca="1" si="364"/>
        <v>0</v>
      </c>
      <c r="AB613" s="64">
        <f t="shared" ca="1" si="365"/>
        <v>0</v>
      </c>
      <c r="AF613" t="str">
        <f t="shared" ca="1" si="345"/>
        <v>11994</v>
      </c>
      <c r="AG613" s="126">
        <f t="shared" ca="1" si="346"/>
        <v>0</v>
      </c>
      <c r="AH613" s="126">
        <f t="shared" ca="1" si="347"/>
        <v>0</v>
      </c>
      <c r="AI613" s="126">
        <f t="shared" ca="1" si="348"/>
        <v>0</v>
      </c>
      <c r="AJ613" t="str">
        <f t="shared" ca="1" si="349"/>
        <v>72074</v>
      </c>
      <c r="AK613" s="126">
        <f t="shared" ca="1" si="366"/>
        <v>0</v>
      </c>
      <c r="AL613" s="126">
        <f t="shared" ca="1" si="367"/>
        <v>0</v>
      </c>
      <c r="AM613" s="126">
        <f t="shared" ca="1" si="380"/>
        <v>0</v>
      </c>
      <c r="AN613" s="753">
        <f t="shared" ca="1" si="381"/>
        <v>0</v>
      </c>
      <c r="AO613" s="750">
        <f t="shared" ca="1" si="368"/>
        <v>0</v>
      </c>
      <c r="AP613" s="126">
        <f t="shared" ca="1" si="369"/>
        <v>0</v>
      </c>
      <c r="AQ613" s="126">
        <f t="shared" ca="1" si="370"/>
        <v>0</v>
      </c>
      <c r="AR613" s="126">
        <f t="shared" ca="1" si="350"/>
        <v>10000</v>
      </c>
      <c r="AS613" s="750">
        <f t="shared" ca="1" si="351"/>
        <v>0</v>
      </c>
      <c r="AT613" s="750">
        <f t="shared" ca="1" si="352"/>
        <v>0</v>
      </c>
      <c r="AU613" s="126">
        <f t="shared" ca="1" si="371"/>
        <v>0</v>
      </c>
      <c r="AV613" s="126">
        <f t="shared" ca="1" si="372"/>
        <v>0</v>
      </c>
      <c r="AW613" s="126">
        <f t="shared" ca="1" si="353"/>
        <v>10000</v>
      </c>
      <c r="AX613" s="750">
        <f t="shared" ca="1" si="373"/>
        <v>0</v>
      </c>
      <c r="AY613" s="750">
        <f t="shared" ca="1" si="374"/>
        <v>0</v>
      </c>
      <c r="AZ613">
        <f t="shared" si="375"/>
        <v>5750</v>
      </c>
    </row>
    <row r="614" spans="4:52">
      <c r="D614">
        <v>607</v>
      </c>
      <c r="E614" s="6">
        <f t="shared" ca="1" si="354"/>
        <v>34304</v>
      </c>
      <c r="F614" s="7">
        <f t="shared" ca="1" si="355"/>
        <v>0</v>
      </c>
      <c r="G614" s="125">
        <f ca="1">IF('Simulador - 1º Pilar'!$E$99="Sí",IF('Aportaciones PPE'!$B$13&lt;'Aportaciones PPE'!E614,0,F614*$B$8/12),F614*$B$8/12)</f>
        <v>0</v>
      </c>
      <c r="H614" s="125">
        <f t="shared" ca="1" si="344"/>
        <v>0</v>
      </c>
      <c r="I614" s="125">
        <f t="shared" ca="1" si="356"/>
        <v>0</v>
      </c>
      <c r="J614" s="125">
        <f t="shared" ca="1" si="357"/>
        <v>0</v>
      </c>
      <c r="K614" s="125">
        <f t="shared" ca="1" si="358"/>
        <v>0</v>
      </c>
      <c r="L614" s="125">
        <f t="shared" ca="1" si="376"/>
        <v>0</v>
      </c>
      <c r="M614" s="125">
        <f t="shared" ca="1" si="359"/>
        <v>0</v>
      </c>
      <c r="N614" s="125">
        <f t="shared" ca="1" si="360"/>
        <v>0</v>
      </c>
      <c r="R614">
        <f t="shared" si="377"/>
        <v>607</v>
      </c>
      <c r="U614" s="55"/>
      <c r="V614">
        <f t="shared" si="378"/>
        <v>8</v>
      </c>
      <c r="W614">
        <f t="shared" ca="1" si="379"/>
        <v>2074</v>
      </c>
      <c r="X614" s="123">
        <f t="shared" ca="1" si="361"/>
        <v>63767</v>
      </c>
      <c r="Y614" s="64">
        <f t="shared" ca="1" si="362"/>
        <v>0</v>
      </c>
      <c r="Z614" s="64">
        <f t="shared" ca="1" si="363"/>
        <v>0</v>
      </c>
      <c r="AA614" s="64">
        <f t="shared" ca="1" si="364"/>
        <v>0</v>
      </c>
      <c r="AB614" s="64">
        <f t="shared" ca="1" si="365"/>
        <v>0</v>
      </c>
      <c r="AF614" t="str">
        <f t="shared" ca="1" si="345"/>
        <v>121993</v>
      </c>
      <c r="AG614" s="126">
        <f t="shared" ca="1" si="346"/>
        <v>0</v>
      </c>
      <c r="AH614" s="126">
        <f t="shared" ca="1" si="347"/>
        <v>0</v>
      </c>
      <c r="AI614" s="126">
        <f t="shared" ca="1" si="348"/>
        <v>0</v>
      </c>
      <c r="AJ614" t="str">
        <f t="shared" ca="1" si="349"/>
        <v>82074</v>
      </c>
      <c r="AK614" s="126">
        <f t="shared" ca="1" si="366"/>
        <v>0</v>
      </c>
      <c r="AL614" s="126">
        <f t="shared" ca="1" si="367"/>
        <v>0</v>
      </c>
      <c r="AM614" s="126">
        <f t="shared" ca="1" si="380"/>
        <v>0</v>
      </c>
      <c r="AN614" s="753">
        <f t="shared" ca="1" si="381"/>
        <v>0</v>
      </c>
      <c r="AO614" s="750">
        <f t="shared" ca="1" si="368"/>
        <v>0</v>
      </c>
      <c r="AP614" s="126">
        <f t="shared" ca="1" si="369"/>
        <v>0</v>
      </c>
      <c r="AQ614" s="126">
        <f t="shared" ca="1" si="370"/>
        <v>0</v>
      </c>
      <c r="AR614" s="126">
        <f t="shared" ca="1" si="350"/>
        <v>10000</v>
      </c>
      <c r="AS614" s="750">
        <f t="shared" ca="1" si="351"/>
        <v>0</v>
      </c>
      <c r="AT614" s="750">
        <f t="shared" ca="1" si="352"/>
        <v>0</v>
      </c>
      <c r="AU614" s="126">
        <f t="shared" ca="1" si="371"/>
        <v>0</v>
      </c>
      <c r="AV614" s="126">
        <f t="shared" ca="1" si="372"/>
        <v>0</v>
      </c>
      <c r="AW614" s="126">
        <f t="shared" ca="1" si="353"/>
        <v>10000</v>
      </c>
      <c r="AX614" s="750">
        <f t="shared" ca="1" si="373"/>
        <v>0</v>
      </c>
      <c r="AY614" s="750">
        <f t="shared" ca="1" si="374"/>
        <v>0</v>
      </c>
      <c r="AZ614">
        <f t="shared" si="375"/>
        <v>5750</v>
      </c>
    </row>
    <row r="615" spans="4:52">
      <c r="D615">
        <v>608</v>
      </c>
      <c r="E615" s="6">
        <f t="shared" ca="1" si="354"/>
        <v>34274</v>
      </c>
      <c r="F615" s="7">
        <f t="shared" ca="1" si="355"/>
        <v>0</v>
      </c>
      <c r="G615" s="125">
        <f ca="1">IF('Simulador - 1º Pilar'!$E$99="Sí",IF('Aportaciones PPE'!$B$13&lt;'Aportaciones PPE'!E615,0,F615*$B$8/12),F615*$B$8/12)</f>
        <v>0</v>
      </c>
      <c r="H615" s="125">
        <f t="shared" ca="1" si="344"/>
        <v>0</v>
      </c>
      <c r="I615" s="125">
        <f t="shared" ca="1" si="356"/>
        <v>0</v>
      </c>
      <c r="J615" s="125">
        <f t="shared" ca="1" si="357"/>
        <v>0</v>
      </c>
      <c r="K615" s="125">
        <f t="shared" ca="1" si="358"/>
        <v>0</v>
      </c>
      <c r="L615" s="125">
        <f t="shared" ca="1" si="376"/>
        <v>0</v>
      </c>
      <c r="M615" s="125">
        <f t="shared" ca="1" si="359"/>
        <v>0</v>
      </c>
      <c r="N615" s="125">
        <f t="shared" ca="1" si="360"/>
        <v>0</v>
      </c>
      <c r="R615">
        <f t="shared" si="377"/>
        <v>608</v>
      </c>
      <c r="U615" s="55"/>
      <c r="V615">
        <f t="shared" si="378"/>
        <v>9</v>
      </c>
      <c r="W615">
        <f t="shared" ca="1" si="379"/>
        <v>2074</v>
      </c>
      <c r="X615" s="123">
        <f t="shared" ca="1" si="361"/>
        <v>63798</v>
      </c>
      <c r="Y615" s="64">
        <f t="shared" ca="1" si="362"/>
        <v>0</v>
      </c>
      <c r="Z615" s="64">
        <f t="shared" ca="1" si="363"/>
        <v>0</v>
      </c>
      <c r="AA615" s="64">
        <f t="shared" ca="1" si="364"/>
        <v>0</v>
      </c>
      <c r="AB615" s="64">
        <f t="shared" ca="1" si="365"/>
        <v>0</v>
      </c>
      <c r="AF615" t="str">
        <f t="shared" ca="1" si="345"/>
        <v>111993</v>
      </c>
      <c r="AG615" s="126">
        <f t="shared" ca="1" si="346"/>
        <v>0</v>
      </c>
      <c r="AH615" s="126">
        <f t="shared" ca="1" si="347"/>
        <v>0</v>
      </c>
      <c r="AI615" s="126">
        <f t="shared" ca="1" si="348"/>
        <v>0</v>
      </c>
      <c r="AJ615" t="str">
        <f t="shared" ca="1" si="349"/>
        <v>92074</v>
      </c>
      <c r="AK615" s="126">
        <f t="shared" ca="1" si="366"/>
        <v>0</v>
      </c>
      <c r="AL615" s="126">
        <f t="shared" ca="1" si="367"/>
        <v>0</v>
      </c>
      <c r="AM615" s="126">
        <f t="shared" ca="1" si="380"/>
        <v>0</v>
      </c>
      <c r="AN615" s="753">
        <f t="shared" ca="1" si="381"/>
        <v>0</v>
      </c>
      <c r="AO615" s="750">
        <f t="shared" ca="1" si="368"/>
        <v>0</v>
      </c>
      <c r="AP615" s="126">
        <f t="shared" ca="1" si="369"/>
        <v>0</v>
      </c>
      <c r="AQ615" s="126">
        <f t="shared" ca="1" si="370"/>
        <v>0</v>
      </c>
      <c r="AR615" s="126">
        <f t="shared" ca="1" si="350"/>
        <v>10000</v>
      </c>
      <c r="AS615" s="750">
        <f t="shared" ca="1" si="351"/>
        <v>0</v>
      </c>
      <c r="AT615" s="750">
        <f t="shared" ca="1" si="352"/>
        <v>0</v>
      </c>
      <c r="AU615" s="126">
        <f t="shared" ca="1" si="371"/>
        <v>0</v>
      </c>
      <c r="AV615" s="126">
        <f t="shared" ca="1" si="372"/>
        <v>0</v>
      </c>
      <c r="AW615" s="126">
        <f t="shared" ca="1" si="353"/>
        <v>10000</v>
      </c>
      <c r="AX615" s="750">
        <f t="shared" ca="1" si="373"/>
        <v>0</v>
      </c>
      <c r="AY615" s="750">
        <f t="shared" ca="1" si="374"/>
        <v>0</v>
      </c>
      <c r="AZ615">
        <f t="shared" si="375"/>
        <v>5750</v>
      </c>
    </row>
    <row r="616" spans="4:52">
      <c r="D616">
        <v>609</v>
      </c>
      <c r="E616" s="6">
        <f t="shared" ca="1" si="354"/>
        <v>34243</v>
      </c>
      <c r="F616" s="7">
        <f t="shared" ca="1" si="355"/>
        <v>0</v>
      </c>
      <c r="G616" s="125">
        <f ca="1">IF('Simulador - 1º Pilar'!$E$99="Sí",IF('Aportaciones PPE'!$B$13&lt;'Aportaciones PPE'!E616,0,F616*$B$8/12),F616*$B$8/12)</f>
        <v>0</v>
      </c>
      <c r="H616" s="125">
        <f t="shared" ca="1" si="344"/>
        <v>0</v>
      </c>
      <c r="I616" s="125">
        <f t="shared" ca="1" si="356"/>
        <v>0</v>
      </c>
      <c r="J616" s="125">
        <f t="shared" ca="1" si="357"/>
        <v>0</v>
      </c>
      <c r="K616" s="125">
        <f t="shared" ca="1" si="358"/>
        <v>0</v>
      </c>
      <c r="L616" s="125">
        <f t="shared" ca="1" si="376"/>
        <v>0</v>
      </c>
      <c r="M616" s="125">
        <f t="shared" ca="1" si="359"/>
        <v>0</v>
      </c>
      <c r="N616" s="125">
        <f t="shared" ca="1" si="360"/>
        <v>0</v>
      </c>
      <c r="R616">
        <f t="shared" si="377"/>
        <v>609</v>
      </c>
      <c r="U616" s="55"/>
      <c r="V616">
        <f t="shared" si="378"/>
        <v>10</v>
      </c>
      <c r="W616">
        <f t="shared" ca="1" si="379"/>
        <v>2074</v>
      </c>
      <c r="X616" s="123">
        <f t="shared" ca="1" si="361"/>
        <v>63828</v>
      </c>
      <c r="Y616" s="64">
        <f t="shared" ca="1" si="362"/>
        <v>0</v>
      </c>
      <c r="Z616" s="64">
        <f t="shared" ca="1" si="363"/>
        <v>0</v>
      </c>
      <c r="AA616" s="64">
        <f t="shared" ca="1" si="364"/>
        <v>0</v>
      </c>
      <c r="AB616" s="64">
        <f t="shared" ca="1" si="365"/>
        <v>0</v>
      </c>
      <c r="AF616" t="str">
        <f t="shared" ca="1" si="345"/>
        <v>101993</v>
      </c>
      <c r="AG616" s="126">
        <f t="shared" ca="1" si="346"/>
        <v>0</v>
      </c>
      <c r="AH616" s="126">
        <f t="shared" ca="1" si="347"/>
        <v>0</v>
      </c>
      <c r="AI616" s="126">
        <f t="shared" ca="1" si="348"/>
        <v>0</v>
      </c>
      <c r="AJ616" t="str">
        <f t="shared" ca="1" si="349"/>
        <v>102074</v>
      </c>
      <c r="AK616" s="126">
        <f t="shared" ca="1" si="366"/>
        <v>0</v>
      </c>
      <c r="AL616" s="126">
        <f t="shared" ca="1" si="367"/>
        <v>0</v>
      </c>
      <c r="AM616" s="126">
        <f t="shared" ca="1" si="380"/>
        <v>0</v>
      </c>
      <c r="AN616" s="753">
        <f t="shared" ca="1" si="381"/>
        <v>0</v>
      </c>
      <c r="AO616" s="750">
        <f t="shared" ca="1" si="368"/>
        <v>0</v>
      </c>
      <c r="AP616" s="126">
        <f t="shared" ca="1" si="369"/>
        <v>0</v>
      </c>
      <c r="AQ616" s="126">
        <f t="shared" ca="1" si="370"/>
        <v>0</v>
      </c>
      <c r="AR616" s="126">
        <f t="shared" ca="1" si="350"/>
        <v>10000</v>
      </c>
      <c r="AS616" s="750">
        <f t="shared" ca="1" si="351"/>
        <v>0</v>
      </c>
      <c r="AT616" s="750">
        <f t="shared" ca="1" si="352"/>
        <v>0</v>
      </c>
      <c r="AU616" s="126">
        <f t="shared" ca="1" si="371"/>
        <v>0</v>
      </c>
      <c r="AV616" s="126">
        <f t="shared" ca="1" si="372"/>
        <v>0</v>
      </c>
      <c r="AW616" s="126">
        <f t="shared" ca="1" si="353"/>
        <v>10000</v>
      </c>
      <c r="AX616" s="750">
        <f t="shared" ca="1" si="373"/>
        <v>0</v>
      </c>
      <c r="AY616" s="750">
        <f t="shared" ca="1" si="374"/>
        <v>0</v>
      </c>
      <c r="AZ616">
        <f t="shared" si="375"/>
        <v>5750</v>
      </c>
    </row>
    <row r="617" spans="4:52">
      <c r="D617">
        <v>610</v>
      </c>
      <c r="E617" s="6">
        <f t="shared" ca="1" si="354"/>
        <v>34213</v>
      </c>
      <c r="F617" s="7">
        <f t="shared" ca="1" si="355"/>
        <v>0</v>
      </c>
      <c r="G617" s="125">
        <f ca="1">IF('Simulador - 1º Pilar'!$E$99="Sí",IF('Aportaciones PPE'!$B$13&lt;'Aportaciones PPE'!E617,0,F617*$B$8/12),F617*$B$8/12)</f>
        <v>0</v>
      </c>
      <c r="H617" s="125">
        <f t="shared" ca="1" si="344"/>
        <v>0</v>
      </c>
      <c r="I617" s="125">
        <f t="shared" ca="1" si="356"/>
        <v>0</v>
      </c>
      <c r="J617" s="125">
        <f t="shared" ca="1" si="357"/>
        <v>0</v>
      </c>
      <c r="K617" s="125">
        <f t="shared" ca="1" si="358"/>
        <v>0</v>
      </c>
      <c r="L617" s="125">
        <f t="shared" ca="1" si="376"/>
        <v>0</v>
      </c>
      <c r="M617" s="125">
        <f t="shared" ca="1" si="359"/>
        <v>0</v>
      </c>
      <c r="N617" s="125">
        <f t="shared" ca="1" si="360"/>
        <v>0</v>
      </c>
      <c r="R617">
        <f t="shared" si="377"/>
        <v>610</v>
      </c>
      <c r="U617" s="55"/>
      <c r="V617">
        <f t="shared" si="378"/>
        <v>11</v>
      </c>
      <c r="W617">
        <f t="shared" ca="1" si="379"/>
        <v>2074</v>
      </c>
      <c r="X617" s="123">
        <f t="shared" ca="1" si="361"/>
        <v>63859</v>
      </c>
      <c r="Y617" s="64">
        <f t="shared" ca="1" si="362"/>
        <v>0</v>
      </c>
      <c r="Z617" s="64">
        <f t="shared" ca="1" si="363"/>
        <v>0</v>
      </c>
      <c r="AA617" s="64">
        <f t="shared" ca="1" si="364"/>
        <v>0</v>
      </c>
      <c r="AB617" s="64">
        <f t="shared" ca="1" si="365"/>
        <v>0</v>
      </c>
      <c r="AF617" t="str">
        <f t="shared" ca="1" si="345"/>
        <v>91993</v>
      </c>
      <c r="AG617" s="126">
        <f t="shared" ca="1" si="346"/>
        <v>0</v>
      </c>
      <c r="AH617" s="126">
        <f t="shared" ca="1" si="347"/>
        <v>0</v>
      </c>
      <c r="AI617" s="126">
        <f t="shared" ca="1" si="348"/>
        <v>0</v>
      </c>
      <c r="AJ617" t="str">
        <f t="shared" ca="1" si="349"/>
        <v>112074</v>
      </c>
      <c r="AK617" s="126">
        <f t="shared" ca="1" si="366"/>
        <v>0</v>
      </c>
      <c r="AL617" s="126">
        <f t="shared" ca="1" si="367"/>
        <v>0</v>
      </c>
      <c r="AM617" s="126">
        <f t="shared" ca="1" si="380"/>
        <v>0</v>
      </c>
      <c r="AN617" s="753">
        <f t="shared" ca="1" si="381"/>
        <v>0</v>
      </c>
      <c r="AO617" s="750">
        <f t="shared" ca="1" si="368"/>
        <v>0</v>
      </c>
      <c r="AP617" s="126">
        <f t="shared" ca="1" si="369"/>
        <v>0</v>
      </c>
      <c r="AQ617" s="126">
        <f t="shared" ca="1" si="370"/>
        <v>0</v>
      </c>
      <c r="AR617" s="126">
        <f t="shared" ca="1" si="350"/>
        <v>10000</v>
      </c>
      <c r="AS617" s="750">
        <f t="shared" ca="1" si="351"/>
        <v>0</v>
      </c>
      <c r="AT617" s="750">
        <f t="shared" ca="1" si="352"/>
        <v>0</v>
      </c>
      <c r="AU617" s="126">
        <f t="shared" ca="1" si="371"/>
        <v>0</v>
      </c>
      <c r="AV617" s="126">
        <f t="shared" ca="1" si="372"/>
        <v>0</v>
      </c>
      <c r="AW617" s="126">
        <f t="shared" ca="1" si="353"/>
        <v>10000</v>
      </c>
      <c r="AX617" s="750">
        <f t="shared" ca="1" si="373"/>
        <v>0</v>
      </c>
      <c r="AY617" s="750">
        <f t="shared" ca="1" si="374"/>
        <v>0</v>
      </c>
      <c r="AZ617">
        <f t="shared" si="375"/>
        <v>5750</v>
      </c>
    </row>
    <row r="618" spans="4:52">
      <c r="D618">
        <v>611</v>
      </c>
      <c r="E618" s="6">
        <f t="shared" ca="1" si="354"/>
        <v>34182</v>
      </c>
      <c r="F618" s="7">
        <f t="shared" ca="1" si="355"/>
        <v>0</v>
      </c>
      <c r="G618" s="125">
        <f ca="1">IF('Simulador - 1º Pilar'!$E$99="Sí",IF('Aportaciones PPE'!$B$13&lt;'Aportaciones PPE'!E618,0,F618*$B$8/12),F618*$B$8/12)</f>
        <v>0</v>
      </c>
      <c r="H618" s="125">
        <f t="shared" ca="1" si="344"/>
        <v>0</v>
      </c>
      <c r="I618" s="125">
        <f t="shared" ca="1" si="356"/>
        <v>0</v>
      </c>
      <c r="J618" s="125">
        <f t="shared" ca="1" si="357"/>
        <v>0</v>
      </c>
      <c r="K618" s="125">
        <f t="shared" ca="1" si="358"/>
        <v>0</v>
      </c>
      <c r="L618" s="125">
        <f t="shared" ca="1" si="376"/>
        <v>0</v>
      </c>
      <c r="M618" s="125">
        <f t="shared" ca="1" si="359"/>
        <v>0</v>
      </c>
      <c r="N618" s="125">
        <f t="shared" ca="1" si="360"/>
        <v>0</v>
      </c>
      <c r="R618">
        <f t="shared" si="377"/>
        <v>611</v>
      </c>
      <c r="U618" s="55"/>
      <c r="V618">
        <f t="shared" si="378"/>
        <v>12</v>
      </c>
      <c r="W618">
        <f t="shared" ca="1" si="379"/>
        <v>2074</v>
      </c>
      <c r="X618" s="123">
        <f t="shared" ca="1" si="361"/>
        <v>63889</v>
      </c>
      <c r="Y618" s="64">
        <f t="shared" ca="1" si="362"/>
        <v>0</v>
      </c>
      <c r="Z618" s="64">
        <f t="shared" ca="1" si="363"/>
        <v>0</v>
      </c>
      <c r="AA618" s="64">
        <f t="shared" ca="1" si="364"/>
        <v>0</v>
      </c>
      <c r="AB618" s="64">
        <f t="shared" ca="1" si="365"/>
        <v>0</v>
      </c>
      <c r="AF618" t="str">
        <f t="shared" ca="1" si="345"/>
        <v>81993</v>
      </c>
      <c r="AG618" s="126">
        <f t="shared" ca="1" si="346"/>
        <v>0</v>
      </c>
      <c r="AH618" s="126">
        <f t="shared" ca="1" si="347"/>
        <v>0</v>
      </c>
      <c r="AI618" s="126">
        <f t="shared" ca="1" si="348"/>
        <v>0</v>
      </c>
      <c r="AJ618" t="str">
        <f t="shared" ca="1" si="349"/>
        <v>122074</v>
      </c>
      <c r="AK618" s="126">
        <f t="shared" ca="1" si="366"/>
        <v>0</v>
      </c>
      <c r="AL618" s="126">
        <f t="shared" ca="1" si="367"/>
        <v>0</v>
      </c>
      <c r="AM618" s="126">
        <f t="shared" ca="1" si="380"/>
        <v>0</v>
      </c>
      <c r="AN618" s="753">
        <f t="shared" ca="1" si="381"/>
        <v>0</v>
      </c>
      <c r="AO618" s="750">
        <f t="shared" ca="1" si="368"/>
        <v>0</v>
      </c>
      <c r="AP618" s="126">
        <f t="shared" ca="1" si="369"/>
        <v>0</v>
      </c>
      <c r="AQ618" s="126">
        <f t="shared" ca="1" si="370"/>
        <v>0</v>
      </c>
      <c r="AR618" s="126">
        <f t="shared" ca="1" si="350"/>
        <v>10000</v>
      </c>
      <c r="AS618" s="750">
        <f t="shared" ca="1" si="351"/>
        <v>0</v>
      </c>
      <c r="AT618" s="750">
        <f t="shared" ca="1" si="352"/>
        <v>0</v>
      </c>
      <c r="AU618" s="126">
        <f t="shared" ca="1" si="371"/>
        <v>0</v>
      </c>
      <c r="AV618" s="126">
        <f t="shared" ca="1" si="372"/>
        <v>0</v>
      </c>
      <c r="AW618" s="126">
        <f t="shared" ca="1" si="353"/>
        <v>10000</v>
      </c>
      <c r="AX618" s="750">
        <f t="shared" ca="1" si="373"/>
        <v>0</v>
      </c>
      <c r="AY618" s="750">
        <f t="shared" ca="1" si="374"/>
        <v>0</v>
      </c>
      <c r="AZ618">
        <f t="shared" si="375"/>
        <v>5750</v>
      </c>
    </row>
    <row r="619" spans="4:52">
      <c r="D619">
        <v>612</v>
      </c>
      <c r="E619" s="6">
        <f t="shared" ca="1" si="354"/>
        <v>34151</v>
      </c>
      <c r="F619" s="7">
        <f t="shared" ca="1" si="355"/>
        <v>0</v>
      </c>
      <c r="G619" s="125">
        <f ca="1">IF('Simulador - 1º Pilar'!$E$99="Sí",IF('Aportaciones PPE'!$B$13&lt;'Aportaciones PPE'!E619,0,F619*$B$8/12),F619*$B$8/12)</f>
        <v>0</v>
      </c>
      <c r="H619" s="125">
        <f t="shared" ca="1" si="344"/>
        <v>0</v>
      </c>
      <c r="I619" s="125">
        <f t="shared" ca="1" si="356"/>
        <v>0</v>
      </c>
      <c r="J619" s="125">
        <f t="shared" ca="1" si="357"/>
        <v>0</v>
      </c>
      <c r="K619" s="125">
        <f t="shared" ca="1" si="358"/>
        <v>0</v>
      </c>
      <c r="L619" s="125">
        <f t="shared" ca="1" si="376"/>
        <v>0</v>
      </c>
      <c r="M619" s="125">
        <f t="shared" ca="1" si="359"/>
        <v>0</v>
      </c>
      <c r="N619" s="125">
        <f t="shared" ca="1" si="360"/>
        <v>0</v>
      </c>
      <c r="R619">
        <f t="shared" si="377"/>
        <v>612</v>
      </c>
      <c r="U619" s="55"/>
      <c r="V619">
        <f t="shared" si="378"/>
        <v>1</v>
      </c>
      <c r="W619">
        <f t="shared" ca="1" si="379"/>
        <v>2075</v>
      </c>
      <c r="X619" s="123">
        <f t="shared" ca="1" si="361"/>
        <v>63920</v>
      </c>
      <c r="Y619" s="64">
        <f t="shared" ca="1" si="362"/>
        <v>0</v>
      </c>
      <c r="Z619" s="64">
        <f t="shared" ca="1" si="363"/>
        <v>0</v>
      </c>
      <c r="AA619" s="64">
        <f t="shared" ca="1" si="364"/>
        <v>0</v>
      </c>
      <c r="AB619" s="64">
        <f t="shared" ca="1" si="365"/>
        <v>0</v>
      </c>
      <c r="AF619" t="str">
        <f t="shared" ca="1" si="345"/>
        <v>71993</v>
      </c>
      <c r="AG619" s="126">
        <f t="shared" ca="1" si="346"/>
        <v>0</v>
      </c>
      <c r="AH619" s="126">
        <f t="shared" ca="1" si="347"/>
        <v>0</v>
      </c>
      <c r="AI619" s="126">
        <f t="shared" ca="1" si="348"/>
        <v>0</v>
      </c>
      <c r="AJ619" t="str">
        <f t="shared" ca="1" si="349"/>
        <v>12075</v>
      </c>
      <c r="AK619" s="126">
        <f t="shared" ca="1" si="366"/>
        <v>0</v>
      </c>
      <c r="AL619" s="126">
        <f t="shared" ca="1" si="367"/>
        <v>0</v>
      </c>
      <c r="AM619" s="126">
        <f t="shared" ca="1" si="380"/>
        <v>0</v>
      </c>
      <c r="AN619" s="753">
        <f t="shared" ca="1" si="381"/>
        <v>0</v>
      </c>
      <c r="AO619" s="750">
        <f t="shared" ca="1" si="368"/>
        <v>0</v>
      </c>
      <c r="AP619" s="126">
        <f t="shared" ca="1" si="369"/>
        <v>0</v>
      </c>
      <c r="AQ619" s="126">
        <f t="shared" ca="1" si="370"/>
        <v>0</v>
      </c>
      <c r="AR619" s="126">
        <f t="shared" ca="1" si="350"/>
        <v>10000</v>
      </c>
      <c r="AS619" s="750">
        <f t="shared" ca="1" si="351"/>
        <v>0</v>
      </c>
      <c r="AT619" s="750">
        <f t="shared" ca="1" si="352"/>
        <v>0</v>
      </c>
      <c r="AU619" s="126">
        <f t="shared" ca="1" si="371"/>
        <v>0</v>
      </c>
      <c r="AV619" s="126">
        <f t="shared" ca="1" si="372"/>
        <v>0</v>
      </c>
      <c r="AW619" s="126">
        <f t="shared" ca="1" si="353"/>
        <v>10000</v>
      </c>
      <c r="AX619" s="750">
        <f t="shared" ca="1" si="373"/>
        <v>0</v>
      </c>
      <c r="AY619" s="750">
        <f t="shared" ca="1" si="374"/>
        <v>0</v>
      </c>
      <c r="AZ619">
        <f t="shared" si="375"/>
        <v>5750</v>
      </c>
    </row>
    <row r="620" spans="4:52">
      <c r="D620">
        <v>613</v>
      </c>
      <c r="E620" s="6">
        <f t="shared" ca="1" si="354"/>
        <v>34121</v>
      </c>
      <c r="F620" s="7">
        <f t="shared" ca="1" si="355"/>
        <v>0</v>
      </c>
      <c r="G620" s="125">
        <f ca="1">IF('Simulador - 1º Pilar'!$E$99="Sí",IF('Aportaciones PPE'!$B$13&lt;'Aportaciones PPE'!E620,0,F620*$B$8/12),F620*$B$8/12)</f>
        <v>0</v>
      </c>
      <c r="H620" s="125">
        <f t="shared" ca="1" si="344"/>
        <v>0</v>
      </c>
      <c r="I620" s="125">
        <f t="shared" ca="1" si="356"/>
        <v>0</v>
      </c>
      <c r="J620" s="125">
        <f t="shared" ca="1" si="357"/>
        <v>0</v>
      </c>
      <c r="K620" s="125">
        <f t="shared" ca="1" si="358"/>
        <v>0</v>
      </c>
      <c r="L620" s="125">
        <f t="shared" ca="1" si="376"/>
        <v>0</v>
      </c>
      <c r="M620" s="125">
        <f t="shared" ca="1" si="359"/>
        <v>0</v>
      </c>
      <c r="N620" s="125">
        <f t="shared" ca="1" si="360"/>
        <v>0</v>
      </c>
      <c r="R620">
        <f t="shared" si="377"/>
        <v>613</v>
      </c>
      <c r="U620" s="55"/>
      <c r="V620">
        <f t="shared" si="378"/>
        <v>2</v>
      </c>
      <c r="W620">
        <f t="shared" ca="1" si="379"/>
        <v>2075</v>
      </c>
      <c r="X620" s="123">
        <f t="shared" ca="1" si="361"/>
        <v>63951</v>
      </c>
      <c r="Y620" s="64">
        <f t="shared" ca="1" si="362"/>
        <v>0</v>
      </c>
      <c r="Z620" s="64">
        <f t="shared" ca="1" si="363"/>
        <v>0</v>
      </c>
      <c r="AA620" s="64">
        <f t="shared" ca="1" si="364"/>
        <v>0</v>
      </c>
      <c r="AB620" s="64">
        <f t="shared" ca="1" si="365"/>
        <v>0</v>
      </c>
      <c r="AF620" t="str">
        <f t="shared" ca="1" si="345"/>
        <v>61993</v>
      </c>
      <c r="AG620" s="126">
        <f t="shared" ca="1" si="346"/>
        <v>0</v>
      </c>
      <c r="AH620" s="126">
        <f t="shared" ca="1" si="347"/>
        <v>0</v>
      </c>
      <c r="AI620" s="126">
        <f t="shared" ca="1" si="348"/>
        <v>0</v>
      </c>
      <c r="AJ620" t="str">
        <f t="shared" ca="1" si="349"/>
        <v>22075</v>
      </c>
      <c r="AK620" s="126">
        <f t="shared" ca="1" si="366"/>
        <v>0</v>
      </c>
      <c r="AL620" s="126">
        <f t="shared" ca="1" si="367"/>
        <v>0</v>
      </c>
      <c r="AM620" s="126">
        <f t="shared" ca="1" si="380"/>
        <v>0</v>
      </c>
      <c r="AN620" s="753">
        <f t="shared" ca="1" si="381"/>
        <v>0</v>
      </c>
      <c r="AO620" s="750">
        <f t="shared" ca="1" si="368"/>
        <v>0</v>
      </c>
      <c r="AP620" s="126">
        <f t="shared" ca="1" si="369"/>
        <v>0</v>
      </c>
      <c r="AQ620" s="126">
        <f t="shared" ca="1" si="370"/>
        <v>0</v>
      </c>
      <c r="AR620" s="126">
        <f t="shared" ca="1" si="350"/>
        <v>10000</v>
      </c>
      <c r="AS620" s="750">
        <f t="shared" ca="1" si="351"/>
        <v>0</v>
      </c>
      <c r="AT620" s="750">
        <f t="shared" ca="1" si="352"/>
        <v>0</v>
      </c>
      <c r="AU620" s="126">
        <f t="shared" ca="1" si="371"/>
        <v>0</v>
      </c>
      <c r="AV620" s="126">
        <f t="shared" ca="1" si="372"/>
        <v>0</v>
      </c>
      <c r="AW620" s="126">
        <f t="shared" ca="1" si="353"/>
        <v>10000</v>
      </c>
      <c r="AX620" s="750">
        <f t="shared" ca="1" si="373"/>
        <v>0</v>
      </c>
      <c r="AY620" s="750">
        <f t="shared" ca="1" si="374"/>
        <v>0</v>
      </c>
      <c r="AZ620">
        <f t="shared" si="375"/>
        <v>5750</v>
      </c>
    </row>
    <row r="621" spans="4:52">
      <c r="D621">
        <v>614</v>
      </c>
      <c r="E621" s="6">
        <f t="shared" ca="1" si="354"/>
        <v>34090</v>
      </c>
      <c r="F621" s="7">
        <f t="shared" ca="1" si="355"/>
        <v>0</v>
      </c>
      <c r="G621" s="125">
        <f ca="1">IF('Simulador - 1º Pilar'!$E$99="Sí",IF('Aportaciones PPE'!$B$13&lt;'Aportaciones PPE'!E621,0,F621*$B$8/12),F621*$B$8/12)</f>
        <v>0</v>
      </c>
      <c r="H621" s="125">
        <f t="shared" ca="1" si="344"/>
        <v>0</v>
      </c>
      <c r="I621" s="125">
        <f t="shared" ca="1" si="356"/>
        <v>0</v>
      </c>
      <c r="J621" s="125">
        <f t="shared" ca="1" si="357"/>
        <v>0</v>
      </c>
      <c r="K621" s="125">
        <f t="shared" ca="1" si="358"/>
        <v>0</v>
      </c>
      <c r="L621" s="125">
        <f t="shared" ca="1" si="376"/>
        <v>0</v>
      </c>
      <c r="M621" s="125">
        <f t="shared" ca="1" si="359"/>
        <v>0</v>
      </c>
      <c r="N621" s="125">
        <f t="shared" ca="1" si="360"/>
        <v>0</v>
      </c>
      <c r="R621">
        <f t="shared" si="377"/>
        <v>614</v>
      </c>
      <c r="U621" s="55"/>
      <c r="V621">
        <f t="shared" si="378"/>
        <v>3</v>
      </c>
      <c r="W621">
        <f t="shared" ca="1" si="379"/>
        <v>2075</v>
      </c>
      <c r="X621" s="123">
        <f t="shared" ca="1" si="361"/>
        <v>63979</v>
      </c>
      <c r="Y621" s="64">
        <f t="shared" ca="1" si="362"/>
        <v>0</v>
      </c>
      <c r="Z621" s="64">
        <f t="shared" ca="1" si="363"/>
        <v>0</v>
      </c>
      <c r="AA621" s="64">
        <f t="shared" ca="1" si="364"/>
        <v>0</v>
      </c>
      <c r="AB621" s="64">
        <f t="shared" ca="1" si="365"/>
        <v>0</v>
      </c>
      <c r="AF621" t="str">
        <f t="shared" ca="1" si="345"/>
        <v>51993</v>
      </c>
      <c r="AG621" s="126">
        <f t="shared" ca="1" si="346"/>
        <v>0</v>
      </c>
      <c r="AH621" s="126">
        <f t="shared" ca="1" si="347"/>
        <v>0</v>
      </c>
      <c r="AI621" s="126">
        <f t="shared" ca="1" si="348"/>
        <v>0</v>
      </c>
      <c r="AJ621" t="str">
        <f t="shared" ca="1" si="349"/>
        <v>32075</v>
      </c>
      <c r="AK621" s="126">
        <f t="shared" ca="1" si="366"/>
        <v>0</v>
      </c>
      <c r="AL621" s="126">
        <f t="shared" ca="1" si="367"/>
        <v>0</v>
      </c>
      <c r="AM621" s="126">
        <f t="shared" ca="1" si="380"/>
        <v>0</v>
      </c>
      <c r="AN621" s="753">
        <f t="shared" ca="1" si="381"/>
        <v>0</v>
      </c>
      <c r="AO621" s="750">
        <f t="shared" ca="1" si="368"/>
        <v>0</v>
      </c>
      <c r="AP621" s="126">
        <f t="shared" ca="1" si="369"/>
        <v>0</v>
      </c>
      <c r="AQ621" s="126">
        <f t="shared" ca="1" si="370"/>
        <v>0</v>
      </c>
      <c r="AR621" s="126">
        <f t="shared" ca="1" si="350"/>
        <v>10000</v>
      </c>
      <c r="AS621" s="750">
        <f t="shared" ca="1" si="351"/>
        <v>0</v>
      </c>
      <c r="AT621" s="750">
        <f t="shared" ca="1" si="352"/>
        <v>0</v>
      </c>
      <c r="AU621" s="126">
        <f t="shared" ca="1" si="371"/>
        <v>0</v>
      </c>
      <c r="AV621" s="126">
        <f t="shared" ca="1" si="372"/>
        <v>0</v>
      </c>
      <c r="AW621" s="126">
        <f t="shared" ca="1" si="353"/>
        <v>10000</v>
      </c>
      <c r="AX621" s="750">
        <f t="shared" ca="1" si="373"/>
        <v>0</v>
      </c>
      <c r="AY621" s="750">
        <f t="shared" ca="1" si="374"/>
        <v>0</v>
      </c>
      <c r="AZ621">
        <f t="shared" si="375"/>
        <v>5750</v>
      </c>
    </row>
    <row r="622" spans="4:52">
      <c r="D622">
        <v>615</v>
      </c>
      <c r="E622" s="6">
        <f t="shared" ca="1" si="354"/>
        <v>34060</v>
      </c>
      <c r="F622" s="7">
        <f t="shared" ca="1" si="355"/>
        <v>0</v>
      </c>
      <c r="G622" s="125">
        <f ca="1">IF('Simulador - 1º Pilar'!$E$99="Sí",IF('Aportaciones PPE'!$B$13&lt;'Aportaciones PPE'!E622,0,F622*$B$8/12),F622*$B$8/12)</f>
        <v>0</v>
      </c>
      <c r="H622" s="125">
        <f t="shared" ca="1" si="344"/>
        <v>0</v>
      </c>
      <c r="I622" s="125">
        <f t="shared" ca="1" si="356"/>
        <v>0</v>
      </c>
      <c r="J622" s="125">
        <f t="shared" ca="1" si="357"/>
        <v>0</v>
      </c>
      <c r="K622" s="125">
        <f t="shared" ca="1" si="358"/>
        <v>0</v>
      </c>
      <c r="L622" s="125">
        <f t="shared" ca="1" si="376"/>
        <v>0</v>
      </c>
      <c r="M622" s="125">
        <f t="shared" ca="1" si="359"/>
        <v>0</v>
      </c>
      <c r="N622" s="125">
        <f t="shared" ca="1" si="360"/>
        <v>0</v>
      </c>
      <c r="R622">
        <f t="shared" si="377"/>
        <v>615</v>
      </c>
      <c r="U622" s="55"/>
      <c r="V622">
        <f t="shared" si="378"/>
        <v>4</v>
      </c>
      <c r="W622">
        <f t="shared" ca="1" si="379"/>
        <v>2075</v>
      </c>
      <c r="X622" s="123">
        <f t="shared" ca="1" si="361"/>
        <v>64010</v>
      </c>
      <c r="Y622" s="64">
        <f t="shared" ca="1" si="362"/>
        <v>0</v>
      </c>
      <c r="Z622" s="64">
        <f t="shared" ca="1" si="363"/>
        <v>0</v>
      </c>
      <c r="AA622" s="64">
        <f t="shared" ca="1" si="364"/>
        <v>0</v>
      </c>
      <c r="AB622" s="64">
        <f t="shared" ca="1" si="365"/>
        <v>0</v>
      </c>
      <c r="AF622" t="str">
        <f t="shared" ca="1" si="345"/>
        <v>41993</v>
      </c>
      <c r="AG622" s="126">
        <f t="shared" ca="1" si="346"/>
        <v>0</v>
      </c>
      <c r="AH622" s="126">
        <f t="shared" ca="1" si="347"/>
        <v>0</v>
      </c>
      <c r="AI622" s="126">
        <f t="shared" ca="1" si="348"/>
        <v>0</v>
      </c>
      <c r="AJ622" t="str">
        <f t="shared" ca="1" si="349"/>
        <v>42075</v>
      </c>
      <c r="AK622" s="126">
        <f t="shared" ca="1" si="366"/>
        <v>0</v>
      </c>
      <c r="AL622" s="126">
        <f t="shared" ca="1" si="367"/>
        <v>0</v>
      </c>
      <c r="AM622" s="126">
        <f t="shared" ca="1" si="380"/>
        <v>0</v>
      </c>
      <c r="AN622" s="753">
        <f t="shared" ca="1" si="381"/>
        <v>0</v>
      </c>
      <c r="AO622" s="750">
        <f t="shared" ca="1" si="368"/>
        <v>0</v>
      </c>
      <c r="AP622" s="126">
        <f t="shared" ca="1" si="369"/>
        <v>0</v>
      </c>
      <c r="AQ622" s="126">
        <f t="shared" ca="1" si="370"/>
        <v>0</v>
      </c>
      <c r="AR622" s="126">
        <f t="shared" ca="1" si="350"/>
        <v>10000</v>
      </c>
      <c r="AS622" s="750">
        <f t="shared" ca="1" si="351"/>
        <v>0</v>
      </c>
      <c r="AT622" s="750">
        <f t="shared" ca="1" si="352"/>
        <v>0</v>
      </c>
      <c r="AU622" s="126">
        <f t="shared" ca="1" si="371"/>
        <v>0</v>
      </c>
      <c r="AV622" s="126">
        <f t="shared" ca="1" si="372"/>
        <v>0</v>
      </c>
      <c r="AW622" s="126">
        <f t="shared" ca="1" si="353"/>
        <v>10000</v>
      </c>
      <c r="AX622" s="750">
        <f t="shared" ca="1" si="373"/>
        <v>0</v>
      </c>
      <c r="AY622" s="750">
        <f t="shared" ca="1" si="374"/>
        <v>0</v>
      </c>
      <c r="AZ622">
        <f t="shared" si="375"/>
        <v>5750</v>
      </c>
    </row>
    <row r="623" spans="4:52">
      <c r="D623">
        <v>616</v>
      </c>
      <c r="E623" s="6">
        <f t="shared" ca="1" si="354"/>
        <v>34029</v>
      </c>
      <c r="F623" s="7">
        <f t="shared" ca="1" si="355"/>
        <v>0</v>
      </c>
      <c r="G623" s="125">
        <f ca="1">IF('Simulador - 1º Pilar'!$E$99="Sí",IF('Aportaciones PPE'!$B$13&lt;'Aportaciones PPE'!E623,0,F623*$B$8/12),F623*$B$8/12)</f>
        <v>0</v>
      </c>
      <c r="H623" s="125">
        <f t="shared" ca="1" si="344"/>
        <v>0</v>
      </c>
      <c r="I623" s="125">
        <f t="shared" ca="1" si="356"/>
        <v>0</v>
      </c>
      <c r="J623" s="125">
        <f t="shared" ca="1" si="357"/>
        <v>0</v>
      </c>
      <c r="K623" s="125">
        <f t="shared" ca="1" si="358"/>
        <v>0</v>
      </c>
      <c r="L623" s="125">
        <f t="shared" ca="1" si="376"/>
        <v>0</v>
      </c>
      <c r="M623" s="125">
        <f t="shared" ca="1" si="359"/>
        <v>0</v>
      </c>
      <c r="N623" s="125">
        <f t="shared" ca="1" si="360"/>
        <v>0</v>
      </c>
      <c r="R623">
        <f t="shared" si="377"/>
        <v>616</v>
      </c>
      <c r="U623" s="55"/>
      <c r="V623">
        <f t="shared" si="378"/>
        <v>5</v>
      </c>
      <c r="W623">
        <f t="shared" ca="1" si="379"/>
        <v>2075</v>
      </c>
      <c r="X623" s="123">
        <f t="shared" ca="1" si="361"/>
        <v>64040</v>
      </c>
      <c r="Y623" s="64">
        <f t="shared" ca="1" si="362"/>
        <v>0</v>
      </c>
      <c r="Z623" s="64">
        <f t="shared" ca="1" si="363"/>
        <v>0</v>
      </c>
      <c r="AA623" s="64">
        <f t="shared" ca="1" si="364"/>
        <v>0</v>
      </c>
      <c r="AB623" s="64">
        <f t="shared" ca="1" si="365"/>
        <v>0</v>
      </c>
      <c r="AF623" t="str">
        <f t="shared" ca="1" si="345"/>
        <v>31993</v>
      </c>
      <c r="AG623" s="126">
        <f t="shared" ca="1" si="346"/>
        <v>0</v>
      </c>
      <c r="AH623" s="126">
        <f t="shared" ca="1" si="347"/>
        <v>0</v>
      </c>
      <c r="AI623" s="126">
        <f t="shared" ca="1" si="348"/>
        <v>0</v>
      </c>
      <c r="AJ623" t="str">
        <f t="shared" ca="1" si="349"/>
        <v>52075</v>
      </c>
      <c r="AK623" s="126">
        <f t="shared" ca="1" si="366"/>
        <v>0</v>
      </c>
      <c r="AL623" s="126">
        <f t="shared" ca="1" si="367"/>
        <v>0</v>
      </c>
      <c r="AM623" s="126">
        <f t="shared" ca="1" si="380"/>
        <v>0</v>
      </c>
      <c r="AN623" s="753">
        <f t="shared" ca="1" si="381"/>
        <v>0</v>
      </c>
      <c r="AO623" s="750">
        <f t="shared" ca="1" si="368"/>
        <v>0</v>
      </c>
      <c r="AP623" s="126">
        <f t="shared" ca="1" si="369"/>
        <v>0</v>
      </c>
      <c r="AQ623" s="126">
        <f t="shared" ca="1" si="370"/>
        <v>0</v>
      </c>
      <c r="AR623" s="126">
        <f t="shared" ca="1" si="350"/>
        <v>10000</v>
      </c>
      <c r="AS623" s="750">
        <f t="shared" ca="1" si="351"/>
        <v>0</v>
      </c>
      <c r="AT623" s="750">
        <f t="shared" ca="1" si="352"/>
        <v>0</v>
      </c>
      <c r="AU623" s="126">
        <f t="shared" ca="1" si="371"/>
        <v>0</v>
      </c>
      <c r="AV623" s="126">
        <f t="shared" ca="1" si="372"/>
        <v>0</v>
      </c>
      <c r="AW623" s="126">
        <f t="shared" ca="1" si="353"/>
        <v>10000</v>
      </c>
      <c r="AX623" s="750">
        <f t="shared" ca="1" si="373"/>
        <v>0</v>
      </c>
      <c r="AY623" s="750">
        <f t="shared" ca="1" si="374"/>
        <v>0</v>
      </c>
      <c r="AZ623">
        <f t="shared" si="375"/>
        <v>5750</v>
      </c>
    </row>
    <row r="624" spans="4:52">
      <c r="D624">
        <v>617</v>
      </c>
      <c r="E624" s="6">
        <f t="shared" ca="1" si="354"/>
        <v>34001</v>
      </c>
      <c r="F624" s="7">
        <f t="shared" ca="1" si="355"/>
        <v>0</v>
      </c>
      <c r="G624" s="125">
        <f ca="1">IF('Simulador - 1º Pilar'!$E$99="Sí",IF('Aportaciones PPE'!$B$13&lt;'Aportaciones PPE'!E624,0,F624*$B$8/12),F624*$B$8/12)</f>
        <v>0</v>
      </c>
      <c r="H624" s="125">
        <f t="shared" ca="1" si="344"/>
        <v>0</v>
      </c>
      <c r="I624" s="125">
        <f t="shared" ca="1" si="356"/>
        <v>0</v>
      </c>
      <c r="J624" s="125">
        <f t="shared" ca="1" si="357"/>
        <v>0</v>
      </c>
      <c r="K624" s="125">
        <f t="shared" ca="1" si="358"/>
        <v>0</v>
      </c>
      <c r="L624" s="125">
        <f t="shared" ca="1" si="376"/>
        <v>0</v>
      </c>
      <c r="M624" s="125">
        <f t="shared" ca="1" si="359"/>
        <v>0</v>
      </c>
      <c r="N624" s="125">
        <f t="shared" ca="1" si="360"/>
        <v>0</v>
      </c>
      <c r="R624">
        <f t="shared" si="377"/>
        <v>617</v>
      </c>
      <c r="U624" s="55"/>
      <c r="V624">
        <f t="shared" si="378"/>
        <v>6</v>
      </c>
      <c r="W624">
        <f t="shared" ca="1" si="379"/>
        <v>2075</v>
      </c>
      <c r="X624" s="123">
        <f t="shared" ca="1" si="361"/>
        <v>64071</v>
      </c>
      <c r="Y624" s="64">
        <f t="shared" ca="1" si="362"/>
        <v>0</v>
      </c>
      <c r="Z624" s="64">
        <f t="shared" ca="1" si="363"/>
        <v>0</v>
      </c>
      <c r="AA624" s="64">
        <f t="shared" ca="1" si="364"/>
        <v>0</v>
      </c>
      <c r="AB624" s="64">
        <f t="shared" ca="1" si="365"/>
        <v>0</v>
      </c>
      <c r="AF624" t="str">
        <f t="shared" ca="1" si="345"/>
        <v>21993</v>
      </c>
      <c r="AG624" s="126">
        <f t="shared" ca="1" si="346"/>
        <v>0</v>
      </c>
      <c r="AH624" s="126">
        <f t="shared" ca="1" si="347"/>
        <v>0</v>
      </c>
      <c r="AI624" s="126">
        <f t="shared" ca="1" si="348"/>
        <v>0</v>
      </c>
      <c r="AJ624" t="str">
        <f t="shared" ca="1" si="349"/>
        <v>62075</v>
      </c>
      <c r="AK624" s="126">
        <f t="shared" ca="1" si="366"/>
        <v>0</v>
      </c>
      <c r="AL624" s="126">
        <f t="shared" ca="1" si="367"/>
        <v>0</v>
      </c>
      <c r="AM624" s="126">
        <f t="shared" ca="1" si="380"/>
        <v>0</v>
      </c>
      <c r="AN624" s="753">
        <f t="shared" ca="1" si="381"/>
        <v>0</v>
      </c>
      <c r="AO624" s="750">
        <f t="shared" ca="1" si="368"/>
        <v>0</v>
      </c>
      <c r="AP624" s="126">
        <f t="shared" ca="1" si="369"/>
        <v>0</v>
      </c>
      <c r="AQ624" s="126">
        <f t="shared" ca="1" si="370"/>
        <v>0</v>
      </c>
      <c r="AR624" s="126">
        <f t="shared" ca="1" si="350"/>
        <v>10000</v>
      </c>
      <c r="AS624" s="750">
        <f t="shared" ca="1" si="351"/>
        <v>0</v>
      </c>
      <c r="AT624" s="750">
        <f t="shared" ca="1" si="352"/>
        <v>0</v>
      </c>
      <c r="AU624" s="126">
        <f t="shared" ca="1" si="371"/>
        <v>0</v>
      </c>
      <c r="AV624" s="126">
        <f t="shared" ca="1" si="372"/>
        <v>0</v>
      </c>
      <c r="AW624" s="126">
        <f t="shared" ca="1" si="353"/>
        <v>10000</v>
      </c>
      <c r="AX624" s="750">
        <f t="shared" ca="1" si="373"/>
        <v>0</v>
      </c>
      <c r="AY624" s="750">
        <f t="shared" ca="1" si="374"/>
        <v>0</v>
      </c>
      <c r="AZ624">
        <f t="shared" si="375"/>
        <v>5750</v>
      </c>
    </row>
    <row r="625" spans="4:52">
      <c r="D625">
        <v>618</v>
      </c>
      <c r="E625" s="6">
        <f t="shared" ca="1" si="354"/>
        <v>33970</v>
      </c>
      <c r="F625" s="7">
        <f t="shared" ca="1" si="355"/>
        <v>0</v>
      </c>
      <c r="G625" s="125">
        <f ca="1">IF('Simulador - 1º Pilar'!$E$99="Sí",IF('Aportaciones PPE'!$B$13&lt;'Aportaciones PPE'!E625,0,F625*$B$8/12),F625*$B$8/12)</f>
        <v>0</v>
      </c>
      <c r="H625" s="125">
        <f t="shared" ca="1" si="344"/>
        <v>0</v>
      </c>
      <c r="I625" s="125">
        <f t="shared" ca="1" si="356"/>
        <v>0</v>
      </c>
      <c r="J625" s="125">
        <f t="shared" ca="1" si="357"/>
        <v>0</v>
      </c>
      <c r="K625" s="125">
        <f t="shared" ca="1" si="358"/>
        <v>0</v>
      </c>
      <c r="L625" s="125">
        <f t="shared" ca="1" si="376"/>
        <v>0</v>
      </c>
      <c r="M625" s="125">
        <f t="shared" ca="1" si="359"/>
        <v>0</v>
      </c>
      <c r="N625" s="125">
        <f t="shared" ca="1" si="360"/>
        <v>0</v>
      </c>
      <c r="R625">
        <f t="shared" si="377"/>
        <v>618</v>
      </c>
      <c r="U625" s="55"/>
      <c r="V625">
        <f t="shared" si="378"/>
        <v>7</v>
      </c>
      <c r="W625">
        <f t="shared" ca="1" si="379"/>
        <v>2075</v>
      </c>
      <c r="X625" s="123">
        <f t="shared" ca="1" si="361"/>
        <v>64101</v>
      </c>
      <c r="Y625" s="64">
        <f t="shared" ca="1" si="362"/>
        <v>0</v>
      </c>
      <c r="Z625" s="64">
        <f t="shared" ca="1" si="363"/>
        <v>0</v>
      </c>
      <c r="AA625" s="64">
        <f t="shared" ca="1" si="364"/>
        <v>0</v>
      </c>
      <c r="AB625" s="64">
        <f t="shared" ca="1" si="365"/>
        <v>0</v>
      </c>
      <c r="AF625" t="str">
        <f t="shared" ca="1" si="345"/>
        <v>11993</v>
      </c>
      <c r="AG625" s="126">
        <f t="shared" ca="1" si="346"/>
        <v>0</v>
      </c>
      <c r="AH625" s="126">
        <f t="shared" ca="1" si="347"/>
        <v>0</v>
      </c>
      <c r="AI625" s="126">
        <f t="shared" ca="1" si="348"/>
        <v>0</v>
      </c>
      <c r="AJ625" t="str">
        <f t="shared" ca="1" si="349"/>
        <v>72075</v>
      </c>
      <c r="AK625" s="126">
        <f t="shared" ca="1" si="366"/>
        <v>0</v>
      </c>
      <c r="AL625" s="126">
        <f t="shared" ca="1" si="367"/>
        <v>0</v>
      </c>
      <c r="AM625" s="126">
        <f t="shared" ca="1" si="380"/>
        <v>0</v>
      </c>
      <c r="AN625" s="753">
        <f t="shared" ca="1" si="381"/>
        <v>0</v>
      </c>
      <c r="AO625" s="750">
        <f t="shared" ca="1" si="368"/>
        <v>0</v>
      </c>
      <c r="AP625" s="126">
        <f t="shared" ca="1" si="369"/>
        <v>0</v>
      </c>
      <c r="AQ625" s="126">
        <f t="shared" ca="1" si="370"/>
        <v>0</v>
      </c>
      <c r="AR625" s="126">
        <f t="shared" ca="1" si="350"/>
        <v>10000</v>
      </c>
      <c r="AS625" s="750">
        <f t="shared" ca="1" si="351"/>
        <v>0</v>
      </c>
      <c r="AT625" s="750">
        <f t="shared" ca="1" si="352"/>
        <v>0</v>
      </c>
      <c r="AU625" s="126">
        <f t="shared" ca="1" si="371"/>
        <v>0</v>
      </c>
      <c r="AV625" s="126">
        <f t="shared" ca="1" si="372"/>
        <v>0</v>
      </c>
      <c r="AW625" s="126">
        <f t="shared" ca="1" si="353"/>
        <v>10000</v>
      </c>
      <c r="AX625" s="750">
        <f t="shared" ca="1" si="373"/>
        <v>0</v>
      </c>
      <c r="AY625" s="750">
        <f t="shared" ca="1" si="374"/>
        <v>0</v>
      </c>
      <c r="AZ625">
        <f t="shared" si="375"/>
        <v>5750</v>
      </c>
    </row>
    <row r="626" spans="4:52">
      <c r="D626">
        <v>619</v>
      </c>
      <c r="E626" s="6">
        <f t="shared" ca="1" si="354"/>
        <v>33939</v>
      </c>
      <c r="F626" s="7">
        <f t="shared" ca="1" si="355"/>
        <v>0</v>
      </c>
      <c r="G626" s="125">
        <f ca="1">IF('Simulador - 1º Pilar'!$E$99="Sí",IF('Aportaciones PPE'!$B$13&lt;'Aportaciones PPE'!E626,0,F626*$B$8/12),F626*$B$8/12)</f>
        <v>0</v>
      </c>
      <c r="H626" s="125">
        <f t="shared" ca="1" si="344"/>
        <v>0</v>
      </c>
      <c r="I626" s="125">
        <f t="shared" ca="1" si="356"/>
        <v>0</v>
      </c>
      <c r="J626" s="125">
        <f t="shared" ca="1" si="357"/>
        <v>0</v>
      </c>
      <c r="K626" s="125">
        <f t="shared" ca="1" si="358"/>
        <v>0</v>
      </c>
      <c r="L626" s="125">
        <f t="shared" ca="1" si="376"/>
        <v>0</v>
      </c>
      <c r="M626" s="125">
        <f t="shared" ca="1" si="359"/>
        <v>0</v>
      </c>
      <c r="N626" s="125">
        <f t="shared" ca="1" si="360"/>
        <v>0</v>
      </c>
      <c r="R626">
        <f t="shared" si="377"/>
        <v>619</v>
      </c>
      <c r="U626" s="55"/>
      <c r="V626">
        <f t="shared" si="378"/>
        <v>8</v>
      </c>
      <c r="W626">
        <f t="shared" ca="1" si="379"/>
        <v>2075</v>
      </c>
      <c r="X626" s="123">
        <f t="shared" ca="1" si="361"/>
        <v>64132</v>
      </c>
      <c r="Y626" s="64">
        <f t="shared" ca="1" si="362"/>
        <v>0</v>
      </c>
      <c r="Z626" s="64">
        <f t="shared" ca="1" si="363"/>
        <v>0</v>
      </c>
      <c r="AA626" s="64">
        <f t="shared" ca="1" si="364"/>
        <v>0</v>
      </c>
      <c r="AB626" s="64">
        <f t="shared" ca="1" si="365"/>
        <v>0</v>
      </c>
      <c r="AF626" t="str">
        <f t="shared" ca="1" si="345"/>
        <v>121992</v>
      </c>
      <c r="AG626" s="126">
        <f t="shared" ca="1" si="346"/>
        <v>0</v>
      </c>
      <c r="AH626" s="126">
        <f t="shared" ca="1" si="347"/>
        <v>0</v>
      </c>
      <c r="AI626" s="126">
        <f t="shared" ca="1" si="348"/>
        <v>0</v>
      </c>
      <c r="AJ626" t="str">
        <f t="shared" ca="1" si="349"/>
        <v>82075</v>
      </c>
      <c r="AK626" s="126">
        <f t="shared" ca="1" si="366"/>
        <v>0</v>
      </c>
      <c r="AL626" s="126">
        <f t="shared" ca="1" si="367"/>
        <v>0</v>
      </c>
      <c r="AM626" s="126">
        <f t="shared" ca="1" si="380"/>
        <v>0</v>
      </c>
      <c r="AN626" s="753">
        <f t="shared" ca="1" si="381"/>
        <v>0</v>
      </c>
      <c r="AO626" s="750">
        <f t="shared" ca="1" si="368"/>
        <v>0</v>
      </c>
      <c r="AP626" s="126">
        <f t="shared" ca="1" si="369"/>
        <v>0</v>
      </c>
      <c r="AQ626" s="126">
        <f t="shared" ca="1" si="370"/>
        <v>0</v>
      </c>
      <c r="AR626" s="126">
        <f t="shared" ca="1" si="350"/>
        <v>10000</v>
      </c>
      <c r="AS626" s="750">
        <f t="shared" ca="1" si="351"/>
        <v>0</v>
      </c>
      <c r="AT626" s="750">
        <f t="shared" ca="1" si="352"/>
        <v>0</v>
      </c>
      <c r="AU626" s="126">
        <f t="shared" ca="1" si="371"/>
        <v>0</v>
      </c>
      <c r="AV626" s="126">
        <f t="shared" ca="1" si="372"/>
        <v>0</v>
      </c>
      <c r="AW626" s="126">
        <f t="shared" ca="1" si="353"/>
        <v>10000</v>
      </c>
      <c r="AX626" s="750">
        <f t="shared" ca="1" si="373"/>
        <v>0</v>
      </c>
      <c r="AY626" s="750">
        <f t="shared" ca="1" si="374"/>
        <v>0</v>
      </c>
      <c r="AZ626">
        <f t="shared" si="375"/>
        <v>5750</v>
      </c>
    </row>
    <row r="627" spans="4:52">
      <c r="D627">
        <v>620</v>
      </c>
      <c r="E627" s="6">
        <f t="shared" ca="1" si="354"/>
        <v>33909</v>
      </c>
      <c r="F627" s="7">
        <f t="shared" ca="1" si="355"/>
        <v>0</v>
      </c>
      <c r="G627" s="125">
        <f ca="1">IF('Simulador - 1º Pilar'!$E$99="Sí",IF('Aportaciones PPE'!$B$13&lt;'Aportaciones PPE'!E627,0,F627*$B$8/12),F627*$B$8/12)</f>
        <v>0</v>
      </c>
      <c r="H627" s="125">
        <f t="shared" ca="1" si="344"/>
        <v>0</v>
      </c>
      <c r="I627" s="125">
        <f t="shared" ca="1" si="356"/>
        <v>0</v>
      </c>
      <c r="J627" s="125">
        <f t="shared" ca="1" si="357"/>
        <v>0</v>
      </c>
      <c r="K627" s="125">
        <f t="shared" ca="1" si="358"/>
        <v>0</v>
      </c>
      <c r="L627" s="125">
        <f t="shared" ca="1" si="376"/>
        <v>0</v>
      </c>
      <c r="M627" s="125">
        <f t="shared" ca="1" si="359"/>
        <v>0</v>
      </c>
      <c r="N627" s="125">
        <f t="shared" ca="1" si="360"/>
        <v>0</v>
      </c>
      <c r="R627">
        <f t="shared" si="377"/>
        <v>620</v>
      </c>
      <c r="U627" s="55"/>
      <c r="V627">
        <f t="shared" si="378"/>
        <v>9</v>
      </c>
      <c r="W627">
        <f t="shared" ca="1" si="379"/>
        <v>2075</v>
      </c>
      <c r="X627" s="123">
        <f t="shared" ca="1" si="361"/>
        <v>64163</v>
      </c>
      <c r="Y627" s="64">
        <f t="shared" ca="1" si="362"/>
        <v>0</v>
      </c>
      <c r="Z627" s="64">
        <f t="shared" ca="1" si="363"/>
        <v>0</v>
      </c>
      <c r="AA627" s="64">
        <f t="shared" ca="1" si="364"/>
        <v>0</v>
      </c>
      <c r="AB627" s="64">
        <f t="shared" ca="1" si="365"/>
        <v>0</v>
      </c>
      <c r="AF627" t="str">
        <f t="shared" ca="1" si="345"/>
        <v>111992</v>
      </c>
      <c r="AG627" s="126">
        <f t="shared" ca="1" si="346"/>
        <v>0</v>
      </c>
      <c r="AH627" s="126">
        <f t="shared" ca="1" si="347"/>
        <v>0</v>
      </c>
      <c r="AI627" s="126">
        <f t="shared" ca="1" si="348"/>
        <v>0</v>
      </c>
      <c r="AJ627" t="str">
        <f t="shared" ca="1" si="349"/>
        <v>92075</v>
      </c>
      <c r="AK627" s="126">
        <f t="shared" ca="1" si="366"/>
        <v>0</v>
      </c>
      <c r="AL627" s="126">
        <f t="shared" ca="1" si="367"/>
        <v>0</v>
      </c>
      <c r="AM627" s="126">
        <f t="shared" ca="1" si="380"/>
        <v>0</v>
      </c>
      <c r="AN627" s="753">
        <f t="shared" ca="1" si="381"/>
        <v>0</v>
      </c>
      <c r="AO627" s="750">
        <f t="shared" ca="1" si="368"/>
        <v>0</v>
      </c>
      <c r="AP627" s="126">
        <f t="shared" ca="1" si="369"/>
        <v>0</v>
      </c>
      <c r="AQ627" s="126">
        <f t="shared" ca="1" si="370"/>
        <v>0</v>
      </c>
      <c r="AR627" s="126">
        <f t="shared" ca="1" si="350"/>
        <v>10000</v>
      </c>
      <c r="AS627" s="750">
        <f t="shared" ca="1" si="351"/>
        <v>0</v>
      </c>
      <c r="AT627" s="750">
        <f t="shared" ca="1" si="352"/>
        <v>0</v>
      </c>
      <c r="AU627" s="126">
        <f t="shared" ca="1" si="371"/>
        <v>0</v>
      </c>
      <c r="AV627" s="126">
        <f t="shared" ca="1" si="372"/>
        <v>0</v>
      </c>
      <c r="AW627" s="126">
        <f t="shared" ca="1" si="353"/>
        <v>10000</v>
      </c>
      <c r="AX627" s="750">
        <f t="shared" ca="1" si="373"/>
        <v>0</v>
      </c>
      <c r="AY627" s="750">
        <f t="shared" ca="1" si="374"/>
        <v>0</v>
      </c>
      <c r="AZ627">
        <f t="shared" si="375"/>
        <v>5750</v>
      </c>
    </row>
    <row r="628" spans="4:52">
      <c r="D628">
        <v>621</v>
      </c>
      <c r="E628" s="6">
        <f t="shared" ca="1" si="354"/>
        <v>33878</v>
      </c>
      <c r="F628" s="7">
        <f t="shared" ca="1" si="355"/>
        <v>0</v>
      </c>
      <c r="G628" s="125">
        <f ca="1">IF('Simulador - 1º Pilar'!$E$99="Sí",IF('Aportaciones PPE'!$B$13&lt;'Aportaciones PPE'!E628,0,F628*$B$8/12),F628*$B$8/12)</f>
        <v>0</v>
      </c>
      <c r="H628" s="125">
        <f t="shared" ca="1" si="344"/>
        <v>0</v>
      </c>
      <c r="I628" s="125">
        <f t="shared" ca="1" si="356"/>
        <v>0</v>
      </c>
      <c r="J628" s="125">
        <f t="shared" ca="1" si="357"/>
        <v>0</v>
      </c>
      <c r="K628" s="125">
        <f t="shared" ca="1" si="358"/>
        <v>0</v>
      </c>
      <c r="L628" s="125">
        <f t="shared" ca="1" si="376"/>
        <v>0</v>
      </c>
      <c r="M628" s="125">
        <f t="shared" ca="1" si="359"/>
        <v>0</v>
      </c>
      <c r="N628" s="125">
        <f t="shared" ca="1" si="360"/>
        <v>0</v>
      </c>
      <c r="R628">
        <f t="shared" si="377"/>
        <v>621</v>
      </c>
      <c r="U628" s="55"/>
      <c r="V628">
        <f t="shared" si="378"/>
        <v>10</v>
      </c>
      <c r="W628">
        <f t="shared" ca="1" si="379"/>
        <v>2075</v>
      </c>
      <c r="X628" s="123">
        <f t="shared" ca="1" si="361"/>
        <v>64193</v>
      </c>
      <c r="Y628" s="64">
        <f t="shared" ca="1" si="362"/>
        <v>0</v>
      </c>
      <c r="Z628" s="64">
        <f t="shared" ca="1" si="363"/>
        <v>0</v>
      </c>
      <c r="AA628" s="64">
        <f t="shared" ca="1" si="364"/>
        <v>0</v>
      </c>
      <c r="AB628" s="64">
        <f t="shared" ca="1" si="365"/>
        <v>0</v>
      </c>
      <c r="AF628" t="str">
        <f t="shared" ca="1" si="345"/>
        <v>101992</v>
      </c>
      <c r="AG628" s="126">
        <f t="shared" ca="1" si="346"/>
        <v>0</v>
      </c>
      <c r="AH628" s="126">
        <f t="shared" ca="1" si="347"/>
        <v>0</v>
      </c>
      <c r="AI628" s="126">
        <f t="shared" ca="1" si="348"/>
        <v>0</v>
      </c>
      <c r="AJ628" t="str">
        <f t="shared" ca="1" si="349"/>
        <v>102075</v>
      </c>
      <c r="AK628" s="126">
        <f t="shared" ca="1" si="366"/>
        <v>0</v>
      </c>
      <c r="AL628" s="126">
        <f t="shared" ca="1" si="367"/>
        <v>0</v>
      </c>
      <c r="AM628" s="126">
        <f t="shared" ca="1" si="380"/>
        <v>0</v>
      </c>
      <c r="AN628" s="753">
        <f t="shared" ca="1" si="381"/>
        <v>0</v>
      </c>
      <c r="AO628" s="750">
        <f t="shared" ca="1" si="368"/>
        <v>0</v>
      </c>
      <c r="AP628" s="126">
        <f t="shared" ca="1" si="369"/>
        <v>0</v>
      </c>
      <c r="AQ628" s="126">
        <f t="shared" ca="1" si="370"/>
        <v>0</v>
      </c>
      <c r="AR628" s="126">
        <f t="shared" ca="1" si="350"/>
        <v>10000</v>
      </c>
      <c r="AS628" s="750">
        <f t="shared" ca="1" si="351"/>
        <v>0</v>
      </c>
      <c r="AT628" s="750">
        <f t="shared" ca="1" si="352"/>
        <v>0</v>
      </c>
      <c r="AU628" s="126">
        <f t="shared" ca="1" si="371"/>
        <v>0</v>
      </c>
      <c r="AV628" s="126">
        <f t="shared" ca="1" si="372"/>
        <v>0</v>
      </c>
      <c r="AW628" s="126">
        <f t="shared" ca="1" si="353"/>
        <v>10000</v>
      </c>
      <c r="AX628" s="750">
        <f t="shared" ca="1" si="373"/>
        <v>0</v>
      </c>
      <c r="AY628" s="750">
        <f t="shared" ca="1" si="374"/>
        <v>0</v>
      </c>
      <c r="AZ628">
        <f t="shared" si="375"/>
        <v>5750</v>
      </c>
    </row>
    <row r="629" spans="4:52">
      <c r="D629">
        <v>622</v>
      </c>
      <c r="E629" s="6">
        <f t="shared" ca="1" si="354"/>
        <v>33848</v>
      </c>
      <c r="F629" s="7">
        <f t="shared" ca="1" si="355"/>
        <v>0</v>
      </c>
      <c r="G629" s="125">
        <f ca="1">IF('Simulador - 1º Pilar'!$E$99="Sí",IF('Aportaciones PPE'!$B$13&lt;'Aportaciones PPE'!E629,0,F629*$B$8/12),F629*$B$8/12)</f>
        <v>0</v>
      </c>
      <c r="H629" s="125">
        <f t="shared" ca="1" si="344"/>
        <v>0</v>
      </c>
      <c r="I629" s="125">
        <f t="shared" ca="1" si="356"/>
        <v>0</v>
      </c>
      <c r="J629" s="125">
        <f t="shared" ca="1" si="357"/>
        <v>0</v>
      </c>
      <c r="K629" s="125">
        <f t="shared" ca="1" si="358"/>
        <v>0</v>
      </c>
      <c r="L629" s="125">
        <f t="shared" ca="1" si="376"/>
        <v>0</v>
      </c>
      <c r="M629" s="125">
        <f t="shared" ca="1" si="359"/>
        <v>0</v>
      </c>
      <c r="N629" s="125">
        <f t="shared" ca="1" si="360"/>
        <v>0</v>
      </c>
      <c r="R629">
        <f t="shared" si="377"/>
        <v>622</v>
      </c>
      <c r="U629" s="55"/>
      <c r="V629">
        <f t="shared" si="378"/>
        <v>11</v>
      </c>
      <c r="W629">
        <f t="shared" ca="1" si="379"/>
        <v>2075</v>
      </c>
      <c r="X629" s="123">
        <f t="shared" ca="1" si="361"/>
        <v>64224</v>
      </c>
      <c r="Y629" s="64">
        <f t="shared" ca="1" si="362"/>
        <v>0</v>
      </c>
      <c r="Z629" s="64">
        <f t="shared" ca="1" si="363"/>
        <v>0</v>
      </c>
      <c r="AA629" s="64">
        <f t="shared" ca="1" si="364"/>
        <v>0</v>
      </c>
      <c r="AB629" s="64">
        <f t="shared" ca="1" si="365"/>
        <v>0</v>
      </c>
      <c r="AF629" t="str">
        <f t="shared" ca="1" si="345"/>
        <v>91992</v>
      </c>
      <c r="AG629" s="126">
        <f t="shared" ca="1" si="346"/>
        <v>0</v>
      </c>
      <c r="AH629" s="126">
        <f t="shared" ca="1" si="347"/>
        <v>0</v>
      </c>
      <c r="AI629" s="126">
        <f t="shared" ca="1" si="348"/>
        <v>0</v>
      </c>
      <c r="AJ629" t="str">
        <f t="shared" ca="1" si="349"/>
        <v>112075</v>
      </c>
      <c r="AK629" s="126">
        <f t="shared" ca="1" si="366"/>
        <v>0</v>
      </c>
      <c r="AL629" s="126">
        <f t="shared" ca="1" si="367"/>
        <v>0</v>
      </c>
      <c r="AM629" s="126">
        <f t="shared" ca="1" si="380"/>
        <v>0</v>
      </c>
      <c r="AN629" s="753">
        <f t="shared" ca="1" si="381"/>
        <v>0</v>
      </c>
      <c r="AO629" s="750">
        <f t="shared" ca="1" si="368"/>
        <v>0</v>
      </c>
      <c r="AP629" s="126">
        <f t="shared" ca="1" si="369"/>
        <v>0</v>
      </c>
      <c r="AQ629" s="126">
        <f t="shared" ca="1" si="370"/>
        <v>0</v>
      </c>
      <c r="AR629" s="126">
        <f t="shared" ca="1" si="350"/>
        <v>10000</v>
      </c>
      <c r="AS629" s="750">
        <f t="shared" ca="1" si="351"/>
        <v>0</v>
      </c>
      <c r="AT629" s="750">
        <f t="shared" ca="1" si="352"/>
        <v>0</v>
      </c>
      <c r="AU629" s="126">
        <f t="shared" ca="1" si="371"/>
        <v>0</v>
      </c>
      <c r="AV629" s="126">
        <f t="shared" ca="1" si="372"/>
        <v>0</v>
      </c>
      <c r="AW629" s="126">
        <f t="shared" ca="1" si="353"/>
        <v>10000</v>
      </c>
      <c r="AX629" s="750">
        <f t="shared" ca="1" si="373"/>
        <v>0</v>
      </c>
      <c r="AY629" s="750">
        <f t="shared" ca="1" si="374"/>
        <v>0</v>
      </c>
      <c r="AZ629">
        <f t="shared" si="375"/>
        <v>5750</v>
      </c>
    </row>
    <row r="630" spans="4:52">
      <c r="D630">
        <v>623</v>
      </c>
      <c r="E630" s="6">
        <f t="shared" ca="1" si="354"/>
        <v>33817</v>
      </c>
      <c r="F630" s="7">
        <f t="shared" ca="1" si="355"/>
        <v>0</v>
      </c>
      <c r="G630" s="125">
        <f ca="1">IF('Simulador - 1º Pilar'!$E$99="Sí",IF('Aportaciones PPE'!$B$13&lt;'Aportaciones PPE'!E630,0,F630*$B$8/12),F630*$B$8/12)</f>
        <v>0</v>
      </c>
      <c r="H630" s="125">
        <f t="shared" ca="1" si="344"/>
        <v>0</v>
      </c>
      <c r="I630" s="125">
        <f t="shared" ca="1" si="356"/>
        <v>0</v>
      </c>
      <c r="J630" s="125">
        <f t="shared" ca="1" si="357"/>
        <v>0</v>
      </c>
      <c r="K630" s="125">
        <f t="shared" ca="1" si="358"/>
        <v>0</v>
      </c>
      <c r="L630" s="125">
        <f t="shared" ca="1" si="376"/>
        <v>0</v>
      </c>
      <c r="M630" s="125">
        <f t="shared" ca="1" si="359"/>
        <v>0</v>
      </c>
      <c r="N630" s="125">
        <f t="shared" ca="1" si="360"/>
        <v>0</v>
      </c>
      <c r="R630">
        <f t="shared" si="377"/>
        <v>623</v>
      </c>
      <c r="U630" s="55"/>
      <c r="V630">
        <f t="shared" si="378"/>
        <v>12</v>
      </c>
      <c r="W630">
        <f t="shared" ca="1" si="379"/>
        <v>2075</v>
      </c>
      <c r="X630" s="123">
        <f t="shared" ca="1" si="361"/>
        <v>64254</v>
      </c>
      <c r="Y630" s="64">
        <f t="shared" ca="1" si="362"/>
        <v>0</v>
      </c>
      <c r="Z630" s="64">
        <f t="shared" ca="1" si="363"/>
        <v>0</v>
      </c>
      <c r="AA630" s="64">
        <f t="shared" ca="1" si="364"/>
        <v>0</v>
      </c>
      <c r="AB630" s="64">
        <f t="shared" ca="1" si="365"/>
        <v>0</v>
      </c>
      <c r="AF630" t="str">
        <f t="shared" ca="1" si="345"/>
        <v>81992</v>
      </c>
      <c r="AG630" s="126">
        <f t="shared" ca="1" si="346"/>
        <v>0</v>
      </c>
      <c r="AH630" s="126">
        <f t="shared" ca="1" si="347"/>
        <v>0</v>
      </c>
      <c r="AI630" s="126">
        <f t="shared" ca="1" si="348"/>
        <v>0</v>
      </c>
      <c r="AJ630" t="str">
        <f t="shared" ca="1" si="349"/>
        <v>122075</v>
      </c>
      <c r="AK630" s="126">
        <f t="shared" ca="1" si="366"/>
        <v>0</v>
      </c>
      <c r="AL630" s="126">
        <f t="shared" ca="1" si="367"/>
        <v>0</v>
      </c>
      <c r="AM630" s="126">
        <f t="shared" ca="1" si="380"/>
        <v>0</v>
      </c>
      <c r="AN630" s="753">
        <f t="shared" ca="1" si="381"/>
        <v>0</v>
      </c>
      <c r="AO630" s="750">
        <f t="shared" ca="1" si="368"/>
        <v>0</v>
      </c>
      <c r="AP630" s="126">
        <f t="shared" ca="1" si="369"/>
        <v>0</v>
      </c>
      <c r="AQ630" s="126">
        <f t="shared" ca="1" si="370"/>
        <v>0</v>
      </c>
      <c r="AR630" s="126">
        <f t="shared" ca="1" si="350"/>
        <v>10000</v>
      </c>
      <c r="AS630" s="750">
        <f t="shared" ca="1" si="351"/>
        <v>0</v>
      </c>
      <c r="AT630" s="750">
        <f t="shared" ca="1" si="352"/>
        <v>0</v>
      </c>
      <c r="AU630" s="126">
        <f t="shared" ca="1" si="371"/>
        <v>0</v>
      </c>
      <c r="AV630" s="126">
        <f t="shared" ca="1" si="372"/>
        <v>0</v>
      </c>
      <c r="AW630" s="126">
        <f t="shared" ca="1" si="353"/>
        <v>10000</v>
      </c>
      <c r="AX630" s="750">
        <f t="shared" ca="1" si="373"/>
        <v>0</v>
      </c>
      <c r="AY630" s="750">
        <f t="shared" ca="1" si="374"/>
        <v>0</v>
      </c>
      <c r="AZ630">
        <f t="shared" si="375"/>
        <v>5750</v>
      </c>
    </row>
    <row r="631" spans="4:52">
      <c r="D631">
        <v>624</v>
      </c>
      <c r="E631" s="6">
        <f t="shared" ca="1" si="354"/>
        <v>33786</v>
      </c>
      <c r="F631" s="7">
        <f t="shared" ca="1" si="355"/>
        <v>0</v>
      </c>
      <c r="G631" s="125">
        <f ca="1">IF('Simulador - 1º Pilar'!$E$99="Sí",IF('Aportaciones PPE'!$B$13&lt;'Aportaciones PPE'!E631,0,F631*$B$8/12),F631*$B$8/12)</f>
        <v>0</v>
      </c>
      <c r="H631" s="125">
        <f t="shared" ca="1" si="344"/>
        <v>0</v>
      </c>
      <c r="I631" s="125">
        <f t="shared" ca="1" si="356"/>
        <v>0</v>
      </c>
      <c r="J631" s="125">
        <f t="shared" ca="1" si="357"/>
        <v>0</v>
      </c>
      <c r="K631" s="125">
        <f t="shared" ca="1" si="358"/>
        <v>0</v>
      </c>
      <c r="L631" s="125">
        <f t="shared" ca="1" si="376"/>
        <v>0</v>
      </c>
      <c r="M631" s="125">
        <f t="shared" ca="1" si="359"/>
        <v>0</v>
      </c>
      <c r="N631" s="125">
        <f t="shared" ca="1" si="360"/>
        <v>0</v>
      </c>
      <c r="R631">
        <f t="shared" si="377"/>
        <v>624</v>
      </c>
      <c r="U631" s="55"/>
      <c r="V631">
        <f t="shared" si="378"/>
        <v>1</v>
      </c>
      <c r="W631">
        <f t="shared" ca="1" si="379"/>
        <v>2076</v>
      </c>
      <c r="X631" s="123">
        <f t="shared" ca="1" si="361"/>
        <v>64285</v>
      </c>
      <c r="Y631" s="64">
        <f t="shared" ca="1" si="362"/>
        <v>0</v>
      </c>
      <c r="Z631" s="64">
        <f t="shared" ca="1" si="363"/>
        <v>0</v>
      </c>
      <c r="AA631" s="64">
        <f t="shared" ca="1" si="364"/>
        <v>0</v>
      </c>
      <c r="AB631" s="64">
        <f t="shared" ca="1" si="365"/>
        <v>0</v>
      </c>
      <c r="AF631" t="str">
        <f t="shared" ca="1" si="345"/>
        <v>71992</v>
      </c>
      <c r="AG631" s="126">
        <f t="shared" ca="1" si="346"/>
        <v>0</v>
      </c>
      <c r="AH631" s="126">
        <f t="shared" ca="1" si="347"/>
        <v>0</v>
      </c>
      <c r="AI631" s="126">
        <f t="shared" ca="1" si="348"/>
        <v>0</v>
      </c>
      <c r="AJ631" t="str">
        <f t="shared" ca="1" si="349"/>
        <v>12076</v>
      </c>
      <c r="AK631" s="126">
        <f t="shared" ca="1" si="366"/>
        <v>0</v>
      </c>
      <c r="AL631" s="126">
        <f t="shared" ca="1" si="367"/>
        <v>0</v>
      </c>
      <c r="AM631" s="126">
        <f t="shared" ca="1" si="380"/>
        <v>0</v>
      </c>
      <c r="AN631" s="753">
        <f t="shared" ca="1" si="381"/>
        <v>0</v>
      </c>
      <c r="AO631" s="750">
        <f t="shared" ca="1" si="368"/>
        <v>0</v>
      </c>
      <c r="AP631" s="126">
        <f t="shared" ca="1" si="369"/>
        <v>0</v>
      </c>
      <c r="AQ631" s="126">
        <f t="shared" ca="1" si="370"/>
        <v>0</v>
      </c>
      <c r="AR631" s="126">
        <f t="shared" ca="1" si="350"/>
        <v>10000</v>
      </c>
      <c r="AS631" s="750">
        <f t="shared" ca="1" si="351"/>
        <v>0</v>
      </c>
      <c r="AT631" s="750">
        <f t="shared" ca="1" si="352"/>
        <v>0</v>
      </c>
      <c r="AU631" s="126">
        <f t="shared" ca="1" si="371"/>
        <v>0</v>
      </c>
      <c r="AV631" s="126">
        <f t="shared" ca="1" si="372"/>
        <v>0</v>
      </c>
      <c r="AW631" s="126">
        <f t="shared" ca="1" si="353"/>
        <v>10000</v>
      </c>
      <c r="AX631" s="750">
        <f t="shared" ca="1" si="373"/>
        <v>0</v>
      </c>
      <c r="AY631" s="750">
        <f t="shared" ca="1" si="374"/>
        <v>0</v>
      </c>
      <c r="AZ631">
        <f t="shared" si="375"/>
        <v>5750</v>
      </c>
    </row>
    <row r="632" spans="4:52">
      <c r="D632">
        <v>625</v>
      </c>
      <c r="E632" s="6">
        <f t="shared" ca="1" si="354"/>
        <v>33756</v>
      </c>
      <c r="F632" s="7">
        <f t="shared" ca="1" si="355"/>
        <v>0</v>
      </c>
      <c r="G632" s="125">
        <f ca="1">IF('Simulador - 1º Pilar'!$E$99="Sí",IF('Aportaciones PPE'!$B$13&lt;'Aportaciones PPE'!E632,0,F632*$B$8/12),F632*$B$8/12)</f>
        <v>0</v>
      </c>
      <c r="H632" s="125">
        <f t="shared" ca="1" si="344"/>
        <v>0</v>
      </c>
      <c r="I632" s="125">
        <f t="shared" ca="1" si="356"/>
        <v>0</v>
      </c>
      <c r="J632" s="125">
        <f t="shared" ca="1" si="357"/>
        <v>0</v>
      </c>
      <c r="K632" s="125">
        <f t="shared" ca="1" si="358"/>
        <v>0</v>
      </c>
      <c r="L632" s="125">
        <f t="shared" ca="1" si="376"/>
        <v>0</v>
      </c>
      <c r="M632" s="125">
        <f t="shared" ca="1" si="359"/>
        <v>0</v>
      </c>
      <c r="N632" s="125">
        <f t="shared" ca="1" si="360"/>
        <v>0</v>
      </c>
      <c r="R632">
        <f t="shared" si="377"/>
        <v>625</v>
      </c>
      <c r="U632" s="55"/>
      <c r="V632">
        <f t="shared" si="378"/>
        <v>2</v>
      </c>
      <c r="W632">
        <f t="shared" ca="1" si="379"/>
        <v>2076</v>
      </c>
      <c r="X632" s="123">
        <f t="shared" ca="1" si="361"/>
        <v>64316</v>
      </c>
      <c r="Y632" s="64">
        <f t="shared" ca="1" si="362"/>
        <v>0</v>
      </c>
      <c r="Z632" s="64">
        <f t="shared" ca="1" si="363"/>
        <v>0</v>
      </c>
      <c r="AA632" s="64">
        <f t="shared" ca="1" si="364"/>
        <v>0</v>
      </c>
      <c r="AB632" s="64">
        <f t="shared" ca="1" si="365"/>
        <v>0</v>
      </c>
      <c r="AF632" t="str">
        <f t="shared" ca="1" si="345"/>
        <v>61992</v>
      </c>
      <c r="AG632" s="126">
        <f t="shared" ca="1" si="346"/>
        <v>0</v>
      </c>
      <c r="AH632" s="126">
        <f t="shared" ca="1" si="347"/>
        <v>0</v>
      </c>
      <c r="AI632" s="126">
        <f t="shared" ca="1" si="348"/>
        <v>0</v>
      </c>
      <c r="AJ632" t="str">
        <f t="shared" ca="1" si="349"/>
        <v>22076</v>
      </c>
      <c r="AK632" s="126">
        <f t="shared" ca="1" si="366"/>
        <v>0</v>
      </c>
      <c r="AL632" s="126">
        <f t="shared" ca="1" si="367"/>
        <v>0</v>
      </c>
      <c r="AM632" s="126">
        <f t="shared" ca="1" si="380"/>
        <v>0</v>
      </c>
      <c r="AN632" s="753">
        <f t="shared" ca="1" si="381"/>
        <v>0</v>
      </c>
      <c r="AO632" s="750">
        <f t="shared" ca="1" si="368"/>
        <v>0</v>
      </c>
      <c r="AP632" s="126">
        <f t="shared" ca="1" si="369"/>
        <v>0</v>
      </c>
      <c r="AQ632" s="126">
        <f t="shared" ca="1" si="370"/>
        <v>0</v>
      </c>
      <c r="AR632" s="126">
        <f t="shared" ca="1" si="350"/>
        <v>10000</v>
      </c>
      <c r="AS632" s="750">
        <f t="shared" ca="1" si="351"/>
        <v>0</v>
      </c>
      <c r="AT632" s="750">
        <f t="shared" ca="1" si="352"/>
        <v>0</v>
      </c>
      <c r="AU632" s="126">
        <f t="shared" ca="1" si="371"/>
        <v>0</v>
      </c>
      <c r="AV632" s="126">
        <f t="shared" ca="1" si="372"/>
        <v>0</v>
      </c>
      <c r="AW632" s="126">
        <f t="shared" ca="1" si="353"/>
        <v>10000</v>
      </c>
      <c r="AX632" s="750">
        <f t="shared" ca="1" si="373"/>
        <v>0</v>
      </c>
      <c r="AY632" s="750">
        <f t="shared" ca="1" si="374"/>
        <v>0</v>
      </c>
      <c r="AZ632">
        <f t="shared" si="375"/>
        <v>5750</v>
      </c>
    </row>
    <row r="633" spans="4:52">
      <c r="D633">
        <v>626</v>
      </c>
      <c r="E633" s="6">
        <f t="shared" ca="1" si="354"/>
        <v>33725</v>
      </c>
      <c r="F633" s="7">
        <f t="shared" ca="1" si="355"/>
        <v>0</v>
      </c>
      <c r="G633" s="125">
        <f ca="1">IF('Simulador - 1º Pilar'!$E$99="Sí",IF('Aportaciones PPE'!$B$13&lt;'Aportaciones PPE'!E633,0,F633*$B$8/12),F633*$B$8/12)</f>
        <v>0</v>
      </c>
      <c r="H633" s="125">
        <f t="shared" ca="1" si="344"/>
        <v>0</v>
      </c>
      <c r="I633" s="125">
        <f t="shared" ca="1" si="356"/>
        <v>0</v>
      </c>
      <c r="J633" s="125">
        <f t="shared" ca="1" si="357"/>
        <v>0</v>
      </c>
      <c r="K633" s="125">
        <f t="shared" ca="1" si="358"/>
        <v>0</v>
      </c>
      <c r="L633" s="125">
        <f t="shared" ca="1" si="376"/>
        <v>0</v>
      </c>
      <c r="M633" s="125">
        <f t="shared" ca="1" si="359"/>
        <v>0</v>
      </c>
      <c r="N633" s="125">
        <f t="shared" ca="1" si="360"/>
        <v>0</v>
      </c>
      <c r="R633">
        <f t="shared" si="377"/>
        <v>626</v>
      </c>
      <c r="U633" s="55"/>
      <c r="V633">
        <f t="shared" si="378"/>
        <v>3</v>
      </c>
      <c r="W633">
        <f t="shared" ca="1" si="379"/>
        <v>2076</v>
      </c>
      <c r="X633" s="123">
        <f t="shared" ca="1" si="361"/>
        <v>64345</v>
      </c>
      <c r="Y633" s="64">
        <f t="shared" ca="1" si="362"/>
        <v>0</v>
      </c>
      <c r="Z633" s="64">
        <f t="shared" ca="1" si="363"/>
        <v>0</v>
      </c>
      <c r="AA633" s="64">
        <f t="shared" ca="1" si="364"/>
        <v>0</v>
      </c>
      <c r="AB633" s="64">
        <f t="shared" ca="1" si="365"/>
        <v>0</v>
      </c>
      <c r="AF633" t="str">
        <f t="shared" ca="1" si="345"/>
        <v>51992</v>
      </c>
      <c r="AG633" s="126">
        <f t="shared" ca="1" si="346"/>
        <v>0</v>
      </c>
      <c r="AH633" s="126">
        <f t="shared" ca="1" si="347"/>
        <v>0</v>
      </c>
      <c r="AI633" s="126">
        <f t="shared" ca="1" si="348"/>
        <v>0</v>
      </c>
      <c r="AJ633" t="str">
        <f t="shared" ca="1" si="349"/>
        <v>32076</v>
      </c>
      <c r="AK633" s="126">
        <f t="shared" ca="1" si="366"/>
        <v>0</v>
      </c>
      <c r="AL633" s="126">
        <f t="shared" ca="1" si="367"/>
        <v>0</v>
      </c>
      <c r="AM633" s="126">
        <f t="shared" ca="1" si="380"/>
        <v>0</v>
      </c>
      <c r="AN633" s="753">
        <f t="shared" ca="1" si="381"/>
        <v>0</v>
      </c>
      <c r="AO633" s="750">
        <f t="shared" ca="1" si="368"/>
        <v>0</v>
      </c>
      <c r="AP633" s="126">
        <f t="shared" ca="1" si="369"/>
        <v>0</v>
      </c>
      <c r="AQ633" s="126">
        <f t="shared" ca="1" si="370"/>
        <v>0</v>
      </c>
      <c r="AR633" s="126">
        <f t="shared" ca="1" si="350"/>
        <v>10000</v>
      </c>
      <c r="AS633" s="750">
        <f t="shared" ca="1" si="351"/>
        <v>0</v>
      </c>
      <c r="AT633" s="750">
        <f t="shared" ca="1" si="352"/>
        <v>0</v>
      </c>
      <c r="AU633" s="126">
        <f t="shared" ca="1" si="371"/>
        <v>0</v>
      </c>
      <c r="AV633" s="126">
        <f t="shared" ca="1" si="372"/>
        <v>0</v>
      </c>
      <c r="AW633" s="126">
        <f t="shared" ca="1" si="353"/>
        <v>10000</v>
      </c>
      <c r="AX633" s="750">
        <f t="shared" ca="1" si="373"/>
        <v>0</v>
      </c>
      <c r="AY633" s="750">
        <f t="shared" ca="1" si="374"/>
        <v>0</v>
      </c>
      <c r="AZ633">
        <f t="shared" si="375"/>
        <v>5750</v>
      </c>
    </row>
    <row r="634" spans="4:52">
      <c r="D634">
        <v>627</v>
      </c>
      <c r="E634" s="6">
        <f t="shared" ca="1" si="354"/>
        <v>33695</v>
      </c>
      <c r="F634" s="7">
        <f t="shared" ca="1" si="355"/>
        <v>0</v>
      </c>
      <c r="G634" s="125">
        <f ca="1">IF('Simulador - 1º Pilar'!$E$99="Sí",IF('Aportaciones PPE'!$B$13&lt;'Aportaciones PPE'!E634,0,F634*$B$8/12),F634*$B$8/12)</f>
        <v>0</v>
      </c>
      <c r="H634" s="125">
        <f t="shared" ca="1" si="344"/>
        <v>0</v>
      </c>
      <c r="I634" s="125">
        <f t="shared" ca="1" si="356"/>
        <v>0</v>
      </c>
      <c r="J634" s="125">
        <f t="shared" ca="1" si="357"/>
        <v>0</v>
      </c>
      <c r="K634" s="125">
        <f t="shared" ca="1" si="358"/>
        <v>0</v>
      </c>
      <c r="L634" s="125">
        <f t="shared" ca="1" si="376"/>
        <v>0</v>
      </c>
      <c r="M634" s="125">
        <f t="shared" ca="1" si="359"/>
        <v>0</v>
      </c>
      <c r="N634" s="125">
        <f t="shared" ca="1" si="360"/>
        <v>0</v>
      </c>
      <c r="R634">
        <f t="shared" si="377"/>
        <v>627</v>
      </c>
      <c r="U634" s="55"/>
      <c r="V634">
        <f t="shared" si="378"/>
        <v>4</v>
      </c>
      <c r="W634">
        <f t="shared" ca="1" si="379"/>
        <v>2076</v>
      </c>
      <c r="X634" s="123">
        <f t="shared" ca="1" si="361"/>
        <v>64376</v>
      </c>
      <c r="Y634" s="64">
        <f t="shared" ca="1" si="362"/>
        <v>0</v>
      </c>
      <c r="Z634" s="64">
        <f t="shared" ca="1" si="363"/>
        <v>0</v>
      </c>
      <c r="AA634" s="64">
        <f t="shared" ca="1" si="364"/>
        <v>0</v>
      </c>
      <c r="AB634" s="64">
        <f t="shared" ca="1" si="365"/>
        <v>0</v>
      </c>
      <c r="AF634" t="str">
        <f t="shared" ca="1" si="345"/>
        <v>41992</v>
      </c>
      <c r="AG634" s="126">
        <f t="shared" ca="1" si="346"/>
        <v>0</v>
      </c>
      <c r="AH634" s="126">
        <f t="shared" ca="1" si="347"/>
        <v>0</v>
      </c>
      <c r="AI634" s="126">
        <f t="shared" ca="1" si="348"/>
        <v>0</v>
      </c>
      <c r="AJ634" t="str">
        <f t="shared" ca="1" si="349"/>
        <v>42076</v>
      </c>
      <c r="AK634" s="126">
        <f t="shared" ca="1" si="366"/>
        <v>0</v>
      </c>
      <c r="AL634" s="126">
        <f t="shared" ca="1" si="367"/>
        <v>0</v>
      </c>
      <c r="AM634" s="126">
        <f t="shared" ca="1" si="380"/>
        <v>0</v>
      </c>
      <c r="AN634" s="753">
        <f t="shared" ca="1" si="381"/>
        <v>0</v>
      </c>
      <c r="AO634" s="750">
        <f t="shared" ca="1" si="368"/>
        <v>0</v>
      </c>
      <c r="AP634" s="126">
        <f t="shared" ca="1" si="369"/>
        <v>0</v>
      </c>
      <c r="AQ634" s="126">
        <f t="shared" ca="1" si="370"/>
        <v>0</v>
      </c>
      <c r="AR634" s="126">
        <f t="shared" ca="1" si="350"/>
        <v>10000</v>
      </c>
      <c r="AS634" s="750">
        <f t="shared" ca="1" si="351"/>
        <v>0</v>
      </c>
      <c r="AT634" s="750">
        <f t="shared" ca="1" si="352"/>
        <v>0</v>
      </c>
      <c r="AU634" s="126">
        <f t="shared" ca="1" si="371"/>
        <v>0</v>
      </c>
      <c r="AV634" s="126">
        <f t="shared" ca="1" si="372"/>
        <v>0</v>
      </c>
      <c r="AW634" s="126">
        <f t="shared" ca="1" si="353"/>
        <v>10000</v>
      </c>
      <c r="AX634" s="750">
        <f t="shared" ca="1" si="373"/>
        <v>0</v>
      </c>
      <c r="AY634" s="750">
        <f t="shared" ca="1" si="374"/>
        <v>0</v>
      </c>
      <c r="AZ634">
        <f t="shared" si="375"/>
        <v>5750</v>
      </c>
    </row>
    <row r="635" spans="4:52">
      <c r="D635">
        <v>628</v>
      </c>
      <c r="E635" s="6">
        <f t="shared" ca="1" si="354"/>
        <v>33664</v>
      </c>
      <c r="F635" s="7">
        <f t="shared" ca="1" si="355"/>
        <v>0</v>
      </c>
      <c r="G635" s="125">
        <f ca="1">IF('Simulador - 1º Pilar'!$E$99="Sí",IF('Aportaciones PPE'!$B$13&lt;'Aportaciones PPE'!E635,0,F635*$B$8/12),F635*$B$8/12)</f>
        <v>0</v>
      </c>
      <c r="H635" s="125">
        <f t="shared" ca="1" si="344"/>
        <v>0</v>
      </c>
      <c r="I635" s="125">
        <f t="shared" ca="1" si="356"/>
        <v>0</v>
      </c>
      <c r="J635" s="125">
        <f t="shared" ca="1" si="357"/>
        <v>0</v>
      </c>
      <c r="K635" s="125">
        <f t="shared" ca="1" si="358"/>
        <v>0</v>
      </c>
      <c r="L635" s="125">
        <f t="shared" ca="1" si="376"/>
        <v>0</v>
      </c>
      <c r="M635" s="125">
        <f t="shared" ca="1" si="359"/>
        <v>0</v>
      </c>
      <c r="N635" s="125">
        <f t="shared" ca="1" si="360"/>
        <v>0</v>
      </c>
      <c r="R635">
        <f t="shared" si="377"/>
        <v>628</v>
      </c>
      <c r="U635" s="55"/>
      <c r="V635">
        <f t="shared" si="378"/>
        <v>5</v>
      </c>
      <c r="W635">
        <f t="shared" ca="1" si="379"/>
        <v>2076</v>
      </c>
      <c r="X635" s="123">
        <f t="shared" ca="1" si="361"/>
        <v>64406</v>
      </c>
      <c r="Y635" s="64">
        <f t="shared" ca="1" si="362"/>
        <v>0</v>
      </c>
      <c r="Z635" s="64">
        <f t="shared" ca="1" si="363"/>
        <v>0</v>
      </c>
      <c r="AA635" s="64">
        <f t="shared" ca="1" si="364"/>
        <v>0</v>
      </c>
      <c r="AB635" s="64">
        <f t="shared" ca="1" si="365"/>
        <v>0</v>
      </c>
      <c r="AF635" t="str">
        <f t="shared" ca="1" si="345"/>
        <v>31992</v>
      </c>
      <c r="AG635" s="126">
        <f t="shared" ca="1" si="346"/>
        <v>0</v>
      </c>
      <c r="AH635" s="126">
        <f t="shared" ca="1" si="347"/>
        <v>0</v>
      </c>
      <c r="AI635" s="126">
        <f t="shared" ca="1" si="348"/>
        <v>0</v>
      </c>
      <c r="AJ635" t="str">
        <f t="shared" ca="1" si="349"/>
        <v>52076</v>
      </c>
      <c r="AK635" s="126">
        <f t="shared" ca="1" si="366"/>
        <v>0</v>
      </c>
      <c r="AL635" s="126">
        <f t="shared" ca="1" si="367"/>
        <v>0</v>
      </c>
      <c r="AM635" s="126">
        <f t="shared" ca="1" si="380"/>
        <v>0</v>
      </c>
      <c r="AN635" s="753">
        <f t="shared" ca="1" si="381"/>
        <v>0</v>
      </c>
      <c r="AO635" s="750">
        <f t="shared" ca="1" si="368"/>
        <v>0</v>
      </c>
      <c r="AP635" s="126">
        <f t="shared" ca="1" si="369"/>
        <v>0</v>
      </c>
      <c r="AQ635" s="126">
        <f t="shared" ca="1" si="370"/>
        <v>0</v>
      </c>
      <c r="AR635" s="126">
        <f t="shared" ca="1" si="350"/>
        <v>10000</v>
      </c>
      <c r="AS635" s="750">
        <f t="shared" ca="1" si="351"/>
        <v>0</v>
      </c>
      <c r="AT635" s="750">
        <f t="shared" ca="1" si="352"/>
        <v>0</v>
      </c>
      <c r="AU635" s="126">
        <f t="shared" ca="1" si="371"/>
        <v>0</v>
      </c>
      <c r="AV635" s="126">
        <f t="shared" ca="1" si="372"/>
        <v>0</v>
      </c>
      <c r="AW635" s="126">
        <f t="shared" ca="1" si="353"/>
        <v>10000</v>
      </c>
      <c r="AX635" s="750">
        <f t="shared" ca="1" si="373"/>
        <v>0</v>
      </c>
      <c r="AY635" s="750">
        <f t="shared" ca="1" si="374"/>
        <v>0</v>
      </c>
      <c r="AZ635">
        <f t="shared" si="375"/>
        <v>5750</v>
      </c>
    </row>
    <row r="636" spans="4:52">
      <c r="D636">
        <v>629</v>
      </c>
      <c r="E636" s="6">
        <f t="shared" ca="1" si="354"/>
        <v>33635</v>
      </c>
      <c r="F636" s="7">
        <f t="shared" ca="1" si="355"/>
        <v>0</v>
      </c>
      <c r="G636" s="125">
        <f ca="1">IF('Simulador - 1º Pilar'!$E$99="Sí",IF('Aportaciones PPE'!$B$13&lt;'Aportaciones PPE'!E636,0,F636*$B$8/12),F636*$B$8/12)</f>
        <v>0</v>
      </c>
      <c r="H636" s="125">
        <f t="shared" ca="1" si="344"/>
        <v>0</v>
      </c>
      <c r="I636" s="125">
        <f t="shared" ca="1" si="356"/>
        <v>0</v>
      </c>
      <c r="J636" s="125">
        <f t="shared" ca="1" si="357"/>
        <v>0</v>
      </c>
      <c r="K636" s="125">
        <f t="shared" ca="1" si="358"/>
        <v>0</v>
      </c>
      <c r="L636" s="125">
        <f t="shared" ca="1" si="376"/>
        <v>0</v>
      </c>
      <c r="M636" s="125">
        <f t="shared" ca="1" si="359"/>
        <v>0</v>
      </c>
      <c r="N636" s="125">
        <f t="shared" ca="1" si="360"/>
        <v>0</v>
      </c>
      <c r="R636">
        <f t="shared" si="377"/>
        <v>629</v>
      </c>
      <c r="U636" s="55"/>
      <c r="V636">
        <f t="shared" si="378"/>
        <v>6</v>
      </c>
      <c r="W636">
        <f t="shared" ca="1" si="379"/>
        <v>2076</v>
      </c>
      <c r="X636" s="123">
        <f t="shared" ca="1" si="361"/>
        <v>64437</v>
      </c>
      <c r="Y636" s="64">
        <f t="shared" ca="1" si="362"/>
        <v>0</v>
      </c>
      <c r="Z636" s="64">
        <f t="shared" ca="1" si="363"/>
        <v>0</v>
      </c>
      <c r="AA636" s="64">
        <f t="shared" ca="1" si="364"/>
        <v>0</v>
      </c>
      <c r="AB636" s="64">
        <f t="shared" ca="1" si="365"/>
        <v>0</v>
      </c>
      <c r="AF636" t="str">
        <f t="shared" ca="1" si="345"/>
        <v>21992</v>
      </c>
      <c r="AG636" s="126">
        <f t="shared" ca="1" si="346"/>
        <v>0</v>
      </c>
      <c r="AH636" s="126">
        <f t="shared" ca="1" si="347"/>
        <v>0</v>
      </c>
      <c r="AI636" s="126">
        <f t="shared" ca="1" si="348"/>
        <v>0</v>
      </c>
      <c r="AJ636" t="str">
        <f t="shared" ca="1" si="349"/>
        <v>62076</v>
      </c>
      <c r="AK636" s="126">
        <f t="shared" ca="1" si="366"/>
        <v>0</v>
      </c>
      <c r="AL636" s="126">
        <f t="shared" ca="1" si="367"/>
        <v>0</v>
      </c>
      <c r="AM636" s="126">
        <f t="shared" ca="1" si="380"/>
        <v>0</v>
      </c>
      <c r="AN636" s="753">
        <f t="shared" ca="1" si="381"/>
        <v>0</v>
      </c>
      <c r="AO636" s="750">
        <f t="shared" ca="1" si="368"/>
        <v>0</v>
      </c>
      <c r="AP636" s="126">
        <f t="shared" ca="1" si="369"/>
        <v>0</v>
      </c>
      <c r="AQ636" s="126">
        <f t="shared" ca="1" si="370"/>
        <v>0</v>
      </c>
      <c r="AR636" s="126">
        <f t="shared" ca="1" si="350"/>
        <v>10000</v>
      </c>
      <c r="AS636" s="750">
        <f t="shared" ca="1" si="351"/>
        <v>0</v>
      </c>
      <c r="AT636" s="750">
        <f t="shared" ca="1" si="352"/>
        <v>0</v>
      </c>
      <c r="AU636" s="126">
        <f t="shared" ca="1" si="371"/>
        <v>0</v>
      </c>
      <c r="AV636" s="126">
        <f t="shared" ca="1" si="372"/>
        <v>0</v>
      </c>
      <c r="AW636" s="126">
        <f t="shared" ca="1" si="353"/>
        <v>10000</v>
      </c>
      <c r="AX636" s="750">
        <f t="shared" ca="1" si="373"/>
        <v>0</v>
      </c>
      <c r="AY636" s="750">
        <f t="shared" ca="1" si="374"/>
        <v>0</v>
      </c>
      <c r="AZ636">
        <f t="shared" si="375"/>
        <v>5750</v>
      </c>
    </row>
    <row r="637" spans="4:52">
      <c r="D637">
        <v>630</v>
      </c>
      <c r="E637" s="6">
        <f t="shared" ca="1" si="354"/>
        <v>33604</v>
      </c>
      <c r="F637" s="7">
        <f t="shared" ca="1" si="355"/>
        <v>0</v>
      </c>
      <c r="G637" s="125">
        <f ca="1">IF('Simulador - 1º Pilar'!$E$99="Sí",IF('Aportaciones PPE'!$B$13&lt;'Aportaciones PPE'!E637,0,F637*$B$8/12),F637*$B$8/12)</f>
        <v>0</v>
      </c>
      <c r="H637" s="125">
        <f t="shared" ca="1" si="344"/>
        <v>0</v>
      </c>
      <c r="I637" s="125">
        <f t="shared" ca="1" si="356"/>
        <v>0</v>
      </c>
      <c r="J637" s="125">
        <f t="shared" ca="1" si="357"/>
        <v>0</v>
      </c>
      <c r="K637" s="125">
        <f t="shared" ca="1" si="358"/>
        <v>0</v>
      </c>
      <c r="L637" s="125">
        <f t="shared" ca="1" si="376"/>
        <v>0</v>
      </c>
      <c r="M637" s="125">
        <f t="shared" ca="1" si="359"/>
        <v>0</v>
      </c>
      <c r="N637" s="125">
        <f t="shared" ca="1" si="360"/>
        <v>0</v>
      </c>
      <c r="R637">
        <f t="shared" si="377"/>
        <v>630</v>
      </c>
      <c r="U637" s="55"/>
      <c r="V637">
        <f t="shared" si="378"/>
        <v>7</v>
      </c>
      <c r="W637">
        <f t="shared" ca="1" si="379"/>
        <v>2076</v>
      </c>
      <c r="X637" s="123">
        <f t="shared" ca="1" si="361"/>
        <v>64467</v>
      </c>
      <c r="Y637" s="64">
        <f t="shared" ca="1" si="362"/>
        <v>0</v>
      </c>
      <c r="Z637" s="64">
        <f t="shared" ca="1" si="363"/>
        <v>0</v>
      </c>
      <c r="AA637" s="64">
        <f t="shared" ca="1" si="364"/>
        <v>0</v>
      </c>
      <c r="AB637" s="64">
        <f t="shared" ca="1" si="365"/>
        <v>0</v>
      </c>
      <c r="AF637" t="str">
        <f t="shared" ca="1" si="345"/>
        <v>11992</v>
      </c>
      <c r="AG637" s="126">
        <f t="shared" ca="1" si="346"/>
        <v>0</v>
      </c>
      <c r="AH637" s="126">
        <f t="shared" ca="1" si="347"/>
        <v>0</v>
      </c>
      <c r="AI637" s="126">
        <f t="shared" ca="1" si="348"/>
        <v>0</v>
      </c>
      <c r="AJ637" t="str">
        <f t="shared" ca="1" si="349"/>
        <v>72076</v>
      </c>
      <c r="AK637" s="126">
        <f t="shared" ca="1" si="366"/>
        <v>0</v>
      </c>
      <c r="AL637" s="126">
        <f t="shared" ca="1" si="367"/>
        <v>0</v>
      </c>
      <c r="AM637" s="126">
        <f t="shared" ca="1" si="380"/>
        <v>0</v>
      </c>
      <c r="AN637" s="753">
        <f t="shared" ca="1" si="381"/>
        <v>0</v>
      </c>
      <c r="AO637" s="750">
        <f t="shared" ca="1" si="368"/>
        <v>0</v>
      </c>
      <c r="AP637" s="126">
        <f t="shared" ca="1" si="369"/>
        <v>0</v>
      </c>
      <c r="AQ637" s="126">
        <f t="shared" ca="1" si="370"/>
        <v>0</v>
      </c>
      <c r="AR637" s="126">
        <f t="shared" ca="1" si="350"/>
        <v>10000</v>
      </c>
      <c r="AS637" s="750">
        <f t="shared" ca="1" si="351"/>
        <v>0</v>
      </c>
      <c r="AT637" s="750">
        <f t="shared" ca="1" si="352"/>
        <v>0</v>
      </c>
      <c r="AU637" s="126">
        <f t="shared" ca="1" si="371"/>
        <v>0</v>
      </c>
      <c r="AV637" s="126">
        <f t="shared" ca="1" si="372"/>
        <v>0</v>
      </c>
      <c r="AW637" s="126">
        <f t="shared" ca="1" si="353"/>
        <v>10000</v>
      </c>
      <c r="AX637" s="750">
        <f t="shared" ca="1" si="373"/>
        <v>0</v>
      </c>
      <c r="AY637" s="750">
        <f t="shared" ca="1" si="374"/>
        <v>0</v>
      </c>
      <c r="AZ637">
        <f t="shared" si="375"/>
        <v>5750</v>
      </c>
    </row>
    <row r="638" spans="4:52">
      <c r="D638">
        <v>631</v>
      </c>
      <c r="E638" s="6">
        <f t="shared" ca="1" si="354"/>
        <v>33573</v>
      </c>
      <c r="F638" s="7">
        <f t="shared" ca="1" si="355"/>
        <v>0</v>
      </c>
      <c r="G638" s="125">
        <f ca="1">IF('Simulador - 1º Pilar'!$E$99="Sí",IF('Aportaciones PPE'!$B$13&lt;'Aportaciones PPE'!E638,0,F638*$B$8/12),F638*$B$8/12)</f>
        <v>0</v>
      </c>
      <c r="H638" s="125">
        <f t="shared" ca="1" si="344"/>
        <v>0</v>
      </c>
      <c r="I638" s="125">
        <f t="shared" ca="1" si="356"/>
        <v>0</v>
      </c>
      <c r="J638" s="125">
        <f t="shared" ca="1" si="357"/>
        <v>0</v>
      </c>
      <c r="K638" s="125">
        <f t="shared" ca="1" si="358"/>
        <v>0</v>
      </c>
      <c r="L638" s="125">
        <f t="shared" ca="1" si="376"/>
        <v>0</v>
      </c>
      <c r="M638" s="125">
        <f t="shared" ca="1" si="359"/>
        <v>0</v>
      </c>
      <c r="N638" s="125">
        <f t="shared" ca="1" si="360"/>
        <v>0</v>
      </c>
      <c r="R638">
        <f t="shared" si="377"/>
        <v>631</v>
      </c>
      <c r="U638" s="55"/>
      <c r="V638">
        <f t="shared" si="378"/>
        <v>8</v>
      </c>
      <c r="W638">
        <f t="shared" ca="1" si="379"/>
        <v>2076</v>
      </c>
      <c r="X638" s="123">
        <f t="shared" ca="1" si="361"/>
        <v>64498</v>
      </c>
      <c r="Y638" s="64">
        <f t="shared" ca="1" si="362"/>
        <v>0</v>
      </c>
      <c r="Z638" s="64">
        <f t="shared" ca="1" si="363"/>
        <v>0</v>
      </c>
      <c r="AA638" s="64">
        <f t="shared" ca="1" si="364"/>
        <v>0</v>
      </c>
      <c r="AB638" s="64">
        <f t="shared" ca="1" si="365"/>
        <v>0</v>
      </c>
      <c r="AF638" t="str">
        <f t="shared" ca="1" si="345"/>
        <v>121991</v>
      </c>
      <c r="AG638" s="126">
        <f t="shared" ca="1" si="346"/>
        <v>0</v>
      </c>
      <c r="AH638" s="126">
        <f t="shared" ca="1" si="347"/>
        <v>0</v>
      </c>
      <c r="AI638" s="126">
        <f t="shared" ca="1" si="348"/>
        <v>0</v>
      </c>
      <c r="AJ638" t="str">
        <f t="shared" ca="1" si="349"/>
        <v>82076</v>
      </c>
      <c r="AK638" s="126">
        <f t="shared" ca="1" si="366"/>
        <v>0</v>
      </c>
      <c r="AL638" s="126">
        <f t="shared" ca="1" si="367"/>
        <v>0</v>
      </c>
      <c r="AM638" s="126">
        <f t="shared" ca="1" si="380"/>
        <v>0</v>
      </c>
      <c r="AN638" s="753">
        <f t="shared" ca="1" si="381"/>
        <v>0</v>
      </c>
      <c r="AO638" s="750">
        <f t="shared" ca="1" si="368"/>
        <v>0</v>
      </c>
      <c r="AP638" s="126">
        <f t="shared" ca="1" si="369"/>
        <v>0</v>
      </c>
      <c r="AQ638" s="126">
        <f t="shared" ca="1" si="370"/>
        <v>0</v>
      </c>
      <c r="AR638" s="126">
        <f t="shared" ca="1" si="350"/>
        <v>10000</v>
      </c>
      <c r="AS638" s="750">
        <f t="shared" ca="1" si="351"/>
        <v>0</v>
      </c>
      <c r="AT638" s="750">
        <f t="shared" ca="1" si="352"/>
        <v>0</v>
      </c>
      <c r="AU638" s="126">
        <f t="shared" ca="1" si="371"/>
        <v>0</v>
      </c>
      <c r="AV638" s="126">
        <f t="shared" ca="1" si="372"/>
        <v>0</v>
      </c>
      <c r="AW638" s="126">
        <f t="shared" ca="1" si="353"/>
        <v>10000</v>
      </c>
      <c r="AX638" s="750">
        <f t="shared" ca="1" si="373"/>
        <v>0</v>
      </c>
      <c r="AY638" s="750">
        <f t="shared" ca="1" si="374"/>
        <v>0</v>
      </c>
      <c r="AZ638">
        <f t="shared" si="375"/>
        <v>5750</v>
      </c>
    </row>
    <row r="639" spans="4:52">
      <c r="D639">
        <v>632</v>
      </c>
      <c r="E639" s="6">
        <f t="shared" ca="1" si="354"/>
        <v>33543</v>
      </c>
      <c r="F639" s="7">
        <f t="shared" ca="1" si="355"/>
        <v>0</v>
      </c>
      <c r="G639" s="125">
        <f ca="1">IF('Simulador - 1º Pilar'!$E$99="Sí",IF('Aportaciones PPE'!$B$13&lt;'Aportaciones PPE'!E639,0,F639*$B$8/12),F639*$B$8/12)</f>
        <v>0</v>
      </c>
      <c r="H639" s="125">
        <f t="shared" ca="1" si="344"/>
        <v>0</v>
      </c>
      <c r="I639" s="125">
        <f t="shared" ca="1" si="356"/>
        <v>0</v>
      </c>
      <c r="J639" s="125">
        <f t="shared" ca="1" si="357"/>
        <v>0</v>
      </c>
      <c r="K639" s="125">
        <f t="shared" ca="1" si="358"/>
        <v>0</v>
      </c>
      <c r="L639" s="125">
        <f t="shared" ca="1" si="376"/>
        <v>0</v>
      </c>
      <c r="M639" s="125">
        <f t="shared" ca="1" si="359"/>
        <v>0</v>
      </c>
      <c r="N639" s="125">
        <f t="shared" ca="1" si="360"/>
        <v>0</v>
      </c>
      <c r="R639">
        <f t="shared" si="377"/>
        <v>632</v>
      </c>
      <c r="U639" s="55"/>
      <c r="V639">
        <f t="shared" si="378"/>
        <v>9</v>
      </c>
      <c r="W639">
        <f t="shared" ca="1" si="379"/>
        <v>2076</v>
      </c>
      <c r="X639" s="123">
        <f t="shared" ca="1" si="361"/>
        <v>64529</v>
      </c>
      <c r="Y639" s="64">
        <f t="shared" ca="1" si="362"/>
        <v>0</v>
      </c>
      <c r="Z639" s="64">
        <f t="shared" ca="1" si="363"/>
        <v>0</v>
      </c>
      <c r="AA639" s="64">
        <f t="shared" ca="1" si="364"/>
        <v>0</v>
      </c>
      <c r="AB639" s="64">
        <f t="shared" ca="1" si="365"/>
        <v>0</v>
      </c>
      <c r="AF639" t="str">
        <f t="shared" ca="1" si="345"/>
        <v>111991</v>
      </c>
      <c r="AG639" s="126">
        <f t="shared" ca="1" si="346"/>
        <v>0</v>
      </c>
      <c r="AH639" s="126">
        <f t="shared" ca="1" si="347"/>
        <v>0</v>
      </c>
      <c r="AI639" s="126">
        <f t="shared" ca="1" si="348"/>
        <v>0</v>
      </c>
      <c r="AJ639" t="str">
        <f t="shared" ca="1" si="349"/>
        <v>92076</v>
      </c>
      <c r="AK639" s="126">
        <f t="shared" ca="1" si="366"/>
        <v>0</v>
      </c>
      <c r="AL639" s="126">
        <f t="shared" ca="1" si="367"/>
        <v>0</v>
      </c>
      <c r="AM639" s="126">
        <f t="shared" ca="1" si="380"/>
        <v>0</v>
      </c>
      <c r="AN639" s="753">
        <f t="shared" ca="1" si="381"/>
        <v>0</v>
      </c>
      <c r="AO639" s="750">
        <f t="shared" ca="1" si="368"/>
        <v>0</v>
      </c>
      <c r="AP639" s="126">
        <f t="shared" ca="1" si="369"/>
        <v>0</v>
      </c>
      <c r="AQ639" s="126">
        <f t="shared" ca="1" si="370"/>
        <v>0</v>
      </c>
      <c r="AR639" s="126">
        <f t="shared" ca="1" si="350"/>
        <v>10000</v>
      </c>
      <c r="AS639" s="750">
        <f t="shared" ca="1" si="351"/>
        <v>0</v>
      </c>
      <c r="AT639" s="750">
        <f t="shared" ca="1" si="352"/>
        <v>0</v>
      </c>
      <c r="AU639" s="126">
        <f t="shared" ca="1" si="371"/>
        <v>0</v>
      </c>
      <c r="AV639" s="126">
        <f t="shared" ca="1" si="372"/>
        <v>0</v>
      </c>
      <c r="AW639" s="126">
        <f t="shared" ca="1" si="353"/>
        <v>10000</v>
      </c>
      <c r="AX639" s="750">
        <f t="shared" ca="1" si="373"/>
        <v>0</v>
      </c>
      <c r="AY639" s="750">
        <f t="shared" ca="1" si="374"/>
        <v>0</v>
      </c>
      <c r="AZ639">
        <f t="shared" si="375"/>
        <v>5750</v>
      </c>
    </row>
    <row r="640" spans="4:52">
      <c r="D640">
        <v>633</v>
      </c>
      <c r="E640" s="6">
        <f t="shared" ca="1" si="354"/>
        <v>33512</v>
      </c>
      <c r="F640" s="7">
        <f t="shared" ca="1" si="355"/>
        <v>0</v>
      </c>
      <c r="G640" s="125">
        <f ca="1">IF('Simulador - 1º Pilar'!$E$99="Sí",IF('Aportaciones PPE'!$B$13&lt;'Aportaciones PPE'!E640,0,F640*$B$8/12),F640*$B$8/12)</f>
        <v>0</v>
      </c>
      <c r="H640" s="125">
        <f t="shared" ca="1" si="344"/>
        <v>0</v>
      </c>
      <c r="I640" s="125">
        <f t="shared" ca="1" si="356"/>
        <v>0</v>
      </c>
      <c r="J640" s="125">
        <f t="shared" ca="1" si="357"/>
        <v>0</v>
      </c>
      <c r="K640" s="125">
        <f t="shared" ca="1" si="358"/>
        <v>0</v>
      </c>
      <c r="L640" s="125">
        <f t="shared" ca="1" si="376"/>
        <v>0</v>
      </c>
      <c r="M640" s="125">
        <f t="shared" ca="1" si="359"/>
        <v>0</v>
      </c>
      <c r="N640" s="125">
        <f t="shared" ca="1" si="360"/>
        <v>0</v>
      </c>
      <c r="R640">
        <f t="shared" si="377"/>
        <v>633</v>
      </c>
      <c r="U640" s="55"/>
      <c r="V640">
        <f t="shared" si="378"/>
        <v>10</v>
      </c>
      <c r="W640">
        <f t="shared" ca="1" si="379"/>
        <v>2076</v>
      </c>
      <c r="X640" s="123">
        <f t="shared" ca="1" si="361"/>
        <v>64559</v>
      </c>
      <c r="Y640" s="64">
        <f t="shared" ca="1" si="362"/>
        <v>0</v>
      </c>
      <c r="Z640" s="64">
        <f t="shared" ca="1" si="363"/>
        <v>0</v>
      </c>
      <c r="AA640" s="64">
        <f t="shared" ca="1" si="364"/>
        <v>0</v>
      </c>
      <c r="AB640" s="64">
        <f t="shared" ca="1" si="365"/>
        <v>0</v>
      </c>
      <c r="AF640" t="str">
        <f t="shared" ca="1" si="345"/>
        <v>101991</v>
      </c>
      <c r="AG640" s="126">
        <f t="shared" ca="1" si="346"/>
        <v>0</v>
      </c>
      <c r="AH640" s="126">
        <f t="shared" ca="1" si="347"/>
        <v>0</v>
      </c>
      <c r="AI640" s="126">
        <f t="shared" ca="1" si="348"/>
        <v>0</v>
      </c>
      <c r="AJ640" t="str">
        <f t="shared" ca="1" si="349"/>
        <v>102076</v>
      </c>
      <c r="AK640" s="126">
        <f t="shared" ca="1" si="366"/>
        <v>0</v>
      </c>
      <c r="AL640" s="126">
        <f t="shared" ca="1" si="367"/>
        <v>0</v>
      </c>
      <c r="AM640" s="126">
        <f t="shared" ca="1" si="380"/>
        <v>0</v>
      </c>
      <c r="AN640" s="753">
        <f t="shared" ca="1" si="381"/>
        <v>0</v>
      </c>
      <c r="AO640" s="750">
        <f t="shared" ca="1" si="368"/>
        <v>0</v>
      </c>
      <c r="AP640" s="126">
        <f t="shared" ca="1" si="369"/>
        <v>0</v>
      </c>
      <c r="AQ640" s="126">
        <f t="shared" ca="1" si="370"/>
        <v>0</v>
      </c>
      <c r="AR640" s="126">
        <f t="shared" ca="1" si="350"/>
        <v>10000</v>
      </c>
      <c r="AS640" s="750">
        <f t="shared" ca="1" si="351"/>
        <v>0</v>
      </c>
      <c r="AT640" s="750">
        <f t="shared" ca="1" si="352"/>
        <v>0</v>
      </c>
      <c r="AU640" s="126">
        <f t="shared" ca="1" si="371"/>
        <v>0</v>
      </c>
      <c r="AV640" s="126">
        <f t="shared" ca="1" si="372"/>
        <v>0</v>
      </c>
      <c r="AW640" s="126">
        <f t="shared" ca="1" si="353"/>
        <v>10000</v>
      </c>
      <c r="AX640" s="750">
        <f t="shared" ca="1" si="373"/>
        <v>0</v>
      </c>
      <c r="AY640" s="750">
        <f t="shared" ca="1" si="374"/>
        <v>0</v>
      </c>
      <c r="AZ640">
        <f t="shared" si="375"/>
        <v>5750</v>
      </c>
    </row>
    <row r="641" spans="4:52">
      <c r="D641">
        <v>634</v>
      </c>
      <c r="E641" s="6">
        <f t="shared" ca="1" si="354"/>
        <v>33482</v>
      </c>
      <c r="F641" s="7">
        <f t="shared" ca="1" si="355"/>
        <v>0</v>
      </c>
      <c r="G641" s="125">
        <f ca="1">IF('Simulador - 1º Pilar'!$E$99="Sí",IF('Aportaciones PPE'!$B$13&lt;'Aportaciones PPE'!E641,0,F641*$B$8/12),F641*$B$8/12)</f>
        <v>0</v>
      </c>
      <c r="H641" s="125">
        <f t="shared" ca="1" si="344"/>
        <v>0</v>
      </c>
      <c r="I641" s="125">
        <f t="shared" ca="1" si="356"/>
        <v>0</v>
      </c>
      <c r="J641" s="125">
        <f t="shared" ca="1" si="357"/>
        <v>0</v>
      </c>
      <c r="K641" s="125">
        <f t="shared" ca="1" si="358"/>
        <v>0</v>
      </c>
      <c r="L641" s="125">
        <f t="shared" ca="1" si="376"/>
        <v>0</v>
      </c>
      <c r="M641" s="125">
        <f t="shared" ca="1" si="359"/>
        <v>0</v>
      </c>
      <c r="N641" s="125">
        <f t="shared" ca="1" si="360"/>
        <v>0</v>
      </c>
      <c r="R641">
        <f t="shared" si="377"/>
        <v>634</v>
      </c>
      <c r="U641" s="55"/>
      <c r="V641">
        <f t="shared" si="378"/>
        <v>11</v>
      </c>
      <c r="W641">
        <f t="shared" ca="1" si="379"/>
        <v>2076</v>
      </c>
      <c r="X641" s="123">
        <f t="shared" ca="1" si="361"/>
        <v>64590</v>
      </c>
      <c r="Y641" s="64">
        <f t="shared" ca="1" si="362"/>
        <v>0</v>
      </c>
      <c r="Z641" s="64">
        <f t="shared" ca="1" si="363"/>
        <v>0</v>
      </c>
      <c r="AA641" s="64">
        <f t="shared" ca="1" si="364"/>
        <v>0</v>
      </c>
      <c r="AB641" s="64">
        <f t="shared" ca="1" si="365"/>
        <v>0</v>
      </c>
      <c r="AF641" t="str">
        <f t="shared" ca="1" si="345"/>
        <v>91991</v>
      </c>
      <c r="AG641" s="126">
        <f t="shared" ca="1" si="346"/>
        <v>0</v>
      </c>
      <c r="AH641" s="126">
        <f t="shared" ca="1" si="347"/>
        <v>0</v>
      </c>
      <c r="AI641" s="126">
        <f t="shared" ca="1" si="348"/>
        <v>0</v>
      </c>
      <c r="AJ641" t="str">
        <f t="shared" ca="1" si="349"/>
        <v>112076</v>
      </c>
      <c r="AK641" s="126">
        <f t="shared" ca="1" si="366"/>
        <v>0</v>
      </c>
      <c r="AL641" s="126">
        <f t="shared" ca="1" si="367"/>
        <v>0</v>
      </c>
      <c r="AM641" s="126">
        <f t="shared" ca="1" si="380"/>
        <v>0</v>
      </c>
      <c r="AN641" s="753">
        <f t="shared" ca="1" si="381"/>
        <v>0</v>
      </c>
      <c r="AO641" s="750">
        <f t="shared" ca="1" si="368"/>
        <v>0</v>
      </c>
      <c r="AP641" s="126">
        <f t="shared" ca="1" si="369"/>
        <v>0</v>
      </c>
      <c r="AQ641" s="126">
        <f t="shared" ca="1" si="370"/>
        <v>0</v>
      </c>
      <c r="AR641" s="126">
        <f t="shared" ca="1" si="350"/>
        <v>10000</v>
      </c>
      <c r="AS641" s="750">
        <f t="shared" ca="1" si="351"/>
        <v>0</v>
      </c>
      <c r="AT641" s="750">
        <f t="shared" ca="1" si="352"/>
        <v>0</v>
      </c>
      <c r="AU641" s="126">
        <f t="shared" ca="1" si="371"/>
        <v>0</v>
      </c>
      <c r="AV641" s="126">
        <f t="shared" ca="1" si="372"/>
        <v>0</v>
      </c>
      <c r="AW641" s="126">
        <f t="shared" ca="1" si="353"/>
        <v>10000</v>
      </c>
      <c r="AX641" s="750">
        <f t="shared" ca="1" si="373"/>
        <v>0</v>
      </c>
      <c r="AY641" s="750">
        <f t="shared" ca="1" si="374"/>
        <v>0</v>
      </c>
      <c r="AZ641">
        <f t="shared" si="375"/>
        <v>5750</v>
      </c>
    </row>
    <row r="642" spans="4:52">
      <c r="D642">
        <v>635</v>
      </c>
      <c r="E642" s="6">
        <f t="shared" ca="1" si="354"/>
        <v>33451</v>
      </c>
      <c r="F642" s="7">
        <f t="shared" ca="1" si="355"/>
        <v>0</v>
      </c>
      <c r="G642" s="125">
        <f ca="1">IF('Simulador - 1º Pilar'!$E$99="Sí",IF('Aportaciones PPE'!$B$13&lt;'Aportaciones PPE'!E642,0,F642*$B$8/12),F642*$B$8/12)</f>
        <v>0</v>
      </c>
      <c r="H642" s="125">
        <f t="shared" ca="1" si="344"/>
        <v>0</v>
      </c>
      <c r="I642" s="125">
        <f t="shared" ca="1" si="356"/>
        <v>0</v>
      </c>
      <c r="J642" s="125">
        <f t="shared" ca="1" si="357"/>
        <v>0</v>
      </c>
      <c r="K642" s="125">
        <f t="shared" ca="1" si="358"/>
        <v>0</v>
      </c>
      <c r="L642" s="125">
        <f t="shared" ca="1" si="376"/>
        <v>0</v>
      </c>
      <c r="M642" s="125">
        <f t="shared" ca="1" si="359"/>
        <v>0</v>
      </c>
      <c r="N642" s="125">
        <f t="shared" ca="1" si="360"/>
        <v>0</v>
      </c>
      <c r="R642">
        <f t="shared" si="377"/>
        <v>635</v>
      </c>
      <c r="U642" s="55"/>
      <c r="V642">
        <f t="shared" si="378"/>
        <v>12</v>
      </c>
      <c r="W642">
        <f t="shared" ca="1" si="379"/>
        <v>2076</v>
      </c>
      <c r="X642" s="123">
        <f t="shared" ca="1" si="361"/>
        <v>64620</v>
      </c>
      <c r="Y642" s="64">
        <f t="shared" ca="1" si="362"/>
        <v>0</v>
      </c>
      <c r="Z642" s="64">
        <f t="shared" ca="1" si="363"/>
        <v>0</v>
      </c>
      <c r="AA642" s="64">
        <f t="shared" ca="1" si="364"/>
        <v>0</v>
      </c>
      <c r="AB642" s="64">
        <f t="shared" ca="1" si="365"/>
        <v>0</v>
      </c>
      <c r="AF642" t="str">
        <f t="shared" ca="1" si="345"/>
        <v>81991</v>
      </c>
      <c r="AG642" s="126">
        <f t="shared" ca="1" si="346"/>
        <v>0</v>
      </c>
      <c r="AH642" s="126">
        <f t="shared" ca="1" si="347"/>
        <v>0</v>
      </c>
      <c r="AI642" s="126">
        <f t="shared" ca="1" si="348"/>
        <v>0</v>
      </c>
      <c r="AJ642" t="str">
        <f t="shared" ca="1" si="349"/>
        <v>122076</v>
      </c>
      <c r="AK642" s="126">
        <f t="shared" ca="1" si="366"/>
        <v>0</v>
      </c>
      <c r="AL642" s="126">
        <f t="shared" ca="1" si="367"/>
        <v>0</v>
      </c>
      <c r="AM642" s="126">
        <f t="shared" ca="1" si="380"/>
        <v>0</v>
      </c>
      <c r="AN642" s="753">
        <f t="shared" ca="1" si="381"/>
        <v>0</v>
      </c>
      <c r="AO642" s="750">
        <f t="shared" ca="1" si="368"/>
        <v>0</v>
      </c>
      <c r="AP642" s="126">
        <f t="shared" ca="1" si="369"/>
        <v>0</v>
      </c>
      <c r="AQ642" s="126">
        <f t="shared" ca="1" si="370"/>
        <v>0</v>
      </c>
      <c r="AR642" s="126">
        <f t="shared" ca="1" si="350"/>
        <v>10000</v>
      </c>
      <c r="AS642" s="750">
        <f t="shared" ca="1" si="351"/>
        <v>0</v>
      </c>
      <c r="AT642" s="750">
        <f t="shared" ca="1" si="352"/>
        <v>0</v>
      </c>
      <c r="AU642" s="126">
        <f t="shared" ca="1" si="371"/>
        <v>0</v>
      </c>
      <c r="AV642" s="126">
        <f t="shared" ca="1" si="372"/>
        <v>0</v>
      </c>
      <c r="AW642" s="126">
        <f t="shared" ca="1" si="353"/>
        <v>10000</v>
      </c>
      <c r="AX642" s="750">
        <f t="shared" ca="1" si="373"/>
        <v>0</v>
      </c>
      <c r="AY642" s="750">
        <f t="shared" ca="1" si="374"/>
        <v>0</v>
      </c>
      <c r="AZ642">
        <f t="shared" si="375"/>
        <v>5750</v>
      </c>
    </row>
    <row r="643" spans="4:52">
      <c r="D643">
        <v>636</v>
      </c>
      <c r="E643" s="6">
        <f t="shared" ca="1" si="354"/>
        <v>33420</v>
      </c>
      <c r="F643" s="7">
        <f t="shared" ca="1" si="355"/>
        <v>0</v>
      </c>
      <c r="G643" s="125">
        <f ca="1">IF('Simulador - 1º Pilar'!$E$99="Sí",IF('Aportaciones PPE'!$B$13&lt;'Aportaciones PPE'!E643,0,F643*$B$8/12),F643*$B$8/12)</f>
        <v>0</v>
      </c>
      <c r="H643" s="125">
        <f t="shared" ca="1" si="344"/>
        <v>0</v>
      </c>
      <c r="I643" s="125">
        <f t="shared" ca="1" si="356"/>
        <v>0</v>
      </c>
      <c r="J643" s="125">
        <f t="shared" ca="1" si="357"/>
        <v>0</v>
      </c>
      <c r="K643" s="125">
        <f t="shared" ca="1" si="358"/>
        <v>0</v>
      </c>
      <c r="L643" s="125">
        <f t="shared" ca="1" si="376"/>
        <v>0</v>
      </c>
      <c r="M643" s="125">
        <f t="shared" ca="1" si="359"/>
        <v>0</v>
      </c>
      <c r="N643" s="125">
        <f t="shared" ca="1" si="360"/>
        <v>0</v>
      </c>
      <c r="R643">
        <f t="shared" si="377"/>
        <v>636</v>
      </c>
      <c r="U643" s="55"/>
      <c r="V643">
        <f t="shared" si="378"/>
        <v>1</v>
      </c>
      <c r="W643">
        <f t="shared" ca="1" si="379"/>
        <v>2077</v>
      </c>
      <c r="X643" s="123">
        <f t="shared" ca="1" si="361"/>
        <v>64651</v>
      </c>
      <c r="Y643" s="64">
        <f t="shared" ca="1" si="362"/>
        <v>0</v>
      </c>
      <c r="Z643" s="64">
        <f t="shared" ca="1" si="363"/>
        <v>0</v>
      </c>
      <c r="AA643" s="64">
        <f t="shared" ca="1" si="364"/>
        <v>0</v>
      </c>
      <c r="AB643" s="64">
        <f t="shared" ca="1" si="365"/>
        <v>0</v>
      </c>
      <c r="AF643" t="str">
        <f t="shared" ca="1" si="345"/>
        <v>71991</v>
      </c>
      <c r="AG643" s="126">
        <f t="shared" ca="1" si="346"/>
        <v>0</v>
      </c>
      <c r="AH643" s="126">
        <f t="shared" ca="1" si="347"/>
        <v>0</v>
      </c>
      <c r="AI643" s="126">
        <f t="shared" ca="1" si="348"/>
        <v>0</v>
      </c>
      <c r="AJ643" t="str">
        <f t="shared" ca="1" si="349"/>
        <v>12077</v>
      </c>
      <c r="AK643" s="126">
        <f t="shared" ca="1" si="366"/>
        <v>0</v>
      </c>
      <c r="AL643" s="126">
        <f t="shared" ca="1" si="367"/>
        <v>0</v>
      </c>
      <c r="AM643" s="126">
        <f t="shared" ca="1" si="380"/>
        <v>0</v>
      </c>
      <c r="AN643" s="753">
        <f t="shared" ca="1" si="381"/>
        <v>0</v>
      </c>
      <c r="AO643" s="750">
        <f t="shared" ca="1" si="368"/>
        <v>0</v>
      </c>
      <c r="AP643" s="126">
        <f t="shared" ca="1" si="369"/>
        <v>0</v>
      </c>
      <c r="AQ643" s="126">
        <f t="shared" ca="1" si="370"/>
        <v>0</v>
      </c>
      <c r="AR643" s="126">
        <f t="shared" ca="1" si="350"/>
        <v>10000</v>
      </c>
      <c r="AS643" s="750">
        <f t="shared" ca="1" si="351"/>
        <v>0</v>
      </c>
      <c r="AT643" s="750">
        <f t="shared" ca="1" si="352"/>
        <v>0</v>
      </c>
      <c r="AU643" s="126">
        <f t="shared" ca="1" si="371"/>
        <v>0</v>
      </c>
      <c r="AV643" s="126">
        <f t="shared" ca="1" si="372"/>
        <v>0</v>
      </c>
      <c r="AW643" s="126">
        <f t="shared" ca="1" si="353"/>
        <v>10000</v>
      </c>
      <c r="AX643" s="750">
        <f t="shared" ca="1" si="373"/>
        <v>0</v>
      </c>
      <c r="AY643" s="750">
        <f t="shared" ca="1" si="374"/>
        <v>0</v>
      </c>
      <c r="AZ643">
        <f t="shared" si="375"/>
        <v>5750</v>
      </c>
    </row>
    <row r="644" spans="4:52">
      <c r="D644">
        <v>637</v>
      </c>
      <c r="E644" s="6">
        <f t="shared" ca="1" si="354"/>
        <v>33390</v>
      </c>
      <c r="F644" s="7">
        <f t="shared" ca="1" si="355"/>
        <v>0</v>
      </c>
      <c r="G644" s="125">
        <f ca="1">IF('Simulador - 1º Pilar'!$E$99="Sí",IF('Aportaciones PPE'!$B$13&lt;'Aportaciones PPE'!E644,0,F644*$B$8/12),F644*$B$8/12)</f>
        <v>0</v>
      </c>
      <c r="H644" s="125">
        <f t="shared" ca="1" si="344"/>
        <v>0</v>
      </c>
      <c r="I644" s="125">
        <f t="shared" ca="1" si="356"/>
        <v>0</v>
      </c>
      <c r="J644" s="125">
        <f t="shared" ca="1" si="357"/>
        <v>0</v>
      </c>
      <c r="K644" s="125">
        <f t="shared" ca="1" si="358"/>
        <v>0</v>
      </c>
      <c r="L644" s="125">
        <f t="shared" ca="1" si="376"/>
        <v>0</v>
      </c>
      <c r="M644" s="125">
        <f t="shared" ca="1" si="359"/>
        <v>0</v>
      </c>
      <c r="N644" s="125">
        <f t="shared" ca="1" si="360"/>
        <v>0</v>
      </c>
      <c r="R644">
        <f t="shared" si="377"/>
        <v>637</v>
      </c>
      <c r="U644" s="55"/>
      <c r="V644">
        <f t="shared" si="378"/>
        <v>2</v>
      </c>
      <c r="W644">
        <f t="shared" ca="1" si="379"/>
        <v>2077</v>
      </c>
      <c r="X644" s="123">
        <f t="shared" ca="1" si="361"/>
        <v>64682</v>
      </c>
      <c r="Y644" s="64">
        <f t="shared" ca="1" si="362"/>
        <v>0</v>
      </c>
      <c r="Z644" s="64">
        <f t="shared" ca="1" si="363"/>
        <v>0</v>
      </c>
      <c r="AA644" s="64">
        <f t="shared" ca="1" si="364"/>
        <v>0</v>
      </c>
      <c r="AB644" s="64">
        <f t="shared" ca="1" si="365"/>
        <v>0</v>
      </c>
      <c r="AF644" t="str">
        <f t="shared" ca="1" si="345"/>
        <v>61991</v>
      </c>
      <c r="AG644" s="126">
        <f t="shared" ca="1" si="346"/>
        <v>0</v>
      </c>
      <c r="AH644" s="126">
        <f t="shared" ca="1" si="347"/>
        <v>0</v>
      </c>
      <c r="AI644" s="126">
        <f t="shared" ca="1" si="348"/>
        <v>0</v>
      </c>
      <c r="AJ644" t="str">
        <f t="shared" ca="1" si="349"/>
        <v>22077</v>
      </c>
      <c r="AK644" s="126">
        <f t="shared" ca="1" si="366"/>
        <v>0</v>
      </c>
      <c r="AL644" s="126">
        <f t="shared" ca="1" si="367"/>
        <v>0</v>
      </c>
      <c r="AM644" s="126">
        <f t="shared" ca="1" si="380"/>
        <v>0</v>
      </c>
      <c r="AN644" s="753">
        <f t="shared" ca="1" si="381"/>
        <v>0</v>
      </c>
      <c r="AO644" s="750">
        <f t="shared" ca="1" si="368"/>
        <v>0</v>
      </c>
      <c r="AP644" s="126">
        <f t="shared" ca="1" si="369"/>
        <v>0</v>
      </c>
      <c r="AQ644" s="126">
        <f t="shared" ca="1" si="370"/>
        <v>0</v>
      </c>
      <c r="AR644" s="126">
        <f t="shared" ca="1" si="350"/>
        <v>10000</v>
      </c>
      <c r="AS644" s="750">
        <f t="shared" ca="1" si="351"/>
        <v>0</v>
      </c>
      <c r="AT644" s="750">
        <f t="shared" ca="1" si="352"/>
        <v>0</v>
      </c>
      <c r="AU644" s="126">
        <f t="shared" ca="1" si="371"/>
        <v>0</v>
      </c>
      <c r="AV644" s="126">
        <f t="shared" ca="1" si="372"/>
        <v>0</v>
      </c>
      <c r="AW644" s="126">
        <f t="shared" ca="1" si="353"/>
        <v>10000</v>
      </c>
      <c r="AX644" s="750">
        <f t="shared" ca="1" si="373"/>
        <v>0</v>
      </c>
      <c r="AY644" s="750">
        <f t="shared" ca="1" si="374"/>
        <v>0</v>
      </c>
      <c r="AZ644">
        <f t="shared" si="375"/>
        <v>5750</v>
      </c>
    </row>
    <row r="645" spans="4:52">
      <c r="D645">
        <v>638</v>
      </c>
      <c r="E645" s="6">
        <f t="shared" ca="1" si="354"/>
        <v>33359</v>
      </c>
      <c r="F645" s="7">
        <f t="shared" ca="1" si="355"/>
        <v>0</v>
      </c>
      <c r="G645" s="125">
        <f ca="1">IF('Simulador - 1º Pilar'!$E$99="Sí",IF('Aportaciones PPE'!$B$13&lt;'Aportaciones PPE'!E645,0,F645*$B$8/12),F645*$B$8/12)</f>
        <v>0</v>
      </c>
      <c r="H645" s="125">
        <f t="shared" ca="1" si="344"/>
        <v>0</v>
      </c>
      <c r="I645" s="125">
        <f t="shared" ca="1" si="356"/>
        <v>0</v>
      </c>
      <c r="J645" s="125">
        <f t="shared" ca="1" si="357"/>
        <v>0</v>
      </c>
      <c r="K645" s="125">
        <f t="shared" ca="1" si="358"/>
        <v>0</v>
      </c>
      <c r="L645" s="125">
        <f t="shared" ca="1" si="376"/>
        <v>0</v>
      </c>
      <c r="M645" s="125">
        <f t="shared" ca="1" si="359"/>
        <v>0</v>
      </c>
      <c r="N645" s="125">
        <f t="shared" ca="1" si="360"/>
        <v>0</v>
      </c>
      <c r="R645">
        <f t="shared" si="377"/>
        <v>638</v>
      </c>
      <c r="U645" s="55"/>
      <c r="V645">
        <f t="shared" si="378"/>
        <v>3</v>
      </c>
      <c r="W645">
        <f t="shared" ca="1" si="379"/>
        <v>2077</v>
      </c>
      <c r="X645" s="123">
        <f t="shared" ca="1" si="361"/>
        <v>64710</v>
      </c>
      <c r="Y645" s="64">
        <f t="shared" ca="1" si="362"/>
        <v>0</v>
      </c>
      <c r="Z645" s="64">
        <f t="shared" ca="1" si="363"/>
        <v>0</v>
      </c>
      <c r="AA645" s="64">
        <f t="shared" ca="1" si="364"/>
        <v>0</v>
      </c>
      <c r="AB645" s="64">
        <f t="shared" ca="1" si="365"/>
        <v>0</v>
      </c>
      <c r="AF645" t="str">
        <f t="shared" ca="1" si="345"/>
        <v>51991</v>
      </c>
      <c r="AG645" s="126">
        <f t="shared" ca="1" si="346"/>
        <v>0</v>
      </c>
      <c r="AH645" s="126">
        <f t="shared" ca="1" si="347"/>
        <v>0</v>
      </c>
      <c r="AI645" s="126">
        <f t="shared" ca="1" si="348"/>
        <v>0</v>
      </c>
      <c r="AJ645" t="str">
        <f t="shared" ca="1" si="349"/>
        <v>32077</v>
      </c>
      <c r="AK645" s="126">
        <f t="shared" ca="1" si="366"/>
        <v>0</v>
      </c>
      <c r="AL645" s="126">
        <f t="shared" ca="1" si="367"/>
        <v>0</v>
      </c>
      <c r="AM645" s="126">
        <f t="shared" ca="1" si="380"/>
        <v>0</v>
      </c>
      <c r="AN645" s="753">
        <f t="shared" ca="1" si="381"/>
        <v>0</v>
      </c>
      <c r="AO645" s="750">
        <f t="shared" ca="1" si="368"/>
        <v>0</v>
      </c>
      <c r="AP645" s="126">
        <f t="shared" ca="1" si="369"/>
        <v>0</v>
      </c>
      <c r="AQ645" s="126">
        <f t="shared" ca="1" si="370"/>
        <v>0</v>
      </c>
      <c r="AR645" s="126">
        <f t="shared" ca="1" si="350"/>
        <v>10000</v>
      </c>
      <c r="AS645" s="750">
        <f t="shared" ca="1" si="351"/>
        <v>0</v>
      </c>
      <c r="AT645" s="750">
        <f t="shared" ca="1" si="352"/>
        <v>0</v>
      </c>
      <c r="AU645" s="126">
        <f t="shared" ca="1" si="371"/>
        <v>0</v>
      </c>
      <c r="AV645" s="126">
        <f t="shared" ca="1" si="372"/>
        <v>0</v>
      </c>
      <c r="AW645" s="126">
        <f t="shared" ca="1" si="353"/>
        <v>10000</v>
      </c>
      <c r="AX645" s="750">
        <f t="shared" ca="1" si="373"/>
        <v>0</v>
      </c>
      <c r="AY645" s="750">
        <f t="shared" ca="1" si="374"/>
        <v>0</v>
      </c>
      <c r="AZ645">
        <f t="shared" si="375"/>
        <v>5750</v>
      </c>
    </row>
    <row r="646" spans="4:52">
      <c r="D646">
        <v>639</v>
      </c>
      <c r="E646" s="6">
        <f t="shared" ca="1" si="354"/>
        <v>33329</v>
      </c>
      <c r="F646" s="7">
        <f t="shared" ca="1" si="355"/>
        <v>0</v>
      </c>
      <c r="G646" s="125">
        <f ca="1">IF('Simulador - 1º Pilar'!$E$99="Sí",IF('Aportaciones PPE'!$B$13&lt;'Aportaciones PPE'!E646,0,F646*$B$8/12),F646*$B$8/12)</f>
        <v>0</v>
      </c>
      <c r="H646" s="125">
        <f t="shared" ca="1" si="344"/>
        <v>0</v>
      </c>
      <c r="I646" s="125">
        <f t="shared" ca="1" si="356"/>
        <v>0</v>
      </c>
      <c r="J646" s="125">
        <f t="shared" ca="1" si="357"/>
        <v>0</v>
      </c>
      <c r="K646" s="125">
        <f t="shared" ca="1" si="358"/>
        <v>0</v>
      </c>
      <c r="L646" s="125">
        <f t="shared" ca="1" si="376"/>
        <v>0</v>
      </c>
      <c r="M646" s="125">
        <f t="shared" ca="1" si="359"/>
        <v>0</v>
      </c>
      <c r="N646" s="125">
        <f t="shared" ca="1" si="360"/>
        <v>0</v>
      </c>
      <c r="R646">
        <f t="shared" si="377"/>
        <v>639</v>
      </c>
      <c r="U646" s="55"/>
      <c r="V646">
        <f t="shared" si="378"/>
        <v>4</v>
      </c>
      <c r="W646">
        <f t="shared" ca="1" si="379"/>
        <v>2077</v>
      </c>
      <c r="X646" s="123">
        <f t="shared" ca="1" si="361"/>
        <v>64741</v>
      </c>
      <c r="Y646" s="64">
        <f t="shared" ca="1" si="362"/>
        <v>0</v>
      </c>
      <c r="Z646" s="64">
        <f t="shared" ca="1" si="363"/>
        <v>0</v>
      </c>
      <c r="AA646" s="64">
        <f t="shared" ca="1" si="364"/>
        <v>0</v>
      </c>
      <c r="AB646" s="64">
        <f t="shared" ca="1" si="365"/>
        <v>0</v>
      </c>
      <c r="AF646" t="str">
        <f t="shared" ca="1" si="345"/>
        <v>41991</v>
      </c>
      <c r="AG646" s="126">
        <f t="shared" ca="1" si="346"/>
        <v>0</v>
      </c>
      <c r="AH646" s="126">
        <f t="shared" ca="1" si="347"/>
        <v>0</v>
      </c>
      <c r="AI646" s="126">
        <f t="shared" ca="1" si="348"/>
        <v>0</v>
      </c>
      <c r="AJ646" t="str">
        <f t="shared" ca="1" si="349"/>
        <v>42077</v>
      </c>
      <c r="AK646" s="126">
        <f t="shared" ca="1" si="366"/>
        <v>0</v>
      </c>
      <c r="AL646" s="126">
        <f t="shared" ca="1" si="367"/>
        <v>0</v>
      </c>
      <c r="AM646" s="126">
        <f t="shared" ca="1" si="380"/>
        <v>0</v>
      </c>
      <c r="AN646" s="753">
        <f t="shared" ca="1" si="381"/>
        <v>0</v>
      </c>
      <c r="AO646" s="750">
        <f t="shared" ca="1" si="368"/>
        <v>0</v>
      </c>
      <c r="AP646" s="126">
        <f t="shared" ca="1" si="369"/>
        <v>0</v>
      </c>
      <c r="AQ646" s="126">
        <f t="shared" ca="1" si="370"/>
        <v>0</v>
      </c>
      <c r="AR646" s="126">
        <f t="shared" ca="1" si="350"/>
        <v>10000</v>
      </c>
      <c r="AS646" s="750">
        <f t="shared" ca="1" si="351"/>
        <v>0</v>
      </c>
      <c r="AT646" s="750">
        <f t="shared" ca="1" si="352"/>
        <v>0</v>
      </c>
      <c r="AU646" s="126">
        <f t="shared" ca="1" si="371"/>
        <v>0</v>
      </c>
      <c r="AV646" s="126">
        <f t="shared" ca="1" si="372"/>
        <v>0</v>
      </c>
      <c r="AW646" s="126">
        <f t="shared" ca="1" si="353"/>
        <v>10000</v>
      </c>
      <c r="AX646" s="750">
        <f t="shared" ca="1" si="373"/>
        <v>0</v>
      </c>
      <c r="AY646" s="750">
        <f t="shared" ca="1" si="374"/>
        <v>0</v>
      </c>
      <c r="AZ646">
        <f t="shared" si="375"/>
        <v>5750</v>
      </c>
    </row>
    <row r="647" spans="4:52">
      <c r="D647">
        <v>640</v>
      </c>
      <c r="E647" s="6">
        <f t="shared" ca="1" si="354"/>
        <v>33298</v>
      </c>
      <c r="F647" s="7">
        <f t="shared" ca="1" si="355"/>
        <v>0</v>
      </c>
      <c r="G647" s="125">
        <f ca="1">IF('Simulador - 1º Pilar'!$E$99="Sí",IF('Aportaciones PPE'!$B$13&lt;'Aportaciones PPE'!E647,0,F647*$B$8/12),F647*$B$8/12)</f>
        <v>0</v>
      </c>
      <c r="H647" s="125">
        <f t="shared" ref="H647:H710" ca="1" si="382">$H$5*G647</f>
        <v>0</v>
      </c>
      <c r="I647" s="125">
        <f t="shared" ca="1" si="356"/>
        <v>0</v>
      </c>
      <c r="J647" s="125">
        <f t="shared" ca="1" si="357"/>
        <v>0</v>
      </c>
      <c r="K647" s="125">
        <f t="shared" ca="1" si="358"/>
        <v>0</v>
      </c>
      <c r="L647" s="125">
        <f t="shared" ca="1" si="376"/>
        <v>0</v>
      </c>
      <c r="M647" s="125">
        <f t="shared" ca="1" si="359"/>
        <v>0</v>
      </c>
      <c r="N647" s="125">
        <f t="shared" ca="1" si="360"/>
        <v>0</v>
      </c>
      <c r="R647">
        <f t="shared" si="377"/>
        <v>640</v>
      </c>
      <c r="U647" s="55"/>
      <c r="V647">
        <f t="shared" si="378"/>
        <v>5</v>
      </c>
      <c r="W647">
        <f t="shared" ca="1" si="379"/>
        <v>2077</v>
      </c>
      <c r="X647" s="123">
        <f t="shared" ca="1" si="361"/>
        <v>64771</v>
      </c>
      <c r="Y647" s="64">
        <f t="shared" ca="1" si="362"/>
        <v>0</v>
      </c>
      <c r="Z647" s="64">
        <f t="shared" ca="1" si="363"/>
        <v>0</v>
      </c>
      <c r="AA647" s="64">
        <f t="shared" ca="1" si="364"/>
        <v>0</v>
      </c>
      <c r="AB647" s="64">
        <f t="shared" ca="1" si="365"/>
        <v>0</v>
      </c>
      <c r="AF647" t="str">
        <f t="shared" ref="AF647:AF710" ca="1" si="383">+MONTH(E647)&amp;YEAR(E647)</f>
        <v>31991</v>
      </c>
      <c r="AG647" s="126">
        <f t="shared" ref="AG647:AG710" ca="1" si="384">+I647</f>
        <v>0</v>
      </c>
      <c r="AH647" s="126">
        <f t="shared" ref="AH647:AH710" ca="1" si="385">+J647</f>
        <v>0</v>
      </c>
      <c r="AI647" s="126">
        <f t="shared" ref="AI647:AI710" ca="1" si="386">+H647</f>
        <v>0</v>
      </c>
      <c r="AJ647" t="str">
        <f t="shared" ref="AJ647:AJ710" ca="1" si="387">+V647&amp;W647</f>
        <v>52077</v>
      </c>
      <c r="AK647" s="126">
        <f t="shared" ca="1" si="366"/>
        <v>0</v>
      </c>
      <c r="AL647" s="126">
        <f t="shared" ca="1" si="367"/>
        <v>0</v>
      </c>
      <c r="AM647" s="126">
        <f t="shared" ca="1" si="380"/>
        <v>0</v>
      </c>
      <c r="AN647" s="753">
        <f t="shared" ca="1" si="381"/>
        <v>0</v>
      </c>
      <c r="AO647" s="750">
        <f t="shared" ca="1" si="368"/>
        <v>0</v>
      </c>
      <c r="AP647" s="126">
        <f t="shared" ca="1" si="369"/>
        <v>0</v>
      </c>
      <c r="AQ647" s="126">
        <f t="shared" ca="1" si="370"/>
        <v>0</v>
      </c>
      <c r="AR647" s="126">
        <f t="shared" ref="AR647:AR710" ca="1" si="388">+MAX($AM$2-SUMIF($W$7:$W$1066,W647,$AN$7:$AN$1066),0)</f>
        <v>10000</v>
      </c>
      <c r="AS647" s="750">
        <f t="shared" ref="AS647:AS710" ca="1" si="389">+MAX(IF(AQ647&gt;AR647,AR647-AQ646,AP647),0)</f>
        <v>0</v>
      </c>
      <c r="AT647" s="750">
        <f t="shared" ref="AT647:AT710" ca="1" si="390">+AP647-AS647</f>
        <v>0</v>
      </c>
      <c r="AU647" s="126">
        <f t="shared" ca="1" si="371"/>
        <v>0</v>
      </c>
      <c r="AV647" s="126">
        <f t="shared" ca="1" si="372"/>
        <v>0</v>
      </c>
      <c r="AW647" s="126">
        <f t="shared" ref="AW647:AW710" ca="1" si="391">+MAX($AM$2-SUMIF($W$7:$W$1066,W647,$AN$7:$AN$1066)-SUMIF($W$7:$W$1066,W647,$AS$7:$AS$1066),0)</f>
        <v>10000</v>
      </c>
      <c r="AX647" s="750">
        <f t="shared" ca="1" si="373"/>
        <v>0</v>
      </c>
      <c r="AY647" s="750">
        <f t="shared" ca="1" si="374"/>
        <v>0</v>
      </c>
      <c r="AZ647">
        <f t="shared" si="375"/>
        <v>5750</v>
      </c>
    </row>
    <row r="648" spans="4:52">
      <c r="D648">
        <v>641</v>
      </c>
      <c r="E648" s="6">
        <f t="shared" ref="E648:E711" ca="1" si="392">+DATE(YEAR(E647),MONTH(E647)-1,DAY(E647))</f>
        <v>33270</v>
      </c>
      <c r="F648" s="7">
        <f t="shared" ref="F648:F711" ca="1" si="393">IF(DATE(YEAR($B$6),MONTH($B$6)+1,DAY(1))=E648,1,IF(MONTH(E648)=1,F649*(1+$F$5),F649))</f>
        <v>0</v>
      </c>
      <c r="G648" s="125">
        <f ca="1">IF('Simulador - 1º Pilar'!$E$99="Sí",IF('Aportaciones PPE'!$B$13&lt;'Aportaciones PPE'!E648,0,F648*$B$8/12),F648*$B$8/12)</f>
        <v>0</v>
      </c>
      <c r="H648" s="125">
        <f t="shared" ca="1" si="382"/>
        <v>0</v>
      </c>
      <c r="I648" s="125">
        <f t="shared" ref="I648:I711" ca="1" si="394">$I$5*G648</f>
        <v>0</v>
      </c>
      <c r="J648" s="125">
        <f t="shared" ref="J648:J711" ca="1" si="395">+I648</f>
        <v>0</v>
      </c>
      <c r="K648" s="125">
        <f t="shared" ref="K648:K711" ca="1" si="396">(1+$O$5)^(D648/12)*(H648+IF(AND(F648=1,F649=0),$S$4,0))</f>
        <v>0</v>
      </c>
      <c r="L648" s="125">
        <f t="shared" ca="1" si="376"/>
        <v>0</v>
      </c>
      <c r="M648" s="125">
        <f t="shared" ref="M648:M711" ca="1" si="397">+L648</f>
        <v>0</v>
      </c>
      <c r="N648" s="125">
        <f t="shared" ref="N648:N711" ca="1" si="398">L648+K648+M648</f>
        <v>0</v>
      </c>
      <c r="R648">
        <f t="shared" si="377"/>
        <v>641</v>
      </c>
      <c r="U648" s="55"/>
      <c r="V648">
        <f t="shared" si="378"/>
        <v>6</v>
      </c>
      <c r="W648">
        <f t="shared" ca="1" si="379"/>
        <v>2077</v>
      </c>
      <c r="X648" s="123">
        <f t="shared" ref="X648:X711" ca="1" si="399">+DATE(W648,V648,1)</f>
        <v>64802</v>
      </c>
      <c r="Y648" s="64">
        <f t="shared" ref="Y648:Y711" ca="1" si="400">+_xlfn.IFNA(AN648+AS648+AX648,0)</f>
        <v>0</v>
      </c>
      <c r="Z648" s="64">
        <f t="shared" ref="Z648:Z711" ca="1" si="401">+_xlfn.IFNA(AO648+AT648+AY648,0)</f>
        <v>0</v>
      </c>
      <c r="AA648" s="64">
        <f t="shared" ref="AA648:AA711" ca="1" si="402">Y648*(1+$O$5)^(($B$7-X648)/365.25)</f>
        <v>0</v>
      </c>
      <c r="AB648" s="64">
        <f t="shared" ref="AB648:AB711" ca="1" si="403">Z648*(1+$O$5)^(($B$7-X648)/365.25)</f>
        <v>0</v>
      </c>
      <c r="AF648" t="str">
        <f t="shared" ca="1" si="383"/>
        <v>21991</v>
      </c>
      <c r="AG648" s="126">
        <f t="shared" ca="1" si="384"/>
        <v>0</v>
      </c>
      <c r="AH648" s="126">
        <f t="shared" ca="1" si="385"/>
        <v>0</v>
      </c>
      <c r="AI648" s="126">
        <f t="shared" ca="1" si="386"/>
        <v>0</v>
      </c>
      <c r="AJ648" t="str">
        <f t="shared" ca="1" si="387"/>
        <v>62077</v>
      </c>
      <c r="AK648" s="126">
        <f t="shared" ref="AK648:AK711" ca="1" si="404">+_xlfn.IFNA(VLOOKUP(AJ648,$AF$7:$AG$1066,2,0),0)</f>
        <v>0</v>
      </c>
      <c r="AL648" s="126">
        <f t="shared" ref="AL648:AL711" ca="1" si="405">+IF(W648&gt;W647,AK648,AL647+AK648)</f>
        <v>0</v>
      </c>
      <c r="AM648" s="126">
        <f t="shared" ca="1" si="380"/>
        <v>0</v>
      </c>
      <c r="AN648" s="753">
        <f t="shared" ca="1" si="381"/>
        <v>0</v>
      </c>
      <c r="AO648" s="750">
        <f t="shared" ref="AO648:AO711" ca="1" si="406">+AK648-AN648</f>
        <v>0</v>
      </c>
      <c r="AP648" s="126">
        <f t="shared" ref="AP648:AP711" ca="1" si="407">+_xlfn.IFNA(VLOOKUP(AJ648,$AF$7:$AI$1066,3,0),0)</f>
        <v>0</v>
      </c>
      <c r="AQ648" s="126">
        <f t="shared" ref="AQ648:AQ711" ca="1" si="408">+IF(W648&gt;W647,AP648,AQ647+AP648)</f>
        <v>0</v>
      </c>
      <c r="AR648" s="126">
        <f t="shared" ca="1" si="388"/>
        <v>10000</v>
      </c>
      <c r="AS648" s="750">
        <f t="shared" ca="1" si="389"/>
        <v>0</v>
      </c>
      <c r="AT648" s="750">
        <f t="shared" ca="1" si="390"/>
        <v>0</v>
      </c>
      <c r="AU648" s="126">
        <f t="shared" ref="AU648:AU711" ca="1" si="409">+_xlfn.IFNA(VLOOKUP(AJ648,$AF$7:$AI$1066,4,0),0)</f>
        <v>0</v>
      </c>
      <c r="AV648" s="126">
        <f t="shared" ref="AV648:AV711" ca="1" si="410">+IF(W648&gt;W647,AU648,AV647+AU648)</f>
        <v>0</v>
      </c>
      <c r="AW648" s="126">
        <f t="shared" ca="1" si="391"/>
        <v>10000</v>
      </c>
      <c r="AX648" s="750">
        <f t="shared" ref="AX648:AX711" ca="1" si="411">+MAX(IF(AV648&gt;AW648,AW648-AV647,AU648),0)</f>
        <v>0</v>
      </c>
      <c r="AY648" s="750">
        <f t="shared" ref="AY648:AY711" ca="1" si="412">+AU648-AX648</f>
        <v>0</v>
      </c>
      <c r="AZ648">
        <f t="shared" ref="AZ648:AZ711" si="413">+$AM$1+IF($AP$1&gt;$AP$2,$AM$3/2)</f>
        <v>5750</v>
      </c>
    </row>
    <row r="649" spans="4:52">
      <c r="D649">
        <v>642</v>
      </c>
      <c r="E649" s="6">
        <f t="shared" ca="1" si="392"/>
        <v>33239</v>
      </c>
      <c r="F649" s="7">
        <f t="shared" ca="1" si="393"/>
        <v>0</v>
      </c>
      <c r="G649" s="125">
        <f ca="1">IF('Simulador - 1º Pilar'!$E$99="Sí",IF('Aportaciones PPE'!$B$13&lt;'Aportaciones PPE'!E649,0,F649*$B$8/12),F649*$B$8/12)</f>
        <v>0</v>
      </c>
      <c r="H649" s="125">
        <f t="shared" ca="1" si="382"/>
        <v>0</v>
      </c>
      <c r="I649" s="125">
        <f t="shared" ca="1" si="394"/>
        <v>0</v>
      </c>
      <c r="J649" s="125">
        <f t="shared" ca="1" si="395"/>
        <v>0</v>
      </c>
      <c r="K649" s="125">
        <f t="shared" ca="1" si="396"/>
        <v>0</v>
      </c>
      <c r="L649" s="125">
        <f t="shared" ref="L649:L712" ca="1" si="414">(1+$O$5)^(D649/12)*(I649+IF(AND(F649=1,F650=0),0))</f>
        <v>0</v>
      </c>
      <c r="M649" s="125">
        <f t="shared" ca="1" si="397"/>
        <v>0</v>
      </c>
      <c r="N649" s="125">
        <f t="shared" ca="1" si="398"/>
        <v>0</v>
      </c>
      <c r="R649">
        <f t="shared" ref="R649:R712" si="415">D649</f>
        <v>642</v>
      </c>
      <c r="U649" s="55"/>
      <c r="V649">
        <f t="shared" ref="V649:V712" si="416">+IF(V648=11,12,IF(V648=12,1,V648+1))</f>
        <v>7</v>
      </c>
      <c r="W649">
        <f t="shared" ref="W649:W712" ca="1" si="417">+W648+IF(V648=12,1,0)</f>
        <v>2077</v>
      </c>
      <c r="X649" s="123">
        <f t="shared" ca="1" si="399"/>
        <v>64832</v>
      </c>
      <c r="Y649" s="64">
        <f t="shared" ca="1" si="400"/>
        <v>0</v>
      </c>
      <c r="Z649" s="64">
        <f t="shared" ca="1" si="401"/>
        <v>0</v>
      </c>
      <c r="AA649" s="64">
        <f t="shared" ca="1" si="402"/>
        <v>0</v>
      </c>
      <c r="AB649" s="64">
        <f t="shared" ca="1" si="403"/>
        <v>0</v>
      </c>
      <c r="AF649" t="str">
        <f t="shared" ca="1" si="383"/>
        <v>11991</v>
      </c>
      <c r="AG649" s="126">
        <f t="shared" ca="1" si="384"/>
        <v>0</v>
      </c>
      <c r="AH649" s="126">
        <f t="shared" ca="1" si="385"/>
        <v>0</v>
      </c>
      <c r="AI649" s="126">
        <f t="shared" ca="1" si="386"/>
        <v>0</v>
      </c>
      <c r="AJ649" t="str">
        <f t="shared" ca="1" si="387"/>
        <v>72077</v>
      </c>
      <c r="AK649" s="126">
        <f t="shared" ca="1" si="404"/>
        <v>0</v>
      </c>
      <c r="AL649" s="126">
        <f t="shared" ca="1" si="405"/>
        <v>0</v>
      </c>
      <c r="AM649" s="126">
        <f t="shared" ref="AM649:AM712" ca="1" si="418">IF(W649&gt;W648,IF(AL649&gt;=$AZ$8,$AZ$8,AL649),IF(OR(AM648=$AZ$8,AM648=0),0,IF(AL649&gt;=$AZ$8,$AZ$8,AL649)))</f>
        <v>0</v>
      </c>
      <c r="AN649" s="753">
        <f t="shared" ref="AN649:AN712" ca="1" si="419">+IF(OR(AM649&gt;AZ648,AM649=0),0,IF(AM649=AL649,AK649,$AZ$7-AL648))</f>
        <v>0</v>
      </c>
      <c r="AO649" s="750">
        <f t="shared" ca="1" si="406"/>
        <v>0</v>
      </c>
      <c r="AP649" s="126">
        <f t="shared" ca="1" si="407"/>
        <v>0</v>
      </c>
      <c r="AQ649" s="126">
        <f t="shared" ca="1" si="408"/>
        <v>0</v>
      </c>
      <c r="AR649" s="126">
        <f t="shared" ca="1" si="388"/>
        <v>10000</v>
      </c>
      <c r="AS649" s="750">
        <f t="shared" ca="1" si="389"/>
        <v>0</v>
      </c>
      <c r="AT649" s="750">
        <f t="shared" ca="1" si="390"/>
        <v>0</v>
      </c>
      <c r="AU649" s="126">
        <f t="shared" ca="1" si="409"/>
        <v>0</v>
      </c>
      <c r="AV649" s="126">
        <f t="shared" ca="1" si="410"/>
        <v>0</v>
      </c>
      <c r="AW649" s="126">
        <f t="shared" ca="1" si="391"/>
        <v>10000</v>
      </c>
      <c r="AX649" s="750">
        <f t="shared" ca="1" si="411"/>
        <v>0</v>
      </c>
      <c r="AY649" s="750">
        <f t="shared" ca="1" si="412"/>
        <v>0</v>
      </c>
      <c r="AZ649">
        <f t="shared" si="413"/>
        <v>5750</v>
      </c>
    </row>
    <row r="650" spans="4:52">
      <c r="D650">
        <v>643</v>
      </c>
      <c r="E650" s="6">
        <f t="shared" ca="1" si="392"/>
        <v>33208</v>
      </c>
      <c r="F650" s="7">
        <f t="shared" ca="1" si="393"/>
        <v>0</v>
      </c>
      <c r="G650" s="125">
        <f ca="1">IF('Simulador - 1º Pilar'!$E$99="Sí",IF('Aportaciones PPE'!$B$13&lt;'Aportaciones PPE'!E650,0,F650*$B$8/12),F650*$B$8/12)</f>
        <v>0</v>
      </c>
      <c r="H650" s="125">
        <f t="shared" ca="1" si="382"/>
        <v>0</v>
      </c>
      <c r="I650" s="125">
        <f t="shared" ca="1" si="394"/>
        <v>0</v>
      </c>
      <c r="J650" s="125">
        <f t="shared" ca="1" si="395"/>
        <v>0</v>
      </c>
      <c r="K650" s="125">
        <f t="shared" ca="1" si="396"/>
        <v>0</v>
      </c>
      <c r="L650" s="125">
        <f t="shared" ca="1" si="414"/>
        <v>0</v>
      </c>
      <c r="M650" s="125">
        <f t="shared" ca="1" si="397"/>
        <v>0</v>
      </c>
      <c r="N650" s="125">
        <f t="shared" ca="1" si="398"/>
        <v>0</v>
      </c>
      <c r="R650">
        <f t="shared" si="415"/>
        <v>643</v>
      </c>
      <c r="U650" s="55"/>
      <c r="V650">
        <f t="shared" si="416"/>
        <v>8</v>
      </c>
      <c r="W650">
        <f t="shared" ca="1" si="417"/>
        <v>2077</v>
      </c>
      <c r="X650" s="123">
        <f t="shared" ca="1" si="399"/>
        <v>64863</v>
      </c>
      <c r="Y650" s="64">
        <f t="shared" ca="1" si="400"/>
        <v>0</v>
      </c>
      <c r="Z650" s="64">
        <f t="shared" ca="1" si="401"/>
        <v>0</v>
      </c>
      <c r="AA650" s="64">
        <f t="shared" ca="1" si="402"/>
        <v>0</v>
      </c>
      <c r="AB650" s="64">
        <f t="shared" ca="1" si="403"/>
        <v>0</v>
      </c>
      <c r="AF650" t="str">
        <f t="shared" ca="1" si="383"/>
        <v>121990</v>
      </c>
      <c r="AG650" s="126">
        <f t="shared" ca="1" si="384"/>
        <v>0</v>
      </c>
      <c r="AH650" s="126">
        <f t="shared" ca="1" si="385"/>
        <v>0</v>
      </c>
      <c r="AI650" s="126">
        <f t="shared" ca="1" si="386"/>
        <v>0</v>
      </c>
      <c r="AJ650" t="str">
        <f t="shared" ca="1" si="387"/>
        <v>82077</v>
      </c>
      <c r="AK650" s="126">
        <f t="shared" ca="1" si="404"/>
        <v>0</v>
      </c>
      <c r="AL650" s="126">
        <f t="shared" ca="1" si="405"/>
        <v>0</v>
      </c>
      <c r="AM650" s="126">
        <f t="shared" ca="1" si="418"/>
        <v>0</v>
      </c>
      <c r="AN650" s="753">
        <f t="shared" ca="1" si="419"/>
        <v>0</v>
      </c>
      <c r="AO650" s="750">
        <f t="shared" ca="1" si="406"/>
        <v>0</v>
      </c>
      <c r="AP650" s="126">
        <f t="shared" ca="1" si="407"/>
        <v>0</v>
      </c>
      <c r="AQ650" s="126">
        <f t="shared" ca="1" si="408"/>
        <v>0</v>
      </c>
      <c r="AR650" s="126">
        <f t="shared" ca="1" si="388"/>
        <v>10000</v>
      </c>
      <c r="AS650" s="750">
        <f t="shared" ca="1" si="389"/>
        <v>0</v>
      </c>
      <c r="AT650" s="750">
        <f t="shared" ca="1" si="390"/>
        <v>0</v>
      </c>
      <c r="AU650" s="126">
        <f t="shared" ca="1" si="409"/>
        <v>0</v>
      </c>
      <c r="AV650" s="126">
        <f t="shared" ca="1" si="410"/>
        <v>0</v>
      </c>
      <c r="AW650" s="126">
        <f t="shared" ca="1" si="391"/>
        <v>10000</v>
      </c>
      <c r="AX650" s="750">
        <f t="shared" ca="1" si="411"/>
        <v>0</v>
      </c>
      <c r="AY650" s="750">
        <f t="shared" ca="1" si="412"/>
        <v>0</v>
      </c>
      <c r="AZ650">
        <f t="shared" si="413"/>
        <v>5750</v>
      </c>
    </row>
    <row r="651" spans="4:52">
      <c r="D651">
        <v>644</v>
      </c>
      <c r="E651" s="6">
        <f t="shared" ca="1" si="392"/>
        <v>33178</v>
      </c>
      <c r="F651" s="7">
        <f t="shared" ca="1" si="393"/>
        <v>0</v>
      </c>
      <c r="G651" s="125">
        <f ca="1">IF('Simulador - 1º Pilar'!$E$99="Sí",IF('Aportaciones PPE'!$B$13&lt;'Aportaciones PPE'!E651,0,F651*$B$8/12),F651*$B$8/12)</f>
        <v>0</v>
      </c>
      <c r="H651" s="125">
        <f t="shared" ca="1" si="382"/>
        <v>0</v>
      </c>
      <c r="I651" s="125">
        <f t="shared" ca="1" si="394"/>
        <v>0</v>
      </c>
      <c r="J651" s="125">
        <f t="shared" ca="1" si="395"/>
        <v>0</v>
      </c>
      <c r="K651" s="125">
        <f t="shared" ca="1" si="396"/>
        <v>0</v>
      </c>
      <c r="L651" s="125">
        <f t="shared" ca="1" si="414"/>
        <v>0</v>
      </c>
      <c r="M651" s="125">
        <f t="shared" ca="1" si="397"/>
        <v>0</v>
      </c>
      <c r="N651" s="125">
        <f t="shared" ca="1" si="398"/>
        <v>0</v>
      </c>
      <c r="R651">
        <f t="shared" si="415"/>
        <v>644</v>
      </c>
      <c r="U651" s="55"/>
      <c r="V651">
        <f t="shared" si="416"/>
        <v>9</v>
      </c>
      <c r="W651">
        <f t="shared" ca="1" si="417"/>
        <v>2077</v>
      </c>
      <c r="X651" s="123">
        <f t="shared" ca="1" si="399"/>
        <v>64894</v>
      </c>
      <c r="Y651" s="64">
        <f t="shared" ca="1" si="400"/>
        <v>0</v>
      </c>
      <c r="Z651" s="64">
        <f t="shared" ca="1" si="401"/>
        <v>0</v>
      </c>
      <c r="AA651" s="64">
        <f t="shared" ca="1" si="402"/>
        <v>0</v>
      </c>
      <c r="AB651" s="64">
        <f t="shared" ca="1" si="403"/>
        <v>0</v>
      </c>
      <c r="AF651" t="str">
        <f t="shared" ca="1" si="383"/>
        <v>111990</v>
      </c>
      <c r="AG651" s="126">
        <f t="shared" ca="1" si="384"/>
        <v>0</v>
      </c>
      <c r="AH651" s="126">
        <f t="shared" ca="1" si="385"/>
        <v>0</v>
      </c>
      <c r="AI651" s="126">
        <f t="shared" ca="1" si="386"/>
        <v>0</v>
      </c>
      <c r="AJ651" t="str">
        <f t="shared" ca="1" si="387"/>
        <v>92077</v>
      </c>
      <c r="AK651" s="126">
        <f t="shared" ca="1" si="404"/>
        <v>0</v>
      </c>
      <c r="AL651" s="126">
        <f t="shared" ca="1" si="405"/>
        <v>0</v>
      </c>
      <c r="AM651" s="126">
        <f t="shared" ca="1" si="418"/>
        <v>0</v>
      </c>
      <c r="AN651" s="753">
        <f t="shared" ca="1" si="419"/>
        <v>0</v>
      </c>
      <c r="AO651" s="750">
        <f t="shared" ca="1" si="406"/>
        <v>0</v>
      </c>
      <c r="AP651" s="126">
        <f t="shared" ca="1" si="407"/>
        <v>0</v>
      </c>
      <c r="AQ651" s="126">
        <f t="shared" ca="1" si="408"/>
        <v>0</v>
      </c>
      <c r="AR651" s="126">
        <f t="shared" ca="1" si="388"/>
        <v>10000</v>
      </c>
      <c r="AS651" s="750">
        <f t="shared" ca="1" si="389"/>
        <v>0</v>
      </c>
      <c r="AT651" s="750">
        <f t="shared" ca="1" si="390"/>
        <v>0</v>
      </c>
      <c r="AU651" s="126">
        <f t="shared" ca="1" si="409"/>
        <v>0</v>
      </c>
      <c r="AV651" s="126">
        <f t="shared" ca="1" si="410"/>
        <v>0</v>
      </c>
      <c r="AW651" s="126">
        <f t="shared" ca="1" si="391"/>
        <v>10000</v>
      </c>
      <c r="AX651" s="750">
        <f t="shared" ca="1" si="411"/>
        <v>0</v>
      </c>
      <c r="AY651" s="750">
        <f t="shared" ca="1" si="412"/>
        <v>0</v>
      </c>
      <c r="AZ651">
        <f t="shared" si="413"/>
        <v>5750</v>
      </c>
    </row>
    <row r="652" spans="4:52">
      <c r="D652">
        <v>645</v>
      </c>
      <c r="E652" s="6">
        <f t="shared" ca="1" si="392"/>
        <v>33147</v>
      </c>
      <c r="F652" s="7">
        <f t="shared" ca="1" si="393"/>
        <v>0</v>
      </c>
      <c r="G652" s="125">
        <f ca="1">IF('Simulador - 1º Pilar'!$E$99="Sí",IF('Aportaciones PPE'!$B$13&lt;'Aportaciones PPE'!E652,0,F652*$B$8/12),F652*$B$8/12)</f>
        <v>0</v>
      </c>
      <c r="H652" s="125">
        <f t="shared" ca="1" si="382"/>
        <v>0</v>
      </c>
      <c r="I652" s="125">
        <f t="shared" ca="1" si="394"/>
        <v>0</v>
      </c>
      <c r="J652" s="125">
        <f t="shared" ca="1" si="395"/>
        <v>0</v>
      </c>
      <c r="K652" s="125">
        <f t="shared" ca="1" si="396"/>
        <v>0</v>
      </c>
      <c r="L652" s="125">
        <f t="shared" ca="1" si="414"/>
        <v>0</v>
      </c>
      <c r="M652" s="125">
        <f t="shared" ca="1" si="397"/>
        <v>0</v>
      </c>
      <c r="N652" s="125">
        <f t="shared" ca="1" si="398"/>
        <v>0</v>
      </c>
      <c r="R652">
        <f t="shared" si="415"/>
        <v>645</v>
      </c>
      <c r="U652" s="55"/>
      <c r="V652">
        <f t="shared" si="416"/>
        <v>10</v>
      </c>
      <c r="W652">
        <f t="shared" ca="1" si="417"/>
        <v>2077</v>
      </c>
      <c r="X652" s="123">
        <f t="shared" ca="1" si="399"/>
        <v>64924</v>
      </c>
      <c r="Y652" s="64">
        <f t="shared" ca="1" si="400"/>
        <v>0</v>
      </c>
      <c r="Z652" s="64">
        <f t="shared" ca="1" si="401"/>
        <v>0</v>
      </c>
      <c r="AA652" s="64">
        <f t="shared" ca="1" si="402"/>
        <v>0</v>
      </c>
      <c r="AB652" s="64">
        <f t="shared" ca="1" si="403"/>
        <v>0</v>
      </c>
      <c r="AF652" t="str">
        <f t="shared" ca="1" si="383"/>
        <v>101990</v>
      </c>
      <c r="AG652" s="126">
        <f t="shared" ca="1" si="384"/>
        <v>0</v>
      </c>
      <c r="AH652" s="126">
        <f t="shared" ca="1" si="385"/>
        <v>0</v>
      </c>
      <c r="AI652" s="126">
        <f t="shared" ca="1" si="386"/>
        <v>0</v>
      </c>
      <c r="AJ652" t="str">
        <f t="shared" ca="1" si="387"/>
        <v>102077</v>
      </c>
      <c r="AK652" s="126">
        <f t="shared" ca="1" si="404"/>
        <v>0</v>
      </c>
      <c r="AL652" s="126">
        <f t="shared" ca="1" si="405"/>
        <v>0</v>
      </c>
      <c r="AM652" s="126">
        <f t="shared" ca="1" si="418"/>
        <v>0</v>
      </c>
      <c r="AN652" s="753">
        <f t="shared" ca="1" si="419"/>
        <v>0</v>
      </c>
      <c r="AO652" s="750">
        <f t="shared" ca="1" si="406"/>
        <v>0</v>
      </c>
      <c r="AP652" s="126">
        <f t="shared" ca="1" si="407"/>
        <v>0</v>
      </c>
      <c r="AQ652" s="126">
        <f t="shared" ca="1" si="408"/>
        <v>0</v>
      </c>
      <c r="AR652" s="126">
        <f t="shared" ca="1" si="388"/>
        <v>10000</v>
      </c>
      <c r="AS652" s="750">
        <f t="shared" ca="1" si="389"/>
        <v>0</v>
      </c>
      <c r="AT652" s="750">
        <f t="shared" ca="1" si="390"/>
        <v>0</v>
      </c>
      <c r="AU652" s="126">
        <f t="shared" ca="1" si="409"/>
        <v>0</v>
      </c>
      <c r="AV652" s="126">
        <f t="shared" ca="1" si="410"/>
        <v>0</v>
      </c>
      <c r="AW652" s="126">
        <f t="shared" ca="1" si="391"/>
        <v>10000</v>
      </c>
      <c r="AX652" s="750">
        <f t="shared" ca="1" si="411"/>
        <v>0</v>
      </c>
      <c r="AY652" s="750">
        <f t="shared" ca="1" si="412"/>
        <v>0</v>
      </c>
      <c r="AZ652">
        <f t="shared" si="413"/>
        <v>5750</v>
      </c>
    </row>
    <row r="653" spans="4:52">
      <c r="D653">
        <v>646</v>
      </c>
      <c r="E653" s="6">
        <f t="shared" ca="1" si="392"/>
        <v>33117</v>
      </c>
      <c r="F653" s="7">
        <f t="shared" ca="1" si="393"/>
        <v>0</v>
      </c>
      <c r="G653" s="125">
        <f ca="1">IF('Simulador - 1º Pilar'!$E$99="Sí",IF('Aportaciones PPE'!$B$13&lt;'Aportaciones PPE'!E653,0,F653*$B$8/12),F653*$B$8/12)</f>
        <v>0</v>
      </c>
      <c r="H653" s="125">
        <f t="shared" ca="1" si="382"/>
        <v>0</v>
      </c>
      <c r="I653" s="125">
        <f t="shared" ca="1" si="394"/>
        <v>0</v>
      </c>
      <c r="J653" s="125">
        <f t="shared" ca="1" si="395"/>
        <v>0</v>
      </c>
      <c r="K653" s="125">
        <f t="shared" ca="1" si="396"/>
        <v>0</v>
      </c>
      <c r="L653" s="125">
        <f t="shared" ca="1" si="414"/>
        <v>0</v>
      </c>
      <c r="M653" s="125">
        <f t="shared" ca="1" si="397"/>
        <v>0</v>
      </c>
      <c r="N653" s="125">
        <f t="shared" ca="1" si="398"/>
        <v>0</v>
      </c>
      <c r="R653">
        <f t="shared" si="415"/>
        <v>646</v>
      </c>
      <c r="U653" s="55"/>
      <c r="V653">
        <f t="shared" si="416"/>
        <v>11</v>
      </c>
      <c r="W653">
        <f t="shared" ca="1" si="417"/>
        <v>2077</v>
      </c>
      <c r="X653" s="123">
        <f t="shared" ca="1" si="399"/>
        <v>64955</v>
      </c>
      <c r="Y653" s="64">
        <f t="shared" ca="1" si="400"/>
        <v>0</v>
      </c>
      <c r="Z653" s="64">
        <f t="shared" ca="1" si="401"/>
        <v>0</v>
      </c>
      <c r="AA653" s="64">
        <f t="shared" ca="1" si="402"/>
        <v>0</v>
      </c>
      <c r="AB653" s="64">
        <f t="shared" ca="1" si="403"/>
        <v>0</v>
      </c>
      <c r="AF653" t="str">
        <f t="shared" ca="1" si="383"/>
        <v>91990</v>
      </c>
      <c r="AG653" s="126">
        <f t="shared" ca="1" si="384"/>
        <v>0</v>
      </c>
      <c r="AH653" s="126">
        <f t="shared" ca="1" si="385"/>
        <v>0</v>
      </c>
      <c r="AI653" s="126">
        <f t="shared" ca="1" si="386"/>
        <v>0</v>
      </c>
      <c r="AJ653" t="str">
        <f t="shared" ca="1" si="387"/>
        <v>112077</v>
      </c>
      <c r="AK653" s="126">
        <f t="shared" ca="1" si="404"/>
        <v>0</v>
      </c>
      <c r="AL653" s="126">
        <f t="shared" ca="1" si="405"/>
        <v>0</v>
      </c>
      <c r="AM653" s="126">
        <f t="shared" ca="1" si="418"/>
        <v>0</v>
      </c>
      <c r="AN653" s="753">
        <f t="shared" ca="1" si="419"/>
        <v>0</v>
      </c>
      <c r="AO653" s="750">
        <f t="shared" ca="1" si="406"/>
        <v>0</v>
      </c>
      <c r="AP653" s="126">
        <f t="shared" ca="1" si="407"/>
        <v>0</v>
      </c>
      <c r="AQ653" s="126">
        <f t="shared" ca="1" si="408"/>
        <v>0</v>
      </c>
      <c r="AR653" s="126">
        <f t="shared" ca="1" si="388"/>
        <v>10000</v>
      </c>
      <c r="AS653" s="750">
        <f t="shared" ca="1" si="389"/>
        <v>0</v>
      </c>
      <c r="AT653" s="750">
        <f t="shared" ca="1" si="390"/>
        <v>0</v>
      </c>
      <c r="AU653" s="126">
        <f t="shared" ca="1" si="409"/>
        <v>0</v>
      </c>
      <c r="AV653" s="126">
        <f t="shared" ca="1" si="410"/>
        <v>0</v>
      </c>
      <c r="AW653" s="126">
        <f t="shared" ca="1" si="391"/>
        <v>10000</v>
      </c>
      <c r="AX653" s="750">
        <f t="shared" ca="1" si="411"/>
        <v>0</v>
      </c>
      <c r="AY653" s="750">
        <f t="shared" ca="1" si="412"/>
        <v>0</v>
      </c>
      <c r="AZ653">
        <f t="shared" si="413"/>
        <v>5750</v>
      </c>
    </row>
    <row r="654" spans="4:52">
      <c r="D654">
        <v>647</v>
      </c>
      <c r="E654" s="6">
        <f t="shared" ca="1" si="392"/>
        <v>33086</v>
      </c>
      <c r="F654" s="7">
        <f t="shared" ca="1" si="393"/>
        <v>0</v>
      </c>
      <c r="G654" s="125">
        <f ca="1">IF('Simulador - 1º Pilar'!$E$99="Sí",IF('Aportaciones PPE'!$B$13&lt;'Aportaciones PPE'!E654,0,F654*$B$8/12),F654*$B$8/12)</f>
        <v>0</v>
      </c>
      <c r="H654" s="125">
        <f t="shared" ca="1" si="382"/>
        <v>0</v>
      </c>
      <c r="I654" s="125">
        <f t="shared" ca="1" si="394"/>
        <v>0</v>
      </c>
      <c r="J654" s="125">
        <f t="shared" ca="1" si="395"/>
        <v>0</v>
      </c>
      <c r="K654" s="125">
        <f t="shared" ca="1" si="396"/>
        <v>0</v>
      </c>
      <c r="L654" s="125">
        <f t="shared" ca="1" si="414"/>
        <v>0</v>
      </c>
      <c r="M654" s="125">
        <f t="shared" ca="1" si="397"/>
        <v>0</v>
      </c>
      <c r="N654" s="125">
        <f t="shared" ca="1" si="398"/>
        <v>0</v>
      </c>
      <c r="R654">
        <f t="shared" si="415"/>
        <v>647</v>
      </c>
      <c r="U654" s="55"/>
      <c r="V654">
        <f t="shared" si="416"/>
        <v>12</v>
      </c>
      <c r="W654">
        <f t="shared" ca="1" si="417"/>
        <v>2077</v>
      </c>
      <c r="X654" s="123">
        <f t="shared" ca="1" si="399"/>
        <v>64985</v>
      </c>
      <c r="Y654" s="64">
        <f t="shared" ca="1" si="400"/>
        <v>0</v>
      </c>
      <c r="Z654" s="64">
        <f t="shared" ca="1" si="401"/>
        <v>0</v>
      </c>
      <c r="AA654" s="64">
        <f t="shared" ca="1" si="402"/>
        <v>0</v>
      </c>
      <c r="AB654" s="64">
        <f t="shared" ca="1" si="403"/>
        <v>0</v>
      </c>
      <c r="AF654" t="str">
        <f t="shared" ca="1" si="383"/>
        <v>81990</v>
      </c>
      <c r="AG654" s="126">
        <f t="shared" ca="1" si="384"/>
        <v>0</v>
      </c>
      <c r="AH654" s="126">
        <f t="shared" ca="1" si="385"/>
        <v>0</v>
      </c>
      <c r="AI654" s="126">
        <f t="shared" ca="1" si="386"/>
        <v>0</v>
      </c>
      <c r="AJ654" t="str">
        <f t="shared" ca="1" si="387"/>
        <v>122077</v>
      </c>
      <c r="AK654" s="126">
        <f t="shared" ca="1" si="404"/>
        <v>0</v>
      </c>
      <c r="AL654" s="126">
        <f t="shared" ca="1" si="405"/>
        <v>0</v>
      </c>
      <c r="AM654" s="126">
        <f t="shared" ca="1" si="418"/>
        <v>0</v>
      </c>
      <c r="AN654" s="753">
        <f t="shared" ca="1" si="419"/>
        <v>0</v>
      </c>
      <c r="AO654" s="750">
        <f t="shared" ca="1" si="406"/>
        <v>0</v>
      </c>
      <c r="AP654" s="126">
        <f t="shared" ca="1" si="407"/>
        <v>0</v>
      </c>
      <c r="AQ654" s="126">
        <f t="shared" ca="1" si="408"/>
        <v>0</v>
      </c>
      <c r="AR654" s="126">
        <f t="shared" ca="1" si="388"/>
        <v>10000</v>
      </c>
      <c r="AS654" s="750">
        <f t="shared" ca="1" si="389"/>
        <v>0</v>
      </c>
      <c r="AT654" s="750">
        <f t="shared" ca="1" si="390"/>
        <v>0</v>
      </c>
      <c r="AU654" s="126">
        <f t="shared" ca="1" si="409"/>
        <v>0</v>
      </c>
      <c r="AV654" s="126">
        <f t="shared" ca="1" si="410"/>
        <v>0</v>
      </c>
      <c r="AW654" s="126">
        <f t="shared" ca="1" si="391"/>
        <v>10000</v>
      </c>
      <c r="AX654" s="750">
        <f t="shared" ca="1" si="411"/>
        <v>0</v>
      </c>
      <c r="AY654" s="750">
        <f t="shared" ca="1" si="412"/>
        <v>0</v>
      </c>
      <c r="AZ654">
        <f t="shared" si="413"/>
        <v>5750</v>
      </c>
    </row>
    <row r="655" spans="4:52">
      <c r="D655">
        <v>648</v>
      </c>
      <c r="E655" s="6">
        <f t="shared" ca="1" si="392"/>
        <v>33055</v>
      </c>
      <c r="F655" s="7">
        <f t="shared" ca="1" si="393"/>
        <v>0</v>
      </c>
      <c r="G655" s="125">
        <f ca="1">IF('Simulador - 1º Pilar'!$E$99="Sí",IF('Aportaciones PPE'!$B$13&lt;'Aportaciones PPE'!E655,0,F655*$B$8/12),F655*$B$8/12)</f>
        <v>0</v>
      </c>
      <c r="H655" s="125">
        <f t="shared" ca="1" si="382"/>
        <v>0</v>
      </c>
      <c r="I655" s="125">
        <f t="shared" ca="1" si="394"/>
        <v>0</v>
      </c>
      <c r="J655" s="125">
        <f t="shared" ca="1" si="395"/>
        <v>0</v>
      </c>
      <c r="K655" s="125">
        <f t="shared" ca="1" si="396"/>
        <v>0</v>
      </c>
      <c r="L655" s="125">
        <f t="shared" ca="1" si="414"/>
        <v>0</v>
      </c>
      <c r="M655" s="125">
        <f t="shared" ca="1" si="397"/>
        <v>0</v>
      </c>
      <c r="N655" s="125">
        <f t="shared" ca="1" si="398"/>
        <v>0</v>
      </c>
      <c r="R655">
        <f t="shared" si="415"/>
        <v>648</v>
      </c>
      <c r="U655" s="55"/>
      <c r="V655">
        <f t="shared" si="416"/>
        <v>1</v>
      </c>
      <c r="W655">
        <f t="shared" ca="1" si="417"/>
        <v>2078</v>
      </c>
      <c r="X655" s="123">
        <f t="shared" ca="1" si="399"/>
        <v>65016</v>
      </c>
      <c r="Y655" s="64">
        <f t="shared" ca="1" si="400"/>
        <v>0</v>
      </c>
      <c r="Z655" s="64">
        <f t="shared" ca="1" si="401"/>
        <v>0</v>
      </c>
      <c r="AA655" s="64">
        <f t="shared" ca="1" si="402"/>
        <v>0</v>
      </c>
      <c r="AB655" s="64">
        <f t="shared" ca="1" si="403"/>
        <v>0</v>
      </c>
      <c r="AF655" t="str">
        <f t="shared" ca="1" si="383"/>
        <v>71990</v>
      </c>
      <c r="AG655" s="126">
        <f t="shared" ca="1" si="384"/>
        <v>0</v>
      </c>
      <c r="AH655" s="126">
        <f t="shared" ca="1" si="385"/>
        <v>0</v>
      </c>
      <c r="AI655" s="126">
        <f t="shared" ca="1" si="386"/>
        <v>0</v>
      </c>
      <c r="AJ655" t="str">
        <f t="shared" ca="1" si="387"/>
        <v>12078</v>
      </c>
      <c r="AK655" s="126">
        <f t="shared" ca="1" si="404"/>
        <v>0</v>
      </c>
      <c r="AL655" s="126">
        <f t="shared" ca="1" si="405"/>
        <v>0</v>
      </c>
      <c r="AM655" s="126">
        <f t="shared" ca="1" si="418"/>
        <v>0</v>
      </c>
      <c r="AN655" s="753">
        <f t="shared" ca="1" si="419"/>
        <v>0</v>
      </c>
      <c r="AO655" s="750">
        <f t="shared" ca="1" si="406"/>
        <v>0</v>
      </c>
      <c r="AP655" s="126">
        <f t="shared" ca="1" si="407"/>
        <v>0</v>
      </c>
      <c r="AQ655" s="126">
        <f t="shared" ca="1" si="408"/>
        <v>0</v>
      </c>
      <c r="AR655" s="126">
        <f t="shared" ca="1" si="388"/>
        <v>10000</v>
      </c>
      <c r="AS655" s="750">
        <f t="shared" ca="1" si="389"/>
        <v>0</v>
      </c>
      <c r="AT655" s="750">
        <f t="shared" ca="1" si="390"/>
        <v>0</v>
      </c>
      <c r="AU655" s="126">
        <f t="shared" ca="1" si="409"/>
        <v>0</v>
      </c>
      <c r="AV655" s="126">
        <f t="shared" ca="1" si="410"/>
        <v>0</v>
      </c>
      <c r="AW655" s="126">
        <f t="shared" ca="1" si="391"/>
        <v>10000</v>
      </c>
      <c r="AX655" s="750">
        <f t="shared" ca="1" si="411"/>
        <v>0</v>
      </c>
      <c r="AY655" s="750">
        <f t="shared" ca="1" si="412"/>
        <v>0</v>
      </c>
      <c r="AZ655">
        <f t="shared" si="413"/>
        <v>5750</v>
      </c>
    </row>
    <row r="656" spans="4:52">
      <c r="D656">
        <v>649</v>
      </c>
      <c r="E656" s="6">
        <f t="shared" ca="1" si="392"/>
        <v>33025</v>
      </c>
      <c r="F656" s="7">
        <f t="shared" ca="1" si="393"/>
        <v>0</v>
      </c>
      <c r="G656" s="125">
        <f ca="1">IF('Simulador - 1º Pilar'!$E$99="Sí",IF('Aportaciones PPE'!$B$13&lt;'Aportaciones PPE'!E656,0,F656*$B$8/12),F656*$B$8/12)</f>
        <v>0</v>
      </c>
      <c r="H656" s="125">
        <f t="shared" ca="1" si="382"/>
        <v>0</v>
      </c>
      <c r="I656" s="125">
        <f t="shared" ca="1" si="394"/>
        <v>0</v>
      </c>
      <c r="J656" s="125">
        <f t="shared" ca="1" si="395"/>
        <v>0</v>
      </c>
      <c r="K656" s="125">
        <f t="shared" ca="1" si="396"/>
        <v>0</v>
      </c>
      <c r="L656" s="125">
        <f t="shared" ca="1" si="414"/>
        <v>0</v>
      </c>
      <c r="M656" s="125">
        <f t="shared" ca="1" si="397"/>
        <v>0</v>
      </c>
      <c r="N656" s="125">
        <f t="shared" ca="1" si="398"/>
        <v>0</v>
      </c>
      <c r="R656">
        <f t="shared" si="415"/>
        <v>649</v>
      </c>
      <c r="U656" s="55"/>
      <c r="V656">
        <f t="shared" si="416"/>
        <v>2</v>
      </c>
      <c r="W656">
        <f t="shared" ca="1" si="417"/>
        <v>2078</v>
      </c>
      <c r="X656" s="123">
        <f t="shared" ca="1" si="399"/>
        <v>65047</v>
      </c>
      <c r="Y656" s="64">
        <f t="shared" ca="1" si="400"/>
        <v>0</v>
      </c>
      <c r="Z656" s="64">
        <f t="shared" ca="1" si="401"/>
        <v>0</v>
      </c>
      <c r="AA656" s="64">
        <f t="shared" ca="1" si="402"/>
        <v>0</v>
      </c>
      <c r="AB656" s="64">
        <f t="shared" ca="1" si="403"/>
        <v>0</v>
      </c>
      <c r="AF656" t="str">
        <f t="shared" ca="1" si="383"/>
        <v>61990</v>
      </c>
      <c r="AG656" s="126">
        <f t="shared" ca="1" si="384"/>
        <v>0</v>
      </c>
      <c r="AH656" s="126">
        <f t="shared" ca="1" si="385"/>
        <v>0</v>
      </c>
      <c r="AI656" s="126">
        <f t="shared" ca="1" si="386"/>
        <v>0</v>
      </c>
      <c r="AJ656" t="str">
        <f t="shared" ca="1" si="387"/>
        <v>22078</v>
      </c>
      <c r="AK656" s="126">
        <f t="shared" ca="1" si="404"/>
        <v>0</v>
      </c>
      <c r="AL656" s="126">
        <f t="shared" ca="1" si="405"/>
        <v>0</v>
      </c>
      <c r="AM656" s="126">
        <f t="shared" ca="1" si="418"/>
        <v>0</v>
      </c>
      <c r="AN656" s="753">
        <f t="shared" ca="1" si="419"/>
        <v>0</v>
      </c>
      <c r="AO656" s="750">
        <f t="shared" ca="1" si="406"/>
        <v>0</v>
      </c>
      <c r="AP656" s="126">
        <f t="shared" ca="1" si="407"/>
        <v>0</v>
      </c>
      <c r="AQ656" s="126">
        <f t="shared" ca="1" si="408"/>
        <v>0</v>
      </c>
      <c r="AR656" s="126">
        <f t="shared" ca="1" si="388"/>
        <v>10000</v>
      </c>
      <c r="AS656" s="750">
        <f t="shared" ca="1" si="389"/>
        <v>0</v>
      </c>
      <c r="AT656" s="750">
        <f t="shared" ca="1" si="390"/>
        <v>0</v>
      </c>
      <c r="AU656" s="126">
        <f t="shared" ca="1" si="409"/>
        <v>0</v>
      </c>
      <c r="AV656" s="126">
        <f t="shared" ca="1" si="410"/>
        <v>0</v>
      </c>
      <c r="AW656" s="126">
        <f t="shared" ca="1" si="391"/>
        <v>10000</v>
      </c>
      <c r="AX656" s="750">
        <f t="shared" ca="1" si="411"/>
        <v>0</v>
      </c>
      <c r="AY656" s="750">
        <f t="shared" ca="1" si="412"/>
        <v>0</v>
      </c>
      <c r="AZ656">
        <f t="shared" si="413"/>
        <v>5750</v>
      </c>
    </row>
    <row r="657" spans="4:52">
      <c r="D657">
        <v>650</v>
      </c>
      <c r="E657" s="6">
        <f t="shared" ca="1" si="392"/>
        <v>32994</v>
      </c>
      <c r="F657" s="7">
        <f t="shared" ca="1" si="393"/>
        <v>0</v>
      </c>
      <c r="G657" s="125">
        <f ca="1">IF('Simulador - 1º Pilar'!$E$99="Sí",IF('Aportaciones PPE'!$B$13&lt;'Aportaciones PPE'!E657,0,F657*$B$8/12),F657*$B$8/12)</f>
        <v>0</v>
      </c>
      <c r="H657" s="125">
        <f t="shared" ca="1" si="382"/>
        <v>0</v>
      </c>
      <c r="I657" s="125">
        <f t="shared" ca="1" si="394"/>
        <v>0</v>
      </c>
      <c r="J657" s="125">
        <f t="shared" ca="1" si="395"/>
        <v>0</v>
      </c>
      <c r="K657" s="125">
        <f t="shared" ca="1" si="396"/>
        <v>0</v>
      </c>
      <c r="L657" s="125">
        <f t="shared" ca="1" si="414"/>
        <v>0</v>
      </c>
      <c r="M657" s="125">
        <f t="shared" ca="1" si="397"/>
        <v>0</v>
      </c>
      <c r="N657" s="125">
        <f t="shared" ca="1" si="398"/>
        <v>0</v>
      </c>
      <c r="R657">
        <f t="shared" si="415"/>
        <v>650</v>
      </c>
      <c r="U657" s="55"/>
      <c r="V657">
        <f t="shared" si="416"/>
        <v>3</v>
      </c>
      <c r="W657">
        <f t="shared" ca="1" si="417"/>
        <v>2078</v>
      </c>
      <c r="X657" s="123">
        <f t="shared" ca="1" si="399"/>
        <v>65075</v>
      </c>
      <c r="Y657" s="64">
        <f t="shared" ca="1" si="400"/>
        <v>0</v>
      </c>
      <c r="Z657" s="64">
        <f t="shared" ca="1" si="401"/>
        <v>0</v>
      </c>
      <c r="AA657" s="64">
        <f t="shared" ca="1" si="402"/>
        <v>0</v>
      </c>
      <c r="AB657" s="64">
        <f t="shared" ca="1" si="403"/>
        <v>0</v>
      </c>
      <c r="AF657" t="str">
        <f t="shared" ca="1" si="383"/>
        <v>51990</v>
      </c>
      <c r="AG657" s="126">
        <f t="shared" ca="1" si="384"/>
        <v>0</v>
      </c>
      <c r="AH657" s="126">
        <f t="shared" ca="1" si="385"/>
        <v>0</v>
      </c>
      <c r="AI657" s="126">
        <f t="shared" ca="1" si="386"/>
        <v>0</v>
      </c>
      <c r="AJ657" t="str">
        <f t="shared" ca="1" si="387"/>
        <v>32078</v>
      </c>
      <c r="AK657" s="126">
        <f t="shared" ca="1" si="404"/>
        <v>0</v>
      </c>
      <c r="AL657" s="126">
        <f t="shared" ca="1" si="405"/>
        <v>0</v>
      </c>
      <c r="AM657" s="126">
        <f t="shared" ca="1" si="418"/>
        <v>0</v>
      </c>
      <c r="AN657" s="753">
        <f t="shared" ca="1" si="419"/>
        <v>0</v>
      </c>
      <c r="AO657" s="750">
        <f t="shared" ca="1" si="406"/>
        <v>0</v>
      </c>
      <c r="AP657" s="126">
        <f t="shared" ca="1" si="407"/>
        <v>0</v>
      </c>
      <c r="AQ657" s="126">
        <f t="shared" ca="1" si="408"/>
        <v>0</v>
      </c>
      <c r="AR657" s="126">
        <f t="shared" ca="1" si="388"/>
        <v>10000</v>
      </c>
      <c r="AS657" s="750">
        <f t="shared" ca="1" si="389"/>
        <v>0</v>
      </c>
      <c r="AT657" s="750">
        <f t="shared" ca="1" si="390"/>
        <v>0</v>
      </c>
      <c r="AU657" s="126">
        <f t="shared" ca="1" si="409"/>
        <v>0</v>
      </c>
      <c r="AV657" s="126">
        <f t="shared" ca="1" si="410"/>
        <v>0</v>
      </c>
      <c r="AW657" s="126">
        <f t="shared" ca="1" si="391"/>
        <v>10000</v>
      </c>
      <c r="AX657" s="750">
        <f t="shared" ca="1" si="411"/>
        <v>0</v>
      </c>
      <c r="AY657" s="750">
        <f t="shared" ca="1" si="412"/>
        <v>0</v>
      </c>
      <c r="AZ657">
        <f t="shared" si="413"/>
        <v>5750</v>
      </c>
    </row>
    <row r="658" spans="4:52">
      <c r="D658">
        <v>651</v>
      </c>
      <c r="E658" s="6">
        <f t="shared" ca="1" si="392"/>
        <v>32964</v>
      </c>
      <c r="F658" s="7">
        <f t="shared" ca="1" si="393"/>
        <v>0</v>
      </c>
      <c r="G658" s="125">
        <f ca="1">IF('Simulador - 1º Pilar'!$E$99="Sí",IF('Aportaciones PPE'!$B$13&lt;'Aportaciones PPE'!E658,0,F658*$B$8/12),F658*$B$8/12)</f>
        <v>0</v>
      </c>
      <c r="H658" s="125">
        <f t="shared" ca="1" si="382"/>
        <v>0</v>
      </c>
      <c r="I658" s="125">
        <f t="shared" ca="1" si="394"/>
        <v>0</v>
      </c>
      <c r="J658" s="125">
        <f t="shared" ca="1" si="395"/>
        <v>0</v>
      </c>
      <c r="K658" s="125">
        <f t="shared" ca="1" si="396"/>
        <v>0</v>
      </c>
      <c r="L658" s="125">
        <f t="shared" ca="1" si="414"/>
        <v>0</v>
      </c>
      <c r="M658" s="125">
        <f t="shared" ca="1" si="397"/>
        <v>0</v>
      </c>
      <c r="N658" s="125">
        <f t="shared" ca="1" si="398"/>
        <v>0</v>
      </c>
      <c r="R658">
        <f t="shared" si="415"/>
        <v>651</v>
      </c>
      <c r="U658" s="55"/>
      <c r="V658">
        <f t="shared" si="416"/>
        <v>4</v>
      </c>
      <c r="W658">
        <f t="shared" ca="1" si="417"/>
        <v>2078</v>
      </c>
      <c r="X658" s="123">
        <f t="shared" ca="1" si="399"/>
        <v>65106</v>
      </c>
      <c r="Y658" s="64">
        <f t="shared" ca="1" si="400"/>
        <v>0</v>
      </c>
      <c r="Z658" s="64">
        <f t="shared" ca="1" si="401"/>
        <v>0</v>
      </c>
      <c r="AA658" s="64">
        <f t="shared" ca="1" si="402"/>
        <v>0</v>
      </c>
      <c r="AB658" s="64">
        <f t="shared" ca="1" si="403"/>
        <v>0</v>
      </c>
      <c r="AF658" t="str">
        <f t="shared" ca="1" si="383"/>
        <v>41990</v>
      </c>
      <c r="AG658" s="126">
        <f t="shared" ca="1" si="384"/>
        <v>0</v>
      </c>
      <c r="AH658" s="126">
        <f t="shared" ca="1" si="385"/>
        <v>0</v>
      </c>
      <c r="AI658" s="126">
        <f t="shared" ca="1" si="386"/>
        <v>0</v>
      </c>
      <c r="AJ658" t="str">
        <f t="shared" ca="1" si="387"/>
        <v>42078</v>
      </c>
      <c r="AK658" s="126">
        <f t="shared" ca="1" si="404"/>
        <v>0</v>
      </c>
      <c r="AL658" s="126">
        <f t="shared" ca="1" si="405"/>
        <v>0</v>
      </c>
      <c r="AM658" s="126">
        <f t="shared" ca="1" si="418"/>
        <v>0</v>
      </c>
      <c r="AN658" s="753">
        <f t="shared" ca="1" si="419"/>
        <v>0</v>
      </c>
      <c r="AO658" s="750">
        <f t="shared" ca="1" si="406"/>
        <v>0</v>
      </c>
      <c r="AP658" s="126">
        <f t="shared" ca="1" si="407"/>
        <v>0</v>
      </c>
      <c r="AQ658" s="126">
        <f t="shared" ca="1" si="408"/>
        <v>0</v>
      </c>
      <c r="AR658" s="126">
        <f t="shared" ca="1" si="388"/>
        <v>10000</v>
      </c>
      <c r="AS658" s="750">
        <f t="shared" ca="1" si="389"/>
        <v>0</v>
      </c>
      <c r="AT658" s="750">
        <f t="shared" ca="1" si="390"/>
        <v>0</v>
      </c>
      <c r="AU658" s="126">
        <f t="shared" ca="1" si="409"/>
        <v>0</v>
      </c>
      <c r="AV658" s="126">
        <f t="shared" ca="1" si="410"/>
        <v>0</v>
      </c>
      <c r="AW658" s="126">
        <f t="shared" ca="1" si="391"/>
        <v>10000</v>
      </c>
      <c r="AX658" s="750">
        <f t="shared" ca="1" si="411"/>
        <v>0</v>
      </c>
      <c r="AY658" s="750">
        <f t="shared" ca="1" si="412"/>
        <v>0</v>
      </c>
      <c r="AZ658">
        <f t="shared" si="413"/>
        <v>5750</v>
      </c>
    </row>
    <row r="659" spans="4:52">
      <c r="D659">
        <v>652</v>
      </c>
      <c r="E659" s="6">
        <f t="shared" ca="1" si="392"/>
        <v>32933</v>
      </c>
      <c r="F659" s="7">
        <f t="shared" ca="1" si="393"/>
        <v>0</v>
      </c>
      <c r="G659" s="125">
        <f ca="1">IF('Simulador - 1º Pilar'!$E$99="Sí",IF('Aportaciones PPE'!$B$13&lt;'Aportaciones PPE'!E659,0,F659*$B$8/12),F659*$B$8/12)</f>
        <v>0</v>
      </c>
      <c r="H659" s="125">
        <f t="shared" ca="1" si="382"/>
        <v>0</v>
      </c>
      <c r="I659" s="125">
        <f t="shared" ca="1" si="394"/>
        <v>0</v>
      </c>
      <c r="J659" s="125">
        <f t="shared" ca="1" si="395"/>
        <v>0</v>
      </c>
      <c r="K659" s="125">
        <f t="shared" ca="1" si="396"/>
        <v>0</v>
      </c>
      <c r="L659" s="125">
        <f t="shared" ca="1" si="414"/>
        <v>0</v>
      </c>
      <c r="M659" s="125">
        <f t="shared" ca="1" si="397"/>
        <v>0</v>
      </c>
      <c r="N659" s="125">
        <f t="shared" ca="1" si="398"/>
        <v>0</v>
      </c>
      <c r="R659">
        <f t="shared" si="415"/>
        <v>652</v>
      </c>
      <c r="U659" s="55"/>
      <c r="V659">
        <f t="shared" si="416"/>
        <v>5</v>
      </c>
      <c r="W659">
        <f t="shared" ca="1" si="417"/>
        <v>2078</v>
      </c>
      <c r="X659" s="123">
        <f t="shared" ca="1" si="399"/>
        <v>65136</v>
      </c>
      <c r="Y659" s="64">
        <f t="shared" ca="1" si="400"/>
        <v>0</v>
      </c>
      <c r="Z659" s="64">
        <f t="shared" ca="1" si="401"/>
        <v>0</v>
      </c>
      <c r="AA659" s="64">
        <f t="shared" ca="1" si="402"/>
        <v>0</v>
      </c>
      <c r="AB659" s="64">
        <f t="shared" ca="1" si="403"/>
        <v>0</v>
      </c>
      <c r="AF659" t="str">
        <f t="shared" ca="1" si="383"/>
        <v>31990</v>
      </c>
      <c r="AG659" s="126">
        <f t="shared" ca="1" si="384"/>
        <v>0</v>
      </c>
      <c r="AH659" s="126">
        <f t="shared" ca="1" si="385"/>
        <v>0</v>
      </c>
      <c r="AI659" s="126">
        <f t="shared" ca="1" si="386"/>
        <v>0</v>
      </c>
      <c r="AJ659" t="str">
        <f t="shared" ca="1" si="387"/>
        <v>52078</v>
      </c>
      <c r="AK659" s="126">
        <f t="shared" ca="1" si="404"/>
        <v>0</v>
      </c>
      <c r="AL659" s="126">
        <f t="shared" ca="1" si="405"/>
        <v>0</v>
      </c>
      <c r="AM659" s="126">
        <f t="shared" ca="1" si="418"/>
        <v>0</v>
      </c>
      <c r="AN659" s="753">
        <f t="shared" ca="1" si="419"/>
        <v>0</v>
      </c>
      <c r="AO659" s="750">
        <f t="shared" ca="1" si="406"/>
        <v>0</v>
      </c>
      <c r="AP659" s="126">
        <f t="shared" ca="1" si="407"/>
        <v>0</v>
      </c>
      <c r="AQ659" s="126">
        <f t="shared" ca="1" si="408"/>
        <v>0</v>
      </c>
      <c r="AR659" s="126">
        <f t="shared" ca="1" si="388"/>
        <v>10000</v>
      </c>
      <c r="AS659" s="750">
        <f t="shared" ca="1" si="389"/>
        <v>0</v>
      </c>
      <c r="AT659" s="750">
        <f t="shared" ca="1" si="390"/>
        <v>0</v>
      </c>
      <c r="AU659" s="126">
        <f t="shared" ca="1" si="409"/>
        <v>0</v>
      </c>
      <c r="AV659" s="126">
        <f t="shared" ca="1" si="410"/>
        <v>0</v>
      </c>
      <c r="AW659" s="126">
        <f t="shared" ca="1" si="391"/>
        <v>10000</v>
      </c>
      <c r="AX659" s="750">
        <f t="shared" ca="1" si="411"/>
        <v>0</v>
      </c>
      <c r="AY659" s="750">
        <f t="shared" ca="1" si="412"/>
        <v>0</v>
      </c>
      <c r="AZ659">
        <f t="shared" si="413"/>
        <v>5750</v>
      </c>
    </row>
    <row r="660" spans="4:52">
      <c r="D660">
        <v>653</v>
      </c>
      <c r="E660" s="6">
        <f t="shared" ca="1" si="392"/>
        <v>32905</v>
      </c>
      <c r="F660" s="7">
        <f t="shared" ca="1" si="393"/>
        <v>0</v>
      </c>
      <c r="G660" s="125">
        <f ca="1">IF('Simulador - 1º Pilar'!$E$99="Sí",IF('Aportaciones PPE'!$B$13&lt;'Aportaciones PPE'!E660,0,F660*$B$8/12),F660*$B$8/12)</f>
        <v>0</v>
      </c>
      <c r="H660" s="125">
        <f t="shared" ca="1" si="382"/>
        <v>0</v>
      </c>
      <c r="I660" s="125">
        <f t="shared" ca="1" si="394"/>
        <v>0</v>
      </c>
      <c r="J660" s="125">
        <f t="shared" ca="1" si="395"/>
        <v>0</v>
      </c>
      <c r="K660" s="125">
        <f t="shared" ca="1" si="396"/>
        <v>0</v>
      </c>
      <c r="L660" s="125">
        <f t="shared" ca="1" si="414"/>
        <v>0</v>
      </c>
      <c r="M660" s="125">
        <f t="shared" ca="1" si="397"/>
        <v>0</v>
      </c>
      <c r="N660" s="125">
        <f t="shared" ca="1" si="398"/>
        <v>0</v>
      </c>
      <c r="R660">
        <f t="shared" si="415"/>
        <v>653</v>
      </c>
      <c r="U660" s="55"/>
      <c r="V660">
        <f t="shared" si="416"/>
        <v>6</v>
      </c>
      <c r="W660">
        <f t="shared" ca="1" si="417"/>
        <v>2078</v>
      </c>
      <c r="X660" s="123">
        <f t="shared" ca="1" si="399"/>
        <v>65167</v>
      </c>
      <c r="Y660" s="64">
        <f t="shared" ca="1" si="400"/>
        <v>0</v>
      </c>
      <c r="Z660" s="64">
        <f t="shared" ca="1" si="401"/>
        <v>0</v>
      </c>
      <c r="AA660" s="64">
        <f t="shared" ca="1" si="402"/>
        <v>0</v>
      </c>
      <c r="AB660" s="64">
        <f t="shared" ca="1" si="403"/>
        <v>0</v>
      </c>
      <c r="AF660" t="str">
        <f t="shared" ca="1" si="383"/>
        <v>21990</v>
      </c>
      <c r="AG660" s="126">
        <f t="shared" ca="1" si="384"/>
        <v>0</v>
      </c>
      <c r="AH660" s="126">
        <f t="shared" ca="1" si="385"/>
        <v>0</v>
      </c>
      <c r="AI660" s="126">
        <f t="shared" ca="1" si="386"/>
        <v>0</v>
      </c>
      <c r="AJ660" t="str">
        <f t="shared" ca="1" si="387"/>
        <v>62078</v>
      </c>
      <c r="AK660" s="126">
        <f t="shared" ca="1" si="404"/>
        <v>0</v>
      </c>
      <c r="AL660" s="126">
        <f t="shared" ca="1" si="405"/>
        <v>0</v>
      </c>
      <c r="AM660" s="126">
        <f t="shared" ca="1" si="418"/>
        <v>0</v>
      </c>
      <c r="AN660" s="753">
        <f t="shared" ca="1" si="419"/>
        <v>0</v>
      </c>
      <c r="AO660" s="750">
        <f t="shared" ca="1" si="406"/>
        <v>0</v>
      </c>
      <c r="AP660" s="126">
        <f t="shared" ca="1" si="407"/>
        <v>0</v>
      </c>
      <c r="AQ660" s="126">
        <f t="shared" ca="1" si="408"/>
        <v>0</v>
      </c>
      <c r="AR660" s="126">
        <f t="shared" ca="1" si="388"/>
        <v>10000</v>
      </c>
      <c r="AS660" s="750">
        <f t="shared" ca="1" si="389"/>
        <v>0</v>
      </c>
      <c r="AT660" s="750">
        <f t="shared" ca="1" si="390"/>
        <v>0</v>
      </c>
      <c r="AU660" s="126">
        <f t="shared" ca="1" si="409"/>
        <v>0</v>
      </c>
      <c r="AV660" s="126">
        <f t="shared" ca="1" si="410"/>
        <v>0</v>
      </c>
      <c r="AW660" s="126">
        <f t="shared" ca="1" si="391"/>
        <v>10000</v>
      </c>
      <c r="AX660" s="750">
        <f t="shared" ca="1" si="411"/>
        <v>0</v>
      </c>
      <c r="AY660" s="750">
        <f t="shared" ca="1" si="412"/>
        <v>0</v>
      </c>
      <c r="AZ660">
        <f t="shared" si="413"/>
        <v>5750</v>
      </c>
    </row>
    <row r="661" spans="4:52">
      <c r="D661">
        <v>654</v>
      </c>
      <c r="E661" s="6">
        <f t="shared" ca="1" si="392"/>
        <v>32874</v>
      </c>
      <c r="F661" s="7">
        <f t="shared" ca="1" si="393"/>
        <v>0</v>
      </c>
      <c r="G661" s="125">
        <f ca="1">IF('Simulador - 1º Pilar'!$E$99="Sí",IF('Aportaciones PPE'!$B$13&lt;'Aportaciones PPE'!E661,0,F661*$B$8/12),F661*$B$8/12)</f>
        <v>0</v>
      </c>
      <c r="H661" s="125">
        <f t="shared" ca="1" si="382"/>
        <v>0</v>
      </c>
      <c r="I661" s="125">
        <f t="shared" ca="1" si="394"/>
        <v>0</v>
      </c>
      <c r="J661" s="125">
        <f t="shared" ca="1" si="395"/>
        <v>0</v>
      </c>
      <c r="K661" s="125">
        <f t="shared" ca="1" si="396"/>
        <v>0</v>
      </c>
      <c r="L661" s="125">
        <f t="shared" ca="1" si="414"/>
        <v>0</v>
      </c>
      <c r="M661" s="125">
        <f t="shared" ca="1" si="397"/>
        <v>0</v>
      </c>
      <c r="N661" s="125">
        <f t="shared" ca="1" si="398"/>
        <v>0</v>
      </c>
      <c r="R661">
        <f t="shared" si="415"/>
        <v>654</v>
      </c>
      <c r="U661" s="55"/>
      <c r="V661">
        <f t="shared" si="416"/>
        <v>7</v>
      </c>
      <c r="W661">
        <f t="shared" ca="1" si="417"/>
        <v>2078</v>
      </c>
      <c r="X661" s="123">
        <f t="shared" ca="1" si="399"/>
        <v>65197</v>
      </c>
      <c r="Y661" s="64">
        <f t="shared" ca="1" si="400"/>
        <v>0</v>
      </c>
      <c r="Z661" s="64">
        <f t="shared" ca="1" si="401"/>
        <v>0</v>
      </c>
      <c r="AA661" s="64">
        <f t="shared" ca="1" si="402"/>
        <v>0</v>
      </c>
      <c r="AB661" s="64">
        <f t="shared" ca="1" si="403"/>
        <v>0</v>
      </c>
      <c r="AF661" t="str">
        <f t="shared" ca="1" si="383"/>
        <v>11990</v>
      </c>
      <c r="AG661" s="126">
        <f t="shared" ca="1" si="384"/>
        <v>0</v>
      </c>
      <c r="AH661" s="126">
        <f t="shared" ca="1" si="385"/>
        <v>0</v>
      </c>
      <c r="AI661" s="126">
        <f t="shared" ca="1" si="386"/>
        <v>0</v>
      </c>
      <c r="AJ661" t="str">
        <f t="shared" ca="1" si="387"/>
        <v>72078</v>
      </c>
      <c r="AK661" s="126">
        <f t="shared" ca="1" si="404"/>
        <v>0</v>
      </c>
      <c r="AL661" s="126">
        <f t="shared" ca="1" si="405"/>
        <v>0</v>
      </c>
      <c r="AM661" s="126">
        <f t="shared" ca="1" si="418"/>
        <v>0</v>
      </c>
      <c r="AN661" s="753">
        <f t="shared" ca="1" si="419"/>
        <v>0</v>
      </c>
      <c r="AO661" s="750">
        <f t="shared" ca="1" si="406"/>
        <v>0</v>
      </c>
      <c r="AP661" s="126">
        <f t="shared" ca="1" si="407"/>
        <v>0</v>
      </c>
      <c r="AQ661" s="126">
        <f t="shared" ca="1" si="408"/>
        <v>0</v>
      </c>
      <c r="AR661" s="126">
        <f t="shared" ca="1" si="388"/>
        <v>10000</v>
      </c>
      <c r="AS661" s="750">
        <f t="shared" ca="1" si="389"/>
        <v>0</v>
      </c>
      <c r="AT661" s="750">
        <f t="shared" ca="1" si="390"/>
        <v>0</v>
      </c>
      <c r="AU661" s="126">
        <f t="shared" ca="1" si="409"/>
        <v>0</v>
      </c>
      <c r="AV661" s="126">
        <f t="shared" ca="1" si="410"/>
        <v>0</v>
      </c>
      <c r="AW661" s="126">
        <f t="shared" ca="1" si="391"/>
        <v>10000</v>
      </c>
      <c r="AX661" s="750">
        <f t="shared" ca="1" si="411"/>
        <v>0</v>
      </c>
      <c r="AY661" s="750">
        <f t="shared" ca="1" si="412"/>
        <v>0</v>
      </c>
      <c r="AZ661">
        <f t="shared" si="413"/>
        <v>5750</v>
      </c>
    </row>
    <row r="662" spans="4:52">
      <c r="D662">
        <v>655</v>
      </c>
      <c r="E662" s="6">
        <f t="shared" ca="1" si="392"/>
        <v>32843</v>
      </c>
      <c r="F662" s="7">
        <f t="shared" ca="1" si="393"/>
        <v>0</v>
      </c>
      <c r="G662" s="125">
        <f ca="1">IF('Simulador - 1º Pilar'!$E$99="Sí",IF('Aportaciones PPE'!$B$13&lt;'Aportaciones PPE'!E662,0,F662*$B$8/12),F662*$B$8/12)</f>
        <v>0</v>
      </c>
      <c r="H662" s="125">
        <f t="shared" ca="1" si="382"/>
        <v>0</v>
      </c>
      <c r="I662" s="125">
        <f t="shared" ca="1" si="394"/>
        <v>0</v>
      </c>
      <c r="J662" s="125">
        <f t="shared" ca="1" si="395"/>
        <v>0</v>
      </c>
      <c r="K662" s="125">
        <f t="shared" ca="1" si="396"/>
        <v>0</v>
      </c>
      <c r="L662" s="125">
        <f t="shared" ca="1" si="414"/>
        <v>0</v>
      </c>
      <c r="M662" s="125">
        <f t="shared" ca="1" si="397"/>
        <v>0</v>
      </c>
      <c r="N662" s="125">
        <f t="shared" ca="1" si="398"/>
        <v>0</v>
      </c>
      <c r="R662">
        <f t="shared" si="415"/>
        <v>655</v>
      </c>
      <c r="U662" s="55"/>
      <c r="V662">
        <f t="shared" si="416"/>
        <v>8</v>
      </c>
      <c r="W662">
        <f t="shared" ca="1" si="417"/>
        <v>2078</v>
      </c>
      <c r="X662" s="123">
        <f t="shared" ca="1" si="399"/>
        <v>65228</v>
      </c>
      <c r="Y662" s="64">
        <f t="shared" ca="1" si="400"/>
        <v>0</v>
      </c>
      <c r="Z662" s="64">
        <f t="shared" ca="1" si="401"/>
        <v>0</v>
      </c>
      <c r="AA662" s="64">
        <f t="shared" ca="1" si="402"/>
        <v>0</v>
      </c>
      <c r="AB662" s="64">
        <f t="shared" ca="1" si="403"/>
        <v>0</v>
      </c>
      <c r="AF662" t="str">
        <f t="shared" ca="1" si="383"/>
        <v>121989</v>
      </c>
      <c r="AG662" s="126">
        <f t="shared" ca="1" si="384"/>
        <v>0</v>
      </c>
      <c r="AH662" s="126">
        <f t="shared" ca="1" si="385"/>
        <v>0</v>
      </c>
      <c r="AI662" s="126">
        <f t="shared" ca="1" si="386"/>
        <v>0</v>
      </c>
      <c r="AJ662" t="str">
        <f t="shared" ca="1" si="387"/>
        <v>82078</v>
      </c>
      <c r="AK662" s="126">
        <f t="shared" ca="1" si="404"/>
        <v>0</v>
      </c>
      <c r="AL662" s="126">
        <f t="shared" ca="1" si="405"/>
        <v>0</v>
      </c>
      <c r="AM662" s="126">
        <f t="shared" ca="1" si="418"/>
        <v>0</v>
      </c>
      <c r="AN662" s="753">
        <f t="shared" ca="1" si="419"/>
        <v>0</v>
      </c>
      <c r="AO662" s="750">
        <f t="shared" ca="1" si="406"/>
        <v>0</v>
      </c>
      <c r="AP662" s="126">
        <f t="shared" ca="1" si="407"/>
        <v>0</v>
      </c>
      <c r="AQ662" s="126">
        <f t="shared" ca="1" si="408"/>
        <v>0</v>
      </c>
      <c r="AR662" s="126">
        <f t="shared" ca="1" si="388"/>
        <v>10000</v>
      </c>
      <c r="AS662" s="750">
        <f t="shared" ca="1" si="389"/>
        <v>0</v>
      </c>
      <c r="AT662" s="750">
        <f t="shared" ca="1" si="390"/>
        <v>0</v>
      </c>
      <c r="AU662" s="126">
        <f t="shared" ca="1" si="409"/>
        <v>0</v>
      </c>
      <c r="AV662" s="126">
        <f t="shared" ca="1" si="410"/>
        <v>0</v>
      </c>
      <c r="AW662" s="126">
        <f t="shared" ca="1" si="391"/>
        <v>10000</v>
      </c>
      <c r="AX662" s="750">
        <f t="shared" ca="1" si="411"/>
        <v>0</v>
      </c>
      <c r="AY662" s="750">
        <f t="shared" ca="1" si="412"/>
        <v>0</v>
      </c>
      <c r="AZ662">
        <f t="shared" si="413"/>
        <v>5750</v>
      </c>
    </row>
    <row r="663" spans="4:52">
      <c r="D663">
        <v>656</v>
      </c>
      <c r="E663" s="6">
        <f t="shared" ca="1" si="392"/>
        <v>32813</v>
      </c>
      <c r="F663" s="7">
        <f t="shared" ca="1" si="393"/>
        <v>0</v>
      </c>
      <c r="G663" s="125">
        <f ca="1">IF('Simulador - 1º Pilar'!$E$99="Sí",IF('Aportaciones PPE'!$B$13&lt;'Aportaciones PPE'!E663,0,F663*$B$8/12),F663*$B$8/12)</f>
        <v>0</v>
      </c>
      <c r="H663" s="125">
        <f t="shared" ca="1" si="382"/>
        <v>0</v>
      </c>
      <c r="I663" s="125">
        <f t="shared" ca="1" si="394"/>
        <v>0</v>
      </c>
      <c r="J663" s="125">
        <f t="shared" ca="1" si="395"/>
        <v>0</v>
      </c>
      <c r="K663" s="125">
        <f t="shared" ca="1" si="396"/>
        <v>0</v>
      </c>
      <c r="L663" s="125">
        <f t="shared" ca="1" si="414"/>
        <v>0</v>
      </c>
      <c r="M663" s="125">
        <f t="shared" ca="1" si="397"/>
        <v>0</v>
      </c>
      <c r="N663" s="125">
        <f t="shared" ca="1" si="398"/>
        <v>0</v>
      </c>
      <c r="R663">
        <f t="shared" si="415"/>
        <v>656</v>
      </c>
      <c r="U663" s="55"/>
      <c r="V663">
        <f t="shared" si="416"/>
        <v>9</v>
      </c>
      <c r="W663">
        <f t="shared" ca="1" si="417"/>
        <v>2078</v>
      </c>
      <c r="X663" s="123">
        <f t="shared" ca="1" si="399"/>
        <v>65259</v>
      </c>
      <c r="Y663" s="64">
        <f t="shared" ca="1" si="400"/>
        <v>0</v>
      </c>
      <c r="Z663" s="64">
        <f t="shared" ca="1" si="401"/>
        <v>0</v>
      </c>
      <c r="AA663" s="64">
        <f t="shared" ca="1" si="402"/>
        <v>0</v>
      </c>
      <c r="AB663" s="64">
        <f t="shared" ca="1" si="403"/>
        <v>0</v>
      </c>
      <c r="AF663" t="str">
        <f t="shared" ca="1" si="383"/>
        <v>111989</v>
      </c>
      <c r="AG663" s="126">
        <f t="shared" ca="1" si="384"/>
        <v>0</v>
      </c>
      <c r="AH663" s="126">
        <f t="shared" ca="1" si="385"/>
        <v>0</v>
      </c>
      <c r="AI663" s="126">
        <f t="shared" ca="1" si="386"/>
        <v>0</v>
      </c>
      <c r="AJ663" t="str">
        <f t="shared" ca="1" si="387"/>
        <v>92078</v>
      </c>
      <c r="AK663" s="126">
        <f t="shared" ca="1" si="404"/>
        <v>0</v>
      </c>
      <c r="AL663" s="126">
        <f t="shared" ca="1" si="405"/>
        <v>0</v>
      </c>
      <c r="AM663" s="126">
        <f t="shared" ca="1" si="418"/>
        <v>0</v>
      </c>
      <c r="AN663" s="753">
        <f t="shared" ca="1" si="419"/>
        <v>0</v>
      </c>
      <c r="AO663" s="750">
        <f t="shared" ca="1" si="406"/>
        <v>0</v>
      </c>
      <c r="AP663" s="126">
        <f t="shared" ca="1" si="407"/>
        <v>0</v>
      </c>
      <c r="AQ663" s="126">
        <f t="shared" ca="1" si="408"/>
        <v>0</v>
      </c>
      <c r="AR663" s="126">
        <f t="shared" ca="1" si="388"/>
        <v>10000</v>
      </c>
      <c r="AS663" s="750">
        <f t="shared" ca="1" si="389"/>
        <v>0</v>
      </c>
      <c r="AT663" s="750">
        <f t="shared" ca="1" si="390"/>
        <v>0</v>
      </c>
      <c r="AU663" s="126">
        <f t="shared" ca="1" si="409"/>
        <v>0</v>
      </c>
      <c r="AV663" s="126">
        <f t="shared" ca="1" si="410"/>
        <v>0</v>
      </c>
      <c r="AW663" s="126">
        <f t="shared" ca="1" si="391"/>
        <v>10000</v>
      </c>
      <c r="AX663" s="750">
        <f t="shared" ca="1" si="411"/>
        <v>0</v>
      </c>
      <c r="AY663" s="750">
        <f t="shared" ca="1" si="412"/>
        <v>0</v>
      </c>
      <c r="AZ663">
        <f t="shared" si="413"/>
        <v>5750</v>
      </c>
    </row>
    <row r="664" spans="4:52">
      <c r="D664">
        <v>657</v>
      </c>
      <c r="E664" s="6">
        <f t="shared" ca="1" si="392"/>
        <v>32782</v>
      </c>
      <c r="F664" s="7">
        <f t="shared" ca="1" si="393"/>
        <v>0</v>
      </c>
      <c r="G664" s="125">
        <f ca="1">IF('Simulador - 1º Pilar'!$E$99="Sí",IF('Aportaciones PPE'!$B$13&lt;'Aportaciones PPE'!E664,0,F664*$B$8/12),F664*$B$8/12)</f>
        <v>0</v>
      </c>
      <c r="H664" s="125">
        <f t="shared" ca="1" si="382"/>
        <v>0</v>
      </c>
      <c r="I664" s="125">
        <f t="shared" ca="1" si="394"/>
        <v>0</v>
      </c>
      <c r="J664" s="125">
        <f t="shared" ca="1" si="395"/>
        <v>0</v>
      </c>
      <c r="K664" s="125">
        <f t="shared" ca="1" si="396"/>
        <v>0</v>
      </c>
      <c r="L664" s="125">
        <f t="shared" ca="1" si="414"/>
        <v>0</v>
      </c>
      <c r="M664" s="125">
        <f t="shared" ca="1" si="397"/>
        <v>0</v>
      </c>
      <c r="N664" s="125">
        <f t="shared" ca="1" si="398"/>
        <v>0</v>
      </c>
      <c r="R664">
        <f t="shared" si="415"/>
        <v>657</v>
      </c>
      <c r="U664" s="55"/>
      <c r="V664">
        <f t="shared" si="416"/>
        <v>10</v>
      </c>
      <c r="W664">
        <f t="shared" ca="1" si="417"/>
        <v>2078</v>
      </c>
      <c r="X664" s="123">
        <f t="shared" ca="1" si="399"/>
        <v>65289</v>
      </c>
      <c r="Y664" s="64">
        <f t="shared" ca="1" si="400"/>
        <v>0</v>
      </c>
      <c r="Z664" s="64">
        <f t="shared" ca="1" si="401"/>
        <v>0</v>
      </c>
      <c r="AA664" s="64">
        <f t="shared" ca="1" si="402"/>
        <v>0</v>
      </c>
      <c r="AB664" s="64">
        <f t="shared" ca="1" si="403"/>
        <v>0</v>
      </c>
      <c r="AF664" t="str">
        <f t="shared" ca="1" si="383"/>
        <v>101989</v>
      </c>
      <c r="AG664" s="126">
        <f t="shared" ca="1" si="384"/>
        <v>0</v>
      </c>
      <c r="AH664" s="126">
        <f t="shared" ca="1" si="385"/>
        <v>0</v>
      </c>
      <c r="AI664" s="126">
        <f t="shared" ca="1" si="386"/>
        <v>0</v>
      </c>
      <c r="AJ664" t="str">
        <f t="shared" ca="1" si="387"/>
        <v>102078</v>
      </c>
      <c r="AK664" s="126">
        <f t="shared" ca="1" si="404"/>
        <v>0</v>
      </c>
      <c r="AL664" s="126">
        <f t="shared" ca="1" si="405"/>
        <v>0</v>
      </c>
      <c r="AM664" s="126">
        <f t="shared" ca="1" si="418"/>
        <v>0</v>
      </c>
      <c r="AN664" s="753">
        <f t="shared" ca="1" si="419"/>
        <v>0</v>
      </c>
      <c r="AO664" s="750">
        <f t="shared" ca="1" si="406"/>
        <v>0</v>
      </c>
      <c r="AP664" s="126">
        <f t="shared" ca="1" si="407"/>
        <v>0</v>
      </c>
      <c r="AQ664" s="126">
        <f t="shared" ca="1" si="408"/>
        <v>0</v>
      </c>
      <c r="AR664" s="126">
        <f t="shared" ca="1" si="388"/>
        <v>10000</v>
      </c>
      <c r="AS664" s="750">
        <f t="shared" ca="1" si="389"/>
        <v>0</v>
      </c>
      <c r="AT664" s="750">
        <f t="shared" ca="1" si="390"/>
        <v>0</v>
      </c>
      <c r="AU664" s="126">
        <f t="shared" ca="1" si="409"/>
        <v>0</v>
      </c>
      <c r="AV664" s="126">
        <f t="shared" ca="1" si="410"/>
        <v>0</v>
      </c>
      <c r="AW664" s="126">
        <f t="shared" ca="1" si="391"/>
        <v>10000</v>
      </c>
      <c r="AX664" s="750">
        <f t="shared" ca="1" si="411"/>
        <v>0</v>
      </c>
      <c r="AY664" s="750">
        <f t="shared" ca="1" si="412"/>
        <v>0</v>
      </c>
      <c r="AZ664">
        <f t="shared" si="413"/>
        <v>5750</v>
      </c>
    </row>
    <row r="665" spans="4:52">
      <c r="D665">
        <v>658</v>
      </c>
      <c r="E665" s="6">
        <f t="shared" ca="1" si="392"/>
        <v>32752</v>
      </c>
      <c r="F665" s="7">
        <f t="shared" ca="1" si="393"/>
        <v>0</v>
      </c>
      <c r="G665" s="125">
        <f ca="1">IF('Simulador - 1º Pilar'!$E$99="Sí",IF('Aportaciones PPE'!$B$13&lt;'Aportaciones PPE'!E665,0,F665*$B$8/12),F665*$B$8/12)</f>
        <v>0</v>
      </c>
      <c r="H665" s="125">
        <f t="shared" ca="1" si="382"/>
        <v>0</v>
      </c>
      <c r="I665" s="125">
        <f t="shared" ca="1" si="394"/>
        <v>0</v>
      </c>
      <c r="J665" s="125">
        <f t="shared" ca="1" si="395"/>
        <v>0</v>
      </c>
      <c r="K665" s="125">
        <f t="shared" ca="1" si="396"/>
        <v>0</v>
      </c>
      <c r="L665" s="125">
        <f t="shared" ca="1" si="414"/>
        <v>0</v>
      </c>
      <c r="M665" s="125">
        <f t="shared" ca="1" si="397"/>
        <v>0</v>
      </c>
      <c r="N665" s="125">
        <f t="shared" ca="1" si="398"/>
        <v>0</v>
      </c>
      <c r="R665">
        <f t="shared" si="415"/>
        <v>658</v>
      </c>
      <c r="U665" s="55"/>
      <c r="V665">
        <f t="shared" si="416"/>
        <v>11</v>
      </c>
      <c r="W665">
        <f t="shared" ca="1" si="417"/>
        <v>2078</v>
      </c>
      <c r="X665" s="123">
        <f t="shared" ca="1" si="399"/>
        <v>65320</v>
      </c>
      <c r="Y665" s="64">
        <f t="shared" ca="1" si="400"/>
        <v>0</v>
      </c>
      <c r="Z665" s="64">
        <f t="shared" ca="1" si="401"/>
        <v>0</v>
      </c>
      <c r="AA665" s="64">
        <f t="shared" ca="1" si="402"/>
        <v>0</v>
      </c>
      <c r="AB665" s="64">
        <f t="shared" ca="1" si="403"/>
        <v>0</v>
      </c>
      <c r="AF665" t="str">
        <f t="shared" ca="1" si="383"/>
        <v>91989</v>
      </c>
      <c r="AG665" s="126">
        <f t="shared" ca="1" si="384"/>
        <v>0</v>
      </c>
      <c r="AH665" s="126">
        <f t="shared" ca="1" si="385"/>
        <v>0</v>
      </c>
      <c r="AI665" s="126">
        <f t="shared" ca="1" si="386"/>
        <v>0</v>
      </c>
      <c r="AJ665" t="str">
        <f t="shared" ca="1" si="387"/>
        <v>112078</v>
      </c>
      <c r="AK665" s="126">
        <f t="shared" ca="1" si="404"/>
        <v>0</v>
      </c>
      <c r="AL665" s="126">
        <f t="shared" ca="1" si="405"/>
        <v>0</v>
      </c>
      <c r="AM665" s="126">
        <f t="shared" ca="1" si="418"/>
        <v>0</v>
      </c>
      <c r="AN665" s="753">
        <f t="shared" ca="1" si="419"/>
        <v>0</v>
      </c>
      <c r="AO665" s="750">
        <f t="shared" ca="1" si="406"/>
        <v>0</v>
      </c>
      <c r="AP665" s="126">
        <f t="shared" ca="1" si="407"/>
        <v>0</v>
      </c>
      <c r="AQ665" s="126">
        <f t="shared" ca="1" si="408"/>
        <v>0</v>
      </c>
      <c r="AR665" s="126">
        <f t="shared" ca="1" si="388"/>
        <v>10000</v>
      </c>
      <c r="AS665" s="750">
        <f t="shared" ca="1" si="389"/>
        <v>0</v>
      </c>
      <c r="AT665" s="750">
        <f t="shared" ca="1" si="390"/>
        <v>0</v>
      </c>
      <c r="AU665" s="126">
        <f t="shared" ca="1" si="409"/>
        <v>0</v>
      </c>
      <c r="AV665" s="126">
        <f t="shared" ca="1" si="410"/>
        <v>0</v>
      </c>
      <c r="AW665" s="126">
        <f t="shared" ca="1" si="391"/>
        <v>10000</v>
      </c>
      <c r="AX665" s="750">
        <f t="shared" ca="1" si="411"/>
        <v>0</v>
      </c>
      <c r="AY665" s="750">
        <f t="shared" ca="1" si="412"/>
        <v>0</v>
      </c>
      <c r="AZ665">
        <f t="shared" si="413"/>
        <v>5750</v>
      </c>
    </row>
    <row r="666" spans="4:52">
      <c r="D666">
        <v>659</v>
      </c>
      <c r="E666" s="6">
        <f t="shared" ca="1" si="392"/>
        <v>32721</v>
      </c>
      <c r="F666" s="7">
        <f t="shared" ca="1" si="393"/>
        <v>0</v>
      </c>
      <c r="G666" s="125">
        <f ca="1">IF('Simulador - 1º Pilar'!$E$99="Sí",IF('Aportaciones PPE'!$B$13&lt;'Aportaciones PPE'!E666,0,F666*$B$8/12),F666*$B$8/12)</f>
        <v>0</v>
      </c>
      <c r="H666" s="125">
        <f t="shared" ca="1" si="382"/>
        <v>0</v>
      </c>
      <c r="I666" s="125">
        <f t="shared" ca="1" si="394"/>
        <v>0</v>
      </c>
      <c r="J666" s="125">
        <f t="shared" ca="1" si="395"/>
        <v>0</v>
      </c>
      <c r="K666" s="125">
        <f t="shared" ca="1" si="396"/>
        <v>0</v>
      </c>
      <c r="L666" s="125">
        <f t="shared" ca="1" si="414"/>
        <v>0</v>
      </c>
      <c r="M666" s="125">
        <f t="shared" ca="1" si="397"/>
        <v>0</v>
      </c>
      <c r="N666" s="125">
        <f t="shared" ca="1" si="398"/>
        <v>0</v>
      </c>
      <c r="R666">
        <f t="shared" si="415"/>
        <v>659</v>
      </c>
      <c r="U666" s="55"/>
      <c r="V666">
        <f t="shared" si="416"/>
        <v>12</v>
      </c>
      <c r="W666">
        <f t="shared" ca="1" si="417"/>
        <v>2078</v>
      </c>
      <c r="X666" s="123">
        <f t="shared" ca="1" si="399"/>
        <v>65350</v>
      </c>
      <c r="Y666" s="64">
        <f t="shared" ca="1" si="400"/>
        <v>0</v>
      </c>
      <c r="Z666" s="64">
        <f t="shared" ca="1" si="401"/>
        <v>0</v>
      </c>
      <c r="AA666" s="64">
        <f t="shared" ca="1" si="402"/>
        <v>0</v>
      </c>
      <c r="AB666" s="64">
        <f t="shared" ca="1" si="403"/>
        <v>0</v>
      </c>
      <c r="AF666" t="str">
        <f t="shared" ca="1" si="383"/>
        <v>81989</v>
      </c>
      <c r="AG666" s="126">
        <f t="shared" ca="1" si="384"/>
        <v>0</v>
      </c>
      <c r="AH666" s="126">
        <f t="shared" ca="1" si="385"/>
        <v>0</v>
      </c>
      <c r="AI666" s="126">
        <f t="shared" ca="1" si="386"/>
        <v>0</v>
      </c>
      <c r="AJ666" t="str">
        <f t="shared" ca="1" si="387"/>
        <v>122078</v>
      </c>
      <c r="AK666" s="126">
        <f t="shared" ca="1" si="404"/>
        <v>0</v>
      </c>
      <c r="AL666" s="126">
        <f t="shared" ca="1" si="405"/>
        <v>0</v>
      </c>
      <c r="AM666" s="126">
        <f t="shared" ca="1" si="418"/>
        <v>0</v>
      </c>
      <c r="AN666" s="753">
        <f t="shared" ca="1" si="419"/>
        <v>0</v>
      </c>
      <c r="AO666" s="750">
        <f t="shared" ca="1" si="406"/>
        <v>0</v>
      </c>
      <c r="AP666" s="126">
        <f t="shared" ca="1" si="407"/>
        <v>0</v>
      </c>
      <c r="AQ666" s="126">
        <f t="shared" ca="1" si="408"/>
        <v>0</v>
      </c>
      <c r="AR666" s="126">
        <f t="shared" ca="1" si="388"/>
        <v>10000</v>
      </c>
      <c r="AS666" s="750">
        <f t="shared" ca="1" si="389"/>
        <v>0</v>
      </c>
      <c r="AT666" s="750">
        <f t="shared" ca="1" si="390"/>
        <v>0</v>
      </c>
      <c r="AU666" s="126">
        <f t="shared" ca="1" si="409"/>
        <v>0</v>
      </c>
      <c r="AV666" s="126">
        <f t="shared" ca="1" si="410"/>
        <v>0</v>
      </c>
      <c r="AW666" s="126">
        <f t="shared" ca="1" si="391"/>
        <v>10000</v>
      </c>
      <c r="AX666" s="750">
        <f t="shared" ca="1" si="411"/>
        <v>0</v>
      </c>
      <c r="AY666" s="750">
        <f t="shared" ca="1" si="412"/>
        <v>0</v>
      </c>
      <c r="AZ666">
        <f t="shared" si="413"/>
        <v>5750</v>
      </c>
    </row>
    <row r="667" spans="4:52">
      <c r="D667">
        <v>660</v>
      </c>
      <c r="E667" s="6">
        <f t="shared" ca="1" si="392"/>
        <v>32690</v>
      </c>
      <c r="F667" s="7">
        <f t="shared" ca="1" si="393"/>
        <v>0</v>
      </c>
      <c r="G667" s="125">
        <f ca="1">IF('Simulador - 1º Pilar'!$E$99="Sí",IF('Aportaciones PPE'!$B$13&lt;'Aportaciones PPE'!E667,0,F667*$B$8/12),F667*$B$8/12)</f>
        <v>0</v>
      </c>
      <c r="H667" s="125">
        <f t="shared" ca="1" si="382"/>
        <v>0</v>
      </c>
      <c r="I667" s="125">
        <f t="shared" ca="1" si="394"/>
        <v>0</v>
      </c>
      <c r="J667" s="125">
        <f t="shared" ca="1" si="395"/>
        <v>0</v>
      </c>
      <c r="K667" s="125">
        <f t="shared" ca="1" si="396"/>
        <v>0</v>
      </c>
      <c r="L667" s="125">
        <f t="shared" ca="1" si="414"/>
        <v>0</v>
      </c>
      <c r="M667" s="125">
        <f t="shared" ca="1" si="397"/>
        <v>0</v>
      </c>
      <c r="N667" s="125">
        <f t="shared" ca="1" si="398"/>
        <v>0</v>
      </c>
      <c r="R667">
        <f t="shared" si="415"/>
        <v>660</v>
      </c>
      <c r="U667" s="55"/>
      <c r="V667">
        <f t="shared" si="416"/>
        <v>1</v>
      </c>
      <c r="W667">
        <f t="shared" ca="1" si="417"/>
        <v>2079</v>
      </c>
      <c r="X667" s="123">
        <f t="shared" ca="1" si="399"/>
        <v>65381</v>
      </c>
      <c r="Y667" s="64">
        <f t="shared" ca="1" si="400"/>
        <v>0</v>
      </c>
      <c r="Z667" s="64">
        <f t="shared" ca="1" si="401"/>
        <v>0</v>
      </c>
      <c r="AA667" s="64">
        <f t="shared" ca="1" si="402"/>
        <v>0</v>
      </c>
      <c r="AB667" s="64">
        <f t="shared" ca="1" si="403"/>
        <v>0</v>
      </c>
      <c r="AF667" t="str">
        <f t="shared" ca="1" si="383"/>
        <v>71989</v>
      </c>
      <c r="AG667" s="126">
        <f t="shared" ca="1" si="384"/>
        <v>0</v>
      </c>
      <c r="AH667" s="126">
        <f t="shared" ca="1" si="385"/>
        <v>0</v>
      </c>
      <c r="AI667" s="126">
        <f t="shared" ca="1" si="386"/>
        <v>0</v>
      </c>
      <c r="AJ667" t="str">
        <f t="shared" ca="1" si="387"/>
        <v>12079</v>
      </c>
      <c r="AK667" s="126">
        <f t="shared" ca="1" si="404"/>
        <v>0</v>
      </c>
      <c r="AL667" s="126">
        <f t="shared" ca="1" si="405"/>
        <v>0</v>
      </c>
      <c r="AM667" s="126">
        <f t="shared" ca="1" si="418"/>
        <v>0</v>
      </c>
      <c r="AN667" s="753">
        <f t="shared" ca="1" si="419"/>
        <v>0</v>
      </c>
      <c r="AO667" s="750">
        <f t="shared" ca="1" si="406"/>
        <v>0</v>
      </c>
      <c r="AP667" s="126">
        <f t="shared" ca="1" si="407"/>
        <v>0</v>
      </c>
      <c r="AQ667" s="126">
        <f t="shared" ca="1" si="408"/>
        <v>0</v>
      </c>
      <c r="AR667" s="126">
        <f t="shared" ca="1" si="388"/>
        <v>10000</v>
      </c>
      <c r="AS667" s="750">
        <f t="shared" ca="1" si="389"/>
        <v>0</v>
      </c>
      <c r="AT667" s="750">
        <f t="shared" ca="1" si="390"/>
        <v>0</v>
      </c>
      <c r="AU667" s="126">
        <f t="shared" ca="1" si="409"/>
        <v>0</v>
      </c>
      <c r="AV667" s="126">
        <f t="shared" ca="1" si="410"/>
        <v>0</v>
      </c>
      <c r="AW667" s="126">
        <f t="shared" ca="1" si="391"/>
        <v>10000</v>
      </c>
      <c r="AX667" s="750">
        <f t="shared" ca="1" si="411"/>
        <v>0</v>
      </c>
      <c r="AY667" s="750">
        <f t="shared" ca="1" si="412"/>
        <v>0</v>
      </c>
      <c r="AZ667">
        <f t="shared" si="413"/>
        <v>5750</v>
      </c>
    </row>
    <row r="668" spans="4:52">
      <c r="D668">
        <v>661</v>
      </c>
      <c r="E668" s="6">
        <f t="shared" ca="1" si="392"/>
        <v>32660</v>
      </c>
      <c r="F668" s="7">
        <f t="shared" ca="1" si="393"/>
        <v>0</v>
      </c>
      <c r="G668" s="125">
        <f ca="1">IF('Simulador - 1º Pilar'!$E$99="Sí",IF('Aportaciones PPE'!$B$13&lt;'Aportaciones PPE'!E668,0,F668*$B$8/12),F668*$B$8/12)</f>
        <v>0</v>
      </c>
      <c r="H668" s="125">
        <f t="shared" ca="1" si="382"/>
        <v>0</v>
      </c>
      <c r="I668" s="125">
        <f t="shared" ca="1" si="394"/>
        <v>0</v>
      </c>
      <c r="J668" s="125">
        <f t="shared" ca="1" si="395"/>
        <v>0</v>
      </c>
      <c r="K668" s="125">
        <f t="shared" ca="1" si="396"/>
        <v>0</v>
      </c>
      <c r="L668" s="125">
        <f t="shared" ca="1" si="414"/>
        <v>0</v>
      </c>
      <c r="M668" s="125">
        <f t="shared" ca="1" si="397"/>
        <v>0</v>
      </c>
      <c r="N668" s="125">
        <f t="shared" ca="1" si="398"/>
        <v>0</v>
      </c>
      <c r="R668">
        <f t="shared" si="415"/>
        <v>661</v>
      </c>
      <c r="U668" s="55"/>
      <c r="V668">
        <f t="shared" si="416"/>
        <v>2</v>
      </c>
      <c r="W668">
        <f t="shared" ca="1" si="417"/>
        <v>2079</v>
      </c>
      <c r="X668" s="123">
        <f t="shared" ca="1" si="399"/>
        <v>65412</v>
      </c>
      <c r="Y668" s="64">
        <f t="shared" ca="1" si="400"/>
        <v>0</v>
      </c>
      <c r="Z668" s="64">
        <f t="shared" ca="1" si="401"/>
        <v>0</v>
      </c>
      <c r="AA668" s="64">
        <f t="shared" ca="1" si="402"/>
        <v>0</v>
      </c>
      <c r="AB668" s="64">
        <f t="shared" ca="1" si="403"/>
        <v>0</v>
      </c>
      <c r="AF668" t="str">
        <f t="shared" ca="1" si="383"/>
        <v>61989</v>
      </c>
      <c r="AG668" s="126">
        <f t="shared" ca="1" si="384"/>
        <v>0</v>
      </c>
      <c r="AH668" s="126">
        <f t="shared" ca="1" si="385"/>
        <v>0</v>
      </c>
      <c r="AI668" s="126">
        <f t="shared" ca="1" si="386"/>
        <v>0</v>
      </c>
      <c r="AJ668" t="str">
        <f t="shared" ca="1" si="387"/>
        <v>22079</v>
      </c>
      <c r="AK668" s="126">
        <f t="shared" ca="1" si="404"/>
        <v>0</v>
      </c>
      <c r="AL668" s="126">
        <f t="shared" ca="1" si="405"/>
        <v>0</v>
      </c>
      <c r="AM668" s="126">
        <f t="shared" ca="1" si="418"/>
        <v>0</v>
      </c>
      <c r="AN668" s="753">
        <f t="shared" ca="1" si="419"/>
        <v>0</v>
      </c>
      <c r="AO668" s="750">
        <f t="shared" ca="1" si="406"/>
        <v>0</v>
      </c>
      <c r="AP668" s="126">
        <f t="shared" ca="1" si="407"/>
        <v>0</v>
      </c>
      <c r="AQ668" s="126">
        <f t="shared" ca="1" si="408"/>
        <v>0</v>
      </c>
      <c r="AR668" s="126">
        <f t="shared" ca="1" si="388"/>
        <v>10000</v>
      </c>
      <c r="AS668" s="750">
        <f t="shared" ca="1" si="389"/>
        <v>0</v>
      </c>
      <c r="AT668" s="750">
        <f t="shared" ca="1" si="390"/>
        <v>0</v>
      </c>
      <c r="AU668" s="126">
        <f t="shared" ca="1" si="409"/>
        <v>0</v>
      </c>
      <c r="AV668" s="126">
        <f t="shared" ca="1" si="410"/>
        <v>0</v>
      </c>
      <c r="AW668" s="126">
        <f t="shared" ca="1" si="391"/>
        <v>10000</v>
      </c>
      <c r="AX668" s="750">
        <f t="shared" ca="1" si="411"/>
        <v>0</v>
      </c>
      <c r="AY668" s="750">
        <f t="shared" ca="1" si="412"/>
        <v>0</v>
      </c>
      <c r="AZ668">
        <f t="shared" si="413"/>
        <v>5750</v>
      </c>
    </row>
    <row r="669" spans="4:52">
      <c r="D669">
        <v>662</v>
      </c>
      <c r="E669" s="6">
        <f t="shared" ca="1" si="392"/>
        <v>32629</v>
      </c>
      <c r="F669" s="7">
        <f t="shared" ca="1" si="393"/>
        <v>0</v>
      </c>
      <c r="G669" s="125">
        <f ca="1">IF('Simulador - 1º Pilar'!$E$99="Sí",IF('Aportaciones PPE'!$B$13&lt;'Aportaciones PPE'!E669,0,F669*$B$8/12),F669*$B$8/12)</f>
        <v>0</v>
      </c>
      <c r="H669" s="125">
        <f t="shared" ca="1" si="382"/>
        <v>0</v>
      </c>
      <c r="I669" s="125">
        <f t="shared" ca="1" si="394"/>
        <v>0</v>
      </c>
      <c r="J669" s="125">
        <f t="shared" ca="1" si="395"/>
        <v>0</v>
      </c>
      <c r="K669" s="125">
        <f t="shared" ca="1" si="396"/>
        <v>0</v>
      </c>
      <c r="L669" s="125">
        <f t="shared" ca="1" si="414"/>
        <v>0</v>
      </c>
      <c r="M669" s="125">
        <f t="shared" ca="1" si="397"/>
        <v>0</v>
      </c>
      <c r="N669" s="125">
        <f t="shared" ca="1" si="398"/>
        <v>0</v>
      </c>
      <c r="R669">
        <f t="shared" si="415"/>
        <v>662</v>
      </c>
      <c r="U669" s="55"/>
      <c r="V669">
        <f t="shared" si="416"/>
        <v>3</v>
      </c>
      <c r="W669">
        <f t="shared" ca="1" si="417"/>
        <v>2079</v>
      </c>
      <c r="X669" s="123">
        <f t="shared" ca="1" si="399"/>
        <v>65440</v>
      </c>
      <c r="Y669" s="64">
        <f t="shared" ca="1" si="400"/>
        <v>0</v>
      </c>
      <c r="Z669" s="64">
        <f t="shared" ca="1" si="401"/>
        <v>0</v>
      </c>
      <c r="AA669" s="64">
        <f t="shared" ca="1" si="402"/>
        <v>0</v>
      </c>
      <c r="AB669" s="64">
        <f t="shared" ca="1" si="403"/>
        <v>0</v>
      </c>
      <c r="AF669" t="str">
        <f t="shared" ca="1" si="383"/>
        <v>51989</v>
      </c>
      <c r="AG669" s="126">
        <f t="shared" ca="1" si="384"/>
        <v>0</v>
      </c>
      <c r="AH669" s="126">
        <f t="shared" ca="1" si="385"/>
        <v>0</v>
      </c>
      <c r="AI669" s="126">
        <f t="shared" ca="1" si="386"/>
        <v>0</v>
      </c>
      <c r="AJ669" t="str">
        <f t="shared" ca="1" si="387"/>
        <v>32079</v>
      </c>
      <c r="AK669" s="126">
        <f t="shared" ca="1" si="404"/>
        <v>0</v>
      </c>
      <c r="AL669" s="126">
        <f t="shared" ca="1" si="405"/>
        <v>0</v>
      </c>
      <c r="AM669" s="126">
        <f t="shared" ca="1" si="418"/>
        <v>0</v>
      </c>
      <c r="AN669" s="753">
        <f t="shared" ca="1" si="419"/>
        <v>0</v>
      </c>
      <c r="AO669" s="750">
        <f t="shared" ca="1" si="406"/>
        <v>0</v>
      </c>
      <c r="AP669" s="126">
        <f t="shared" ca="1" si="407"/>
        <v>0</v>
      </c>
      <c r="AQ669" s="126">
        <f t="shared" ca="1" si="408"/>
        <v>0</v>
      </c>
      <c r="AR669" s="126">
        <f t="shared" ca="1" si="388"/>
        <v>10000</v>
      </c>
      <c r="AS669" s="750">
        <f t="shared" ca="1" si="389"/>
        <v>0</v>
      </c>
      <c r="AT669" s="750">
        <f t="shared" ca="1" si="390"/>
        <v>0</v>
      </c>
      <c r="AU669" s="126">
        <f t="shared" ca="1" si="409"/>
        <v>0</v>
      </c>
      <c r="AV669" s="126">
        <f t="shared" ca="1" si="410"/>
        <v>0</v>
      </c>
      <c r="AW669" s="126">
        <f t="shared" ca="1" si="391"/>
        <v>10000</v>
      </c>
      <c r="AX669" s="750">
        <f t="shared" ca="1" si="411"/>
        <v>0</v>
      </c>
      <c r="AY669" s="750">
        <f t="shared" ca="1" si="412"/>
        <v>0</v>
      </c>
      <c r="AZ669">
        <f t="shared" si="413"/>
        <v>5750</v>
      </c>
    </row>
    <row r="670" spans="4:52">
      <c r="D670">
        <v>663</v>
      </c>
      <c r="E670" s="6">
        <f t="shared" ca="1" si="392"/>
        <v>32599</v>
      </c>
      <c r="F670" s="7">
        <f t="shared" ca="1" si="393"/>
        <v>0</v>
      </c>
      <c r="G670" s="125">
        <f ca="1">IF('Simulador - 1º Pilar'!$E$99="Sí",IF('Aportaciones PPE'!$B$13&lt;'Aportaciones PPE'!E670,0,F670*$B$8/12),F670*$B$8/12)</f>
        <v>0</v>
      </c>
      <c r="H670" s="125">
        <f t="shared" ca="1" si="382"/>
        <v>0</v>
      </c>
      <c r="I670" s="125">
        <f t="shared" ca="1" si="394"/>
        <v>0</v>
      </c>
      <c r="J670" s="125">
        <f t="shared" ca="1" si="395"/>
        <v>0</v>
      </c>
      <c r="K670" s="125">
        <f t="shared" ca="1" si="396"/>
        <v>0</v>
      </c>
      <c r="L670" s="125">
        <f t="shared" ca="1" si="414"/>
        <v>0</v>
      </c>
      <c r="M670" s="125">
        <f t="shared" ca="1" si="397"/>
        <v>0</v>
      </c>
      <c r="N670" s="125">
        <f t="shared" ca="1" si="398"/>
        <v>0</v>
      </c>
      <c r="R670">
        <f t="shared" si="415"/>
        <v>663</v>
      </c>
      <c r="U670" s="55"/>
      <c r="V670">
        <f t="shared" si="416"/>
        <v>4</v>
      </c>
      <c r="W670">
        <f t="shared" ca="1" si="417"/>
        <v>2079</v>
      </c>
      <c r="X670" s="123">
        <f t="shared" ca="1" si="399"/>
        <v>65471</v>
      </c>
      <c r="Y670" s="64">
        <f t="shared" ca="1" si="400"/>
        <v>0</v>
      </c>
      <c r="Z670" s="64">
        <f t="shared" ca="1" si="401"/>
        <v>0</v>
      </c>
      <c r="AA670" s="64">
        <f t="shared" ca="1" si="402"/>
        <v>0</v>
      </c>
      <c r="AB670" s="64">
        <f t="shared" ca="1" si="403"/>
        <v>0</v>
      </c>
      <c r="AF670" t="str">
        <f t="shared" ca="1" si="383"/>
        <v>41989</v>
      </c>
      <c r="AG670" s="126">
        <f t="shared" ca="1" si="384"/>
        <v>0</v>
      </c>
      <c r="AH670" s="126">
        <f t="shared" ca="1" si="385"/>
        <v>0</v>
      </c>
      <c r="AI670" s="126">
        <f t="shared" ca="1" si="386"/>
        <v>0</v>
      </c>
      <c r="AJ670" t="str">
        <f t="shared" ca="1" si="387"/>
        <v>42079</v>
      </c>
      <c r="AK670" s="126">
        <f t="shared" ca="1" si="404"/>
        <v>0</v>
      </c>
      <c r="AL670" s="126">
        <f t="shared" ca="1" si="405"/>
        <v>0</v>
      </c>
      <c r="AM670" s="126">
        <f t="shared" ca="1" si="418"/>
        <v>0</v>
      </c>
      <c r="AN670" s="753">
        <f t="shared" ca="1" si="419"/>
        <v>0</v>
      </c>
      <c r="AO670" s="750">
        <f t="shared" ca="1" si="406"/>
        <v>0</v>
      </c>
      <c r="AP670" s="126">
        <f t="shared" ca="1" si="407"/>
        <v>0</v>
      </c>
      <c r="AQ670" s="126">
        <f t="shared" ca="1" si="408"/>
        <v>0</v>
      </c>
      <c r="AR670" s="126">
        <f t="shared" ca="1" si="388"/>
        <v>10000</v>
      </c>
      <c r="AS670" s="750">
        <f t="shared" ca="1" si="389"/>
        <v>0</v>
      </c>
      <c r="AT670" s="750">
        <f t="shared" ca="1" si="390"/>
        <v>0</v>
      </c>
      <c r="AU670" s="126">
        <f t="shared" ca="1" si="409"/>
        <v>0</v>
      </c>
      <c r="AV670" s="126">
        <f t="shared" ca="1" si="410"/>
        <v>0</v>
      </c>
      <c r="AW670" s="126">
        <f t="shared" ca="1" si="391"/>
        <v>10000</v>
      </c>
      <c r="AX670" s="750">
        <f t="shared" ca="1" si="411"/>
        <v>0</v>
      </c>
      <c r="AY670" s="750">
        <f t="shared" ca="1" si="412"/>
        <v>0</v>
      </c>
      <c r="AZ670">
        <f t="shared" si="413"/>
        <v>5750</v>
      </c>
    </row>
    <row r="671" spans="4:52">
      <c r="D671">
        <v>664</v>
      </c>
      <c r="E671" s="6">
        <f t="shared" ca="1" si="392"/>
        <v>32568</v>
      </c>
      <c r="F671" s="7">
        <f t="shared" ca="1" si="393"/>
        <v>0</v>
      </c>
      <c r="G671" s="125">
        <f ca="1">IF('Simulador - 1º Pilar'!$E$99="Sí",IF('Aportaciones PPE'!$B$13&lt;'Aportaciones PPE'!E671,0,F671*$B$8/12),F671*$B$8/12)</f>
        <v>0</v>
      </c>
      <c r="H671" s="125">
        <f t="shared" ca="1" si="382"/>
        <v>0</v>
      </c>
      <c r="I671" s="125">
        <f t="shared" ca="1" si="394"/>
        <v>0</v>
      </c>
      <c r="J671" s="125">
        <f t="shared" ca="1" si="395"/>
        <v>0</v>
      </c>
      <c r="K671" s="125">
        <f t="shared" ca="1" si="396"/>
        <v>0</v>
      </c>
      <c r="L671" s="125">
        <f t="shared" ca="1" si="414"/>
        <v>0</v>
      </c>
      <c r="M671" s="125">
        <f t="shared" ca="1" si="397"/>
        <v>0</v>
      </c>
      <c r="N671" s="125">
        <f t="shared" ca="1" si="398"/>
        <v>0</v>
      </c>
      <c r="R671">
        <f t="shared" si="415"/>
        <v>664</v>
      </c>
      <c r="U671" s="55"/>
      <c r="V671">
        <f t="shared" si="416"/>
        <v>5</v>
      </c>
      <c r="W671">
        <f t="shared" ca="1" si="417"/>
        <v>2079</v>
      </c>
      <c r="X671" s="123">
        <f t="shared" ca="1" si="399"/>
        <v>65501</v>
      </c>
      <c r="Y671" s="64">
        <f t="shared" ca="1" si="400"/>
        <v>0</v>
      </c>
      <c r="Z671" s="64">
        <f t="shared" ca="1" si="401"/>
        <v>0</v>
      </c>
      <c r="AA671" s="64">
        <f t="shared" ca="1" si="402"/>
        <v>0</v>
      </c>
      <c r="AB671" s="64">
        <f t="shared" ca="1" si="403"/>
        <v>0</v>
      </c>
      <c r="AF671" t="str">
        <f t="shared" ca="1" si="383"/>
        <v>31989</v>
      </c>
      <c r="AG671" s="126">
        <f t="shared" ca="1" si="384"/>
        <v>0</v>
      </c>
      <c r="AH671" s="126">
        <f t="shared" ca="1" si="385"/>
        <v>0</v>
      </c>
      <c r="AI671" s="126">
        <f t="shared" ca="1" si="386"/>
        <v>0</v>
      </c>
      <c r="AJ671" t="str">
        <f t="shared" ca="1" si="387"/>
        <v>52079</v>
      </c>
      <c r="AK671" s="126">
        <f t="shared" ca="1" si="404"/>
        <v>0</v>
      </c>
      <c r="AL671" s="126">
        <f t="shared" ca="1" si="405"/>
        <v>0</v>
      </c>
      <c r="AM671" s="126">
        <f t="shared" ca="1" si="418"/>
        <v>0</v>
      </c>
      <c r="AN671" s="753">
        <f t="shared" ca="1" si="419"/>
        <v>0</v>
      </c>
      <c r="AO671" s="750">
        <f t="shared" ca="1" si="406"/>
        <v>0</v>
      </c>
      <c r="AP671" s="126">
        <f t="shared" ca="1" si="407"/>
        <v>0</v>
      </c>
      <c r="AQ671" s="126">
        <f t="shared" ca="1" si="408"/>
        <v>0</v>
      </c>
      <c r="AR671" s="126">
        <f t="shared" ca="1" si="388"/>
        <v>10000</v>
      </c>
      <c r="AS671" s="750">
        <f t="shared" ca="1" si="389"/>
        <v>0</v>
      </c>
      <c r="AT671" s="750">
        <f t="shared" ca="1" si="390"/>
        <v>0</v>
      </c>
      <c r="AU671" s="126">
        <f t="shared" ca="1" si="409"/>
        <v>0</v>
      </c>
      <c r="AV671" s="126">
        <f t="shared" ca="1" si="410"/>
        <v>0</v>
      </c>
      <c r="AW671" s="126">
        <f t="shared" ca="1" si="391"/>
        <v>10000</v>
      </c>
      <c r="AX671" s="750">
        <f t="shared" ca="1" si="411"/>
        <v>0</v>
      </c>
      <c r="AY671" s="750">
        <f t="shared" ca="1" si="412"/>
        <v>0</v>
      </c>
      <c r="AZ671">
        <f t="shared" si="413"/>
        <v>5750</v>
      </c>
    </row>
    <row r="672" spans="4:52">
      <c r="D672">
        <v>665</v>
      </c>
      <c r="E672" s="6">
        <f t="shared" ca="1" si="392"/>
        <v>32540</v>
      </c>
      <c r="F672" s="7">
        <f t="shared" ca="1" si="393"/>
        <v>0</v>
      </c>
      <c r="G672" s="125">
        <f ca="1">IF('Simulador - 1º Pilar'!$E$99="Sí",IF('Aportaciones PPE'!$B$13&lt;'Aportaciones PPE'!E672,0,F672*$B$8/12),F672*$B$8/12)</f>
        <v>0</v>
      </c>
      <c r="H672" s="125">
        <f t="shared" ca="1" si="382"/>
        <v>0</v>
      </c>
      <c r="I672" s="125">
        <f t="shared" ca="1" si="394"/>
        <v>0</v>
      </c>
      <c r="J672" s="125">
        <f t="shared" ca="1" si="395"/>
        <v>0</v>
      </c>
      <c r="K672" s="125">
        <f t="shared" ca="1" si="396"/>
        <v>0</v>
      </c>
      <c r="L672" s="125">
        <f t="shared" ca="1" si="414"/>
        <v>0</v>
      </c>
      <c r="M672" s="125">
        <f t="shared" ca="1" si="397"/>
        <v>0</v>
      </c>
      <c r="N672" s="125">
        <f t="shared" ca="1" si="398"/>
        <v>0</v>
      </c>
      <c r="R672">
        <f t="shared" si="415"/>
        <v>665</v>
      </c>
      <c r="U672" s="55"/>
      <c r="V672">
        <f t="shared" si="416"/>
        <v>6</v>
      </c>
      <c r="W672">
        <f t="shared" ca="1" si="417"/>
        <v>2079</v>
      </c>
      <c r="X672" s="123">
        <f t="shared" ca="1" si="399"/>
        <v>65532</v>
      </c>
      <c r="Y672" s="64">
        <f t="shared" ca="1" si="400"/>
        <v>0</v>
      </c>
      <c r="Z672" s="64">
        <f t="shared" ca="1" si="401"/>
        <v>0</v>
      </c>
      <c r="AA672" s="64">
        <f t="shared" ca="1" si="402"/>
        <v>0</v>
      </c>
      <c r="AB672" s="64">
        <f t="shared" ca="1" si="403"/>
        <v>0</v>
      </c>
      <c r="AF672" t="str">
        <f t="shared" ca="1" si="383"/>
        <v>21989</v>
      </c>
      <c r="AG672" s="126">
        <f t="shared" ca="1" si="384"/>
        <v>0</v>
      </c>
      <c r="AH672" s="126">
        <f t="shared" ca="1" si="385"/>
        <v>0</v>
      </c>
      <c r="AI672" s="126">
        <f t="shared" ca="1" si="386"/>
        <v>0</v>
      </c>
      <c r="AJ672" t="str">
        <f t="shared" ca="1" si="387"/>
        <v>62079</v>
      </c>
      <c r="AK672" s="126">
        <f t="shared" ca="1" si="404"/>
        <v>0</v>
      </c>
      <c r="AL672" s="126">
        <f t="shared" ca="1" si="405"/>
        <v>0</v>
      </c>
      <c r="AM672" s="126">
        <f t="shared" ca="1" si="418"/>
        <v>0</v>
      </c>
      <c r="AN672" s="753">
        <f t="shared" ca="1" si="419"/>
        <v>0</v>
      </c>
      <c r="AO672" s="750">
        <f t="shared" ca="1" si="406"/>
        <v>0</v>
      </c>
      <c r="AP672" s="126">
        <f t="shared" ca="1" si="407"/>
        <v>0</v>
      </c>
      <c r="AQ672" s="126">
        <f t="shared" ca="1" si="408"/>
        <v>0</v>
      </c>
      <c r="AR672" s="126">
        <f t="shared" ca="1" si="388"/>
        <v>10000</v>
      </c>
      <c r="AS672" s="750">
        <f t="shared" ca="1" si="389"/>
        <v>0</v>
      </c>
      <c r="AT672" s="750">
        <f t="shared" ca="1" si="390"/>
        <v>0</v>
      </c>
      <c r="AU672" s="126">
        <f t="shared" ca="1" si="409"/>
        <v>0</v>
      </c>
      <c r="AV672" s="126">
        <f t="shared" ca="1" si="410"/>
        <v>0</v>
      </c>
      <c r="AW672" s="126">
        <f t="shared" ca="1" si="391"/>
        <v>10000</v>
      </c>
      <c r="AX672" s="750">
        <f t="shared" ca="1" si="411"/>
        <v>0</v>
      </c>
      <c r="AY672" s="750">
        <f t="shared" ca="1" si="412"/>
        <v>0</v>
      </c>
      <c r="AZ672">
        <f t="shared" si="413"/>
        <v>5750</v>
      </c>
    </row>
    <row r="673" spans="4:52">
      <c r="D673">
        <v>666</v>
      </c>
      <c r="E673" s="6">
        <f t="shared" ca="1" si="392"/>
        <v>32509</v>
      </c>
      <c r="F673" s="7">
        <f t="shared" ca="1" si="393"/>
        <v>0</v>
      </c>
      <c r="G673" s="125">
        <f ca="1">IF('Simulador - 1º Pilar'!$E$99="Sí",IF('Aportaciones PPE'!$B$13&lt;'Aportaciones PPE'!E673,0,F673*$B$8/12),F673*$B$8/12)</f>
        <v>0</v>
      </c>
      <c r="H673" s="125">
        <f t="shared" ca="1" si="382"/>
        <v>0</v>
      </c>
      <c r="I673" s="125">
        <f t="shared" ca="1" si="394"/>
        <v>0</v>
      </c>
      <c r="J673" s="125">
        <f t="shared" ca="1" si="395"/>
        <v>0</v>
      </c>
      <c r="K673" s="125">
        <f t="shared" ca="1" si="396"/>
        <v>0</v>
      </c>
      <c r="L673" s="125">
        <f t="shared" ca="1" si="414"/>
        <v>0</v>
      </c>
      <c r="M673" s="125">
        <f t="shared" ca="1" si="397"/>
        <v>0</v>
      </c>
      <c r="N673" s="125">
        <f t="shared" ca="1" si="398"/>
        <v>0</v>
      </c>
      <c r="R673">
        <f t="shared" si="415"/>
        <v>666</v>
      </c>
      <c r="U673" s="55"/>
      <c r="V673">
        <f t="shared" si="416"/>
        <v>7</v>
      </c>
      <c r="W673">
        <f t="shared" ca="1" si="417"/>
        <v>2079</v>
      </c>
      <c r="X673" s="123">
        <f t="shared" ca="1" si="399"/>
        <v>65562</v>
      </c>
      <c r="Y673" s="64">
        <f t="shared" ca="1" si="400"/>
        <v>0</v>
      </c>
      <c r="Z673" s="64">
        <f t="shared" ca="1" si="401"/>
        <v>0</v>
      </c>
      <c r="AA673" s="64">
        <f t="shared" ca="1" si="402"/>
        <v>0</v>
      </c>
      <c r="AB673" s="64">
        <f t="shared" ca="1" si="403"/>
        <v>0</v>
      </c>
      <c r="AF673" t="str">
        <f t="shared" ca="1" si="383"/>
        <v>11989</v>
      </c>
      <c r="AG673" s="126">
        <f t="shared" ca="1" si="384"/>
        <v>0</v>
      </c>
      <c r="AH673" s="126">
        <f t="shared" ca="1" si="385"/>
        <v>0</v>
      </c>
      <c r="AI673" s="126">
        <f t="shared" ca="1" si="386"/>
        <v>0</v>
      </c>
      <c r="AJ673" t="str">
        <f t="shared" ca="1" si="387"/>
        <v>72079</v>
      </c>
      <c r="AK673" s="126">
        <f t="shared" ca="1" si="404"/>
        <v>0</v>
      </c>
      <c r="AL673" s="126">
        <f t="shared" ca="1" si="405"/>
        <v>0</v>
      </c>
      <c r="AM673" s="126">
        <f t="shared" ca="1" si="418"/>
        <v>0</v>
      </c>
      <c r="AN673" s="753">
        <f t="shared" ca="1" si="419"/>
        <v>0</v>
      </c>
      <c r="AO673" s="750">
        <f t="shared" ca="1" si="406"/>
        <v>0</v>
      </c>
      <c r="AP673" s="126">
        <f t="shared" ca="1" si="407"/>
        <v>0</v>
      </c>
      <c r="AQ673" s="126">
        <f t="shared" ca="1" si="408"/>
        <v>0</v>
      </c>
      <c r="AR673" s="126">
        <f t="shared" ca="1" si="388"/>
        <v>10000</v>
      </c>
      <c r="AS673" s="750">
        <f t="shared" ca="1" si="389"/>
        <v>0</v>
      </c>
      <c r="AT673" s="750">
        <f t="shared" ca="1" si="390"/>
        <v>0</v>
      </c>
      <c r="AU673" s="126">
        <f t="shared" ca="1" si="409"/>
        <v>0</v>
      </c>
      <c r="AV673" s="126">
        <f t="shared" ca="1" si="410"/>
        <v>0</v>
      </c>
      <c r="AW673" s="126">
        <f t="shared" ca="1" si="391"/>
        <v>10000</v>
      </c>
      <c r="AX673" s="750">
        <f t="shared" ca="1" si="411"/>
        <v>0</v>
      </c>
      <c r="AY673" s="750">
        <f t="shared" ca="1" si="412"/>
        <v>0</v>
      </c>
      <c r="AZ673">
        <f t="shared" si="413"/>
        <v>5750</v>
      </c>
    </row>
    <row r="674" spans="4:52">
      <c r="D674">
        <v>667</v>
      </c>
      <c r="E674" s="6">
        <f t="shared" ca="1" si="392"/>
        <v>32478</v>
      </c>
      <c r="F674" s="7">
        <f t="shared" ca="1" si="393"/>
        <v>0</v>
      </c>
      <c r="G674" s="125">
        <f ca="1">IF('Simulador - 1º Pilar'!$E$99="Sí",IF('Aportaciones PPE'!$B$13&lt;'Aportaciones PPE'!E674,0,F674*$B$8/12),F674*$B$8/12)</f>
        <v>0</v>
      </c>
      <c r="H674" s="125">
        <f t="shared" ca="1" si="382"/>
        <v>0</v>
      </c>
      <c r="I674" s="125">
        <f t="shared" ca="1" si="394"/>
        <v>0</v>
      </c>
      <c r="J674" s="125">
        <f t="shared" ca="1" si="395"/>
        <v>0</v>
      </c>
      <c r="K674" s="125">
        <f t="shared" ca="1" si="396"/>
        <v>0</v>
      </c>
      <c r="L674" s="125">
        <f t="shared" ca="1" si="414"/>
        <v>0</v>
      </c>
      <c r="M674" s="125">
        <f t="shared" ca="1" si="397"/>
        <v>0</v>
      </c>
      <c r="N674" s="125">
        <f t="shared" ca="1" si="398"/>
        <v>0</v>
      </c>
      <c r="R674">
        <f t="shared" si="415"/>
        <v>667</v>
      </c>
      <c r="U674" s="55"/>
      <c r="V674">
        <f t="shared" si="416"/>
        <v>8</v>
      </c>
      <c r="W674">
        <f t="shared" ca="1" si="417"/>
        <v>2079</v>
      </c>
      <c r="X674" s="123">
        <f t="shared" ca="1" si="399"/>
        <v>65593</v>
      </c>
      <c r="Y674" s="64">
        <f t="shared" ca="1" si="400"/>
        <v>0</v>
      </c>
      <c r="Z674" s="64">
        <f t="shared" ca="1" si="401"/>
        <v>0</v>
      </c>
      <c r="AA674" s="64">
        <f t="shared" ca="1" si="402"/>
        <v>0</v>
      </c>
      <c r="AB674" s="64">
        <f t="shared" ca="1" si="403"/>
        <v>0</v>
      </c>
      <c r="AF674" t="str">
        <f t="shared" ca="1" si="383"/>
        <v>121988</v>
      </c>
      <c r="AG674" s="126">
        <f t="shared" ca="1" si="384"/>
        <v>0</v>
      </c>
      <c r="AH674" s="126">
        <f t="shared" ca="1" si="385"/>
        <v>0</v>
      </c>
      <c r="AI674" s="126">
        <f t="shared" ca="1" si="386"/>
        <v>0</v>
      </c>
      <c r="AJ674" t="str">
        <f t="shared" ca="1" si="387"/>
        <v>82079</v>
      </c>
      <c r="AK674" s="126">
        <f t="shared" ca="1" si="404"/>
        <v>0</v>
      </c>
      <c r="AL674" s="126">
        <f t="shared" ca="1" si="405"/>
        <v>0</v>
      </c>
      <c r="AM674" s="126">
        <f t="shared" ca="1" si="418"/>
        <v>0</v>
      </c>
      <c r="AN674" s="753">
        <f t="shared" ca="1" si="419"/>
        <v>0</v>
      </c>
      <c r="AO674" s="750">
        <f t="shared" ca="1" si="406"/>
        <v>0</v>
      </c>
      <c r="AP674" s="126">
        <f t="shared" ca="1" si="407"/>
        <v>0</v>
      </c>
      <c r="AQ674" s="126">
        <f t="shared" ca="1" si="408"/>
        <v>0</v>
      </c>
      <c r="AR674" s="126">
        <f t="shared" ca="1" si="388"/>
        <v>10000</v>
      </c>
      <c r="AS674" s="750">
        <f t="shared" ca="1" si="389"/>
        <v>0</v>
      </c>
      <c r="AT674" s="750">
        <f t="shared" ca="1" si="390"/>
        <v>0</v>
      </c>
      <c r="AU674" s="126">
        <f t="shared" ca="1" si="409"/>
        <v>0</v>
      </c>
      <c r="AV674" s="126">
        <f t="shared" ca="1" si="410"/>
        <v>0</v>
      </c>
      <c r="AW674" s="126">
        <f t="shared" ca="1" si="391"/>
        <v>10000</v>
      </c>
      <c r="AX674" s="750">
        <f t="shared" ca="1" si="411"/>
        <v>0</v>
      </c>
      <c r="AY674" s="750">
        <f t="shared" ca="1" si="412"/>
        <v>0</v>
      </c>
      <c r="AZ674">
        <f t="shared" si="413"/>
        <v>5750</v>
      </c>
    </row>
    <row r="675" spans="4:52">
      <c r="D675">
        <v>668</v>
      </c>
      <c r="E675" s="6">
        <f t="shared" ca="1" si="392"/>
        <v>32448</v>
      </c>
      <c r="F675" s="7">
        <f t="shared" ca="1" si="393"/>
        <v>0</v>
      </c>
      <c r="G675" s="125">
        <f ca="1">IF('Simulador - 1º Pilar'!$E$99="Sí",IF('Aportaciones PPE'!$B$13&lt;'Aportaciones PPE'!E675,0,F675*$B$8/12),F675*$B$8/12)</f>
        <v>0</v>
      </c>
      <c r="H675" s="125">
        <f t="shared" ca="1" si="382"/>
        <v>0</v>
      </c>
      <c r="I675" s="125">
        <f t="shared" ca="1" si="394"/>
        <v>0</v>
      </c>
      <c r="J675" s="125">
        <f t="shared" ca="1" si="395"/>
        <v>0</v>
      </c>
      <c r="K675" s="125">
        <f t="shared" ca="1" si="396"/>
        <v>0</v>
      </c>
      <c r="L675" s="125">
        <f t="shared" ca="1" si="414"/>
        <v>0</v>
      </c>
      <c r="M675" s="125">
        <f t="shared" ca="1" si="397"/>
        <v>0</v>
      </c>
      <c r="N675" s="125">
        <f t="shared" ca="1" si="398"/>
        <v>0</v>
      </c>
      <c r="R675">
        <f t="shared" si="415"/>
        <v>668</v>
      </c>
      <c r="U675" s="55"/>
      <c r="V675">
        <f t="shared" si="416"/>
        <v>9</v>
      </c>
      <c r="W675">
        <f t="shared" ca="1" si="417"/>
        <v>2079</v>
      </c>
      <c r="X675" s="123">
        <f t="shared" ca="1" si="399"/>
        <v>65624</v>
      </c>
      <c r="Y675" s="64">
        <f t="shared" ca="1" si="400"/>
        <v>0</v>
      </c>
      <c r="Z675" s="64">
        <f t="shared" ca="1" si="401"/>
        <v>0</v>
      </c>
      <c r="AA675" s="64">
        <f t="shared" ca="1" si="402"/>
        <v>0</v>
      </c>
      <c r="AB675" s="64">
        <f t="shared" ca="1" si="403"/>
        <v>0</v>
      </c>
      <c r="AF675" t="str">
        <f t="shared" ca="1" si="383"/>
        <v>111988</v>
      </c>
      <c r="AG675" s="126">
        <f t="shared" ca="1" si="384"/>
        <v>0</v>
      </c>
      <c r="AH675" s="126">
        <f t="shared" ca="1" si="385"/>
        <v>0</v>
      </c>
      <c r="AI675" s="126">
        <f t="shared" ca="1" si="386"/>
        <v>0</v>
      </c>
      <c r="AJ675" t="str">
        <f t="shared" ca="1" si="387"/>
        <v>92079</v>
      </c>
      <c r="AK675" s="126">
        <f t="shared" ca="1" si="404"/>
        <v>0</v>
      </c>
      <c r="AL675" s="126">
        <f t="shared" ca="1" si="405"/>
        <v>0</v>
      </c>
      <c r="AM675" s="126">
        <f t="shared" ca="1" si="418"/>
        <v>0</v>
      </c>
      <c r="AN675" s="753">
        <f t="shared" ca="1" si="419"/>
        <v>0</v>
      </c>
      <c r="AO675" s="750">
        <f t="shared" ca="1" si="406"/>
        <v>0</v>
      </c>
      <c r="AP675" s="126">
        <f t="shared" ca="1" si="407"/>
        <v>0</v>
      </c>
      <c r="AQ675" s="126">
        <f t="shared" ca="1" si="408"/>
        <v>0</v>
      </c>
      <c r="AR675" s="126">
        <f t="shared" ca="1" si="388"/>
        <v>10000</v>
      </c>
      <c r="AS675" s="750">
        <f t="shared" ca="1" si="389"/>
        <v>0</v>
      </c>
      <c r="AT675" s="750">
        <f t="shared" ca="1" si="390"/>
        <v>0</v>
      </c>
      <c r="AU675" s="126">
        <f t="shared" ca="1" si="409"/>
        <v>0</v>
      </c>
      <c r="AV675" s="126">
        <f t="shared" ca="1" si="410"/>
        <v>0</v>
      </c>
      <c r="AW675" s="126">
        <f t="shared" ca="1" si="391"/>
        <v>10000</v>
      </c>
      <c r="AX675" s="750">
        <f t="shared" ca="1" si="411"/>
        <v>0</v>
      </c>
      <c r="AY675" s="750">
        <f t="shared" ca="1" si="412"/>
        <v>0</v>
      </c>
      <c r="AZ675">
        <f t="shared" si="413"/>
        <v>5750</v>
      </c>
    </row>
    <row r="676" spans="4:52">
      <c r="D676">
        <v>669</v>
      </c>
      <c r="E676" s="6">
        <f t="shared" ca="1" si="392"/>
        <v>32417</v>
      </c>
      <c r="F676" s="7">
        <f t="shared" ca="1" si="393"/>
        <v>0</v>
      </c>
      <c r="G676" s="125">
        <f ca="1">IF('Simulador - 1º Pilar'!$E$99="Sí",IF('Aportaciones PPE'!$B$13&lt;'Aportaciones PPE'!E676,0,F676*$B$8/12),F676*$B$8/12)</f>
        <v>0</v>
      </c>
      <c r="H676" s="125">
        <f t="shared" ca="1" si="382"/>
        <v>0</v>
      </c>
      <c r="I676" s="125">
        <f t="shared" ca="1" si="394"/>
        <v>0</v>
      </c>
      <c r="J676" s="125">
        <f t="shared" ca="1" si="395"/>
        <v>0</v>
      </c>
      <c r="K676" s="125">
        <f t="shared" ca="1" si="396"/>
        <v>0</v>
      </c>
      <c r="L676" s="125">
        <f t="shared" ca="1" si="414"/>
        <v>0</v>
      </c>
      <c r="M676" s="125">
        <f t="shared" ca="1" si="397"/>
        <v>0</v>
      </c>
      <c r="N676" s="125">
        <f t="shared" ca="1" si="398"/>
        <v>0</v>
      </c>
      <c r="R676">
        <f t="shared" si="415"/>
        <v>669</v>
      </c>
      <c r="U676" s="55"/>
      <c r="V676">
        <f t="shared" si="416"/>
        <v>10</v>
      </c>
      <c r="W676">
        <f t="shared" ca="1" si="417"/>
        <v>2079</v>
      </c>
      <c r="X676" s="123">
        <f t="shared" ca="1" si="399"/>
        <v>65654</v>
      </c>
      <c r="Y676" s="64">
        <f t="shared" ca="1" si="400"/>
        <v>0</v>
      </c>
      <c r="Z676" s="64">
        <f t="shared" ca="1" si="401"/>
        <v>0</v>
      </c>
      <c r="AA676" s="64">
        <f t="shared" ca="1" si="402"/>
        <v>0</v>
      </c>
      <c r="AB676" s="64">
        <f t="shared" ca="1" si="403"/>
        <v>0</v>
      </c>
      <c r="AF676" t="str">
        <f t="shared" ca="1" si="383"/>
        <v>101988</v>
      </c>
      <c r="AG676" s="126">
        <f t="shared" ca="1" si="384"/>
        <v>0</v>
      </c>
      <c r="AH676" s="126">
        <f t="shared" ca="1" si="385"/>
        <v>0</v>
      </c>
      <c r="AI676" s="126">
        <f t="shared" ca="1" si="386"/>
        <v>0</v>
      </c>
      <c r="AJ676" t="str">
        <f t="shared" ca="1" si="387"/>
        <v>102079</v>
      </c>
      <c r="AK676" s="126">
        <f t="shared" ca="1" si="404"/>
        <v>0</v>
      </c>
      <c r="AL676" s="126">
        <f t="shared" ca="1" si="405"/>
        <v>0</v>
      </c>
      <c r="AM676" s="126">
        <f t="shared" ca="1" si="418"/>
        <v>0</v>
      </c>
      <c r="AN676" s="753">
        <f t="shared" ca="1" si="419"/>
        <v>0</v>
      </c>
      <c r="AO676" s="750">
        <f t="shared" ca="1" si="406"/>
        <v>0</v>
      </c>
      <c r="AP676" s="126">
        <f t="shared" ca="1" si="407"/>
        <v>0</v>
      </c>
      <c r="AQ676" s="126">
        <f t="shared" ca="1" si="408"/>
        <v>0</v>
      </c>
      <c r="AR676" s="126">
        <f t="shared" ca="1" si="388"/>
        <v>10000</v>
      </c>
      <c r="AS676" s="750">
        <f t="shared" ca="1" si="389"/>
        <v>0</v>
      </c>
      <c r="AT676" s="750">
        <f t="shared" ca="1" si="390"/>
        <v>0</v>
      </c>
      <c r="AU676" s="126">
        <f t="shared" ca="1" si="409"/>
        <v>0</v>
      </c>
      <c r="AV676" s="126">
        <f t="shared" ca="1" si="410"/>
        <v>0</v>
      </c>
      <c r="AW676" s="126">
        <f t="shared" ca="1" si="391"/>
        <v>10000</v>
      </c>
      <c r="AX676" s="750">
        <f t="shared" ca="1" si="411"/>
        <v>0</v>
      </c>
      <c r="AY676" s="750">
        <f t="shared" ca="1" si="412"/>
        <v>0</v>
      </c>
      <c r="AZ676">
        <f t="shared" si="413"/>
        <v>5750</v>
      </c>
    </row>
    <row r="677" spans="4:52">
      <c r="D677">
        <v>670</v>
      </c>
      <c r="E677" s="6">
        <f t="shared" ca="1" si="392"/>
        <v>32387</v>
      </c>
      <c r="F677" s="7">
        <f t="shared" ca="1" si="393"/>
        <v>0</v>
      </c>
      <c r="G677" s="125">
        <f ca="1">IF('Simulador - 1º Pilar'!$E$99="Sí",IF('Aportaciones PPE'!$B$13&lt;'Aportaciones PPE'!E677,0,F677*$B$8/12),F677*$B$8/12)</f>
        <v>0</v>
      </c>
      <c r="H677" s="125">
        <f t="shared" ca="1" si="382"/>
        <v>0</v>
      </c>
      <c r="I677" s="125">
        <f t="shared" ca="1" si="394"/>
        <v>0</v>
      </c>
      <c r="J677" s="125">
        <f t="shared" ca="1" si="395"/>
        <v>0</v>
      </c>
      <c r="K677" s="125">
        <f t="shared" ca="1" si="396"/>
        <v>0</v>
      </c>
      <c r="L677" s="125">
        <f t="shared" ca="1" si="414"/>
        <v>0</v>
      </c>
      <c r="M677" s="125">
        <f t="shared" ca="1" si="397"/>
        <v>0</v>
      </c>
      <c r="N677" s="125">
        <f t="shared" ca="1" si="398"/>
        <v>0</v>
      </c>
      <c r="R677">
        <f t="shared" si="415"/>
        <v>670</v>
      </c>
      <c r="U677" s="55"/>
      <c r="V677">
        <f t="shared" si="416"/>
        <v>11</v>
      </c>
      <c r="W677">
        <f t="shared" ca="1" si="417"/>
        <v>2079</v>
      </c>
      <c r="X677" s="123">
        <f t="shared" ca="1" si="399"/>
        <v>65685</v>
      </c>
      <c r="Y677" s="64">
        <f t="shared" ca="1" si="400"/>
        <v>0</v>
      </c>
      <c r="Z677" s="64">
        <f t="shared" ca="1" si="401"/>
        <v>0</v>
      </c>
      <c r="AA677" s="64">
        <f t="shared" ca="1" si="402"/>
        <v>0</v>
      </c>
      <c r="AB677" s="64">
        <f t="shared" ca="1" si="403"/>
        <v>0</v>
      </c>
      <c r="AF677" t="str">
        <f t="shared" ca="1" si="383"/>
        <v>91988</v>
      </c>
      <c r="AG677" s="126">
        <f t="shared" ca="1" si="384"/>
        <v>0</v>
      </c>
      <c r="AH677" s="126">
        <f t="shared" ca="1" si="385"/>
        <v>0</v>
      </c>
      <c r="AI677" s="126">
        <f t="shared" ca="1" si="386"/>
        <v>0</v>
      </c>
      <c r="AJ677" t="str">
        <f t="shared" ca="1" si="387"/>
        <v>112079</v>
      </c>
      <c r="AK677" s="126">
        <f t="shared" ca="1" si="404"/>
        <v>0</v>
      </c>
      <c r="AL677" s="126">
        <f t="shared" ca="1" si="405"/>
        <v>0</v>
      </c>
      <c r="AM677" s="126">
        <f t="shared" ca="1" si="418"/>
        <v>0</v>
      </c>
      <c r="AN677" s="753">
        <f t="shared" ca="1" si="419"/>
        <v>0</v>
      </c>
      <c r="AO677" s="750">
        <f t="shared" ca="1" si="406"/>
        <v>0</v>
      </c>
      <c r="AP677" s="126">
        <f t="shared" ca="1" si="407"/>
        <v>0</v>
      </c>
      <c r="AQ677" s="126">
        <f t="shared" ca="1" si="408"/>
        <v>0</v>
      </c>
      <c r="AR677" s="126">
        <f t="shared" ca="1" si="388"/>
        <v>10000</v>
      </c>
      <c r="AS677" s="750">
        <f t="shared" ca="1" si="389"/>
        <v>0</v>
      </c>
      <c r="AT677" s="750">
        <f t="shared" ca="1" si="390"/>
        <v>0</v>
      </c>
      <c r="AU677" s="126">
        <f t="shared" ca="1" si="409"/>
        <v>0</v>
      </c>
      <c r="AV677" s="126">
        <f t="shared" ca="1" si="410"/>
        <v>0</v>
      </c>
      <c r="AW677" s="126">
        <f t="shared" ca="1" si="391"/>
        <v>10000</v>
      </c>
      <c r="AX677" s="750">
        <f t="shared" ca="1" si="411"/>
        <v>0</v>
      </c>
      <c r="AY677" s="750">
        <f t="shared" ca="1" si="412"/>
        <v>0</v>
      </c>
      <c r="AZ677">
        <f t="shared" si="413"/>
        <v>5750</v>
      </c>
    </row>
    <row r="678" spans="4:52">
      <c r="D678">
        <v>671</v>
      </c>
      <c r="E678" s="6">
        <f t="shared" ca="1" si="392"/>
        <v>32356</v>
      </c>
      <c r="F678" s="7">
        <f t="shared" ca="1" si="393"/>
        <v>0</v>
      </c>
      <c r="G678" s="125">
        <f ca="1">IF('Simulador - 1º Pilar'!$E$99="Sí",IF('Aportaciones PPE'!$B$13&lt;'Aportaciones PPE'!E678,0,F678*$B$8/12),F678*$B$8/12)</f>
        <v>0</v>
      </c>
      <c r="H678" s="125">
        <f t="shared" ca="1" si="382"/>
        <v>0</v>
      </c>
      <c r="I678" s="125">
        <f t="shared" ca="1" si="394"/>
        <v>0</v>
      </c>
      <c r="J678" s="125">
        <f t="shared" ca="1" si="395"/>
        <v>0</v>
      </c>
      <c r="K678" s="125">
        <f t="shared" ca="1" si="396"/>
        <v>0</v>
      </c>
      <c r="L678" s="125">
        <f t="shared" ca="1" si="414"/>
        <v>0</v>
      </c>
      <c r="M678" s="125">
        <f t="shared" ca="1" si="397"/>
        <v>0</v>
      </c>
      <c r="N678" s="125">
        <f t="shared" ca="1" si="398"/>
        <v>0</v>
      </c>
      <c r="R678">
        <f t="shared" si="415"/>
        <v>671</v>
      </c>
      <c r="U678" s="55"/>
      <c r="V678">
        <f t="shared" si="416"/>
        <v>12</v>
      </c>
      <c r="W678">
        <f t="shared" ca="1" si="417"/>
        <v>2079</v>
      </c>
      <c r="X678" s="123">
        <f t="shared" ca="1" si="399"/>
        <v>65715</v>
      </c>
      <c r="Y678" s="64">
        <f t="shared" ca="1" si="400"/>
        <v>0</v>
      </c>
      <c r="Z678" s="64">
        <f t="shared" ca="1" si="401"/>
        <v>0</v>
      </c>
      <c r="AA678" s="64">
        <f t="shared" ca="1" si="402"/>
        <v>0</v>
      </c>
      <c r="AB678" s="64">
        <f t="shared" ca="1" si="403"/>
        <v>0</v>
      </c>
      <c r="AF678" t="str">
        <f t="shared" ca="1" si="383"/>
        <v>81988</v>
      </c>
      <c r="AG678" s="126">
        <f t="shared" ca="1" si="384"/>
        <v>0</v>
      </c>
      <c r="AH678" s="126">
        <f t="shared" ca="1" si="385"/>
        <v>0</v>
      </c>
      <c r="AI678" s="126">
        <f t="shared" ca="1" si="386"/>
        <v>0</v>
      </c>
      <c r="AJ678" t="str">
        <f t="shared" ca="1" si="387"/>
        <v>122079</v>
      </c>
      <c r="AK678" s="126">
        <f t="shared" ca="1" si="404"/>
        <v>0</v>
      </c>
      <c r="AL678" s="126">
        <f t="shared" ca="1" si="405"/>
        <v>0</v>
      </c>
      <c r="AM678" s="126">
        <f t="shared" ca="1" si="418"/>
        <v>0</v>
      </c>
      <c r="AN678" s="753">
        <f t="shared" ca="1" si="419"/>
        <v>0</v>
      </c>
      <c r="AO678" s="750">
        <f t="shared" ca="1" si="406"/>
        <v>0</v>
      </c>
      <c r="AP678" s="126">
        <f t="shared" ca="1" si="407"/>
        <v>0</v>
      </c>
      <c r="AQ678" s="126">
        <f t="shared" ca="1" si="408"/>
        <v>0</v>
      </c>
      <c r="AR678" s="126">
        <f t="shared" ca="1" si="388"/>
        <v>10000</v>
      </c>
      <c r="AS678" s="750">
        <f t="shared" ca="1" si="389"/>
        <v>0</v>
      </c>
      <c r="AT678" s="750">
        <f t="shared" ca="1" si="390"/>
        <v>0</v>
      </c>
      <c r="AU678" s="126">
        <f t="shared" ca="1" si="409"/>
        <v>0</v>
      </c>
      <c r="AV678" s="126">
        <f t="shared" ca="1" si="410"/>
        <v>0</v>
      </c>
      <c r="AW678" s="126">
        <f t="shared" ca="1" si="391"/>
        <v>10000</v>
      </c>
      <c r="AX678" s="750">
        <f t="shared" ca="1" si="411"/>
        <v>0</v>
      </c>
      <c r="AY678" s="750">
        <f t="shared" ca="1" si="412"/>
        <v>0</v>
      </c>
      <c r="AZ678">
        <f t="shared" si="413"/>
        <v>5750</v>
      </c>
    </row>
    <row r="679" spans="4:52">
      <c r="D679">
        <v>672</v>
      </c>
      <c r="E679" s="6">
        <f t="shared" ca="1" si="392"/>
        <v>32325</v>
      </c>
      <c r="F679" s="7">
        <f t="shared" ca="1" si="393"/>
        <v>0</v>
      </c>
      <c r="G679" s="125">
        <f ca="1">IF('Simulador - 1º Pilar'!$E$99="Sí",IF('Aportaciones PPE'!$B$13&lt;'Aportaciones PPE'!E679,0,F679*$B$8/12),F679*$B$8/12)</f>
        <v>0</v>
      </c>
      <c r="H679" s="125">
        <f t="shared" ca="1" si="382"/>
        <v>0</v>
      </c>
      <c r="I679" s="125">
        <f t="shared" ca="1" si="394"/>
        <v>0</v>
      </c>
      <c r="J679" s="125">
        <f t="shared" ca="1" si="395"/>
        <v>0</v>
      </c>
      <c r="K679" s="125">
        <f t="shared" ca="1" si="396"/>
        <v>0</v>
      </c>
      <c r="L679" s="125">
        <f t="shared" ca="1" si="414"/>
        <v>0</v>
      </c>
      <c r="M679" s="125">
        <f t="shared" ca="1" si="397"/>
        <v>0</v>
      </c>
      <c r="N679" s="125">
        <f t="shared" ca="1" si="398"/>
        <v>0</v>
      </c>
      <c r="R679">
        <f t="shared" si="415"/>
        <v>672</v>
      </c>
      <c r="U679" s="55"/>
      <c r="V679">
        <f t="shared" si="416"/>
        <v>1</v>
      </c>
      <c r="W679">
        <f t="shared" ca="1" si="417"/>
        <v>2080</v>
      </c>
      <c r="X679" s="123">
        <f t="shared" ca="1" si="399"/>
        <v>65746</v>
      </c>
      <c r="Y679" s="64">
        <f t="shared" ca="1" si="400"/>
        <v>0</v>
      </c>
      <c r="Z679" s="64">
        <f t="shared" ca="1" si="401"/>
        <v>0</v>
      </c>
      <c r="AA679" s="64">
        <f t="shared" ca="1" si="402"/>
        <v>0</v>
      </c>
      <c r="AB679" s="64">
        <f t="shared" ca="1" si="403"/>
        <v>0</v>
      </c>
      <c r="AF679" t="str">
        <f t="shared" ca="1" si="383"/>
        <v>71988</v>
      </c>
      <c r="AG679" s="126">
        <f t="shared" ca="1" si="384"/>
        <v>0</v>
      </c>
      <c r="AH679" s="126">
        <f t="shared" ca="1" si="385"/>
        <v>0</v>
      </c>
      <c r="AI679" s="126">
        <f t="shared" ca="1" si="386"/>
        <v>0</v>
      </c>
      <c r="AJ679" t="str">
        <f t="shared" ca="1" si="387"/>
        <v>12080</v>
      </c>
      <c r="AK679" s="126">
        <f t="shared" ca="1" si="404"/>
        <v>0</v>
      </c>
      <c r="AL679" s="126">
        <f t="shared" ca="1" si="405"/>
        <v>0</v>
      </c>
      <c r="AM679" s="126">
        <f t="shared" ca="1" si="418"/>
        <v>0</v>
      </c>
      <c r="AN679" s="753">
        <f t="shared" ca="1" si="419"/>
        <v>0</v>
      </c>
      <c r="AO679" s="750">
        <f t="shared" ca="1" si="406"/>
        <v>0</v>
      </c>
      <c r="AP679" s="126">
        <f t="shared" ca="1" si="407"/>
        <v>0</v>
      </c>
      <c r="AQ679" s="126">
        <f t="shared" ca="1" si="408"/>
        <v>0</v>
      </c>
      <c r="AR679" s="126">
        <f t="shared" ca="1" si="388"/>
        <v>10000</v>
      </c>
      <c r="AS679" s="750">
        <f t="shared" ca="1" si="389"/>
        <v>0</v>
      </c>
      <c r="AT679" s="750">
        <f t="shared" ca="1" si="390"/>
        <v>0</v>
      </c>
      <c r="AU679" s="126">
        <f t="shared" ca="1" si="409"/>
        <v>0</v>
      </c>
      <c r="AV679" s="126">
        <f t="shared" ca="1" si="410"/>
        <v>0</v>
      </c>
      <c r="AW679" s="126">
        <f t="shared" ca="1" si="391"/>
        <v>10000</v>
      </c>
      <c r="AX679" s="750">
        <f t="shared" ca="1" si="411"/>
        <v>0</v>
      </c>
      <c r="AY679" s="750">
        <f t="shared" ca="1" si="412"/>
        <v>0</v>
      </c>
      <c r="AZ679">
        <f t="shared" si="413"/>
        <v>5750</v>
      </c>
    </row>
    <row r="680" spans="4:52">
      <c r="D680">
        <v>673</v>
      </c>
      <c r="E680" s="6">
        <f t="shared" ca="1" si="392"/>
        <v>32295</v>
      </c>
      <c r="F680" s="7">
        <f t="shared" ca="1" si="393"/>
        <v>0</v>
      </c>
      <c r="G680" s="125">
        <f ca="1">IF('Simulador - 1º Pilar'!$E$99="Sí",IF('Aportaciones PPE'!$B$13&lt;'Aportaciones PPE'!E680,0,F680*$B$8/12),F680*$B$8/12)</f>
        <v>0</v>
      </c>
      <c r="H680" s="125">
        <f t="shared" ca="1" si="382"/>
        <v>0</v>
      </c>
      <c r="I680" s="125">
        <f t="shared" ca="1" si="394"/>
        <v>0</v>
      </c>
      <c r="J680" s="125">
        <f t="shared" ca="1" si="395"/>
        <v>0</v>
      </c>
      <c r="K680" s="125">
        <f t="shared" ca="1" si="396"/>
        <v>0</v>
      </c>
      <c r="L680" s="125">
        <f t="shared" ca="1" si="414"/>
        <v>0</v>
      </c>
      <c r="M680" s="125">
        <f t="shared" ca="1" si="397"/>
        <v>0</v>
      </c>
      <c r="N680" s="125">
        <f t="shared" ca="1" si="398"/>
        <v>0</v>
      </c>
      <c r="R680">
        <f t="shared" si="415"/>
        <v>673</v>
      </c>
      <c r="U680" s="55"/>
      <c r="V680">
        <f t="shared" si="416"/>
        <v>2</v>
      </c>
      <c r="W680">
        <f t="shared" ca="1" si="417"/>
        <v>2080</v>
      </c>
      <c r="X680" s="123">
        <f t="shared" ca="1" si="399"/>
        <v>65777</v>
      </c>
      <c r="Y680" s="64">
        <f t="shared" ca="1" si="400"/>
        <v>0</v>
      </c>
      <c r="Z680" s="64">
        <f t="shared" ca="1" si="401"/>
        <v>0</v>
      </c>
      <c r="AA680" s="64">
        <f t="shared" ca="1" si="402"/>
        <v>0</v>
      </c>
      <c r="AB680" s="64">
        <f t="shared" ca="1" si="403"/>
        <v>0</v>
      </c>
      <c r="AF680" t="str">
        <f t="shared" ca="1" si="383"/>
        <v>61988</v>
      </c>
      <c r="AG680" s="126">
        <f t="shared" ca="1" si="384"/>
        <v>0</v>
      </c>
      <c r="AH680" s="126">
        <f t="shared" ca="1" si="385"/>
        <v>0</v>
      </c>
      <c r="AI680" s="126">
        <f t="shared" ca="1" si="386"/>
        <v>0</v>
      </c>
      <c r="AJ680" t="str">
        <f t="shared" ca="1" si="387"/>
        <v>22080</v>
      </c>
      <c r="AK680" s="126">
        <f t="shared" ca="1" si="404"/>
        <v>0</v>
      </c>
      <c r="AL680" s="126">
        <f t="shared" ca="1" si="405"/>
        <v>0</v>
      </c>
      <c r="AM680" s="126">
        <f t="shared" ca="1" si="418"/>
        <v>0</v>
      </c>
      <c r="AN680" s="753">
        <f t="shared" ca="1" si="419"/>
        <v>0</v>
      </c>
      <c r="AO680" s="750">
        <f t="shared" ca="1" si="406"/>
        <v>0</v>
      </c>
      <c r="AP680" s="126">
        <f t="shared" ca="1" si="407"/>
        <v>0</v>
      </c>
      <c r="AQ680" s="126">
        <f t="shared" ca="1" si="408"/>
        <v>0</v>
      </c>
      <c r="AR680" s="126">
        <f t="shared" ca="1" si="388"/>
        <v>10000</v>
      </c>
      <c r="AS680" s="750">
        <f t="shared" ca="1" si="389"/>
        <v>0</v>
      </c>
      <c r="AT680" s="750">
        <f t="shared" ca="1" si="390"/>
        <v>0</v>
      </c>
      <c r="AU680" s="126">
        <f t="shared" ca="1" si="409"/>
        <v>0</v>
      </c>
      <c r="AV680" s="126">
        <f t="shared" ca="1" si="410"/>
        <v>0</v>
      </c>
      <c r="AW680" s="126">
        <f t="shared" ca="1" si="391"/>
        <v>10000</v>
      </c>
      <c r="AX680" s="750">
        <f t="shared" ca="1" si="411"/>
        <v>0</v>
      </c>
      <c r="AY680" s="750">
        <f t="shared" ca="1" si="412"/>
        <v>0</v>
      </c>
      <c r="AZ680">
        <f t="shared" si="413"/>
        <v>5750</v>
      </c>
    </row>
    <row r="681" spans="4:52">
      <c r="D681">
        <v>674</v>
      </c>
      <c r="E681" s="6">
        <f t="shared" ca="1" si="392"/>
        <v>32264</v>
      </c>
      <c r="F681" s="7">
        <f t="shared" ca="1" si="393"/>
        <v>0</v>
      </c>
      <c r="G681" s="125">
        <f ca="1">IF('Simulador - 1º Pilar'!$E$99="Sí",IF('Aportaciones PPE'!$B$13&lt;'Aportaciones PPE'!E681,0,F681*$B$8/12),F681*$B$8/12)</f>
        <v>0</v>
      </c>
      <c r="H681" s="125">
        <f t="shared" ca="1" si="382"/>
        <v>0</v>
      </c>
      <c r="I681" s="125">
        <f t="shared" ca="1" si="394"/>
        <v>0</v>
      </c>
      <c r="J681" s="125">
        <f t="shared" ca="1" si="395"/>
        <v>0</v>
      </c>
      <c r="K681" s="125">
        <f t="shared" ca="1" si="396"/>
        <v>0</v>
      </c>
      <c r="L681" s="125">
        <f t="shared" ca="1" si="414"/>
        <v>0</v>
      </c>
      <c r="M681" s="125">
        <f t="shared" ca="1" si="397"/>
        <v>0</v>
      </c>
      <c r="N681" s="125">
        <f t="shared" ca="1" si="398"/>
        <v>0</v>
      </c>
      <c r="R681">
        <f t="shared" si="415"/>
        <v>674</v>
      </c>
      <c r="U681" s="55"/>
      <c r="V681">
        <f t="shared" si="416"/>
        <v>3</v>
      </c>
      <c r="W681">
        <f t="shared" ca="1" si="417"/>
        <v>2080</v>
      </c>
      <c r="X681" s="123">
        <f t="shared" ca="1" si="399"/>
        <v>65806</v>
      </c>
      <c r="Y681" s="64">
        <f t="shared" ca="1" si="400"/>
        <v>0</v>
      </c>
      <c r="Z681" s="64">
        <f t="shared" ca="1" si="401"/>
        <v>0</v>
      </c>
      <c r="AA681" s="64">
        <f t="shared" ca="1" si="402"/>
        <v>0</v>
      </c>
      <c r="AB681" s="64">
        <f t="shared" ca="1" si="403"/>
        <v>0</v>
      </c>
      <c r="AF681" t="str">
        <f t="shared" ca="1" si="383"/>
        <v>51988</v>
      </c>
      <c r="AG681" s="126">
        <f t="shared" ca="1" si="384"/>
        <v>0</v>
      </c>
      <c r="AH681" s="126">
        <f t="shared" ca="1" si="385"/>
        <v>0</v>
      </c>
      <c r="AI681" s="126">
        <f t="shared" ca="1" si="386"/>
        <v>0</v>
      </c>
      <c r="AJ681" t="str">
        <f t="shared" ca="1" si="387"/>
        <v>32080</v>
      </c>
      <c r="AK681" s="126">
        <f t="shared" ca="1" si="404"/>
        <v>0</v>
      </c>
      <c r="AL681" s="126">
        <f t="shared" ca="1" si="405"/>
        <v>0</v>
      </c>
      <c r="AM681" s="126">
        <f t="shared" ca="1" si="418"/>
        <v>0</v>
      </c>
      <c r="AN681" s="753">
        <f t="shared" ca="1" si="419"/>
        <v>0</v>
      </c>
      <c r="AO681" s="750">
        <f t="shared" ca="1" si="406"/>
        <v>0</v>
      </c>
      <c r="AP681" s="126">
        <f t="shared" ca="1" si="407"/>
        <v>0</v>
      </c>
      <c r="AQ681" s="126">
        <f t="shared" ca="1" si="408"/>
        <v>0</v>
      </c>
      <c r="AR681" s="126">
        <f t="shared" ca="1" si="388"/>
        <v>10000</v>
      </c>
      <c r="AS681" s="750">
        <f t="shared" ca="1" si="389"/>
        <v>0</v>
      </c>
      <c r="AT681" s="750">
        <f t="shared" ca="1" si="390"/>
        <v>0</v>
      </c>
      <c r="AU681" s="126">
        <f t="shared" ca="1" si="409"/>
        <v>0</v>
      </c>
      <c r="AV681" s="126">
        <f t="shared" ca="1" si="410"/>
        <v>0</v>
      </c>
      <c r="AW681" s="126">
        <f t="shared" ca="1" si="391"/>
        <v>10000</v>
      </c>
      <c r="AX681" s="750">
        <f t="shared" ca="1" si="411"/>
        <v>0</v>
      </c>
      <c r="AY681" s="750">
        <f t="shared" ca="1" si="412"/>
        <v>0</v>
      </c>
      <c r="AZ681">
        <f t="shared" si="413"/>
        <v>5750</v>
      </c>
    </row>
    <row r="682" spans="4:52">
      <c r="D682">
        <v>675</v>
      </c>
      <c r="E682" s="6">
        <f t="shared" ca="1" si="392"/>
        <v>32234</v>
      </c>
      <c r="F682" s="7">
        <f t="shared" ca="1" si="393"/>
        <v>0</v>
      </c>
      <c r="G682" s="125">
        <f ca="1">IF('Simulador - 1º Pilar'!$E$99="Sí",IF('Aportaciones PPE'!$B$13&lt;'Aportaciones PPE'!E682,0,F682*$B$8/12),F682*$B$8/12)</f>
        <v>0</v>
      </c>
      <c r="H682" s="125">
        <f t="shared" ca="1" si="382"/>
        <v>0</v>
      </c>
      <c r="I682" s="125">
        <f t="shared" ca="1" si="394"/>
        <v>0</v>
      </c>
      <c r="J682" s="125">
        <f t="shared" ca="1" si="395"/>
        <v>0</v>
      </c>
      <c r="K682" s="125">
        <f t="shared" ca="1" si="396"/>
        <v>0</v>
      </c>
      <c r="L682" s="125">
        <f t="shared" ca="1" si="414"/>
        <v>0</v>
      </c>
      <c r="M682" s="125">
        <f t="shared" ca="1" si="397"/>
        <v>0</v>
      </c>
      <c r="N682" s="125">
        <f t="shared" ca="1" si="398"/>
        <v>0</v>
      </c>
      <c r="R682">
        <f t="shared" si="415"/>
        <v>675</v>
      </c>
      <c r="U682" s="55"/>
      <c r="V682">
        <f t="shared" si="416"/>
        <v>4</v>
      </c>
      <c r="W682">
        <f t="shared" ca="1" si="417"/>
        <v>2080</v>
      </c>
      <c r="X682" s="123">
        <f t="shared" ca="1" si="399"/>
        <v>65837</v>
      </c>
      <c r="Y682" s="64">
        <f t="shared" ca="1" si="400"/>
        <v>0</v>
      </c>
      <c r="Z682" s="64">
        <f t="shared" ca="1" si="401"/>
        <v>0</v>
      </c>
      <c r="AA682" s="64">
        <f t="shared" ca="1" si="402"/>
        <v>0</v>
      </c>
      <c r="AB682" s="64">
        <f t="shared" ca="1" si="403"/>
        <v>0</v>
      </c>
      <c r="AF682" t="str">
        <f t="shared" ca="1" si="383"/>
        <v>41988</v>
      </c>
      <c r="AG682" s="126">
        <f t="shared" ca="1" si="384"/>
        <v>0</v>
      </c>
      <c r="AH682" s="126">
        <f t="shared" ca="1" si="385"/>
        <v>0</v>
      </c>
      <c r="AI682" s="126">
        <f t="shared" ca="1" si="386"/>
        <v>0</v>
      </c>
      <c r="AJ682" t="str">
        <f t="shared" ca="1" si="387"/>
        <v>42080</v>
      </c>
      <c r="AK682" s="126">
        <f t="shared" ca="1" si="404"/>
        <v>0</v>
      </c>
      <c r="AL682" s="126">
        <f t="shared" ca="1" si="405"/>
        <v>0</v>
      </c>
      <c r="AM682" s="126">
        <f t="shared" ca="1" si="418"/>
        <v>0</v>
      </c>
      <c r="AN682" s="753">
        <f t="shared" ca="1" si="419"/>
        <v>0</v>
      </c>
      <c r="AO682" s="750">
        <f t="shared" ca="1" si="406"/>
        <v>0</v>
      </c>
      <c r="AP682" s="126">
        <f t="shared" ca="1" si="407"/>
        <v>0</v>
      </c>
      <c r="AQ682" s="126">
        <f t="shared" ca="1" si="408"/>
        <v>0</v>
      </c>
      <c r="AR682" s="126">
        <f t="shared" ca="1" si="388"/>
        <v>10000</v>
      </c>
      <c r="AS682" s="750">
        <f t="shared" ca="1" si="389"/>
        <v>0</v>
      </c>
      <c r="AT682" s="750">
        <f t="shared" ca="1" si="390"/>
        <v>0</v>
      </c>
      <c r="AU682" s="126">
        <f t="shared" ca="1" si="409"/>
        <v>0</v>
      </c>
      <c r="AV682" s="126">
        <f t="shared" ca="1" si="410"/>
        <v>0</v>
      </c>
      <c r="AW682" s="126">
        <f t="shared" ca="1" si="391"/>
        <v>10000</v>
      </c>
      <c r="AX682" s="750">
        <f t="shared" ca="1" si="411"/>
        <v>0</v>
      </c>
      <c r="AY682" s="750">
        <f t="shared" ca="1" si="412"/>
        <v>0</v>
      </c>
      <c r="AZ682">
        <f t="shared" si="413"/>
        <v>5750</v>
      </c>
    </row>
    <row r="683" spans="4:52">
      <c r="D683">
        <v>676</v>
      </c>
      <c r="E683" s="6">
        <f t="shared" ca="1" si="392"/>
        <v>32203</v>
      </c>
      <c r="F683" s="7">
        <f t="shared" ca="1" si="393"/>
        <v>0</v>
      </c>
      <c r="G683" s="125">
        <f ca="1">IF('Simulador - 1º Pilar'!$E$99="Sí",IF('Aportaciones PPE'!$B$13&lt;'Aportaciones PPE'!E683,0,F683*$B$8/12),F683*$B$8/12)</f>
        <v>0</v>
      </c>
      <c r="H683" s="125">
        <f t="shared" ca="1" si="382"/>
        <v>0</v>
      </c>
      <c r="I683" s="125">
        <f t="shared" ca="1" si="394"/>
        <v>0</v>
      </c>
      <c r="J683" s="125">
        <f t="shared" ca="1" si="395"/>
        <v>0</v>
      </c>
      <c r="K683" s="125">
        <f t="shared" ca="1" si="396"/>
        <v>0</v>
      </c>
      <c r="L683" s="125">
        <f t="shared" ca="1" si="414"/>
        <v>0</v>
      </c>
      <c r="M683" s="125">
        <f t="shared" ca="1" si="397"/>
        <v>0</v>
      </c>
      <c r="N683" s="125">
        <f t="shared" ca="1" si="398"/>
        <v>0</v>
      </c>
      <c r="R683">
        <f t="shared" si="415"/>
        <v>676</v>
      </c>
      <c r="U683" s="55"/>
      <c r="V683">
        <f t="shared" si="416"/>
        <v>5</v>
      </c>
      <c r="W683">
        <f t="shared" ca="1" si="417"/>
        <v>2080</v>
      </c>
      <c r="X683" s="123">
        <f t="shared" ca="1" si="399"/>
        <v>65867</v>
      </c>
      <c r="Y683" s="64">
        <f t="shared" ca="1" si="400"/>
        <v>0</v>
      </c>
      <c r="Z683" s="64">
        <f t="shared" ca="1" si="401"/>
        <v>0</v>
      </c>
      <c r="AA683" s="64">
        <f t="shared" ca="1" si="402"/>
        <v>0</v>
      </c>
      <c r="AB683" s="64">
        <f t="shared" ca="1" si="403"/>
        <v>0</v>
      </c>
      <c r="AF683" t="str">
        <f t="shared" ca="1" si="383"/>
        <v>31988</v>
      </c>
      <c r="AG683" s="126">
        <f t="shared" ca="1" si="384"/>
        <v>0</v>
      </c>
      <c r="AH683" s="126">
        <f t="shared" ca="1" si="385"/>
        <v>0</v>
      </c>
      <c r="AI683" s="126">
        <f t="shared" ca="1" si="386"/>
        <v>0</v>
      </c>
      <c r="AJ683" t="str">
        <f t="shared" ca="1" si="387"/>
        <v>52080</v>
      </c>
      <c r="AK683" s="126">
        <f t="shared" ca="1" si="404"/>
        <v>0</v>
      </c>
      <c r="AL683" s="126">
        <f t="shared" ca="1" si="405"/>
        <v>0</v>
      </c>
      <c r="AM683" s="126">
        <f t="shared" ca="1" si="418"/>
        <v>0</v>
      </c>
      <c r="AN683" s="753">
        <f t="shared" ca="1" si="419"/>
        <v>0</v>
      </c>
      <c r="AO683" s="750">
        <f t="shared" ca="1" si="406"/>
        <v>0</v>
      </c>
      <c r="AP683" s="126">
        <f t="shared" ca="1" si="407"/>
        <v>0</v>
      </c>
      <c r="AQ683" s="126">
        <f t="shared" ca="1" si="408"/>
        <v>0</v>
      </c>
      <c r="AR683" s="126">
        <f t="shared" ca="1" si="388"/>
        <v>10000</v>
      </c>
      <c r="AS683" s="750">
        <f t="shared" ca="1" si="389"/>
        <v>0</v>
      </c>
      <c r="AT683" s="750">
        <f t="shared" ca="1" si="390"/>
        <v>0</v>
      </c>
      <c r="AU683" s="126">
        <f t="shared" ca="1" si="409"/>
        <v>0</v>
      </c>
      <c r="AV683" s="126">
        <f t="shared" ca="1" si="410"/>
        <v>0</v>
      </c>
      <c r="AW683" s="126">
        <f t="shared" ca="1" si="391"/>
        <v>10000</v>
      </c>
      <c r="AX683" s="750">
        <f t="shared" ca="1" si="411"/>
        <v>0</v>
      </c>
      <c r="AY683" s="750">
        <f t="shared" ca="1" si="412"/>
        <v>0</v>
      </c>
      <c r="AZ683">
        <f t="shared" si="413"/>
        <v>5750</v>
      </c>
    </row>
    <row r="684" spans="4:52">
      <c r="D684">
        <v>677</v>
      </c>
      <c r="E684" s="6">
        <f t="shared" ca="1" si="392"/>
        <v>32174</v>
      </c>
      <c r="F684" s="7">
        <f t="shared" ca="1" si="393"/>
        <v>0</v>
      </c>
      <c r="G684" s="125">
        <f ca="1">IF('Simulador - 1º Pilar'!$E$99="Sí",IF('Aportaciones PPE'!$B$13&lt;'Aportaciones PPE'!E684,0,F684*$B$8/12),F684*$B$8/12)</f>
        <v>0</v>
      </c>
      <c r="H684" s="125">
        <f t="shared" ca="1" si="382"/>
        <v>0</v>
      </c>
      <c r="I684" s="125">
        <f t="shared" ca="1" si="394"/>
        <v>0</v>
      </c>
      <c r="J684" s="125">
        <f t="shared" ca="1" si="395"/>
        <v>0</v>
      </c>
      <c r="K684" s="125">
        <f t="shared" ca="1" si="396"/>
        <v>0</v>
      </c>
      <c r="L684" s="125">
        <f t="shared" ca="1" si="414"/>
        <v>0</v>
      </c>
      <c r="M684" s="125">
        <f t="shared" ca="1" si="397"/>
        <v>0</v>
      </c>
      <c r="N684" s="125">
        <f t="shared" ca="1" si="398"/>
        <v>0</v>
      </c>
      <c r="R684">
        <f t="shared" si="415"/>
        <v>677</v>
      </c>
      <c r="U684" s="55"/>
      <c r="V684">
        <f t="shared" si="416"/>
        <v>6</v>
      </c>
      <c r="W684">
        <f t="shared" ca="1" si="417"/>
        <v>2080</v>
      </c>
      <c r="X684" s="123">
        <f t="shared" ca="1" si="399"/>
        <v>65898</v>
      </c>
      <c r="Y684" s="64">
        <f t="shared" ca="1" si="400"/>
        <v>0</v>
      </c>
      <c r="Z684" s="64">
        <f t="shared" ca="1" si="401"/>
        <v>0</v>
      </c>
      <c r="AA684" s="64">
        <f t="shared" ca="1" si="402"/>
        <v>0</v>
      </c>
      <c r="AB684" s="64">
        <f t="shared" ca="1" si="403"/>
        <v>0</v>
      </c>
      <c r="AF684" t="str">
        <f t="shared" ca="1" si="383"/>
        <v>21988</v>
      </c>
      <c r="AG684" s="126">
        <f t="shared" ca="1" si="384"/>
        <v>0</v>
      </c>
      <c r="AH684" s="126">
        <f t="shared" ca="1" si="385"/>
        <v>0</v>
      </c>
      <c r="AI684" s="126">
        <f t="shared" ca="1" si="386"/>
        <v>0</v>
      </c>
      <c r="AJ684" t="str">
        <f t="shared" ca="1" si="387"/>
        <v>62080</v>
      </c>
      <c r="AK684" s="126">
        <f t="shared" ca="1" si="404"/>
        <v>0</v>
      </c>
      <c r="AL684" s="126">
        <f t="shared" ca="1" si="405"/>
        <v>0</v>
      </c>
      <c r="AM684" s="126">
        <f t="shared" ca="1" si="418"/>
        <v>0</v>
      </c>
      <c r="AN684" s="753">
        <f t="shared" ca="1" si="419"/>
        <v>0</v>
      </c>
      <c r="AO684" s="750">
        <f t="shared" ca="1" si="406"/>
        <v>0</v>
      </c>
      <c r="AP684" s="126">
        <f t="shared" ca="1" si="407"/>
        <v>0</v>
      </c>
      <c r="AQ684" s="126">
        <f t="shared" ca="1" si="408"/>
        <v>0</v>
      </c>
      <c r="AR684" s="126">
        <f t="shared" ca="1" si="388"/>
        <v>10000</v>
      </c>
      <c r="AS684" s="750">
        <f t="shared" ca="1" si="389"/>
        <v>0</v>
      </c>
      <c r="AT684" s="750">
        <f t="shared" ca="1" si="390"/>
        <v>0</v>
      </c>
      <c r="AU684" s="126">
        <f t="shared" ca="1" si="409"/>
        <v>0</v>
      </c>
      <c r="AV684" s="126">
        <f t="shared" ca="1" si="410"/>
        <v>0</v>
      </c>
      <c r="AW684" s="126">
        <f t="shared" ca="1" si="391"/>
        <v>10000</v>
      </c>
      <c r="AX684" s="750">
        <f t="shared" ca="1" si="411"/>
        <v>0</v>
      </c>
      <c r="AY684" s="750">
        <f t="shared" ca="1" si="412"/>
        <v>0</v>
      </c>
      <c r="AZ684">
        <f t="shared" si="413"/>
        <v>5750</v>
      </c>
    </row>
    <row r="685" spans="4:52">
      <c r="D685">
        <v>678</v>
      </c>
      <c r="E685" s="6">
        <f t="shared" ca="1" si="392"/>
        <v>32143</v>
      </c>
      <c r="F685" s="7">
        <f t="shared" ca="1" si="393"/>
        <v>0</v>
      </c>
      <c r="G685" s="125">
        <f ca="1">IF('Simulador - 1º Pilar'!$E$99="Sí",IF('Aportaciones PPE'!$B$13&lt;'Aportaciones PPE'!E685,0,F685*$B$8/12),F685*$B$8/12)</f>
        <v>0</v>
      </c>
      <c r="H685" s="125">
        <f t="shared" ca="1" si="382"/>
        <v>0</v>
      </c>
      <c r="I685" s="125">
        <f t="shared" ca="1" si="394"/>
        <v>0</v>
      </c>
      <c r="J685" s="125">
        <f t="shared" ca="1" si="395"/>
        <v>0</v>
      </c>
      <c r="K685" s="125">
        <f t="shared" ca="1" si="396"/>
        <v>0</v>
      </c>
      <c r="L685" s="125">
        <f t="shared" ca="1" si="414"/>
        <v>0</v>
      </c>
      <c r="M685" s="125">
        <f t="shared" ca="1" si="397"/>
        <v>0</v>
      </c>
      <c r="N685" s="125">
        <f t="shared" ca="1" si="398"/>
        <v>0</v>
      </c>
      <c r="R685">
        <f t="shared" si="415"/>
        <v>678</v>
      </c>
      <c r="U685" s="55"/>
      <c r="V685">
        <f t="shared" si="416"/>
        <v>7</v>
      </c>
      <c r="W685">
        <f t="shared" ca="1" si="417"/>
        <v>2080</v>
      </c>
      <c r="X685" s="123">
        <f t="shared" ca="1" si="399"/>
        <v>65928</v>
      </c>
      <c r="Y685" s="64">
        <f t="shared" ca="1" si="400"/>
        <v>0</v>
      </c>
      <c r="Z685" s="64">
        <f t="shared" ca="1" si="401"/>
        <v>0</v>
      </c>
      <c r="AA685" s="64">
        <f t="shared" ca="1" si="402"/>
        <v>0</v>
      </c>
      <c r="AB685" s="64">
        <f t="shared" ca="1" si="403"/>
        <v>0</v>
      </c>
      <c r="AF685" t="str">
        <f t="shared" ca="1" si="383"/>
        <v>11988</v>
      </c>
      <c r="AG685" s="126">
        <f t="shared" ca="1" si="384"/>
        <v>0</v>
      </c>
      <c r="AH685" s="126">
        <f t="shared" ca="1" si="385"/>
        <v>0</v>
      </c>
      <c r="AI685" s="126">
        <f t="shared" ca="1" si="386"/>
        <v>0</v>
      </c>
      <c r="AJ685" t="str">
        <f t="shared" ca="1" si="387"/>
        <v>72080</v>
      </c>
      <c r="AK685" s="126">
        <f t="shared" ca="1" si="404"/>
        <v>0</v>
      </c>
      <c r="AL685" s="126">
        <f t="shared" ca="1" si="405"/>
        <v>0</v>
      </c>
      <c r="AM685" s="126">
        <f t="shared" ca="1" si="418"/>
        <v>0</v>
      </c>
      <c r="AN685" s="753">
        <f t="shared" ca="1" si="419"/>
        <v>0</v>
      </c>
      <c r="AO685" s="750">
        <f t="shared" ca="1" si="406"/>
        <v>0</v>
      </c>
      <c r="AP685" s="126">
        <f t="shared" ca="1" si="407"/>
        <v>0</v>
      </c>
      <c r="AQ685" s="126">
        <f t="shared" ca="1" si="408"/>
        <v>0</v>
      </c>
      <c r="AR685" s="126">
        <f t="shared" ca="1" si="388"/>
        <v>10000</v>
      </c>
      <c r="AS685" s="750">
        <f t="shared" ca="1" si="389"/>
        <v>0</v>
      </c>
      <c r="AT685" s="750">
        <f t="shared" ca="1" si="390"/>
        <v>0</v>
      </c>
      <c r="AU685" s="126">
        <f t="shared" ca="1" si="409"/>
        <v>0</v>
      </c>
      <c r="AV685" s="126">
        <f t="shared" ca="1" si="410"/>
        <v>0</v>
      </c>
      <c r="AW685" s="126">
        <f t="shared" ca="1" si="391"/>
        <v>10000</v>
      </c>
      <c r="AX685" s="750">
        <f t="shared" ca="1" si="411"/>
        <v>0</v>
      </c>
      <c r="AY685" s="750">
        <f t="shared" ca="1" si="412"/>
        <v>0</v>
      </c>
      <c r="AZ685">
        <f t="shared" si="413"/>
        <v>5750</v>
      </c>
    </row>
    <row r="686" spans="4:52">
      <c r="D686">
        <v>679</v>
      </c>
      <c r="E686" s="6">
        <f t="shared" ca="1" si="392"/>
        <v>32112</v>
      </c>
      <c r="F686" s="7">
        <f t="shared" ca="1" si="393"/>
        <v>0</v>
      </c>
      <c r="G686" s="125">
        <f ca="1">IF('Simulador - 1º Pilar'!$E$99="Sí",IF('Aportaciones PPE'!$B$13&lt;'Aportaciones PPE'!E686,0,F686*$B$8/12),F686*$B$8/12)</f>
        <v>0</v>
      </c>
      <c r="H686" s="125">
        <f t="shared" ca="1" si="382"/>
        <v>0</v>
      </c>
      <c r="I686" s="125">
        <f t="shared" ca="1" si="394"/>
        <v>0</v>
      </c>
      <c r="J686" s="125">
        <f t="shared" ca="1" si="395"/>
        <v>0</v>
      </c>
      <c r="K686" s="125">
        <f t="shared" ca="1" si="396"/>
        <v>0</v>
      </c>
      <c r="L686" s="125">
        <f t="shared" ca="1" si="414"/>
        <v>0</v>
      </c>
      <c r="M686" s="125">
        <f t="shared" ca="1" si="397"/>
        <v>0</v>
      </c>
      <c r="N686" s="125">
        <f t="shared" ca="1" si="398"/>
        <v>0</v>
      </c>
      <c r="R686">
        <f t="shared" si="415"/>
        <v>679</v>
      </c>
      <c r="U686" s="55"/>
      <c r="V686">
        <f t="shared" si="416"/>
        <v>8</v>
      </c>
      <c r="W686">
        <f t="shared" ca="1" si="417"/>
        <v>2080</v>
      </c>
      <c r="X686" s="123">
        <f t="shared" ca="1" si="399"/>
        <v>65959</v>
      </c>
      <c r="Y686" s="64">
        <f t="shared" ca="1" si="400"/>
        <v>0</v>
      </c>
      <c r="Z686" s="64">
        <f t="shared" ca="1" si="401"/>
        <v>0</v>
      </c>
      <c r="AA686" s="64">
        <f t="shared" ca="1" si="402"/>
        <v>0</v>
      </c>
      <c r="AB686" s="64">
        <f t="shared" ca="1" si="403"/>
        <v>0</v>
      </c>
      <c r="AF686" t="str">
        <f t="shared" ca="1" si="383"/>
        <v>121987</v>
      </c>
      <c r="AG686" s="126">
        <f t="shared" ca="1" si="384"/>
        <v>0</v>
      </c>
      <c r="AH686" s="126">
        <f t="shared" ca="1" si="385"/>
        <v>0</v>
      </c>
      <c r="AI686" s="126">
        <f t="shared" ca="1" si="386"/>
        <v>0</v>
      </c>
      <c r="AJ686" t="str">
        <f t="shared" ca="1" si="387"/>
        <v>82080</v>
      </c>
      <c r="AK686" s="126">
        <f t="shared" ca="1" si="404"/>
        <v>0</v>
      </c>
      <c r="AL686" s="126">
        <f t="shared" ca="1" si="405"/>
        <v>0</v>
      </c>
      <c r="AM686" s="126">
        <f t="shared" ca="1" si="418"/>
        <v>0</v>
      </c>
      <c r="AN686" s="753">
        <f t="shared" ca="1" si="419"/>
        <v>0</v>
      </c>
      <c r="AO686" s="750">
        <f t="shared" ca="1" si="406"/>
        <v>0</v>
      </c>
      <c r="AP686" s="126">
        <f t="shared" ca="1" si="407"/>
        <v>0</v>
      </c>
      <c r="AQ686" s="126">
        <f t="shared" ca="1" si="408"/>
        <v>0</v>
      </c>
      <c r="AR686" s="126">
        <f t="shared" ca="1" si="388"/>
        <v>10000</v>
      </c>
      <c r="AS686" s="750">
        <f t="shared" ca="1" si="389"/>
        <v>0</v>
      </c>
      <c r="AT686" s="750">
        <f t="shared" ca="1" si="390"/>
        <v>0</v>
      </c>
      <c r="AU686" s="126">
        <f t="shared" ca="1" si="409"/>
        <v>0</v>
      </c>
      <c r="AV686" s="126">
        <f t="shared" ca="1" si="410"/>
        <v>0</v>
      </c>
      <c r="AW686" s="126">
        <f t="shared" ca="1" si="391"/>
        <v>10000</v>
      </c>
      <c r="AX686" s="750">
        <f t="shared" ca="1" si="411"/>
        <v>0</v>
      </c>
      <c r="AY686" s="750">
        <f t="shared" ca="1" si="412"/>
        <v>0</v>
      </c>
      <c r="AZ686">
        <f t="shared" si="413"/>
        <v>5750</v>
      </c>
    </row>
    <row r="687" spans="4:52">
      <c r="D687">
        <v>680</v>
      </c>
      <c r="E687" s="6">
        <f t="shared" ca="1" si="392"/>
        <v>32082</v>
      </c>
      <c r="F687" s="7">
        <f t="shared" ca="1" si="393"/>
        <v>0</v>
      </c>
      <c r="G687" s="125">
        <f ca="1">IF('Simulador - 1º Pilar'!$E$99="Sí",IF('Aportaciones PPE'!$B$13&lt;'Aportaciones PPE'!E687,0,F687*$B$8/12),F687*$B$8/12)</f>
        <v>0</v>
      </c>
      <c r="H687" s="125">
        <f t="shared" ca="1" si="382"/>
        <v>0</v>
      </c>
      <c r="I687" s="125">
        <f t="shared" ca="1" si="394"/>
        <v>0</v>
      </c>
      <c r="J687" s="125">
        <f t="shared" ca="1" si="395"/>
        <v>0</v>
      </c>
      <c r="K687" s="125">
        <f t="shared" ca="1" si="396"/>
        <v>0</v>
      </c>
      <c r="L687" s="125">
        <f t="shared" ca="1" si="414"/>
        <v>0</v>
      </c>
      <c r="M687" s="125">
        <f t="shared" ca="1" si="397"/>
        <v>0</v>
      </c>
      <c r="N687" s="125">
        <f t="shared" ca="1" si="398"/>
        <v>0</v>
      </c>
      <c r="R687">
        <f t="shared" si="415"/>
        <v>680</v>
      </c>
      <c r="U687" s="55"/>
      <c r="V687">
        <f t="shared" si="416"/>
        <v>9</v>
      </c>
      <c r="W687">
        <f t="shared" ca="1" si="417"/>
        <v>2080</v>
      </c>
      <c r="X687" s="123">
        <f t="shared" ca="1" si="399"/>
        <v>65990</v>
      </c>
      <c r="Y687" s="64">
        <f t="shared" ca="1" si="400"/>
        <v>0</v>
      </c>
      <c r="Z687" s="64">
        <f t="shared" ca="1" si="401"/>
        <v>0</v>
      </c>
      <c r="AA687" s="64">
        <f t="shared" ca="1" si="402"/>
        <v>0</v>
      </c>
      <c r="AB687" s="64">
        <f t="shared" ca="1" si="403"/>
        <v>0</v>
      </c>
      <c r="AF687" t="str">
        <f t="shared" ca="1" si="383"/>
        <v>111987</v>
      </c>
      <c r="AG687" s="126">
        <f t="shared" ca="1" si="384"/>
        <v>0</v>
      </c>
      <c r="AH687" s="126">
        <f t="shared" ca="1" si="385"/>
        <v>0</v>
      </c>
      <c r="AI687" s="126">
        <f t="shared" ca="1" si="386"/>
        <v>0</v>
      </c>
      <c r="AJ687" t="str">
        <f t="shared" ca="1" si="387"/>
        <v>92080</v>
      </c>
      <c r="AK687" s="126">
        <f t="shared" ca="1" si="404"/>
        <v>0</v>
      </c>
      <c r="AL687" s="126">
        <f t="shared" ca="1" si="405"/>
        <v>0</v>
      </c>
      <c r="AM687" s="126">
        <f t="shared" ca="1" si="418"/>
        <v>0</v>
      </c>
      <c r="AN687" s="753">
        <f t="shared" ca="1" si="419"/>
        <v>0</v>
      </c>
      <c r="AO687" s="750">
        <f t="shared" ca="1" si="406"/>
        <v>0</v>
      </c>
      <c r="AP687" s="126">
        <f t="shared" ca="1" si="407"/>
        <v>0</v>
      </c>
      <c r="AQ687" s="126">
        <f t="shared" ca="1" si="408"/>
        <v>0</v>
      </c>
      <c r="AR687" s="126">
        <f t="shared" ca="1" si="388"/>
        <v>10000</v>
      </c>
      <c r="AS687" s="750">
        <f t="shared" ca="1" si="389"/>
        <v>0</v>
      </c>
      <c r="AT687" s="750">
        <f t="shared" ca="1" si="390"/>
        <v>0</v>
      </c>
      <c r="AU687" s="126">
        <f t="shared" ca="1" si="409"/>
        <v>0</v>
      </c>
      <c r="AV687" s="126">
        <f t="shared" ca="1" si="410"/>
        <v>0</v>
      </c>
      <c r="AW687" s="126">
        <f t="shared" ca="1" si="391"/>
        <v>10000</v>
      </c>
      <c r="AX687" s="750">
        <f t="shared" ca="1" si="411"/>
        <v>0</v>
      </c>
      <c r="AY687" s="750">
        <f t="shared" ca="1" si="412"/>
        <v>0</v>
      </c>
      <c r="AZ687">
        <f t="shared" si="413"/>
        <v>5750</v>
      </c>
    </row>
    <row r="688" spans="4:52">
      <c r="D688">
        <v>681</v>
      </c>
      <c r="E688" s="6">
        <f t="shared" ca="1" si="392"/>
        <v>32051</v>
      </c>
      <c r="F688" s="7">
        <f t="shared" ca="1" si="393"/>
        <v>0</v>
      </c>
      <c r="G688" s="125">
        <f ca="1">IF('Simulador - 1º Pilar'!$E$99="Sí",IF('Aportaciones PPE'!$B$13&lt;'Aportaciones PPE'!E688,0,F688*$B$8/12),F688*$B$8/12)</f>
        <v>0</v>
      </c>
      <c r="H688" s="125">
        <f t="shared" ca="1" si="382"/>
        <v>0</v>
      </c>
      <c r="I688" s="125">
        <f t="shared" ca="1" si="394"/>
        <v>0</v>
      </c>
      <c r="J688" s="125">
        <f t="shared" ca="1" si="395"/>
        <v>0</v>
      </c>
      <c r="K688" s="125">
        <f t="shared" ca="1" si="396"/>
        <v>0</v>
      </c>
      <c r="L688" s="125">
        <f t="shared" ca="1" si="414"/>
        <v>0</v>
      </c>
      <c r="M688" s="125">
        <f t="shared" ca="1" si="397"/>
        <v>0</v>
      </c>
      <c r="N688" s="125">
        <f t="shared" ca="1" si="398"/>
        <v>0</v>
      </c>
      <c r="R688">
        <f t="shared" si="415"/>
        <v>681</v>
      </c>
      <c r="U688" s="55"/>
      <c r="V688">
        <f t="shared" si="416"/>
        <v>10</v>
      </c>
      <c r="W688">
        <f t="shared" ca="1" si="417"/>
        <v>2080</v>
      </c>
      <c r="X688" s="123">
        <f t="shared" ca="1" si="399"/>
        <v>66020</v>
      </c>
      <c r="Y688" s="64">
        <f t="shared" ca="1" si="400"/>
        <v>0</v>
      </c>
      <c r="Z688" s="64">
        <f t="shared" ca="1" si="401"/>
        <v>0</v>
      </c>
      <c r="AA688" s="64">
        <f t="shared" ca="1" si="402"/>
        <v>0</v>
      </c>
      <c r="AB688" s="64">
        <f t="shared" ca="1" si="403"/>
        <v>0</v>
      </c>
      <c r="AF688" t="str">
        <f t="shared" ca="1" si="383"/>
        <v>101987</v>
      </c>
      <c r="AG688" s="126">
        <f t="shared" ca="1" si="384"/>
        <v>0</v>
      </c>
      <c r="AH688" s="126">
        <f t="shared" ca="1" si="385"/>
        <v>0</v>
      </c>
      <c r="AI688" s="126">
        <f t="shared" ca="1" si="386"/>
        <v>0</v>
      </c>
      <c r="AJ688" t="str">
        <f t="shared" ca="1" si="387"/>
        <v>102080</v>
      </c>
      <c r="AK688" s="126">
        <f t="shared" ca="1" si="404"/>
        <v>0</v>
      </c>
      <c r="AL688" s="126">
        <f t="shared" ca="1" si="405"/>
        <v>0</v>
      </c>
      <c r="AM688" s="126">
        <f t="shared" ca="1" si="418"/>
        <v>0</v>
      </c>
      <c r="AN688" s="753">
        <f t="shared" ca="1" si="419"/>
        <v>0</v>
      </c>
      <c r="AO688" s="750">
        <f t="shared" ca="1" si="406"/>
        <v>0</v>
      </c>
      <c r="AP688" s="126">
        <f t="shared" ca="1" si="407"/>
        <v>0</v>
      </c>
      <c r="AQ688" s="126">
        <f t="shared" ca="1" si="408"/>
        <v>0</v>
      </c>
      <c r="AR688" s="126">
        <f t="shared" ca="1" si="388"/>
        <v>10000</v>
      </c>
      <c r="AS688" s="750">
        <f t="shared" ca="1" si="389"/>
        <v>0</v>
      </c>
      <c r="AT688" s="750">
        <f t="shared" ca="1" si="390"/>
        <v>0</v>
      </c>
      <c r="AU688" s="126">
        <f t="shared" ca="1" si="409"/>
        <v>0</v>
      </c>
      <c r="AV688" s="126">
        <f t="shared" ca="1" si="410"/>
        <v>0</v>
      </c>
      <c r="AW688" s="126">
        <f t="shared" ca="1" si="391"/>
        <v>10000</v>
      </c>
      <c r="AX688" s="750">
        <f t="shared" ca="1" si="411"/>
        <v>0</v>
      </c>
      <c r="AY688" s="750">
        <f t="shared" ca="1" si="412"/>
        <v>0</v>
      </c>
      <c r="AZ688">
        <f t="shared" si="413"/>
        <v>5750</v>
      </c>
    </row>
    <row r="689" spans="4:52">
      <c r="D689">
        <v>682</v>
      </c>
      <c r="E689" s="6">
        <f t="shared" ca="1" si="392"/>
        <v>32021</v>
      </c>
      <c r="F689" s="7">
        <f t="shared" ca="1" si="393"/>
        <v>0</v>
      </c>
      <c r="G689" s="125">
        <f ca="1">IF('Simulador - 1º Pilar'!$E$99="Sí",IF('Aportaciones PPE'!$B$13&lt;'Aportaciones PPE'!E689,0,F689*$B$8/12),F689*$B$8/12)</f>
        <v>0</v>
      </c>
      <c r="H689" s="125">
        <f t="shared" ca="1" si="382"/>
        <v>0</v>
      </c>
      <c r="I689" s="125">
        <f t="shared" ca="1" si="394"/>
        <v>0</v>
      </c>
      <c r="J689" s="125">
        <f t="shared" ca="1" si="395"/>
        <v>0</v>
      </c>
      <c r="K689" s="125">
        <f t="shared" ca="1" si="396"/>
        <v>0</v>
      </c>
      <c r="L689" s="125">
        <f t="shared" ca="1" si="414"/>
        <v>0</v>
      </c>
      <c r="M689" s="125">
        <f t="shared" ca="1" si="397"/>
        <v>0</v>
      </c>
      <c r="N689" s="125">
        <f t="shared" ca="1" si="398"/>
        <v>0</v>
      </c>
      <c r="R689">
        <f t="shared" si="415"/>
        <v>682</v>
      </c>
      <c r="U689" s="55"/>
      <c r="V689">
        <f t="shared" si="416"/>
        <v>11</v>
      </c>
      <c r="W689">
        <f t="shared" ca="1" si="417"/>
        <v>2080</v>
      </c>
      <c r="X689" s="123">
        <f t="shared" ca="1" si="399"/>
        <v>66051</v>
      </c>
      <c r="Y689" s="64">
        <f t="shared" ca="1" si="400"/>
        <v>0</v>
      </c>
      <c r="Z689" s="64">
        <f t="shared" ca="1" si="401"/>
        <v>0</v>
      </c>
      <c r="AA689" s="64">
        <f t="shared" ca="1" si="402"/>
        <v>0</v>
      </c>
      <c r="AB689" s="64">
        <f t="shared" ca="1" si="403"/>
        <v>0</v>
      </c>
      <c r="AF689" t="str">
        <f t="shared" ca="1" si="383"/>
        <v>91987</v>
      </c>
      <c r="AG689" s="126">
        <f t="shared" ca="1" si="384"/>
        <v>0</v>
      </c>
      <c r="AH689" s="126">
        <f t="shared" ca="1" si="385"/>
        <v>0</v>
      </c>
      <c r="AI689" s="126">
        <f t="shared" ca="1" si="386"/>
        <v>0</v>
      </c>
      <c r="AJ689" t="str">
        <f t="shared" ca="1" si="387"/>
        <v>112080</v>
      </c>
      <c r="AK689" s="126">
        <f t="shared" ca="1" si="404"/>
        <v>0</v>
      </c>
      <c r="AL689" s="126">
        <f t="shared" ca="1" si="405"/>
        <v>0</v>
      </c>
      <c r="AM689" s="126">
        <f t="shared" ca="1" si="418"/>
        <v>0</v>
      </c>
      <c r="AN689" s="753">
        <f t="shared" ca="1" si="419"/>
        <v>0</v>
      </c>
      <c r="AO689" s="750">
        <f t="shared" ca="1" si="406"/>
        <v>0</v>
      </c>
      <c r="AP689" s="126">
        <f t="shared" ca="1" si="407"/>
        <v>0</v>
      </c>
      <c r="AQ689" s="126">
        <f t="shared" ca="1" si="408"/>
        <v>0</v>
      </c>
      <c r="AR689" s="126">
        <f t="shared" ca="1" si="388"/>
        <v>10000</v>
      </c>
      <c r="AS689" s="750">
        <f t="shared" ca="1" si="389"/>
        <v>0</v>
      </c>
      <c r="AT689" s="750">
        <f t="shared" ca="1" si="390"/>
        <v>0</v>
      </c>
      <c r="AU689" s="126">
        <f t="shared" ca="1" si="409"/>
        <v>0</v>
      </c>
      <c r="AV689" s="126">
        <f t="shared" ca="1" si="410"/>
        <v>0</v>
      </c>
      <c r="AW689" s="126">
        <f t="shared" ca="1" si="391"/>
        <v>10000</v>
      </c>
      <c r="AX689" s="750">
        <f t="shared" ca="1" si="411"/>
        <v>0</v>
      </c>
      <c r="AY689" s="750">
        <f t="shared" ca="1" si="412"/>
        <v>0</v>
      </c>
      <c r="AZ689">
        <f t="shared" si="413"/>
        <v>5750</v>
      </c>
    </row>
    <row r="690" spans="4:52">
      <c r="D690">
        <v>683</v>
      </c>
      <c r="E690" s="6">
        <f t="shared" ca="1" si="392"/>
        <v>31990</v>
      </c>
      <c r="F690" s="7">
        <f t="shared" ca="1" si="393"/>
        <v>0</v>
      </c>
      <c r="G690" s="125">
        <f ca="1">IF('Simulador - 1º Pilar'!$E$99="Sí",IF('Aportaciones PPE'!$B$13&lt;'Aportaciones PPE'!E690,0,F690*$B$8/12),F690*$B$8/12)</f>
        <v>0</v>
      </c>
      <c r="H690" s="125">
        <f t="shared" ca="1" si="382"/>
        <v>0</v>
      </c>
      <c r="I690" s="125">
        <f t="shared" ca="1" si="394"/>
        <v>0</v>
      </c>
      <c r="J690" s="125">
        <f t="shared" ca="1" si="395"/>
        <v>0</v>
      </c>
      <c r="K690" s="125">
        <f t="shared" ca="1" si="396"/>
        <v>0</v>
      </c>
      <c r="L690" s="125">
        <f t="shared" ca="1" si="414"/>
        <v>0</v>
      </c>
      <c r="M690" s="125">
        <f t="shared" ca="1" si="397"/>
        <v>0</v>
      </c>
      <c r="N690" s="125">
        <f t="shared" ca="1" si="398"/>
        <v>0</v>
      </c>
      <c r="R690">
        <f t="shared" si="415"/>
        <v>683</v>
      </c>
      <c r="U690" s="55"/>
      <c r="V690">
        <f t="shared" si="416"/>
        <v>12</v>
      </c>
      <c r="W690">
        <f t="shared" ca="1" si="417"/>
        <v>2080</v>
      </c>
      <c r="X690" s="123">
        <f t="shared" ca="1" si="399"/>
        <v>66081</v>
      </c>
      <c r="Y690" s="64">
        <f t="shared" ca="1" si="400"/>
        <v>0</v>
      </c>
      <c r="Z690" s="64">
        <f t="shared" ca="1" si="401"/>
        <v>0</v>
      </c>
      <c r="AA690" s="64">
        <f t="shared" ca="1" si="402"/>
        <v>0</v>
      </c>
      <c r="AB690" s="64">
        <f t="shared" ca="1" si="403"/>
        <v>0</v>
      </c>
      <c r="AF690" t="str">
        <f t="shared" ca="1" si="383"/>
        <v>81987</v>
      </c>
      <c r="AG690" s="126">
        <f t="shared" ca="1" si="384"/>
        <v>0</v>
      </c>
      <c r="AH690" s="126">
        <f t="shared" ca="1" si="385"/>
        <v>0</v>
      </c>
      <c r="AI690" s="126">
        <f t="shared" ca="1" si="386"/>
        <v>0</v>
      </c>
      <c r="AJ690" t="str">
        <f t="shared" ca="1" si="387"/>
        <v>122080</v>
      </c>
      <c r="AK690" s="126">
        <f t="shared" ca="1" si="404"/>
        <v>0</v>
      </c>
      <c r="AL690" s="126">
        <f t="shared" ca="1" si="405"/>
        <v>0</v>
      </c>
      <c r="AM690" s="126">
        <f t="shared" ca="1" si="418"/>
        <v>0</v>
      </c>
      <c r="AN690" s="753">
        <f t="shared" ca="1" si="419"/>
        <v>0</v>
      </c>
      <c r="AO690" s="750">
        <f t="shared" ca="1" si="406"/>
        <v>0</v>
      </c>
      <c r="AP690" s="126">
        <f t="shared" ca="1" si="407"/>
        <v>0</v>
      </c>
      <c r="AQ690" s="126">
        <f t="shared" ca="1" si="408"/>
        <v>0</v>
      </c>
      <c r="AR690" s="126">
        <f t="shared" ca="1" si="388"/>
        <v>10000</v>
      </c>
      <c r="AS690" s="750">
        <f t="shared" ca="1" si="389"/>
        <v>0</v>
      </c>
      <c r="AT690" s="750">
        <f t="shared" ca="1" si="390"/>
        <v>0</v>
      </c>
      <c r="AU690" s="126">
        <f t="shared" ca="1" si="409"/>
        <v>0</v>
      </c>
      <c r="AV690" s="126">
        <f t="shared" ca="1" si="410"/>
        <v>0</v>
      </c>
      <c r="AW690" s="126">
        <f t="shared" ca="1" si="391"/>
        <v>10000</v>
      </c>
      <c r="AX690" s="750">
        <f t="shared" ca="1" si="411"/>
        <v>0</v>
      </c>
      <c r="AY690" s="750">
        <f t="shared" ca="1" si="412"/>
        <v>0</v>
      </c>
      <c r="AZ690">
        <f t="shared" si="413"/>
        <v>5750</v>
      </c>
    </row>
    <row r="691" spans="4:52">
      <c r="D691">
        <v>684</v>
      </c>
      <c r="E691" s="6">
        <f t="shared" ca="1" si="392"/>
        <v>31959</v>
      </c>
      <c r="F691" s="7">
        <f t="shared" ca="1" si="393"/>
        <v>0</v>
      </c>
      <c r="G691" s="125">
        <f ca="1">IF('Simulador - 1º Pilar'!$E$99="Sí",IF('Aportaciones PPE'!$B$13&lt;'Aportaciones PPE'!E691,0,F691*$B$8/12),F691*$B$8/12)</f>
        <v>0</v>
      </c>
      <c r="H691" s="125">
        <f t="shared" ca="1" si="382"/>
        <v>0</v>
      </c>
      <c r="I691" s="125">
        <f t="shared" ca="1" si="394"/>
        <v>0</v>
      </c>
      <c r="J691" s="125">
        <f t="shared" ca="1" si="395"/>
        <v>0</v>
      </c>
      <c r="K691" s="125">
        <f t="shared" ca="1" si="396"/>
        <v>0</v>
      </c>
      <c r="L691" s="125">
        <f t="shared" ca="1" si="414"/>
        <v>0</v>
      </c>
      <c r="M691" s="125">
        <f t="shared" ca="1" si="397"/>
        <v>0</v>
      </c>
      <c r="N691" s="125">
        <f t="shared" ca="1" si="398"/>
        <v>0</v>
      </c>
      <c r="R691">
        <f t="shared" si="415"/>
        <v>684</v>
      </c>
      <c r="U691" s="55"/>
      <c r="V691">
        <f t="shared" si="416"/>
        <v>1</v>
      </c>
      <c r="W691">
        <f t="shared" ca="1" si="417"/>
        <v>2081</v>
      </c>
      <c r="X691" s="123">
        <f t="shared" ca="1" si="399"/>
        <v>66112</v>
      </c>
      <c r="Y691" s="64">
        <f t="shared" ca="1" si="400"/>
        <v>0</v>
      </c>
      <c r="Z691" s="64">
        <f t="shared" ca="1" si="401"/>
        <v>0</v>
      </c>
      <c r="AA691" s="64">
        <f t="shared" ca="1" si="402"/>
        <v>0</v>
      </c>
      <c r="AB691" s="64">
        <f t="shared" ca="1" si="403"/>
        <v>0</v>
      </c>
      <c r="AF691" t="str">
        <f t="shared" ca="1" si="383"/>
        <v>71987</v>
      </c>
      <c r="AG691" s="126">
        <f t="shared" ca="1" si="384"/>
        <v>0</v>
      </c>
      <c r="AH691" s="126">
        <f t="shared" ca="1" si="385"/>
        <v>0</v>
      </c>
      <c r="AI691" s="126">
        <f t="shared" ca="1" si="386"/>
        <v>0</v>
      </c>
      <c r="AJ691" t="str">
        <f t="shared" ca="1" si="387"/>
        <v>12081</v>
      </c>
      <c r="AK691" s="126">
        <f t="shared" ca="1" si="404"/>
        <v>0</v>
      </c>
      <c r="AL691" s="126">
        <f t="shared" ca="1" si="405"/>
        <v>0</v>
      </c>
      <c r="AM691" s="126">
        <f t="shared" ca="1" si="418"/>
        <v>0</v>
      </c>
      <c r="AN691" s="753">
        <f t="shared" ca="1" si="419"/>
        <v>0</v>
      </c>
      <c r="AO691" s="750">
        <f t="shared" ca="1" si="406"/>
        <v>0</v>
      </c>
      <c r="AP691" s="126">
        <f t="shared" ca="1" si="407"/>
        <v>0</v>
      </c>
      <c r="AQ691" s="126">
        <f t="shared" ca="1" si="408"/>
        <v>0</v>
      </c>
      <c r="AR691" s="126">
        <f t="shared" ca="1" si="388"/>
        <v>10000</v>
      </c>
      <c r="AS691" s="750">
        <f t="shared" ca="1" si="389"/>
        <v>0</v>
      </c>
      <c r="AT691" s="750">
        <f t="shared" ca="1" si="390"/>
        <v>0</v>
      </c>
      <c r="AU691" s="126">
        <f t="shared" ca="1" si="409"/>
        <v>0</v>
      </c>
      <c r="AV691" s="126">
        <f t="shared" ca="1" si="410"/>
        <v>0</v>
      </c>
      <c r="AW691" s="126">
        <f t="shared" ca="1" si="391"/>
        <v>10000</v>
      </c>
      <c r="AX691" s="750">
        <f t="shared" ca="1" si="411"/>
        <v>0</v>
      </c>
      <c r="AY691" s="750">
        <f t="shared" ca="1" si="412"/>
        <v>0</v>
      </c>
      <c r="AZ691">
        <f t="shared" si="413"/>
        <v>5750</v>
      </c>
    </row>
    <row r="692" spans="4:52">
      <c r="D692">
        <v>685</v>
      </c>
      <c r="E692" s="6">
        <f t="shared" ca="1" si="392"/>
        <v>31929</v>
      </c>
      <c r="F692" s="7">
        <f t="shared" ca="1" si="393"/>
        <v>0</v>
      </c>
      <c r="G692" s="125">
        <f ca="1">IF('Simulador - 1º Pilar'!$E$99="Sí",IF('Aportaciones PPE'!$B$13&lt;'Aportaciones PPE'!E692,0,F692*$B$8/12),F692*$B$8/12)</f>
        <v>0</v>
      </c>
      <c r="H692" s="125">
        <f t="shared" ca="1" si="382"/>
        <v>0</v>
      </c>
      <c r="I692" s="125">
        <f t="shared" ca="1" si="394"/>
        <v>0</v>
      </c>
      <c r="J692" s="125">
        <f t="shared" ca="1" si="395"/>
        <v>0</v>
      </c>
      <c r="K692" s="125">
        <f t="shared" ca="1" si="396"/>
        <v>0</v>
      </c>
      <c r="L692" s="125">
        <f t="shared" ca="1" si="414"/>
        <v>0</v>
      </c>
      <c r="M692" s="125">
        <f t="shared" ca="1" si="397"/>
        <v>0</v>
      </c>
      <c r="N692" s="125">
        <f t="shared" ca="1" si="398"/>
        <v>0</v>
      </c>
      <c r="R692">
        <f t="shared" si="415"/>
        <v>685</v>
      </c>
      <c r="U692" s="55"/>
      <c r="V692">
        <f t="shared" si="416"/>
        <v>2</v>
      </c>
      <c r="W692">
        <f t="shared" ca="1" si="417"/>
        <v>2081</v>
      </c>
      <c r="X692" s="123">
        <f t="shared" ca="1" si="399"/>
        <v>66143</v>
      </c>
      <c r="Y692" s="64">
        <f t="shared" ca="1" si="400"/>
        <v>0</v>
      </c>
      <c r="Z692" s="64">
        <f t="shared" ca="1" si="401"/>
        <v>0</v>
      </c>
      <c r="AA692" s="64">
        <f t="shared" ca="1" si="402"/>
        <v>0</v>
      </c>
      <c r="AB692" s="64">
        <f t="shared" ca="1" si="403"/>
        <v>0</v>
      </c>
      <c r="AF692" t="str">
        <f t="shared" ca="1" si="383"/>
        <v>61987</v>
      </c>
      <c r="AG692" s="126">
        <f t="shared" ca="1" si="384"/>
        <v>0</v>
      </c>
      <c r="AH692" s="126">
        <f t="shared" ca="1" si="385"/>
        <v>0</v>
      </c>
      <c r="AI692" s="126">
        <f t="shared" ca="1" si="386"/>
        <v>0</v>
      </c>
      <c r="AJ692" t="str">
        <f t="shared" ca="1" si="387"/>
        <v>22081</v>
      </c>
      <c r="AK692" s="126">
        <f t="shared" ca="1" si="404"/>
        <v>0</v>
      </c>
      <c r="AL692" s="126">
        <f t="shared" ca="1" si="405"/>
        <v>0</v>
      </c>
      <c r="AM692" s="126">
        <f t="shared" ca="1" si="418"/>
        <v>0</v>
      </c>
      <c r="AN692" s="753">
        <f t="shared" ca="1" si="419"/>
        <v>0</v>
      </c>
      <c r="AO692" s="750">
        <f t="shared" ca="1" si="406"/>
        <v>0</v>
      </c>
      <c r="AP692" s="126">
        <f t="shared" ca="1" si="407"/>
        <v>0</v>
      </c>
      <c r="AQ692" s="126">
        <f t="shared" ca="1" si="408"/>
        <v>0</v>
      </c>
      <c r="AR692" s="126">
        <f t="shared" ca="1" si="388"/>
        <v>10000</v>
      </c>
      <c r="AS692" s="750">
        <f t="shared" ca="1" si="389"/>
        <v>0</v>
      </c>
      <c r="AT692" s="750">
        <f t="shared" ca="1" si="390"/>
        <v>0</v>
      </c>
      <c r="AU692" s="126">
        <f t="shared" ca="1" si="409"/>
        <v>0</v>
      </c>
      <c r="AV692" s="126">
        <f t="shared" ca="1" si="410"/>
        <v>0</v>
      </c>
      <c r="AW692" s="126">
        <f t="shared" ca="1" si="391"/>
        <v>10000</v>
      </c>
      <c r="AX692" s="750">
        <f t="shared" ca="1" si="411"/>
        <v>0</v>
      </c>
      <c r="AY692" s="750">
        <f t="shared" ca="1" si="412"/>
        <v>0</v>
      </c>
      <c r="AZ692">
        <f t="shared" si="413"/>
        <v>5750</v>
      </c>
    </row>
    <row r="693" spans="4:52">
      <c r="D693">
        <v>686</v>
      </c>
      <c r="E693" s="6">
        <f t="shared" ca="1" si="392"/>
        <v>31898</v>
      </c>
      <c r="F693" s="7">
        <f t="shared" ca="1" si="393"/>
        <v>0</v>
      </c>
      <c r="G693" s="125">
        <f ca="1">IF('Simulador - 1º Pilar'!$E$99="Sí",IF('Aportaciones PPE'!$B$13&lt;'Aportaciones PPE'!E693,0,F693*$B$8/12),F693*$B$8/12)</f>
        <v>0</v>
      </c>
      <c r="H693" s="125">
        <f t="shared" ca="1" si="382"/>
        <v>0</v>
      </c>
      <c r="I693" s="125">
        <f t="shared" ca="1" si="394"/>
        <v>0</v>
      </c>
      <c r="J693" s="125">
        <f t="shared" ca="1" si="395"/>
        <v>0</v>
      </c>
      <c r="K693" s="125">
        <f t="shared" ca="1" si="396"/>
        <v>0</v>
      </c>
      <c r="L693" s="125">
        <f t="shared" ca="1" si="414"/>
        <v>0</v>
      </c>
      <c r="M693" s="125">
        <f t="shared" ca="1" si="397"/>
        <v>0</v>
      </c>
      <c r="N693" s="125">
        <f t="shared" ca="1" si="398"/>
        <v>0</v>
      </c>
      <c r="R693">
        <f t="shared" si="415"/>
        <v>686</v>
      </c>
      <c r="U693" s="55"/>
      <c r="V693">
        <f t="shared" si="416"/>
        <v>3</v>
      </c>
      <c r="W693">
        <f t="shared" ca="1" si="417"/>
        <v>2081</v>
      </c>
      <c r="X693" s="123">
        <f t="shared" ca="1" si="399"/>
        <v>66171</v>
      </c>
      <c r="Y693" s="64">
        <f t="shared" ca="1" si="400"/>
        <v>0</v>
      </c>
      <c r="Z693" s="64">
        <f t="shared" ca="1" si="401"/>
        <v>0</v>
      </c>
      <c r="AA693" s="64">
        <f t="shared" ca="1" si="402"/>
        <v>0</v>
      </c>
      <c r="AB693" s="64">
        <f t="shared" ca="1" si="403"/>
        <v>0</v>
      </c>
      <c r="AF693" t="str">
        <f t="shared" ca="1" si="383"/>
        <v>51987</v>
      </c>
      <c r="AG693" s="126">
        <f t="shared" ca="1" si="384"/>
        <v>0</v>
      </c>
      <c r="AH693" s="126">
        <f t="shared" ca="1" si="385"/>
        <v>0</v>
      </c>
      <c r="AI693" s="126">
        <f t="shared" ca="1" si="386"/>
        <v>0</v>
      </c>
      <c r="AJ693" t="str">
        <f t="shared" ca="1" si="387"/>
        <v>32081</v>
      </c>
      <c r="AK693" s="126">
        <f t="shared" ca="1" si="404"/>
        <v>0</v>
      </c>
      <c r="AL693" s="126">
        <f t="shared" ca="1" si="405"/>
        <v>0</v>
      </c>
      <c r="AM693" s="126">
        <f t="shared" ca="1" si="418"/>
        <v>0</v>
      </c>
      <c r="AN693" s="753">
        <f t="shared" ca="1" si="419"/>
        <v>0</v>
      </c>
      <c r="AO693" s="750">
        <f t="shared" ca="1" si="406"/>
        <v>0</v>
      </c>
      <c r="AP693" s="126">
        <f t="shared" ca="1" si="407"/>
        <v>0</v>
      </c>
      <c r="AQ693" s="126">
        <f t="shared" ca="1" si="408"/>
        <v>0</v>
      </c>
      <c r="AR693" s="126">
        <f t="shared" ca="1" si="388"/>
        <v>10000</v>
      </c>
      <c r="AS693" s="750">
        <f t="shared" ca="1" si="389"/>
        <v>0</v>
      </c>
      <c r="AT693" s="750">
        <f t="shared" ca="1" si="390"/>
        <v>0</v>
      </c>
      <c r="AU693" s="126">
        <f t="shared" ca="1" si="409"/>
        <v>0</v>
      </c>
      <c r="AV693" s="126">
        <f t="shared" ca="1" si="410"/>
        <v>0</v>
      </c>
      <c r="AW693" s="126">
        <f t="shared" ca="1" si="391"/>
        <v>10000</v>
      </c>
      <c r="AX693" s="750">
        <f t="shared" ca="1" si="411"/>
        <v>0</v>
      </c>
      <c r="AY693" s="750">
        <f t="shared" ca="1" si="412"/>
        <v>0</v>
      </c>
      <c r="AZ693">
        <f t="shared" si="413"/>
        <v>5750</v>
      </c>
    </row>
    <row r="694" spans="4:52">
      <c r="D694">
        <v>687</v>
      </c>
      <c r="E694" s="6">
        <f t="shared" ca="1" si="392"/>
        <v>31868</v>
      </c>
      <c r="F694" s="7">
        <f t="shared" ca="1" si="393"/>
        <v>0</v>
      </c>
      <c r="G694" s="125">
        <f ca="1">IF('Simulador - 1º Pilar'!$E$99="Sí",IF('Aportaciones PPE'!$B$13&lt;'Aportaciones PPE'!E694,0,F694*$B$8/12),F694*$B$8/12)</f>
        <v>0</v>
      </c>
      <c r="H694" s="125">
        <f t="shared" ca="1" si="382"/>
        <v>0</v>
      </c>
      <c r="I694" s="125">
        <f t="shared" ca="1" si="394"/>
        <v>0</v>
      </c>
      <c r="J694" s="125">
        <f t="shared" ca="1" si="395"/>
        <v>0</v>
      </c>
      <c r="K694" s="125">
        <f t="shared" ca="1" si="396"/>
        <v>0</v>
      </c>
      <c r="L694" s="125">
        <f t="shared" ca="1" si="414"/>
        <v>0</v>
      </c>
      <c r="M694" s="125">
        <f t="shared" ca="1" si="397"/>
        <v>0</v>
      </c>
      <c r="N694" s="125">
        <f t="shared" ca="1" si="398"/>
        <v>0</v>
      </c>
      <c r="R694">
        <f t="shared" si="415"/>
        <v>687</v>
      </c>
      <c r="U694" s="55"/>
      <c r="V694">
        <f t="shared" si="416"/>
        <v>4</v>
      </c>
      <c r="W694">
        <f t="shared" ca="1" si="417"/>
        <v>2081</v>
      </c>
      <c r="X694" s="123">
        <f t="shared" ca="1" si="399"/>
        <v>66202</v>
      </c>
      <c r="Y694" s="64">
        <f t="shared" ca="1" si="400"/>
        <v>0</v>
      </c>
      <c r="Z694" s="64">
        <f t="shared" ca="1" si="401"/>
        <v>0</v>
      </c>
      <c r="AA694" s="64">
        <f t="shared" ca="1" si="402"/>
        <v>0</v>
      </c>
      <c r="AB694" s="64">
        <f t="shared" ca="1" si="403"/>
        <v>0</v>
      </c>
      <c r="AF694" t="str">
        <f t="shared" ca="1" si="383"/>
        <v>41987</v>
      </c>
      <c r="AG694" s="126">
        <f t="shared" ca="1" si="384"/>
        <v>0</v>
      </c>
      <c r="AH694" s="126">
        <f t="shared" ca="1" si="385"/>
        <v>0</v>
      </c>
      <c r="AI694" s="126">
        <f t="shared" ca="1" si="386"/>
        <v>0</v>
      </c>
      <c r="AJ694" t="str">
        <f t="shared" ca="1" si="387"/>
        <v>42081</v>
      </c>
      <c r="AK694" s="126">
        <f t="shared" ca="1" si="404"/>
        <v>0</v>
      </c>
      <c r="AL694" s="126">
        <f t="shared" ca="1" si="405"/>
        <v>0</v>
      </c>
      <c r="AM694" s="126">
        <f t="shared" ca="1" si="418"/>
        <v>0</v>
      </c>
      <c r="AN694" s="753">
        <f t="shared" ca="1" si="419"/>
        <v>0</v>
      </c>
      <c r="AO694" s="750">
        <f t="shared" ca="1" si="406"/>
        <v>0</v>
      </c>
      <c r="AP694" s="126">
        <f t="shared" ca="1" si="407"/>
        <v>0</v>
      </c>
      <c r="AQ694" s="126">
        <f t="shared" ca="1" si="408"/>
        <v>0</v>
      </c>
      <c r="AR694" s="126">
        <f t="shared" ca="1" si="388"/>
        <v>10000</v>
      </c>
      <c r="AS694" s="750">
        <f t="shared" ca="1" si="389"/>
        <v>0</v>
      </c>
      <c r="AT694" s="750">
        <f t="shared" ca="1" si="390"/>
        <v>0</v>
      </c>
      <c r="AU694" s="126">
        <f t="shared" ca="1" si="409"/>
        <v>0</v>
      </c>
      <c r="AV694" s="126">
        <f t="shared" ca="1" si="410"/>
        <v>0</v>
      </c>
      <c r="AW694" s="126">
        <f t="shared" ca="1" si="391"/>
        <v>10000</v>
      </c>
      <c r="AX694" s="750">
        <f t="shared" ca="1" si="411"/>
        <v>0</v>
      </c>
      <c r="AY694" s="750">
        <f t="shared" ca="1" si="412"/>
        <v>0</v>
      </c>
      <c r="AZ694">
        <f t="shared" si="413"/>
        <v>5750</v>
      </c>
    </row>
    <row r="695" spans="4:52">
      <c r="D695">
        <v>688</v>
      </c>
      <c r="E695" s="6">
        <f t="shared" ca="1" si="392"/>
        <v>31837</v>
      </c>
      <c r="F695" s="7">
        <f t="shared" ca="1" si="393"/>
        <v>0</v>
      </c>
      <c r="G695" s="125">
        <f ca="1">IF('Simulador - 1º Pilar'!$E$99="Sí",IF('Aportaciones PPE'!$B$13&lt;'Aportaciones PPE'!E695,0,F695*$B$8/12),F695*$B$8/12)</f>
        <v>0</v>
      </c>
      <c r="H695" s="125">
        <f t="shared" ca="1" si="382"/>
        <v>0</v>
      </c>
      <c r="I695" s="125">
        <f t="shared" ca="1" si="394"/>
        <v>0</v>
      </c>
      <c r="J695" s="125">
        <f t="shared" ca="1" si="395"/>
        <v>0</v>
      </c>
      <c r="K695" s="125">
        <f t="shared" ca="1" si="396"/>
        <v>0</v>
      </c>
      <c r="L695" s="125">
        <f t="shared" ca="1" si="414"/>
        <v>0</v>
      </c>
      <c r="M695" s="125">
        <f t="shared" ca="1" si="397"/>
        <v>0</v>
      </c>
      <c r="N695" s="125">
        <f t="shared" ca="1" si="398"/>
        <v>0</v>
      </c>
      <c r="R695">
        <f t="shared" si="415"/>
        <v>688</v>
      </c>
      <c r="U695" s="55"/>
      <c r="V695">
        <f t="shared" si="416"/>
        <v>5</v>
      </c>
      <c r="W695">
        <f t="shared" ca="1" si="417"/>
        <v>2081</v>
      </c>
      <c r="X695" s="123">
        <f t="shared" ca="1" si="399"/>
        <v>66232</v>
      </c>
      <c r="Y695" s="64">
        <f t="shared" ca="1" si="400"/>
        <v>0</v>
      </c>
      <c r="Z695" s="64">
        <f t="shared" ca="1" si="401"/>
        <v>0</v>
      </c>
      <c r="AA695" s="64">
        <f t="shared" ca="1" si="402"/>
        <v>0</v>
      </c>
      <c r="AB695" s="64">
        <f t="shared" ca="1" si="403"/>
        <v>0</v>
      </c>
      <c r="AF695" t="str">
        <f t="shared" ca="1" si="383"/>
        <v>31987</v>
      </c>
      <c r="AG695" s="126">
        <f t="shared" ca="1" si="384"/>
        <v>0</v>
      </c>
      <c r="AH695" s="126">
        <f t="shared" ca="1" si="385"/>
        <v>0</v>
      </c>
      <c r="AI695" s="126">
        <f t="shared" ca="1" si="386"/>
        <v>0</v>
      </c>
      <c r="AJ695" t="str">
        <f t="shared" ca="1" si="387"/>
        <v>52081</v>
      </c>
      <c r="AK695" s="126">
        <f t="shared" ca="1" si="404"/>
        <v>0</v>
      </c>
      <c r="AL695" s="126">
        <f t="shared" ca="1" si="405"/>
        <v>0</v>
      </c>
      <c r="AM695" s="126">
        <f t="shared" ca="1" si="418"/>
        <v>0</v>
      </c>
      <c r="AN695" s="753">
        <f t="shared" ca="1" si="419"/>
        <v>0</v>
      </c>
      <c r="AO695" s="750">
        <f t="shared" ca="1" si="406"/>
        <v>0</v>
      </c>
      <c r="AP695" s="126">
        <f t="shared" ca="1" si="407"/>
        <v>0</v>
      </c>
      <c r="AQ695" s="126">
        <f t="shared" ca="1" si="408"/>
        <v>0</v>
      </c>
      <c r="AR695" s="126">
        <f t="shared" ca="1" si="388"/>
        <v>10000</v>
      </c>
      <c r="AS695" s="750">
        <f t="shared" ca="1" si="389"/>
        <v>0</v>
      </c>
      <c r="AT695" s="750">
        <f t="shared" ca="1" si="390"/>
        <v>0</v>
      </c>
      <c r="AU695" s="126">
        <f t="shared" ca="1" si="409"/>
        <v>0</v>
      </c>
      <c r="AV695" s="126">
        <f t="shared" ca="1" si="410"/>
        <v>0</v>
      </c>
      <c r="AW695" s="126">
        <f t="shared" ca="1" si="391"/>
        <v>10000</v>
      </c>
      <c r="AX695" s="750">
        <f t="shared" ca="1" si="411"/>
        <v>0</v>
      </c>
      <c r="AY695" s="750">
        <f t="shared" ca="1" si="412"/>
        <v>0</v>
      </c>
      <c r="AZ695">
        <f t="shared" si="413"/>
        <v>5750</v>
      </c>
    </row>
    <row r="696" spans="4:52">
      <c r="D696">
        <v>689</v>
      </c>
      <c r="E696" s="6">
        <f t="shared" ca="1" si="392"/>
        <v>31809</v>
      </c>
      <c r="F696" s="7">
        <f t="shared" ca="1" si="393"/>
        <v>0</v>
      </c>
      <c r="G696" s="125">
        <f ca="1">IF('Simulador - 1º Pilar'!$E$99="Sí",IF('Aportaciones PPE'!$B$13&lt;'Aportaciones PPE'!E696,0,F696*$B$8/12),F696*$B$8/12)</f>
        <v>0</v>
      </c>
      <c r="H696" s="125">
        <f t="shared" ca="1" si="382"/>
        <v>0</v>
      </c>
      <c r="I696" s="125">
        <f t="shared" ca="1" si="394"/>
        <v>0</v>
      </c>
      <c r="J696" s="125">
        <f t="shared" ca="1" si="395"/>
        <v>0</v>
      </c>
      <c r="K696" s="125">
        <f t="shared" ca="1" si="396"/>
        <v>0</v>
      </c>
      <c r="L696" s="125">
        <f t="shared" ca="1" si="414"/>
        <v>0</v>
      </c>
      <c r="M696" s="125">
        <f t="shared" ca="1" si="397"/>
        <v>0</v>
      </c>
      <c r="N696" s="125">
        <f t="shared" ca="1" si="398"/>
        <v>0</v>
      </c>
      <c r="R696">
        <f t="shared" si="415"/>
        <v>689</v>
      </c>
      <c r="U696" s="55"/>
      <c r="V696">
        <f t="shared" si="416"/>
        <v>6</v>
      </c>
      <c r="W696">
        <f t="shared" ca="1" si="417"/>
        <v>2081</v>
      </c>
      <c r="X696" s="123">
        <f t="shared" ca="1" si="399"/>
        <v>66263</v>
      </c>
      <c r="Y696" s="64">
        <f t="shared" ca="1" si="400"/>
        <v>0</v>
      </c>
      <c r="Z696" s="64">
        <f t="shared" ca="1" si="401"/>
        <v>0</v>
      </c>
      <c r="AA696" s="64">
        <f t="shared" ca="1" si="402"/>
        <v>0</v>
      </c>
      <c r="AB696" s="64">
        <f t="shared" ca="1" si="403"/>
        <v>0</v>
      </c>
      <c r="AF696" t="str">
        <f t="shared" ca="1" si="383"/>
        <v>21987</v>
      </c>
      <c r="AG696" s="126">
        <f t="shared" ca="1" si="384"/>
        <v>0</v>
      </c>
      <c r="AH696" s="126">
        <f t="shared" ca="1" si="385"/>
        <v>0</v>
      </c>
      <c r="AI696" s="126">
        <f t="shared" ca="1" si="386"/>
        <v>0</v>
      </c>
      <c r="AJ696" t="str">
        <f t="shared" ca="1" si="387"/>
        <v>62081</v>
      </c>
      <c r="AK696" s="126">
        <f t="shared" ca="1" si="404"/>
        <v>0</v>
      </c>
      <c r="AL696" s="126">
        <f t="shared" ca="1" si="405"/>
        <v>0</v>
      </c>
      <c r="AM696" s="126">
        <f t="shared" ca="1" si="418"/>
        <v>0</v>
      </c>
      <c r="AN696" s="753">
        <f t="shared" ca="1" si="419"/>
        <v>0</v>
      </c>
      <c r="AO696" s="750">
        <f t="shared" ca="1" si="406"/>
        <v>0</v>
      </c>
      <c r="AP696" s="126">
        <f t="shared" ca="1" si="407"/>
        <v>0</v>
      </c>
      <c r="AQ696" s="126">
        <f t="shared" ca="1" si="408"/>
        <v>0</v>
      </c>
      <c r="AR696" s="126">
        <f t="shared" ca="1" si="388"/>
        <v>10000</v>
      </c>
      <c r="AS696" s="750">
        <f t="shared" ca="1" si="389"/>
        <v>0</v>
      </c>
      <c r="AT696" s="750">
        <f t="shared" ca="1" si="390"/>
        <v>0</v>
      </c>
      <c r="AU696" s="126">
        <f t="shared" ca="1" si="409"/>
        <v>0</v>
      </c>
      <c r="AV696" s="126">
        <f t="shared" ca="1" si="410"/>
        <v>0</v>
      </c>
      <c r="AW696" s="126">
        <f t="shared" ca="1" si="391"/>
        <v>10000</v>
      </c>
      <c r="AX696" s="750">
        <f t="shared" ca="1" si="411"/>
        <v>0</v>
      </c>
      <c r="AY696" s="750">
        <f t="shared" ca="1" si="412"/>
        <v>0</v>
      </c>
      <c r="AZ696">
        <f t="shared" si="413"/>
        <v>5750</v>
      </c>
    </row>
    <row r="697" spans="4:52">
      <c r="D697">
        <v>690</v>
      </c>
      <c r="E697" s="6">
        <f t="shared" ca="1" si="392"/>
        <v>31778</v>
      </c>
      <c r="F697" s="7">
        <f t="shared" ca="1" si="393"/>
        <v>0</v>
      </c>
      <c r="G697" s="125">
        <f ca="1">IF('Simulador - 1º Pilar'!$E$99="Sí",IF('Aportaciones PPE'!$B$13&lt;'Aportaciones PPE'!E697,0,F697*$B$8/12),F697*$B$8/12)</f>
        <v>0</v>
      </c>
      <c r="H697" s="125">
        <f t="shared" ca="1" si="382"/>
        <v>0</v>
      </c>
      <c r="I697" s="125">
        <f t="shared" ca="1" si="394"/>
        <v>0</v>
      </c>
      <c r="J697" s="125">
        <f t="shared" ca="1" si="395"/>
        <v>0</v>
      </c>
      <c r="K697" s="125">
        <f t="shared" ca="1" si="396"/>
        <v>0</v>
      </c>
      <c r="L697" s="125">
        <f t="shared" ca="1" si="414"/>
        <v>0</v>
      </c>
      <c r="M697" s="125">
        <f t="shared" ca="1" si="397"/>
        <v>0</v>
      </c>
      <c r="N697" s="125">
        <f t="shared" ca="1" si="398"/>
        <v>0</v>
      </c>
      <c r="R697">
        <f t="shared" si="415"/>
        <v>690</v>
      </c>
      <c r="U697" s="55"/>
      <c r="V697">
        <f t="shared" si="416"/>
        <v>7</v>
      </c>
      <c r="W697">
        <f t="shared" ca="1" si="417"/>
        <v>2081</v>
      </c>
      <c r="X697" s="123">
        <f t="shared" ca="1" si="399"/>
        <v>66293</v>
      </c>
      <c r="Y697" s="64">
        <f t="shared" ca="1" si="400"/>
        <v>0</v>
      </c>
      <c r="Z697" s="64">
        <f t="shared" ca="1" si="401"/>
        <v>0</v>
      </c>
      <c r="AA697" s="64">
        <f t="shared" ca="1" si="402"/>
        <v>0</v>
      </c>
      <c r="AB697" s="64">
        <f t="shared" ca="1" si="403"/>
        <v>0</v>
      </c>
      <c r="AF697" t="str">
        <f t="shared" ca="1" si="383"/>
        <v>11987</v>
      </c>
      <c r="AG697" s="126">
        <f t="shared" ca="1" si="384"/>
        <v>0</v>
      </c>
      <c r="AH697" s="126">
        <f t="shared" ca="1" si="385"/>
        <v>0</v>
      </c>
      <c r="AI697" s="126">
        <f t="shared" ca="1" si="386"/>
        <v>0</v>
      </c>
      <c r="AJ697" t="str">
        <f t="shared" ca="1" si="387"/>
        <v>72081</v>
      </c>
      <c r="AK697" s="126">
        <f t="shared" ca="1" si="404"/>
        <v>0</v>
      </c>
      <c r="AL697" s="126">
        <f t="shared" ca="1" si="405"/>
        <v>0</v>
      </c>
      <c r="AM697" s="126">
        <f t="shared" ca="1" si="418"/>
        <v>0</v>
      </c>
      <c r="AN697" s="753">
        <f t="shared" ca="1" si="419"/>
        <v>0</v>
      </c>
      <c r="AO697" s="750">
        <f t="shared" ca="1" si="406"/>
        <v>0</v>
      </c>
      <c r="AP697" s="126">
        <f t="shared" ca="1" si="407"/>
        <v>0</v>
      </c>
      <c r="AQ697" s="126">
        <f t="shared" ca="1" si="408"/>
        <v>0</v>
      </c>
      <c r="AR697" s="126">
        <f t="shared" ca="1" si="388"/>
        <v>10000</v>
      </c>
      <c r="AS697" s="750">
        <f t="shared" ca="1" si="389"/>
        <v>0</v>
      </c>
      <c r="AT697" s="750">
        <f t="shared" ca="1" si="390"/>
        <v>0</v>
      </c>
      <c r="AU697" s="126">
        <f t="shared" ca="1" si="409"/>
        <v>0</v>
      </c>
      <c r="AV697" s="126">
        <f t="shared" ca="1" si="410"/>
        <v>0</v>
      </c>
      <c r="AW697" s="126">
        <f t="shared" ca="1" si="391"/>
        <v>10000</v>
      </c>
      <c r="AX697" s="750">
        <f t="shared" ca="1" si="411"/>
        <v>0</v>
      </c>
      <c r="AY697" s="750">
        <f t="shared" ca="1" si="412"/>
        <v>0</v>
      </c>
      <c r="AZ697">
        <f t="shared" si="413"/>
        <v>5750</v>
      </c>
    </row>
    <row r="698" spans="4:52">
      <c r="D698">
        <v>691</v>
      </c>
      <c r="E698" s="6">
        <f t="shared" ca="1" si="392"/>
        <v>31747</v>
      </c>
      <c r="F698" s="7">
        <f t="shared" ca="1" si="393"/>
        <v>0</v>
      </c>
      <c r="G698" s="125">
        <f ca="1">IF('Simulador - 1º Pilar'!$E$99="Sí",IF('Aportaciones PPE'!$B$13&lt;'Aportaciones PPE'!E698,0,F698*$B$8/12),F698*$B$8/12)</f>
        <v>0</v>
      </c>
      <c r="H698" s="125">
        <f t="shared" ca="1" si="382"/>
        <v>0</v>
      </c>
      <c r="I698" s="125">
        <f t="shared" ca="1" si="394"/>
        <v>0</v>
      </c>
      <c r="J698" s="125">
        <f t="shared" ca="1" si="395"/>
        <v>0</v>
      </c>
      <c r="K698" s="125">
        <f t="shared" ca="1" si="396"/>
        <v>0</v>
      </c>
      <c r="L698" s="125">
        <f t="shared" ca="1" si="414"/>
        <v>0</v>
      </c>
      <c r="M698" s="125">
        <f t="shared" ca="1" si="397"/>
        <v>0</v>
      </c>
      <c r="N698" s="125">
        <f t="shared" ca="1" si="398"/>
        <v>0</v>
      </c>
      <c r="R698">
        <f t="shared" si="415"/>
        <v>691</v>
      </c>
      <c r="U698" s="55"/>
      <c r="V698">
        <f t="shared" si="416"/>
        <v>8</v>
      </c>
      <c r="W698">
        <f t="shared" ca="1" si="417"/>
        <v>2081</v>
      </c>
      <c r="X698" s="123">
        <f t="shared" ca="1" si="399"/>
        <v>66324</v>
      </c>
      <c r="Y698" s="64">
        <f t="shared" ca="1" si="400"/>
        <v>0</v>
      </c>
      <c r="Z698" s="64">
        <f t="shared" ca="1" si="401"/>
        <v>0</v>
      </c>
      <c r="AA698" s="64">
        <f t="shared" ca="1" si="402"/>
        <v>0</v>
      </c>
      <c r="AB698" s="64">
        <f t="shared" ca="1" si="403"/>
        <v>0</v>
      </c>
      <c r="AF698" t="str">
        <f t="shared" ca="1" si="383"/>
        <v>121986</v>
      </c>
      <c r="AG698" s="126">
        <f t="shared" ca="1" si="384"/>
        <v>0</v>
      </c>
      <c r="AH698" s="126">
        <f t="shared" ca="1" si="385"/>
        <v>0</v>
      </c>
      <c r="AI698" s="126">
        <f t="shared" ca="1" si="386"/>
        <v>0</v>
      </c>
      <c r="AJ698" t="str">
        <f t="shared" ca="1" si="387"/>
        <v>82081</v>
      </c>
      <c r="AK698" s="126">
        <f t="shared" ca="1" si="404"/>
        <v>0</v>
      </c>
      <c r="AL698" s="126">
        <f t="shared" ca="1" si="405"/>
        <v>0</v>
      </c>
      <c r="AM698" s="126">
        <f t="shared" ca="1" si="418"/>
        <v>0</v>
      </c>
      <c r="AN698" s="753">
        <f t="shared" ca="1" si="419"/>
        <v>0</v>
      </c>
      <c r="AO698" s="750">
        <f t="shared" ca="1" si="406"/>
        <v>0</v>
      </c>
      <c r="AP698" s="126">
        <f t="shared" ca="1" si="407"/>
        <v>0</v>
      </c>
      <c r="AQ698" s="126">
        <f t="shared" ca="1" si="408"/>
        <v>0</v>
      </c>
      <c r="AR698" s="126">
        <f t="shared" ca="1" si="388"/>
        <v>10000</v>
      </c>
      <c r="AS698" s="750">
        <f t="shared" ca="1" si="389"/>
        <v>0</v>
      </c>
      <c r="AT698" s="750">
        <f t="shared" ca="1" si="390"/>
        <v>0</v>
      </c>
      <c r="AU698" s="126">
        <f t="shared" ca="1" si="409"/>
        <v>0</v>
      </c>
      <c r="AV698" s="126">
        <f t="shared" ca="1" si="410"/>
        <v>0</v>
      </c>
      <c r="AW698" s="126">
        <f t="shared" ca="1" si="391"/>
        <v>10000</v>
      </c>
      <c r="AX698" s="750">
        <f t="shared" ca="1" si="411"/>
        <v>0</v>
      </c>
      <c r="AY698" s="750">
        <f t="shared" ca="1" si="412"/>
        <v>0</v>
      </c>
      <c r="AZ698">
        <f t="shared" si="413"/>
        <v>5750</v>
      </c>
    </row>
    <row r="699" spans="4:52">
      <c r="D699">
        <v>692</v>
      </c>
      <c r="E699" s="6">
        <f t="shared" ca="1" si="392"/>
        <v>31717</v>
      </c>
      <c r="F699" s="7">
        <f t="shared" ca="1" si="393"/>
        <v>0</v>
      </c>
      <c r="G699" s="125">
        <f ca="1">IF('Simulador - 1º Pilar'!$E$99="Sí",IF('Aportaciones PPE'!$B$13&lt;'Aportaciones PPE'!E699,0,F699*$B$8/12),F699*$B$8/12)</f>
        <v>0</v>
      </c>
      <c r="H699" s="125">
        <f t="shared" ca="1" si="382"/>
        <v>0</v>
      </c>
      <c r="I699" s="125">
        <f t="shared" ca="1" si="394"/>
        <v>0</v>
      </c>
      <c r="J699" s="125">
        <f t="shared" ca="1" si="395"/>
        <v>0</v>
      </c>
      <c r="K699" s="125">
        <f t="shared" ca="1" si="396"/>
        <v>0</v>
      </c>
      <c r="L699" s="125">
        <f t="shared" ca="1" si="414"/>
        <v>0</v>
      </c>
      <c r="M699" s="125">
        <f t="shared" ca="1" si="397"/>
        <v>0</v>
      </c>
      <c r="N699" s="125">
        <f t="shared" ca="1" si="398"/>
        <v>0</v>
      </c>
      <c r="R699">
        <f t="shared" si="415"/>
        <v>692</v>
      </c>
      <c r="U699" s="55"/>
      <c r="V699">
        <f t="shared" si="416"/>
        <v>9</v>
      </c>
      <c r="W699">
        <f t="shared" ca="1" si="417"/>
        <v>2081</v>
      </c>
      <c r="X699" s="123">
        <f t="shared" ca="1" si="399"/>
        <v>66355</v>
      </c>
      <c r="Y699" s="64">
        <f t="shared" ca="1" si="400"/>
        <v>0</v>
      </c>
      <c r="Z699" s="64">
        <f t="shared" ca="1" si="401"/>
        <v>0</v>
      </c>
      <c r="AA699" s="64">
        <f t="shared" ca="1" si="402"/>
        <v>0</v>
      </c>
      <c r="AB699" s="64">
        <f t="shared" ca="1" si="403"/>
        <v>0</v>
      </c>
      <c r="AF699" t="str">
        <f t="shared" ca="1" si="383"/>
        <v>111986</v>
      </c>
      <c r="AG699" s="126">
        <f t="shared" ca="1" si="384"/>
        <v>0</v>
      </c>
      <c r="AH699" s="126">
        <f t="shared" ca="1" si="385"/>
        <v>0</v>
      </c>
      <c r="AI699" s="126">
        <f t="shared" ca="1" si="386"/>
        <v>0</v>
      </c>
      <c r="AJ699" t="str">
        <f t="shared" ca="1" si="387"/>
        <v>92081</v>
      </c>
      <c r="AK699" s="126">
        <f t="shared" ca="1" si="404"/>
        <v>0</v>
      </c>
      <c r="AL699" s="126">
        <f t="shared" ca="1" si="405"/>
        <v>0</v>
      </c>
      <c r="AM699" s="126">
        <f t="shared" ca="1" si="418"/>
        <v>0</v>
      </c>
      <c r="AN699" s="753">
        <f t="shared" ca="1" si="419"/>
        <v>0</v>
      </c>
      <c r="AO699" s="750">
        <f t="shared" ca="1" si="406"/>
        <v>0</v>
      </c>
      <c r="AP699" s="126">
        <f t="shared" ca="1" si="407"/>
        <v>0</v>
      </c>
      <c r="AQ699" s="126">
        <f t="shared" ca="1" si="408"/>
        <v>0</v>
      </c>
      <c r="AR699" s="126">
        <f t="shared" ca="1" si="388"/>
        <v>10000</v>
      </c>
      <c r="AS699" s="750">
        <f t="shared" ca="1" si="389"/>
        <v>0</v>
      </c>
      <c r="AT699" s="750">
        <f t="shared" ca="1" si="390"/>
        <v>0</v>
      </c>
      <c r="AU699" s="126">
        <f t="shared" ca="1" si="409"/>
        <v>0</v>
      </c>
      <c r="AV699" s="126">
        <f t="shared" ca="1" si="410"/>
        <v>0</v>
      </c>
      <c r="AW699" s="126">
        <f t="shared" ca="1" si="391"/>
        <v>10000</v>
      </c>
      <c r="AX699" s="750">
        <f t="shared" ca="1" si="411"/>
        <v>0</v>
      </c>
      <c r="AY699" s="750">
        <f t="shared" ca="1" si="412"/>
        <v>0</v>
      </c>
      <c r="AZ699">
        <f t="shared" si="413"/>
        <v>5750</v>
      </c>
    </row>
    <row r="700" spans="4:52">
      <c r="D700">
        <v>693</v>
      </c>
      <c r="E700" s="6">
        <f t="shared" ca="1" si="392"/>
        <v>31686</v>
      </c>
      <c r="F700" s="7">
        <f t="shared" ca="1" si="393"/>
        <v>0</v>
      </c>
      <c r="G700" s="125">
        <f ca="1">IF('Simulador - 1º Pilar'!$E$99="Sí",IF('Aportaciones PPE'!$B$13&lt;'Aportaciones PPE'!E700,0,F700*$B$8/12),F700*$B$8/12)</f>
        <v>0</v>
      </c>
      <c r="H700" s="125">
        <f t="shared" ca="1" si="382"/>
        <v>0</v>
      </c>
      <c r="I700" s="125">
        <f t="shared" ca="1" si="394"/>
        <v>0</v>
      </c>
      <c r="J700" s="125">
        <f t="shared" ca="1" si="395"/>
        <v>0</v>
      </c>
      <c r="K700" s="125">
        <f t="shared" ca="1" si="396"/>
        <v>0</v>
      </c>
      <c r="L700" s="125">
        <f t="shared" ca="1" si="414"/>
        <v>0</v>
      </c>
      <c r="M700" s="125">
        <f t="shared" ca="1" si="397"/>
        <v>0</v>
      </c>
      <c r="N700" s="125">
        <f t="shared" ca="1" si="398"/>
        <v>0</v>
      </c>
      <c r="R700">
        <f t="shared" si="415"/>
        <v>693</v>
      </c>
      <c r="U700" s="55"/>
      <c r="V700">
        <f t="shared" si="416"/>
        <v>10</v>
      </c>
      <c r="W700">
        <f t="shared" ca="1" si="417"/>
        <v>2081</v>
      </c>
      <c r="X700" s="123">
        <f t="shared" ca="1" si="399"/>
        <v>66385</v>
      </c>
      <c r="Y700" s="64">
        <f t="shared" ca="1" si="400"/>
        <v>0</v>
      </c>
      <c r="Z700" s="64">
        <f t="shared" ca="1" si="401"/>
        <v>0</v>
      </c>
      <c r="AA700" s="64">
        <f t="shared" ca="1" si="402"/>
        <v>0</v>
      </c>
      <c r="AB700" s="64">
        <f t="shared" ca="1" si="403"/>
        <v>0</v>
      </c>
      <c r="AF700" t="str">
        <f t="shared" ca="1" si="383"/>
        <v>101986</v>
      </c>
      <c r="AG700" s="126">
        <f t="shared" ca="1" si="384"/>
        <v>0</v>
      </c>
      <c r="AH700" s="126">
        <f t="shared" ca="1" si="385"/>
        <v>0</v>
      </c>
      <c r="AI700" s="126">
        <f t="shared" ca="1" si="386"/>
        <v>0</v>
      </c>
      <c r="AJ700" t="str">
        <f t="shared" ca="1" si="387"/>
        <v>102081</v>
      </c>
      <c r="AK700" s="126">
        <f t="shared" ca="1" si="404"/>
        <v>0</v>
      </c>
      <c r="AL700" s="126">
        <f t="shared" ca="1" si="405"/>
        <v>0</v>
      </c>
      <c r="AM700" s="126">
        <f t="shared" ca="1" si="418"/>
        <v>0</v>
      </c>
      <c r="AN700" s="753">
        <f t="shared" ca="1" si="419"/>
        <v>0</v>
      </c>
      <c r="AO700" s="750">
        <f t="shared" ca="1" si="406"/>
        <v>0</v>
      </c>
      <c r="AP700" s="126">
        <f t="shared" ca="1" si="407"/>
        <v>0</v>
      </c>
      <c r="AQ700" s="126">
        <f t="shared" ca="1" si="408"/>
        <v>0</v>
      </c>
      <c r="AR700" s="126">
        <f t="shared" ca="1" si="388"/>
        <v>10000</v>
      </c>
      <c r="AS700" s="750">
        <f t="shared" ca="1" si="389"/>
        <v>0</v>
      </c>
      <c r="AT700" s="750">
        <f t="shared" ca="1" si="390"/>
        <v>0</v>
      </c>
      <c r="AU700" s="126">
        <f t="shared" ca="1" si="409"/>
        <v>0</v>
      </c>
      <c r="AV700" s="126">
        <f t="shared" ca="1" si="410"/>
        <v>0</v>
      </c>
      <c r="AW700" s="126">
        <f t="shared" ca="1" si="391"/>
        <v>10000</v>
      </c>
      <c r="AX700" s="750">
        <f t="shared" ca="1" si="411"/>
        <v>0</v>
      </c>
      <c r="AY700" s="750">
        <f t="shared" ca="1" si="412"/>
        <v>0</v>
      </c>
      <c r="AZ700">
        <f t="shared" si="413"/>
        <v>5750</v>
      </c>
    </row>
    <row r="701" spans="4:52">
      <c r="D701">
        <v>694</v>
      </c>
      <c r="E701" s="6">
        <f t="shared" ca="1" si="392"/>
        <v>31656</v>
      </c>
      <c r="F701" s="7">
        <f t="shared" ca="1" si="393"/>
        <v>0</v>
      </c>
      <c r="G701" s="125">
        <f ca="1">IF('Simulador - 1º Pilar'!$E$99="Sí",IF('Aportaciones PPE'!$B$13&lt;'Aportaciones PPE'!E701,0,F701*$B$8/12),F701*$B$8/12)</f>
        <v>0</v>
      </c>
      <c r="H701" s="125">
        <f t="shared" ca="1" si="382"/>
        <v>0</v>
      </c>
      <c r="I701" s="125">
        <f t="shared" ca="1" si="394"/>
        <v>0</v>
      </c>
      <c r="J701" s="125">
        <f t="shared" ca="1" si="395"/>
        <v>0</v>
      </c>
      <c r="K701" s="125">
        <f t="shared" ca="1" si="396"/>
        <v>0</v>
      </c>
      <c r="L701" s="125">
        <f t="shared" ca="1" si="414"/>
        <v>0</v>
      </c>
      <c r="M701" s="125">
        <f t="shared" ca="1" si="397"/>
        <v>0</v>
      </c>
      <c r="N701" s="125">
        <f t="shared" ca="1" si="398"/>
        <v>0</v>
      </c>
      <c r="R701">
        <f t="shared" si="415"/>
        <v>694</v>
      </c>
      <c r="U701" s="55"/>
      <c r="V701">
        <f t="shared" si="416"/>
        <v>11</v>
      </c>
      <c r="W701">
        <f t="shared" ca="1" si="417"/>
        <v>2081</v>
      </c>
      <c r="X701" s="123">
        <f t="shared" ca="1" si="399"/>
        <v>66416</v>
      </c>
      <c r="Y701" s="64">
        <f t="shared" ca="1" si="400"/>
        <v>0</v>
      </c>
      <c r="Z701" s="64">
        <f t="shared" ca="1" si="401"/>
        <v>0</v>
      </c>
      <c r="AA701" s="64">
        <f t="shared" ca="1" si="402"/>
        <v>0</v>
      </c>
      <c r="AB701" s="64">
        <f t="shared" ca="1" si="403"/>
        <v>0</v>
      </c>
      <c r="AF701" t="str">
        <f t="shared" ca="1" si="383"/>
        <v>91986</v>
      </c>
      <c r="AG701" s="126">
        <f t="shared" ca="1" si="384"/>
        <v>0</v>
      </c>
      <c r="AH701" s="126">
        <f t="shared" ca="1" si="385"/>
        <v>0</v>
      </c>
      <c r="AI701" s="126">
        <f t="shared" ca="1" si="386"/>
        <v>0</v>
      </c>
      <c r="AJ701" t="str">
        <f t="shared" ca="1" si="387"/>
        <v>112081</v>
      </c>
      <c r="AK701" s="126">
        <f t="shared" ca="1" si="404"/>
        <v>0</v>
      </c>
      <c r="AL701" s="126">
        <f t="shared" ca="1" si="405"/>
        <v>0</v>
      </c>
      <c r="AM701" s="126">
        <f t="shared" ca="1" si="418"/>
        <v>0</v>
      </c>
      <c r="AN701" s="753">
        <f t="shared" ca="1" si="419"/>
        <v>0</v>
      </c>
      <c r="AO701" s="750">
        <f t="shared" ca="1" si="406"/>
        <v>0</v>
      </c>
      <c r="AP701" s="126">
        <f t="shared" ca="1" si="407"/>
        <v>0</v>
      </c>
      <c r="AQ701" s="126">
        <f t="shared" ca="1" si="408"/>
        <v>0</v>
      </c>
      <c r="AR701" s="126">
        <f t="shared" ca="1" si="388"/>
        <v>10000</v>
      </c>
      <c r="AS701" s="750">
        <f t="shared" ca="1" si="389"/>
        <v>0</v>
      </c>
      <c r="AT701" s="750">
        <f t="shared" ca="1" si="390"/>
        <v>0</v>
      </c>
      <c r="AU701" s="126">
        <f t="shared" ca="1" si="409"/>
        <v>0</v>
      </c>
      <c r="AV701" s="126">
        <f t="shared" ca="1" si="410"/>
        <v>0</v>
      </c>
      <c r="AW701" s="126">
        <f t="shared" ca="1" si="391"/>
        <v>10000</v>
      </c>
      <c r="AX701" s="750">
        <f t="shared" ca="1" si="411"/>
        <v>0</v>
      </c>
      <c r="AY701" s="750">
        <f t="shared" ca="1" si="412"/>
        <v>0</v>
      </c>
      <c r="AZ701">
        <f t="shared" si="413"/>
        <v>5750</v>
      </c>
    </row>
    <row r="702" spans="4:52">
      <c r="D702">
        <v>695</v>
      </c>
      <c r="E702" s="6">
        <f t="shared" ca="1" si="392"/>
        <v>31625</v>
      </c>
      <c r="F702" s="7">
        <f t="shared" ca="1" si="393"/>
        <v>0</v>
      </c>
      <c r="G702" s="125">
        <f ca="1">IF('Simulador - 1º Pilar'!$E$99="Sí",IF('Aportaciones PPE'!$B$13&lt;'Aportaciones PPE'!E702,0,F702*$B$8/12),F702*$B$8/12)</f>
        <v>0</v>
      </c>
      <c r="H702" s="125">
        <f t="shared" ca="1" si="382"/>
        <v>0</v>
      </c>
      <c r="I702" s="125">
        <f t="shared" ca="1" si="394"/>
        <v>0</v>
      </c>
      <c r="J702" s="125">
        <f t="shared" ca="1" si="395"/>
        <v>0</v>
      </c>
      <c r="K702" s="125">
        <f t="shared" ca="1" si="396"/>
        <v>0</v>
      </c>
      <c r="L702" s="125">
        <f t="shared" ca="1" si="414"/>
        <v>0</v>
      </c>
      <c r="M702" s="125">
        <f t="shared" ca="1" si="397"/>
        <v>0</v>
      </c>
      <c r="N702" s="125">
        <f t="shared" ca="1" si="398"/>
        <v>0</v>
      </c>
      <c r="R702">
        <f t="shared" si="415"/>
        <v>695</v>
      </c>
      <c r="U702" s="55"/>
      <c r="V702">
        <f t="shared" si="416"/>
        <v>12</v>
      </c>
      <c r="W702">
        <f t="shared" ca="1" si="417"/>
        <v>2081</v>
      </c>
      <c r="X702" s="123">
        <f t="shared" ca="1" si="399"/>
        <v>66446</v>
      </c>
      <c r="Y702" s="64">
        <f t="shared" ca="1" si="400"/>
        <v>0</v>
      </c>
      <c r="Z702" s="64">
        <f t="shared" ca="1" si="401"/>
        <v>0</v>
      </c>
      <c r="AA702" s="64">
        <f t="shared" ca="1" si="402"/>
        <v>0</v>
      </c>
      <c r="AB702" s="64">
        <f t="shared" ca="1" si="403"/>
        <v>0</v>
      </c>
      <c r="AF702" t="str">
        <f t="shared" ca="1" si="383"/>
        <v>81986</v>
      </c>
      <c r="AG702" s="126">
        <f t="shared" ca="1" si="384"/>
        <v>0</v>
      </c>
      <c r="AH702" s="126">
        <f t="shared" ca="1" si="385"/>
        <v>0</v>
      </c>
      <c r="AI702" s="126">
        <f t="shared" ca="1" si="386"/>
        <v>0</v>
      </c>
      <c r="AJ702" t="str">
        <f t="shared" ca="1" si="387"/>
        <v>122081</v>
      </c>
      <c r="AK702" s="126">
        <f t="shared" ca="1" si="404"/>
        <v>0</v>
      </c>
      <c r="AL702" s="126">
        <f t="shared" ca="1" si="405"/>
        <v>0</v>
      </c>
      <c r="AM702" s="126">
        <f t="shared" ca="1" si="418"/>
        <v>0</v>
      </c>
      <c r="AN702" s="753">
        <f t="shared" ca="1" si="419"/>
        <v>0</v>
      </c>
      <c r="AO702" s="750">
        <f t="shared" ca="1" si="406"/>
        <v>0</v>
      </c>
      <c r="AP702" s="126">
        <f t="shared" ca="1" si="407"/>
        <v>0</v>
      </c>
      <c r="AQ702" s="126">
        <f t="shared" ca="1" si="408"/>
        <v>0</v>
      </c>
      <c r="AR702" s="126">
        <f t="shared" ca="1" si="388"/>
        <v>10000</v>
      </c>
      <c r="AS702" s="750">
        <f t="shared" ca="1" si="389"/>
        <v>0</v>
      </c>
      <c r="AT702" s="750">
        <f t="shared" ca="1" si="390"/>
        <v>0</v>
      </c>
      <c r="AU702" s="126">
        <f t="shared" ca="1" si="409"/>
        <v>0</v>
      </c>
      <c r="AV702" s="126">
        <f t="shared" ca="1" si="410"/>
        <v>0</v>
      </c>
      <c r="AW702" s="126">
        <f t="shared" ca="1" si="391"/>
        <v>10000</v>
      </c>
      <c r="AX702" s="750">
        <f t="shared" ca="1" si="411"/>
        <v>0</v>
      </c>
      <c r="AY702" s="750">
        <f t="shared" ca="1" si="412"/>
        <v>0</v>
      </c>
      <c r="AZ702">
        <f t="shared" si="413"/>
        <v>5750</v>
      </c>
    </row>
    <row r="703" spans="4:52">
      <c r="D703">
        <v>696</v>
      </c>
      <c r="E703" s="6">
        <f t="shared" ca="1" si="392"/>
        <v>31594</v>
      </c>
      <c r="F703" s="7">
        <f t="shared" ca="1" si="393"/>
        <v>0</v>
      </c>
      <c r="G703" s="125">
        <f ca="1">IF('Simulador - 1º Pilar'!$E$99="Sí",IF('Aportaciones PPE'!$B$13&lt;'Aportaciones PPE'!E703,0,F703*$B$8/12),F703*$B$8/12)</f>
        <v>0</v>
      </c>
      <c r="H703" s="125">
        <f t="shared" ca="1" si="382"/>
        <v>0</v>
      </c>
      <c r="I703" s="125">
        <f t="shared" ca="1" si="394"/>
        <v>0</v>
      </c>
      <c r="J703" s="125">
        <f t="shared" ca="1" si="395"/>
        <v>0</v>
      </c>
      <c r="K703" s="125">
        <f t="shared" ca="1" si="396"/>
        <v>0</v>
      </c>
      <c r="L703" s="125">
        <f t="shared" ca="1" si="414"/>
        <v>0</v>
      </c>
      <c r="M703" s="125">
        <f t="shared" ca="1" si="397"/>
        <v>0</v>
      </c>
      <c r="N703" s="125">
        <f t="shared" ca="1" si="398"/>
        <v>0</v>
      </c>
      <c r="R703">
        <f t="shared" si="415"/>
        <v>696</v>
      </c>
      <c r="U703" s="55"/>
      <c r="V703">
        <f t="shared" si="416"/>
        <v>1</v>
      </c>
      <c r="W703">
        <f t="shared" ca="1" si="417"/>
        <v>2082</v>
      </c>
      <c r="X703" s="123">
        <f t="shared" ca="1" si="399"/>
        <v>66477</v>
      </c>
      <c r="Y703" s="64">
        <f t="shared" ca="1" si="400"/>
        <v>0</v>
      </c>
      <c r="Z703" s="64">
        <f t="shared" ca="1" si="401"/>
        <v>0</v>
      </c>
      <c r="AA703" s="64">
        <f t="shared" ca="1" si="402"/>
        <v>0</v>
      </c>
      <c r="AB703" s="64">
        <f t="shared" ca="1" si="403"/>
        <v>0</v>
      </c>
      <c r="AF703" t="str">
        <f t="shared" ca="1" si="383"/>
        <v>71986</v>
      </c>
      <c r="AG703" s="126">
        <f t="shared" ca="1" si="384"/>
        <v>0</v>
      </c>
      <c r="AH703" s="126">
        <f t="shared" ca="1" si="385"/>
        <v>0</v>
      </c>
      <c r="AI703" s="126">
        <f t="shared" ca="1" si="386"/>
        <v>0</v>
      </c>
      <c r="AJ703" t="str">
        <f t="shared" ca="1" si="387"/>
        <v>12082</v>
      </c>
      <c r="AK703" s="126">
        <f t="shared" ca="1" si="404"/>
        <v>0</v>
      </c>
      <c r="AL703" s="126">
        <f t="shared" ca="1" si="405"/>
        <v>0</v>
      </c>
      <c r="AM703" s="126">
        <f t="shared" ca="1" si="418"/>
        <v>0</v>
      </c>
      <c r="AN703" s="753">
        <f t="shared" ca="1" si="419"/>
        <v>0</v>
      </c>
      <c r="AO703" s="750">
        <f t="shared" ca="1" si="406"/>
        <v>0</v>
      </c>
      <c r="AP703" s="126">
        <f t="shared" ca="1" si="407"/>
        <v>0</v>
      </c>
      <c r="AQ703" s="126">
        <f t="shared" ca="1" si="408"/>
        <v>0</v>
      </c>
      <c r="AR703" s="126">
        <f t="shared" ca="1" si="388"/>
        <v>10000</v>
      </c>
      <c r="AS703" s="750">
        <f t="shared" ca="1" si="389"/>
        <v>0</v>
      </c>
      <c r="AT703" s="750">
        <f t="shared" ca="1" si="390"/>
        <v>0</v>
      </c>
      <c r="AU703" s="126">
        <f t="shared" ca="1" si="409"/>
        <v>0</v>
      </c>
      <c r="AV703" s="126">
        <f t="shared" ca="1" si="410"/>
        <v>0</v>
      </c>
      <c r="AW703" s="126">
        <f t="shared" ca="1" si="391"/>
        <v>10000</v>
      </c>
      <c r="AX703" s="750">
        <f t="shared" ca="1" si="411"/>
        <v>0</v>
      </c>
      <c r="AY703" s="750">
        <f t="shared" ca="1" si="412"/>
        <v>0</v>
      </c>
      <c r="AZ703">
        <f t="shared" si="413"/>
        <v>5750</v>
      </c>
    </row>
    <row r="704" spans="4:52">
      <c r="D704">
        <v>697</v>
      </c>
      <c r="E704" s="6">
        <f t="shared" ca="1" si="392"/>
        <v>31564</v>
      </c>
      <c r="F704" s="7">
        <f t="shared" ca="1" si="393"/>
        <v>0</v>
      </c>
      <c r="G704" s="125">
        <f ca="1">IF('Simulador - 1º Pilar'!$E$99="Sí",IF('Aportaciones PPE'!$B$13&lt;'Aportaciones PPE'!E704,0,F704*$B$8/12),F704*$B$8/12)</f>
        <v>0</v>
      </c>
      <c r="H704" s="125">
        <f t="shared" ca="1" si="382"/>
        <v>0</v>
      </c>
      <c r="I704" s="125">
        <f t="shared" ca="1" si="394"/>
        <v>0</v>
      </c>
      <c r="J704" s="125">
        <f t="shared" ca="1" si="395"/>
        <v>0</v>
      </c>
      <c r="K704" s="125">
        <f t="shared" ca="1" si="396"/>
        <v>0</v>
      </c>
      <c r="L704" s="125">
        <f t="shared" ca="1" si="414"/>
        <v>0</v>
      </c>
      <c r="M704" s="125">
        <f t="shared" ca="1" si="397"/>
        <v>0</v>
      </c>
      <c r="N704" s="125">
        <f t="shared" ca="1" si="398"/>
        <v>0</v>
      </c>
      <c r="R704">
        <f t="shared" si="415"/>
        <v>697</v>
      </c>
      <c r="U704" s="55"/>
      <c r="V704">
        <f t="shared" si="416"/>
        <v>2</v>
      </c>
      <c r="W704">
        <f t="shared" ca="1" si="417"/>
        <v>2082</v>
      </c>
      <c r="X704" s="123">
        <f t="shared" ca="1" si="399"/>
        <v>66508</v>
      </c>
      <c r="Y704" s="64">
        <f t="shared" ca="1" si="400"/>
        <v>0</v>
      </c>
      <c r="Z704" s="64">
        <f t="shared" ca="1" si="401"/>
        <v>0</v>
      </c>
      <c r="AA704" s="64">
        <f t="shared" ca="1" si="402"/>
        <v>0</v>
      </c>
      <c r="AB704" s="64">
        <f t="shared" ca="1" si="403"/>
        <v>0</v>
      </c>
      <c r="AF704" t="str">
        <f t="shared" ca="1" si="383"/>
        <v>61986</v>
      </c>
      <c r="AG704" s="126">
        <f t="shared" ca="1" si="384"/>
        <v>0</v>
      </c>
      <c r="AH704" s="126">
        <f t="shared" ca="1" si="385"/>
        <v>0</v>
      </c>
      <c r="AI704" s="126">
        <f t="shared" ca="1" si="386"/>
        <v>0</v>
      </c>
      <c r="AJ704" t="str">
        <f t="shared" ca="1" si="387"/>
        <v>22082</v>
      </c>
      <c r="AK704" s="126">
        <f t="shared" ca="1" si="404"/>
        <v>0</v>
      </c>
      <c r="AL704" s="126">
        <f t="shared" ca="1" si="405"/>
        <v>0</v>
      </c>
      <c r="AM704" s="126">
        <f t="shared" ca="1" si="418"/>
        <v>0</v>
      </c>
      <c r="AN704" s="753">
        <f t="shared" ca="1" si="419"/>
        <v>0</v>
      </c>
      <c r="AO704" s="750">
        <f t="shared" ca="1" si="406"/>
        <v>0</v>
      </c>
      <c r="AP704" s="126">
        <f t="shared" ca="1" si="407"/>
        <v>0</v>
      </c>
      <c r="AQ704" s="126">
        <f t="shared" ca="1" si="408"/>
        <v>0</v>
      </c>
      <c r="AR704" s="126">
        <f t="shared" ca="1" si="388"/>
        <v>10000</v>
      </c>
      <c r="AS704" s="750">
        <f t="shared" ca="1" si="389"/>
        <v>0</v>
      </c>
      <c r="AT704" s="750">
        <f t="shared" ca="1" si="390"/>
        <v>0</v>
      </c>
      <c r="AU704" s="126">
        <f t="shared" ca="1" si="409"/>
        <v>0</v>
      </c>
      <c r="AV704" s="126">
        <f t="shared" ca="1" si="410"/>
        <v>0</v>
      </c>
      <c r="AW704" s="126">
        <f t="shared" ca="1" si="391"/>
        <v>10000</v>
      </c>
      <c r="AX704" s="750">
        <f t="shared" ca="1" si="411"/>
        <v>0</v>
      </c>
      <c r="AY704" s="750">
        <f t="shared" ca="1" si="412"/>
        <v>0</v>
      </c>
      <c r="AZ704">
        <f t="shared" si="413"/>
        <v>5750</v>
      </c>
    </row>
    <row r="705" spans="4:52">
      <c r="D705">
        <v>698</v>
      </c>
      <c r="E705" s="6">
        <f t="shared" ca="1" si="392"/>
        <v>31533</v>
      </c>
      <c r="F705" s="7">
        <f t="shared" ca="1" si="393"/>
        <v>0</v>
      </c>
      <c r="G705" s="125">
        <f ca="1">IF('Simulador - 1º Pilar'!$E$99="Sí",IF('Aportaciones PPE'!$B$13&lt;'Aportaciones PPE'!E705,0,F705*$B$8/12),F705*$B$8/12)</f>
        <v>0</v>
      </c>
      <c r="H705" s="125">
        <f t="shared" ca="1" si="382"/>
        <v>0</v>
      </c>
      <c r="I705" s="125">
        <f t="shared" ca="1" si="394"/>
        <v>0</v>
      </c>
      <c r="J705" s="125">
        <f t="shared" ca="1" si="395"/>
        <v>0</v>
      </c>
      <c r="K705" s="125">
        <f t="shared" ca="1" si="396"/>
        <v>0</v>
      </c>
      <c r="L705" s="125">
        <f t="shared" ca="1" si="414"/>
        <v>0</v>
      </c>
      <c r="M705" s="125">
        <f t="shared" ca="1" si="397"/>
        <v>0</v>
      </c>
      <c r="N705" s="125">
        <f t="shared" ca="1" si="398"/>
        <v>0</v>
      </c>
      <c r="R705">
        <f t="shared" si="415"/>
        <v>698</v>
      </c>
      <c r="U705" s="55"/>
      <c r="V705">
        <f t="shared" si="416"/>
        <v>3</v>
      </c>
      <c r="W705">
        <f t="shared" ca="1" si="417"/>
        <v>2082</v>
      </c>
      <c r="X705" s="123">
        <f t="shared" ca="1" si="399"/>
        <v>66536</v>
      </c>
      <c r="Y705" s="64">
        <f t="shared" ca="1" si="400"/>
        <v>0</v>
      </c>
      <c r="Z705" s="64">
        <f t="shared" ca="1" si="401"/>
        <v>0</v>
      </c>
      <c r="AA705" s="64">
        <f t="shared" ca="1" si="402"/>
        <v>0</v>
      </c>
      <c r="AB705" s="64">
        <f t="shared" ca="1" si="403"/>
        <v>0</v>
      </c>
      <c r="AF705" t="str">
        <f t="shared" ca="1" si="383"/>
        <v>51986</v>
      </c>
      <c r="AG705" s="126">
        <f t="shared" ca="1" si="384"/>
        <v>0</v>
      </c>
      <c r="AH705" s="126">
        <f t="shared" ca="1" si="385"/>
        <v>0</v>
      </c>
      <c r="AI705" s="126">
        <f t="shared" ca="1" si="386"/>
        <v>0</v>
      </c>
      <c r="AJ705" t="str">
        <f t="shared" ca="1" si="387"/>
        <v>32082</v>
      </c>
      <c r="AK705" s="126">
        <f t="shared" ca="1" si="404"/>
        <v>0</v>
      </c>
      <c r="AL705" s="126">
        <f t="shared" ca="1" si="405"/>
        <v>0</v>
      </c>
      <c r="AM705" s="126">
        <f t="shared" ca="1" si="418"/>
        <v>0</v>
      </c>
      <c r="AN705" s="753">
        <f t="shared" ca="1" si="419"/>
        <v>0</v>
      </c>
      <c r="AO705" s="750">
        <f t="shared" ca="1" si="406"/>
        <v>0</v>
      </c>
      <c r="AP705" s="126">
        <f t="shared" ca="1" si="407"/>
        <v>0</v>
      </c>
      <c r="AQ705" s="126">
        <f t="shared" ca="1" si="408"/>
        <v>0</v>
      </c>
      <c r="AR705" s="126">
        <f t="shared" ca="1" si="388"/>
        <v>10000</v>
      </c>
      <c r="AS705" s="750">
        <f t="shared" ca="1" si="389"/>
        <v>0</v>
      </c>
      <c r="AT705" s="750">
        <f t="shared" ca="1" si="390"/>
        <v>0</v>
      </c>
      <c r="AU705" s="126">
        <f t="shared" ca="1" si="409"/>
        <v>0</v>
      </c>
      <c r="AV705" s="126">
        <f t="shared" ca="1" si="410"/>
        <v>0</v>
      </c>
      <c r="AW705" s="126">
        <f t="shared" ca="1" si="391"/>
        <v>10000</v>
      </c>
      <c r="AX705" s="750">
        <f t="shared" ca="1" si="411"/>
        <v>0</v>
      </c>
      <c r="AY705" s="750">
        <f t="shared" ca="1" si="412"/>
        <v>0</v>
      </c>
      <c r="AZ705">
        <f t="shared" si="413"/>
        <v>5750</v>
      </c>
    </row>
    <row r="706" spans="4:52">
      <c r="D706">
        <v>699</v>
      </c>
      <c r="E706" s="6">
        <f t="shared" ca="1" si="392"/>
        <v>31503</v>
      </c>
      <c r="F706" s="7">
        <f t="shared" ca="1" si="393"/>
        <v>0</v>
      </c>
      <c r="G706" s="125">
        <f ca="1">IF('Simulador - 1º Pilar'!$E$99="Sí",IF('Aportaciones PPE'!$B$13&lt;'Aportaciones PPE'!E706,0,F706*$B$8/12),F706*$B$8/12)</f>
        <v>0</v>
      </c>
      <c r="H706" s="125">
        <f t="shared" ca="1" si="382"/>
        <v>0</v>
      </c>
      <c r="I706" s="125">
        <f t="shared" ca="1" si="394"/>
        <v>0</v>
      </c>
      <c r="J706" s="125">
        <f t="shared" ca="1" si="395"/>
        <v>0</v>
      </c>
      <c r="K706" s="125">
        <f t="shared" ca="1" si="396"/>
        <v>0</v>
      </c>
      <c r="L706" s="125">
        <f t="shared" ca="1" si="414"/>
        <v>0</v>
      </c>
      <c r="M706" s="125">
        <f t="shared" ca="1" si="397"/>
        <v>0</v>
      </c>
      <c r="N706" s="125">
        <f t="shared" ca="1" si="398"/>
        <v>0</v>
      </c>
      <c r="R706">
        <f t="shared" si="415"/>
        <v>699</v>
      </c>
      <c r="U706" s="55"/>
      <c r="V706">
        <f t="shared" si="416"/>
        <v>4</v>
      </c>
      <c r="W706">
        <f t="shared" ca="1" si="417"/>
        <v>2082</v>
      </c>
      <c r="X706" s="123">
        <f t="shared" ca="1" si="399"/>
        <v>66567</v>
      </c>
      <c r="Y706" s="64">
        <f t="shared" ca="1" si="400"/>
        <v>0</v>
      </c>
      <c r="Z706" s="64">
        <f t="shared" ca="1" si="401"/>
        <v>0</v>
      </c>
      <c r="AA706" s="64">
        <f t="shared" ca="1" si="402"/>
        <v>0</v>
      </c>
      <c r="AB706" s="64">
        <f t="shared" ca="1" si="403"/>
        <v>0</v>
      </c>
      <c r="AF706" t="str">
        <f t="shared" ca="1" si="383"/>
        <v>41986</v>
      </c>
      <c r="AG706" s="126">
        <f t="shared" ca="1" si="384"/>
        <v>0</v>
      </c>
      <c r="AH706" s="126">
        <f t="shared" ca="1" si="385"/>
        <v>0</v>
      </c>
      <c r="AI706" s="126">
        <f t="shared" ca="1" si="386"/>
        <v>0</v>
      </c>
      <c r="AJ706" t="str">
        <f t="shared" ca="1" si="387"/>
        <v>42082</v>
      </c>
      <c r="AK706" s="126">
        <f t="shared" ca="1" si="404"/>
        <v>0</v>
      </c>
      <c r="AL706" s="126">
        <f t="shared" ca="1" si="405"/>
        <v>0</v>
      </c>
      <c r="AM706" s="126">
        <f t="shared" ca="1" si="418"/>
        <v>0</v>
      </c>
      <c r="AN706" s="753">
        <f t="shared" ca="1" si="419"/>
        <v>0</v>
      </c>
      <c r="AO706" s="750">
        <f t="shared" ca="1" si="406"/>
        <v>0</v>
      </c>
      <c r="AP706" s="126">
        <f t="shared" ca="1" si="407"/>
        <v>0</v>
      </c>
      <c r="AQ706" s="126">
        <f t="shared" ca="1" si="408"/>
        <v>0</v>
      </c>
      <c r="AR706" s="126">
        <f t="shared" ca="1" si="388"/>
        <v>10000</v>
      </c>
      <c r="AS706" s="750">
        <f t="shared" ca="1" si="389"/>
        <v>0</v>
      </c>
      <c r="AT706" s="750">
        <f t="shared" ca="1" si="390"/>
        <v>0</v>
      </c>
      <c r="AU706" s="126">
        <f t="shared" ca="1" si="409"/>
        <v>0</v>
      </c>
      <c r="AV706" s="126">
        <f t="shared" ca="1" si="410"/>
        <v>0</v>
      </c>
      <c r="AW706" s="126">
        <f t="shared" ca="1" si="391"/>
        <v>10000</v>
      </c>
      <c r="AX706" s="750">
        <f t="shared" ca="1" si="411"/>
        <v>0</v>
      </c>
      <c r="AY706" s="750">
        <f t="shared" ca="1" si="412"/>
        <v>0</v>
      </c>
      <c r="AZ706">
        <f t="shared" si="413"/>
        <v>5750</v>
      </c>
    </row>
    <row r="707" spans="4:52">
      <c r="D707">
        <v>700</v>
      </c>
      <c r="E707" s="6">
        <f t="shared" ca="1" si="392"/>
        <v>31472</v>
      </c>
      <c r="F707" s="7">
        <f t="shared" ca="1" si="393"/>
        <v>0</v>
      </c>
      <c r="G707" s="125">
        <f ca="1">IF('Simulador - 1º Pilar'!$E$99="Sí",IF('Aportaciones PPE'!$B$13&lt;'Aportaciones PPE'!E707,0,F707*$B$8/12),F707*$B$8/12)</f>
        <v>0</v>
      </c>
      <c r="H707" s="125">
        <f t="shared" ca="1" si="382"/>
        <v>0</v>
      </c>
      <c r="I707" s="125">
        <f t="shared" ca="1" si="394"/>
        <v>0</v>
      </c>
      <c r="J707" s="125">
        <f t="shared" ca="1" si="395"/>
        <v>0</v>
      </c>
      <c r="K707" s="125">
        <f t="shared" ca="1" si="396"/>
        <v>0</v>
      </c>
      <c r="L707" s="125">
        <f t="shared" ca="1" si="414"/>
        <v>0</v>
      </c>
      <c r="M707" s="125">
        <f t="shared" ca="1" si="397"/>
        <v>0</v>
      </c>
      <c r="N707" s="125">
        <f t="shared" ca="1" si="398"/>
        <v>0</v>
      </c>
      <c r="R707">
        <f t="shared" si="415"/>
        <v>700</v>
      </c>
      <c r="U707" s="55"/>
      <c r="V707">
        <f t="shared" si="416"/>
        <v>5</v>
      </c>
      <c r="W707">
        <f t="shared" ca="1" si="417"/>
        <v>2082</v>
      </c>
      <c r="X707" s="123">
        <f t="shared" ca="1" si="399"/>
        <v>66597</v>
      </c>
      <c r="Y707" s="64">
        <f t="shared" ca="1" si="400"/>
        <v>0</v>
      </c>
      <c r="Z707" s="64">
        <f t="shared" ca="1" si="401"/>
        <v>0</v>
      </c>
      <c r="AA707" s="64">
        <f t="shared" ca="1" si="402"/>
        <v>0</v>
      </c>
      <c r="AB707" s="64">
        <f t="shared" ca="1" si="403"/>
        <v>0</v>
      </c>
      <c r="AF707" t="str">
        <f t="shared" ca="1" si="383"/>
        <v>31986</v>
      </c>
      <c r="AG707" s="126">
        <f t="shared" ca="1" si="384"/>
        <v>0</v>
      </c>
      <c r="AH707" s="126">
        <f t="shared" ca="1" si="385"/>
        <v>0</v>
      </c>
      <c r="AI707" s="126">
        <f t="shared" ca="1" si="386"/>
        <v>0</v>
      </c>
      <c r="AJ707" t="str">
        <f t="shared" ca="1" si="387"/>
        <v>52082</v>
      </c>
      <c r="AK707" s="126">
        <f t="shared" ca="1" si="404"/>
        <v>0</v>
      </c>
      <c r="AL707" s="126">
        <f t="shared" ca="1" si="405"/>
        <v>0</v>
      </c>
      <c r="AM707" s="126">
        <f t="shared" ca="1" si="418"/>
        <v>0</v>
      </c>
      <c r="AN707" s="753">
        <f t="shared" ca="1" si="419"/>
        <v>0</v>
      </c>
      <c r="AO707" s="750">
        <f t="shared" ca="1" si="406"/>
        <v>0</v>
      </c>
      <c r="AP707" s="126">
        <f t="shared" ca="1" si="407"/>
        <v>0</v>
      </c>
      <c r="AQ707" s="126">
        <f t="shared" ca="1" si="408"/>
        <v>0</v>
      </c>
      <c r="AR707" s="126">
        <f t="shared" ca="1" si="388"/>
        <v>10000</v>
      </c>
      <c r="AS707" s="750">
        <f t="shared" ca="1" si="389"/>
        <v>0</v>
      </c>
      <c r="AT707" s="750">
        <f t="shared" ca="1" si="390"/>
        <v>0</v>
      </c>
      <c r="AU707" s="126">
        <f t="shared" ca="1" si="409"/>
        <v>0</v>
      </c>
      <c r="AV707" s="126">
        <f t="shared" ca="1" si="410"/>
        <v>0</v>
      </c>
      <c r="AW707" s="126">
        <f t="shared" ca="1" si="391"/>
        <v>10000</v>
      </c>
      <c r="AX707" s="750">
        <f t="shared" ca="1" si="411"/>
        <v>0</v>
      </c>
      <c r="AY707" s="750">
        <f t="shared" ca="1" si="412"/>
        <v>0</v>
      </c>
      <c r="AZ707">
        <f t="shared" si="413"/>
        <v>5750</v>
      </c>
    </row>
    <row r="708" spans="4:52">
      <c r="D708">
        <v>701</v>
      </c>
      <c r="E708" s="6">
        <f t="shared" ca="1" si="392"/>
        <v>31444</v>
      </c>
      <c r="F708" s="7">
        <f t="shared" ca="1" si="393"/>
        <v>0</v>
      </c>
      <c r="G708" s="125">
        <f ca="1">IF('Simulador - 1º Pilar'!$E$99="Sí",IF('Aportaciones PPE'!$B$13&lt;'Aportaciones PPE'!E708,0,F708*$B$8/12),F708*$B$8/12)</f>
        <v>0</v>
      </c>
      <c r="H708" s="125">
        <f t="shared" ca="1" si="382"/>
        <v>0</v>
      </c>
      <c r="I708" s="125">
        <f t="shared" ca="1" si="394"/>
        <v>0</v>
      </c>
      <c r="J708" s="125">
        <f t="shared" ca="1" si="395"/>
        <v>0</v>
      </c>
      <c r="K708" s="125">
        <f t="shared" ca="1" si="396"/>
        <v>0</v>
      </c>
      <c r="L708" s="125">
        <f t="shared" ca="1" si="414"/>
        <v>0</v>
      </c>
      <c r="M708" s="125">
        <f t="shared" ca="1" si="397"/>
        <v>0</v>
      </c>
      <c r="N708" s="125">
        <f t="shared" ca="1" si="398"/>
        <v>0</v>
      </c>
      <c r="R708">
        <f t="shared" si="415"/>
        <v>701</v>
      </c>
      <c r="U708" s="55"/>
      <c r="V708">
        <f t="shared" si="416"/>
        <v>6</v>
      </c>
      <c r="W708">
        <f t="shared" ca="1" si="417"/>
        <v>2082</v>
      </c>
      <c r="X708" s="123">
        <f t="shared" ca="1" si="399"/>
        <v>66628</v>
      </c>
      <c r="Y708" s="64">
        <f t="shared" ca="1" si="400"/>
        <v>0</v>
      </c>
      <c r="Z708" s="64">
        <f t="shared" ca="1" si="401"/>
        <v>0</v>
      </c>
      <c r="AA708" s="64">
        <f t="shared" ca="1" si="402"/>
        <v>0</v>
      </c>
      <c r="AB708" s="64">
        <f t="shared" ca="1" si="403"/>
        <v>0</v>
      </c>
      <c r="AF708" t="str">
        <f t="shared" ca="1" si="383"/>
        <v>21986</v>
      </c>
      <c r="AG708" s="126">
        <f t="shared" ca="1" si="384"/>
        <v>0</v>
      </c>
      <c r="AH708" s="126">
        <f t="shared" ca="1" si="385"/>
        <v>0</v>
      </c>
      <c r="AI708" s="126">
        <f t="shared" ca="1" si="386"/>
        <v>0</v>
      </c>
      <c r="AJ708" t="str">
        <f t="shared" ca="1" si="387"/>
        <v>62082</v>
      </c>
      <c r="AK708" s="126">
        <f t="shared" ca="1" si="404"/>
        <v>0</v>
      </c>
      <c r="AL708" s="126">
        <f t="shared" ca="1" si="405"/>
        <v>0</v>
      </c>
      <c r="AM708" s="126">
        <f t="shared" ca="1" si="418"/>
        <v>0</v>
      </c>
      <c r="AN708" s="753">
        <f t="shared" ca="1" si="419"/>
        <v>0</v>
      </c>
      <c r="AO708" s="750">
        <f t="shared" ca="1" si="406"/>
        <v>0</v>
      </c>
      <c r="AP708" s="126">
        <f t="shared" ca="1" si="407"/>
        <v>0</v>
      </c>
      <c r="AQ708" s="126">
        <f t="shared" ca="1" si="408"/>
        <v>0</v>
      </c>
      <c r="AR708" s="126">
        <f t="shared" ca="1" si="388"/>
        <v>10000</v>
      </c>
      <c r="AS708" s="750">
        <f t="shared" ca="1" si="389"/>
        <v>0</v>
      </c>
      <c r="AT708" s="750">
        <f t="shared" ca="1" si="390"/>
        <v>0</v>
      </c>
      <c r="AU708" s="126">
        <f t="shared" ca="1" si="409"/>
        <v>0</v>
      </c>
      <c r="AV708" s="126">
        <f t="shared" ca="1" si="410"/>
        <v>0</v>
      </c>
      <c r="AW708" s="126">
        <f t="shared" ca="1" si="391"/>
        <v>10000</v>
      </c>
      <c r="AX708" s="750">
        <f t="shared" ca="1" si="411"/>
        <v>0</v>
      </c>
      <c r="AY708" s="750">
        <f t="shared" ca="1" si="412"/>
        <v>0</v>
      </c>
      <c r="AZ708">
        <f t="shared" si="413"/>
        <v>5750</v>
      </c>
    </row>
    <row r="709" spans="4:52">
      <c r="D709">
        <v>702</v>
      </c>
      <c r="E709" s="6">
        <f t="shared" ca="1" si="392"/>
        <v>31413</v>
      </c>
      <c r="F709" s="7">
        <f t="shared" ca="1" si="393"/>
        <v>0</v>
      </c>
      <c r="G709" s="125">
        <f ca="1">IF('Simulador - 1º Pilar'!$E$99="Sí",IF('Aportaciones PPE'!$B$13&lt;'Aportaciones PPE'!E709,0,F709*$B$8/12),F709*$B$8/12)</f>
        <v>0</v>
      </c>
      <c r="H709" s="125">
        <f t="shared" ca="1" si="382"/>
        <v>0</v>
      </c>
      <c r="I709" s="125">
        <f t="shared" ca="1" si="394"/>
        <v>0</v>
      </c>
      <c r="J709" s="125">
        <f t="shared" ca="1" si="395"/>
        <v>0</v>
      </c>
      <c r="K709" s="125">
        <f t="shared" ca="1" si="396"/>
        <v>0</v>
      </c>
      <c r="L709" s="125">
        <f t="shared" ca="1" si="414"/>
        <v>0</v>
      </c>
      <c r="M709" s="125">
        <f t="shared" ca="1" si="397"/>
        <v>0</v>
      </c>
      <c r="N709" s="125">
        <f t="shared" ca="1" si="398"/>
        <v>0</v>
      </c>
      <c r="R709">
        <f t="shared" si="415"/>
        <v>702</v>
      </c>
      <c r="U709" s="55"/>
      <c r="V709">
        <f t="shared" si="416"/>
        <v>7</v>
      </c>
      <c r="W709">
        <f t="shared" ca="1" si="417"/>
        <v>2082</v>
      </c>
      <c r="X709" s="123">
        <f t="shared" ca="1" si="399"/>
        <v>66658</v>
      </c>
      <c r="Y709" s="64">
        <f t="shared" ca="1" si="400"/>
        <v>0</v>
      </c>
      <c r="Z709" s="64">
        <f t="shared" ca="1" si="401"/>
        <v>0</v>
      </c>
      <c r="AA709" s="64">
        <f t="shared" ca="1" si="402"/>
        <v>0</v>
      </c>
      <c r="AB709" s="64">
        <f t="shared" ca="1" si="403"/>
        <v>0</v>
      </c>
      <c r="AF709" t="str">
        <f t="shared" ca="1" si="383"/>
        <v>11986</v>
      </c>
      <c r="AG709" s="126">
        <f t="shared" ca="1" si="384"/>
        <v>0</v>
      </c>
      <c r="AH709" s="126">
        <f t="shared" ca="1" si="385"/>
        <v>0</v>
      </c>
      <c r="AI709" s="126">
        <f t="shared" ca="1" si="386"/>
        <v>0</v>
      </c>
      <c r="AJ709" t="str">
        <f t="shared" ca="1" si="387"/>
        <v>72082</v>
      </c>
      <c r="AK709" s="126">
        <f t="shared" ca="1" si="404"/>
        <v>0</v>
      </c>
      <c r="AL709" s="126">
        <f t="shared" ca="1" si="405"/>
        <v>0</v>
      </c>
      <c r="AM709" s="126">
        <f t="shared" ca="1" si="418"/>
        <v>0</v>
      </c>
      <c r="AN709" s="753">
        <f t="shared" ca="1" si="419"/>
        <v>0</v>
      </c>
      <c r="AO709" s="750">
        <f t="shared" ca="1" si="406"/>
        <v>0</v>
      </c>
      <c r="AP709" s="126">
        <f t="shared" ca="1" si="407"/>
        <v>0</v>
      </c>
      <c r="AQ709" s="126">
        <f t="shared" ca="1" si="408"/>
        <v>0</v>
      </c>
      <c r="AR709" s="126">
        <f t="shared" ca="1" si="388"/>
        <v>10000</v>
      </c>
      <c r="AS709" s="750">
        <f t="shared" ca="1" si="389"/>
        <v>0</v>
      </c>
      <c r="AT709" s="750">
        <f t="shared" ca="1" si="390"/>
        <v>0</v>
      </c>
      <c r="AU709" s="126">
        <f t="shared" ca="1" si="409"/>
        <v>0</v>
      </c>
      <c r="AV709" s="126">
        <f t="shared" ca="1" si="410"/>
        <v>0</v>
      </c>
      <c r="AW709" s="126">
        <f t="shared" ca="1" si="391"/>
        <v>10000</v>
      </c>
      <c r="AX709" s="750">
        <f t="shared" ca="1" si="411"/>
        <v>0</v>
      </c>
      <c r="AY709" s="750">
        <f t="shared" ca="1" si="412"/>
        <v>0</v>
      </c>
      <c r="AZ709">
        <f t="shared" si="413"/>
        <v>5750</v>
      </c>
    </row>
    <row r="710" spans="4:52">
      <c r="D710">
        <v>703</v>
      </c>
      <c r="E710" s="6">
        <f t="shared" ca="1" si="392"/>
        <v>31382</v>
      </c>
      <c r="F710" s="7">
        <f t="shared" ca="1" si="393"/>
        <v>0</v>
      </c>
      <c r="G710" s="125">
        <f ca="1">IF('Simulador - 1º Pilar'!$E$99="Sí",IF('Aportaciones PPE'!$B$13&lt;'Aportaciones PPE'!E710,0,F710*$B$8/12),F710*$B$8/12)</f>
        <v>0</v>
      </c>
      <c r="H710" s="125">
        <f t="shared" ca="1" si="382"/>
        <v>0</v>
      </c>
      <c r="I710" s="125">
        <f t="shared" ca="1" si="394"/>
        <v>0</v>
      </c>
      <c r="J710" s="125">
        <f t="shared" ca="1" si="395"/>
        <v>0</v>
      </c>
      <c r="K710" s="125">
        <f t="shared" ca="1" si="396"/>
        <v>0</v>
      </c>
      <c r="L710" s="125">
        <f t="shared" ca="1" si="414"/>
        <v>0</v>
      </c>
      <c r="M710" s="125">
        <f t="shared" ca="1" si="397"/>
        <v>0</v>
      </c>
      <c r="N710" s="125">
        <f t="shared" ca="1" si="398"/>
        <v>0</v>
      </c>
      <c r="R710">
        <f t="shared" si="415"/>
        <v>703</v>
      </c>
      <c r="U710" s="55"/>
      <c r="V710">
        <f t="shared" si="416"/>
        <v>8</v>
      </c>
      <c r="W710">
        <f t="shared" ca="1" si="417"/>
        <v>2082</v>
      </c>
      <c r="X710" s="123">
        <f t="shared" ca="1" si="399"/>
        <v>66689</v>
      </c>
      <c r="Y710" s="64">
        <f t="shared" ca="1" si="400"/>
        <v>0</v>
      </c>
      <c r="Z710" s="64">
        <f t="shared" ca="1" si="401"/>
        <v>0</v>
      </c>
      <c r="AA710" s="64">
        <f t="shared" ca="1" si="402"/>
        <v>0</v>
      </c>
      <c r="AB710" s="64">
        <f t="shared" ca="1" si="403"/>
        <v>0</v>
      </c>
      <c r="AF710" t="str">
        <f t="shared" ca="1" si="383"/>
        <v>121985</v>
      </c>
      <c r="AG710" s="126">
        <f t="shared" ca="1" si="384"/>
        <v>0</v>
      </c>
      <c r="AH710" s="126">
        <f t="shared" ca="1" si="385"/>
        <v>0</v>
      </c>
      <c r="AI710" s="126">
        <f t="shared" ca="1" si="386"/>
        <v>0</v>
      </c>
      <c r="AJ710" t="str">
        <f t="shared" ca="1" si="387"/>
        <v>82082</v>
      </c>
      <c r="AK710" s="126">
        <f t="shared" ca="1" si="404"/>
        <v>0</v>
      </c>
      <c r="AL710" s="126">
        <f t="shared" ca="1" si="405"/>
        <v>0</v>
      </c>
      <c r="AM710" s="126">
        <f t="shared" ca="1" si="418"/>
        <v>0</v>
      </c>
      <c r="AN710" s="753">
        <f t="shared" ca="1" si="419"/>
        <v>0</v>
      </c>
      <c r="AO710" s="750">
        <f t="shared" ca="1" si="406"/>
        <v>0</v>
      </c>
      <c r="AP710" s="126">
        <f t="shared" ca="1" si="407"/>
        <v>0</v>
      </c>
      <c r="AQ710" s="126">
        <f t="shared" ca="1" si="408"/>
        <v>0</v>
      </c>
      <c r="AR710" s="126">
        <f t="shared" ca="1" si="388"/>
        <v>10000</v>
      </c>
      <c r="AS710" s="750">
        <f t="shared" ca="1" si="389"/>
        <v>0</v>
      </c>
      <c r="AT710" s="750">
        <f t="shared" ca="1" si="390"/>
        <v>0</v>
      </c>
      <c r="AU710" s="126">
        <f t="shared" ca="1" si="409"/>
        <v>0</v>
      </c>
      <c r="AV710" s="126">
        <f t="shared" ca="1" si="410"/>
        <v>0</v>
      </c>
      <c r="AW710" s="126">
        <f t="shared" ca="1" si="391"/>
        <v>10000</v>
      </c>
      <c r="AX710" s="750">
        <f t="shared" ca="1" si="411"/>
        <v>0</v>
      </c>
      <c r="AY710" s="750">
        <f t="shared" ca="1" si="412"/>
        <v>0</v>
      </c>
      <c r="AZ710">
        <f t="shared" si="413"/>
        <v>5750</v>
      </c>
    </row>
    <row r="711" spans="4:52">
      <c r="D711">
        <v>704</v>
      </c>
      <c r="E711" s="6">
        <f t="shared" ca="1" si="392"/>
        <v>31352</v>
      </c>
      <c r="F711" s="7">
        <f t="shared" ca="1" si="393"/>
        <v>0</v>
      </c>
      <c r="G711" s="125">
        <f ca="1">IF('Simulador - 1º Pilar'!$E$99="Sí",IF('Aportaciones PPE'!$B$13&lt;'Aportaciones PPE'!E711,0,F711*$B$8/12),F711*$B$8/12)</f>
        <v>0</v>
      </c>
      <c r="H711" s="125">
        <f t="shared" ref="H711:H774" ca="1" si="420">$H$5*G711</f>
        <v>0</v>
      </c>
      <c r="I711" s="125">
        <f t="shared" ca="1" si="394"/>
        <v>0</v>
      </c>
      <c r="J711" s="125">
        <f t="shared" ca="1" si="395"/>
        <v>0</v>
      </c>
      <c r="K711" s="125">
        <f t="shared" ca="1" si="396"/>
        <v>0</v>
      </c>
      <c r="L711" s="125">
        <f t="shared" ca="1" si="414"/>
        <v>0</v>
      </c>
      <c r="M711" s="125">
        <f t="shared" ca="1" si="397"/>
        <v>0</v>
      </c>
      <c r="N711" s="125">
        <f t="shared" ca="1" si="398"/>
        <v>0</v>
      </c>
      <c r="R711">
        <f t="shared" si="415"/>
        <v>704</v>
      </c>
      <c r="U711" s="55"/>
      <c r="V711">
        <f t="shared" si="416"/>
        <v>9</v>
      </c>
      <c r="W711">
        <f t="shared" ca="1" si="417"/>
        <v>2082</v>
      </c>
      <c r="X711" s="123">
        <f t="shared" ca="1" si="399"/>
        <v>66720</v>
      </c>
      <c r="Y711" s="64">
        <f t="shared" ca="1" si="400"/>
        <v>0</v>
      </c>
      <c r="Z711" s="64">
        <f t="shared" ca="1" si="401"/>
        <v>0</v>
      </c>
      <c r="AA711" s="64">
        <f t="shared" ca="1" si="402"/>
        <v>0</v>
      </c>
      <c r="AB711" s="64">
        <f t="shared" ca="1" si="403"/>
        <v>0</v>
      </c>
      <c r="AF711" t="str">
        <f t="shared" ref="AF711:AF774" ca="1" si="421">+MONTH(E711)&amp;YEAR(E711)</f>
        <v>111985</v>
      </c>
      <c r="AG711" s="126">
        <f t="shared" ref="AG711:AG774" ca="1" si="422">+I711</f>
        <v>0</v>
      </c>
      <c r="AH711" s="126">
        <f t="shared" ref="AH711:AH774" ca="1" si="423">+J711</f>
        <v>0</v>
      </c>
      <c r="AI711" s="126">
        <f t="shared" ref="AI711:AI774" ca="1" si="424">+H711</f>
        <v>0</v>
      </c>
      <c r="AJ711" t="str">
        <f t="shared" ref="AJ711:AJ774" ca="1" si="425">+V711&amp;W711</f>
        <v>92082</v>
      </c>
      <c r="AK711" s="126">
        <f t="shared" ca="1" si="404"/>
        <v>0</v>
      </c>
      <c r="AL711" s="126">
        <f t="shared" ca="1" si="405"/>
        <v>0</v>
      </c>
      <c r="AM711" s="126">
        <f t="shared" ca="1" si="418"/>
        <v>0</v>
      </c>
      <c r="AN711" s="753">
        <f t="shared" ca="1" si="419"/>
        <v>0</v>
      </c>
      <c r="AO711" s="750">
        <f t="shared" ca="1" si="406"/>
        <v>0</v>
      </c>
      <c r="AP711" s="126">
        <f t="shared" ca="1" si="407"/>
        <v>0</v>
      </c>
      <c r="AQ711" s="126">
        <f t="shared" ca="1" si="408"/>
        <v>0</v>
      </c>
      <c r="AR711" s="126">
        <f t="shared" ref="AR711:AR774" ca="1" si="426">+MAX($AM$2-SUMIF($W$7:$W$1066,W711,$AN$7:$AN$1066),0)</f>
        <v>10000</v>
      </c>
      <c r="AS711" s="750">
        <f t="shared" ref="AS711:AS774" ca="1" si="427">+MAX(IF(AQ711&gt;AR711,AR711-AQ710,AP711),0)</f>
        <v>0</v>
      </c>
      <c r="AT711" s="750">
        <f t="shared" ref="AT711:AT774" ca="1" si="428">+AP711-AS711</f>
        <v>0</v>
      </c>
      <c r="AU711" s="126">
        <f t="shared" ca="1" si="409"/>
        <v>0</v>
      </c>
      <c r="AV711" s="126">
        <f t="shared" ca="1" si="410"/>
        <v>0</v>
      </c>
      <c r="AW711" s="126">
        <f t="shared" ref="AW711:AW774" ca="1" si="429">+MAX($AM$2-SUMIF($W$7:$W$1066,W711,$AN$7:$AN$1066)-SUMIF($W$7:$W$1066,W711,$AS$7:$AS$1066),0)</f>
        <v>10000</v>
      </c>
      <c r="AX711" s="750">
        <f t="shared" ca="1" si="411"/>
        <v>0</v>
      </c>
      <c r="AY711" s="750">
        <f t="shared" ca="1" si="412"/>
        <v>0</v>
      </c>
      <c r="AZ711">
        <f t="shared" si="413"/>
        <v>5750</v>
      </c>
    </row>
    <row r="712" spans="4:52">
      <c r="D712">
        <v>705</v>
      </c>
      <c r="E712" s="6">
        <f t="shared" ref="E712:E775" ca="1" si="430">+DATE(YEAR(E711),MONTH(E711)-1,DAY(E711))</f>
        <v>31321</v>
      </c>
      <c r="F712" s="7">
        <f t="shared" ref="F712:F775" ca="1" si="431">IF(DATE(YEAR($B$6),MONTH($B$6)+1,DAY(1))=E712,1,IF(MONTH(E712)=1,F713*(1+$F$5),F713))</f>
        <v>0</v>
      </c>
      <c r="G712" s="125">
        <f ca="1">IF('Simulador - 1º Pilar'!$E$99="Sí",IF('Aportaciones PPE'!$B$13&lt;'Aportaciones PPE'!E712,0,F712*$B$8/12),F712*$B$8/12)</f>
        <v>0</v>
      </c>
      <c r="H712" s="125">
        <f t="shared" ca="1" si="420"/>
        <v>0</v>
      </c>
      <c r="I712" s="125">
        <f t="shared" ref="I712:I775" ca="1" si="432">$I$5*G712</f>
        <v>0</v>
      </c>
      <c r="J712" s="125">
        <f t="shared" ref="J712:J775" ca="1" si="433">+I712</f>
        <v>0</v>
      </c>
      <c r="K712" s="125">
        <f t="shared" ref="K712:K775" ca="1" si="434">(1+$O$5)^(D712/12)*(H712+IF(AND(F712=1,F713=0),$S$4,0))</f>
        <v>0</v>
      </c>
      <c r="L712" s="125">
        <f t="shared" ca="1" si="414"/>
        <v>0</v>
      </c>
      <c r="M712" s="125">
        <f t="shared" ref="M712:M775" ca="1" si="435">+L712</f>
        <v>0</v>
      </c>
      <c r="N712" s="125">
        <f t="shared" ref="N712:N775" ca="1" si="436">L712+K712+M712</f>
        <v>0</v>
      </c>
      <c r="R712">
        <f t="shared" si="415"/>
        <v>705</v>
      </c>
      <c r="U712" s="55"/>
      <c r="V712">
        <f t="shared" si="416"/>
        <v>10</v>
      </c>
      <c r="W712">
        <f t="shared" ca="1" si="417"/>
        <v>2082</v>
      </c>
      <c r="X712" s="123">
        <f t="shared" ref="X712:X775" ca="1" si="437">+DATE(W712,V712,1)</f>
        <v>66750</v>
      </c>
      <c r="Y712" s="64">
        <f t="shared" ref="Y712:Y775" ca="1" si="438">+_xlfn.IFNA(AN712+AS712+AX712,0)</f>
        <v>0</v>
      </c>
      <c r="Z712" s="64">
        <f t="shared" ref="Z712:Z775" ca="1" si="439">+_xlfn.IFNA(AO712+AT712+AY712,0)</f>
        <v>0</v>
      </c>
      <c r="AA712" s="64">
        <f t="shared" ref="AA712:AA775" ca="1" si="440">Y712*(1+$O$5)^(($B$7-X712)/365.25)</f>
        <v>0</v>
      </c>
      <c r="AB712" s="64">
        <f t="shared" ref="AB712:AB775" ca="1" si="441">Z712*(1+$O$5)^(($B$7-X712)/365.25)</f>
        <v>0</v>
      </c>
      <c r="AF712" t="str">
        <f t="shared" ca="1" si="421"/>
        <v>101985</v>
      </c>
      <c r="AG712" s="126">
        <f t="shared" ca="1" si="422"/>
        <v>0</v>
      </c>
      <c r="AH712" s="126">
        <f t="shared" ca="1" si="423"/>
        <v>0</v>
      </c>
      <c r="AI712" s="126">
        <f t="shared" ca="1" si="424"/>
        <v>0</v>
      </c>
      <c r="AJ712" t="str">
        <f t="shared" ca="1" si="425"/>
        <v>102082</v>
      </c>
      <c r="AK712" s="126">
        <f t="shared" ref="AK712:AK775" ca="1" si="442">+_xlfn.IFNA(VLOOKUP(AJ712,$AF$7:$AG$1066,2,0),0)</f>
        <v>0</v>
      </c>
      <c r="AL712" s="126">
        <f t="shared" ref="AL712:AL775" ca="1" si="443">+IF(W712&gt;W711,AK712,AL711+AK712)</f>
        <v>0</v>
      </c>
      <c r="AM712" s="126">
        <f t="shared" ca="1" si="418"/>
        <v>0</v>
      </c>
      <c r="AN712" s="753">
        <f t="shared" ca="1" si="419"/>
        <v>0</v>
      </c>
      <c r="AO712" s="750">
        <f t="shared" ref="AO712:AO775" ca="1" si="444">+AK712-AN712</f>
        <v>0</v>
      </c>
      <c r="AP712" s="126">
        <f t="shared" ref="AP712:AP775" ca="1" si="445">+_xlfn.IFNA(VLOOKUP(AJ712,$AF$7:$AI$1066,3,0),0)</f>
        <v>0</v>
      </c>
      <c r="AQ712" s="126">
        <f t="shared" ref="AQ712:AQ775" ca="1" si="446">+IF(W712&gt;W711,AP712,AQ711+AP712)</f>
        <v>0</v>
      </c>
      <c r="AR712" s="126">
        <f t="shared" ca="1" si="426"/>
        <v>10000</v>
      </c>
      <c r="AS712" s="750">
        <f t="shared" ca="1" si="427"/>
        <v>0</v>
      </c>
      <c r="AT712" s="750">
        <f t="shared" ca="1" si="428"/>
        <v>0</v>
      </c>
      <c r="AU712" s="126">
        <f t="shared" ref="AU712:AU775" ca="1" si="447">+_xlfn.IFNA(VLOOKUP(AJ712,$AF$7:$AI$1066,4,0),0)</f>
        <v>0</v>
      </c>
      <c r="AV712" s="126">
        <f t="shared" ref="AV712:AV775" ca="1" si="448">+IF(W712&gt;W711,AU712,AV711+AU712)</f>
        <v>0</v>
      </c>
      <c r="AW712" s="126">
        <f t="shared" ca="1" si="429"/>
        <v>10000</v>
      </c>
      <c r="AX712" s="750">
        <f t="shared" ref="AX712:AX775" ca="1" si="449">+MAX(IF(AV712&gt;AW712,AW712-AV711,AU712),0)</f>
        <v>0</v>
      </c>
      <c r="AY712" s="750">
        <f t="shared" ref="AY712:AY775" ca="1" si="450">+AU712-AX712</f>
        <v>0</v>
      </c>
      <c r="AZ712">
        <f t="shared" ref="AZ712:AZ775" si="451">+$AM$1+IF($AP$1&gt;$AP$2,$AM$3/2)</f>
        <v>5750</v>
      </c>
    </row>
    <row r="713" spans="4:52">
      <c r="D713">
        <v>706</v>
      </c>
      <c r="E713" s="6">
        <f t="shared" ca="1" si="430"/>
        <v>31291</v>
      </c>
      <c r="F713" s="7">
        <f t="shared" ca="1" si="431"/>
        <v>0</v>
      </c>
      <c r="G713" s="125">
        <f ca="1">IF('Simulador - 1º Pilar'!$E$99="Sí",IF('Aportaciones PPE'!$B$13&lt;'Aportaciones PPE'!E713,0,F713*$B$8/12),F713*$B$8/12)</f>
        <v>0</v>
      </c>
      <c r="H713" s="125">
        <f t="shared" ca="1" si="420"/>
        <v>0</v>
      </c>
      <c r="I713" s="125">
        <f t="shared" ca="1" si="432"/>
        <v>0</v>
      </c>
      <c r="J713" s="125">
        <f t="shared" ca="1" si="433"/>
        <v>0</v>
      </c>
      <c r="K713" s="125">
        <f t="shared" ca="1" si="434"/>
        <v>0</v>
      </c>
      <c r="L713" s="125">
        <f t="shared" ref="L713:L776" ca="1" si="452">(1+$O$5)^(D713/12)*(I713+IF(AND(F713=1,F714=0),0))</f>
        <v>0</v>
      </c>
      <c r="M713" s="125">
        <f t="shared" ca="1" si="435"/>
        <v>0</v>
      </c>
      <c r="N713" s="125">
        <f t="shared" ca="1" si="436"/>
        <v>0</v>
      </c>
      <c r="R713">
        <f t="shared" ref="R713:R776" si="453">D713</f>
        <v>706</v>
      </c>
      <c r="U713" s="55"/>
      <c r="V713">
        <f t="shared" ref="V713:V776" si="454">+IF(V712=11,12,IF(V712=12,1,V712+1))</f>
        <v>11</v>
      </c>
      <c r="W713">
        <f t="shared" ref="W713:W776" ca="1" si="455">+W712+IF(V712=12,1,0)</f>
        <v>2082</v>
      </c>
      <c r="X713" s="123">
        <f t="shared" ca="1" si="437"/>
        <v>66781</v>
      </c>
      <c r="Y713" s="64">
        <f t="shared" ca="1" si="438"/>
        <v>0</v>
      </c>
      <c r="Z713" s="64">
        <f t="shared" ca="1" si="439"/>
        <v>0</v>
      </c>
      <c r="AA713" s="64">
        <f t="shared" ca="1" si="440"/>
        <v>0</v>
      </c>
      <c r="AB713" s="64">
        <f t="shared" ca="1" si="441"/>
        <v>0</v>
      </c>
      <c r="AF713" t="str">
        <f t="shared" ca="1" si="421"/>
        <v>91985</v>
      </c>
      <c r="AG713" s="126">
        <f t="shared" ca="1" si="422"/>
        <v>0</v>
      </c>
      <c r="AH713" s="126">
        <f t="shared" ca="1" si="423"/>
        <v>0</v>
      </c>
      <c r="AI713" s="126">
        <f t="shared" ca="1" si="424"/>
        <v>0</v>
      </c>
      <c r="AJ713" t="str">
        <f t="shared" ca="1" si="425"/>
        <v>112082</v>
      </c>
      <c r="AK713" s="126">
        <f t="shared" ca="1" si="442"/>
        <v>0</v>
      </c>
      <c r="AL713" s="126">
        <f t="shared" ca="1" si="443"/>
        <v>0</v>
      </c>
      <c r="AM713" s="126">
        <f t="shared" ref="AM713:AM776" ca="1" si="456">IF(W713&gt;W712,IF(AL713&gt;=$AZ$8,$AZ$8,AL713),IF(OR(AM712=$AZ$8,AM712=0),0,IF(AL713&gt;=$AZ$8,$AZ$8,AL713)))</f>
        <v>0</v>
      </c>
      <c r="AN713" s="753">
        <f t="shared" ref="AN713:AN776" ca="1" si="457">+IF(OR(AM713&gt;AZ712,AM713=0),0,IF(AM713=AL713,AK713,$AZ$7-AL712))</f>
        <v>0</v>
      </c>
      <c r="AO713" s="750">
        <f t="shared" ca="1" si="444"/>
        <v>0</v>
      </c>
      <c r="AP713" s="126">
        <f t="shared" ca="1" si="445"/>
        <v>0</v>
      </c>
      <c r="AQ713" s="126">
        <f t="shared" ca="1" si="446"/>
        <v>0</v>
      </c>
      <c r="AR713" s="126">
        <f t="shared" ca="1" si="426"/>
        <v>10000</v>
      </c>
      <c r="AS713" s="750">
        <f t="shared" ca="1" si="427"/>
        <v>0</v>
      </c>
      <c r="AT713" s="750">
        <f t="shared" ca="1" si="428"/>
        <v>0</v>
      </c>
      <c r="AU713" s="126">
        <f t="shared" ca="1" si="447"/>
        <v>0</v>
      </c>
      <c r="AV713" s="126">
        <f t="shared" ca="1" si="448"/>
        <v>0</v>
      </c>
      <c r="AW713" s="126">
        <f t="shared" ca="1" si="429"/>
        <v>10000</v>
      </c>
      <c r="AX713" s="750">
        <f t="shared" ca="1" si="449"/>
        <v>0</v>
      </c>
      <c r="AY713" s="750">
        <f t="shared" ca="1" si="450"/>
        <v>0</v>
      </c>
      <c r="AZ713">
        <f t="shared" si="451"/>
        <v>5750</v>
      </c>
    </row>
    <row r="714" spans="4:52">
      <c r="D714">
        <v>707</v>
      </c>
      <c r="E714" s="6">
        <f t="shared" ca="1" si="430"/>
        <v>31260</v>
      </c>
      <c r="F714" s="7">
        <f t="shared" ca="1" si="431"/>
        <v>0</v>
      </c>
      <c r="G714" s="125">
        <f ca="1">IF('Simulador - 1º Pilar'!$E$99="Sí",IF('Aportaciones PPE'!$B$13&lt;'Aportaciones PPE'!E714,0,F714*$B$8/12),F714*$B$8/12)</f>
        <v>0</v>
      </c>
      <c r="H714" s="125">
        <f t="shared" ca="1" si="420"/>
        <v>0</v>
      </c>
      <c r="I714" s="125">
        <f t="shared" ca="1" si="432"/>
        <v>0</v>
      </c>
      <c r="J714" s="125">
        <f t="shared" ca="1" si="433"/>
        <v>0</v>
      </c>
      <c r="K714" s="125">
        <f t="shared" ca="1" si="434"/>
        <v>0</v>
      </c>
      <c r="L714" s="125">
        <f t="shared" ca="1" si="452"/>
        <v>0</v>
      </c>
      <c r="M714" s="125">
        <f t="shared" ca="1" si="435"/>
        <v>0</v>
      </c>
      <c r="N714" s="125">
        <f t="shared" ca="1" si="436"/>
        <v>0</v>
      </c>
      <c r="R714">
        <f t="shared" si="453"/>
        <v>707</v>
      </c>
      <c r="U714" s="55"/>
      <c r="V714">
        <f t="shared" si="454"/>
        <v>12</v>
      </c>
      <c r="W714">
        <f t="shared" ca="1" si="455"/>
        <v>2082</v>
      </c>
      <c r="X714" s="123">
        <f t="shared" ca="1" si="437"/>
        <v>66811</v>
      </c>
      <c r="Y714" s="64">
        <f t="shared" ca="1" si="438"/>
        <v>0</v>
      </c>
      <c r="Z714" s="64">
        <f t="shared" ca="1" si="439"/>
        <v>0</v>
      </c>
      <c r="AA714" s="64">
        <f t="shared" ca="1" si="440"/>
        <v>0</v>
      </c>
      <c r="AB714" s="64">
        <f t="shared" ca="1" si="441"/>
        <v>0</v>
      </c>
      <c r="AF714" t="str">
        <f t="shared" ca="1" si="421"/>
        <v>81985</v>
      </c>
      <c r="AG714" s="126">
        <f t="shared" ca="1" si="422"/>
        <v>0</v>
      </c>
      <c r="AH714" s="126">
        <f t="shared" ca="1" si="423"/>
        <v>0</v>
      </c>
      <c r="AI714" s="126">
        <f t="shared" ca="1" si="424"/>
        <v>0</v>
      </c>
      <c r="AJ714" t="str">
        <f t="shared" ca="1" si="425"/>
        <v>122082</v>
      </c>
      <c r="AK714" s="126">
        <f t="shared" ca="1" si="442"/>
        <v>0</v>
      </c>
      <c r="AL714" s="126">
        <f t="shared" ca="1" si="443"/>
        <v>0</v>
      </c>
      <c r="AM714" s="126">
        <f t="shared" ca="1" si="456"/>
        <v>0</v>
      </c>
      <c r="AN714" s="753">
        <f t="shared" ca="1" si="457"/>
        <v>0</v>
      </c>
      <c r="AO714" s="750">
        <f t="shared" ca="1" si="444"/>
        <v>0</v>
      </c>
      <c r="AP714" s="126">
        <f t="shared" ca="1" si="445"/>
        <v>0</v>
      </c>
      <c r="AQ714" s="126">
        <f t="shared" ca="1" si="446"/>
        <v>0</v>
      </c>
      <c r="AR714" s="126">
        <f t="shared" ca="1" si="426"/>
        <v>10000</v>
      </c>
      <c r="AS714" s="750">
        <f t="shared" ca="1" si="427"/>
        <v>0</v>
      </c>
      <c r="AT714" s="750">
        <f t="shared" ca="1" si="428"/>
        <v>0</v>
      </c>
      <c r="AU714" s="126">
        <f t="shared" ca="1" si="447"/>
        <v>0</v>
      </c>
      <c r="AV714" s="126">
        <f t="shared" ca="1" si="448"/>
        <v>0</v>
      </c>
      <c r="AW714" s="126">
        <f t="shared" ca="1" si="429"/>
        <v>10000</v>
      </c>
      <c r="AX714" s="750">
        <f t="shared" ca="1" si="449"/>
        <v>0</v>
      </c>
      <c r="AY714" s="750">
        <f t="shared" ca="1" si="450"/>
        <v>0</v>
      </c>
      <c r="AZ714">
        <f t="shared" si="451"/>
        <v>5750</v>
      </c>
    </row>
    <row r="715" spans="4:52">
      <c r="D715">
        <v>708</v>
      </c>
      <c r="E715" s="6">
        <f t="shared" ca="1" si="430"/>
        <v>31229</v>
      </c>
      <c r="F715" s="7">
        <f t="shared" ca="1" si="431"/>
        <v>0</v>
      </c>
      <c r="G715" s="125">
        <f ca="1">IF('Simulador - 1º Pilar'!$E$99="Sí",IF('Aportaciones PPE'!$B$13&lt;'Aportaciones PPE'!E715,0,F715*$B$8/12),F715*$B$8/12)</f>
        <v>0</v>
      </c>
      <c r="H715" s="125">
        <f t="shared" ca="1" si="420"/>
        <v>0</v>
      </c>
      <c r="I715" s="125">
        <f t="shared" ca="1" si="432"/>
        <v>0</v>
      </c>
      <c r="J715" s="125">
        <f t="shared" ca="1" si="433"/>
        <v>0</v>
      </c>
      <c r="K715" s="125">
        <f t="shared" ca="1" si="434"/>
        <v>0</v>
      </c>
      <c r="L715" s="125">
        <f t="shared" ca="1" si="452"/>
        <v>0</v>
      </c>
      <c r="M715" s="125">
        <f t="shared" ca="1" si="435"/>
        <v>0</v>
      </c>
      <c r="N715" s="125">
        <f t="shared" ca="1" si="436"/>
        <v>0</v>
      </c>
      <c r="R715">
        <f t="shared" si="453"/>
        <v>708</v>
      </c>
      <c r="U715" s="55"/>
      <c r="V715">
        <f t="shared" si="454"/>
        <v>1</v>
      </c>
      <c r="W715">
        <f t="shared" ca="1" si="455"/>
        <v>2083</v>
      </c>
      <c r="X715" s="123">
        <f t="shared" ca="1" si="437"/>
        <v>66842</v>
      </c>
      <c r="Y715" s="64">
        <f t="shared" ca="1" si="438"/>
        <v>0</v>
      </c>
      <c r="Z715" s="64">
        <f t="shared" ca="1" si="439"/>
        <v>0</v>
      </c>
      <c r="AA715" s="64">
        <f t="shared" ca="1" si="440"/>
        <v>0</v>
      </c>
      <c r="AB715" s="64">
        <f t="shared" ca="1" si="441"/>
        <v>0</v>
      </c>
      <c r="AF715" t="str">
        <f t="shared" ca="1" si="421"/>
        <v>71985</v>
      </c>
      <c r="AG715" s="126">
        <f t="shared" ca="1" si="422"/>
        <v>0</v>
      </c>
      <c r="AH715" s="126">
        <f t="shared" ca="1" si="423"/>
        <v>0</v>
      </c>
      <c r="AI715" s="126">
        <f t="shared" ca="1" si="424"/>
        <v>0</v>
      </c>
      <c r="AJ715" t="str">
        <f t="shared" ca="1" si="425"/>
        <v>12083</v>
      </c>
      <c r="AK715" s="126">
        <f t="shared" ca="1" si="442"/>
        <v>0</v>
      </c>
      <c r="AL715" s="126">
        <f t="shared" ca="1" si="443"/>
        <v>0</v>
      </c>
      <c r="AM715" s="126">
        <f t="shared" ca="1" si="456"/>
        <v>0</v>
      </c>
      <c r="AN715" s="753">
        <f t="shared" ca="1" si="457"/>
        <v>0</v>
      </c>
      <c r="AO715" s="750">
        <f t="shared" ca="1" si="444"/>
        <v>0</v>
      </c>
      <c r="AP715" s="126">
        <f t="shared" ca="1" si="445"/>
        <v>0</v>
      </c>
      <c r="AQ715" s="126">
        <f t="shared" ca="1" si="446"/>
        <v>0</v>
      </c>
      <c r="AR715" s="126">
        <f t="shared" ca="1" si="426"/>
        <v>10000</v>
      </c>
      <c r="AS715" s="750">
        <f t="shared" ca="1" si="427"/>
        <v>0</v>
      </c>
      <c r="AT715" s="750">
        <f t="shared" ca="1" si="428"/>
        <v>0</v>
      </c>
      <c r="AU715" s="126">
        <f t="shared" ca="1" si="447"/>
        <v>0</v>
      </c>
      <c r="AV715" s="126">
        <f t="shared" ca="1" si="448"/>
        <v>0</v>
      </c>
      <c r="AW715" s="126">
        <f t="shared" ca="1" si="429"/>
        <v>10000</v>
      </c>
      <c r="AX715" s="750">
        <f t="shared" ca="1" si="449"/>
        <v>0</v>
      </c>
      <c r="AY715" s="750">
        <f t="shared" ca="1" si="450"/>
        <v>0</v>
      </c>
      <c r="AZ715">
        <f t="shared" si="451"/>
        <v>5750</v>
      </c>
    </row>
    <row r="716" spans="4:52">
      <c r="D716">
        <v>709</v>
      </c>
      <c r="E716" s="6">
        <f t="shared" ca="1" si="430"/>
        <v>31199</v>
      </c>
      <c r="F716" s="7">
        <f t="shared" ca="1" si="431"/>
        <v>0</v>
      </c>
      <c r="G716" s="125">
        <f ca="1">IF('Simulador - 1º Pilar'!$E$99="Sí",IF('Aportaciones PPE'!$B$13&lt;'Aportaciones PPE'!E716,0,F716*$B$8/12),F716*$B$8/12)</f>
        <v>0</v>
      </c>
      <c r="H716" s="125">
        <f t="shared" ca="1" si="420"/>
        <v>0</v>
      </c>
      <c r="I716" s="125">
        <f t="shared" ca="1" si="432"/>
        <v>0</v>
      </c>
      <c r="J716" s="125">
        <f t="shared" ca="1" si="433"/>
        <v>0</v>
      </c>
      <c r="K716" s="125">
        <f t="shared" ca="1" si="434"/>
        <v>0</v>
      </c>
      <c r="L716" s="125">
        <f t="shared" ca="1" si="452"/>
        <v>0</v>
      </c>
      <c r="M716" s="125">
        <f t="shared" ca="1" si="435"/>
        <v>0</v>
      </c>
      <c r="N716" s="125">
        <f t="shared" ca="1" si="436"/>
        <v>0</v>
      </c>
      <c r="R716">
        <f t="shared" si="453"/>
        <v>709</v>
      </c>
      <c r="U716" s="55"/>
      <c r="V716">
        <f t="shared" si="454"/>
        <v>2</v>
      </c>
      <c r="W716">
        <f t="shared" ca="1" si="455"/>
        <v>2083</v>
      </c>
      <c r="X716" s="123">
        <f t="shared" ca="1" si="437"/>
        <v>66873</v>
      </c>
      <c r="Y716" s="64">
        <f t="shared" ca="1" si="438"/>
        <v>0</v>
      </c>
      <c r="Z716" s="64">
        <f t="shared" ca="1" si="439"/>
        <v>0</v>
      </c>
      <c r="AA716" s="64">
        <f t="shared" ca="1" si="440"/>
        <v>0</v>
      </c>
      <c r="AB716" s="64">
        <f t="shared" ca="1" si="441"/>
        <v>0</v>
      </c>
      <c r="AF716" t="str">
        <f t="shared" ca="1" si="421"/>
        <v>61985</v>
      </c>
      <c r="AG716" s="126">
        <f t="shared" ca="1" si="422"/>
        <v>0</v>
      </c>
      <c r="AH716" s="126">
        <f t="shared" ca="1" si="423"/>
        <v>0</v>
      </c>
      <c r="AI716" s="126">
        <f t="shared" ca="1" si="424"/>
        <v>0</v>
      </c>
      <c r="AJ716" t="str">
        <f t="shared" ca="1" si="425"/>
        <v>22083</v>
      </c>
      <c r="AK716" s="126">
        <f t="shared" ca="1" si="442"/>
        <v>0</v>
      </c>
      <c r="AL716" s="126">
        <f t="shared" ca="1" si="443"/>
        <v>0</v>
      </c>
      <c r="AM716" s="126">
        <f t="shared" ca="1" si="456"/>
        <v>0</v>
      </c>
      <c r="AN716" s="753">
        <f t="shared" ca="1" si="457"/>
        <v>0</v>
      </c>
      <c r="AO716" s="750">
        <f t="shared" ca="1" si="444"/>
        <v>0</v>
      </c>
      <c r="AP716" s="126">
        <f t="shared" ca="1" si="445"/>
        <v>0</v>
      </c>
      <c r="AQ716" s="126">
        <f t="shared" ca="1" si="446"/>
        <v>0</v>
      </c>
      <c r="AR716" s="126">
        <f t="shared" ca="1" si="426"/>
        <v>10000</v>
      </c>
      <c r="AS716" s="750">
        <f t="shared" ca="1" si="427"/>
        <v>0</v>
      </c>
      <c r="AT716" s="750">
        <f t="shared" ca="1" si="428"/>
        <v>0</v>
      </c>
      <c r="AU716" s="126">
        <f t="shared" ca="1" si="447"/>
        <v>0</v>
      </c>
      <c r="AV716" s="126">
        <f t="shared" ca="1" si="448"/>
        <v>0</v>
      </c>
      <c r="AW716" s="126">
        <f t="shared" ca="1" si="429"/>
        <v>10000</v>
      </c>
      <c r="AX716" s="750">
        <f t="shared" ca="1" si="449"/>
        <v>0</v>
      </c>
      <c r="AY716" s="750">
        <f t="shared" ca="1" si="450"/>
        <v>0</v>
      </c>
      <c r="AZ716">
        <f t="shared" si="451"/>
        <v>5750</v>
      </c>
    </row>
    <row r="717" spans="4:52">
      <c r="D717">
        <v>710</v>
      </c>
      <c r="E717" s="6">
        <f t="shared" ca="1" si="430"/>
        <v>31168</v>
      </c>
      <c r="F717" s="7">
        <f t="shared" ca="1" si="431"/>
        <v>0</v>
      </c>
      <c r="G717" s="125">
        <f ca="1">IF('Simulador - 1º Pilar'!$E$99="Sí",IF('Aportaciones PPE'!$B$13&lt;'Aportaciones PPE'!E717,0,F717*$B$8/12),F717*$B$8/12)</f>
        <v>0</v>
      </c>
      <c r="H717" s="125">
        <f t="shared" ca="1" si="420"/>
        <v>0</v>
      </c>
      <c r="I717" s="125">
        <f t="shared" ca="1" si="432"/>
        <v>0</v>
      </c>
      <c r="J717" s="125">
        <f t="shared" ca="1" si="433"/>
        <v>0</v>
      </c>
      <c r="K717" s="125">
        <f t="shared" ca="1" si="434"/>
        <v>0</v>
      </c>
      <c r="L717" s="125">
        <f t="shared" ca="1" si="452"/>
        <v>0</v>
      </c>
      <c r="M717" s="125">
        <f t="shared" ca="1" si="435"/>
        <v>0</v>
      </c>
      <c r="N717" s="125">
        <f t="shared" ca="1" si="436"/>
        <v>0</v>
      </c>
      <c r="R717">
        <f t="shared" si="453"/>
        <v>710</v>
      </c>
      <c r="U717" s="55"/>
      <c r="V717">
        <f t="shared" si="454"/>
        <v>3</v>
      </c>
      <c r="W717">
        <f t="shared" ca="1" si="455"/>
        <v>2083</v>
      </c>
      <c r="X717" s="123">
        <f t="shared" ca="1" si="437"/>
        <v>66901</v>
      </c>
      <c r="Y717" s="64">
        <f t="shared" ca="1" si="438"/>
        <v>0</v>
      </c>
      <c r="Z717" s="64">
        <f t="shared" ca="1" si="439"/>
        <v>0</v>
      </c>
      <c r="AA717" s="64">
        <f t="shared" ca="1" si="440"/>
        <v>0</v>
      </c>
      <c r="AB717" s="64">
        <f t="shared" ca="1" si="441"/>
        <v>0</v>
      </c>
      <c r="AF717" t="str">
        <f t="shared" ca="1" si="421"/>
        <v>51985</v>
      </c>
      <c r="AG717" s="126">
        <f t="shared" ca="1" si="422"/>
        <v>0</v>
      </c>
      <c r="AH717" s="126">
        <f t="shared" ca="1" si="423"/>
        <v>0</v>
      </c>
      <c r="AI717" s="126">
        <f t="shared" ca="1" si="424"/>
        <v>0</v>
      </c>
      <c r="AJ717" t="str">
        <f t="shared" ca="1" si="425"/>
        <v>32083</v>
      </c>
      <c r="AK717" s="126">
        <f t="shared" ca="1" si="442"/>
        <v>0</v>
      </c>
      <c r="AL717" s="126">
        <f t="shared" ca="1" si="443"/>
        <v>0</v>
      </c>
      <c r="AM717" s="126">
        <f t="shared" ca="1" si="456"/>
        <v>0</v>
      </c>
      <c r="AN717" s="753">
        <f t="shared" ca="1" si="457"/>
        <v>0</v>
      </c>
      <c r="AO717" s="750">
        <f t="shared" ca="1" si="444"/>
        <v>0</v>
      </c>
      <c r="AP717" s="126">
        <f t="shared" ca="1" si="445"/>
        <v>0</v>
      </c>
      <c r="AQ717" s="126">
        <f t="shared" ca="1" si="446"/>
        <v>0</v>
      </c>
      <c r="AR717" s="126">
        <f t="shared" ca="1" si="426"/>
        <v>10000</v>
      </c>
      <c r="AS717" s="750">
        <f t="shared" ca="1" si="427"/>
        <v>0</v>
      </c>
      <c r="AT717" s="750">
        <f t="shared" ca="1" si="428"/>
        <v>0</v>
      </c>
      <c r="AU717" s="126">
        <f t="shared" ca="1" si="447"/>
        <v>0</v>
      </c>
      <c r="AV717" s="126">
        <f t="shared" ca="1" si="448"/>
        <v>0</v>
      </c>
      <c r="AW717" s="126">
        <f t="shared" ca="1" si="429"/>
        <v>10000</v>
      </c>
      <c r="AX717" s="750">
        <f t="shared" ca="1" si="449"/>
        <v>0</v>
      </c>
      <c r="AY717" s="750">
        <f t="shared" ca="1" si="450"/>
        <v>0</v>
      </c>
      <c r="AZ717">
        <f t="shared" si="451"/>
        <v>5750</v>
      </c>
    </row>
    <row r="718" spans="4:52">
      <c r="D718">
        <v>711</v>
      </c>
      <c r="E718" s="6">
        <f t="shared" ca="1" si="430"/>
        <v>31138</v>
      </c>
      <c r="F718" s="7">
        <f t="shared" ca="1" si="431"/>
        <v>0</v>
      </c>
      <c r="G718" s="125">
        <f ca="1">IF('Simulador - 1º Pilar'!$E$99="Sí",IF('Aportaciones PPE'!$B$13&lt;'Aportaciones PPE'!E718,0,F718*$B$8/12),F718*$B$8/12)</f>
        <v>0</v>
      </c>
      <c r="H718" s="125">
        <f t="shared" ca="1" si="420"/>
        <v>0</v>
      </c>
      <c r="I718" s="125">
        <f t="shared" ca="1" si="432"/>
        <v>0</v>
      </c>
      <c r="J718" s="125">
        <f t="shared" ca="1" si="433"/>
        <v>0</v>
      </c>
      <c r="K718" s="125">
        <f t="shared" ca="1" si="434"/>
        <v>0</v>
      </c>
      <c r="L718" s="125">
        <f t="shared" ca="1" si="452"/>
        <v>0</v>
      </c>
      <c r="M718" s="125">
        <f t="shared" ca="1" si="435"/>
        <v>0</v>
      </c>
      <c r="N718" s="125">
        <f t="shared" ca="1" si="436"/>
        <v>0</v>
      </c>
      <c r="R718">
        <f t="shared" si="453"/>
        <v>711</v>
      </c>
      <c r="U718" s="55"/>
      <c r="V718">
        <f t="shared" si="454"/>
        <v>4</v>
      </c>
      <c r="W718">
        <f t="shared" ca="1" si="455"/>
        <v>2083</v>
      </c>
      <c r="X718" s="123">
        <f t="shared" ca="1" si="437"/>
        <v>66932</v>
      </c>
      <c r="Y718" s="64">
        <f t="shared" ca="1" si="438"/>
        <v>0</v>
      </c>
      <c r="Z718" s="64">
        <f t="shared" ca="1" si="439"/>
        <v>0</v>
      </c>
      <c r="AA718" s="64">
        <f t="shared" ca="1" si="440"/>
        <v>0</v>
      </c>
      <c r="AB718" s="64">
        <f t="shared" ca="1" si="441"/>
        <v>0</v>
      </c>
      <c r="AF718" t="str">
        <f t="shared" ca="1" si="421"/>
        <v>41985</v>
      </c>
      <c r="AG718" s="126">
        <f t="shared" ca="1" si="422"/>
        <v>0</v>
      </c>
      <c r="AH718" s="126">
        <f t="shared" ca="1" si="423"/>
        <v>0</v>
      </c>
      <c r="AI718" s="126">
        <f t="shared" ca="1" si="424"/>
        <v>0</v>
      </c>
      <c r="AJ718" t="str">
        <f t="shared" ca="1" si="425"/>
        <v>42083</v>
      </c>
      <c r="AK718" s="126">
        <f t="shared" ca="1" si="442"/>
        <v>0</v>
      </c>
      <c r="AL718" s="126">
        <f t="shared" ca="1" si="443"/>
        <v>0</v>
      </c>
      <c r="AM718" s="126">
        <f t="shared" ca="1" si="456"/>
        <v>0</v>
      </c>
      <c r="AN718" s="753">
        <f t="shared" ca="1" si="457"/>
        <v>0</v>
      </c>
      <c r="AO718" s="750">
        <f t="shared" ca="1" si="444"/>
        <v>0</v>
      </c>
      <c r="AP718" s="126">
        <f t="shared" ca="1" si="445"/>
        <v>0</v>
      </c>
      <c r="AQ718" s="126">
        <f t="shared" ca="1" si="446"/>
        <v>0</v>
      </c>
      <c r="AR718" s="126">
        <f t="shared" ca="1" si="426"/>
        <v>10000</v>
      </c>
      <c r="AS718" s="750">
        <f t="shared" ca="1" si="427"/>
        <v>0</v>
      </c>
      <c r="AT718" s="750">
        <f t="shared" ca="1" si="428"/>
        <v>0</v>
      </c>
      <c r="AU718" s="126">
        <f t="shared" ca="1" si="447"/>
        <v>0</v>
      </c>
      <c r="AV718" s="126">
        <f t="shared" ca="1" si="448"/>
        <v>0</v>
      </c>
      <c r="AW718" s="126">
        <f t="shared" ca="1" si="429"/>
        <v>10000</v>
      </c>
      <c r="AX718" s="750">
        <f t="shared" ca="1" si="449"/>
        <v>0</v>
      </c>
      <c r="AY718" s="750">
        <f t="shared" ca="1" si="450"/>
        <v>0</v>
      </c>
      <c r="AZ718">
        <f t="shared" si="451"/>
        <v>5750</v>
      </c>
    </row>
    <row r="719" spans="4:52">
      <c r="D719">
        <v>712</v>
      </c>
      <c r="E719" s="6">
        <f t="shared" ca="1" si="430"/>
        <v>31107</v>
      </c>
      <c r="F719" s="7">
        <f t="shared" ca="1" si="431"/>
        <v>0</v>
      </c>
      <c r="G719" s="125">
        <f ca="1">IF('Simulador - 1º Pilar'!$E$99="Sí",IF('Aportaciones PPE'!$B$13&lt;'Aportaciones PPE'!E719,0,F719*$B$8/12),F719*$B$8/12)</f>
        <v>0</v>
      </c>
      <c r="H719" s="125">
        <f t="shared" ca="1" si="420"/>
        <v>0</v>
      </c>
      <c r="I719" s="125">
        <f t="shared" ca="1" si="432"/>
        <v>0</v>
      </c>
      <c r="J719" s="125">
        <f t="shared" ca="1" si="433"/>
        <v>0</v>
      </c>
      <c r="K719" s="125">
        <f t="shared" ca="1" si="434"/>
        <v>0</v>
      </c>
      <c r="L719" s="125">
        <f t="shared" ca="1" si="452"/>
        <v>0</v>
      </c>
      <c r="M719" s="125">
        <f t="shared" ca="1" si="435"/>
        <v>0</v>
      </c>
      <c r="N719" s="125">
        <f t="shared" ca="1" si="436"/>
        <v>0</v>
      </c>
      <c r="R719">
        <f t="shared" si="453"/>
        <v>712</v>
      </c>
      <c r="U719" s="55"/>
      <c r="V719">
        <f t="shared" si="454"/>
        <v>5</v>
      </c>
      <c r="W719">
        <f t="shared" ca="1" si="455"/>
        <v>2083</v>
      </c>
      <c r="X719" s="123">
        <f t="shared" ca="1" si="437"/>
        <v>66962</v>
      </c>
      <c r="Y719" s="64">
        <f t="shared" ca="1" si="438"/>
        <v>0</v>
      </c>
      <c r="Z719" s="64">
        <f t="shared" ca="1" si="439"/>
        <v>0</v>
      </c>
      <c r="AA719" s="64">
        <f t="shared" ca="1" si="440"/>
        <v>0</v>
      </c>
      <c r="AB719" s="64">
        <f t="shared" ca="1" si="441"/>
        <v>0</v>
      </c>
      <c r="AF719" t="str">
        <f t="shared" ca="1" si="421"/>
        <v>31985</v>
      </c>
      <c r="AG719" s="126">
        <f t="shared" ca="1" si="422"/>
        <v>0</v>
      </c>
      <c r="AH719" s="126">
        <f t="shared" ca="1" si="423"/>
        <v>0</v>
      </c>
      <c r="AI719" s="126">
        <f t="shared" ca="1" si="424"/>
        <v>0</v>
      </c>
      <c r="AJ719" t="str">
        <f t="shared" ca="1" si="425"/>
        <v>52083</v>
      </c>
      <c r="AK719" s="126">
        <f t="shared" ca="1" si="442"/>
        <v>0</v>
      </c>
      <c r="AL719" s="126">
        <f t="shared" ca="1" si="443"/>
        <v>0</v>
      </c>
      <c r="AM719" s="126">
        <f t="shared" ca="1" si="456"/>
        <v>0</v>
      </c>
      <c r="AN719" s="753">
        <f t="shared" ca="1" si="457"/>
        <v>0</v>
      </c>
      <c r="AO719" s="750">
        <f t="shared" ca="1" si="444"/>
        <v>0</v>
      </c>
      <c r="AP719" s="126">
        <f t="shared" ca="1" si="445"/>
        <v>0</v>
      </c>
      <c r="AQ719" s="126">
        <f t="shared" ca="1" si="446"/>
        <v>0</v>
      </c>
      <c r="AR719" s="126">
        <f t="shared" ca="1" si="426"/>
        <v>10000</v>
      </c>
      <c r="AS719" s="750">
        <f t="shared" ca="1" si="427"/>
        <v>0</v>
      </c>
      <c r="AT719" s="750">
        <f t="shared" ca="1" si="428"/>
        <v>0</v>
      </c>
      <c r="AU719" s="126">
        <f t="shared" ca="1" si="447"/>
        <v>0</v>
      </c>
      <c r="AV719" s="126">
        <f t="shared" ca="1" si="448"/>
        <v>0</v>
      </c>
      <c r="AW719" s="126">
        <f t="shared" ca="1" si="429"/>
        <v>10000</v>
      </c>
      <c r="AX719" s="750">
        <f t="shared" ca="1" si="449"/>
        <v>0</v>
      </c>
      <c r="AY719" s="750">
        <f t="shared" ca="1" si="450"/>
        <v>0</v>
      </c>
      <c r="AZ719">
        <f t="shared" si="451"/>
        <v>5750</v>
      </c>
    </row>
    <row r="720" spans="4:52">
      <c r="D720">
        <v>713</v>
      </c>
      <c r="E720" s="6">
        <f t="shared" ca="1" si="430"/>
        <v>31079</v>
      </c>
      <c r="F720" s="7">
        <f t="shared" ca="1" si="431"/>
        <v>0</v>
      </c>
      <c r="G720" s="125">
        <f ca="1">IF('Simulador - 1º Pilar'!$E$99="Sí",IF('Aportaciones PPE'!$B$13&lt;'Aportaciones PPE'!E720,0,F720*$B$8/12),F720*$B$8/12)</f>
        <v>0</v>
      </c>
      <c r="H720" s="125">
        <f t="shared" ca="1" si="420"/>
        <v>0</v>
      </c>
      <c r="I720" s="125">
        <f t="shared" ca="1" si="432"/>
        <v>0</v>
      </c>
      <c r="J720" s="125">
        <f t="shared" ca="1" si="433"/>
        <v>0</v>
      </c>
      <c r="K720" s="125">
        <f t="shared" ca="1" si="434"/>
        <v>0</v>
      </c>
      <c r="L720" s="125">
        <f t="shared" ca="1" si="452"/>
        <v>0</v>
      </c>
      <c r="M720" s="125">
        <f t="shared" ca="1" si="435"/>
        <v>0</v>
      </c>
      <c r="N720" s="125">
        <f t="shared" ca="1" si="436"/>
        <v>0</v>
      </c>
      <c r="R720">
        <f t="shared" si="453"/>
        <v>713</v>
      </c>
      <c r="U720" s="55"/>
      <c r="V720">
        <f t="shared" si="454"/>
        <v>6</v>
      </c>
      <c r="W720">
        <f t="shared" ca="1" si="455"/>
        <v>2083</v>
      </c>
      <c r="X720" s="123">
        <f t="shared" ca="1" si="437"/>
        <v>66993</v>
      </c>
      <c r="Y720" s="64">
        <f t="shared" ca="1" si="438"/>
        <v>0</v>
      </c>
      <c r="Z720" s="64">
        <f t="shared" ca="1" si="439"/>
        <v>0</v>
      </c>
      <c r="AA720" s="64">
        <f t="shared" ca="1" si="440"/>
        <v>0</v>
      </c>
      <c r="AB720" s="64">
        <f t="shared" ca="1" si="441"/>
        <v>0</v>
      </c>
      <c r="AF720" t="str">
        <f t="shared" ca="1" si="421"/>
        <v>21985</v>
      </c>
      <c r="AG720" s="126">
        <f t="shared" ca="1" si="422"/>
        <v>0</v>
      </c>
      <c r="AH720" s="126">
        <f t="shared" ca="1" si="423"/>
        <v>0</v>
      </c>
      <c r="AI720" s="126">
        <f t="shared" ca="1" si="424"/>
        <v>0</v>
      </c>
      <c r="AJ720" t="str">
        <f t="shared" ca="1" si="425"/>
        <v>62083</v>
      </c>
      <c r="AK720" s="126">
        <f t="shared" ca="1" si="442"/>
        <v>0</v>
      </c>
      <c r="AL720" s="126">
        <f t="shared" ca="1" si="443"/>
        <v>0</v>
      </c>
      <c r="AM720" s="126">
        <f t="shared" ca="1" si="456"/>
        <v>0</v>
      </c>
      <c r="AN720" s="753">
        <f t="shared" ca="1" si="457"/>
        <v>0</v>
      </c>
      <c r="AO720" s="750">
        <f t="shared" ca="1" si="444"/>
        <v>0</v>
      </c>
      <c r="AP720" s="126">
        <f t="shared" ca="1" si="445"/>
        <v>0</v>
      </c>
      <c r="AQ720" s="126">
        <f t="shared" ca="1" si="446"/>
        <v>0</v>
      </c>
      <c r="AR720" s="126">
        <f t="shared" ca="1" si="426"/>
        <v>10000</v>
      </c>
      <c r="AS720" s="750">
        <f t="shared" ca="1" si="427"/>
        <v>0</v>
      </c>
      <c r="AT720" s="750">
        <f t="shared" ca="1" si="428"/>
        <v>0</v>
      </c>
      <c r="AU720" s="126">
        <f t="shared" ca="1" si="447"/>
        <v>0</v>
      </c>
      <c r="AV720" s="126">
        <f t="shared" ca="1" si="448"/>
        <v>0</v>
      </c>
      <c r="AW720" s="126">
        <f t="shared" ca="1" si="429"/>
        <v>10000</v>
      </c>
      <c r="AX720" s="750">
        <f t="shared" ca="1" si="449"/>
        <v>0</v>
      </c>
      <c r="AY720" s="750">
        <f t="shared" ca="1" si="450"/>
        <v>0</v>
      </c>
      <c r="AZ720">
        <f t="shared" si="451"/>
        <v>5750</v>
      </c>
    </row>
    <row r="721" spans="4:52">
      <c r="D721">
        <v>714</v>
      </c>
      <c r="E721" s="6">
        <f t="shared" ca="1" si="430"/>
        <v>31048</v>
      </c>
      <c r="F721" s="7">
        <f t="shared" ca="1" si="431"/>
        <v>0</v>
      </c>
      <c r="G721" s="125">
        <f ca="1">IF('Simulador - 1º Pilar'!$E$99="Sí",IF('Aportaciones PPE'!$B$13&lt;'Aportaciones PPE'!E721,0,F721*$B$8/12),F721*$B$8/12)</f>
        <v>0</v>
      </c>
      <c r="H721" s="125">
        <f t="shared" ca="1" si="420"/>
        <v>0</v>
      </c>
      <c r="I721" s="125">
        <f t="shared" ca="1" si="432"/>
        <v>0</v>
      </c>
      <c r="J721" s="125">
        <f t="shared" ca="1" si="433"/>
        <v>0</v>
      </c>
      <c r="K721" s="125">
        <f t="shared" ca="1" si="434"/>
        <v>0</v>
      </c>
      <c r="L721" s="125">
        <f t="shared" ca="1" si="452"/>
        <v>0</v>
      </c>
      <c r="M721" s="125">
        <f t="shared" ca="1" si="435"/>
        <v>0</v>
      </c>
      <c r="N721" s="125">
        <f t="shared" ca="1" si="436"/>
        <v>0</v>
      </c>
      <c r="R721">
        <f t="shared" si="453"/>
        <v>714</v>
      </c>
      <c r="U721" s="55"/>
      <c r="V721">
        <f t="shared" si="454"/>
        <v>7</v>
      </c>
      <c r="W721">
        <f t="shared" ca="1" si="455"/>
        <v>2083</v>
      </c>
      <c r="X721" s="123">
        <f t="shared" ca="1" si="437"/>
        <v>67023</v>
      </c>
      <c r="Y721" s="64">
        <f t="shared" ca="1" si="438"/>
        <v>0</v>
      </c>
      <c r="Z721" s="64">
        <f t="shared" ca="1" si="439"/>
        <v>0</v>
      </c>
      <c r="AA721" s="64">
        <f t="shared" ca="1" si="440"/>
        <v>0</v>
      </c>
      <c r="AB721" s="64">
        <f t="shared" ca="1" si="441"/>
        <v>0</v>
      </c>
      <c r="AF721" t="str">
        <f t="shared" ca="1" si="421"/>
        <v>11985</v>
      </c>
      <c r="AG721" s="126">
        <f t="shared" ca="1" si="422"/>
        <v>0</v>
      </c>
      <c r="AH721" s="126">
        <f t="shared" ca="1" si="423"/>
        <v>0</v>
      </c>
      <c r="AI721" s="126">
        <f t="shared" ca="1" si="424"/>
        <v>0</v>
      </c>
      <c r="AJ721" t="str">
        <f t="shared" ca="1" si="425"/>
        <v>72083</v>
      </c>
      <c r="AK721" s="126">
        <f t="shared" ca="1" si="442"/>
        <v>0</v>
      </c>
      <c r="AL721" s="126">
        <f t="shared" ca="1" si="443"/>
        <v>0</v>
      </c>
      <c r="AM721" s="126">
        <f t="shared" ca="1" si="456"/>
        <v>0</v>
      </c>
      <c r="AN721" s="753">
        <f t="shared" ca="1" si="457"/>
        <v>0</v>
      </c>
      <c r="AO721" s="750">
        <f t="shared" ca="1" si="444"/>
        <v>0</v>
      </c>
      <c r="AP721" s="126">
        <f t="shared" ca="1" si="445"/>
        <v>0</v>
      </c>
      <c r="AQ721" s="126">
        <f t="shared" ca="1" si="446"/>
        <v>0</v>
      </c>
      <c r="AR721" s="126">
        <f t="shared" ca="1" si="426"/>
        <v>10000</v>
      </c>
      <c r="AS721" s="750">
        <f t="shared" ca="1" si="427"/>
        <v>0</v>
      </c>
      <c r="AT721" s="750">
        <f t="shared" ca="1" si="428"/>
        <v>0</v>
      </c>
      <c r="AU721" s="126">
        <f t="shared" ca="1" si="447"/>
        <v>0</v>
      </c>
      <c r="AV721" s="126">
        <f t="shared" ca="1" si="448"/>
        <v>0</v>
      </c>
      <c r="AW721" s="126">
        <f t="shared" ca="1" si="429"/>
        <v>10000</v>
      </c>
      <c r="AX721" s="750">
        <f t="shared" ca="1" si="449"/>
        <v>0</v>
      </c>
      <c r="AY721" s="750">
        <f t="shared" ca="1" si="450"/>
        <v>0</v>
      </c>
      <c r="AZ721">
        <f t="shared" si="451"/>
        <v>5750</v>
      </c>
    </row>
    <row r="722" spans="4:52">
      <c r="D722">
        <v>715</v>
      </c>
      <c r="E722" s="6">
        <f t="shared" ca="1" si="430"/>
        <v>31017</v>
      </c>
      <c r="F722" s="7">
        <f t="shared" ca="1" si="431"/>
        <v>0</v>
      </c>
      <c r="G722" s="125">
        <f ca="1">IF('Simulador - 1º Pilar'!$E$99="Sí",IF('Aportaciones PPE'!$B$13&lt;'Aportaciones PPE'!E722,0,F722*$B$8/12),F722*$B$8/12)</f>
        <v>0</v>
      </c>
      <c r="H722" s="125">
        <f t="shared" ca="1" si="420"/>
        <v>0</v>
      </c>
      <c r="I722" s="125">
        <f t="shared" ca="1" si="432"/>
        <v>0</v>
      </c>
      <c r="J722" s="125">
        <f t="shared" ca="1" si="433"/>
        <v>0</v>
      </c>
      <c r="K722" s="125">
        <f t="shared" ca="1" si="434"/>
        <v>0</v>
      </c>
      <c r="L722" s="125">
        <f t="shared" ca="1" si="452"/>
        <v>0</v>
      </c>
      <c r="M722" s="125">
        <f t="shared" ca="1" si="435"/>
        <v>0</v>
      </c>
      <c r="N722" s="125">
        <f t="shared" ca="1" si="436"/>
        <v>0</v>
      </c>
      <c r="R722">
        <f t="shared" si="453"/>
        <v>715</v>
      </c>
      <c r="U722" s="55"/>
      <c r="V722">
        <f t="shared" si="454"/>
        <v>8</v>
      </c>
      <c r="W722">
        <f t="shared" ca="1" si="455"/>
        <v>2083</v>
      </c>
      <c r="X722" s="123">
        <f t="shared" ca="1" si="437"/>
        <v>67054</v>
      </c>
      <c r="Y722" s="64">
        <f t="shared" ca="1" si="438"/>
        <v>0</v>
      </c>
      <c r="Z722" s="64">
        <f t="shared" ca="1" si="439"/>
        <v>0</v>
      </c>
      <c r="AA722" s="64">
        <f t="shared" ca="1" si="440"/>
        <v>0</v>
      </c>
      <c r="AB722" s="64">
        <f t="shared" ca="1" si="441"/>
        <v>0</v>
      </c>
      <c r="AF722" t="str">
        <f t="shared" ca="1" si="421"/>
        <v>121984</v>
      </c>
      <c r="AG722" s="126">
        <f t="shared" ca="1" si="422"/>
        <v>0</v>
      </c>
      <c r="AH722" s="126">
        <f t="shared" ca="1" si="423"/>
        <v>0</v>
      </c>
      <c r="AI722" s="126">
        <f t="shared" ca="1" si="424"/>
        <v>0</v>
      </c>
      <c r="AJ722" t="str">
        <f t="shared" ca="1" si="425"/>
        <v>82083</v>
      </c>
      <c r="AK722" s="126">
        <f t="shared" ca="1" si="442"/>
        <v>0</v>
      </c>
      <c r="AL722" s="126">
        <f t="shared" ca="1" si="443"/>
        <v>0</v>
      </c>
      <c r="AM722" s="126">
        <f t="shared" ca="1" si="456"/>
        <v>0</v>
      </c>
      <c r="AN722" s="753">
        <f t="shared" ca="1" si="457"/>
        <v>0</v>
      </c>
      <c r="AO722" s="750">
        <f t="shared" ca="1" si="444"/>
        <v>0</v>
      </c>
      <c r="AP722" s="126">
        <f t="shared" ca="1" si="445"/>
        <v>0</v>
      </c>
      <c r="AQ722" s="126">
        <f t="shared" ca="1" si="446"/>
        <v>0</v>
      </c>
      <c r="AR722" s="126">
        <f t="shared" ca="1" si="426"/>
        <v>10000</v>
      </c>
      <c r="AS722" s="750">
        <f t="shared" ca="1" si="427"/>
        <v>0</v>
      </c>
      <c r="AT722" s="750">
        <f t="shared" ca="1" si="428"/>
        <v>0</v>
      </c>
      <c r="AU722" s="126">
        <f t="shared" ca="1" si="447"/>
        <v>0</v>
      </c>
      <c r="AV722" s="126">
        <f t="shared" ca="1" si="448"/>
        <v>0</v>
      </c>
      <c r="AW722" s="126">
        <f t="shared" ca="1" si="429"/>
        <v>10000</v>
      </c>
      <c r="AX722" s="750">
        <f t="shared" ca="1" si="449"/>
        <v>0</v>
      </c>
      <c r="AY722" s="750">
        <f t="shared" ca="1" si="450"/>
        <v>0</v>
      </c>
      <c r="AZ722">
        <f t="shared" si="451"/>
        <v>5750</v>
      </c>
    </row>
    <row r="723" spans="4:52">
      <c r="D723">
        <v>716</v>
      </c>
      <c r="E723" s="6">
        <f t="shared" ca="1" si="430"/>
        <v>30987</v>
      </c>
      <c r="F723" s="7">
        <f t="shared" ca="1" si="431"/>
        <v>0</v>
      </c>
      <c r="G723" s="125">
        <f ca="1">IF('Simulador - 1º Pilar'!$E$99="Sí",IF('Aportaciones PPE'!$B$13&lt;'Aportaciones PPE'!E723,0,F723*$B$8/12),F723*$B$8/12)</f>
        <v>0</v>
      </c>
      <c r="H723" s="125">
        <f t="shared" ca="1" si="420"/>
        <v>0</v>
      </c>
      <c r="I723" s="125">
        <f t="shared" ca="1" si="432"/>
        <v>0</v>
      </c>
      <c r="J723" s="125">
        <f t="shared" ca="1" si="433"/>
        <v>0</v>
      </c>
      <c r="K723" s="125">
        <f t="shared" ca="1" si="434"/>
        <v>0</v>
      </c>
      <c r="L723" s="125">
        <f t="shared" ca="1" si="452"/>
        <v>0</v>
      </c>
      <c r="M723" s="125">
        <f t="shared" ca="1" si="435"/>
        <v>0</v>
      </c>
      <c r="N723" s="125">
        <f t="shared" ca="1" si="436"/>
        <v>0</v>
      </c>
      <c r="R723">
        <f t="shared" si="453"/>
        <v>716</v>
      </c>
      <c r="U723" s="55"/>
      <c r="V723">
        <f t="shared" si="454"/>
        <v>9</v>
      </c>
      <c r="W723">
        <f t="shared" ca="1" si="455"/>
        <v>2083</v>
      </c>
      <c r="X723" s="123">
        <f t="shared" ca="1" si="437"/>
        <v>67085</v>
      </c>
      <c r="Y723" s="64">
        <f t="shared" ca="1" si="438"/>
        <v>0</v>
      </c>
      <c r="Z723" s="64">
        <f t="shared" ca="1" si="439"/>
        <v>0</v>
      </c>
      <c r="AA723" s="64">
        <f t="shared" ca="1" si="440"/>
        <v>0</v>
      </c>
      <c r="AB723" s="64">
        <f t="shared" ca="1" si="441"/>
        <v>0</v>
      </c>
      <c r="AF723" t="str">
        <f t="shared" ca="1" si="421"/>
        <v>111984</v>
      </c>
      <c r="AG723" s="126">
        <f t="shared" ca="1" si="422"/>
        <v>0</v>
      </c>
      <c r="AH723" s="126">
        <f t="shared" ca="1" si="423"/>
        <v>0</v>
      </c>
      <c r="AI723" s="126">
        <f t="shared" ca="1" si="424"/>
        <v>0</v>
      </c>
      <c r="AJ723" t="str">
        <f t="shared" ca="1" si="425"/>
        <v>92083</v>
      </c>
      <c r="AK723" s="126">
        <f t="shared" ca="1" si="442"/>
        <v>0</v>
      </c>
      <c r="AL723" s="126">
        <f t="shared" ca="1" si="443"/>
        <v>0</v>
      </c>
      <c r="AM723" s="126">
        <f t="shared" ca="1" si="456"/>
        <v>0</v>
      </c>
      <c r="AN723" s="753">
        <f t="shared" ca="1" si="457"/>
        <v>0</v>
      </c>
      <c r="AO723" s="750">
        <f t="shared" ca="1" si="444"/>
        <v>0</v>
      </c>
      <c r="AP723" s="126">
        <f t="shared" ca="1" si="445"/>
        <v>0</v>
      </c>
      <c r="AQ723" s="126">
        <f t="shared" ca="1" si="446"/>
        <v>0</v>
      </c>
      <c r="AR723" s="126">
        <f t="shared" ca="1" si="426"/>
        <v>10000</v>
      </c>
      <c r="AS723" s="750">
        <f t="shared" ca="1" si="427"/>
        <v>0</v>
      </c>
      <c r="AT723" s="750">
        <f t="shared" ca="1" si="428"/>
        <v>0</v>
      </c>
      <c r="AU723" s="126">
        <f t="shared" ca="1" si="447"/>
        <v>0</v>
      </c>
      <c r="AV723" s="126">
        <f t="shared" ca="1" si="448"/>
        <v>0</v>
      </c>
      <c r="AW723" s="126">
        <f t="shared" ca="1" si="429"/>
        <v>10000</v>
      </c>
      <c r="AX723" s="750">
        <f t="shared" ca="1" si="449"/>
        <v>0</v>
      </c>
      <c r="AY723" s="750">
        <f t="shared" ca="1" si="450"/>
        <v>0</v>
      </c>
      <c r="AZ723">
        <f t="shared" si="451"/>
        <v>5750</v>
      </c>
    </row>
    <row r="724" spans="4:52">
      <c r="D724">
        <v>717</v>
      </c>
      <c r="E724" s="6">
        <f t="shared" ca="1" si="430"/>
        <v>30956</v>
      </c>
      <c r="F724" s="7">
        <f t="shared" ca="1" si="431"/>
        <v>0</v>
      </c>
      <c r="G724" s="125">
        <f ca="1">IF('Simulador - 1º Pilar'!$E$99="Sí",IF('Aportaciones PPE'!$B$13&lt;'Aportaciones PPE'!E724,0,F724*$B$8/12),F724*$B$8/12)</f>
        <v>0</v>
      </c>
      <c r="H724" s="125">
        <f t="shared" ca="1" si="420"/>
        <v>0</v>
      </c>
      <c r="I724" s="125">
        <f t="shared" ca="1" si="432"/>
        <v>0</v>
      </c>
      <c r="J724" s="125">
        <f t="shared" ca="1" si="433"/>
        <v>0</v>
      </c>
      <c r="K724" s="125">
        <f t="shared" ca="1" si="434"/>
        <v>0</v>
      </c>
      <c r="L724" s="125">
        <f t="shared" ca="1" si="452"/>
        <v>0</v>
      </c>
      <c r="M724" s="125">
        <f t="shared" ca="1" si="435"/>
        <v>0</v>
      </c>
      <c r="N724" s="125">
        <f t="shared" ca="1" si="436"/>
        <v>0</v>
      </c>
      <c r="R724">
        <f t="shared" si="453"/>
        <v>717</v>
      </c>
      <c r="U724" s="55"/>
      <c r="V724">
        <f t="shared" si="454"/>
        <v>10</v>
      </c>
      <c r="W724">
        <f t="shared" ca="1" si="455"/>
        <v>2083</v>
      </c>
      <c r="X724" s="123">
        <f t="shared" ca="1" si="437"/>
        <v>67115</v>
      </c>
      <c r="Y724" s="64">
        <f t="shared" ca="1" si="438"/>
        <v>0</v>
      </c>
      <c r="Z724" s="64">
        <f t="shared" ca="1" si="439"/>
        <v>0</v>
      </c>
      <c r="AA724" s="64">
        <f t="shared" ca="1" si="440"/>
        <v>0</v>
      </c>
      <c r="AB724" s="64">
        <f t="shared" ca="1" si="441"/>
        <v>0</v>
      </c>
      <c r="AF724" t="str">
        <f t="shared" ca="1" si="421"/>
        <v>101984</v>
      </c>
      <c r="AG724" s="126">
        <f t="shared" ca="1" si="422"/>
        <v>0</v>
      </c>
      <c r="AH724" s="126">
        <f t="shared" ca="1" si="423"/>
        <v>0</v>
      </c>
      <c r="AI724" s="126">
        <f t="shared" ca="1" si="424"/>
        <v>0</v>
      </c>
      <c r="AJ724" t="str">
        <f t="shared" ca="1" si="425"/>
        <v>102083</v>
      </c>
      <c r="AK724" s="126">
        <f t="shared" ca="1" si="442"/>
        <v>0</v>
      </c>
      <c r="AL724" s="126">
        <f t="shared" ca="1" si="443"/>
        <v>0</v>
      </c>
      <c r="AM724" s="126">
        <f t="shared" ca="1" si="456"/>
        <v>0</v>
      </c>
      <c r="AN724" s="753">
        <f t="shared" ca="1" si="457"/>
        <v>0</v>
      </c>
      <c r="AO724" s="750">
        <f t="shared" ca="1" si="444"/>
        <v>0</v>
      </c>
      <c r="AP724" s="126">
        <f t="shared" ca="1" si="445"/>
        <v>0</v>
      </c>
      <c r="AQ724" s="126">
        <f t="shared" ca="1" si="446"/>
        <v>0</v>
      </c>
      <c r="AR724" s="126">
        <f t="shared" ca="1" si="426"/>
        <v>10000</v>
      </c>
      <c r="AS724" s="750">
        <f t="shared" ca="1" si="427"/>
        <v>0</v>
      </c>
      <c r="AT724" s="750">
        <f t="shared" ca="1" si="428"/>
        <v>0</v>
      </c>
      <c r="AU724" s="126">
        <f t="shared" ca="1" si="447"/>
        <v>0</v>
      </c>
      <c r="AV724" s="126">
        <f t="shared" ca="1" si="448"/>
        <v>0</v>
      </c>
      <c r="AW724" s="126">
        <f t="shared" ca="1" si="429"/>
        <v>10000</v>
      </c>
      <c r="AX724" s="750">
        <f t="shared" ca="1" si="449"/>
        <v>0</v>
      </c>
      <c r="AY724" s="750">
        <f t="shared" ca="1" si="450"/>
        <v>0</v>
      </c>
      <c r="AZ724">
        <f t="shared" si="451"/>
        <v>5750</v>
      </c>
    </row>
    <row r="725" spans="4:52">
      <c r="D725">
        <v>718</v>
      </c>
      <c r="E725" s="6">
        <f t="shared" ca="1" si="430"/>
        <v>30926</v>
      </c>
      <c r="F725" s="7">
        <f t="shared" ca="1" si="431"/>
        <v>0</v>
      </c>
      <c r="G725" s="125">
        <f ca="1">IF('Simulador - 1º Pilar'!$E$99="Sí",IF('Aportaciones PPE'!$B$13&lt;'Aportaciones PPE'!E725,0,F725*$B$8/12),F725*$B$8/12)</f>
        <v>0</v>
      </c>
      <c r="H725" s="125">
        <f t="shared" ca="1" si="420"/>
        <v>0</v>
      </c>
      <c r="I725" s="125">
        <f t="shared" ca="1" si="432"/>
        <v>0</v>
      </c>
      <c r="J725" s="125">
        <f t="shared" ca="1" si="433"/>
        <v>0</v>
      </c>
      <c r="K725" s="125">
        <f t="shared" ca="1" si="434"/>
        <v>0</v>
      </c>
      <c r="L725" s="125">
        <f t="shared" ca="1" si="452"/>
        <v>0</v>
      </c>
      <c r="M725" s="125">
        <f t="shared" ca="1" si="435"/>
        <v>0</v>
      </c>
      <c r="N725" s="125">
        <f t="shared" ca="1" si="436"/>
        <v>0</v>
      </c>
      <c r="R725">
        <f t="shared" si="453"/>
        <v>718</v>
      </c>
      <c r="U725" s="55"/>
      <c r="V725">
        <f t="shared" si="454"/>
        <v>11</v>
      </c>
      <c r="W725">
        <f t="shared" ca="1" si="455"/>
        <v>2083</v>
      </c>
      <c r="X725" s="123">
        <f t="shared" ca="1" si="437"/>
        <v>67146</v>
      </c>
      <c r="Y725" s="64">
        <f t="shared" ca="1" si="438"/>
        <v>0</v>
      </c>
      <c r="Z725" s="64">
        <f t="shared" ca="1" si="439"/>
        <v>0</v>
      </c>
      <c r="AA725" s="64">
        <f t="shared" ca="1" si="440"/>
        <v>0</v>
      </c>
      <c r="AB725" s="64">
        <f t="shared" ca="1" si="441"/>
        <v>0</v>
      </c>
      <c r="AF725" t="str">
        <f t="shared" ca="1" si="421"/>
        <v>91984</v>
      </c>
      <c r="AG725" s="126">
        <f t="shared" ca="1" si="422"/>
        <v>0</v>
      </c>
      <c r="AH725" s="126">
        <f t="shared" ca="1" si="423"/>
        <v>0</v>
      </c>
      <c r="AI725" s="126">
        <f t="shared" ca="1" si="424"/>
        <v>0</v>
      </c>
      <c r="AJ725" t="str">
        <f t="shared" ca="1" si="425"/>
        <v>112083</v>
      </c>
      <c r="AK725" s="126">
        <f t="shared" ca="1" si="442"/>
        <v>0</v>
      </c>
      <c r="AL725" s="126">
        <f t="shared" ca="1" si="443"/>
        <v>0</v>
      </c>
      <c r="AM725" s="126">
        <f t="shared" ca="1" si="456"/>
        <v>0</v>
      </c>
      <c r="AN725" s="753">
        <f t="shared" ca="1" si="457"/>
        <v>0</v>
      </c>
      <c r="AO725" s="750">
        <f t="shared" ca="1" si="444"/>
        <v>0</v>
      </c>
      <c r="AP725" s="126">
        <f t="shared" ca="1" si="445"/>
        <v>0</v>
      </c>
      <c r="AQ725" s="126">
        <f t="shared" ca="1" si="446"/>
        <v>0</v>
      </c>
      <c r="AR725" s="126">
        <f t="shared" ca="1" si="426"/>
        <v>10000</v>
      </c>
      <c r="AS725" s="750">
        <f t="shared" ca="1" si="427"/>
        <v>0</v>
      </c>
      <c r="AT725" s="750">
        <f t="shared" ca="1" si="428"/>
        <v>0</v>
      </c>
      <c r="AU725" s="126">
        <f t="shared" ca="1" si="447"/>
        <v>0</v>
      </c>
      <c r="AV725" s="126">
        <f t="shared" ca="1" si="448"/>
        <v>0</v>
      </c>
      <c r="AW725" s="126">
        <f t="shared" ca="1" si="429"/>
        <v>10000</v>
      </c>
      <c r="AX725" s="750">
        <f t="shared" ca="1" si="449"/>
        <v>0</v>
      </c>
      <c r="AY725" s="750">
        <f t="shared" ca="1" si="450"/>
        <v>0</v>
      </c>
      <c r="AZ725">
        <f t="shared" si="451"/>
        <v>5750</v>
      </c>
    </row>
    <row r="726" spans="4:52">
      <c r="D726">
        <v>719</v>
      </c>
      <c r="E726" s="6">
        <f t="shared" ca="1" si="430"/>
        <v>30895</v>
      </c>
      <c r="F726" s="7">
        <f t="shared" ca="1" si="431"/>
        <v>0</v>
      </c>
      <c r="G726" s="125">
        <f ca="1">IF('Simulador - 1º Pilar'!$E$99="Sí",IF('Aportaciones PPE'!$B$13&lt;'Aportaciones PPE'!E726,0,F726*$B$8/12),F726*$B$8/12)</f>
        <v>0</v>
      </c>
      <c r="H726" s="125">
        <f t="shared" ca="1" si="420"/>
        <v>0</v>
      </c>
      <c r="I726" s="125">
        <f t="shared" ca="1" si="432"/>
        <v>0</v>
      </c>
      <c r="J726" s="125">
        <f t="shared" ca="1" si="433"/>
        <v>0</v>
      </c>
      <c r="K726" s="125">
        <f t="shared" ca="1" si="434"/>
        <v>0</v>
      </c>
      <c r="L726" s="125">
        <f t="shared" ca="1" si="452"/>
        <v>0</v>
      </c>
      <c r="M726" s="125">
        <f t="shared" ca="1" si="435"/>
        <v>0</v>
      </c>
      <c r="N726" s="125">
        <f t="shared" ca="1" si="436"/>
        <v>0</v>
      </c>
      <c r="R726">
        <f t="shared" si="453"/>
        <v>719</v>
      </c>
      <c r="U726" s="55"/>
      <c r="V726">
        <f t="shared" si="454"/>
        <v>12</v>
      </c>
      <c r="W726">
        <f t="shared" ca="1" si="455"/>
        <v>2083</v>
      </c>
      <c r="X726" s="123">
        <f t="shared" ca="1" si="437"/>
        <v>67176</v>
      </c>
      <c r="Y726" s="64">
        <f t="shared" ca="1" si="438"/>
        <v>0</v>
      </c>
      <c r="Z726" s="64">
        <f t="shared" ca="1" si="439"/>
        <v>0</v>
      </c>
      <c r="AA726" s="64">
        <f t="shared" ca="1" si="440"/>
        <v>0</v>
      </c>
      <c r="AB726" s="64">
        <f t="shared" ca="1" si="441"/>
        <v>0</v>
      </c>
      <c r="AF726" t="str">
        <f t="shared" ca="1" si="421"/>
        <v>81984</v>
      </c>
      <c r="AG726" s="126">
        <f t="shared" ca="1" si="422"/>
        <v>0</v>
      </c>
      <c r="AH726" s="126">
        <f t="shared" ca="1" si="423"/>
        <v>0</v>
      </c>
      <c r="AI726" s="126">
        <f t="shared" ca="1" si="424"/>
        <v>0</v>
      </c>
      <c r="AJ726" t="str">
        <f t="shared" ca="1" si="425"/>
        <v>122083</v>
      </c>
      <c r="AK726" s="126">
        <f t="shared" ca="1" si="442"/>
        <v>0</v>
      </c>
      <c r="AL726" s="126">
        <f t="shared" ca="1" si="443"/>
        <v>0</v>
      </c>
      <c r="AM726" s="126">
        <f t="shared" ca="1" si="456"/>
        <v>0</v>
      </c>
      <c r="AN726" s="753">
        <f t="shared" ca="1" si="457"/>
        <v>0</v>
      </c>
      <c r="AO726" s="750">
        <f t="shared" ca="1" si="444"/>
        <v>0</v>
      </c>
      <c r="AP726" s="126">
        <f t="shared" ca="1" si="445"/>
        <v>0</v>
      </c>
      <c r="AQ726" s="126">
        <f t="shared" ca="1" si="446"/>
        <v>0</v>
      </c>
      <c r="AR726" s="126">
        <f t="shared" ca="1" si="426"/>
        <v>10000</v>
      </c>
      <c r="AS726" s="750">
        <f t="shared" ca="1" si="427"/>
        <v>0</v>
      </c>
      <c r="AT726" s="750">
        <f t="shared" ca="1" si="428"/>
        <v>0</v>
      </c>
      <c r="AU726" s="126">
        <f t="shared" ca="1" si="447"/>
        <v>0</v>
      </c>
      <c r="AV726" s="126">
        <f t="shared" ca="1" si="448"/>
        <v>0</v>
      </c>
      <c r="AW726" s="126">
        <f t="shared" ca="1" si="429"/>
        <v>10000</v>
      </c>
      <c r="AX726" s="750">
        <f t="shared" ca="1" si="449"/>
        <v>0</v>
      </c>
      <c r="AY726" s="750">
        <f t="shared" ca="1" si="450"/>
        <v>0</v>
      </c>
      <c r="AZ726">
        <f t="shared" si="451"/>
        <v>5750</v>
      </c>
    </row>
    <row r="727" spans="4:52">
      <c r="D727">
        <v>720</v>
      </c>
      <c r="E727" s="6">
        <f t="shared" ca="1" si="430"/>
        <v>30864</v>
      </c>
      <c r="F727" s="7">
        <f t="shared" ca="1" si="431"/>
        <v>0</v>
      </c>
      <c r="G727" s="125">
        <f ca="1">IF('Simulador - 1º Pilar'!$E$99="Sí",IF('Aportaciones PPE'!$B$13&lt;'Aportaciones PPE'!E727,0,F727*$B$8/12),F727*$B$8/12)</f>
        <v>0</v>
      </c>
      <c r="H727" s="125">
        <f t="shared" ca="1" si="420"/>
        <v>0</v>
      </c>
      <c r="I727" s="125">
        <f t="shared" ca="1" si="432"/>
        <v>0</v>
      </c>
      <c r="J727" s="125">
        <f t="shared" ca="1" si="433"/>
        <v>0</v>
      </c>
      <c r="K727" s="125">
        <f t="shared" ca="1" si="434"/>
        <v>0</v>
      </c>
      <c r="L727" s="125">
        <f t="shared" ca="1" si="452"/>
        <v>0</v>
      </c>
      <c r="M727" s="125">
        <f t="shared" ca="1" si="435"/>
        <v>0</v>
      </c>
      <c r="N727" s="125">
        <f t="shared" ca="1" si="436"/>
        <v>0</v>
      </c>
      <c r="R727">
        <f t="shared" si="453"/>
        <v>720</v>
      </c>
      <c r="U727" s="55"/>
      <c r="V727">
        <f t="shared" si="454"/>
        <v>1</v>
      </c>
      <c r="W727">
        <f t="shared" ca="1" si="455"/>
        <v>2084</v>
      </c>
      <c r="X727" s="123">
        <f t="shared" ca="1" si="437"/>
        <v>67207</v>
      </c>
      <c r="Y727" s="64">
        <f t="shared" ca="1" si="438"/>
        <v>0</v>
      </c>
      <c r="Z727" s="64">
        <f t="shared" ca="1" si="439"/>
        <v>0</v>
      </c>
      <c r="AA727" s="64">
        <f t="shared" ca="1" si="440"/>
        <v>0</v>
      </c>
      <c r="AB727" s="64">
        <f t="shared" ca="1" si="441"/>
        <v>0</v>
      </c>
      <c r="AF727" t="str">
        <f t="shared" ca="1" si="421"/>
        <v>71984</v>
      </c>
      <c r="AG727" s="126">
        <f t="shared" ca="1" si="422"/>
        <v>0</v>
      </c>
      <c r="AH727" s="126">
        <f t="shared" ca="1" si="423"/>
        <v>0</v>
      </c>
      <c r="AI727" s="126">
        <f t="shared" ca="1" si="424"/>
        <v>0</v>
      </c>
      <c r="AJ727" t="str">
        <f t="shared" ca="1" si="425"/>
        <v>12084</v>
      </c>
      <c r="AK727" s="126">
        <f t="shared" ca="1" si="442"/>
        <v>0</v>
      </c>
      <c r="AL727" s="126">
        <f t="shared" ca="1" si="443"/>
        <v>0</v>
      </c>
      <c r="AM727" s="126">
        <f t="shared" ca="1" si="456"/>
        <v>0</v>
      </c>
      <c r="AN727" s="753">
        <f t="shared" ca="1" si="457"/>
        <v>0</v>
      </c>
      <c r="AO727" s="750">
        <f t="shared" ca="1" si="444"/>
        <v>0</v>
      </c>
      <c r="AP727" s="126">
        <f t="shared" ca="1" si="445"/>
        <v>0</v>
      </c>
      <c r="AQ727" s="126">
        <f t="shared" ca="1" si="446"/>
        <v>0</v>
      </c>
      <c r="AR727" s="126">
        <f t="shared" ca="1" si="426"/>
        <v>10000</v>
      </c>
      <c r="AS727" s="750">
        <f t="shared" ca="1" si="427"/>
        <v>0</v>
      </c>
      <c r="AT727" s="750">
        <f t="shared" ca="1" si="428"/>
        <v>0</v>
      </c>
      <c r="AU727" s="126">
        <f t="shared" ca="1" si="447"/>
        <v>0</v>
      </c>
      <c r="AV727" s="126">
        <f t="shared" ca="1" si="448"/>
        <v>0</v>
      </c>
      <c r="AW727" s="126">
        <f t="shared" ca="1" si="429"/>
        <v>10000</v>
      </c>
      <c r="AX727" s="750">
        <f t="shared" ca="1" si="449"/>
        <v>0</v>
      </c>
      <c r="AY727" s="750">
        <f t="shared" ca="1" si="450"/>
        <v>0</v>
      </c>
      <c r="AZ727">
        <f t="shared" si="451"/>
        <v>5750</v>
      </c>
    </row>
    <row r="728" spans="4:52">
      <c r="D728">
        <v>721</v>
      </c>
      <c r="E728" s="6">
        <f t="shared" ca="1" si="430"/>
        <v>30834</v>
      </c>
      <c r="F728" s="7">
        <f t="shared" ca="1" si="431"/>
        <v>0</v>
      </c>
      <c r="G728" s="125">
        <f ca="1">IF('Simulador - 1º Pilar'!$E$99="Sí",IF('Aportaciones PPE'!$B$13&lt;'Aportaciones PPE'!E728,0,F728*$B$8/12),F728*$B$8/12)</f>
        <v>0</v>
      </c>
      <c r="H728" s="125">
        <f t="shared" ca="1" si="420"/>
        <v>0</v>
      </c>
      <c r="I728" s="125">
        <f t="shared" ca="1" si="432"/>
        <v>0</v>
      </c>
      <c r="J728" s="125">
        <f t="shared" ca="1" si="433"/>
        <v>0</v>
      </c>
      <c r="K728" s="125">
        <f t="shared" ca="1" si="434"/>
        <v>0</v>
      </c>
      <c r="L728" s="125">
        <f t="shared" ca="1" si="452"/>
        <v>0</v>
      </c>
      <c r="M728" s="125">
        <f t="shared" ca="1" si="435"/>
        <v>0</v>
      </c>
      <c r="N728" s="125">
        <f t="shared" ca="1" si="436"/>
        <v>0</v>
      </c>
      <c r="R728">
        <f t="shared" si="453"/>
        <v>721</v>
      </c>
      <c r="U728" s="55"/>
      <c r="V728">
        <f t="shared" si="454"/>
        <v>2</v>
      </c>
      <c r="W728">
        <f t="shared" ca="1" si="455"/>
        <v>2084</v>
      </c>
      <c r="X728" s="123">
        <f t="shared" ca="1" si="437"/>
        <v>67238</v>
      </c>
      <c r="Y728" s="64">
        <f t="shared" ca="1" si="438"/>
        <v>0</v>
      </c>
      <c r="Z728" s="64">
        <f t="shared" ca="1" si="439"/>
        <v>0</v>
      </c>
      <c r="AA728" s="64">
        <f t="shared" ca="1" si="440"/>
        <v>0</v>
      </c>
      <c r="AB728" s="64">
        <f t="shared" ca="1" si="441"/>
        <v>0</v>
      </c>
      <c r="AF728" t="str">
        <f t="shared" ca="1" si="421"/>
        <v>61984</v>
      </c>
      <c r="AG728" s="126">
        <f t="shared" ca="1" si="422"/>
        <v>0</v>
      </c>
      <c r="AH728" s="126">
        <f t="shared" ca="1" si="423"/>
        <v>0</v>
      </c>
      <c r="AI728" s="126">
        <f t="shared" ca="1" si="424"/>
        <v>0</v>
      </c>
      <c r="AJ728" t="str">
        <f t="shared" ca="1" si="425"/>
        <v>22084</v>
      </c>
      <c r="AK728" s="126">
        <f t="shared" ca="1" si="442"/>
        <v>0</v>
      </c>
      <c r="AL728" s="126">
        <f t="shared" ca="1" si="443"/>
        <v>0</v>
      </c>
      <c r="AM728" s="126">
        <f t="shared" ca="1" si="456"/>
        <v>0</v>
      </c>
      <c r="AN728" s="753">
        <f t="shared" ca="1" si="457"/>
        <v>0</v>
      </c>
      <c r="AO728" s="750">
        <f t="shared" ca="1" si="444"/>
        <v>0</v>
      </c>
      <c r="AP728" s="126">
        <f t="shared" ca="1" si="445"/>
        <v>0</v>
      </c>
      <c r="AQ728" s="126">
        <f t="shared" ca="1" si="446"/>
        <v>0</v>
      </c>
      <c r="AR728" s="126">
        <f t="shared" ca="1" si="426"/>
        <v>10000</v>
      </c>
      <c r="AS728" s="750">
        <f t="shared" ca="1" si="427"/>
        <v>0</v>
      </c>
      <c r="AT728" s="750">
        <f t="shared" ca="1" si="428"/>
        <v>0</v>
      </c>
      <c r="AU728" s="126">
        <f t="shared" ca="1" si="447"/>
        <v>0</v>
      </c>
      <c r="AV728" s="126">
        <f t="shared" ca="1" si="448"/>
        <v>0</v>
      </c>
      <c r="AW728" s="126">
        <f t="shared" ca="1" si="429"/>
        <v>10000</v>
      </c>
      <c r="AX728" s="750">
        <f t="shared" ca="1" si="449"/>
        <v>0</v>
      </c>
      <c r="AY728" s="750">
        <f t="shared" ca="1" si="450"/>
        <v>0</v>
      </c>
      <c r="AZ728">
        <f t="shared" si="451"/>
        <v>5750</v>
      </c>
    </row>
    <row r="729" spans="4:52">
      <c r="D729">
        <v>722</v>
      </c>
      <c r="E729" s="6">
        <f t="shared" ca="1" si="430"/>
        <v>30803</v>
      </c>
      <c r="F729" s="7">
        <f t="shared" ca="1" si="431"/>
        <v>0</v>
      </c>
      <c r="G729" s="125">
        <f ca="1">IF('Simulador - 1º Pilar'!$E$99="Sí",IF('Aportaciones PPE'!$B$13&lt;'Aportaciones PPE'!E729,0,F729*$B$8/12),F729*$B$8/12)</f>
        <v>0</v>
      </c>
      <c r="H729" s="125">
        <f t="shared" ca="1" si="420"/>
        <v>0</v>
      </c>
      <c r="I729" s="125">
        <f t="shared" ca="1" si="432"/>
        <v>0</v>
      </c>
      <c r="J729" s="125">
        <f t="shared" ca="1" si="433"/>
        <v>0</v>
      </c>
      <c r="K729" s="125">
        <f t="shared" ca="1" si="434"/>
        <v>0</v>
      </c>
      <c r="L729" s="125">
        <f t="shared" ca="1" si="452"/>
        <v>0</v>
      </c>
      <c r="M729" s="125">
        <f t="shared" ca="1" si="435"/>
        <v>0</v>
      </c>
      <c r="N729" s="125">
        <f t="shared" ca="1" si="436"/>
        <v>0</v>
      </c>
      <c r="R729">
        <f t="shared" si="453"/>
        <v>722</v>
      </c>
      <c r="U729" s="55"/>
      <c r="V729">
        <f t="shared" si="454"/>
        <v>3</v>
      </c>
      <c r="W729">
        <f t="shared" ca="1" si="455"/>
        <v>2084</v>
      </c>
      <c r="X729" s="123">
        <f t="shared" ca="1" si="437"/>
        <v>67267</v>
      </c>
      <c r="Y729" s="64">
        <f t="shared" ca="1" si="438"/>
        <v>0</v>
      </c>
      <c r="Z729" s="64">
        <f t="shared" ca="1" si="439"/>
        <v>0</v>
      </c>
      <c r="AA729" s="64">
        <f t="shared" ca="1" si="440"/>
        <v>0</v>
      </c>
      <c r="AB729" s="64">
        <f t="shared" ca="1" si="441"/>
        <v>0</v>
      </c>
      <c r="AF729" t="str">
        <f t="shared" ca="1" si="421"/>
        <v>51984</v>
      </c>
      <c r="AG729" s="126">
        <f t="shared" ca="1" si="422"/>
        <v>0</v>
      </c>
      <c r="AH729" s="126">
        <f t="shared" ca="1" si="423"/>
        <v>0</v>
      </c>
      <c r="AI729" s="126">
        <f t="shared" ca="1" si="424"/>
        <v>0</v>
      </c>
      <c r="AJ729" t="str">
        <f t="shared" ca="1" si="425"/>
        <v>32084</v>
      </c>
      <c r="AK729" s="126">
        <f t="shared" ca="1" si="442"/>
        <v>0</v>
      </c>
      <c r="AL729" s="126">
        <f t="shared" ca="1" si="443"/>
        <v>0</v>
      </c>
      <c r="AM729" s="126">
        <f t="shared" ca="1" si="456"/>
        <v>0</v>
      </c>
      <c r="AN729" s="753">
        <f t="shared" ca="1" si="457"/>
        <v>0</v>
      </c>
      <c r="AO729" s="750">
        <f t="shared" ca="1" si="444"/>
        <v>0</v>
      </c>
      <c r="AP729" s="126">
        <f t="shared" ca="1" si="445"/>
        <v>0</v>
      </c>
      <c r="AQ729" s="126">
        <f t="shared" ca="1" si="446"/>
        <v>0</v>
      </c>
      <c r="AR729" s="126">
        <f t="shared" ca="1" si="426"/>
        <v>10000</v>
      </c>
      <c r="AS729" s="750">
        <f t="shared" ca="1" si="427"/>
        <v>0</v>
      </c>
      <c r="AT729" s="750">
        <f t="shared" ca="1" si="428"/>
        <v>0</v>
      </c>
      <c r="AU729" s="126">
        <f t="shared" ca="1" si="447"/>
        <v>0</v>
      </c>
      <c r="AV729" s="126">
        <f t="shared" ca="1" si="448"/>
        <v>0</v>
      </c>
      <c r="AW729" s="126">
        <f t="shared" ca="1" si="429"/>
        <v>10000</v>
      </c>
      <c r="AX729" s="750">
        <f t="shared" ca="1" si="449"/>
        <v>0</v>
      </c>
      <c r="AY729" s="750">
        <f t="shared" ca="1" si="450"/>
        <v>0</v>
      </c>
      <c r="AZ729">
        <f t="shared" si="451"/>
        <v>5750</v>
      </c>
    </row>
    <row r="730" spans="4:52">
      <c r="D730">
        <v>723</v>
      </c>
      <c r="E730" s="6">
        <f t="shared" ca="1" si="430"/>
        <v>30773</v>
      </c>
      <c r="F730" s="7">
        <f t="shared" ca="1" si="431"/>
        <v>0</v>
      </c>
      <c r="G730" s="125">
        <f ca="1">IF('Simulador - 1º Pilar'!$E$99="Sí",IF('Aportaciones PPE'!$B$13&lt;'Aportaciones PPE'!E730,0,F730*$B$8/12),F730*$B$8/12)</f>
        <v>0</v>
      </c>
      <c r="H730" s="125">
        <f t="shared" ca="1" si="420"/>
        <v>0</v>
      </c>
      <c r="I730" s="125">
        <f t="shared" ca="1" si="432"/>
        <v>0</v>
      </c>
      <c r="J730" s="125">
        <f t="shared" ca="1" si="433"/>
        <v>0</v>
      </c>
      <c r="K730" s="125">
        <f t="shared" ca="1" si="434"/>
        <v>0</v>
      </c>
      <c r="L730" s="125">
        <f t="shared" ca="1" si="452"/>
        <v>0</v>
      </c>
      <c r="M730" s="125">
        <f t="shared" ca="1" si="435"/>
        <v>0</v>
      </c>
      <c r="N730" s="125">
        <f t="shared" ca="1" si="436"/>
        <v>0</v>
      </c>
      <c r="R730">
        <f t="shared" si="453"/>
        <v>723</v>
      </c>
      <c r="U730" s="55"/>
      <c r="V730">
        <f t="shared" si="454"/>
        <v>4</v>
      </c>
      <c r="W730">
        <f t="shared" ca="1" si="455"/>
        <v>2084</v>
      </c>
      <c r="X730" s="123">
        <f t="shared" ca="1" si="437"/>
        <v>67298</v>
      </c>
      <c r="Y730" s="64">
        <f t="shared" ca="1" si="438"/>
        <v>0</v>
      </c>
      <c r="Z730" s="64">
        <f t="shared" ca="1" si="439"/>
        <v>0</v>
      </c>
      <c r="AA730" s="64">
        <f t="shared" ca="1" si="440"/>
        <v>0</v>
      </c>
      <c r="AB730" s="64">
        <f t="shared" ca="1" si="441"/>
        <v>0</v>
      </c>
      <c r="AF730" t="str">
        <f t="shared" ca="1" si="421"/>
        <v>41984</v>
      </c>
      <c r="AG730" s="126">
        <f t="shared" ca="1" si="422"/>
        <v>0</v>
      </c>
      <c r="AH730" s="126">
        <f t="shared" ca="1" si="423"/>
        <v>0</v>
      </c>
      <c r="AI730" s="126">
        <f t="shared" ca="1" si="424"/>
        <v>0</v>
      </c>
      <c r="AJ730" t="str">
        <f t="shared" ca="1" si="425"/>
        <v>42084</v>
      </c>
      <c r="AK730" s="126">
        <f t="shared" ca="1" si="442"/>
        <v>0</v>
      </c>
      <c r="AL730" s="126">
        <f t="shared" ca="1" si="443"/>
        <v>0</v>
      </c>
      <c r="AM730" s="126">
        <f t="shared" ca="1" si="456"/>
        <v>0</v>
      </c>
      <c r="AN730" s="753">
        <f t="shared" ca="1" si="457"/>
        <v>0</v>
      </c>
      <c r="AO730" s="750">
        <f t="shared" ca="1" si="444"/>
        <v>0</v>
      </c>
      <c r="AP730" s="126">
        <f t="shared" ca="1" si="445"/>
        <v>0</v>
      </c>
      <c r="AQ730" s="126">
        <f t="shared" ca="1" si="446"/>
        <v>0</v>
      </c>
      <c r="AR730" s="126">
        <f t="shared" ca="1" si="426"/>
        <v>10000</v>
      </c>
      <c r="AS730" s="750">
        <f t="shared" ca="1" si="427"/>
        <v>0</v>
      </c>
      <c r="AT730" s="750">
        <f t="shared" ca="1" si="428"/>
        <v>0</v>
      </c>
      <c r="AU730" s="126">
        <f t="shared" ca="1" si="447"/>
        <v>0</v>
      </c>
      <c r="AV730" s="126">
        <f t="shared" ca="1" si="448"/>
        <v>0</v>
      </c>
      <c r="AW730" s="126">
        <f t="shared" ca="1" si="429"/>
        <v>10000</v>
      </c>
      <c r="AX730" s="750">
        <f t="shared" ca="1" si="449"/>
        <v>0</v>
      </c>
      <c r="AY730" s="750">
        <f t="shared" ca="1" si="450"/>
        <v>0</v>
      </c>
      <c r="AZ730">
        <f t="shared" si="451"/>
        <v>5750</v>
      </c>
    </row>
    <row r="731" spans="4:52">
      <c r="D731">
        <v>724</v>
      </c>
      <c r="E731" s="6">
        <f t="shared" ca="1" si="430"/>
        <v>30742</v>
      </c>
      <c r="F731" s="7">
        <f t="shared" ca="1" si="431"/>
        <v>0</v>
      </c>
      <c r="G731" s="125">
        <f ca="1">IF('Simulador - 1º Pilar'!$E$99="Sí",IF('Aportaciones PPE'!$B$13&lt;'Aportaciones PPE'!E731,0,F731*$B$8/12),F731*$B$8/12)</f>
        <v>0</v>
      </c>
      <c r="H731" s="125">
        <f t="shared" ca="1" si="420"/>
        <v>0</v>
      </c>
      <c r="I731" s="125">
        <f t="shared" ca="1" si="432"/>
        <v>0</v>
      </c>
      <c r="J731" s="125">
        <f t="shared" ca="1" si="433"/>
        <v>0</v>
      </c>
      <c r="K731" s="125">
        <f t="shared" ca="1" si="434"/>
        <v>0</v>
      </c>
      <c r="L731" s="125">
        <f t="shared" ca="1" si="452"/>
        <v>0</v>
      </c>
      <c r="M731" s="125">
        <f t="shared" ca="1" si="435"/>
        <v>0</v>
      </c>
      <c r="N731" s="125">
        <f t="shared" ca="1" si="436"/>
        <v>0</v>
      </c>
      <c r="R731">
        <f t="shared" si="453"/>
        <v>724</v>
      </c>
      <c r="U731" s="55"/>
      <c r="V731">
        <f t="shared" si="454"/>
        <v>5</v>
      </c>
      <c r="W731">
        <f t="shared" ca="1" si="455"/>
        <v>2084</v>
      </c>
      <c r="X731" s="123">
        <f t="shared" ca="1" si="437"/>
        <v>67328</v>
      </c>
      <c r="Y731" s="64">
        <f t="shared" ca="1" si="438"/>
        <v>0</v>
      </c>
      <c r="Z731" s="64">
        <f t="shared" ca="1" si="439"/>
        <v>0</v>
      </c>
      <c r="AA731" s="64">
        <f t="shared" ca="1" si="440"/>
        <v>0</v>
      </c>
      <c r="AB731" s="64">
        <f t="shared" ca="1" si="441"/>
        <v>0</v>
      </c>
      <c r="AF731" t="str">
        <f t="shared" ca="1" si="421"/>
        <v>31984</v>
      </c>
      <c r="AG731" s="126">
        <f t="shared" ca="1" si="422"/>
        <v>0</v>
      </c>
      <c r="AH731" s="126">
        <f t="shared" ca="1" si="423"/>
        <v>0</v>
      </c>
      <c r="AI731" s="126">
        <f t="shared" ca="1" si="424"/>
        <v>0</v>
      </c>
      <c r="AJ731" t="str">
        <f t="shared" ca="1" si="425"/>
        <v>52084</v>
      </c>
      <c r="AK731" s="126">
        <f t="shared" ca="1" si="442"/>
        <v>0</v>
      </c>
      <c r="AL731" s="126">
        <f t="shared" ca="1" si="443"/>
        <v>0</v>
      </c>
      <c r="AM731" s="126">
        <f t="shared" ca="1" si="456"/>
        <v>0</v>
      </c>
      <c r="AN731" s="753">
        <f t="shared" ca="1" si="457"/>
        <v>0</v>
      </c>
      <c r="AO731" s="750">
        <f t="shared" ca="1" si="444"/>
        <v>0</v>
      </c>
      <c r="AP731" s="126">
        <f t="shared" ca="1" si="445"/>
        <v>0</v>
      </c>
      <c r="AQ731" s="126">
        <f t="shared" ca="1" si="446"/>
        <v>0</v>
      </c>
      <c r="AR731" s="126">
        <f t="shared" ca="1" si="426"/>
        <v>10000</v>
      </c>
      <c r="AS731" s="750">
        <f t="shared" ca="1" si="427"/>
        <v>0</v>
      </c>
      <c r="AT731" s="750">
        <f t="shared" ca="1" si="428"/>
        <v>0</v>
      </c>
      <c r="AU731" s="126">
        <f t="shared" ca="1" si="447"/>
        <v>0</v>
      </c>
      <c r="AV731" s="126">
        <f t="shared" ca="1" si="448"/>
        <v>0</v>
      </c>
      <c r="AW731" s="126">
        <f t="shared" ca="1" si="429"/>
        <v>10000</v>
      </c>
      <c r="AX731" s="750">
        <f t="shared" ca="1" si="449"/>
        <v>0</v>
      </c>
      <c r="AY731" s="750">
        <f t="shared" ca="1" si="450"/>
        <v>0</v>
      </c>
      <c r="AZ731">
        <f t="shared" si="451"/>
        <v>5750</v>
      </c>
    </row>
    <row r="732" spans="4:52">
      <c r="D732">
        <v>725</v>
      </c>
      <c r="E732" s="6">
        <f t="shared" ca="1" si="430"/>
        <v>30713</v>
      </c>
      <c r="F732" s="7">
        <f t="shared" ca="1" si="431"/>
        <v>0</v>
      </c>
      <c r="G732" s="125">
        <f ca="1">IF('Simulador - 1º Pilar'!$E$99="Sí",IF('Aportaciones PPE'!$B$13&lt;'Aportaciones PPE'!E732,0,F732*$B$8/12),F732*$B$8/12)</f>
        <v>0</v>
      </c>
      <c r="H732" s="125">
        <f t="shared" ca="1" si="420"/>
        <v>0</v>
      </c>
      <c r="I732" s="125">
        <f t="shared" ca="1" si="432"/>
        <v>0</v>
      </c>
      <c r="J732" s="125">
        <f t="shared" ca="1" si="433"/>
        <v>0</v>
      </c>
      <c r="K732" s="125">
        <f t="shared" ca="1" si="434"/>
        <v>0</v>
      </c>
      <c r="L732" s="125">
        <f t="shared" ca="1" si="452"/>
        <v>0</v>
      </c>
      <c r="M732" s="125">
        <f t="shared" ca="1" si="435"/>
        <v>0</v>
      </c>
      <c r="N732" s="125">
        <f t="shared" ca="1" si="436"/>
        <v>0</v>
      </c>
      <c r="R732">
        <f t="shared" si="453"/>
        <v>725</v>
      </c>
      <c r="U732" s="55"/>
      <c r="V732">
        <f t="shared" si="454"/>
        <v>6</v>
      </c>
      <c r="W732">
        <f t="shared" ca="1" si="455"/>
        <v>2084</v>
      </c>
      <c r="X732" s="123">
        <f t="shared" ca="1" si="437"/>
        <v>67359</v>
      </c>
      <c r="Y732" s="64">
        <f t="shared" ca="1" si="438"/>
        <v>0</v>
      </c>
      <c r="Z732" s="64">
        <f t="shared" ca="1" si="439"/>
        <v>0</v>
      </c>
      <c r="AA732" s="64">
        <f t="shared" ca="1" si="440"/>
        <v>0</v>
      </c>
      <c r="AB732" s="64">
        <f t="shared" ca="1" si="441"/>
        <v>0</v>
      </c>
      <c r="AF732" t="str">
        <f t="shared" ca="1" si="421"/>
        <v>21984</v>
      </c>
      <c r="AG732" s="126">
        <f t="shared" ca="1" si="422"/>
        <v>0</v>
      </c>
      <c r="AH732" s="126">
        <f t="shared" ca="1" si="423"/>
        <v>0</v>
      </c>
      <c r="AI732" s="126">
        <f t="shared" ca="1" si="424"/>
        <v>0</v>
      </c>
      <c r="AJ732" t="str">
        <f t="shared" ca="1" si="425"/>
        <v>62084</v>
      </c>
      <c r="AK732" s="126">
        <f t="shared" ca="1" si="442"/>
        <v>0</v>
      </c>
      <c r="AL732" s="126">
        <f t="shared" ca="1" si="443"/>
        <v>0</v>
      </c>
      <c r="AM732" s="126">
        <f t="shared" ca="1" si="456"/>
        <v>0</v>
      </c>
      <c r="AN732" s="753">
        <f t="shared" ca="1" si="457"/>
        <v>0</v>
      </c>
      <c r="AO732" s="750">
        <f t="shared" ca="1" si="444"/>
        <v>0</v>
      </c>
      <c r="AP732" s="126">
        <f t="shared" ca="1" si="445"/>
        <v>0</v>
      </c>
      <c r="AQ732" s="126">
        <f t="shared" ca="1" si="446"/>
        <v>0</v>
      </c>
      <c r="AR732" s="126">
        <f t="shared" ca="1" si="426"/>
        <v>10000</v>
      </c>
      <c r="AS732" s="750">
        <f t="shared" ca="1" si="427"/>
        <v>0</v>
      </c>
      <c r="AT732" s="750">
        <f t="shared" ca="1" si="428"/>
        <v>0</v>
      </c>
      <c r="AU732" s="126">
        <f t="shared" ca="1" si="447"/>
        <v>0</v>
      </c>
      <c r="AV732" s="126">
        <f t="shared" ca="1" si="448"/>
        <v>0</v>
      </c>
      <c r="AW732" s="126">
        <f t="shared" ca="1" si="429"/>
        <v>10000</v>
      </c>
      <c r="AX732" s="750">
        <f t="shared" ca="1" si="449"/>
        <v>0</v>
      </c>
      <c r="AY732" s="750">
        <f t="shared" ca="1" si="450"/>
        <v>0</v>
      </c>
      <c r="AZ732">
        <f t="shared" si="451"/>
        <v>5750</v>
      </c>
    </row>
    <row r="733" spans="4:52">
      <c r="D733">
        <v>726</v>
      </c>
      <c r="E733" s="6">
        <f t="shared" ca="1" si="430"/>
        <v>30682</v>
      </c>
      <c r="F733" s="7">
        <f t="shared" ca="1" si="431"/>
        <v>0</v>
      </c>
      <c r="G733" s="125">
        <f ca="1">IF('Simulador - 1º Pilar'!$E$99="Sí",IF('Aportaciones PPE'!$B$13&lt;'Aportaciones PPE'!E733,0,F733*$B$8/12),F733*$B$8/12)</f>
        <v>0</v>
      </c>
      <c r="H733" s="125">
        <f t="shared" ca="1" si="420"/>
        <v>0</v>
      </c>
      <c r="I733" s="125">
        <f t="shared" ca="1" si="432"/>
        <v>0</v>
      </c>
      <c r="J733" s="125">
        <f t="shared" ca="1" si="433"/>
        <v>0</v>
      </c>
      <c r="K733" s="125">
        <f t="shared" ca="1" si="434"/>
        <v>0</v>
      </c>
      <c r="L733" s="125">
        <f t="shared" ca="1" si="452"/>
        <v>0</v>
      </c>
      <c r="M733" s="125">
        <f t="shared" ca="1" si="435"/>
        <v>0</v>
      </c>
      <c r="N733" s="125">
        <f t="shared" ca="1" si="436"/>
        <v>0</v>
      </c>
      <c r="R733">
        <f t="shared" si="453"/>
        <v>726</v>
      </c>
      <c r="U733" s="55"/>
      <c r="V733">
        <f t="shared" si="454"/>
        <v>7</v>
      </c>
      <c r="W733">
        <f t="shared" ca="1" si="455"/>
        <v>2084</v>
      </c>
      <c r="X733" s="123">
        <f t="shared" ca="1" si="437"/>
        <v>67389</v>
      </c>
      <c r="Y733" s="64">
        <f t="shared" ca="1" si="438"/>
        <v>0</v>
      </c>
      <c r="Z733" s="64">
        <f t="shared" ca="1" si="439"/>
        <v>0</v>
      </c>
      <c r="AA733" s="64">
        <f t="shared" ca="1" si="440"/>
        <v>0</v>
      </c>
      <c r="AB733" s="64">
        <f t="shared" ca="1" si="441"/>
        <v>0</v>
      </c>
      <c r="AF733" t="str">
        <f t="shared" ca="1" si="421"/>
        <v>11984</v>
      </c>
      <c r="AG733" s="126">
        <f t="shared" ca="1" si="422"/>
        <v>0</v>
      </c>
      <c r="AH733" s="126">
        <f t="shared" ca="1" si="423"/>
        <v>0</v>
      </c>
      <c r="AI733" s="126">
        <f t="shared" ca="1" si="424"/>
        <v>0</v>
      </c>
      <c r="AJ733" t="str">
        <f t="shared" ca="1" si="425"/>
        <v>72084</v>
      </c>
      <c r="AK733" s="126">
        <f t="shared" ca="1" si="442"/>
        <v>0</v>
      </c>
      <c r="AL733" s="126">
        <f t="shared" ca="1" si="443"/>
        <v>0</v>
      </c>
      <c r="AM733" s="126">
        <f t="shared" ca="1" si="456"/>
        <v>0</v>
      </c>
      <c r="AN733" s="753">
        <f t="shared" ca="1" si="457"/>
        <v>0</v>
      </c>
      <c r="AO733" s="750">
        <f t="shared" ca="1" si="444"/>
        <v>0</v>
      </c>
      <c r="AP733" s="126">
        <f t="shared" ca="1" si="445"/>
        <v>0</v>
      </c>
      <c r="AQ733" s="126">
        <f t="shared" ca="1" si="446"/>
        <v>0</v>
      </c>
      <c r="AR733" s="126">
        <f t="shared" ca="1" si="426"/>
        <v>10000</v>
      </c>
      <c r="AS733" s="750">
        <f t="shared" ca="1" si="427"/>
        <v>0</v>
      </c>
      <c r="AT733" s="750">
        <f t="shared" ca="1" si="428"/>
        <v>0</v>
      </c>
      <c r="AU733" s="126">
        <f t="shared" ca="1" si="447"/>
        <v>0</v>
      </c>
      <c r="AV733" s="126">
        <f t="shared" ca="1" si="448"/>
        <v>0</v>
      </c>
      <c r="AW733" s="126">
        <f t="shared" ca="1" si="429"/>
        <v>10000</v>
      </c>
      <c r="AX733" s="750">
        <f t="shared" ca="1" si="449"/>
        <v>0</v>
      </c>
      <c r="AY733" s="750">
        <f t="shared" ca="1" si="450"/>
        <v>0</v>
      </c>
      <c r="AZ733">
        <f t="shared" si="451"/>
        <v>5750</v>
      </c>
    </row>
    <row r="734" spans="4:52">
      <c r="D734">
        <v>727</v>
      </c>
      <c r="E734" s="6">
        <f t="shared" ca="1" si="430"/>
        <v>30651</v>
      </c>
      <c r="F734" s="7">
        <f t="shared" ca="1" si="431"/>
        <v>0</v>
      </c>
      <c r="G734" s="125">
        <f ca="1">IF('Simulador - 1º Pilar'!$E$99="Sí",IF('Aportaciones PPE'!$B$13&lt;'Aportaciones PPE'!E734,0,F734*$B$8/12),F734*$B$8/12)</f>
        <v>0</v>
      </c>
      <c r="H734" s="125">
        <f t="shared" ca="1" si="420"/>
        <v>0</v>
      </c>
      <c r="I734" s="125">
        <f t="shared" ca="1" si="432"/>
        <v>0</v>
      </c>
      <c r="J734" s="125">
        <f t="shared" ca="1" si="433"/>
        <v>0</v>
      </c>
      <c r="K734" s="125">
        <f t="shared" ca="1" si="434"/>
        <v>0</v>
      </c>
      <c r="L734" s="125">
        <f t="shared" ca="1" si="452"/>
        <v>0</v>
      </c>
      <c r="M734" s="125">
        <f t="shared" ca="1" si="435"/>
        <v>0</v>
      </c>
      <c r="N734" s="125">
        <f t="shared" ca="1" si="436"/>
        <v>0</v>
      </c>
      <c r="R734">
        <f t="shared" si="453"/>
        <v>727</v>
      </c>
      <c r="U734" s="55"/>
      <c r="V734">
        <f t="shared" si="454"/>
        <v>8</v>
      </c>
      <c r="W734">
        <f t="shared" ca="1" si="455"/>
        <v>2084</v>
      </c>
      <c r="X734" s="123">
        <f t="shared" ca="1" si="437"/>
        <v>67420</v>
      </c>
      <c r="Y734" s="64">
        <f t="shared" ca="1" si="438"/>
        <v>0</v>
      </c>
      <c r="Z734" s="64">
        <f t="shared" ca="1" si="439"/>
        <v>0</v>
      </c>
      <c r="AA734" s="64">
        <f t="shared" ca="1" si="440"/>
        <v>0</v>
      </c>
      <c r="AB734" s="64">
        <f t="shared" ca="1" si="441"/>
        <v>0</v>
      </c>
      <c r="AF734" t="str">
        <f t="shared" ca="1" si="421"/>
        <v>121983</v>
      </c>
      <c r="AG734" s="126">
        <f t="shared" ca="1" si="422"/>
        <v>0</v>
      </c>
      <c r="AH734" s="126">
        <f t="shared" ca="1" si="423"/>
        <v>0</v>
      </c>
      <c r="AI734" s="126">
        <f t="shared" ca="1" si="424"/>
        <v>0</v>
      </c>
      <c r="AJ734" t="str">
        <f t="shared" ca="1" si="425"/>
        <v>82084</v>
      </c>
      <c r="AK734" s="126">
        <f t="shared" ca="1" si="442"/>
        <v>0</v>
      </c>
      <c r="AL734" s="126">
        <f t="shared" ca="1" si="443"/>
        <v>0</v>
      </c>
      <c r="AM734" s="126">
        <f t="shared" ca="1" si="456"/>
        <v>0</v>
      </c>
      <c r="AN734" s="753">
        <f t="shared" ca="1" si="457"/>
        <v>0</v>
      </c>
      <c r="AO734" s="750">
        <f t="shared" ca="1" si="444"/>
        <v>0</v>
      </c>
      <c r="AP734" s="126">
        <f t="shared" ca="1" si="445"/>
        <v>0</v>
      </c>
      <c r="AQ734" s="126">
        <f t="shared" ca="1" si="446"/>
        <v>0</v>
      </c>
      <c r="AR734" s="126">
        <f t="shared" ca="1" si="426"/>
        <v>10000</v>
      </c>
      <c r="AS734" s="750">
        <f t="shared" ca="1" si="427"/>
        <v>0</v>
      </c>
      <c r="AT734" s="750">
        <f t="shared" ca="1" si="428"/>
        <v>0</v>
      </c>
      <c r="AU734" s="126">
        <f t="shared" ca="1" si="447"/>
        <v>0</v>
      </c>
      <c r="AV734" s="126">
        <f t="shared" ca="1" si="448"/>
        <v>0</v>
      </c>
      <c r="AW734" s="126">
        <f t="shared" ca="1" si="429"/>
        <v>10000</v>
      </c>
      <c r="AX734" s="750">
        <f t="shared" ca="1" si="449"/>
        <v>0</v>
      </c>
      <c r="AY734" s="750">
        <f t="shared" ca="1" si="450"/>
        <v>0</v>
      </c>
      <c r="AZ734">
        <f t="shared" si="451"/>
        <v>5750</v>
      </c>
    </row>
    <row r="735" spans="4:52">
      <c r="D735">
        <v>728</v>
      </c>
      <c r="E735" s="6">
        <f t="shared" ca="1" si="430"/>
        <v>30621</v>
      </c>
      <c r="F735" s="7">
        <f t="shared" ca="1" si="431"/>
        <v>0</v>
      </c>
      <c r="G735" s="125">
        <f ca="1">IF('Simulador - 1º Pilar'!$E$99="Sí",IF('Aportaciones PPE'!$B$13&lt;'Aportaciones PPE'!E735,0,F735*$B$8/12),F735*$B$8/12)</f>
        <v>0</v>
      </c>
      <c r="H735" s="125">
        <f t="shared" ca="1" si="420"/>
        <v>0</v>
      </c>
      <c r="I735" s="125">
        <f t="shared" ca="1" si="432"/>
        <v>0</v>
      </c>
      <c r="J735" s="125">
        <f t="shared" ca="1" si="433"/>
        <v>0</v>
      </c>
      <c r="K735" s="125">
        <f t="shared" ca="1" si="434"/>
        <v>0</v>
      </c>
      <c r="L735" s="125">
        <f t="shared" ca="1" si="452"/>
        <v>0</v>
      </c>
      <c r="M735" s="125">
        <f t="shared" ca="1" si="435"/>
        <v>0</v>
      </c>
      <c r="N735" s="125">
        <f t="shared" ca="1" si="436"/>
        <v>0</v>
      </c>
      <c r="R735">
        <f t="shared" si="453"/>
        <v>728</v>
      </c>
      <c r="U735" s="55"/>
      <c r="V735">
        <f t="shared" si="454"/>
        <v>9</v>
      </c>
      <c r="W735">
        <f t="shared" ca="1" si="455"/>
        <v>2084</v>
      </c>
      <c r="X735" s="123">
        <f t="shared" ca="1" si="437"/>
        <v>67451</v>
      </c>
      <c r="Y735" s="64">
        <f t="shared" ca="1" si="438"/>
        <v>0</v>
      </c>
      <c r="Z735" s="64">
        <f t="shared" ca="1" si="439"/>
        <v>0</v>
      </c>
      <c r="AA735" s="64">
        <f t="shared" ca="1" si="440"/>
        <v>0</v>
      </c>
      <c r="AB735" s="64">
        <f t="shared" ca="1" si="441"/>
        <v>0</v>
      </c>
      <c r="AF735" t="str">
        <f t="shared" ca="1" si="421"/>
        <v>111983</v>
      </c>
      <c r="AG735" s="126">
        <f t="shared" ca="1" si="422"/>
        <v>0</v>
      </c>
      <c r="AH735" s="126">
        <f t="shared" ca="1" si="423"/>
        <v>0</v>
      </c>
      <c r="AI735" s="126">
        <f t="shared" ca="1" si="424"/>
        <v>0</v>
      </c>
      <c r="AJ735" t="str">
        <f t="shared" ca="1" si="425"/>
        <v>92084</v>
      </c>
      <c r="AK735" s="126">
        <f t="shared" ca="1" si="442"/>
        <v>0</v>
      </c>
      <c r="AL735" s="126">
        <f t="shared" ca="1" si="443"/>
        <v>0</v>
      </c>
      <c r="AM735" s="126">
        <f t="shared" ca="1" si="456"/>
        <v>0</v>
      </c>
      <c r="AN735" s="753">
        <f t="shared" ca="1" si="457"/>
        <v>0</v>
      </c>
      <c r="AO735" s="750">
        <f t="shared" ca="1" si="444"/>
        <v>0</v>
      </c>
      <c r="AP735" s="126">
        <f t="shared" ca="1" si="445"/>
        <v>0</v>
      </c>
      <c r="AQ735" s="126">
        <f t="shared" ca="1" si="446"/>
        <v>0</v>
      </c>
      <c r="AR735" s="126">
        <f t="shared" ca="1" si="426"/>
        <v>10000</v>
      </c>
      <c r="AS735" s="750">
        <f t="shared" ca="1" si="427"/>
        <v>0</v>
      </c>
      <c r="AT735" s="750">
        <f t="shared" ca="1" si="428"/>
        <v>0</v>
      </c>
      <c r="AU735" s="126">
        <f t="shared" ca="1" si="447"/>
        <v>0</v>
      </c>
      <c r="AV735" s="126">
        <f t="shared" ca="1" si="448"/>
        <v>0</v>
      </c>
      <c r="AW735" s="126">
        <f t="shared" ca="1" si="429"/>
        <v>10000</v>
      </c>
      <c r="AX735" s="750">
        <f t="shared" ca="1" si="449"/>
        <v>0</v>
      </c>
      <c r="AY735" s="750">
        <f t="shared" ca="1" si="450"/>
        <v>0</v>
      </c>
      <c r="AZ735">
        <f t="shared" si="451"/>
        <v>5750</v>
      </c>
    </row>
    <row r="736" spans="4:52">
      <c r="D736">
        <v>729</v>
      </c>
      <c r="E736" s="6">
        <f t="shared" ca="1" si="430"/>
        <v>30590</v>
      </c>
      <c r="F736" s="7">
        <f t="shared" ca="1" si="431"/>
        <v>0</v>
      </c>
      <c r="G736" s="125">
        <f ca="1">IF('Simulador - 1º Pilar'!$E$99="Sí",IF('Aportaciones PPE'!$B$13&lt;'Aportaciones PPE'!E736,0,F736*$B$8/12),F736*$B$8/12)</f>
        <v>0</v>
      </c>
      <c r="H736" s="125">
        <f t="shared" ca="1" si="420"/>
        <v>0</v>
      </c>
      <c r="I736" s="125">
        <f t="shared" ca="1" si="432"/>
        <v>0</v>
      </c>
      <c r="J736" s="125">
        <f t="shared" ca="1" si="433"/>
        <v>0</v>
      </c>
      <c r="K736" s="125">
        <f t="shared" ca="1" si="434"/>
        <v>0</v>
      </c>
      <c r="L736" s="125">
        <f t="shared" ca="1" si="452"/>
        <v>0</v>
      </c>
      <c r="M736" s="125">
        <f t="shared" ca="1" si="435"/>
        <v>0</v>
      </c>
      <c r="N736" s="125">
        <f t="shared" ca="1" si="436"/>
        <v>0</v>
      </c>
      <c r="R736">
        <f t="shared" si="453"/>
        <v>729</v>
      </c>
      <c r="U736" s="55"/>
      <c r="V736">
        <f t="shared" si="454"/>
        <v>10</v>
      </c>
      <c r="W736">
        <f t="shared" ca="1" si="455"/>
        <v>2084</v>
      </c>
      <c r="X736" s="123">
        <f t="shared" ca="1" si="437"/>
        <v>67481</v>
      </c>
      <c r="Y736" s="64">
        <f t="shared" ca="1" si="438"/>
        <v>0</v>
      </c>
      <c r="Z736" s="64">
        <f t="shared" ca="1" si="439"/>
        <v>0</v>
      </c>
      <c r="AA736" s="64">
        <f t="shared" ca="1" si="440"/>
        <v>0</v>
      </c>
      <c r="AB736" s="64">
        <f t="shared" ca="1" si="441"/>
        <v>0</v>
      </c>
      <c r="AF736" t="str">
        <f t="shared" ca="1" si="421"/>
        <v>101983</v>
      </c>
      <c r="AG736" s="126">
        <f t="shared" ca="1" si="422"/>
        <v>0</v>
      </c>
      <c r="AH736" s="126">
        <f t="shared" ca="1" si="423"/>
        <v>0</v>
      </c>
      <c r="AI736" s="126">
        <f t="shared" ca="1" si="424"/>
        <v>0</v>
      </c>
      <c r="AJ736" t="str">
        <f t="shared" ca="1" si="425"/>
        <v>102084</v>
      </c>
      <c r="AK736" s="126">
        <f t="shared" ca="1" si="442"/>
        <v>0</v>
      </c>
      <c r="AL736" s="126">
        <f t="shared" ca="1" si="443"/>
        <v>0</v>
      </c>
      <c r="AM736" s="126">
        <f t="shared" ca="1" si="456"/>
        <v>0</v>
      </c>
      <c r="AN736" s="753">
        <f t="shared" ca="1" si="457"/>
        <v>0</v>
      </c>
      <c r="AO736" s="750">
        <f t="shared" ca="1" si="444"/>
        <v>0</v>
      </c>
      <c r="AP736" s="126">
        <f t="shared" ca="1" si="445"/>
        <v>0</v>
      </c>
      <c r="AQ736" s="126">
        <f t="shared" ca="1" si="446"/>
        <v>0</v>
      </c>
      <c r="AR736" s="126">
        <f t="shared" ca="1" si="426"/>
        <v>10000</v>
      </c>
      <c r="AS736" s="750">
        <f t="shared" ca="1" si="427"/>
        <v>0</v>
      </c>
      <c r="AT736" s="750">
        <f t="shared" ca="1" si="428"/>
        <v>0</v>
      </c>
      <c r="AU736" s="126">
        <f t="shared" ca="1" si="447"/>
        <v>0</v>
      </c>
      <c r="AV736" s="126">
        <f t="shared" ca="1" si="448"/>
        <v>0</v>
      </c>
      <c r="AW736" s="126">
        <f t="shared" ca="1" si="429"/>
        <v>10000</v>
      </c>
      <c r="AX736" s="750">
        <f t="shared" ca="1" si="449"/>
        <v>0</v>
      </c>
      <c r="AY736" s="750">
        <f t="shared" ca="1" si="450"/>
        <v>0</v>
      </c>
      <c r="AZ736">
        <f t="shared" si="451"/>
        <v>5750</v>
      </c>
    </row>
    <row r="737" spans="4:52">
      <c r="D737">
        <v>730</v>
      </c>
      <c r="E737" s="6">
        <f t="shared" ca="1" si="430"/>
        <v>30560</v>
      </c>
      <c r="F737" s="7">
        <f t="shared" ca="1" si="431"/>
        <v>0</v>
      </c>
      <c r="G737" s="125">
        <f ca="1">IF('Simulador - 1º Pilar'!$E$99="Sí",IF('Aportaciones PPE'!$B$13&lt;'Aportaciones PPE'!E737,0,F737*$B$8/12),F737*$B$8/12)</f>
        <v>0</v>
      </c>
      <c r="H737" s="125">
        <f t="shared" ca="1" si="420"/>
        <v>0</v>
      </c>
      <c r="I737" s="125">
        <f t="shared" ca="1" si="432"/>
        <v>0</v>
      </c>
      <c r="J737" s="125">
        <f t="shared" ca="1" si="433"/>
        <v>0</v>
      </c>
      <c r="K737" s="125">
        <f t="shared" ca="1" si="434"/>
        <v>0</v>
      </c>
      <c r="L737" s="125">
        <f t="shared" ca="1" si="452"/>
        <v>0</v>
      </c>
      <c r="M737" s="125">
        <f t="shared" ca="1" si="435"/>
        <v>0</v>
      </c>
      <c r="N737" s="125">
        <f t="shared" ca="1" si="436"/>
        <v>0</v>
      </c>
      <c r="R737">
        <f t="shared" si="453"/>
        <v>730</v>
      </c>
      <c r="U737" s="55"/>
      <c r="V737">
        <f t="shared" si="454"/>
        <v>11</v>
      </c>
      <c r="W737">
        <f t="shared" ca="1" si="455"/>
        <v>2084</v>
      </c>
      <c r="X737" s="123">
        <f t="shared" ca="1" si="437"/>
        <v>67512</v>
      </c>
      <c r="Y737" s="64">
        <f t="shared" ca="1" si="438"/>
        <v>0</v>
      </c>
      <c r="Z737" s="64">
        <f t="shared" ca="1" si="439"/>
        <v>0</v>
      </c>
      <c r="AA737" s="64">
        <f t="shared" ca="1" si="440"/>
        <v>0</v>
      </c>
      <c r="AB737" s="64">
        <f t="shared" ca="1" si="441"/>
        <v>0</v>
      </c>
      <c r="AF737" t="str">
        <f t="shared" ca="1" si="421"/>
        <v>91983</v>
      </c>
      <c r="AG737" s="126">
        <f t="shared" ca="1" si="422"/>
        <v>0</v>
      </c>
      <c r="AH737" s="126">
        <f t="shared" ca="1" si="423"/>
        <v>0</v>
      </c>
      <c r="AI737" s="126">
        <f t="shared" ca="1" si="424"/>
        <v>0</v>
      </c>
      <c r="AJ737" t="str">
        <f t="shared" ca="1" si="425"/>
        <v>112084</v>
      </c>
      <c r="AK737" s="126">
        <f t="shared" ca="1" si="442"/>
        <v>0</v>
      </c>
      <c r="AL737" s="126">
        <f t="shared" ca="1" si="443"/>
        <v>0</v>
      </c>
      <c r="AM737" s="126">
        <f t="shared" ca="1" si="456"/>
        <v>0</v>
      </c>
      <c r="AN737" s="753">
        <f t="shared" ca="1" si="457"/>
        <v>0</v>
      </c>
      <c r="AO737" s="750">
        <f t="shared" ca="1" si="444"/>
        <v>0</v>
      </c>
      <c r="AP737" s="126">
        <f t="shared" ca="1" si="445"/>
        <v>0</v>
      </c>
      <c r="AQ737" s="126">
        <f t="shared" ca="1" si="446"/>
        <v>0</v>
      </c>
      <c r="AR737" s="126">
        <f t="shared" ca="1" si="426"/>
        <v>10000</v>
      </c>
      <c r="AS737" s="750">
        <f t="shared" ca="1" si="427"/>
        <v>0</v>
      </c>
      <c r="AT737" s="750">
        <f t="shared" ca="1" si="428"/>
        <v>0</v>
      </c>
      <c r="AU737" s="126">
        <f t="shared" ca="1" si="447"/>
        <v>0</v>
      </c>
      <c r="AV737" s="126">
        <f t="shared" ca="1" si="448"/>
        <v>0</v>
      </c>
      <c r="AW737" s="126">
        <f t="shared" ca="1" si="429"/>
        <v>10000</v>
      </c>
      <c r="AX737" s="750">
        <f t="shared" ca="1" si="449"/>
        <v>0</v>
      </c>
      <c r="AY737" s="750">
        <f t="shared" ca="1" si="450"/>
        <v>0</v>
      </c>
      <c r="AZ737">
        <f t="shared" si="451"/>
        <v>5750</v>
      </c>
    </row>
    <row r="738" spans="4:52">
      <c r="D738">
        <v>731</v>
      </c>
      <c r="E738" s="6">
        <f t="shared" ca="1" si="430"/>
        <v>30529</v>
      </c>
      <c r="F738" s="7">
        <f t="shared" ca="1" si="431"/>
        <v>0</v>
      </c>
      <c r="G738" s="125">
        <f ca="1">IF('Simulador - 1º Pilar'!$E$99="Sí",IF('Aportaciones PPE'!$B$13&lt;'Aportaciones PPE'!E738,0,F738*$B$8/12),F738*$B$8/12)</f>
        <v>0</v>
      </c>
      <c r="H738" s="125">
        <f t="shared" ca="1" si="420"/>
        <v>0</v>
      </c>
      <c r="I738" s="125">
        <f t="shared" ca="1" si="432"/>
        <v>0</v>
      </c>
      <c r="J738" s="125">
        <f t="shared" ca="1" si="433"/>
        <v>0</v>
      </c>
      <c r="K738" s="125">
        <f t="shared" ca="1" si="434"/>
        <v>0</v>
      </c>
      <c r="L738" s="125">
        <f t="shared" ca="1" si="452"/>
        <v>0</v>
      </c>
      <c r="M738" s="125">
        <f t="shared" ca="1" si="435"/>
        <v>0</v>
      </c>
      <c r="N738" s="125">
        <f t="shared" ca="1" si="436"/>
        <v>0</v>
      </c>
      <c r="R738">
        <f t="shared" si="453"/>
        <v>731</v>
      </c>
      <c r="U738" s="55"/>
      <c r="V738">
        <f t="shared" si="454"/>
        <v>12</v>
      </c>
      <c r="W738">
        <f t="shared" ca="1" si="455"/>
        <v>2084</v>
      </c>
      <c r="X738" s="123">
        <f t="shared" ca="1" si="437"/>
        <v>67542</v>
      </c>
      <c r="Y738" s="64">
        <f t="shared" ca="1" si="438"/>
        <v>0</v>
      </c>
      <c r="Z738" s="64">
        <f t="shared" ca="1" si="439"/>
        <v>0</v>
      </c>
      <c r="AA738" s="64">
        <f t="shared" ca="1" si="440"/>
        <v>0</v>
      </c>
      <c r="AB738" s="64">
        <f t="shared" ca="1" si="441"/>
        <v>0</v>
      </c>
      <c r="AF738" t="str">
        <f t="shared" ca="1" si="421"/>
        <v>81983</v>
      </c>
      <c r="AG738" s="126">
        <f t="shared" ca="1" si="422"/>
        <v>0</v>
      </c>
      <c r="AH738" s="126">
        <f t="shared" ca="1" si="423"/>
        <v>0</v>
      </c>
      <c r="AI738" s="126">
        <f t="shared" ca="1" si="424"/>
        <v>0</v>
      </c>
      <c r="AJ738" t="str">
        <f t="shared" ca="1" si="425"/>
        <v>122084</v>
      </c>
      <c r="AK738" s="126">
        <f t="shared" ca="1" si="442"/>
        <v>0</v>
      </c>
      <c r="AL738" s="126">
        <f t="shared" ca="1" si="443"/>
        <v>0</v>
      </c>
      <c r="AM738" s="126">
        <f t="shared" ca="1" si="456"/>
        <v>0</v>
      </c>
      <c r="AN738" s="753">
        <f t="shared" ca="1" si="457"/>
        <v>0</v>
      </c>
      <c r="AO738" s="750">
        <f t="shared" ca="1" si="444"/>
        <v>0</v>
      </c>
      <c r="AP738" s="126">
        <f t="shared" ca="1" si="445"/>
        <v>0</v>
      </c>
      <c r="AQ738" s="126">
        <f t="shared" ca="1" si="446"/>
        <v>0</v>
      </c>
      <c r="AR738" s="126">
        <f t="shared" ca="1" si="426"/>
        <v>10000</v>
      </c>
      <c r="AS738" s="750">
        <f t="shared" ca="1" si="427"/>
        <v>0</v>
      </c>
      <c r="AT738" s="750">
        <f t="shared" ca="1" si="428"/>
        <v>0</v>
      </c>
      <c r="AU738" s="126">
        <f t="shared" ca="1" si="447"/>
        <v>0</v>
      </c>
      <c r="AV738" s="126">
        <f t="shared" ca="1" si="448"/>
        <v>0</v>
      </c>
      <c r="AW738" s="126">
        <f t="shared" ca="1" si="429"/>
        <v>10000</v>
      </c>
      <c r="AX738" s="750">
        <f t="shared" ca="1" si="449"/>
        <v>0</v>
      </c>
      <c r="AY738" s="750">
        <f t="shared" ca="1" si="450"/>
        <v>0</v>
      </c>
      <c r="AZ738">
        <f t="shared" si="451"/>
        <v>5750</v>
      </c>
    </row>
    <row r="739" spans="4:52">
      <c r="D739">
        <v>732</v>
      </c>
      <c r="E739" s="6">
        <f t="shared" ca="1" si="430"/>
        <v>30498</v>
      </c>
      <c r="F739" s="7">
        <f t="shared" ca="1" si="431"/>
        <v>0</v>
      </c>
      <c r="G739" s="125">
        <f ca="1">IF('Simulador - 1º Pilar'!$E$99="Sí",IF('Aportaciones PPE'!$B$13&lt;'Aportaciones PPE'!E739,0,F739*$B$8/12),F739*$B$8/12)</f>
        <v>0</v>
      </c>
      <c r="H739" s="125">
        <f t="shared" ca="1" si="420"/>
        <v>0</v>
      </c>
      <c r="I739" s="125">
        <f t="shared" ca="1" si="432"/>
        <v>0</v>
      </c>
      <c r="J739" s="125">
        <f t="shared" ca="1" si="433"/>
        <v>0</v>
      </c>
      <c r="K739" s="125">
        <f t="shared" ca="1" si="434"/>
        <v>0</v>
      </c>
      <c r="L739" s="125">
        <f t="shared" ca="1" si="452"/>
        <v>0</v>
      </c>
      <c r="M739" s="125">
        <f t="shared" ca="1" si="435"/>
        <v>0</v>
      </c>
      <c r="N739" s="125">
        <f t="shared" ca="1" si="436"/>
        <v>0</v>
      </c>
      <c r="R739">
        <f t="shared" si="453"/>
        <v>732</v>
      </c>
      <c r="U739" s="55"/>
      <c r="V739">
        <f t="shared" si="454"/>
        <v>1</v>
      </c>
      <c r="W739">
        <f t="shared" ca="1" si="455"/>
        <v>2085</v>
      </c>
      <c r="X739" s="123">
        <f t="shared" ca="1" si="437"/>
        <v>67573</v>
      </c>
      <c r="Y739" s="64">
        <f t="shared" ca="1" si="438"/>
        <v>0</v>
      </c>
      <c r="Z739" s="64">
        <f t="shared" ca="1" si="439"/>
        <v>0</v>
      </c>
      <c r="AA739" s="64">
        <f t="shared" ca="1" si="440"/>
        <v>0</v>
      </c>
      <c r="AB739" s="64">
        <f t="shared" ca="1" si="441"/>
        <v>0</v>
      </c>
      <c r="AF739" t="str">
        <f t="shared" ca="1" si="421"/>
        <v>71983</v>
      </c>
      <c r="AG739" s="126">
        <f t="shared" ca="1" si="422"/>
        <v>0</v>
      </c>
      <c r="AH739" s="126">
        <f t="shared" ca="1" si="423"/>
        <v>0</v>
      </c>
      <c r="AI739" s="126">
        <f t="shared" ca="1" si="424"/>
        <v>0</v>
      </c>
      <c r="AJ739" t="str">
        <f t="shared" ca="1" si="425"/>
        <v>12085</v>
      </c>
      <c r="AK739" s="126">
        <f t="shared" ca="1" si="442"/>
        <v>0</v>
      </c>
      <c r="AL739" s="126">
        <f t="shared" ca="1" si="443"/>
        <v>0</v>
      </c>
      <c r="AM739" s="126">
        <f t="shared" ca="1" si="456"/>
        <v>0</v>
      </c>
      <c r="AN739" s="753">
        <f t="shared" ca="1" si="457"/>
        <v>0</v>
      </c>
      <c r="AO739" s="750">
        <f t="shared" ca="1" si="444"/>
        <v>0</v>
      </c>
      <c r="AP739" s="126">
        <f t="shared" ca="1" si="445"/>
        <v>0</v>
      </c>
      <c r="AQ739" s="126">
        <f t="shared" ca="1" si="446"/>
        <v>0</v>
      </c>
      <c r="AR739" s="126">
        <f t="shared" ca="1" si="426"/>
        <v>10000</v>
      </c>
      <c r="AS739" s="750">
        <f t="shared" ca="1" si="427"/>
        <v>0</v>
      </c>
      <c r="AT739" s="750">
        <f t="shared" ca="1" si="428"/>
        <v>0</v>
      </c>
      <c r="AU739" s="126">
        <f t="shared" ca="1" si="447"/>
        <v>0</v>
      </c>
      <c r="AV739" s="126">
        <f t="shared" ca="1" si="448"/>
        <v>0</v>
      </c>
      <c r="AW739" s="126">
        <f t="shared" ca="1" si="429"/>
        <v>10000</v>
      </c>
      <c r="AX739" s="750">
        <f t="shared" ca="1" si="449"/>
        <v>0</v>
      </c>
      <c r="AY739" s="750">
        <f t="shared" ca="1" si="450"/>
        <v>0</v>
      </c>
      <c r="AZ739">
        <f t="shared" si="451"/>
        <v>5750</v>
      </c>
    </row>
    <row r="740" spans="4:52">
      <c r="D740">
        <v>733</v>
      </c>
      <c r="E740" s="6">
        <f t="shared" ca="1" si="430"/>
        <v>30468</v>
      </c>
      <c r="F740" s="7">
        <f t="shared" ca="1" si="431"/>
        <v>0</v>
      </c>
      <c r="G740" s="125">
        <f ca="1">IF('Simulador - 1º Pilar'!$E$99="Sí",IF('Aportaciones PPE'!$B$13&lt;'Aportaciones PPE'!E740,0,F740*$B$8/12),F740*$B$8/12)</f>
        <v>0</v>
      </c>
      <c r="H740" s="125">
        <f t="shared" ca="1" si="420"/>
        <v>0</v>
      </c>
      <c r="I740" s="125">
        <f t="shared" ca="1" si="432"/>
        <v>0</v>
      </c>
      <c r="J740" s="125">
        <f t="shared" ca="1" si="433"/>
        <v>0</v>
      </c>
      <c r="K740" s="125">
        <f t="shared" ca="1" si="434"/>
        <v>0</v>
      </c>
      <c r="L740" s="125">
        <f t="shared" ca="1" si="452"/>
        <v>0</v>
      </c>
      <c r="M740" s="125">
        <f t="shared" ca="1" si="435"/>
        <v>0</v>
      </c>
      <c r="N740" s="125">
        <f t="shared" ca="1" si="436"/>
        <v>0</v>
      </c>
      <c r="R740">
        <f t="shared" si="453"/>
        <v>733</v>
      </c>
      <c r="U740" s="55"/>
      <c r="V740">
        <f t="shared" si="454"/>
        <v>2</v>
      </c>
      <c r="W740">
        <f t="shared" ca="1" si="455"/>
        <v>2085</v>
      </c>
      <c r="X740" s="123">
        <f t="shared" ca="1" si="437"/>
        <v>67604</v>
      </c>
      <c r="Y740" s="64">
        <f t="shared" ca="1" si="438"/>
        <v>0</v>
      </c>
      <c r="Z740" s="64">
        <f t="shared" ca="1" si="439"/>
        <v>0</v>
      </c>
      <c r="AA740" s="64">
        <f t="shared" ca="1" si="440"/>
        <v>0</v>
      </c>
      <c r="AB740" s="64">
        <f t="shared" ca="1" si="441"/>
        <v>0</v>
      </c>
      <c r="AF740" t="str">
        <f t="shared" ca="1" si="421"/>
        <v>61983</v>
      </c>
      <c r="AG740" s="126">
        <f t="shared" ca="1" si="422"/>
        <v>0</v>
      </c>
      <c r="AH740" s="126">
        <f t="shared" ca="1" si="423"/>
        <v>0</v>
      </c>
      <c r="AI740" s="126">
        <f t="shared" ca="1" si="424"/>
        <v>0</v>
      </c>
      <c r="AJ740" t="str">
        <f t="shared" ca="1" si="425"/>
        <v>22085</v>
      </c>
      <c r="AK740" s="126">
        <f t="shared" ca="1" si="442"/>
        <v>0</v>
      </c>
      <c r="AL740" s="126">
        <f t="shared" ca="1" si="443"/>
        <v>0</v>
      </c>
      <c r="AM740" s="126">
        <f t="shared" ca="1" si="456"/>
        <v>0</v>
      </c>
      <c r="AN740" s="753">
        <f t="shared" ca="1" si="457"/>
        <v>0</v>
      </c>
      <c r="AO740" s="750">
        <f t="shared" ca="1" si="444"/>
        <v>0</v>
      </c>
      <c r="AP740" s="126">
        <f t="shared" ca="1" si="445"/>
        <v>0</v>
      </c>
      <c r="AQ740" s="126">
        <f t="shared" ca="1" si="446"/>
        <v>0</v>
      </c>
      <c r="AR740" s="126">
        <f t="shared" ca="1" si="426"/>
        <v>10000</v>
      </c>
      <c r="AS740" s="750">
        <f t="shared" ca="1" si="427"/>
        <v>0</v>
      </c>
      <c r="AT740" s="750">
        <f t="shared" ca="1" si="428"/>
        <v>0</v>
      </c>
      <c r="AU740" s="126">
        <f t="shared" ca="1" si="447"/>
        <v>0</v>
      </c>
      <c r="AV740" s="126">
        <f t="shared" ca="1" si="448"/>
        <v>0</v>
      </c>
      <c r="AW740" s="126">
        <f t="shared" ca="1" si="429"/>
        <v>10000</v>
      </c>
      <c r="AX740" s="750">
        <f t="shared" ca="1" si="449"/>
        <v>0</v>
      </c>
      <c r="AY740" s="750">
        <f t="shared" ca="1" si="450"/>
        <v>0</v>
      </c>
      <c r="AZ740">
        <f t="shared" si="451"/>
        <v>5750</v>
      </c>
    </row>
    <row r="741" spans="4:52">
      <c r="D741">
        <v>734</v>
      </c>
      <c r="E741" s="6">
        <f t="shared" ca="1" si="430"/>
        <v>30437</v>
      </c>
      <c r="F741" s="7">
        <f t="shared" ca="1" si="431"/>
        <v>0</v>
      </c>
      <c r="G741" s="125">
        <f ca="1">IF('Simulador - 1º Pilar'!$E$99="Sí",IF('Aportaciones PPE'!$B$13&lt;'Aportaciones PPE'!E741,0,F741*$B$8/12),F741*$B$8/12)</f>
        <v>0</v>
      </c>
      <c r="H741" s="125">
        <f t="shared" ca="1" si="420"/>
        <v>0</v>
      </c>
      <c r="I741" s="125">
        <f t="shared" ca="1" si="432"/>
        <v>0</v>
      </c>
      <c r="J741" s="125">
        <f t="shared" ca="1" si="433"/>
        <v>0</v>
      </c>
      <c r="K741" s="125">
        <f t="shared" ca="1" si="434"/>
        <v>0</v>
      </c>
      <c r="L741" s="125">
        <f t="shared" ca="1" si="452"/>
        <v>0</v>
      </c>
      <c r="M741" s="125">
        <f t="shared" ca="1" si="435"/>
        <v>0</v>
      </c>
      <c r="N741" s="125">
        <f t="shared" ca="1" si="436"/>
        <v>0</v>
      </c>
      <c r="R741">
        <f t="shared" si="453"/>
        <v>734</v>
      </c>
      <c r="U741" s="55"/>
      <c r="V741">
        <f t="shared" si="454"/>
        <v>3</v>
      </c>
      <c r="W741">
        <f t="shared" ca="1" si="455"/>
        <v>2085</v>
      </c>
      <c r="X741" s="123">
        <f t="shared" ca="1" si="437"/>
        <v>67632</v>
      </c>
      <c r="Y741" s="64">
        <f t="shared" ca="1" si="438"/>
        <v>0</v>
      </c>
      <c r="Z741" s="64">
        <f t="shared" ca="1" si="439"/>
        <v>0</v>
      </c>
      <c r="AA741" s="64">
        <f t="shared" ca="1" si="440"/>
        <v>0</v>
      </c>
      <c r="AB741" s="64">
        <f t="shared" ca="1" si="441"/>
        <v>0</v>
      </c>
      <c r="AF741" t="str">
        <f t="shared" ca="1" si="421"/>
        <v>51983</v>
      </c>
      <c r="AG741" s="126">
        <f t="shared" ca="1" si="422"/>
        <v>0</v>
      </c>
      <c r="AH741" s="126">
        <f t="shared" ca="1" si="423"/>
        <v>0</v>
      </c>
      <c r="AI741" s="126">
        <f t="shared" ca="1" si="424"/>
        <v>0</v>
      </c>
      <c r="AJ741" t="str">
        <f t="shared" ca="1" si="425"/>
        <v>32085</v>
      </c>
      <c r="AK741" s="126">
        <f t="shared" ca="1" si="442"/>
        <v>0</v>
      </c>
      <c r="AL741" s="126">
        <f t="shared" ca="1" si="443"/>
        <v>0</v>
      </c>
      <c r="AM741" s="126">
        <f t="shared" ca="1" si="456"/>
        <v>0</v>
      </c>
      <c r="AN741" s="753">
        <f t="shared" ca="1" si="457"/>
        <v>0</v>
      </c>
      <c r="AO741" s="750">
        <f t="shared" ca="1" si="444"/>
        <v>0</v>
      </c>
      <c r="AP741" s="126">
        <f t="shared" ca="1" si="445"/>
        <v>0</v>
      </c>
      <c r="AQ741" s="126">
        <f t="shared" ca="1" si="446"/>
        <v>0</v>
      </c>
      <c r="AR741" s="126">
        <f t="shared" ca="1" si="426"/>
        <v>10000</v>
      </c>
      <c r="AS741" s="750">
        <f t="shared" ca="1" si="427"/>
        <v>0</v>
      </c>
      <c r="AT741" s="750">
        <f t="shared" ca="1" si="428"/>
        <v>0</v>
      </c>
      <c r="AU741" s="126">
        <f t="shared" ca="1" si="447"/>
        <v>0</v>
      </c>
      <c r="AV741" s="126">
        <f t="shared" ca="1" si="448"/>
        <v>0</v>
      </c>
      <c r="AW741" s="126">
        <f t="shared" ca="1" si="429"/>
        <v>10000</v>
      </c>
      <c r="AX741" s="750">
        <f t="shared" ca="1" si="449"/>
        <v>0</v>
      </c>
      <c r="AY741" s="750">
        <f t="shared" ca="1" si="450"/>
        <v>0</v>
      </c>
      <c r="AZ741">
        <f t="shared" si="451"/>
        <v>5750</v>
      </c>
    </row>
    <row r="742" spans="4:52">
      <c r="D742">
        <v>735</v>
      </c>
      <c r="E742" s="6">
        <f t="shared" ca="1" si="430"/>
        <v>30407</v>
      </c>
      <c r="F742" s="7">
        <f t="shared" ca="1" si="431"/>
        <v>0</v>
      </c>
      <c r="G742" s="125">
        <f ca="1">IF('Simulador - 1º Pilar'!$E$99="Sí",IF('Aportaciones PPE'!$B$13&lt;'Aportaciones PPE'!E742,0,F742*$B$8/12),F742*$B$8/12)</f>
        <v>0</v>
      </c>
      <c r="H742" s="125">
        <f t="shared" ca="1" si="420"/>
        <v>0</v>
      </c>
      <c r="I742" s="125">
        <f t="shared" ca="1" si="432"/>
        <v>0</v>
      </c>
      <c r="J742" s="125">
        <f t="shared" ca="1" si="433"/>
        <v>0</v>
      </c>
      <c r="K742" s="125">
        <f t="shared" ca="1" si="434"/>
        <v>0</v>
      </c>
      <c r="L742" s="125">
        <f t="shared" ca="1" si="452"/>
        <v>0</v>
      </c>
      <c r="M742" s="125">
        <f t="shared" ca="1" si="435"/>
        <v>0</v>
      </c>
      <c r="N742" s="125">
        <f t="shared" ca="1" si="436"/>
        <v>0</v>
      </c>
      <c r="R742">
        <f t="shared" si="453"/>
        <v>735</v>
      </c>
      <c r="U742" s="55"/>
      <c r="V742">
        <f t="shared" si="454"/>
        <v>4</v>
      </c>
      <c r="W742">
        <f t="shared" ca="1" si="455"/>
        <v>2085</v>
      </c>
      <c r="X742" s="123">
        <f t="shared" ca="1" si="437"/>
        <v>67663</v>
      </c>
      <c r="Y742" s="64">
        <f t="shared" ca="1" si="438"/>
        <v>0</v>
      </c>
      <c r="Z742" s="64">
        <f t="shared" ca="1" si="439"/>
        <v>0</v>
      </c>
      <c r="AA742" s="64">
        <f t="shared" ca="1" si="440"/>
        <v>0</v>
      </c>
      <c r="AB742" s="64">
        <f t="shared" ca="1" si="441"/>
        <v>0</v>
      </c>
      <c r="AF742" t="str">
        <f t="shared" ca="1" si="421"/>
        <v>41983</v>
      </c>
      <c r="AG742" s="126">
        <f t="shared" ca="1" si="422"/>
        <v>0</v>
      </c>
      <c r="AH742" s="126">
        <f t="shared" ca="1" si="423"/>
        <v>0</v>
      </c>
      <c r="AI742" s="126">
        <f t="shared" ca="1" si="424"/>
        <v>0</v>
      </c>
      <c r="AJ742" t="str">
        <f t="shared" ca="1" si="425"/>
        <v>42085</v>
      </c>
      <c r="AK742" s="126">
        <f t="shared" ca="1" si="442"/>
        <v>0</v>
      </c>
      <c r="AL742" s="126">
        <f t="shared" ca="1" si="443"/>
        <v>0</v>
      </c>
      <c r="AM742" s="126">
        <f t="shared" ca="1" si="456"/>
        <v>0</v>
      </c>
      <c r="AN742" s="753">
        <f t="shared" ca="1" si="457"/>
        <v>0</v>
      </c>
      <c r="AO742" s="750">
        <f t="shared" ca="1" si="444"/>
        <v>0</v>
      </c>
      <c r="AP742" s="126">
        <f t="shared" ca="1" si="445"/>
        <v>0</v>
      </c>
      <c r="AQ742" s="126">
        <f t="shared" ca="1" si="446"/>
        <v>0</v>
      </c>
      <c r="AR742" s="126">
        <f t="shared" ca="1" si="426"/>
        <v>10000</v>
      </c>
      <c r="AS742" s="750">
        <f t="shared" ca="1" si="427"/>
        <v>0</v>
      </c>
      <c r="AT742" s="750">
        <f t="shared" ca="1" si="428"/>
        <v>0</v>
      </c>
      <c r="AU742" s="126">
        <f t="shared" ca="1" si="447"/>
        <v>0</v>
      </c>
      <c r="AV742" s="126">
        <f t="shared" ca="1" si="448"/>
        <v>0</v>
      </c>
      <c r="AW742" s="126">
        <f t="shared" ca="1" si="429"/>
        <v>10000</v>
      </c>
      <c r="AX742" s="750">
        <f t="shared" ca="1" si="449"/>
        <v>0</v>
      </c>
      <c r="AY742" s="750">
        <f t="shared" ca="1" si="450"/>
        <v>0</v>
      </c>
      <c r="AZ742">
        <f t="shared" si="451"/>
        <v>5750</v>
      </c>
    </row>
    <row r="743" spans="4:52">
      <c r="D743">
        <v>736</v>
      </c>
      <c r="E743" s="6">
        <f t="shared" ca="1" si="430"/>
        <v>30376</v>
      </c>
      <c r="F743" s="7">
        <f t="shared" ca="1" si="431"/>
        <v>0</v>
      </c>
      <c r="G743" s="125">
        <f ca="1">IF('Simulador - 1º Pilar'!$E$99="Sí",IF('Aportaciones PPE'!$B$13&lt;'Aportaciones PPE'!E743,0,F743*$B$8/12),F743*$B$8/12)</f>
        <v>0</v>
      </c>
      <c r="H743" s="125">
        <f t="shared" ca="1" si="420"/>
        <v>0</v>
      </c>
      <c r="I743" s="125">
        <f t="shared" ca="1" si="432"/>
        <v>0</v>
      </c>
      <c r="J743" s="125">
        <f t="shared" ca="1" si="433"/>
        <v>0</v>
      </c>
      <c r="K743" s="125">
        <f t="shared" ca="1" si="434"/>
        <v>0</v>
      </c>
      <c r="L743" s="125">
        <f t="shared" ca="1" si="452"/>
        <v>0</v>
      </c>
      <c r="M743" s="125">
        <f t="shared" ca="1" si="435"/>
        <v>0</v>
      </c>
      <c r="N743" s="125">
        <f t="shared" ca="1" si="436"/>
        <v>0</v>
      </c>
      <c r="R743">
        <f t="shared" si="453"/>
        <v>736</v>
      </c>
      <c r="U743" s="55"/>
      <c r="V743">
        <f t="shared" si="454"/>
        <v>5</v>
      </c>
      <c r="W743">
        <f t="shared" ca="1" si="455"/>
        <v>2085</v>
      </c>
      <c r="X743" s="123">
        <f t="shared" ca="1" si="437"/>
        <v>67693</v>
      </c>
      <c r="Y743" s="64">
        <f t="shared" ca="1" si="438"/>
        <v>0</v>
      </c>
      <c r="Z743" s="64">
        <f t="shared" ca="1" si="439"/>
        <v>0</v>
      </c>
      <c r="AA743" s="64">
        <f t="shared" ca="1" si="440"/>
        <v>0</v>
      </c>
      <c r="AB743" s="64">
        <f t="shared" ca="1" si="441"/>
        <v>0</v>
      </c>
      <c r="AF743" t="str">
        <f t="shared" ca="1" si="421"/>
        <v>31983</v>
      </c>
      <c r="AG743" s="126">
        <f t="shared" ca="1" si="422"/>
        <v>0</v>
      </c>
      <c r="AH743" s="126">
        <f t="shared" ca="1" si="423"/>
        <v>0</v>
      </c>
      <c r="AI743" s="126">
        <f t="shared" ca="1" si="424"/>
        <v>0</v>
      </c>
      <c r="AJ743" t="str">
        <f t="shared" ca="1" si="425"/>
        <v>52085</v>
      </c>
      <c r="AK743" s="126">
        <f t="shared" ca="1" si="442"/>
        <v>0</v>
      </c>
      <c r="AL743" s="126">
        <f t="shared" ca="1" si="443"/>
        <v>0</v>
      </c>
      <c r="AM743" s="126">
        <f t="shared" ca="1" si="456"/>
        <v>0</v>
      </c>
      <c r="AN743" s="753">
        <f t="shared" ca="1" si="457"/>
        <v>0</v>
      </c>
      <c r="AO743" s="750">
        <f t="shared" ca="1" si="444"/>
        <v>0</v>
      </c>
      <c r="AP743" s="126">
        <f t="shared" ca="1" si="445"/>
        <v>0</v>
      </c>
      <c r="AQ743" s="126">
        <f t="shared" ca="1" si="446"/>
        <v>0</v>
      </c>
      <c r="AR743" s="126">
        <f t="shared" ca="1" si="426"/>
        <v>10000</v>
      </c>
      <c r="AS743" s="750">
        <f t="shared" ca="1" si="427"/>
        <v>0</v>
      </c>
      <c r="AT743" s="750">
        <f t="shared" ca="1" si="428"/>
        <v>0</v>
      </c>
      <c r="AU743" s="126">
        <f t="shared" ca="1" si="447"/>
        <v>0</v>
      </c>
      <c r="AV743" s="126">
        <f t="shared" ca="1" si="448"/>
        <v>0</v>
      </c>
      <c r="AW743" s="126">
        <f t="shared" ca="1" si="429"/>
        <v>10000</v>
      </c>
      <c r="AX743" s="750">
        <f t="shared" ca="1" si="449"/>
        <v>0</v>
      </c>
      <c r="AY743" s="750">
        <f t="shared" ca="1" si="450"/>
        <v>0</v>
      </c>
      <c r="AZ743">
        <f t="shared" si="451"/>
        <v>5750</v>
      </c>
    </row>
    <row r="744" spans="4:52">
      <c r="D744">
        <v>737</v>
      </c>
      <c r="E744" s="6">
        <f t="shared" ca="1" si="430"/>
        <v>30348</v>
      </c>
      <c r="F744" s="7">
        <f t="shared" ca="1" si="431"/>
        <v>0</v>
      </c>
      <c r="G744" s="125">
        <f ca="1">IF('Simulador - 1º Pilar'!$E$99="Sí",IF('Aportaciones PPE'!$B$13&lt;'Aportaciones PPE'!E744,0,F744*$B$8/12),F744*$B$8/12)</f>
        <v>0</v>
      </c>
      <c r="H744" s="125">
        <f t="shared" ca="1" si="420"/>
        <v>0</v>
      </c>
      <c r="I744" s="125">
        <f t="shared" ca="1" si="432"/>
        <v>0</v>
      </c>
      <c r="J744" s="125">
        <f t="shared" ca="1" si="433"/>
        <v>0</v>
      </c>
      <c r="K744" s="125">
        <f t="shared" ca="1" si="434"/>
        <v>0</v>
      </c>
      <c r="L744" s="125">
        <f t="shared" ca="1" si="452"/>
        <v>0</v>
      </c>
      <c r="M744" s="125">
        <f t="shared" ca="1" si="435"/>
        <v>0</v>
      </c>
      <c r="N744" s="125">
        <f t="shared" ca="1" si="436"/>
        <v>0</v>
      </c>
      <c r="R744">
        <f t="shared" si="453"/>
        <v>737</v>
      </c>
      <c r="U744" s="55"/>
      <c r="V744">
        <f t="shared" si="454"/>
        <v>6</v>
      </c>
      <c r="W744">
        <f t="shared" ca="1" si="455"/>
        <v>2085</v>
      </c>
      <c r="X744" s="123">
        <f t="shared" ca="1" si="437"/>
        <v>67724</v>
      </c>
      <c r="Y744" s="64">
        <f t="shared" ca="1" si="438"/>
        <v>0</v>
      </c>
      <c r="Z744" s="64">
        <f t="shared" ca="1" si="439"/>
        <v>0</v>
      </c>
      <c r="AA744" s="64">
        <f t="shared" ca="1" si="440"/>
        <v>0</v>
      </c>
      <c r="AB744" s="64">
        <f t="shared" ca="1" si="441"/>
        <v>0</v>
      </c>
      <c r="AF744" t="str">
        <f t="shared" ca="1" si="421"/>
        <v>21983</v>
      </c>
      <c r="AG744" s="126">
        <f t="shared" ca="1" si="422"/>
        <v>0</v>
      </c>
      <c r="AH744" s="126">
        <f t="shared" ca="1" si="423"/>
        <v>0</v>
      </c>
      <c r="AI744" s="126">
        <f t="shared" ca="1" si="424"/>
        <v>0</v>
      </c>
      <c r="AJ744" t="str">
        <f t="shared" ca="1" si="425"/>
        <v>62085</v>
      </c>
      <c r="AK744" s="126">
        <f t="shared" ca="1" si="442"/>
        <v>0</v>
      </c>
      <c r="AL744" s="126">
        <f t="shared" ca="1" si="443"/>
        <v>0</v>
      </c>
      <c r="AM744" s="126">
        <f t="shared" ca="1" si="456"/>
        <v>0</v>
      </c>
      <c r="AN744" s="753">
        <f t="shared" ca="1" si="457"/>
        <v>0</v>
      </c>
      <c r="AO744" s="750">
        <f t="shared" ca="1" si="444"/>
        <v>0</v>
      </c>
      <c r="AP744" s="126">
        <f t="shared" ca="1" si="445"/>
        <v>0</v>
      </c>
      <c r="AQ744" s="126">
        <f t="shared" ca="1" si="446"/>
        <v>0</v>
      </c>
      <c r="AR744" s="126">
        <f t="shared" ca="1" si="426"/>
        <v>10000</v>
      </c>
      <c r="AS744" s="750">
        <f t="shared" ca="1" si="427"/>
        <v>0</v>
      </c>
      <c r="AT744" s="750">
        <f t="shared" ca="1" si="428"/>
        <v>0</v>
      </c>
      <c r="AU744" s="126">
        <f t="shared" ca="1" si="447"/>
        <v>0</v>
      </c>
      <c r="AV744" s="126">
        <f t="shared" ca="1" si="448"/>
        <v>0</v>
      </c>
      <c r="AW744" s="126">
        <f t="shared" ca="1" si="429"/>
        <v>10000</v>
      </c>
      <c r="AX744" s="750">
        <f t="shared" ca="1" si="449"/>
        <v>0</v>
      </c>
      <c r="AY744" s="750">
        <f t="shared" ca="1" si="450"/>
        <v>0</v>
      </c>
      <c r="AZ744">
        <f t="shared" si="451"/>
        <v>5750</v>
      </c>
    </row>
    <row r="745" spans="4:52">
      <c r="D745">
        <v>738</v>
      </c>
      <c r="E745" s="6">
        <f t="shared" ca="1" si="430"/>
        <v>30317</v>
      </c>
      <c r="F745" s="7">
        <f t="shared" ca="1" si="431"/>
        <v>0</v>
      </c>
      <c r="G745" s="125">
        <f ca="1">IF('Simulador - 1º Pilar'!$E$99="Sí",IF('Aportaciones PPE'!$B$13&lt;'Aportaciones PPE'!E745,0,F745*$B$8/12),F745*$B$8/12)</f>
        <v>0</v>
      </c>
      <c r="H745" s="125">
        <f t="shared" ca="1" si="420"/>
        <v>0</v>
      </c>
      <c r="I745" s="125">
        <f t="shared" ca="1" si="432"/>
        <v>0</v>
      </c>
      <c r="J745" s="125">
        <f t="shared" ca="1" si="433"/>
        <v>0</v>
      </c>
      <c r="K745" s="125">
        <f t="shared" ca="1" si="434"/>
        <v>0</v>
      </c>
      <c r="L745" s="125">
        <f t="shared" ca="1" si="452"/>
        <v>0</v>
      </c>
      <c r="M745" s="125">
        <f t="shared" ca="1" si="435"/>
        <v>0</v>
      </c>
      <c r="N745" s="125">
        <f t="shared" ca="1" si="436"/>
        <v>0</v>
      </c>
      <c r="R745">
        <f t="shared" si="453"/>
        <v>738</v>
      </c>
      <c r="U745" s="55"/>
      <c r="V745">
        <f t="shared" si="454"/>
        <v>7</v>
      </c>
      <c r="W745">
        <f t="shared" ca="1" si="455"/>
        <v>2085</v>
      </c>
      <c r="X745" s="123">
        <f t="shared" ca="1" si="437"/>
        <v>67754</v>
      </c>
      <c r="Y745" s="64">
        <f t="shared" ca="1" si="438"/>
        <v>0</v>
      </c>
      <c r="Z745" s="64">
        <f t="shared" ca="1" si="439"/>
        <v>0</v>
      </c>
      <c r="AA745" s="64">
        <f t="shared" ca="1" si="440"/>
        <v>0</v>
      </c>
      <c r="AB745" s="64">
        <f t="shared" ca="1" si="441"/>
        <v>0</v>
      </c>
      <c r="AF745" t="str">
        <f t="shared" ca="1" si="421"/>
        <v>11983</v>
      </c>
      <c r="AG745" s="126">
        <f t="shared" ca="1" si="422"/>
        <v>0</v>
      </c>
      <c r="AH745" s="126">
        <f t="shared" ca="1" si="423"/>
        <v>0</v>
      </c>
      <c r="AI745" s="126">
        <f t="shared" ca="1" si="424"/>
        <v>0</v>
      </c>
      <c r="AJ745" t="str">
        <f t="shared" ca="1" si="425"/>
        <v>72085</v>
      </c>
      <c r="AK745" s="126">
        <f t="shared" ca="1" si="442"/>
        <v>0</v>
      </c>
      <c r="AL745" s="126">
        <f t="shared" ca="1" si="443"/>
        <v>0</v>
      </c>
      <c r="AM745" s="126">
        <f t="shared" ca="1" si="456"/>
        <v>0</v>
      </c>
      <c r="AN745" s="753">
        <f t="shared" ca="1" si="457"/>
        <v>0</v>
      </c>
      <c r="AO745" s="750">
        <f t="shared" ca="1" si="444"/>
        <v>0</v>
      </c>
      <c r="AP745" s="126">
        <f t="shared" ca="1" si="445"/>
        <v>0</v>
      </c>
      <c r="AQ745" s="126">
        <f t="shared" ca="1" si="446"/>
        <v>0</v>
      </c>
      <c r="AR745" s="126">
        <f t="shared" ca="1" si="426"/>
        <v>10000</v>
      </c>
      <c r="AS745" s="750">
        <f t="shared" ca="1" si="427"/>
        <v>0</v>
      </c>
      <c r="AT745" s="750">
        <f t="shared" ca="1" si="428"/>
        <v>0</v>
      </c>
      <c r="AU745" s="126">
        <f t="shared" ca="1" si="447"/>
        <v>0</v>
      </c>
      <c r="AV745" s="126">
        <f t="shared" ca="1" si="448"/>
        <v>0</v>
      </c>
      <c r="AW745" s="126">
        <f t="shared" ca="1" si="429"/>
        <v>10000</v>
      </c>
      <c r="AX745" s="750">
        <f t="shared" ca="1" si="449"/>
        <v>0</v>
      </c>
      <c r="AY745" s="750">
        <f t="shared" ca="1" si="450"/>
        <v>0</v>
      </c>
      <c r="AZ745">
        <f t="shared" si="451"/>
        <v>5750</v>
      </c>
    </row>
    <row r="746" spans="4:52">
      <c r="D746">
        <v>739</v>
      </c>
      <c r="E746" s="6">
        <f t="shared" ca="1" si="430"/>
        <v>30286</v>
      </c>
      <c r="F746" s="7">
        <f t="shared" ca="1" si="431"/>
        <v>0</v>
      </c>
      <c r="G746" s="125">
        <f ca="1">IF('Simulador - 1º Pilar'!$E$99="Sí",IF('Aportaciones PPE'!$B$13&lt;'Aportaciones PPE'!E746,0,F746*$B$8/12),F746*$B$8/12)</f>
        <v>0</v>
      </c>
      <c r="H746" s="125">
        <f t="shared" ca="1" si="420"/>
        <v>0</v>
      </c>
      <c r="I746" s="125">
        <f t="shared" ca="1" si="432"/>
        <v>0</v>
      </c>
      <c r="J746" s="125">
        <f t="shared" ca="1" si="433"/>
        <v>0</v>
      </c>
      <c r="K746" s="125">
        <f t="shared" ca="1" si="434"/>
        <v>0</v>
      </c>
      <c r="L746" s="125">
        <f t="shared" ca="1" si="452"/>
        <v>0</v>
      </c>
      <c r="M746" s="125">
        <f t="shared" ca="1" si="435"/>
        <v>0</v>
      </c>
      <c r="N746" s="125">
        <f t="shared" ca="1" si="436"/>
        <v>0</v>
      </c>
      <c r="R746">
        <f t="shared" si="453"/>
        <v>739</v>
      </c>
      <c r="U746" s="55"/>
      <c r="V746">
        <f t="shared" si="454"/>
        <v>8</v>
      </c>
      <c r="W746">
        <f t="shared" ca="1" si="455"/>
        <v>2085</v>
      </c>
      <c r="X746" s="123">
        <f t="shared" ca="1" si="437"/>
        <v>67785</v>
      </c>
      <c r="Y746" s="64">
        <f t="shared" ca="1" si="438"/>
        <v>0</v>
      </c>
      <c r="Z746" s="64">
        <f t="shared" ca="1" si="439"/>
        <v>0</v>
      </c>
      <c r="AA746" s="64">
        <f t="shared" ca="1" si="440"/>
        <v>0</v>
      </c>
      <c r="AB746" s="64">
        <f t="shared" ca="1" si="441"/>
        <v>0</v>
      </c>
      <c r="AF746" t="str">
        <f t="shared" ca="1" si="421"/>
        <v>121982</v>
      </c>
      <c r="AG746" s="126">
        <f t="shared" ca="1" si="422"/>
        <v>0</v>
      </c>
      <c r="AH746" s="126">
        <f t="shared" ca="1" si="423"/>
        <v>0</v>
      </c>
      <c r="AI746" s="126">
        <f t="shared" ca="1" si="424"/>
        <v>0</v>
      </c>
      <c r="AJ746" t="str">
        <f t="shared" ca="1" si="425"/>
        <v>82085</v>
      </c>
      <c r="AK746" s="126">
        <f t="shared" ca="1" si="442"/>
        <v>0</v>
      </c>
      <c r="AL746" s="126">
        <f t="shared" ca="1" si="443"/>
        <v>0</v>
      </c>
      <c r="AM746" s="126">
        <f t="shared" ca="1" si="456"/>
        <v>0</v>
      </c>
      <c r="AN746" s="753">
        <f t="shared" ca="1" si="457"/>
        <v>0</v>
      </c>
      <c r="AO746" s="750">
        <f t="shared" ca="1" si="444"/>
        <v>0</v>
      </c>
      <c r="AP746" s="126">
        <f t="shared" ca="1" si="445"/>
        <v>0</v>
      </c>
      <c r="AQ746" s="126">
        <f t="shared" ca="1" si="446"/>
        <v>0</v>
      </c>
      <c r="AR746" s="126">
        <f t="shared" ca="1" si="426"/>
        <v>10000</v>
      </c>
      <c r="AS746" s="750">
        <f t="shared" ca="1" si="427"/>
        <v>0</v>
      </c>
      <c r="AT746" s="750">
        <f t="shared" ca="1" si="428"/>
        <v>0</v>
      </c>
      <c r="AU746" s="126">
        <f t="shared" ca="1" si="447"/>
        <v>0</v>
      </c>
      <c r="AV746" s="126">
        <f t="shared" ca="1" si="448"/>
        <v>0</v>
      </c>
      <c r="AW746" s="126">
        <f t="shared" ca="1" si="429"/>
        <v>10000</v>
      </c>
      <c r="AX746" s="750">
        <f t="shared" ca="1" si="449"/>
        <v>0</v>
      </c>
      <c r="AY746" s="750">
        <f t="shared" ca="1" si="450"/>
        <v>0</v>
      </c>
      <c r="AZ746">
        <f t="shared" si="451"/>
        <v>5750</v>
      </c>
    </row>
    <row r="747" spans="4:52">
      <c r="D747">
        <v>740</v>
      </c>
      <c r="E747" s="6">
        <f t="shared" ca="1" si="430"/>
        <v>30256</v>
      </c>
      <c r="F747" s="7">
        <f t="shared" ca="1" si="431"/>
        <v>0</v>
      </c>
      <c r="G747" s="125">
        <f ca="1">IF('Simulador - 1º Pilar'!$E$99="Sí",IF('Aportaciones PPE'!$B$13&lt;'Aportaciones PPE'!E747,0,F747*$B$8/12),F747*$B$8/12)</f>
        <v>0</v>
      </c>
      <c r="H747" s="125">
        <f t="shared" ca="1" si="420"/>
        <v>0</v>
      </c>
      <c r="I747" s="125">
        <f t="shared" ca="1" si="432"/>
        <v>0</v>
      </c>
      <c r="J747" s="125">
        <f t="shared" ca="1" si="433"/>
        <v>0</v>
      </c>
      <c r="K747" s="125">
        <f t="shared" ca="1" si="434"/>
        <v>0</v>
      </c>
      <c r="L747" s="125">
        <f t="shared" ca="1" si="452"/>
        <v>0</v>
      </c>
      <c r="M747" s="125">
        <f t="shared" ca="1" si="435"/>
        <v>0</v>
      </c>
      <c r="N747" s="125">
        <f t="shared" ca="1" si="436"/>
        <v>0</v>
      </c>
      <c r="R747">
        <f t="shared" si="453"/>
        <v>740</v>
      </c>
      <c r="U747" s="55"/>
      <c r="V747">
        <f t="shared" si="454"/>
        <v>9</v>
      </c>
      <c r="W747">
        <f t="shared" ca="1" si="455"/>
        <v>2085</v>
      </c>
      <c r="X747" s="123">
        <f t="shared" ca="1" si="437"/>
        <v>67816</v>
      </c>
      <c r="Y747" s="64">
        <f t="shared" ca="1" si="438"/>
        <v>0</v>
      </c>
      <c r="Z747" s="64">
        <f t="shared" ca="1" si="439"/>
        <v>0</v>
      </c>
      <c r="AA747" s="64">
        <f t="shared" ca="1" si="440"/>
        <v>0</v>
      </c>
      <c r="AB747" s="64">
        <f t="shared" ca="1" si="441"/>
        <v>0</v>
      </c>
      <c r="AF747" t="str">
        <f t="shared" ca="1" si="421"/>
        <v>111982</v>
      </c>
      <c r="AG747" s="126">
        <f t="shared" ca="1" si="422"/>
        <v>0</v>
      </c>
      <c r="AH747" s="126">
        <f t="shared" ca="1" si="423"/>
        <v>0</v>
      </c>
      <c r="AI747" s="126">
        <f t="shared" ca="1" si="424"/>
        <v>0</v>
      </c>
      <c r="AJ747" t="str">
        <f t="shared" ca="1" si="425"/>
        <v>92085</v>
      </c>
      <c r="AK747" s="126">
        <f t="shared" ca="1" si="442"/>
        <v>0</v>
      </c>
      <c r="AL747" s="126">
        <f t="shared" ca="1" si="443"/>
        <v>0</v>
      </c>
      <c r="AM747" s="126">
        <f t="shared" ca="1" si="456"/>
        <v>0</v>
      </c>
      <c r="AN747" s="753">
        <f t="shared" ca="1" si="457"/>
        <v>0</v>
      </c>
      <c r="AO747" s="750">
        <f t="shared" ca="1" si="444"/>
        <v>0</v>
      </c>
      <c r="AP747" s="126">
        <f t="shared" ca="1" si="445"/>
        <v>0</v>
      </c>
      <c r="AQ747" s="126">
        <f t="shared" ca="1" si="446"/>
        <v>0</v>
      </c>
      <c r="AR747" s="126">
        <f t="shared" ca="1" si="426"/>
        <v>10000</v>
      </c>
      <c r="AS747" s="750">
        <f t="shared" ca="1" si="427"/>
        <v>0</v>
      </c>
      <c r="AT747" s="750">
        <f t="shared" ca="1" si="428"/>
        <v>0</v>
      </c>
      <c r="AU747" s="126">
        <f t="shared" ca="1" si="447"/>
        <v>0</v>
      </c>
      <c r="AV747" s="126">
        <f t="shared" ca="1" si="448"/>
        <v>0</v>
      </c>
      <c r="AW747" s="126">
        <f t="shared" ca="1" si="429"/>
        <v>10000</v>
      </c>
      <c r="AX747" s="750">
        <f t="shared" ca="1" si="449"/>
        <v>0</v>
      </c>
      <c r="AY747" s="750">
        <f t="shared" ca="1" si="450"/>
        <v>0</v>
      </c>
      <c r="AZ747">
        <f t="shared" si="451"/>
        <v>5750</v>
      </c>
    </row>
    <row r="748" spans="4:52">
      <c r="D748">
        <v>741</v>
      </c>
      <c r="E748" s="6">
        <f t="shared" ca="1" si="430"/>
        <v>30225</v>
      </c>
      <c r="F748" s="7">
        <f t="shared" ca="1" si="431"/>
        <v>0</v>
      </c>
      <c r="G748" s="125">
        <f ca="1">IF('Simulador - 1º Pilar'!$E$99="Sí",IF('Aportaciones PPE'!$B$13&lt;'Aportaciones PPE'!E748,0,F748*$B$8/12),F748*$B$8/12)</f>
        <v>0</v>
      </c>
      <c r="H748" s="125">
        <f t="shared" ca="1" si="420"/>
        <v>0</v>
      </c>
      <c r="I748" s="125">
        <f t="shared" ca="1" si="432"/>
        <v>0</v>
      </c>
      <c r="J748" s="125">
        <f t="shared" ca="1" si="433"/>
        <v>0</v>
      </c>
      <c r="K748" s="125">
        <f t="shared" ca="1" si="434"/>
        <v>0</v>
      </c>
      <c r="L748" s="125">
        <f t="shared" ca="1" si="452"/>
        <v>0</v>
      </c>
      <c r="M748" s="125">
        <f t="shared" ca="1" si="435"/>
        <v>0</v>
      </c>
      <c r="N748" s="125">
        <f t="shared" ca="1" si="436"/>
        <v>0</v>
      </c>
      <c r="R748">
        <f t="shared" si="453"/>
        <v>741</v>
      </c>
      <c r="U748" s="55"/>
      <c r="V748">
        <f t="shared" si="454"/>
        <v>10</v>
      </c>
      <c r="W748">
        <f t="shared" ca="1" si="455"/>
        <v>2085</v>
      </c>
      <c r="X748" s="123">
        <f t="shared" ca="1" si="437"/>
        <v>67846</v>
      </c>
      <c r="Y748" s="64">
        <f t="shared" ca="1" si="438"/>
        <v>0</v>
      </c>
      <c r="Z748" s="64">
        <f t="shared" ca="1" si="439"/>
        <v>0</v>
      </c>
      <c r="AA748" s="64">
        <f t="shared" ca="1" si="440"/>
        <v>0</v>
      </c>
      <c r="AB748" s="64">
        <f t="shared" ca="1" si="441"/>
        <v>0</v>
      </c>
      <c r="AF748" t="str">
        <f t="shared" ca="1" si="421"/>
        <v>101982</v>
      </c>
      <c r="AG748" s="126">
        <f t="shared" ca="1" si="422"/>
        <v>0</v>
      </c>
      <c r="AH748" s="126">
        <f t="shared" ca="1" si="423"/>
        <v>0</v>
      </c>
      <c r="AI748" s="126">
        <f t="shared" ca="1" si="424"/>
        <v>0</v>
      </c>
      <c r="AJ748" t="str">
        <f t="shared" ca="1" si="425"/>
        <v>102085</v>
      </c>
      <c r="AK748" s="126">
        <f t="shared" ca="1" si="442"/>
        <v>0</v>
      </c>
      <c r="AL748" s="126">
        <f t="shared" ca="1" si="443"/>
        <v>0</v>
      </c>
      <c r="AM748" s="126">
        <f t="shared" ca="1" si="456"/>
        <v>0</v>
      </c>
      <c r="AN748" s="753">
        <f t="shared" ca="1" si="457"/>
        <v>0</v>
      </c>
      <c r="AO748" s="750">
        <f t="shared" ca="1" si="444"/>
        <v>0</v>
      </c>
      <c r="AP748" s="126">
        <f t="shared" ca="1" si="445"/>
        <v>0</v>
      </c>
      <c r="AQ748" s="126">
        <f t="shared" ca="1" si="446"/>
        <v>0</v>
      </c>
      <c r="AR748" s="126">
        <f t="shared" ca="1" si="426"/>
        <v>10000</v>
      </c>
      <c r="AS748" s="750">
        <f t="shared" ca="1" si="427"/>
        <v>0</v>
      </c>
      <c r="AT748" s="750">
        <f t="shared" ca="1" si="428"/>
        <v>0</v>
      </c>
      <c r="AU748" s="126">
        <f t="shared" ca="1" si="447"/>
        <v>0</v>
      </c>
      <c r="AV748" s="126">
        <f t="shared" ca="1" si="448"/>
        <v>0</v>
      </c>
      <c r="AW748" s="126">
        <f t="shared" ca="1" si="429"/>
        <v>10000</v>
      </c>
      <c r="AX748" s="750">
        <f t="shared" ca="1" si="449"/>
        <v>0</v>
      </c>
      <c r="AY748" s="750">
        <f t="shared" ca="1" si="450"/>
        <v>0</v>
      </c>
      <c r="AZ748">
        <f t="shared" si="451"/>
        <v>5750</v>
      </c>
    </row>
    <row r="749" spans="4:52">
      <c r="D749">
        <v>742</v>
      </c>
      <c r="E749" s="6">
        <f t="shared" ca="1" si="430"/>
        <v>30195</v>
      </c>
      <c r="F749" s="7">
        <f t="shared" ca="1" si="431"/>
        <v>0</v>
      </c>
      <c r="G749" s="125">
        <f ca="1">IF('Simulador - 1º Pilar'!$E$99="Sí",IF('Aportaciones PPE'!$B$13&lt;'Aportaciones PPE'!E749,0,F749*$B$8/12),F749*$B$8/12)</f>
        <v>0</v>
      </c>
      <c r="H749" s="125">
        <f t="shared" ca="1" si="420"/>
        <v>0</v>
      </c>
      <c r="I749" s="125">
        <f t="shared" ca="1" si="432"/>
        <v>0</v>
      </c>
      <c r="J749" s="125">
        <f t="shared" ca="1" si="433"/>
        <v>0</v>
      </c>
      <c r="K749" s="125">
        <f t="shared" ca="1" si="434"/>
        <v>0</v>
      </c>
      <c r="L749" s="125">
        <f t="shared" ca="1" si="452"/>
        <v>0</v>
      </c>
      <c r="M749" s="125">
        <f t="shared" ca="1" si="435"/>
        <v>0</v>
      </c>
      <c r="N749" s="125">
        <f t="shared" ca="1" si="436"/>
        <v>0</v>
      </c>
      <c r="R749">
        <f t="shared" si="453"/>
        <v>742</v>
      </c>
      <c r="U749" s="55"/>
      <c r="V749">
        <f t="shared" si="454"/>
        <v>11</v>
      </c>
      <c r="W749">
        <f t="shared" ca="1" si="455"/>
        <v>2085</v>
      </c>
      <c r="X749" s="123">
        <f t="shared" ca="1" si="437"/>
        <v>67877</v>
      </c>
      <c r="Y749" s="64">
        <f t="shared" ca="1" si="438"/>
        <v>0</v>
      </c>
      <c r="Z749" s="64">
        <f t="shared" ca="1" si="439"/>
        <v>0</v>
      </c>
      <c r="AA749" s="64">
        <f t="shared" ca="1" si="440"/>
        <v>0</v>
      </c>
      <c r="AB749" s="64">
        <f t="shared" ca="1" si="441"/>
        <v>0</v>
      </c>
      <c r="AF749" t="str">
        <f t="shared" ca="1" si="421"/>
        <v>91982</v>
      </c>
      <c r="AG749" s="126">
        <f t="shared" ca="1" si="422"/>
        <v>0</v>
      </c>
      <c r="AH749" s="126">
        <f t="shared" ca="1" si="423"/>
        <v>0</v>
      </c>
      <c r="AI749" s="126">
        <f t="shared" ca="1" si="424"/>
        <v>0</v>
      </c>
      <c r="AJ749" t="str">
        <f t="shared" ca="1" si="425"/>
        <v>112085</v>
      </c>
      <c r="AK749" s="126">
        <f t="shared" ca="1" si="442"/>
        <v>0</v>
      </c>
      <c r="AL749" s="126">
        <f t="shared" ca="1" si="443"/>
        <v>0</v>
      </c>
      <c r="AM749" s="126">
        <f t="shared" ca="1" si="456"/>
        <v>0</v>
      </c>
      <c r="AN749" s="753">
        <f t="shared" ca="1" si="457"/>
        <v>0</v>
      </c>
      <c r="AO749" s="750">
        <f t="shared" ca="1" si="444"/>
        <v>0</v>
      </c>
      <c r="AP749" s="126">
        <f t="shared" ca="1" si="445"/>
        <v>0</v>
      </c>
      <c r="AQ749" s="126">
        <f t="shared" ca="1" si="446"/>
        <v>0</v>
      </c>
      <c r="AR749" s="126">
        <f t="shared" ca="1" si="426"/>
        <v>10000</v>
      </c>
      <c r="AS749" s="750">
        <f t="shared" ca="1" si="427"/>
        <v>0</v>
      </c>
      <c r="AT749" s="750">
        <f t="shared" ca="1" si="428"/>
        <v>0</v>
      </c>
      <c r="AU749" s="126">
        <f t="shared" ca="1" si="447"/>
        <v>0</v>
      </c>
      <c r="AV749" s="126">
        <f t="shared" ca="1" si="448"/>
        <v>0</v>
      </c>
      <c r="AW749" s="126">
        <f t="shared" ca="1" si="429"/>
        <v>10000</v>
      </c>
      <c r="AX749" s="750">
        <f t="shared" ca="1" si="449"/>
        <v>0</v>
      </c>
      <c r="AY749" s="750">
        <f t="shared" ca="1" si="450"/>
        <v>0</v>
      </c>
      <c r="AZ749">
        <f t="shared" si="451"/>
        <v>5750</v>
      </c>
    </row>
    <row r="750" spans="4:52">
      <c r="D750">
        <v>743</v>
      </c>
      <c r="E750" s="6">
        <f t="shared" ca="1" si="430"/>
        <v>30164</v>
      </c>
      <c r="F750" s="7">
        <f t="shared" ca="1" si="431"/>
        <v>0</v>
      </c>
      <c r="G750" s="125">
        <f ca="1">IF('Simulador - 1º Pilar'!$E$99="Sí",IF('Aportaciones PPE'!$B$13&lt;'Aportaciones PPE'!E750,0,F750*$B$8/12),F750*$B$8/12)</f>
        <v>0</v>
      </c>
      <c r="H750" s="125">
        <f t="shared" ca="1" si="420"/>
        <v>0</v>
      </c>
      <c r="I750" s="125">
        <f t="shared" ca="1" si="432"/>
        <v>0</v>
      </c>
      <c r="J750" s="125">
        <f t="shared" ca="1" si="433"/>
        <v>0</v>
      </c>
      <c r="K750" s="125">
        <f t="shared" ca="1" si="434"/>
        <v>0</v>
      </c>
      <c r="L750" s="125">
        <f t="shared" ca="1" si="452"/>
        <v>0</v>
      </c>
      <c r="M750" s="125">
        <f t="shared" ca="1" si="435"/>
        <v>0</v>
      </c>
      <c r="N750" s="125">
        <f t="shared" ca="1" si="436"/>
        <v>0</v>
      </c>
      <c r="R750">
        <f t="shared" si="453"/>
        <v>743</v>
      </c>
      <c r="U750" s="55"/>
      <c r="V750">
        <f t="shared" si="454"/>
        <v>12</v>
      </c>
      <c r="W750">
        <f t="shared" ca="1" si="455"/>
        <v>2085</v>
      </c>
      <c r="X750" s="123">
        <f t="shared" ca="1" si="437"/>
        <v>67907</v>
      </c>
      <c r="Y750" s="64">
        <f t="shared" ca="1" si="438"/>
        <v>0</v>
      </c>
      <c r="Z750" s="64">
        <f t="shared" ca="1" si="439"/>
        <v>0</v>
      </c>
      <c r="AA750" s="64">
        <f t="shared" ca="1" si="440"/>
        <v>0</v>
      </c>
      <c r="AB750" s="64">
        <f t="shared" ca="1" si="441"/>
        <v>0</v>
      </c>
      <c r="AF750" t="str">
        <f t="shared" ca="1" si="421"/>
        <v>81982</v>
      </c>
      <c r="AG750" s="126">
        <f t="shared" ca="1" si="422"/>
        <v>0</v>
      </c>
      <c r="AH750" s="126">
        <f t="shared" ca="1" si="423"/>
        <v>0</v>
      </c>
      <c r="AI750" s="126">
        <f t="shared" ca="1" si="424"/>
        <v>0</v>
      </c>
      <c r="AJ750" t="str">
        <f t="shared" ca="1" si="425"/>
        <v>122085</v>
      </c>
      <c r="AK750" s="126">
        <f t="shared" ca="1" si="442"/>
        <v>0</v>
      </c>
      <c r="AL750" s="126">
        <f t="shared" ca="1" si="443"/>
        <v>0</v>
      </c>
      <c r="AM750" s="126">
        <f t="shared" ca="1" si="456"/>
        <v>0</v>
      </c>
      <c r="AN750" s="753">
        <f t="shared" ca="1" si="457"/>
        <v>0</v>
      </c>
      <c r="AO750" s="750">
        <f t="shared" ca="1" si="444"/>
        <v>0</v>
      </c>
      <c r="AP750" s="126">
        <f t="shared" ca="1" si="445"/>
        <v>0</v>
      </c>
      <c r="AQ750" s="126">
        <f t="shared" ca="1" si="446"/>
        <v>0</v>
      </c>
      <c r="AR750" s="126">
        <f t="shared" ca="1" si="426"/>
        <v>10000</v>
      </c>
      <c r="AS750" s="750">
        <f t="shared" ca="1" si="427"/>
        <v>0</v>
      </c>
      <c r="AT750" s="750">
        <f t="shared" ca="1" si="428"/>
        <v>0</v>
      </c>
      <c r="AU750" s="126">
        <f t="shared" ca="1" si="447"/>
        <v>0</v>
      </c>
      <c r="AV750" s="126">
        <f t="shared" ca="1" si="448"/>
        <v>0</v>
      </c>
      <c r="AW750" s="126">
        <f t="shared" ca="1" si="429"/>
        <v>10000</v>
      </c>
      <c r="AX750" s="750">
        <f t="shared" ca="1" si="449"/>
        <v>0</v>
      </c>
      <c r="AY750" s="750">
        <f t="shared" ca="1" si="450"/>
        <v>0</v>
      </c>
      <c r="AZ750">
        <f t="shared" si="451"/>
        <v>5750</v>
      </c>
    </row>
    <row r="751" spans="4:52">
      <c r="D751">
        <v>744</v>
      </c>
      <c r="E751" s="6">
        <f t="shared" ca="1" si="430"/>
        <v>30133</v>
      </c>
      <c r="F751" s="7">
        <f t="shared" ca="1" si="431"/>
        <v>0</v>
      </c>
      <c r="G751" s="125">
        <f ca="1">IF('Simulador - 1º Pilar'!$E$99="Sí",IF('Aportaciones PPE'!$B$13&lt;'Aportaciones PPE'!E751,0,F751*$B$8/12),F751*$B$8/12)</f>
        <v>0</v>
      </c>
      <c r="H751" s="125">
        <f t="shared" ca="1" si="420"/>
        <v>0</v>
      </c>
      <c r="I751" s="125">
        <f t="shared" ca="1" si="432"/>
        <v>0</v>
      </c>
      <c r="J751" s="125">
        <f t="shared" ca="1" si="433"/>
        <v>0</v>
      </c>
      <c r="K751" s="125">
        <f t="shared" ca="1" si="434"/>
        <v>0</v>
      </c>
      <c r="L751" s="125">
        <f t="shared" ca="1" si="452"/>
        <v>0</v>
      </c>
      <c r="M751" s="125">
        <f t="shared" ca="1" si="435"/>
        <v>0</v>
      </c>
      <c r="N751" s="125">
        <f t="shared" ca="1" si="436"/>
        <v>0</v>
      </c>
      <c r="R751">
        <f t="shared" si="453"/>
        <v>744</v>
      </c>
      <c r="U751" s="55"/>
      <c r="V751">
        <f t="shared" si="454"/>
        <v>1</v>
      </c>
      <c r="W751">
        <f t="shared" ca="1" si="455"/>
        <v>2086</v>
      </c>
      <c r="X751" s="123">
        <f t="shared" ca="1" si="437"/>
        <v>67938</v>
      </c>
      <c r="Y751" s="64">
        <f t="shared" ca="1" si="438"/>
        <v>0</v>
      </c>
      <c r="Z751" s="64">
        <f t="shared" ca="1" si="439"/>
        <v>0</v>
      </c>
      <c r="AA751" s="64">
        <f t="shared" ca="1" si="440"/>
        <v>0</v>
      </c>
      <c r="AB751" s="64">
        <f t="shared" ca="1" si="441"/>
        <v>0</v>
      </c>
      <c r="AF751" t="str">
        <f t="shared" ca="1" si="421"/>
        <v>71982</v>
      </c>
      <c r="AG751" s="126">
        <f t="shared" ca="1" si="422"/>
        <v>0</v>
      </c>
      <c r="AH751" s="126">
        <f t="shared" ca="1" si="423"/>
        <v>0</v>
      </c>
      <c r="AI751" s="126">
        <f t="shared" ca="1" si="424"/>
        <v>0</v>
      </c>
      <c r="AJ751" t="str">
        <f t="shared" ca="1" si="425"/>
        <v>12086</v>
      </c>
      <c r="AK751" s="126">
        <f t="shared" ca="1" si="442"/>
        <v>0</v>
      </c>
      <c r="AL751" s="126">
        <f t="shared" ca="1" si="443"/>
        <v>0</v>
      </c>
      <c r="AM751" s="126">
        <f t="shared" ca="1" si="456"/>
        <v>0</v>
      </c>
      <c r="AN751" s="753">
        <f t="shared" ca="1" si="457"/>
        <v>0</v>
      </c>
      <c r="AO751" s="750">
        <f t="shared" ca="1" si="444"/>
        <v>0</v>
      </c>
      <c r="AP751" s="126">
        <f t="shared" ca="1" si="445"/>
        <v>0</v>
      </c>
      <c r="AQ751" s="126">
        <f t="shared" ca="1" si="446"/>
        <v>0</v>
      </c>
      <c r="AR751" s="126">
        <f t="shared" ca="1" si="426"/>
        <v>10000</v>
      </c>
      <c r="AS751" s="750">
        <f t="shared" ca="1" si="427"/>
        <v>0</v>
      </c>
      <c r="AT751" s="750">
        <f t="shared" ca="1" si="428"/>
        <v>0</v>
      </c>
      <c r="AU751" s="126">
        <f t="shared" ca="1" si="447"/>
        <v>0</v>
      </c>
      <c r="AV751" s="126">
        <f t="shared" ca="1" si="448"/>
        <v>0</v>
      </c>
      <c r="AW751" s="126">
        <f t="shared" ca="1" si="429"/>
        <v>10000</v>
      </c>
      <c r="AX751" s="750">
        <f t="shared" ca="1" si="449"/>
        <v>0</v>
      </c>
      <c r="AY751" s="750">
        <f t="shared" ca="1" si="450"/>
        <v>0</v>
      </c>
      <c r="AZ751">
        <f t="shared" si="451"/>
        <v>5750</v>
      </c>
    </row>
    <row r="752" spans="4:52">
      <c r="D752">
        <v>745</v>
      </c>
      <c r="E752" s="6">
        <f t="shared" ca="1" si="430"/>
        <v>30103</v>
      </c>
      <c r="F752" s="7">
        <f t="shared" ca="1" si="431"/>
        <v>0</v>
      </c>
      <c r="G752" s="125">
        <f ca="1">IF('Simulador - 1º Pilar'!$E$99="Sí",IF('Aportaciones PPE'!$B$13&lt;'Aportaciones PPE'!E752,0,F752*$B$8/12),F752*$B$8/12)</f>
        <v>0</v>
      </c>
      <c r="H752" s="125">
        <f t="shared" ca="1" si="420"/>
        <v>0</v>
      </c>
      <c r="I752" s="125">
        <f t="shared" ca="1" si="432"/>
        <v>0</v>
      </c>
      <c r="J752" s="125">
        <f t="shared" ca="1" si="433"/>
        <v>0</v>
      </c>
      <c r="K752" s="125">
        <f t="shared" ca="1" si="434"/>
        <v>0</v>
      </c>
      <c r="L752" s="125">
        <f t="shared" ca="1" si="452"/>
        <v>0</v>
      </c>
      <c r="M752" s="125">
        <f t="shared" ca="1" si="435"/>
        <v>0</v>
      </c>
      <c r="N752" s="125">
        <f t="shared" ca="1" si="436"/>
        <v>0</v>
      </c>
      <c r="R752">
        <f t="shared" si="453"/>
        <v>745</v>
      </c>
      <c r="U752" s="55"/>
      <c r="V752">
        <f t="shared" si="454"/>
        <v>2</v>
      </c>
      <c r="W752">
        <f t="shared" ca="1" si="455"/>
        <v>2086</v>
      </c>
      <c r="X752" s="123">
        <f t="shared" ca="1" si="437"/>
        <v>67969</v>
      </c>
      <c r="Y752" s="64">
        <f t="shared" ca="1" si="438"/>
        <v>0</v>
      </c>
      <c r="Z752" s="64">
        <f t="shared" ca="1" si="439"/>
        <v>0</v>
      </c>
      <c r="AA752" s="64">
        <f t="shared" ca="1" si="440"/>
        <v>0</v>
      </c>
      <c r="AB752" s="64">
        <f t="shared" ca="1" si="441"/>
        <v>0</v>
      </c>
      <c r="AF752" t="str">
        <f t="shared" ca="1" si="421"/>
        <v>61982</v>
      </c>
      <c r="AG752" s="126">
        <f t="shared" ca="1" si="422"/>
        <v>0</v>
      </c>
      <c r="AH752" s="126">
        <f t="shared" ca="1" si="423"/>
        <v>0</v>
      </c>
      <c r="AI752" s="126">
        <f t="shared" ca="1" si="424"/>
        <v>0</v>
      </c>
      <c r="AJ752" t="str">
        <f t="shared" ca="1" si="425"/>
        <v>22086</v>
      </c>
      <c r="AK752" s="126">
        <f t="shared" ca="1" si="442"/>
        <v>0</v>
      </c>
      <c r="AL752" s="126">
        <f t="shared" ca="1" si="443"/>
        <v>0</v>
      </c>
      <c r="AM752" s="126">
        <f t="shared" ca="1" si="456"/>
        <v>0</v>
      </c>
      <c r="AN752" s="753">
        <f t="shared" ca="1" si="457"/>
        <v>0</v>
      </c>
      <c r="AO752" s="750">
        <f t="shared" ca="1" si="444"/>
        <v>0</v>
      </c>
      <c r="AP752" s="126">
        <f t="shared" ca="1" si="445"/>
        <v>0</v>
      </c>
      <c r="AQ752" s="126">
        <f t="shared" ca="1" si="446"/>
        <v>0</v>
      </c>
      <c r="AR752" s="126">
        <f t="shared" ca="1" si="426"/>
        <v>10000</v>
      </c>
      <c r="AS752" s="750">
        <f t="shared" ca="1" si="427"/>
        <v>0</v>
      </c>
      <c r="AT752" s="750">
        <f t="shared" ca="1" si="428"/>
        <v>0</v>
      </c>
      <c r="AU752" s="126">
        <f t="shared" ca="1" si="447"/>
        <v>0</v>
      </c>
      <c r="AV752" s="126">
        <f t="shared" ca="1" si="448"/>
        <v>0</v>
      </c>
      <c r="AW752" s="126">
        <f t="shared" ca="1" si="429"/>
        <v>10000</v>
      </c>
      <c r="AX752" s="750">
        <f t="shared" ca="1" si="449"/>
        <v>0</v>
      </c>
      <c r="AY752" s="750">
        <f t="shared" ca="1" si="450"/>
        <v>0</v>
      </c>
      <c r="AZ752">
        <f t="shared" si="451"/>
        <v>5750</v>
      </c>
    </row>
    <row r="753" spans="4:52">
      <c r="D753">
        <v>746</v>
      </c>
      <c r="E753" s="6">
        <f t="shared" ca="1" si="430"/>
        <v>30072</v>
      </c>
      <c r="F753" s="7">
        <f t="shared" ca="1" si="431"/>
        <v>0</v>
      </c>
      <c r="G753" s="125">
        <f ca="1">IF('Simulador - 1º Pilar'!$E$99="Sí",IF('Aportaciones PPE'!$B$13&lt;'Aportaciones PPE'!E753,0,F753*$B$8/12),F753*$B$8/12)</f>
        <v>0</v>
      </c>
      <c r="H753" s="125">
        <f t="shared" ca="1" si="420"/>
        <v>0</v>
      </c>
      <c r="I753" s="125">
        <f t="shared" ca="1" si="432"/>
        <v>0</v>
      </c>
      <c r="J753" s="125">
        <f t="shared" ca="1" si="433"/>
        <v>0</v>
      </c>
      <c r="K753" s="125">
        <f t="shared" ca="1" si="434"/>
        <v>0</v>
      </c>
      <c r="L753" s="125">
        <f t="shared" ca="1" si="452"/>
        <v>0</v>
      </c>
      <c r="M753" s="125">
        <f t="shared" ca="1" si="435"/>
        <v>0</v>
      </c>
      <c r="N753" s="125">
        <f t="shared" ca="1" si="436"/>
        <v>0</v>
      </c>
      <c r="R753">
        <f t="shared" si="453"/>
        <v>746</v>
      </c>
      <c r="U753" s="55"/>
      <c r="V753">
        <f t="shared" si="454"/>
        <v>3</v>
      </c>
      <c r="W753">
        <f t="shared" ca="1" si="455"/>
        <v>2086</v>
      </c>
      <c r="X753" s="123">
        <f t="shared" ca="1" si="437"/>
        <v>67997</v>
      </c>
      <c r="Y753" s="64">
        <f t="shared" ca="1" si="438"/>
        <v>0</v>
      </c>
      <c r="Z753" s="64">
        <f t="shared" ca="1" si="439"/>
        <v>0</v>
      </c>
      <c r="AA753" s="64">
        <f t="shared" ca="1" si="440"/>
        <v>0</v>
      </c>
      <c r="AB753" s="64">
        <f t="shared" ca="1" si="441"/>
        <v>0</v>
      </c>
      <c r="AF753" t="str">
        <f t="shared" ca="1" si="421"/>
        <v>51982</v>
      </c>
      <c r="AG753" s="126">
        <f t="shared" ca="1" si="422"/>
        <v>0</v>
      </c>
      <c r="AH753" s="126">
        <f t="shared" ca="1" si="423"/>
        <v>0</v>
      </c>
      <c r="AI753" s="126">
        <f t="shared" ca="1" si="424"/>
        <v>0</v>
      </c>
      <c r="AJ753" t="str">
        <f t="shared" ca="1" si="425"/>
        <v>32086</v>
      </c>
      <c r="AK753" s="126">
        <f t="shared" ca="1" si="442"/>
        <v>0</v>
      </c>
      <c r="AL753" s="126">
        <f t="shared" ca="1" si="443"/>
        <v>0</v>
      </c>
      <c r="AM753" s="126">
        <f t="shared" ca="1" si="456"/>
        <v>0</v>
      </c>
      <c r="AN753" s="753">
        <f t="shared" ca="1" si="457"/>
        <v>0</v>
      </c>
      <c r="AO753" s="750">
        <f t="shared" ca="1" si="444"/>
        <v>0</v>
      </c>
      <c r="AP753" s="126">
        <f t="shared" ca="1" si="445"/>
        <v>0</v>
      </c>
      <c r="AQ753" s="126">
        <f t="shared" ca="1" si="446"/>
        <v>0</v>
      </c>
      <c r="AR753" s="126">
        <f t="shared" ca="1" si="426"/>
        <v>10000</v>
      </c>
      <c r="AS753" s="750">
        <f t="shared" ca="1" si="427"/>
        <v>0</v>
      </c>
      <c r="AT753" s="750">
        <f t="shared" ca="1" si="428"/>
        <v>0</v>
      </c>
      <c r="AU753" s="126">
        <f t="shared" ca="1" si="447"/>
        <v>0</v>
      </c>
      <c r="AV753" s="126">
        <f t="shared" ca="1" si="448"/>
        <v>0</v>
      </c>
      <c r="AW753" s="126">
        <f t="shared" ca="1" si="429"/>
        <v>10000</v>
      </c>
      <c r="AX753" s="750">
        <f t="shared" ca="1" si="449"/>
        <v>0</v>
      </c>
      <c r="AY753" s="750">
        <f t="shared" ca="1" si="450"/>
        <v>0</v>
      </c>
      <c r="AZ753">
        <f t="shared" si="451"/>
        <v>5750</v>
      </c>
    </row>
    <row r="754" spans="4:52">
      <c r="D754">
        <v>747</v>
      </c>
      <c r="E754" s="6">
        <f t="shared" ca="1" si="430"/>
        <v>30042</v>
      </c>
      <c r="F754" s="7">
        <f t="shared" ca="1" si="431"/>
        <v>0</v>
      </c>
      <c r="G754" s="125">
        <f ca="1">IF('Simulador - 1º Pilar'!$E$99="Sí",IF('Aportaciones PPE'!$B$13&lt;'Aportaciones PPE'!E754,0,F754*$B$8/12),F754*$B$8/12)</f>
        <v>0</v>
      </c>
      <c r="H754" s="125">
        <f t="shared" ca="1" si="420"/>
        <v>0</v>
      </c>
      <c r="I754" s="125">
        <f t="shared" ca="1" si="432"/>
        <v>0</v>
      </c>
      <c r="J754" s="125">
        <f t="shared" ca="1" si="433"/>
        <v>0</v>
      </c>
      <c r="K754" s="125">
        <f t="shared" ca="1" si="434"/>
        <v>0</v>
      </c>
      <c r="L754" s="125">
        <f t="shared" ca="1" si="452"/>
        <v>0</v>
      </c>
      <c r="M754" s="125">
        <f t="shared" ca="1" si="435"/>
        <v>0</v>
      </c>
      <c r="N754" s="125">
        <f t="shared" ca="1" si="436"/>
        <v>0</v>
      </c>
      <c r="R754">
        <f t="shared" si="453"/>
        <v>747</v>
      </c>
      <c r="U754" s="55"/>
      <c r="V754">
        <f t="shared" si="454"/>
        <v>4</v>
      </c>
      <c r="W754">
        <f t="shared" ca="1" si="455"/>
        <v>2086</v>
      </c>
      <c r="X754" s="123">
        <f t="shared" ca="1" si="437"/>
        <v>68028</v>
      </c>
      <c r="Y754" s="64">
        <f t="shared" ca="1" si="438"/>
        <v>0</v>
      </c>
      <c r="Z754" s="64">
        <f t="shared" ca="1" si="439"/>
        <v>0</v>
      </c>
      <c r="AA754" s="64">
        <f t="shared" ca="1" si="440"/>
        <v>0</v>
      </c>
      <c r="AB754" s="64">
        <f t="shared" ca="1" si="441"/>
        <v>0</v>
      </c>
      <c r="AF754" t="str">
        <f t="shared" ca="1" si="421"/>
        <v>41982</v>
      </c>
      <c r="AG754" s="126">
        <f t="shared" ca="1" si="422"/>
        <v>0</v>
      </c>
      <c r="AH754" s="126">
        <f t="shared" ca="1" si="423"/>
        <v>0</v>
      </c>
      <c r="AI754" s="126">
        <f t="shared" ca="1" si="424"/>
        <v>0</v>
      </c>
      <c r="AJ754" t="str">
        <f t="shared" ca="1" si="425"/>
        <v>42086</v>
      </c>
      <c r="AK754" s="126">
        <f t="shared" ca="1" si="442"/>
        <v>0</v>
      </c>
      <c r="AL754" s="126">
        <f t="shared" ca="1" si="443"/>
        <v>0</v>
      </c>
      <c r="AM754" s="126">
        <f t="shared" ca="1" si="456"/>
        <v>0</v>
      </c>
      <c r="AN754" s="753">
        <f t="shared" ca="1" si="457"/>
        <v>0</v>
      </c>
      <c r="AO754" s="750">
        <f t="shared" ca="1" si="444"/>
        <v>0</v>
      </c>
      <c r="AP754" s="126">
        <f t="shared" ca="1" si="445"/>
        <v>0</v>
      </c>
      <c r="AQ754" s="126">
        <f t="shared" ca="1" si="446"/>
        <v>0</v>
      </c>
      <c r="AR754" s="126">
        <f t="shared" ca="1" si="426"/>
        <v>10000</v>
      </c>
      <c r="AS754" s="750">
        <f t="shared" ca="1" si="427"/>
        <v>0</v>
      </c>
      <c r="AT754" s="750">
        <f t="shared" ca="1" si="428"/>
        <v>0</v>
      </c>
      <c r="AU754" s="126">
        <f t="shared" ca="1" si="447"/>
        <v>0</v>
      </c>
      <c r="AV754" s="126">
        <f t="shared" ca="1" si="448"/>
        <v>0</v>
      </c>
      <c r="AW754" s="126">
        <f t="shared" ca="1" si="429"/>
        <v>10000</v>
      </c>
      <c r="AX754" s="750">
        <f t="shared" ca="1" si="449"/>
        <v>0</v>
      </c>
      <c r="AY754" s="750">
        <f t="shared" ca="1" si="450"/>
        <v>0</v>
      </c>
      <c r="AZ754">
        <f t="shared" si="451"/>
        <v>5750</v>
      </c>
    </row>
    <row r="755" spans="4:52">
      <c r="D755">
        <v>748</v>
      </c>
      <c r="E755" s="6">
        <f t="shared" ca="1" si="430"/>
        <v>30011</v>
      </c>
      <c r="F755" s="7">
        <f t="shared" ca="1" si="431"/>
        <v>0</v>
      </c>
      <c r="G755" s="125">
        <f ca="1">IF('Simulador - 1º Pilar'!$E$99="Sí",IF('Aportaciones PPE'!$B$13&lt;'Aportaciones PPE'!E755,0,F755*$B$8/12),F755*$B$8/12)</f>
        <v>0</v>
      </c>
      <c r="H755" s="125">
        <f t="shared" ca="1" si="420"/>
        <v>0</v>
      </c>
      <c r="I755" s="125">
        <f t="shared" ca="1" si="432"/>
        <v>0</v>
      </c>
      <c r="J755" s="125">
        <f t="shared" ca="1" si="433"/>
        <v>0</v>
      </c>
      <c r="K755" s="125">
        <f t="shared" ca="1" si="434"/>
        <v>0</v>
      </c>
      <c r="L755" s="125">
        <f t="shared" ca="1" si="452"/>
        <v>0</v>
      </c>
      <c r="M755" s="125">
        <f t="shared" ca="1" si="435"/>
        <v>0</v>
      </c>
      <c r="N755" s="125">
        <f t="shared" ca="1" si="436"/>
        <v>0</v>
      </c>
      <c r="R755">
        <f t="shared" si="453"/>
        <v>748</v>
      </c>
      <c r="U755" s="55"/>
      <c r="V755">
        <f t="shared" si="454"/>
        <v>5</v>
      </c>
      <c r="W755">
        <f t="shared" ca="1" si="455"/>
        <v>2086</v>
      </c>
      <c r="X755" s="123">
        <f t="shared" ca="1" si="437"/>
        <v>68058</v>
      </c>
      <c r="Y755" s="64">
        <f t="shared" ca="1" si="438"/>
        <v>0</v>
      </c>
      <c r="Z755" s="64">
        <f t="shared" ca="1" si="439"/>
        <v>0</v>
      </c>
      <c r="AA755" s="64">
        <f t="shared" ca="1" si="440"/>
        <v>0</v>
      </c>
      <c r="AB755" s="64">
        <f t="shared" ca="1" si="441"/>
        <v>0</v>
      </c>
      <c r="AF755" t="str">
        <f t="shared" ca="1" si="421"/>
        <v>31982</v>
      </c>
      <c r="AG755" s="126">
        <f t="shared" ca="1" si="422"/>
        <v>0</v>
      </c>
      <c r="AH755" s="126">
        <f t="shared" ca="1" si="423"/>
        <v>0</v>
      </c>
      <c r="AI755" s="126">
        <f t="shared" ca="1" si="424"/>
        <v>0</v>
      </c>
      <c r="AJ755" t="str">
        <f t="shared" ca="1" si="425"/>
        <v>52086</v>
      </c>
      <c r="AK755" s="126">
        <f t="shared" ca="1" si="442"/>
        <v>0</v>
      </c>
      <c r="AL755" s="126">
        <f t="shared" ca="1" si="443"/>
        <v>0</v>
      </c>
      <c r="AM755" s="126">
        <f t="shared" ca="1" si="456"/>
        <v>0</v>
      </c>
      <c r="AN755" s="753">
        <f t="shared" ca="1" si="457"/>
        <v>0</v>
      </c>
      <c r="AO755" s="750">
        <f t="shared" ca="1" si="444"/>
        <v>0</v>
      </c>
      <c r="AP755" s="126">
        <f t="shared" ca="1" si="445"/>
        <v>0</v>
      </c>
      <c r="AQ755" s="126">
        <f t="shared" ca="1" si="446"/>
        <v>0</v>
      </c>
      <c r="AR755" s="126">
        <f t="shared" ca="1" si="426"/>
        <v>10000</v>
      </c>
      <c r="AS755" s="750">
        <f t="shared" ca="1" si="427"/>
        <v>0</v>
      </c>
      <c r="AT755" s="750">
        <f t="shared" ca="1" si="428"/>
        <v>0</v>
      </c>
      <c r="AU755" s="126">
        <f t="shared" ca="1" si="447"/>
        <v>0</v>
      </c>
      <c r="AV755" s="126">
        <f t="shared" ca="1" si="448"/>
        <v>0</v>
      </c>
      <c r="AW755" s="126">
        <f t="shared" ca="1" si="429"/>
        <v>10000</v>
      </c>
      <c r="AX755" s="750">
        <f t="shared" ca="1" si="449"/>
        <v>0</v>
      </c>
      <c r="AY755" s="750">
        <f t="shared" ca="1" si="450"/>
        <v>0</v>
      </c>
      <c r="AZ755">
        <f t="shared" si="451"/>
        <v>5750</v>
      </c>
    </row>
    <row r="756" spans="4:52">
      <c r="D756">
        <v>749</v>
      </c>
      <c r="E756" s="6">
        <f t="shared" ca="1" si="430"/>
        <v>29983</v>
      </c>
      <c r="F756" s="7">
        <f t="shared" ca="1" si="431"/>
        <v>0</v>
      </c>
      <c r="G756" s="125">
        <f ca="1">IF('Simulador - 1º Pilar'!$E$99="Sí",IF('Aportaciones PPE'!$B$13&lt;'Aportaciones PPE'!E756,0,F756*$B$8/12),F756*$B$8/12)</f>
        <v>0</v>
      </c>
      <c r="H756" s="125">
        <f t="shared" ca="1" si="420"/>
        <v>0</v>
      </c>
      <c r="I756" s="125">
        <f t="shared" ca="1" si="432"/>
        <v>0</v>
      </c>
      <c r="J756" s="125">
        <f t="shared" ca="1" si="433"/>
        <v>0</v>
      </c>
      <c r="K756" s="125">
        <f t="shared" ca="1" si="434"/>
        <v>0</v>
      </c>
      <c r="L756" s="125">
        <f t="shared" ca="1" si="452"/>
        <v>0</v>
      </c>
      <c r="M756" s="125">
        <f t="shared" ca="1" si="435"/>
        <v>0</v>
      </c>
      <c r="N756" s="125">
        <f t="shared" ca="1" si="436"/>
        <v>0</v>
      </c>
      <c r="R756">
        <f t="shared" si="453"/>
        <v>749</v>
      </c>
      <c r="U756" s="55"/>
      <c r="V756">
        <f t="shared" si="454"/>
        <v>6</v>
      </c>
      <c r="W756">
        <f t="shared" ca="1" si="455"/>
        <v>2086</v>
      </c>
      <c r="X756" s="123">
        <f t="shared" ca="1" si="437"/>
        <v>68089</v>
      </c>
      <c r="Y756" s="64">
        <f t="shared" ca="1" si="438"/>
        <v>0</v>
      </c>
      <c r="Z756" s="64">
        <f t="shared" ca="1" si="439"/>
        <v>0</v>
      </c>
      <c r="AA756" s="64">
        <f t="shared" ca="1" si="440"/>
        <v>0</v>
      </c>
      <c r="AB756" s="64">
        <f t="shared" ca="1" si="441"/>
        <v>0</v>
      </c>
      <c r="AF756" t="str">
        <f t="shared" ca="1" si="421"/>
        <v>21982</v>
      </c>
      <c r="AG756" s="126">
        <f t="shared" ca="1" si="422"/>
        <v>0</v>
      </c>
      <c r="AH756" s="126">
        <f t="shared" ca="1" si="423"/>
        <v>0</v>
      </c>
      <c r="AI756" s="126">
        <f t="shared" ca="1" si="424"/>
        <v>0</v>
      </c>
      <c r="AJ756" t="str">
        <f t="shared" ca="1" si="425"/>
        <v>62086</v>
      </c>
      <c r="AK756" s="126">
        <f t="shared" ca="1" si="442"/>
        <v>0</v>
      </c>
      <c r="AL756" s="126">
        <f t="shared" ca="1" si="443"/>
        <v>0</v>
      </c>
      <c r="AM756" s="126">
        <f t="shared" ca="1" si="456"/>
        <v>0</v>
      </c>
      <c r="AN756" s="753">
        <f t="shared" ca="1" si="457"/>
        <v>0</v>
      </c>
      <c r="AO756" s="750">
        <f t="shared" ca="1" si="444"/>
        <v>0</v>
      </c>
      <c r="AP756" s="126">
        <f t="shared" ca="1" si="445"/>
        <v>0</v>
      </c>
      <c r="AQ756" s="126">
        <f t="shared" ca="1" si="446"/>
        <v>0</v>
      </c>
      <c r="AR756" s="126">
        <f t="shared" ca="1" si="426"/>
        <v>10000</v>
      </c>
      <c r="AS756" s="750">
        <f t="shared" ca="1" si="427"/>
        <v>0</v>
      </c>
      <c r="AT756" s="750">
        <f t="shared" ca="1" si="428"/>
        <v>0</v>
      </c>
      <c r="AU756" s="126">
        <f t="shared" ca="1" si="447"/>
        <v>0</v>
      </c>
      <c r="AV756" s="126">
        <f t="shared" ca="1" si="448"/>
        <v>0</v>
      </c>
      <c r="AW756" s="126">
        <f t="shared" ca="1" si="429"/>
        <v>10000</v>
      </c>
      <c r="AX756" s="750">
        <f t="shared" ca="1" si="449"/>
        <v>0</v>
      </c>
      <c r="AY756" s="750">
        <f t="shared" ca="1" si="450"/>
        <v>0</v>
      </c>
      <c r="AZ756">
        <f t="shared" si="451"/>
        <v>5750</v>
      </c>
    </row>
    <row r="757" spans="4:52">
      <c r="D757">
        <v>750</v>
      </c>
      <c r="E757" s="6">
        <f t="shared" ca="1" si="430"/>
        <v>29952</v>
      </c>
      <c r="F757" s="7">
        <f t="shared" ca="1" si="431"/>
        <v>0</v>
      </c>
      <c r="G757" s="125">
        <f ca="1">IF('Simulador - 1º Pilar'!$E$99="Sí",IF('Aportaciones PPE'!$B$13&lt;'Aportaciones PPE'!E757,0,F757*$B$8/12),F757*$B$8/12)</f>
        <v>0</v>
      </c>
      <c r="H757" s="125">
        <f t="shared" ca="1" si="420"/>
        <v>0</v>
      </c>
      <c r="I757" s="125">
        <f t="shared" ca="1" si="432"/>
        <v>0</v>
      </c>
      <c r="J757" s="125">
        <f t="shared" ca="1" si="433"/>
        <v>0</v>
      </c>
      <c r="K757" s="125">
        <f t="shared" ca="1" si="434"/>
        <v>0</v>
      </c>
      <c r="L757" s="125">
        <f t="shared" ca="1" si="452"/>
        <v>0</v>
      </c>
      <c r="M757" s="125">
        <f t="shared" ca="1" si="435"/>
        <v>0</v>
      </c>
      <c r="N757" s="125">
        <f t="shared" ca="1" si="436"/>
        <v>0</v>
      </c>
      <c r="R757">
        <f t="shared" si="453"/>
        <v>750</v>
      </c>
      <c r="U757" s="55"/>
      <c r="V757">
        <f t="shared" si="454"/>
        <v>7</v>
      </c>
      <c r="W757">
        <f t="shared" ca="1" si="455"/>
        <v>2086</v>
      </c>
      <c r="X757" s="123">
        <f t="shared" ca="1" si="437"/>
        <v>68119</v>
      </c>
      <c r="Y757" s="64">
        <f t="shared" ca="1" si="438"/>
        <v>0</v>
      </c>
      <c r="Z757" s="64">
        <f t="shared" ca="1" si="439"/>
        <v>0</v>
      </c>
      <c r="AA757" s="64">
        <f t="shared" ca="1" si="440"/>
        <v>0</v>
      </c>
      <c r="AB757" s="64">
        <f t="shared" ca="1" si="441"/>
        <v>0</v>
      </c>
      <c r="AF757" t="str">
        <f t="shared" ca="1" si="421"/>
        <v>11982</v>
      </c>
      <c r="AG757" s="126">
        <f t="shared" ca="1" si="422"/>
        <v>0</v>
      </c>
      <c r="AH757" s="126">
        <f t="shared" ca="1" si="423"/>
        <v>0</v>
      </c>
      <c r="AI757" s="126">
        <f t="shared" ca="1" si="424"/>
        <v>0</v>
      </c>
      <c r="AJ757" t="str">
        <f t="shared" ca="1" si="425"/>
        <v>72086</v>
      </c>
      <c r="AK757" s="126">
        <f t="shared" ca="1" si="442"/>
        <v>0</v>
      </c>
      <c r="AL757" s="126">
        <f t="shared" ca="1" si="443"/>
        <v>0</v>
      </c>
      <c r="AM757" s="126">
        <f t="shared" ca="1" si="456"/>
        <v>0</v>
      </c>
      <c r="AN757" s="753">
        <f t="shared" ca="1" si="457"/>
        <v>0</v>
      </c>
      <c r="AO757" s="750">
        <f t="shared" ca="1" si="444"/>
        <v>0</v>
      </c>
      <c r="AP757" s="126">
        <f t="shared" ca="1" si="445"/>
        <v>0</v>
      </c>
      <c r="AQ757" s="126">
        <f t="shared" ca="1" si="446"/>
        <v>0</v>
      </c>
      <c r="AR757" s="126">
        <f t="shared" ca="1" si="426"/>
        <v>10000</v>
      </c>
      <c r="AS757" s="750">
        <f t="shared" ca="1" si="427"/>
        <v>0</v>
      </c>
      <c r="AT757" s="750">
        <f t="shared" ca="1" si="428"/>
        <v>0</v>
      </c>
      <c r="AU757" s="126">
        <f t="shared" ca="1" si="447"/>
        <v>0</v>
      </c>
      <c r="AV757" s="126">
        <f t="shared" ca="1" si="448"/>
        <v>0</v>
      </c>
      <c r="AW757" s="126">
        <f t="shared" ca="1" si="429"/>
        <v>10000</v>
      </c>
      <c r="AX757" s="750">
        <f t="shared" ca="1" si="449"/>
        <v>0</v>
      </c>
      <c r="AY757" s="750">
        <f t="shared" ca="1" si="450"/>
        <v>0</v>
      </c>
      <c r="AZ757">
        <f t="shared" si="451"/>
        <v>5750</v>
      </c>
    </row>
    <row r="758" spans="4:52">
      <c r="D758">
        <v>751</v>
      </c>
      <c r="E758" s="6">
        <f t="shared" ca="1" si="430"/>
        <v>29921</v>
      </c>
      <c r="F758" s="7">
        <f t="shared" ca="1" si="431"/>
        <v>0</v>
      </c>
      <c r="G758" s="125">
        <f ca="1">IF('Simulador - 1º Pilar'!$E$99="Sí",IF('Aportaciones PPE'!$B$13&lt;'Aportaciones PPE'!E758,0,F758*$B$8/12),F758*$B$8/12)</f>
        <v>0</v>
      </c>
      <c r="H758" s="125">
        <f t="shared" ca="1" si="420"/>
        <v>0</v>
      </c>
      <c r="I758" s="125">
        <f t="shared" ca="1" si="432"/>
        <v>0</v>
      </c>
      <c r="J758" s="125">
        <f t="shared" ca="1" si="433"/>
        <v>0</v>
      </c>
      <c r="K758" s="125">
        <f t="shared" ca="1" si="434"/>
        <v>0</v>
      </c>
      <c r="L758" s="125">
        <f t="shared" ca="1" si="452"/>
        <v>0</v>
      </c>
      <c r="M758" s="125">
        <f t="shared" ca="1" si="435"/>
        <v>0</v>
      </c>
      <c r="N758" s="125">
        <f t="shared" ca="1" si="436"/>
        <v>0</v>
      </c>
      <c r="R758">
        <f t="shared" si="453"/>
        <v>751</v>
      </c>
      <c r="U758" s="55"/>
      <c r="V758">
        <f t="shared" si="454"/>
        <v>8</v>
      </c>
      <c r="W758">
        <f t="shared" ca="1" si="455"/>
        <v>2086</v>
      </c>
      <c r="X758" s="123">
        <f t="shared" ca="1" si="437"/>
        <v>68150</v>
      </c>
      <c r="Y758" s="64">
        <f t="shared" ca="1" si="438"/>
        <v>0</v>
      </c>
      <c r="Z758" s="64">
        <f t="shared" ca="1" si="439"/>
        <v>0</v>
      </c>
      <c r="AA758" s="64">
        <f t="shared" ca="1" si="440"/>
        <v>0</v>
      </c>
      <c r="AB758" s="64">
        <f t="shared" ca="1" si="441"/>
        <v>0</v>
      </c>
      <c r="AF758" t="str">
        <f t="shared" ca="1" si="421"/>
        <v>121981</v>
      </c>
      <c r="AG758" s="126">
        <f t="shared" ca="1" si="422"/>
        <v>0</v>
      </c>
      <c r="AH758" s="126">
        <f t="shared" ca="1" si="423"/>
        <v>0</v>
      </c>
      <c r="AI758" s="126">
        <f t="shared" ca="1" si="424"/>
        <v>0</v>
      </c>
      <c r="AJ758" t="str">
        <f t="shared" ca="1" si="425"/>
        <v>82086</v>
      </c>
      <c r="AK758" s="126">
        <f t="shared" ca="1" si="442"/>
        <v>0</v>
      </c>
      <c r="AL758" s="126">
        <f t="shared" ca="1" si="443"/>
        <v>0</v>
      </c>
      <c r="AM758" s="126">
        <f t="shared" ca="1" si="456"/>
        <v>0</v>
      </c>
      <c r="AN758" s="753">
        <f t="shared" ca="1" si="457"/>
        <v>0</v>
      </c>
      <c r="AO758" s="750">
        <f t="shared" ca="1" si="444"/>
        <v>0</v>
      </c>
      <c r="AP758" s="126">
        <f t="shared" ca="1" si="445"/>
        <v>0</v>
      </c>
      <c r="AQ758" s="126">
        <f t="shared" ca="1" si="446"/>
        <v>0</v>
      </c>
      <c r="AR758" s="126">
        <f t="shared" ca="1" si="426"/>
        <v>10000</v>
      </c>
      <c r="AS758" s="750">
        <f t="shared" ca="1" si="427"/>
        <v>0</v>
      </c>
      <c r="AT758" s="750">
        <f t="shared" ca="1" si="428"/>
        <v>0</v>
      </c>
      <c r="AU758" s="126">
        <f t="shared" ca="1" si="447"/>
        <v>0</v>
      </c>
      <c r="AV758" s="126">
        <f t="shared" ca="1" si="448"/>
        <v>0</v>
      </c>
      <c r="AW758" s="126">
        <f t="shared" ca="1" si="429"/>
        <v>10000</v>
      </c>
      <c r="AX758" s="750">
        <f t="shared" ca="1" si="449"/>
        <v>0</v>
      </c>
      <c r="AY758" s="750">
        <f t="shared" ca="1" si="450"/>
        <v>0</v>
      </c>
      <c r="AZ758">
        <f t="shared" si="451"/>
        <v>5750</v>
      </c>
    </row>
    <row r="759" spans="4:52">
      <c r="D759">
        <v>752</v>
      </c>
      <c r="E759" s="6">
        <f t="shared" ca="1" si="430"/>
        <v>29891</v>
      </c>
      <c r="F759" s="7">
        <f t="shared" ca="1" si="431"/>
        <v>0</v>
      </c>
      <c r="G759" s="125">
        <f ca="1">IF('Simulador - 1º Pilar'!$E$99="Sí",IF('Aportaciones PPE'!$B$13&lt;'Aportaciones PPE'!E759,0,F759*$B$8/12),F759*$B$8/12)</f>
        <v>0</v>
      </c>
      <c r="H759" s="125">
        <f t="shared" ca="1" si="420"/>
        <v>0</v>
      </c>
      <c r="I759" s="125">
        <f t="shared" ca="1" si="432"/>
        <v>0</v>
      </c>
      <c r="J759" s="125">
        <f t="shared" ca="1" si="433"/>
        <v>0</v>
      </c>
      <c r="K759" s="125">
        <f t="shared" ca="1" si="434"/>
        <v>0</v>
      </c>
      <c r="L759" s="125">
        <f t="shared" ca="1" si="452"/>
        <v>0</v>
      </c>
      <c r="M759" s="125">
        <f t="shared" ca="1" si="435"/>
        <v>0</v>
      </c>
      <c r="N759" s="125">
        <f t="shared" ca="1" si="436"/>
        <v>0</v>
      </c>
      <c r="R759">
        <f t="shared" si="453"/>
        <v>752</v>
      </c>
      <c r="U759" s="55"/>
      <c r="V759">
        <f t="shared" si="454"/>
        <v>9</v>
      </c>
      <c r="W759">
        <f t="shared" ca="1" si="455"/>
        <v>2086</v>
      </c>
      <c r="X759" s="123">
        <f t="shared" ca="1" si="437"/>
        <v>68181</v>
      </c>
      <c r="Y759" s="64">
        <f t="shared" ca="1" si="438"/>
        <v>0</v>
      </c>
      <c r="Z759" s="64">
        <f t="shared" ca="1" si="439"/>
        <v>0</v>
      </c>
      <c r="AA759" s="64">
        <f t="shared" ca="1" si="440"/>
        <v>0</v>
      </c>
      <c r="AB759" s="64">
        <f t="shared" ca="1" si="441"/>
        <v>0</v>
      </c>
      <c r="AF759" t="str">
        <f t="shared" ca="1" si="421"/>
        <v>111981</v>
      </c>
      <c r="AG759" s="126">
        <f t="shared" ca="1" si="422"/>
        <v>0</v>
      </c>
      <c r="AH759" s="126">
        <f t="shared" ca="1" si="423"/>
        <v>0</v>
      </c>
      <c r="AI759" s="126">
        <f t="shared" ca="1" si="424"/>
        <v>0</v>
      </c>
      <c r="AJ759" t="str">
        <f t="shared" ca="1" si="425"/>
        <v>92086</v>
      </c>
      <c r="AK759" s="126">
        <f t="shared" ca="1" si="442"/>
        <v>0</v>
      </c>
      <c r="AL759" s="126">
        <f t="shared" ca="1" si="443"/>
        <v>0</v>
      </c>
      <c r="AM759" s="126">
        <f t="shared" ca="1" si="456"/>
        <v>0</v>
      </c>
      <c r="AN759" s="753">
        <f t="shared" ca="1" si="457"/>
        <v>0</v>
      </c>
      <c r="AO759" s="750">
        <f t="shared" ca="1" si="444"/>
        <v>0</v>
      </c>
      <c r="AP759" s="126">
        <f t="shared" ca="1" si="445"/>
        <v>0</v>
      </c>
      <c r="AQ759" s="126">
        <f t="shared" ca="1" si="446"/>
        <v>0</v>
      </c>
      <c r="AR759" s="126">
        <f t="shared" ca="1" si="426"/>
        <v>10000</v>
      </c>
      <c r="AS759" s="750">
        <f t="shared" ca="1" si="427"/>
        <v>0</v>
      </c>
      <c r="AT759" s="750">
        <f t="shared" ca="1" si="428"/>
        <v>0</v>
      </c>
      <c r="AU759" s="126">
        <f t="shared" ca="1" si="447"/>
        <v>0</v>
      </c>
      <c r="AV759" s="126">
        <f t="shared" ca="1" si="448"/>
        <v>0</v>
      </c>
      <c r="AW759" s="126">
        <f t="shared" ca="1" si="429"/>
        <v>10000</v>
      </c>
      <c r="AX759" s="750">
        <f t="shared" ca="1" si="449"/>
        <v>0</v>
      </c>
      <c r="AY759" s="750">
        <f t="shared" ca="1" si="450"/>
        <v>0</v>
      </c>
      <c r="AZ759">
        <f t="shared" si="451"/>
        <v>5750</v>
      </c>
    </row>
    <row r="760" spans="4:52">
      <c r="D760">
        <v>753</v>
      </c>
      <c r="E760" s="6">
        <f t="shared" ca="1" si="430"/>
        <v>29860</v>
      </c>
      <c r="F760" s="7">
        <f t="shared" ca="1" si="431"/>
        <v>0</v>
      </c>
      <c r="G760" s="125">
        <f ca="1">IF('Simulador - 1º Pilar'!$E$99="Sí",IF('Aportaciones PPE'!$B$13&lt;'Aportaciones PPE'!E760,0,F760*$B$8/12),F760*$B$8/12)</f>
        <v>0</v>
      </c>
      <c r="H760" s="125">
        <f t="shared" ca="1" si="420"/>
        <v>0</v>
      </c>
      <c r="I760" s="125">
        <f t="shared" ca="1" si="432"/>
        <v>0</v>
      </c>
      <c r="J760" s="125">
        <f t="shared" ca="1" si="433"/>
        <v>0</v>
      </c>
      <c r="K760" s="125">
        <f t="shared" ca="1" si="434"/>
        <v>0</v>
      </c>
      <c r="L760" s="125">
        <f t="shared" ca="1" si="452"/>
        <v>0</v>
      </c>
      <c r="M760" s="125">
        <f t="shared" ca="1" si="435"/>
        <v>0</v>
      </c>
      <c r="N760" s="125">
        <f t="shared" ca="1" si="436"/>
        <v>0</v>
      </c>
      <c r="R760">
        <f t="shared" si="453"/>
        <v>753</v>
      </c>
      <c r="U760" s="55"/>
      <c r="V760">
        <f t="shared" si="454"/>
        <v>10</v>
      </c>
      <c r="W760">
        <f t="shared" ca="1" si="455"/>
        <v>2086</v>
      </c>
      <c r="X760" s="123">
        <f t="shared" ca="1" si="437"/>
        <v>68211</v>
      </c>
      <c r="Y760" s="64">
        <f t="shared" ca="1" si="438"/>
        <v>0</v>
      </c>
      <c r="Z760" s="64">
        <f t="shared" ca="1" si="439"/>
        <v>0</v>
      </c>
      <c r="AA760" s="64">
        <f t="shared" ca="1" si="440"/>
        <v>0</v>
      </c>
      <c r="AB760" s="64">
        <f t="shared" ca="1" si="441"/>
        <v>0</v>
      </c>
      <c r="AF760" t="str">
        <f t="shared" ca="1" si="421"/>
        <v>101981</v>
      </c>
      <c r="AG760" s="126">
        <f t="shared" ca="1" si="422"/>
        <v>0</v>
      </c>
      <c r="AH760" s="126">
        <f t="shared" ca="1" si="423"/>
        <v>0</v>
      </c>
      <c r="AI760" s="126">
        <f t="shared" ca="1" si="424"/>
        <v>0</v>
      </c>
      <c r="AJ760" t="str">
        <f t="shared" ca="1" si="425"/>
        <v>102086</v>
      </c>
      <c r="AK760" s="126">
        <f t="shared" ca="1" si="442"/>
        <v>0</v>
      </c>
      <c r="AL760" s="126">
        <f t="shared" ca="1" si="443"/>
        <v>0</v>
      </c>
      <c r="AM760" s="126">
        <f t="shared" ca="1" si="456"/>
        <v>0</v>
      </c>
      <c r="AN760" s="753">
        <f t="shared" ca="1" si="457"/>
        <v>0</v>
      </c>
      <c r="AO760" s="750">
        <f t="shared" ca="1" si="444"/>
        <v>0</v>
      </c>
      <c r="AP760" s="126">
        <f t="shared" ca="1" si="445"/>
        <v>0</v>
      </c>
      <c r="AQ760" s="126">
        <f t="shared" ca="1" si="446"/>
        <v>0</v>
      </c>
      <c r="AR760" s="126">
        <f t="shared" ca="1" si="426"/>
        <v>10000</v>
      </c>
      <c r="AS760" s="750">
        <f t="shared" ca="1" si="427"/>
        <v>0</v>
      </c>
      <c r="AT760" s="750">
        <f t="shared" ca="1" si="428"/>
        <v>0</v>
      </c>
      <c r="AU760" s="126">
        <f t="shared" ca="1" si="447"/>
        <v>0</v>
      </c>
      <c r="AV760" s="126">
        <f t="shared" ca="1" si="448"/>
        <v>0</v>
      </c>
      <c r="AW760" s="126">
        <f t="shared" ca="1" si="429"/>
        <v>10000</v>
      </c>
      <c r="AX760" s="750">
        <f t="shared" ca="1" si="449"/>
        <v>0</v>
      </c>
      <c r="AY760" s="750">
        <f t="shared" ca="1" si="450"/>
        <v>0</v>
      </c>
      <c r="AZ760">
        <f t="shared" si="451"/>
        <v>5750</v>
      </c>
    </row>
    <row r="761" spans="4:52">
      <c r="D761">
        <v>754</v>
      </c>
      <c r="E761" s="6">
        <f t="shared" ca="1" si="430"/>
        <v>29830</v>
      </c>
      <c r="F761" s="7">
        <f t="shared" ca="1" si="431"/>
        <v>0</v>
      </c>
      <c r="G761" s="125">
        <f ca="1">IF('Simulador - 1º Pilar'!$E$99="Sí",IF('Aportaciones PPE'!$B$13&lt;'Aportaciones PPE'!E761,0,F761*$B$8/12),F761*$B$8/12)</f>
        <v>0</v>
      </c>
      <c r="H761" s="125">
        <f t="shared" ca="1" si="420"/>
        <v>0</v>
      </c>
      <c r="I761" s="125">
        <f t="shared" ca="1" si="432"/>
        <v>0</v>
      </c>
      <c r="J761" s="125">
        <f t="shared" ca="1" si="433"/>
        <v>0</v>
      </c>
      <c r="K761" s="125">
        <f t="shared" ca="1" si="434"/>
        <v>0</v>
      </c>
      <c r="L761" s="125">
        <f t="shared" ca="1" si="452"/>
        <v>0</v>
      </c>
      <c r="M761" s="125">
        <f t="shared" ca="1" si="435"/>
        <v>0</v>
      </c>
      <c r="N761" s="125">
        <f t="shared" ca="1" si="436"/>
        <v>0</v>
      </c>
      <c r="R761">
        <f t="shared" si="453"/>
        <v>754</v>
      </c>
      <c r="U761" s="55"/>
      <c r="V761">
        <f t="shared" si="454"/>
        <v>11</v>
      </c>
      <c r="W761">
        <f t="shared" ca="1" si="455"/>
        <v>2086</v>
      </c>
      <c r="X761" s="123">
        <f t="shared" ca="1" si="437"/>
        <v>68242</v>
      </c>
      <c r="Y761" s="64">
        <f t="shared" ca="1" si="438"/>
        <v>0</v>
      </c>
      <c r="Z761" s="64">
        <f t="shared" ca="1" si="439"/>
        <v>0</v>
      </c>
      <c r="AA761" s="64">
        <f t="shared" ca="1" si="440"/>
        <v>0</v>
      </c>
      <c r="AB761" s="64">
        <f t="shared" ca="1" si="441"/>
        <v>0</v>
      </c>
      <c r="AF761" t="str">
        <f t="shared" ca="1" si="421"/>
        <v>91981</v>
      </c>
      <c r="AG761" s="126">
        <f t="shared" ca="1" si="422"/>
        <v>0</v>
      </c>
      <c r="AH761" s="126">
        <f t="shared" ca="1" si="423"/>
        <v>0</v>
      </c>
      <c r="AI761" s="126">
        <f t="shared" ca="1" si="424"/>
        <v>0</v>
      </c>
      <c r="AJ761" t="str">
        <f t="shared" ca="1" si="425"/>
        <v>112086</v>
      </c>
      <c r="AK761" s="126">
        <f t="shared" ca="1" si="442"/>
        <v>0</v>
      </c>
      <c r="AL761" s="126">
        <f t="shared" ca="1" si="443"/>
        <v>0</v>
      </c>
      <c r="AM761" s="126">
        <f t="shared" ca="1" si="456"/>
        <v>0</v>
      </c>
      <c r="AN761" s="753">
        <f t="shared" ca="1" si="457"/>
        <v>0</v>
      </c>
      <c r="AO761" s="750">
        <f t="shared" ca="1" si="444"/>
        <v>0</v>
      </c>
      <c r="AP761" s="126">
        <f t="shared" ca="1" si="445"/>
        <v>0</v>
      </c>
      <c r="AQ761" s="126">
        <f t="shared" ca="1" si="446"/>
        <v>0</v>
      </c>
      <c r="AR761" s="126">
        <f t="shared" ca="1" si="426"/>
        <v>10000</v>
      </c>
      <c r="AS761" s="750">
        <f t="shared" ca="1" si="427"/>
        <v>0</v>
      </c>
      <c r="AT761" s="750">
        <f t="shared" ca="1" si="428"/>
        <v>0</v>
      </c>
      <c r="AU761" s="126">
        <f t="shared" ca="1" si="447"/>
        <v>0</v>
      </c>
      <c r="AV761" s="126">
        <f t="shared" ca="1" si="448"/>
        <v>0</v>
      </c>
      <c r="AW761" s="126">
        <f t="shared" ca="1" si="429"/>
        <v>10000</v>
      </c>
      <c r="AX761" s="750">
        <f t="shared" ca="1" si="449"/>
        <v>0</v>
      </c>
      <c r="AY761" s="750">
        <f t="shared" ca="1" si="450"/>
        <v>0</v>
      </c>
      <c r="AZ761">
        <f t="shared" si="451"/>
        <v>5750</v>
      </c>
    </row>
    <row r="762" spans="4:52">
      <c r="D762">
        <v>755</v>
      </c>
      <c r="E762" s="6">
        <f t="shared" ca="1" si="430"/>
        <v>29799</v>
      </c>
      <c r="F762" s="7">
        <f t="shared" ca="1" si="431"/>
        <v>0</v>
      </c>
      <c r="G762" s="125">
        <f ca="1">IF('Simulador - 1º Pilar'!$E$99="Sí",IF('Aportaciones PPE'!$B$13&lt;'Aportaciones PPE'!E762,0,F762*$B$8/12),F762*$B$8/12)</f>
        <v>0</v>
      </c>
      <c r="H762" s="125">
        <f t="shared" ca="1" si="420"/>
        <v>0</v>
      </c>
      <c r="I762" s="125">
        <f t="shared" ca="1" si="432"/>
        <v>0</v>
      </c>
      <c r="J762" s="125">
        <f t="shared" ca="1" si="433"/>
        <v>0</v>
      </c>
      <c r="K762" s="125">
        <f t="shared" ca="1" si="434"/>
        <v>0</v>
      </c>
      <c r="L762" s="125">
        <f t="shared" ca="1" si="452"/>
        <v>0</v>
      </c>
      <c r="M762" s="125">
        <f t="shared" ca="1" si="435"/>
        <v>0</v>
      </c>
      <c r="N762" s="125">
        <f t="shared" ca="1" si="436"/>
        <v>0</v>
      </c>
      <c r="R762">
        <f t="shared" si="453"/>
        <v>755</v>
      </c>
      <c r="U762" s="55"/>
      <c r="V762">
        <f t="shared" si="454"/>
        <v>12</v>
      </c>
      <c r="W762">
        <f t="shared" ca="1" si="455"/>
        <v>2086</v>
      </c>
      <c r="X762" s="123">
        <f t="shared" ca="1" si="437"/>
        <v>68272</v>
      </c>
      <c r="Y762" s="64">
        <f t="shared" ca="1" si="438"/>
        <v>0</v>
      </c>
      <c r="Z762" s="64">
        <f t="shared" ca="1" si="439"/>
        <v>0</v>
      </c>
      <c r="AA762" s="64">
        <f t="shared" ca="1" si="440"/>
        <v>0</v>
      </c>
      <c r="AB762" s="64">
        <f t="shared" ca="1" si="441"/>
        <v>0</v>
      </c>
      <c r="AF762" t="str">
        <f t="shared" ca="1" si="421"/>
        <v>81981</v>
      </c>
      <c r="AG762" s="126">
        <f t="shared" ca="1" si="422"/>
        <v>0</v>
      </c>
      <c r="AH762" s="126">
        <f t="shared" ca="1" si="423"/>
        <v>0</v>
      </c>
      <c r="AI762" s="126">
        <f t="shared" ca="1" si="424"/>
        <v>0</v>
      </c>
      <c r="AJ762" t="str">
        <f t="shared" ca="1" si="425"/>
        <v>122086</v>
      </c>
      <c r="AK762" s="126">
        <f t="shared" ca="1" si="442"/>
        <v>0</v>
      </c>
      <c r="AL762" s="126">
        <f t="shared" ca="1" si="443"/>
        <v>0</v>
      </c>
      <c r="AM762" s="126">
        <f t="shared" ca="1" si="456"/>
        <v>0</v>
      </c>
      <c r="AN762" s="753">
        <f t="shared" ca="1" si="457"/>
        <v>0</v>
      </c>
      <c r="AO762" s="750">
        <f t="shared" ca="1" si="444"/>
        <v>0</v>
      </c>
      <c r="AP762" s="126">
        <f t="shared" ca="1" si="445"/>
        <v>0</v>
      </c>
      <c r="AQ762" s="126">
        <f t="shared" ca="1" si="446"/>
        <v>0</v>
      </c>
      <c r="AR762" s="126">
        <f t="shared" ca="1" si="426"/>
        <v>10000</v>
      </c>
      <c r="AS762" s="750">
        <f t="shared" ca="1" si="427"/>
        <v>0</v>
      </c>
      <c r="AT762" s="750">
        <f t="shared" ca="1" si="428"/>
        <v>0</v>
      </c>
      <c r="AU762" s="126">
        <f t="shared" ca="1" si="447"/>
        <v>0</v>
      </c>
      <c r="AV762" s="126">
        <f t="shared" ca="1" si="448"/>
        <v>0</v>
      </c>
      <c r="AW762" s="126">
        <f t="shared" ca="1" si="429"/>
        <v>10000</v>
      </c>
      <c r="AX762" s="750">
        <f t="shared" ca="1" si="449"/>
        <v>0</v>
      </c>
      <c r="AY762" s="750">
        <f t="shared" ca="1" si="450"/>
        <v>0</v>
      </c>
      <c r="AZ762">
        <f t="shared" si="451"/>
        <v>5750</v>
      </c>
    </row>
    <row r="763" spans="4:52">
      <c r="D763">
        <v>756</v>
      </c>
      <c r="E763" s="6">
        <f t="shared" ca="1" si="430"/>
        <v>29768</v>
      </c>
      <c r="F763" s="7">
        <f t="shared" ca="1" si="431"/>
        <v>0</v>
      </c>
      <c r="G763" s="125">
        <f ca="1">IF('Simulador - 1º Pilar'!$E$99="Sí",IF('Aportaciones PPE'!$B$13&lt;'Aportaciones PPE'!E763,0,F763*$B$8/12),F763*$B$8/12)</f>
        <v>0</v>
      </c>
      <c r="H763" s="125">
        <f t="shared" ca="1" si="420"/>
        <v>0</v>
      </c>
      <c r="I763" s="125">
        <f t="shared" ca="1" si="432"/>
        <v>0</v>
      </c>
      <c r="J763" s="125">
        <f t="shared" ca="1" si="433"/>
        <v>0</v>
      </c>
      <c r="K763" s="125">
        <f t="shared" ca="1" si="434"/>
        <v>0</v>
      </c>
      <c r="L763" s="125">
        <f t="shared" ca="1" si="452"/>
        <v>0</v>
      </c>
      <c r="M763" s="125">
        <f t="shared" ca="1" si="435"/>
        <v>0</v>
      </c>
      <c r="N763" s="125">
        <f t="shared" ca="1" si="436"/>
        <v>0</v>
      </c>
      <c r="R763">
        <f t="shared" si="453"/>
        <v>756</v>
      </c>
      <c r="U763" s="55"/>
      <c r="V763">
        <f t="shared" si="454"/>
        <v>1</v>
      </c>
      <c r="W763">
        <f t="shared" ca="1" si="455"/>
        <v>2087</v>
      </c>
      <c r="X763" s="123">
        <f t="shared" ca="1" si="437"/>
        <v>68303</v>
      </c>
      <c r="Y763" s="64">
        <f t="shared" ca="1" si="438"/>
        <v>0</v>
      </c>
      <c r="Z763" s="64">
        <f t="shared" ca="1" si="439"/>
        <v>0</v>
      </c>
      <c r="AA763" s="64">
        <f t="shared" ca="1" si="440"/>
        <v>0</v>
      </c>
      <c r="AB763" s="64">
        <f t="shared" ca="1" si="441"/>
        <v>0</v>
      </c>
      <c r="AF763" t="str">
        <f t="shared" ca="1" si="421"/>
        <v>71981</v>
      </c>
      <c r="AG763" s="126">
        <f t="shared" ca="1" si="422"/>
        <v>0</v>
      </c>
      <c r="AH763" s="126">
        <f t="shared" ca="1" si="423"/>
        <v>0</v>
      </c>
      <c r="AI763" s="126">
        <f t="shared" ca="1" si="424"/>
        <v>0</v>
      </c>
      <c r="AJ763" t="str">
        <f t="shared" ca="1" si="425"/>
        <v>12087</v>
      </c>
      <c r="AK763" s="126">
        <f t="shared" ca="1" si="442"/>
        <v>0</v>
      </c>
      <c r="AL763" s="126">
        <f t="shared" ca="1" si="443"/>
        <v>0</v>
      </c>
      <c r="AM763" s="126">
        <f t="shared" ca="1" si="456"/>
        <v>0</v>
      </c>
      <c r="AN763" s="753">
        <f t="shared" ca="1" si="457"/>
        <v>0</v>
      </c>
      <c r="AO763" s="750">
        <f t="shared" ca="1" si="444"/>
        <v>0</v>
      </c>
      <c r="AP763" s="126">
        <f t="shared" ca="1" si="445"/>
        <v>0</v>
      </c>
      <c r="AQ763" s="126">
        <f t="shared" ca="1" si="446"/>
        <v>0</v>
      </c>
      <c r="AR763" s="126">
        <f t="shared" ca="1" si="426"/>
        <v>10000</v>
      </c>
      <c r="AS763" s="750">
        <f t="shared" ca="1" si="427"/>
        <v>0</v>
      </c>
      <c r="AT763" s="750">
        <f t="shared" ca="1" si="428"/>
        <v>0</v>
      </c>
      <c r="AU763" s="126">
        <f t="shared" ca="1" si="447"/>
        <v>0</v>
      </c>
      <c r="AV763" s="126">
        <f t="shared" ca="1" si="448"/>
        <v>0</v>
      </c>
      <c r="AW763" s="126">
        <f t="shared" ca="1" si="429"/>
        <v>10000</v>
      </c>
      <c r="AX763" s="750">
        <f t="shared" ca="1" si="449"/>
        <v>0</v>
      </c>
      <c r="AY763" s="750">
        <f t="shared" ca="1" si="450"/>
        <v>0</v>
      </c>
      <c r="AZ763">
        <f t="shared" si="451"/>
        <v>5750</v>
      </c>
    </row>
    <row r="764" spans="4:52">
      <c r="D764">
        <v>757</v>
      </c>
      <c r="E764" s="6">
        <f t="shared" ca="1" si="430"/>
        <v>29738</v>
      </c>
      <c r="F764" s="7">
        <f t="shared" ca="1" si="431"/>
        <v>0</v>
      </c>
      <c r="G764" s="125">
        <f ca="1">IF('Simulador - 1º Pilar'!$E$99="Sí",IF('Aportaciones PPE'!$B$13&lt;'Aportaciones PPE'!E764,0,F764*$B$8/12),F764*$B$8/12)</f>
        <v>0</v>
      </c>
      <c r="H764" s="125">
        <f t="shared" ca="1" si="420"/>
        <v>0</v>
      </c>
      <c r="I764" s="125">
        <f t="shared" ca="1" si="432"/>
        <v>0</v>
      </c>
      <c r="J764" s="125">
        <f t="shared" ca="1" si="433"/>
        <v>0</v>
      </c>
      <c r="K764" s="125">
        <f t="shared" ca="1" si="434"/>
        <v>0</v>
      </c>
      <c r="L764" s="125">
        <f t="shared" ca="1" si="452"/>
        <v>0</v>
      </c>
      <c r="M764" s="125">
        <f t="shared" ca="1" si="435"/>
        <v>0</v>
      </c>
      <c r="N764" s="125">
        <f t="shared" ca="1" si="436"/>
        <v>0</v>
      </c>
      <c r="R764">
        <f t="shared" si="453"/>
        <v>757</v>
      </c>
      <c r="U764" s="55"/>
      <c r="V764">
        <f t="shared" si="454"/>
        <v>2</v>
      </c>
      <c r="W764">
        <f t="shared" ca="1" si="455"/>
        <v>2087</v>
      </c>
      <c r="X764" s="123">
        <f t="shared" ca="1" si="437"/>
        <v>68334</v>
      </c>
      <c r="Y764" s="64">
        <f t="shared" ca="1" si="438"/>
        <v>0</v>
      </c>
      <c r="Z764" s="64">
        <f t="shared" ca="1" si="439"/>
        <v>0</v>
      </c>
      <c r="AA764" s="64">
        <f t="shared" ca="1" si="440"/>
        <v>0</v>
      </c>
      <c r="AB764" s="64">
        <f t="shared" ca="1" si="441"/>
        <v>0</v>
      </c>
      <c r="AF764" t="str">
        <f t="shared" ca="1" si="421"/>
        <v>61981</v>
      </c>
      <c r="AG764" s="126">
        <f t="shared" ca="1" si="422"/>
        <v>0</v>
      </c>
      <c r="AH764" s="126">
        <f t="shared" ca="1" si="423"/>
        <v>0</v>
      </c>
      <c r="AI764" s="126">
        <f t="shared" ca="1" si="424"/>
        <v>0</v>
      </c>
      <c r="AJ764" t="str">
        <f t="shared" ca="1" si="425"/>
        <v>22087</v>
      </c>
      <c r="AK764" s="126">
        <f t="shared" ca="1" si="442"/>
        <v>0</v>
      </c>
      <c r="AL764" s="126">
        <f t="shared" ca="1" si="443"/>
        <v>0</v>
      </c>
      <c r="AM764" s="126">
        <f t="shared" ca="1" si="456"/>
        <v>0</v>
      </c>
      <c r="AN764" s="753">
        <f t="shared" ca="1" si="457"/>
        <v>0</v>
      </c>
      <c r="AO764" s="750">
        <f t="shared" ca="1" si="444"/>
        <v>0</v>
      </c>
      <c r="AP764" s="126">
        <f t="shared" ca="1" si="445"/>
        <v>0</v>
      </c>
      <c r="AQ764" s="126">
        <f t="shared" ca="1" si="446"/>
        <v>0</v>
      </c>
      <c r="AR764" s="126">
        <f t="shared" ca="1" si="426"/>
        <v>10000</v>
      </c>
      <c r="AS764" s="750">
        <f t="shared" ca="1" si="427"/>
        <v>0</v>
      </c>
      <c r="AT764" s="750">
        <f t="shared" ca="1" si="428"/>
        <v>0</v>
      </c>
      <c r="AU764" s="126">
        <f t="shared" ca="1" si="447"/>
        <v>0</v>
      </c>
      <c r="AV764" s="126">
        <f t="shared" ca="1" si="448"/>
        <v>0</v>
      </c>
      <c r="AW764" s="126">
        <f t="shared" ca="1" si="429"/>
        <v>10000</v>
      </c>
      <c r="AX764" s="750">
        <f t="shared" ca="1" si="449"/>
        <v>0</v>
      </c>
      <c r="AY764" s="750">
        <f t="shared" ca="1" si="450"/>
        <v>0</v>
      </c>
      <c r="AZ764">
        <f t="shared" si="451"/>
        <v>5750</v>
      </c>
    </row>
    <row r="765" spans="4:52">
      <c r="D765">
        <v>758</v>
      </c>
      <c r="E765" s="6">
        <f t="shared" ca="1" si="430"/>
        <v>29707</v>
      </c>
      <c r="F765" s="7">
        <f t="shared" ca="1" si="431"/>
        <v>0</v>
      </c>
      <c r="G765" s="125">
        <f ca="1">IF('Simulador - 1º Pilar'!$E$99="Sí",IF('Aportaciones PPE'!$B$13&lt;'Aportaciones PPE'!E765,0,F765*$B$8/12),F765*$B$8/12)</f>
        <v>0</v>
      </c>
      <c r="H765" s="125">
        <f t="shared" ca="1" si="420"/>
        <v>0</v>
      </c>
      <c r="I765" s="125">
        <f t="shared" ca="1" si="432"/>
        <v>0</v>
      </c>
      <c r="J765" s="125">
        <f t="shared" ca="1" si="433"/>
        <v>0</v>
      </c>
      <c r="K765" s="125">
        <f t="shared" ca="1" si="434"/>
        <v>0</v>
      </c>
      <c r="L765" s="125">
        <f t="shared" ca="1" si="452"/>
        <v>0</v>
      </c>
      <c r="M765" s="125">
        <f t="shared" ca="1" si="435"/>
        <v>0</v>
      </c>
      <c r="N765" s="125">
        <f t="shared" ca="1" si="436"/>
        <v>0</v>
      </c>
      <c r="R765">
        <f t="shared" si="453"/>
        <v>758</v>
      </c>
      <c r="U765" s="55"/>
      <c r="V765">
        <f t="shared" si="454"/>
        <v>3</v>
      </c>
      <c r="W765">
        <f t="shared" ca="1" si="455"/>
        <v>2087</v>
      </c>
      <c r="X765" s="123">
        <f t="shared" ca="1" si="437"/>
        <v>68362</v>
      </c>
      <c r="Y765" s="64">
        <f t="shared" ca="1" si="438"/>
        <v>0</v>
      </c>
      <c r="Z765" s="64">
        <f t="shared" ca="1" si="439"/>
        <v>0</v>
      </c>
      <c r="AA765" s="64">
        <f t="shared" ca="1" si="440"/>
        <v>0</v>
      </c>
      <c r="AB765" s="64">
        <f t="shared" ca="1" si="441"/>
        <v>0</v>
      </c>
      <c r="AF765" t="str">
        <f t="shared" ca="1" si="421"/>
        <v>51981</v>
      </c>
      <c r="AG765" s="126">
        <f t="shared" ca="1" si="422"/>
        <v>0</v>
      </c>
      <c r="AH765" s="126">
        <f t="shared" ca="1" si="423"/>
        <v>0</v>
      </c>
      <c r="AI765" s="126">
        <f t="shared" ca="1" si="424"/>
        <v>0</v>
      </c>
      <c r="AJ765" t="str">
        <f t="shared" ca="1" si="425"/>
        <v>32087</v>
      </c>
      <c r="AK765" s="126">
        <f t="shared" ca="1" si="442"/>
        <v>0</v>
      </c>
      <c r="AL765" s="126">
        <f t="shared" ca="1" si="443"/>
        <v>0</v>
      </c>
      <c r="AM765" s="126">
        <f t="shared" ca="1" si="456"/>
        <v>0</v>
      </c>
      <c r="AN765" s="753">
        <f t="shared" ca="1" si="457"/>
        <v>0</v>
      </c>
      <c r="AO765" s="750">
        <f t="shared" ca="1" si="444"/>
        <v>0</v>
      </c>
      <c r="AP765" s="126">
        <f t="shared" ca="1" si="445"/>
        <v>0</v>
      </c>
      <c r="AQ765" s="126">
        <f t="shared" ca="1" si="446"/>
        <v>0</v>
      </c>
      <c r="AR765" s="126">
        <f t="shared" ca="1" si="426"/>
        <v>10000</v>
      </c>
      <c r="AS765" s="750">
        <f t="shared" ca="1" si="427"/>
        <v>0</v>
      </c>
      <c r="AT765" s="750">
        <f t="shared" ca="1" si="428"/>
        <v>0</v>
      </c>
      <c r="AU765" s="126">
        <f t="shared" ca="1" si="447"/>
        <v>0</v>
      </c>
      <c r="AV765" s="126">
        <f t="shared" ca="1" si="448"/>
        <v>0</v>
      </c>
      <c r="AW765" s="126">
        <f t="shared" ca="1" si="429"/>
        <v>10000</v>
      </c>
      <c r="AX765" s="750">
        <f t="shared" ca="1" si="449"/>
        <v>0</v>
      </c>
      <c r="AY765" s="750">
        <f t="shared" ca="1" si="450"/>
        <v>0</v>
      </c>
      <c r="AZ765">
        <f t="shared" si="451"/>
        <v>5750</v>
      </c>
    </row>
    <row r="766" spans="4:52">
      <c r="D766">
        <v>759</v>
      </c>
      <c r="E766" s="6">
        <f t="shared" ca="1" si="430"/>
        <v>29677</v>
      </c>
      <c r="F766" s="7">
        <f t="shared" ca="1" si="431"/>
        <v>0</v>
      </c>
      <c r="G766" s="125">
        <f ca="1">IF('Simulador - 1º Pilar'!$E$99="Sí",IF('Aportaciones PPE'!$B$13&lt;'Aportaciones PPE'!E766,0,F766*$B$8/12),F766*$B$8/12)</f>
        <v>0</v>
      </c>
      <c r="H766" s="125">
        <f t="shared" ca="1" si="420"/>
        <v>0</v>
      </c>
      <c r="I766" s="125">
        <f t="shared" ca="1" si="432"/>
        <v>0</v>
      </c>
      <c r="J766" s="125">
        <f t="shared" ca="1" si="433"/>
        <v>0</v>
      </c>
      <c r="K766" s="125">
        <f t="shared" ca="1" si="434"/>
        <v>0</v>
      </c>
      <c r="L766" s="125">
        <f t="shared" ca="1" si="452"/>
        <v>0</v>
      </c>
      <c r="M766" s="125">
        <f t="shared" ca="1" si="435"/>
        <v>0</v>
      </c>
      <c r="N766" s="125">
        <f t="shared" ca="1" si="436"/>
        <v>0</v>
      </c>
      <c r="R766">
        <f t="shared" si="453"/>
        <v>759</v>
      </c>
      <c r="U766" s="55"/>
      <c r="V766">
        <f t="shared" si="454"/>
        <v>4</v>
      </c>
      <c r="W766">
        <f t="shared" ca="1" si="455"/>
        <v>2087</v>
      </c>
      <c r="X766" s="123">
        <f t="shared" ca="1" si="437"/>
        <v>68393</v>
      </c>
      <c r="Y766" s="64">
        <f t="shared" ca="1" si="438"/>
        <v>0</v>
      </c>
      <c r="Z766" s="64">
        <f t="shared" ca="1" si="439"/>
        <v>0</v>
      </c>
      <c r="AA766" s="64">
        <f t="shared" ca="1" si="440"/>
        <v>0</v>
      </c>
      <c r="AB766" s="64">
        <f t="shared" ca="1" si="441"/>
        <v>0</v>
      </c>
      <c r="AF766" t="str">
        <f t="shared" ca="1" si="421"/>
        <v>41981</v>
      </c>
      <c r="AG766" s="126">
        <f t="shared" ca="1" si="422"/>
        <v>0</v>
      </c>
      <c r="AH766" s="126">
        <f t="shared" ca="1" si="423"/>
        <v>0</v>
      </c>
      <c r="AI766" s="126">
        <f t="shared" ca="1" si="424"/>
        <v>0</v>
      </c>
      <c r="AJ766" t="str">
        <f t="shared" ca="1" si="425"/>
        <v>42087</v>
      </c>
      <c r="AK766" s="126">
        <f t="shared" ca="1" si="442"/>
        <v>0</v>
      </c>
      <c r="AL766" s="126">
        <f t="shared" ca="1" si="443"/>
        <v>0</v>
      </c>
      <c r="AM766" s="126">
        <f t="shared" ca="1" si="456"/>
        <v>0</v>
      </c>
      <c r="AN766" s="753">
        <f t="shared" ca="1" si="457"/>
        <v>0</v>
      </c>
      <c r="AO766" s="750">
        <f t="shared" ca="1" si="444"/>
        <v>0</v>
      </c>
      <c r="AP766" s="126">
        <f t="shared" ca="1" si="445"/>
        <v>0</v>
      </c>
      <c r="AQ766" s="126">
        <f t="shared" ca="1" si="446"/>
        <v>0</v>
      </c>
      <c r="AR766" s="126">
        <f t="shared" ca="1" si="426"/>
        <v>10000</v>
      </c>
      <c r="AS766" s="750">
        <f t="shared" ca="1" si="427"/>
        <v>0</v>
      </c>
      <c r="AT766" s="750">
        <f t="shared" ca="1" si="428"/>
        <v>0</v>
      </c>
      <c r="AU766" s="126">
        <f t="shared" ca="1" si="447"/>
        <v>0</v>
      </c>
      <c r="AV766" s="126">
        <f t="shared" ca="1" si="448"/>
        <v>0</v>
      </c>
      <c r="AW766" s="126">
        <f t="shared" ca="1" si="429"/>
        <v>10000</v>
      </c>
      <c r="AX766" s="750">
        <f t="shared" ca="1" si="449"/>
        <v>0</v>
      </c>
      <c r="AY766" s="750">
        <f t="shared" ca="1" si="450"/>
        <v>0</v>
      </c>
      <c r="AZ766">
        <f t="shared" si="451"/>
        <v>5750</v>
      </c>
    </row>
    <row r="767" spans="4:52">
      <c r="D767">
        <v>760</v>
      </c>
      <c r="E767" s="6">
        <f t="shared" ca="1" si="430"/>
        <v>29646</v>
      </c>
      <c r="F767" s="7">
        <f t="shared" ca="1" si="431"/>
        <v>0</v>
      </c>
      <c r="G767" s="125">
        <f ca="1">IF('Simulador - 1º Pilar'!$E$99="Sí",IF('Aportaciones PPE'!$B$13&lt;'Aportaciones PPE'!E767,0,F767*$B$8/12),F767*$B$8/12)</f>
        <v>0</v>
      </c>
      <c r="H767" s="125">
        <f t="shared" ca="1" si="420"/>
        <v>0</v>
      </c>
      <c r="I767" s="125">
        <f t="shared" ca="1" si="432"/>
        <v>0</v>
      </c>
      <c r="J767" s="125">
        <f t="shared" ca="1" si="433"/>
        <v>0</v>
      </c>
      <c r="K767" s="125">
        <f t="shared" ca="1" si="434"/>
        <v>0</v>
      </c>
      <c r="L767" s="125">
        <f t="shared" ca="1" si="452"/>
        <v>0</v>
      </c>
      <c r="M767" s="125">
        <f t="shared" ca="1" si="435"/>
        <v>0</v>
      </c>
      <c r="N767" s="125">
        <f t="shared" ca="1" si="436"/>
        <v>0</v>
      </c>
      <c r="R767">
        <f t="shared" si="453"/>
        <v>760</v>
      </c>
      <c r="U767" s="55"/>
      <c r="V767">
        <f t="shared" si="454"/>
        <v>5</v>
      </c>
      <c r="W767">
        <f t="shared" ca="1" si="455"/>
        <v>2087</v>
      </c>
      <c r="X767" s="123">
        <f t="shared" ca="1" si="437"/>
        <v>68423</v>
      </c>
      <c r="Y767" s="64">
        <f t="shared" ca="1" si="438"/>
        <v>0</v>
      </c>
      <c r="Z767" s="64">
        <f t="shared" ca="1" si="439"/>
        <v>0</v>
      </c>
      <c r="AA767" s="64">
        <f t="shared" ca="1" si="440"/>
        <v>0</v>
      </c>
      <c r="AB767" s="64">
        <f t="shared" ca="1" si="441"/>
        <v>0</v>
      </c>
      <c r="AF767" t="str">
        <f t="shared" ca="1" si="421"/>
        <v>31981</v>
      </c>
      <c r="AG767" s="126">
        <f t="shared" ca="1" si="422"/>
        <v>0</v>
      </c>
      <c r="AH767" s="126">
        <f t="shared" ca="1" si="423"/>
        <v>0</v>
      </c>
      <c r="AI767" s="126">
        <f t="shared" ca="1" si="424"/>
        <v>0</v>
      </c>
      <c r="AJ767" t="str">
        <f t="shared" ca="1" si="425"/>
        <v>52087</v>
      </c>
      <c r="AK767" s="126">
        <f t="shared" ca="1" si="442"/>
        <v>0</v>
      </c>
      <c r="AL767" s="126">
        <f t="shared" ca="1" si="443"/>
        <v>0</v>
      </c>
      <c r="AM767" s="126">
        <f t="shared" ca="1" si="456"/>
        <v>0</v>
      </c>
      <c r="AN767" s="753">
        <f t="shared" ca="1" si="457"/>
        <v>0</v>
      </c>
      <c r="AO767" s="750">
        <f t="shared" ca="1" si="444"/>
        <v>0</v>
      </c>
      <c r="AP767" s="126">
        <f t="shared" ca="1" si="445"/>
        <v>0</v>
      </c>
      <c r="AQ767" s="126">
        <f t="shared" ca="1" si="446"/>
        <v>0</v>
      </c>
      <c r="AR767" s="126">
        <f t="shared" ca="1" si="426"/>
        <v>10000</v>
      </c>
      <c r="AS767" s="750">
        <f t="shared" ca="1" si="427"/>
        <v>0</v>
      </c>
      <c r="AT767" s="750">
        <f t="shared" ca="1" si="428"/>
        <v>0</v>
      </c>
      <c r="AU767" s="126">
        <f t="shared" ca="1" si="447"/>
        <v>0</v>
      </c>
      <c r="AV767" s="126">
        <f t="shared" ca="1" si="448"/>
        <v>0</v>
      </c>
      <c r="AW767" s="126">
        <f t="shared" ca="1" si="429"/>
        <v>10000</v>
      </c>
      <c r="AX767" s="750">
        <f t="shared" ca="1" si="449"/>
        <v>0</v>
      </c>
      <c r="AY767" s="750">
        <f t="shared" ca="1" si="450"/>
        <v>0</v>
      </c>
      <c r="AZ767">
        <f t="shared" si="451"/>
        <v>5750</v>
      </c>
    </row>
    <row r="768" spans="4:52">
      <c r="D768">
        <v>761</v>
      </c>
      <c r="E768" s="6">
        <f t="shared" ca="1" si="430"/>
        <v>29618</v>
      </c>
      <c r="F768" s="7">
        <f t="shared" ca="1" si="431"/>
        <v>0</v>
      </c>
      <c r="G768" s="125">
        <f ca="1">IF('Simulador - 1º Pilar'!$E$99="Sí",IF('Aportaciones PPE'!$B$13&lt;'Aportaciones PPE'!E768,0,F768*$B$8/12),F768*$B$8/12)</f>
        <v>0</v>
      </c>
      <c r="H768" s="125">
        <f t="shared" ca="1" si="420"/>
        <v>0</v>
      </c>
      <c r="I768" s="125">
        <f t="shared" ca="1" si="432"/>
        <v>0</v>
      </c>
      <c r="J768" s="125">
        <f t="shared" ca="1" si="433"/>
        <v>0</v>
      </c>
      <c r="K768" s="125">
        <f t="shared" ca="1" si="434"/>
        <v>0</v>
      </c>
      <c r="L768" s="125">
        <f t="shared" ca="1" si="452"/>
        <v>0</v>
      </c>
      <c r="M768" s="125">
        <f t="shared" ca="1" si="435"/>
        <v>0</v>
      </c>
      <c r="N768" s="125">
        <f t="shared" ca="1" si="436"/>
        <v>0</v>
      </c>
      <c r="R768">
        <f t="shared" si="453"/>
        <v>761</v>
      </c>
      <c r="U768" s="55"/>
      <c r="V768">
        <f t="shared" si="454"/>
        <v>6</v>
      </c>
      <c r="W768">
        <f t="shared" ca="1" si="455"/>
        <v>2087</v>
      </c>
      <c r="X768" s="123">
        <f t="shared" ca="1" si="437"/>
        <v>68454</v>
      </c>
      <c r="Y768" s="64">
        <f t="shared" ca="1" si="438"/>
        <v>0</v>
      </c>
      <c r="Z768" s="64">
        <f t="shared" ca="1" si="439"/>
        <v>0</v>
      </c>
      <c r="AA768" s="64">
        <f t="shared" ca="1" si="440"/>
        <v>0</v>
      </c>
      <c r="AB768" s="64">
        <f t="shared" ca="1" si="441"/>
        <v>0</v>
      </c>
      <c r="AF768" t="str">
        <f t="shared" ca="1" si="421"/>
        <v>21981</v>
      </c>
      <c r="AG768" s="126">
        <f t="shared" ca="1" si="422"/>
        <v>0</v>
      </c>
      <c r="AH768" s="126">
        <f t="shared" ca="1" si="423"/>
        <v>0</v>
      </c>
      <c r="AI768" s="126">
        <f t="shared" ca="1" si="424"/>
        <v>0</v>
      </c>
      <c r="AJ768" t="str">
        <f t="shared" ca="1" si="425"/>
        <v>62087</v>
      </c>
      <c r="AK768" s="126">
        <f t="shared" ca="1" si="442"/>
        <v>0</v>
      </c>
      <c r="AL768" s="126">
        <f t="shared" ca="1" si="443"/>
        <v>0</v>
      </c>
      <c r="AM768" s="126">
        <f t="shared" ca="1" si="456"/>
        <v>0</v>
      </c>
      <c r="AN768" s="753">
        <f t="shared" ca="1" si="457"/>
        <v>0</v>
      </c>
      <c r="AO768" s="750">
        <f t="shared" ca="1" si="444"/>
        <v>0</v>
      </c>
      <c r="AP768" s="126">
        <f t="shared" ca="1" si="445"/>
        <v>0</v>
      </c>
      <c r="AQ768" s="126">
        <f t="shared" ca="1" si="446"/>
        <v>0</v>
      </c>
      <c r="AR768" s="126">
        <f t="shared" ca="1" si="426"/>
        <v>10000</v>
      </c>
      <c r="AS768" s="750">
        <f t="shared" ca="1" si="427"/>
        <v>0</v>
      </c>
      <c r="AT768" s="750">
        <f t="shared" ca="1" si="428"/>
        <v>0</v>
      </c>
      <c r="AU768" s="126">
        <f t="shared" ca="1" si="447"/>
        <v>0</v>
      </c>
      <c r="AV768" s="126">
        <f t="shared" ca="1" si="448"/>
        <v>0</v>
      </c>
      <c r="AW768" s="126">
        <f t="shared" ca="1" si="429"/>
        <v>10000</v>
      </c>
      <c r="AX768" s="750">
        <f t="shared" ca="1" si="449"/>
        <v>0</v>
      </c>
      <c r="AY768" s="750">
        <f t="shared" ca="1" si="450"/>
        <v>0</v>
      </c>
      <c r="AZ768">
        <f t="shared" si="451"/>
        <v>5750</v>
      </c>
    </row>
    <row r="769" spans="4:52">
      <c r="D769">
        <v>762</v>
      </c>
      <c r="E769" s="6">
        <f t="shared" ca="1" si="430"/>
        <v>29587</v>
      </c>
      <c r="F769" s="7">
        <f t="shared" ca="1" si="431"/>
        <v>0</v>
      </c>
      <c r="G769" s="125">
        <f ca="1">IF('Simulador - 1º Pilar'!$E$99="Sí",IF('Aportaciones PPE'!$B$13&lt;'Aportaciones PPE'!E769,0,F769*$B$8/12),F769*$B$8/12)</f>
        <v>0</v>
      </c>
      <c r="H769" s="125">
        <f t="shared" ca="1" si="420"/>
        <v>0</v>
      </c>
      <c r="I769" s="125">
        <f t="shared" ca="1" si="432"/>
        <v>0</v>
      </c>
      <c r="J769" s="125">
        <f t="shared" ca="1" si="433"/>
        <v>0</v>
      </c>
      <c r="K769" s="125">
        <f t="shared" ca="1" si="434"/>
        <v>0</v>
      </c>
      <c r="L769" s="125">
        <f t="shared" ca="1" si="452"/>
        <v>0</v>
      </c>
      <c r="M769" s="125">
        <f t="shared" ca="1" si="435"/>
        <v>0</v>
      </c>
      <c r="N769" s="125">
        <f t="shared" ca="1" si="436"/>
        <v>0</v>
      </c>
      <c r="R769">
        <f t="shared" si="453"/>
        <v>762</v>
      </c>
      <c r="U769" s="55"/>
      <c r="V769">
        <f t="shared" si="454"/>
        <v>7</v>
      </c>
      <c r="W769">
        <f t="shared" ca="1" si="455"/>
        <v>2087</v>
      </c>
      <c r="X769" s="123">
        <f t="shared" ca="1" si="437"/>
        <v>68484</v>
      </c>
      <c r="Y769" s="64">
        <f t="shared" ca="1" si="438"/>
        <v>0</v>
      </c>
      <c r="Z769" s="64">
        <f t="shared" ca="1" si="439"/>
        <v>0</v>
      </c>
      <c r="AA769" s="64">
        <f t="shared" ca="1" si="440"/>
        <v>0</v>
      </c>
      <c r="AB769" s="64">
        <f t="shared" ca="1" si="441"/>
        <v>0</v>
      </c>
      <c r="AF769" t="str">
        <f t="shared" ca="1" si="421"/>
        <v>11981</v>
      </c>
      <c r="AG769" s="126">
        <f t="shared" ca="1" si="422"/>
        <v>0</v>
      </c>
      <c r="AH769" s="126">
        <f t="shared" ca="1" si="423"/>
        <v>0</v>
      </c>
      <c r="AI769" s="126">
        <f t="shared" ca="1" si="424"/>
        <v>0</v>
      </c>
      <c r="AJ769" t="str">
        <f t="shared" ca="1" si="425"/>
        <v>72087</v>
      </c>
      <c r="AK769" s="126">
        <f t="shared" ca="1" si="442"/>
        <v>0</v>
      </c>
      <c r="AL769" s="126">
        <f t="shared" ca="1" si="443"/>
        <v>0</v>
      </c>
      <c r="AM769" s="126">
        <f t="shared" ca="1" si="456"/>
        <v>0</v>
      </c>
      <c r="AN769" s="753">
        <f t="shared" ca="1" si="457"/>
        <v>0</v>
      </c>
      <c r="AO769" s="750">
        <f t="shared" ca="1" si="444"/>
        <v>0</v>
      </c>
      <c r="AP769" s="126">
        <f t="shared" ca="1" si="445"/>
        <v>0</v>
      </c>
      <c r="AQ769" s="126">
        <f t="shared" ca="1" si="446"/>
        <v>0</v>
      </c>
      <c r="AR769" s="126">
        <f t="shared" ca="1" si="426"/>
        <v>10000</v>
      </c>
      <c r="AS769" s="750">
        <f t="shared" ca="1" si="427"/>
        <v>0</v>
      </c>
      <c r="AT769" s="750">
        <f t="shared" ca="1" si="428"/>
        <v>0</v>
      </c>
      <c r="AU769" s="126">
        <f t="shared" ca="1" si="447"/>
        <v>0</v>
      </c>
      <c r="AV769" s="126">
        <f t="shared" ca="1" si="448"/>
        <v>0</v>
      </c>
      <c r="AW769" s="126">
        <f t="shared" ca="1" si="429"/>
        <v>10000</v>
      </c>
      <c r="AX769" s="750">
        <f t="shared" ca="1" si="449"/>
        <v>0</v>
      </c>
      <c r="AY769" s="750">
        <f t="shared" ca="1" si="450"/>
        <v>0</v>
      </c>
      <c r="AZ769">
        <f t="shared" si="451"/>
        <v>5750</v>
      </c>
    </row>
    <row r="770" spans="4:52">
      <c r="D770">
        <v>763</v>
      </c>
      <c r="E770" s="6">
        <f t="shared" ca="1" si="430"/>
        <v>29556</v>
      </c>
      <c r="F770" s="7">
        <f t="shared" ca="1" si="431"/>
        <v>0</v>
      </c>
      <c r="G770" s="125">
        <f ca="1">IF('Simulador - 1º Pilar'!$E$99="Sí",IF('Aportaciones PPE'!$B$13&lt;'Aportaciones PPE'!E770,0,F770*$B$8/12),F770*$B$8/12)</f>
        <v>0</v>
      </c>
      <c r="H770" s="125">
        <f t="shared" ca="1" si="420"/>
        <v>0</v>
      </c>
      <c r="I770" s="125">
        <f t="shared" ca="1" si="432"/>
        <v>0</v>
      </c>
      <c r="J770" s="125">
        <f t="shared" ca="1" si="433"/>
        <v>0</v>
      </c>
      <c r="K770" s="125">
        <f t="shared" ca="1" si="434"/>
        <v>0</v>
      </c>
      <c r="L770" s="125">
        <f t="shared" ca="1" si="452"/>
        <v>0</v>
      </c>
      <c r="M770" s="125">
        <f t="shared" ca="1" si="435"/>
        <v>0</v>
      </c>
      <c r="N770" s="125">
        <f t="shared" ca="1" si="436"/>
        <v>0</v>
      </c>
      <c r="R770">
        <f t="shared" si="453"/>
        <v>763</v>
      </c>
      <c r="U770" s="55"/>
      <c r="V770">
        <f t="shared" si="454"/>
        <v>8</v>
      </c>
      <c r="W770">
        <f t="shared" ca="1" si="455"/>
        <v>2087</v>
      </c>
      <c r="X770" s="123">
        <f t="shared" ca="1" si="437"/>
        <v>68515</v>
      </c>
      <c r="Y770" s="64">
        <f t="shared" ca="1" si="438"/>
        <v>0</v>
      </c>
      <c r="Z770" s="64">
        <f t="shared" ca="1" si="439"/>
        <v>0</v>
      </c>
      <c r="AA770" s="64">
        <f t="shared" ca="1" si="440"/>
        <v>0</v>
      </c>
      <c r="AB770" s="64">
        <f t="shared" ca="1" si="441"/>
        <v>0</v>
      </c>
      <c r="AF770" t="str">
        <f t="shared" ca="1" si="421"/>
        <v>121980</v>
      </c>
      <c r="AG770" s="126">
        <f t="shared" ca="1" si="422"/>
        <v>0</v>
      </c>
      <c r="AH770" s="126">
        <f t="shared" ca="1" si="423"/>
        <v>0</v>
      </c>
      <c r="AI770" s="126">
        <f t="shared" ca="1" si="424"/>
        <v>0</v>
      </c>
      <c r="AJ770" t="str">
        <f t="shared" ca="1" si="425"/>
        <v>82087</v>
      </c>
      <c r="AK770" s="126">
        <f t="shared" ca="1" si="442"/>
        <v>0</v>
      </c>
      <c r="AL770" s="126">
        <f t="shared" ca="1" si="443"/>
        <v>0</v>
      </c>
      <c r="AM770" s="126">
        <f t="shared" ca="1" si="456"/>
        <v>0</v>
      </c>
      <c r="AN770" s="753">
        <f t="shared" ca="1" si="457"/>
        <v>0</v>
      </c>
      <c r="AO770" s="750">
        <f t="shared" ca="1" si="444"/>
        <v>0</v>
      </c>
      <c r="AP770" s="126">
        <f t="shared" ca="1" si="445"/>
        <v>0</v>
      </c>
      <c r="AQ770" s="126">
        <f t="shared" ca="1" si="446"/>
        <v>0</v>
      </c>
      <c r="AR770" s="126">
        <f t="shared" ca="1" si="426"/>
        <v>10000</v>
      </c>
      <c r="AS770" s="750">
        <f t="shared" ca="1" si="427"/>
        <v>0</v>
      </c>
      <c r="AT770" s="750">
        <f t="shared" ca="1" si="428"/>
        <v>0</v>
      </c>
      <c r="AU770" s="126">
        <f t="shared" ca="1" si="447"/>
        <v>0</v>
      </c>
      <c r="AV770" s="126">
        <f t="shared" ca="1" si="448"/>
        <v>0</v>
      </c>
      <c r="AW770" s="126">
        <f t="shared" ca="1" si="429"/>
        <v>10000</v>
      </c>
      <c r="AX770" s="750">
        <f t="shared" ca="1" si="449"/>
        <v>0</v>
      </c>
      <c r="AY770" s="750">
        <f t="shared" ca="1" si="450"/>
        <v>0</v>
      </c>
      <c r="AZ770">
        <f t="shared" si="451"/>
        <v>5750</v>
      </c>
    </row>
    <row r="771" spans="4:52">
      <c r="D771">
        <v>764</v>
      </c>
      <c r="E771" s="6">
        <f t="shared" ca="1" si="430"/>
        <v>29526</v>
      </c>
      <c r="F771" s="7">
        <f t="shared" ca="1" si="431"/>
        <v>0</v>
      </c>
      <c r="G771" s="125">
        <f ca="1">IF('Simulador - 1º Pilar'!$E$99="Sí",IF('Aportaciones PPE'!$B$13&lt;'Aportaciones PPE'!E771,0,F771*$B$8/12),F771*$B$8/12)</f>
        <v>0</v>
      </c>
      <c r="H771" s="125">
        <f t="shared" ca="1" si="420"/>
        <v>0</v>
      </c>
      <c r="I771" s="125">
        <f t="shared" ca="1" si="432"/>
        <v>0</v>
      </c>
      <c r="J771" s="125">
        <f t="shared" ca="1" si="433"/>
        <v>0</v>
      </c>
      <c r="K771" s="125">
        <f t="shared" ca="1" si="434"/>
        <v>0</v>
      </c>
      <c r="L771" s="125">
        <f t="shared" ca="1" si="452"/>
        <v>0</v>
      </c>
      <c r="M771" s="125">
        <f t="shared" ca="1" si="435"/>
        <v>0</v>
      </c>
      <c r="N771" s="125">
        <f t="shared" ca="1" si="436"/>
        <v>0</v>
      </c>
      <c r="R771">
        <f t="shared" si="453"/>
        <v>764</v>
      </c>
      <c r="U771" s="55"/>
      <c r="V771">
        <f t="shared" si="454"/>
        <v>9</v>
      </c>
      <c r="W771">
        <f t="shared" ca="1" si="455"/>
        <v>2087</v>
      </c>
      <c r="X771" s="123">
        <f t="shared" ca="1" si="437"/>
        <v>68546</v>
      </c>
      <c r="Y771" s="64">
        <f t="shared" ca="1" si="438"/>
        <v>0</v>
      </c>
      <c r="Z771" s="64">
        <f t="shared" ca="1" si="439"/>
        <v>0</v>
      </c>
      <c r="AA771" s="64">
        <f t="shared" ca="1" si="440"/>
        <v>0</v>
      </c>
      <c r="AB771" s="64">
        <f t="shared" ca="1" si="441"/>
        <v>0</v>
      </c>
      <c r="AF771" t="str">
        <f t="shared" ca="1" si="421"/>
        <v>111980</v>
      </c>
      <c r="AG771" s="126">
        <f t="shared" ca="1" si="422"/>
        <v>0</v>
      </c>
      <c r="AH771" s="126">
        <f t="shared" ca="1" si="423"/>
        <v>0</v>
      </c>
      <c r="AI771" s="126">
        <f t="shared" ca="1" si="424"/>
        <v>0</v>
      </c>
      <c r="AJ771" t="str">
        <f t="shared" ca="1" si="425"/>
        <v>92087</v>
      </c>
      <c r="AK771" s="126">
        <f t="shared" ca="1" si="442"/>
        <v>0</v>
      </c>
      <c r="AL771" s="126">
        <f t="shared" ca="1" si="443"/>
        <v>0</v>
      </c>
      <c r="AM771" s="126">
        <f t="shared" ca="1" si="456"/>
        <v>0</v>
      </c>
      <c r="AN771" s="753">
        <f t="shared" ca="1" si="457"/>
        <v>0</v>
      </c>
      <c r="AO771" s="750">
        <f t="shared" ca="1" si="444"/>
        <v>0</v>
      </c>
      <c r="AP771" s="126">
        <f t="shared" ca="1" si="445"/>
        <v>0</v>
      </c>
      <c r="AQ771" s="126">
        <f t="shared" ca="1" si="446"/>
        <v>0</v>
      </c>
      <c r="AR771" s="126">
        <f t="shared" ca="1" si="426"/>
        <v>10000</v>
      </c>
      <c r="AS771" s="750">
        <f t="shared" ca="1" si="427"/>
        <v>0</v>
      </c>
      <c r="AT771" s="750">
        <f t="shared" ca="1" si="428"/>
        <v>0</v>
      </c>
      <c r="AU771" s="126">
        <f t="shared" ca="1" si="447"/>
        <v>0</v>
      </c>
      <c r="AV771" s="126">
        <f t="shared" ca="1" si="448"/>
        <v>0</v>
      </c>
      <c r="AW771" s="126">
        <f t="shared" ca="1" si="429"/>
        <v>10000</v>
      </c>
      <c r="AX771" s="750">
        <f t="shared" ca="1" si="449"/>
        <v>0</v>
      </c>
      <c r="AY771" s="750">
        <f t="shared" ca="1" si="450"/>
        <v>0</v>
      </c>
      <c r="AZ771">
        <f t="shared" si="451"/>
        <v>5750</v>
      </c>
    </row>
    <row r="772" spans="4:52">
      <c r="D772">
        <v>765</v>
      </c>
      <c r="E772" s="6">
        <f t="shared" ca="1" si="430"/>
        <v>29495</v>
      </c>
      <c r="F772" s="7">
        <f t="shared" ca="1" si="431"/>
        <v>0</v>
      </c>
      <c r="G772" s="125">
        <f ca="1">IF('Simulador - 1º Pilar'!$E$99="Sí",IF('Aportaciones PPE'!$B$13&lt;'Aportaciones PPE'!E772,0,F772*$B$8/12),F772*$B$8/12)</f>
        <v>0</v>
      </c>
      <c r="H772" s="125">
        <f t="shared" ca="1" si="420"/>
        <v>0</v>
      </c>
      <c r="I772" s="125">
        <f t="shared" ca="1" si="432"/>
        <v>0</v>
      </c>
      <c r="J772" s="125">
        <f t="shared" ca="1" si="433"/>
        <v>0</v>
      </c>
      <c r="K772" s="125">
        <f t="shared" ca="1" si="434"/>
        <v>0</v>
      </c>
      <c r="L772" s="125">
        <f t="shared" ca="1" si="452"/>
        <v>0</v>
      </c>
      <c r="M772" s="125">
        <f t="shared" ca="1" si="435"/>
        <v>0</v>
      </c>
      <c r="N772" s="125">
        <f t="shared" ca="1" si="436"/>
        <v>0</v>
      </c>
      <c r="R772">
        <f t="shared" si="453"/>
        <v>765</v>
      </c>
      <c r="U772" s="55"/>
      <c r="V772">
        <f t="shared" si="454"/>
        <v>10</v>
      </c>
      <c r="W772">
        <f t="shared" ca="1" si="455"/>
        <v>2087</v>
      </c>
      <c r="X772" s="123">
        <f t="shared" ca="1" si="437"/>
        <v>68576</v>
      </c>
      <c r="Y772" s="64">
        <f t="shared" ca="1" si="438"/>
        <v>0</v>
      </c>
      <c r="Z772" s="64">
        <f t="shared" ca="1" si="439"/>
        <v>0</v>
      </c>
      <c r="AA772" s="64">
        <f t="shared" ca="1" si="440"/>
        <v>0</v>
      </c>
      <c r="AB772" s="64">
        <f t="shared" ca="1" si="441"/>
        <v>0</v>
      </c>
      <c r="AF772" t="str">
        <f t="shared" ca="1" si="421"/>
        <v>101980</v>
      </c>
      <c r="AG772" s="126">
        <f t="shared" ca="1" si="422"/>
        <v>0</v>
      </c>
      <c r="AH772" s="126">
        <f t="shared" ca="1" si="423"/>
        <v>0</v>
      </c>
      <c r="AI772" s="126">
        <f t="shared" ca="1" si="424"/>
        <v>0</v>
      </c>
      <c r="AJ772" t="str">
        <f t="shared" ca="1" si="425"/>
        <v>102087</v>
      </c>
      <c r="AK772" s="126">
        <f t="shared" ca="1" si="442"/>
        <v>0</v>
      </c>
      <c r="AL772" s="126">
        <f t="shared" ca="1" si="443"/>
        <v>0</v>
      </c>
      <c r="AM772" s="126">
        <f t="shared" ca="1" si="456"/>
        <v>0</v>
      </c>
      <c r="AN772" s="753">
        <f t="shared" ca="1" si="457"/>
        <v>0</v>
      </c>
      <c r="AO772" s="750">
        <f t="shared" ca="1" si="444"/>
        <v>0</v>
      </c>
      <c r="AP772" s="126">
        <f t="shared" ca="1" si="445"/>
        <v>0</v>
      </c>
      <c r="AQ772" s="126">
        <f t="shared" ca="1" si="446"/>
        <v>0</v>
      </c>
      <c r="AR772" s="126">
        <f t="shared" ca="1" si="426"/>
        <v>10000</v>
      </c>
      <c r="AS772" s="750">
        <f t="shared" ca="1" si="427"/>
        <v>0</v>
      </c>
      <c r="AT772" s="750">
        <f t="shared" ca="1" si="428"/>
        <v>0</v>
      </c>
      <c r="AU772" s="126">
        <f t="shared" ca="1" si="447"/>
        <v>0</v>
      </c>
      <c r="AV772" s="126">
        <f t="shared" ca="1" si="448"/>
        <v>0</v>
      </c>
      <c r="AW772" s="126">
        <f t="shared" ca="1" si="429"/>
        <v>10000</v>
      </c>
      <c r="AX772" s="750">
        <f t="shared" ca="1" si="449"/>
        <v>0</v>
      </c>
      <c r="AY772" s="750">
        <f t="shared" ca="1" si="450"/>
        <v>0</v>
      </c>
      <c r="AZ772">
        <f t="shared" si="451"/>
        <v>5750</v>
      </c>
    </row>
    <row r="773" spans="4:52">
      <c r="D773">
        <v>766</v>
      </c>
      <c r="E773" s="6">
        <f t="shared" ca="1" si="430"/>
        <v>29465</v>
      </c>
      <c r="F773" s="7">
        <f t="shared" ca="1" si="431"/>
        <v>0</v>
      </c>
      <c r="G773" s="125">
        <f ca="1">IF('Simulador - 1º Pilar'!$E$99="Sí",IF('Aportaciones PPE'!$B$13&lt;'Aportaciones PPE'!E773,0,F773*$B$8/12),F773*$B$8/12)</f>
        <v>0</v>
      </c>
      <c r="H773" s="125">
        <f t="shared" ca="1" si="420"/>
        <v>0</v>
      </c>
      <c r="I773" s="125">
        <f t="shared" ca="1" si="432"/>
        <v>0</v>
      </c>
      <c r="J773" s="125">
        <f t="shared" ca="1" si="433"/>
        <v>0</v>
      </c>
      <c r="K773" s="125">
        <f t="shared" ca="1" si="434"/>
        <v>0</v>
      </c>
      <c r="L773" s="125">
        <f t="shared" ca="1" si="452"/>
        <v>0</v>
      </c>
      <c r="M773" s="125">
        <f t="shared" ca="1" si="435"/>
        <v>0</v>
      </c>
      <c r="N773" s="125">
        <f t="shared" ca="1" si="436"/>
        <v>0</v>
      </c>
      <c r="R773">
        <f t="shared" si="453"/>
        <v>766</v>
      </c>
      <c r="U773" s="55"/>
      <c r="V773">
        <f t="shared" si="454"/>
        <v>11</v>
      </c>
      <c r="W773">
        <f t="shared" ca="1" si="455"/>
        <v>2087</v>
      </c>
      <c r="X773" s="123">
        <f t="shared" ca="1" si="437"/>
        <v>68607</v>
      </c>
      <c r="Y773" s="64">
        <f t="shared" ca="1" si="438"/>
        <v>0</v>
      </c>
      <c r="Z773" s="64">
        <f t="shared" ca="1" si="439"/>
        <v>0</v>
      </c>
      <c r="AA773" s="64">
        <f t="shared" ca="1" si="440"/>
        <v>0</v>
      </c>
      <c r="AB773" s="64">
        <f t="shared" ca="1" si="441"/>
        <v>0</v>
      </c>
      <c r="AF773" t="str">
        <f t="shared" ca="1" si="421"/>
        <v>91980</v>
      </c>
      <c r="AG773" s="126">
        <f t="shared" ca="1" si="422"/>
        <v>0</v>
      </c>
      <c r="AH773" s="126">
        <f t="shared" ca="1" si="423"/>
        <v>0</v>
      </c>
      <c r="AI773" s="126">
        <f t="shared" ca="1" si="424"/>
        <v>0</v>
      </c>
      <c r="AJ773" t="str">
        <f t="shared" ca="1" si="425"/>
        <v>112087</v>
      </c>
      <c r="AK773" s="126">
        <f t="shared" ca="1" si="442"/>
        <v>0</v>
      </c>
      <c r="AL773" s="126">
        <f t="shared" ca="1" si="443"/>
        <v>0</v>
      </c>
      <c r="AM773" s="126">
        <f t="shared" ca="1" si="456"/>
        <v>0</v>
      </c>
      <c r="AN773" s="753">
        <f t="shared" ca="1" si="457"/>
        <v>0</v>
      </c>
      <c r="AO773" s="750">
        <f t="shared" ca="1" si="444"/>
        <v>0</v>
      </c>
      <c r="AP773" s="126">
        <f t="shared" ca="1" si="445"/>
        <v>0</v>
      </c>
      <c r="AQ773" s="126">
        <f t="shared" ca="1" si="446"/>
        <v>0</v>
      </c>
      <c r="AR773" s="126">
        <f t="shared" ca="1" si="426"/>
        <v>10000</v>
      </c>
      <c r="AS773" s="750">
        <f t="shared" ca="1" si="427"/>
        <v>0</v>
      </c>
      <c r="AT773" s="750">
        <f t="shared" ca="1" si="428"/>
        <v>0</v>
      </c>
      <c r="AU773" s="126">
        <f t="shared" ca="1" si="447"/>
        <v>0</v>
      </c>
      <c r="AV773" s="126">
        <f t="shared" ca="1" si="448"/>
        <v>0</v>
      </c>
      <c r="AW773" s="126">
        <f t="shared" ca="1" si="429"/>
        <v>10000</v>
      </c>
      <c r="AX773" s="750">
        <f t="shared" ca="1" si="449"/>
        <v>0</v>
      </c>
      <c r="AY773" s="750">
        <f t="shared" ca="1" si="450"/>
        <v>0</v>
      </c>
      <c r="AZ773">
        <f t="shared" si="451"/>
        <v>5750</v>
      </c>
    </row>
    <row r="774" spans="4:52">
      <c r="D774">
        <v>767</v>
      </c>
      <c r="E774" s="6">
        <f t="shared" ca="1" si="430"/>
        <v>29434</v>
      </c>
      <c r="F774" s="7">
        <f t="shared" ca="1" si="431"/>
        <v>0</v>
      </c>
      <c r="G774" s="125">
        <f ca="1">IF('Simulador - 1º Pilar'!$E$99="Sí",IF('Aportaciones PPE'!$B$13&lt;'Aportaciones PPE'!E774,0,F774*$B$8/12),F774*$B$8/12)</f>
        <v>0</v>
      </c>
      <c r="H774" s="125">
        <f t="shared" ca="1" si="420"/>
        <v>0</v>
      </c>
      <c r="I774" s="125">
        <f t="shared" ca="1" si="432"/>
        <v>0</v>
      </c>
      <c r="J774" s="125">
        <f t="shared" ca="1" si="433"/>
        <v>0</v>
      </c>
      <c r="K774" s="125">
        <f t="shared" ca="1" si="434"/>
        <v>0</v>
      </c>
      <c r="L774" s="125">
        <f t="shared" ca="1" si="452"/>
        <v>0</v>
      </c>
      <c r="M774" s="125">
        <f t="shared" ca="1" si="435"/>
        <v>0</v>
      </c>
      <c r="N774" s="125">
        <f t="shared" ca="1" si="436"/>
        <v>0</v>
      </c>
      <c r="R774">
        <f t="shared" si="453"/>
        <v>767</v>
      </c>
      <c r="U774" s="55"/>
      <c r="V774">
        <f t="shared" si="454"/>
        <v>12</v>
      </c>
      <c r="W774">
        <f t="shared" ca="1" si="455"/>
        <v>2087</v>
      </c>
      <c r="X774" s="123">
        <f t="shared" ca="1" si="437"/>
        <v>68637</v>
      </c>
      <c r="Y774" s="64">
        <f t="shared" ca="1" si="438"/>
        <v>0</v>
      </c>
      <c r="Z774" s="64">
        <f t="shared" ca="1" si="439"/>
        <v>0</v>
      </c>
      <c r="AA774" s="64">
        <f t="shared" ca="1" si="440"/>
        <v>0</v>
      </c>
      <c r="AB774" s="64">
        <f t="shared" ca="1" si="441"/>
        <v>0</v>
      </c>
      <c r="AF774" t="str">
        <f t="shared" ca="1" si="421"/>
        <v>81980</v>
      </c>
      <c r="AG774" s="126">
        <f t="shared" ca="1" si="422"/>
        <v>0</v>
      </c>
      <c r="AH774" s="126">
        <f t="shared" ca="1" si="423"/>
        <v>0</v>
      </c>
      <c r="AI774" s="126">
        <f t="shared" ca="1" si="424"/>
        <v>0</v>
      </c>
      <c r="AJ774" t="str">
        <f t="shared" ca="1" si="425"/>
        <v>122087</v>
      </c>
      <c r="AK774" s="126">
        <f t="shared" ca="1" si="442"/>
        <v>0</v>
      </c>
      <c r="AL774" s="126">
        <f t="shared" ca="1" si="443"/>
        <v>0</v>
      </c>
      <c r="AM774" s="126">
        <f t="shared" ca="1" si="456"/>
        <v>0</v>
      </c>
      <c r="AN774" s="753">
        <f t="shared" ca="1" si="457"/>
        <v>0</v>
      </c>
      <c r="AO774" s="750">
        <f t="shared" ca="1" si="444"/>
        <v>0</v>
      </c>
      <c r="AP774" s="126">
        <f t="shared" ca="1" si="445"/>
        <v>0</v>
      </c>
      <c r="AQ774" s="126">
        <f t="shared" ca="1" si="446"/>
        <v>0</v>
      </c>
      <c r="AR774" s="126">
        <f t="shared" ca="1" si="426"/>
        <v>10000</v>
      </c>
      <c r="AS774" s="750">
        <f t="shared" ca="1" si="427"/>
        <v>0</v>
      </c>
      <c r="AT774" s="750">
        <f t="shared" ca="1" si="428"/>
        <v>0</v>
      </c>
      <c r="AU774" s="126">
        <f t="shared" ca="1" si="447"/>
        <v>0</v>
      </c>
      <c r="AV774" s="126">
        <f t="shared" ca="1" si="448"/>
        <v>0</v>
      </c>
      <c r="AW774" s="126">
        <f t="shared" ca="1" si="429"/>
        <v>10000</v>
      </c>
      <c r="AX774" s="750">
        <f t="shared" ca="1" si="449"/>
        <v>0</v>
      </c>
      <c r="AY774" s="750">
        <f t="shared" ca="1" si="450"/>
        <v>0</v>
      </c>
      <c r="AZ774">
        <f t="shared" si="451"/>
        <v>5750</v>
      </c>
    </row>
    <row r="775" spans="4:52">
      <c r="D775">
        <v>768</v>
      </c>
      <c r="E775" s="6">
        <f t="shared" ca="1" si="430"/>
        <v>29403</v>
      </c>
      <c r="F775" s="7">
        <f t="shared" ca="1" si="431"/>
        <v>0</v>
      </c>
      <c r="G775" s="125">
        <f ca="1">IF('Simulador - 1º Pilar'!$E$99="Sí",IF('Aportaciones PPE'!$B$13&lt;'Aportaciones PPE'!E775,0,F775*$B$8/12),F775*$B$8/12)</f>
        <v>0</v>
      </c>
      <c r="H775" s="125">
        <f t="shared" ref="H775:H838" ca="1" si="458">$H$5*G775</f>
        <v>0</v>
      </c>
      <c r="I775" s="125">
        <f t="shared" ca="1" si="432"/>
        <v>0</v>
      </c>
      <c r="J775" s="125">
        <f t="shared" ca="1" si="433"/>
        <v>0</v>
      </c>
      <c r="K775" s="125">
        <f t="shared" ca="1" si="434"/>
        <v>0</v>
      </c>
      <c r="L775" s="125">
        <f t="shared" ca="1" si="452"/>
        <v>0</v>
      </c>
      <c r="M775" s="125">
        <f t="shared" ca="1" si="435"/>
        <v>0</v>
      </c>
      <c r="N775" s="125">
        <f t="shared" ca="1" si="436"/>
        <v>0</v>
      </c>
      <c r="R775">
        <f t="shared" si="453"/>
        <v>768</v>
      </c>
      <c r="U775" s="55"/>
      <c r="V775">
        <f t="shared" si="454"/>
        <v>1</v>
      </c>
      <c r="W775">
        <f t="shared" ca="1" si="455"/>
        <v>2088</v>
      </c>
      <c r="X775" s="123">
        <f t="shared" ca="1" si="437"/>
        <v>68668</v>
      </c>
      <c r="Y775" s="64">
        <f t="shared" ca="1" si="438"/>
        <v>0</v>
      </c>
      <c r="Z775" s="64">
        <f t="shared" ca="1" si="439"/>
        <v>0</v>
      </c>
      <c r="AA775" s="64">
        <f t="shared" ca="1" si="440"/>
        <v>0</v>
      </c>
      <c r="AB775" s="64">
        <f t="shared" ca="1" si="441"/>
        <v>0</v>
      </c>
      <c r="AF775" t="str">
        <f t="shared" ref="AF775:AF838" ca="1" si="459">+MONTH(E775)&amp;YEAR(E775)</f>
        <v>71980</v>
      </c>
      <c r="AG775" s="126">
        <f t="shared" ref="AG775:AG838" ca="1" si="460">+I775</f>
        <v>0</v>
      </c>
      <c r="AH775" s="126">
        <f t="shared" ref="AH775:AH838" ca="1" si="461">+J775</f>
        <v>0</v>
      </c>
      <c r="AI775" s="126">
        <f t="shared" ref="AI775:AI838" ca="1" si="462">+H775</f>
        <v>0</v>
      </c>
      <c r="AJ775" t="str">
        <f t="shared" ref="AJ775:AJ838" ca="1" si="463">+V775&amp;W775</f>
        <v>12088</v>
      </c>
      <c r="AK775" s="126">
        <f t="shared" ca="1" si="442"/>
        <v>0</v>
      </c>
      <c r="AL775" s="126">
        <f t="shared" ca="1" si="443"/>
        <v>0</v>
      </c>
      <c r="AM775" s="126">
        <f t="shared" ca="1" si="456"/>
        <v>0</v>
      </c>
      <c r="AN775" s="753">
        <f t="shared" ca="1" si="457"/>
        <v>0</v>
      </c>
      <c r="AO775" s="750">
        <f t="shared" ca="1" si="444"/>
        <v>0</v>
      </c>
      <c r="AP775" s="126">
        <f t="shared" ca="1" si="445"/>
        <v>0</v>
      </c>
      <c r="AQ775" s="126">
        <f t="shared" ca="1" si="446"/>
        <v>0</v>
      </c>
      <c r="AR775" s="126">
        <f t="shared" ref="AR775:AR838" ca="1" si="464">+MAX($AM$2-SUMIF($W$7:$W$1066,W775,$AN$7:$AN$1066),0)</f>
        <v>10000</v>
      </c>
      <c r="AS775" s="750">
        <f t="shared" ref="AS775:AS838" ca="1" si="465">+MAX(IF(AQ775&gt;AR775,AR775-AQ774,AP775),0)</f>
        <v>0</v>
      </c>
      <c r="AT775" s="750">
        <f t="shared" ref="AT775:AT838" ca="1" si="466">+AP775-AS775</f>
        <v>0</v>
      </c>
      <c r="AU775" s="126">
        <f t="shared" ca="1" si="447"/>
        <v>0</v>
      </c>
      <c r="AV775" s="126">
        <f t="shared" ca="1" si="448"/>
        <v>0</v>
      </c>
      <c r="AW775" s="126">
        <f t="shared" ref="AW775:AW838" ca="1" si="467">+MAX($AM$2-SUMIF($W$7:$W$1066,W775,$AN$7:$AN$1066)-SUMIF($W$7:$W$1066,W775,$AS$7:$AS$1066),0)</f>
        <v>10000</v>
      </c>
      <c r="AX775" s="750">
        <f t="shared" ca="1" si="449"/>
        <v>0</v>
      </c>
      <c r="AY775" s="750">
        <f t="shared" ca="1" si="450"/>
        <v>0</v>
      </c>
      <c r="AZ775">
        <f t="shared" si="451"/>
        <v>5750</v>
      </c>
    </row>
    <row r="776" spans="4:52">
      <c r="D776">
        <v>769</v>
      </c>
      <c r="E776" s="6">
        <f t="shared" ref="E776:E839" ca="1" si="468">+DATE(YEAR(E775),MONTH(E775)-1,DAY(E775))</f>
        <v>29373</v>
      </c>
      <c r="F776" s="7">
        <f t="shared" ref="F776:F839" ca="1" si="469">IF(DATE(YEAR($B$6),MONTH($B$6)+1,DAY(1))=E776,1,IF(MONTH(E776)=1,F777*(1+$F$5),F777))</f>
        <v>0</v>
      </c>
      <c r="G776" s="125">
        <f ca="1">IF('Simulador - 1º Pilar'!$E$99="Sí",IF('Aportaciones PPE'!$B$13&lt;'Aportaciones PPE'!E776,0,F776*$B$8/12),F776*$B$8/12)</f>
        <v>0</v>
      </c>
      <c r="H776" s="125">
        <f t="shared" ca="1" si="458"/>
        <v>0</v>
      </c>
      <c r="I776" s="125">
        <f t="shared" ref="I776:I839" ca="1" si="470">$I$5*G776</f>
        <v>0</v>
      </c>
      <c r="J776" s="125">
        <f t="shared" ref="J776:J839" ca="1" si="471">+I776</f>
        <v>0</v>
      </c>
      <c r="K776" s="125">
        <f t="shared" ref="K776:K839" ca="1" si="472">(1+$O$5)^(D776/12)*(H776+IF(AND(F776=1,F777=0),$S$4,0))</f>
        <v>0</v>
      </c>
      <c r="L776" s="125">
        <f t="shared" ca="1" si="452"/>
        <v>0</v>
      </c>
      <c r="M776" s="125">
        <f t="shared" ref="M776:M839" ca="1" si="473">+L776</f>
        <v>0</v>
      </c>
      <c r="N776" s="125">
        <f t="shared" ref="N776:N839" ca="1" si="474">L776+K776+M776</f>
        <v>0</v>
      </c>
      <c r="R776">
        <f t="shared" si="453"/>
        <v>769</v>
      </c>
      <c r="U776" s="55"/>
      <c r="V776">
        <f t="shared" si="454"/>
        <v>2</v>
      </c>
      <c r="W776">
        <f t="shared" ca="1" si="455"/>
        <v>2088</v>
      </c>
      <c r="X776" s="123">
        <f t="shared" ref="X776:X839" ca="1" si="475">+DATE(W776,V776,1)</f>
        <v>68699</v>
      </c>
      <c r="Y776" s="64">
        <f t="shared" ref="Y776:Y839" ca="1" si="476">+_xlfn.IFNA(AN776+AS776+AX776,0)</f>
        <v>0</v>
      </c>
      <c r="Z776" s="64">
        <f t="shared" ref="Z776:Z839" ca="1" si="477">+_xlfn.IFNA(AO776+AT776+AY776,0)</f>
        <v>0</v>
      </c>
      <c r="AA776" s="64">
        <f t="shared" ref="AA776:AA839" ca="1" si="478">Y776*(1+$O$5)^(($B$7-X776)/365.25)</f>
        <v>0</v>
      </c>
      <c r="AB776" s="64">
        <f t="shared" ref="AB776:AB839" ca="1" si="479">Z776*(1+$O$5)^(($B$7-X776)/365.25)</f>
        <v>0</v>
      </c>
      <c r="AF776" t="str">
        <f t="shared" ca="1" si="459"/>
        <v>61980</v>
      </c>
      <c r="AG776" s="126">
        <f t="shared" ca="1" si="460"/>
        <v>0</v>
      </c>
      <c r="AH776" s="126">
        <f t="shared" ca="1" si="461"/>
        <v>0</v>
      </c>
      <c r="AI776" s="126">
        <f t="shared" ca="1" si="462"/>
        <v>0</v>
      </c>
      <c r="AJ776" t="str">
        <f t="shared" ca="1" si="463"/>
        <v>22088</v>
      </c>
      <c r="AK776" s="126">
        <f t="shared" ref="AK776:AK839" ca="1" si="480">+_xlfn.IFNA(VLOOKUP(AJ776,$AF$7:$AG$1066,2,0),0)</f>
        <v>0</v>
      </c>
      <c r="AL776" s="126">
        <f t="shared" ref="AL776:AL839" ca="1" si="481">+IF(W776&gt;W775,AK776,AL775+AK776)</f>
        <v>0</v>
      </c>
      <c r="AM776" s="126">
        <f t="shared" ca="1" si="456"/>
        <v>0</v>
      </c>
      <c r="AN776" s="753">
        <f t="shared" ca="1" si="457"/>
        <v>0</v>
      </c>
      <c r="AO776" s="750">
        <f t="shared" ref="AO776:AO839" ca="1" si="482">+AK776-AN776</f>
        <v>0</v>
      </c>
      <c r="AP776" s="126">
        <f t="shared" ref="AP776:AP839" ca="1" si="483">+_xlfn.IFNA(VLOOKUP(AJ776,$AF$7:$AI$1066,3,0),0)</f>
        <v>0</v>
      </c>
      <c r="AQ776" s="126">
        <f t="shared" ref="AQ776:AQ839" ca="1" si="484">+IF(W776&gt;W775,AP776,AQ775+AP776)</f>
        <v>0</v>
      </c>
      <c r="AR776" s="126">
        <f t="shared" ca="1" si="464"/>
        <v>10000</v>
      </c>
      <c r="AS776" s="750">
        <f t="shared" ca="1" si="465"/>
        <v>0</v>
      </c>
      <c r="AT776" s="750">
        <f t="shared" ca="1" si="466"/>
        <v>0</v>
      </c>
      <c r="AU776" s="126">
        <f t="shared" ref="AU776:AU839" ca="1" si="485">+_xlfn.IFNA(VLOOKUP(AJ776,$AF$7:$AI$1066,4,0),0)</f>
        <v>0</v>
      </c>
      <c r="AV776" s="126">
        <f t="shared" ref="AV776:AV839" ca="1" si="486">+IF(W776&gt;W775,AU776,AV775+AU776)</f>
        <v>0</v>
      </c>
      <c r="AW776" s="126">
        <f t="shared" ca="1" si="467"/>
        <v>10000</v>
      </c>
      <c r="AX776" s="750">
        <f t="shared" ref="AX776:AX839" ca="1" si="487">+MAX(IF(AV776&gt;AW776,AW776-AV775,AU776),0)</f>
        <v>0</v>
      </c>
      <c r="AY776" s="750">
        <f t="shared" ref="AY776:AY839" ca="1" si="488">+AU776-AX776</f>
        <v>0</v>
      </c>
      <c r="AZ776">
        <f t="shared" ref="AZ776:AZ839" si="489">+$AM$1+IF($AP$1&gt;$AP$2,$AM$3/2)</f>
        <v>5750</v>
      </c>
    </row>
    <row r="777" spans="4:52">
      <c r="D777">
        <v>770</v>
      </c>
      <c r="E777" s="6">
        <f t="shared" ca="1" si="468"/>
        <v>29342</v>
      </c>
      <c r="F777" s="7">
        <f t="shared" ca="1" si="469"/>
        <v>0</v>
      </c>
      <c r="G777" s="125">
        <f ca="1">IF('Simulador - 1º Pilar'!$E$99="Sí",IF('Aportaciones PPE'!$B$13&lt;'Aportaciones PPE'!E777,0,F777*$B$8/12),F777*$B$8/12)</f>
        <v>0</v>
      </c>
      <c r="H777" s="125">
        <f t="shared" ca="1" si="458"/>
        <v>0</v>
      </c>
      <c r="I777" s="125">
        <f t="shared" ca="1" si="470"/>
        <v>0</v>
      </c>
      <c r="J777" s="125">
        <f t="shared" ca="1" si="471"/>
        <v>0</v>
      </c>
      <c r="K777" s="125">
        <f t="shared" ca="1" si="472"/>
        <v>0</v>
      </c>
      <c r="L777" s="125">
        <f t="shared" ref="L777:L840" ca="1" si="490">(1+$O$5)^(D777/12)*(I777+IF(AND(F777=1,F778=0),0))</f>
        <v>0</v>
      </c>
      <c r="M777" s="125">
        <f t="shared" ca="1" si="473"/>
        <v>0</v>
      </c>
      <c r="N777" s="125">
        <f t="shared" ca="1" si="474"/>
        <v>0</v>
      </c>
      <c r="R777">
        <f t="shared" ref="R777:R840" si="491">D777</f>
        <v>770</v>
      </c>
      <c r="U777" s="55"/>
      <c r="V777">
        <f t="shared" ref="V777:V840" si="492">+IF(V776=11,12,IF(V776=12,1,V776+1))</f>
        <v>3</v>
      </c>
      <c r="W777">
        <f t="shared" ref="W777:W840" ca="1" si="493">+W776+IF(V776=12,1,0)</f>
        <v>2088</v>
      </c>
      <c r="X777" s="123">
        <f t="shared" ca="1" si="475"/>
        <v>68728</v>
      </c>
      <c r="Y777" s="64">
        <f t="shared" ca="1" si="476"/>
        <v>0</v>
      </c>
      <c r="Z777" s="64">
        <f t="shared" ca="1" si="477"/>
        <v>0</v>
      </c>
      <c r="AA777" s="64">
        <f t="shared" ca="1" si="478"/>
        <v>0</v>
      </c>
      <c r="AB777" s="64">
        <f t="shared" ca="1" si="479"/>
        <v>0</v>
      </c>
      <c r="AF777" t="str">
        <f t="shared" ca="1" si="459"/>
        <v>51980</v>
      </c>
      <c r="AG777" s="126">
        <f t="shared" ca="1" si="460"/>
        <v>0</v>
      </c>
      <c r="AH777" s="126">
        <f t="shared" ca="1" si="461"/>
        <v>0</v>
      </c>
      <c r="AI777" s="126">
        <f t="shared" ca="1" si="462"/>
        <v>0</v>
      </c>
      <c r="AJ777" t="str">
        <f t="shared" ca="1" si="463"/>
        <v>32088</v>
      </c>
      <c r="AK777" s="126">
        <f t="shared" ca="1" si="480"/>
        <v>0</v>
      </c>
      <c r="AL777" s="126">
        <f t="shared" ca="1" si="481"/>
        <v>0</v>
      </c>
      <c r="AM777" s="126">
        <f t="shared" ref="AM777:AM840" ca="1" si="494">IF(W777&gt;W776,IF(AL777&gt;=$AZ$8,$AZ$8,AL777),IF(OR(AM776=$AZ$8,AM776=0),0,IF(AL777&gt;=$AZ$8,$AZ$8,AL777)))</f>
        <v>0</v>
      </c>
      <c r="AN777" s="753">
        <f t="shared" ref="AN777:AN840" ca="1" si="495">+IF(OR(AM777&gt;AZ776,AM777=0),0,IF(AM777=AL777,AK777,$AZ$7-AL776))</f>
        <v>0</v>
      </c>
      <c r="AO777" s="750">
        <f t="shared" ca="1" si="482"/>
        <v>0</v>
      </c>
      <c r="AP777" s="126">
        <f t="shared" ca="1" si="483"/>
        <v>0</v>
      </c>
      <c r="AQ777" s="126">
        <f t="shared" ca="1" si="484"/>
        <v>0</v>
      </c>
      <c r="AR777" s="126">
        <f t="shared" ca="1" si="464"/>
        <v>10000</v>
      </c>
      <c r="AS777" s="750">
        <f t="shared" ca="1" si="465"/>
        <v>0</v>
      </c>
      <c r="AT777" s="750">
        <f t="shared" ca="1" si="466"/>
        <v>0</v>
      </c>
      <c r="AU777" s="126">
        <f t="shared" ca="1" si="485"/>
        <v>0</v>
      </c>
      <c r="AV777" s="126">
        <f t="shared" ca="1" si="486"/>
        <v>0</v>
      </c>
      <c r="AW777" s="126">
        <f t="shared" ca="1" si="467"/>
        <v>10000</v>
      </c>
      <c r="AX777" s="750">
        <f t="shared" ca="1" si="487"/>
        <v>0</v>
      </c>
      <c r="AY777" s="750">
        <f t="shared" ca="1" si="488"/>
        <v>0</v>
      </c>
      <c r="AZ777">
        <f t="shared" si="489"/>
        <v>5750</v>
      </c>
    </row>
    <row r="778" spans="4:52">
      <c r="D778">
        <v>771</v>
      </c>
      <c r="E778" s="6">
        <f t="shared" ca="1" si="468"/>
        <v>29312</v>
      </c>
      <c r="F778" s="7">
        <f t="shared" ca="1" si="469"/>
        <v>0</v>
      </c>
      <c r="G778" s="125">
        <f ca="1">IF('Simulador - 1º Pilar'!$E$99="Sí",IF('Aportaciones PPE'!$B$13&lt;'Aportaciones PPE'!E778,0,F778*$B$8/12),F778*$B$8/12)</f>
        <v>0</v>
      </c>
      <c r="H778" s="125">
        <f t="shared" ca="1" si="458"/>
        <v>0</v>
      </c>
      <c r="I778" s="125">
        <f t="shared" ca="1" si="470"/>
        <v>0</v>
      </c>
      <c r="J778" s="125">
        <f t="shared" ca="1" si="471"/>
        <v>0</v>
      </c>
      <c r="K778" s="125">
        <f t="shared" ca="1" si="472"/>
        <v>0</v>
      </c>
      <c r="L778" s="125">
        <f t="shared" ca="1" si="490"/>
        <v>0</v>
      </c>
      <c r="M778" s="125">
        <f t="shared" ca="1" si="473"/>
        <v>0</v>
      </c>
      <c r="N778" s="125">
        <f t="shared" ca="1" si="474"/>
        <v>0</v>
      </c>
      <c r="R778">
        <f t="shared" si="491"/>
        <v>771</v>
      </c>
      <c r="U778" s="55"/>
      <c r="V778">
        <f t="shared" si="492"/>
        <v>4</v>
      </c>
      <c r="W778">
        <f t="shared" ca="1" si="493"/>
        <v>2088</v>
      </c>
      <c r="X778" s="123">
        <f t="shared" ca="1" si="475"/>
        <v>68759</v>
      </c>
      <c r="Y778" s="64">
        <f t="shared" ca="1" si="476"/>
        <v>0</v>
      </c>
      <c r="Z778" s="64">
        <f t="shared" ca="1" si="477"/>
        <v>0</v>
      </c>
      <c r="AA778" s="64">
        <f t="shared" ca="1" si="478"/>
        <v>0</v>
      </c>
      <c r="AB778" s="64">
        <f t="shared" ca="1" si="479"/>
        <v>0</v>
      </c>
      <c r="AF778" t="str">
        <f t="shared" ca="1" si="459"/>
        <v>41980</v>
      </c>
      <c r="AG778" s="126">
        <f t="shared" ca="1" si="460"/>
        <v>0</v>
      </c>
      <c r="AH778" s="126">
        <f t="shared" ca="1" si="461"/>
        <v>0</v>
      </c>
      <c r="AI778" s="126">
        <f t="shared" ca="1" si="462"/>
        <v>0</v>
      </c>
      <c r="AJ778" t="str">
        <f t="shared" ca="1" si="463"/>
        <v>42088</v>
      </c>
      <c r="AK778" s="126">
        <f t="shared" ca="1" si="480"/>
        <v>0</v>
      </c>
      <c r="AL778" s="126">
        <f t="shared" ca="1" si="481"/>
        <v>0</v>
      </c>
      <c r="AM778" s="126">
        <f t="shared" ca="1" si="494"/>
        <v>0</v>
      </c>
      <c r="AN778" s="753">
        <f t="shared" ca="1" si="495"/>
        <v>0</v>
      </c>
      <c r="AO778" s="750">
        <f t="shared" ca="1" si="482"/>
        <v>0</v>
      </c>
      <c r="AP778" s="126">
        <f t="shared" ca="1" si="483"/>
        <v>0</v>
      </c>
      <c r="AQ778" s="126">
        <f t="shared" ca="1" si="484"/>
        <v>0</v>
      </c>
      <c r="AR778" s="126">
        <f t="shared" ca="1" si="464"/>
        <v>10000</v>
      </c>
      <c r="AS778" s="750">
        <f t="shared" ca="1" si="465"/>
        <v>0</v>
      </c>
      <c r="AT778" s="750">
        <f t="shared" ca="1" si="466"/>
        <v>0</v>
      </c>
      <c r="AU778" s="126">
        <f t="shared" ca="1" si="485"/>
        <v>0</v>
      </c>
      <c r="AV778" s="126">
        <f t="shared" ca="1" si="486"/>
        <v>0</v>
      </c>
      <c r="AW778" s="126">
        <f t="shared" ca="1" si="467"/>
        <v>10000</v>
      </c>
      <c r="AX778" s="750">
        <f t="shared" ca="1" si="487"/>
        <v>0</v>
      </c>
      <c r="AY778" s="750">
        <f t="shared" ca="1" si="488"/>
        <v>0</v>
      </c>
      <c r="AZ778">
        <f t="shared" si="489"/>
        <v>5750</v>
      </c>
    </row>
    <row r="779" spans="4:52">
      <c r="D779">
        <v>772</v>
      </c>
      <c r="E779" s="6">
        <f t="shared" ca="1" si="468"/>
        <v>29281</v>
      </c>
      <c r="F779" s="7">
        <f t="shared" ca="1" si="469"/>
        <v>0</v>
      </c>
      <c r="G779" s="125">
        <f ca="1">IF('Simulador - 1º Pilar'!$E$99="Sí",IF('Aportaciones PPE'!$B$13&lt;'Aportaciones PPE'!E779,0,F779*$B$8/12),F779*$B$8/12)</f>
        <v>0</v>
      </c>
      <c r="H779" s="125">
        <f t="shared" ca="1" si="458"/>
        <v>0</v>
      </c>
      <c r="I779" s="125">
        <f t="shared" ca="1" si="470"/>
        <v>0</v>
      </c>
      <c r="J779" s="125">
        <f t="shared" ca="1" si="471"/>
        <v>0</v>
      </c>
      <c r="K779" s="125">
        <f t="shared" ca="1" si="472"/>
        <v>0</v>
      </c>
      <c r="L779" s="125">
        <f t="shared" ca="1" si="490"/>
        <v>0</v>
      </c>
      <c r="M779" s="125">
        <f t="shared" ca="1" si="473"/>
        <v>0</v>
      </c>
      <c r="N779" s="125">
        <f t="shared" ca="1" si="474"/>
        <v>0</v>
      </c>
      <c r="R779">
        <f t="shared" si="491"/>
        <v>772</v>
      </c>
      <c r="U779" s="55"/>
      <c r="V779">
        <f t="shared" si="492"/>
        <v>5</v>
      </c>
      <c r="W779">
        <f t="shared" ca="1" si="493"/>
        <v>2088</v>
      </c>
      <c r="X779" s="123">
        <f t="shared" ca="1" si="475"/>
        <v>68789</v>
      </c>
      <c r="Y779" s="64">
        <f t="shared" ca="1" si="476"/>
        <v>0</v>
      </c>
      <c r="Z779" s="64">
        <f t="shared" ca="1" si="477"/>
        <v>0</v>
      </c>
      <c r="AA779" s="64">
        <f t="shared" ca="1" si="478"/>
        <v>0</v>
      </c>
      <c r="AB779" s="64">
        <f t="shared" ca="1" si="479"/>
        <v>0</v>
      </c>
      <c r="AF779" t="str">
        <f t="shared" ca="1" si="459"/>
        <v>31980</v>
      </c>
      <c r="AG779" s="126">
        <f t="shared" ca="1" si="460"/>
        <v>0</v>
      </c>
      <c r="AH779" s="126">
        <f t="shared" ca="1" si="461"/>
        <v>0</v>
      </c>
      <c r="AI779" s="126">
        <f t="shared" ca="1" si="462"/>
        <v>0</v>
      </c>
      <c r="AJ779" t="str">
        <f t="shared" ca="1" si="463"/>
        <v>52088</v>
      </c>
      <c r="AK779" s="126">
        <f t="shared" ca="1" si="480"/>
        <v>0</v>
      </c>
      <c r="AL779" s="126">
        <f t="shared" ca="1" si="481"/>
        <v>0</v>
      </c>
      <c r="AM779" s="126">
        <f t="shared" ca="1" si="494"/>
        <v>0</v>
      </c>
      <c r="AN779" s="753">
        <f t="shared" ca="1" si="495"/>
        <v>0</v>
      </c>
      <c r="AO779" s="750">
        <f t="shared" ca="1" si="482"/>
        <v>0</v>
      </c>
      <c r="AP779" s="126">
        <f t="shared" ca="1" si="483"/>
        <v>0</v>
      </c>
      <c r="AQ779" s="126">
        <f t="shared" ca="1" si="484"/>
        <v>0</v>
      </c>
      <c r="AR779" s="126">
        <f t="shared" ca="1" si="464"/>
        <v>10000</v>
      </c>
      <c r="AS779" s="750">
        <f t="shared" ca="1" si="465"/>
        <v>0</v>
      </c>
      <c r="AT779" s="750">
        <f t="shared" ca="1" si="466"/>
        <v>0</v>
      </c>
      <c r="AU779" s="126">
        <f t="shared" ca="1" si="485"/>
        <v>0</v>
      </c>
      <c r="AV779" s="126">
        <f t="shared" ca="1" si="486"/>
        <v>0</v>
      </c>
      <c r="AW779" s="126">
        <f t="shared" ca="1" si="467"/>
        <v>10000</v>
      </c>
      <c r="AX779" s="750">
        <f t="shared" ca="1" si="487"/>
        <v>0</v>
      </c>
      <c r="AY779" s="750">
        <f t="shared" ca="1" si="488"/>
        <v>0</v>
      </c>
      <c r="AZ779">
        <f t="shared" si="489"/>
        <v>5750</v>
      </c>
    </row>
    <row r="780" spans="4:52">
      <c r="D780">
        <v>773</v>
      </c>
      <c r="E780" s="6">
        <f t="shared" ca="1" si="468"/>
        <v>29252</v>
      </c>
      <c r="F780" s="7">
        <f t="shared" ca="1" si="469"/>
        <v>0</v>
      </c>
      <c r="G780" s="125">
        <f ca="1">IF('Simulador - 1º Pilar'!$E$99="Sí",IF('Aportaciones PPE'!$B$13&lt;'Aportaciones PPE'!E780,0,F780*$B$8/12),F780*$B$8/12)</f>
        <v>0</v>
      </c>
      <c r="H780" s="125">
        <f t="shared" ca="1" si="458"/>
        <v>0</v>
      </c>
      <c r="I780" s="125">
        <f t="shared" ca="1" si="470"/>
        <v>0</v>
      </c>
      <c r="J780" s="125">
        <f t="shared" ca="1" si="471"/>
        <v>0</v>
      </c>
      <c r="K780" s="125">
        <f t="shared" ca="1" si="472"/>
        <v>0</v>
      </c>
      <c r="L780" s="125">
        <f t="shared" ca="1" si="490"/>
        <v>0</v>
      </c>
      <c r="M780" s="125">
        <f t="shared" ca="1" si="473"/>
        <v>0</v>
      </c>
      <c r="N780" s="125">
        <f t="shared" ca="1" si="474"/>
        <v>0</v>
      </c>
      <c r="R780">
        <f t="shared" si="491"/>
        <v>773</v>
      </c>
      <c r="U780" s="55"/>
      <c r="V780">
        <f t="shared" si="492"/>
        <v>6</v>
      </c>
      <c r="W780">
        <f t="shared" ca="1" si="493"/>
        <v>2088</v>
      </c>
      <c r="X780" s="123">
        <f t="shared" ca="1" si="475"/>
        <v>68820</v>
      </c>
      <c r="Y780" s="64">
        <f t="shared" ca="1" si="476"/>
        <v>0</v>
      </c>
      <c r="Z780" s="64">
        <f t="shared" ca="1" si="477"/>
        <v>0</v>
      </c>
      <c r="AA780" s="64">
        <f t="shared" ca="1" si="478"/>
        <v>0</v>
      </c>
      <c r="AB780" s="64">
        <f t="shared" ca="1" si="479"/>
        <v>0</v>
      </c>
      <c r="AF780" t="str">
        <f t="shared" ca="1" si="459"/>
        <v>21980</v>
      </c>
      <c r="AG780" s="126">
        <f t="shared" ca="1" si="460"/>
        <v>0</v>
      </c>
      <c r="AH780" s="126">
        <f t="shared" ca="1" si="461"/>
        <v>0</v>
      </c>
      <c r="AI780" s="126">
        <f t="shared" ca="1" si="462"/>
        <v>0</v>
      </c>
      <c r="AJ780" t="str">
        <f t="shared" ca="1" si="463"/>
        <v>62088</v>
      </c>
      <c r="AK780" s="126">
        <f t="shared" ca="1" si="480"/>
        <v>0</v>
      </c>
      <c r="AL780" s="126">
        <f t="shared" ca="1" si="481"/>
        <v>0</v>
      </c>
      <c r="AM780" s="126">
        <f t="shared" ca="1" si="494"/>
        <v>0</v>
      </c>
      <c r="AN780" s="753">
        <f t="shared" ca="1" si="495"/>
        <v>0</v>
      </c>
      <c r="AO780" s="750">
        <f t="shared" ca="1" si="482"/>
        <v>0</v>
      </c>
      <c r="AP780" s="126">
        <f t="shared" ca="1" si="483"/>
        <v>0</v>
      </c>
      <c r="AQ780" s="126">
        <f t="shared" ca="1" si="484"/>
        <v>0</v>
      </c>
      <c r="AR780" s="126">
        <f t="shared" ca="1" si="464"/>
        <v>10000</v>
      </c>
      <c r="AS780" s="750">
        <f t="shared" ca="1" si="465"/>
        <v>0</v>
      </c>
      <c r="AT780" s="750">
        <f t="shared" ca="1" si="466"/>
        <v>0</v>
      </c>
      <c r="AU780" s="126">
        <f t="shared" ca="1" si="485"/>
        <v>0</v>
      </c>
      <c r="AV780" s="126">
        <f t="shared" ca="1" si="486"/>
        <v>0</v>
      </c>
      <c r="AW780" s="126">
        <f t="shared" ca="1" si="467"/>
        <v>10000</v>
      </c>
      <c r="AX780" s="750">
        <f t="shared" ca="1" si="487"/>
        <v>0</v>
      </c>
      <c r="AY780" s="750">
        <f t="shared" ca="1" si="488"/>
        <v>0</v>
      </c>
      <c r="AZ780">
        <f t="shared" si="489"/>
        <v>5750</v>
      </c>
    </row>
    <row r="781" spans="4:52">
      <c r="D781">
        <v>774</v>
      </c>
      <c r="E781" s="6">
        <f t="shared" ca="1" si="468"/>
        <v>29221</v>
      </c>
      <c r="F781" s="7">
        <f t="shared" ca="1" si="469"/>
        <v>0</v>
      </c>
      <c r="G781" s="125">
        <f ca="1">IF('Simulador - 1º Pilar'!$E$99="Sí",IF('Aportaciones PPE'!$B$13&lt;'Aportaciones PPE'!E781,0,F781*$B$8/12),F781*$B$8/12)</f>
        <v>0</v>
      </c>
      <c r="H781" s="125">
        <f t="shared" ca="1" si="458"/>
        <v>0</v>
      </c>
      <c r="I781" s="125">
        <f t="shared" ca="1" si="470"/>
        <v>0</v>
      </c>
      <c r="J781" s="125">
        <f t="shared" ca="1" si="471"/>
        <v>0</v>
      </c>
      <c r="K781" s="125">
        <f t="shared" ca="1" si="472"/>
        <v>0</v>
      </c>
      <c r="L781" s="125">
        <f t="shared" ca="1" si="490"/>
        <v>0</v>
      </c>
      <c r="M781" s="125">
        <f t="shared" ca="1" si="473"/>
        <v>0</v>
      </c>
      <c r="N781" s="125">
        <f t="shared" ca="1" si="474"/>
        <v>0</v>
      </c>
      <c r="R781">
        <f t="shared" si="491"/>
        <v>774</v>
      </c>
      <c r="U781" s="55"/>
      <c r="V781">
        <f t="shared" si="492"/>
        <v>7</v>
      </c>
      <c r="W781">
        <f t="shared" ca="1" si="493"/>
        <v>2088</v>
      </c>
      <c r="X781" s="123">
        <f t="shared" ca="1" si="475"/>
        <v>68850</v>
      </c>
      <c r="Y781" s="64">
        <f t="shared" ca="1" si="476"/>
        <v>0</v>
      </c>
      <c r="Z781" s="64">
        <f t="shared" ca="1" si="477"/>
        <v>0</v>
      </c>
      <c r="AA781" s="64">
        <f t="shared" ca="1" si="478"/>
        <v>0</v>
      </c>
      <c r="AB781" s="64">
        <f t="shared" ca="1" si="479"/>
        <v>0</v>
      </c>
      <c r="AF781" t="str">
        <f t="shared" ca="1" si="459"/>
        <v>11980</v>
      </c>
      <c r="AG781" s="126">
        <f t="shared" ca="1" si="460"/>
        <v>0</v>
      </c>
      <c r="AH781" s="126">
        <f t="shared" ca="1" si="461"/>
        <v>0</v>
      </c>
      <c r="AI781" s="126">
        <f t="shared" ca="1" si="462"/>
        <v>0</v>
      </c>
      <c r="AJ781" t="str">
        <f t="shared" ca="1" si="463"/>
        <v>72088</v>
      </c>
      <c r="AK781" s="126">
        <f t="shared" ca="1" si="480"/>
        <v>0</v>
      </c>
      <c r="AL781" s="126">
        <f t="shared" ca="1" si="481"/>
        <v>0</v>
      </c>
      <c r="AM781" s="126">
        <f t="shared" ca="1" si="494"/>
        <v>0</v>
      </c>
      <c r="AN781" s="753">
        <f t="shared" ca="1" si="495"/>
        <v>0</v>
      </c>
      <c r="AO781" s="750">
        <f t="shared" ca="1" si="482"/>
        <v>0</v>
      </c>
      <c r="AP781" s="126">
        <f t="shared" ca="1" si="483"/>
        <v>0</v>
      </c>
      <c r="AQ781" s="126">
        <f t="shared" ca="1" si="484"/>
        <v>0</v>
      </c>
      <c r="AR781" s="126">
        <f t="shared" ca="1" si="464"/>
        <v>10000</v>
      </c>
      <c r="AS781" s="750">
        <f t="shared" ca="1" si="465"/>
        <v>0</v>
      </c>
      <c r="AT781" s="750">
        <f t="shared" ca="1" si="466"/>
        <v>0</v>
      </c>
      <c r="AU781" s="126">
        <f t="shared" ca="1" si="485"/>
        <v>0</v>
      </c>
      <c r="AV781" s="126">
        <f t="shared" ca="1" si="486"/>
        <v>0</v>
      </c>
      <c r="AW781" s="126">
        <f t="shared" ca="1" si="467"/>
        <v>10000</v>
      </c>
      <c r="AX781" s="750">
        <f t="shared" ca="1" si="487"/>
        <v>0</v>
      </c>
      <c r="AY781" s="750">
        <f t="shared" ca="1" si="488"/>
        <v>0</v>
      </c>
      <c r="AZ781">
        <f t="shared" si="489"/>
        <v>5750</v>
      </c>
    </row>
    <row r="782" spans="4:52">
      <c r="D782">
        <v>775</v>
      </c>
      <c r="E782" s="6">
        <f t="shared" ca="1" si="468"/>
        <v>29190</v>
      </c>
      <c r="F782" s="7">
        <f t="shared" ca="1" si="469"/>
        <v>0</v>
      </c>
      <c r="G782" s="125">
        <f ca="1">IF('Simulador - 1º Pilar'!$E$99="Sí",IF('Aportaciones PPE'!$B$13&lt;'Aportaciones PPE'!E782,0,F782*$B$8/12),F782*$B$8/12)</f>
        <v>0</v>
      </c>
      <c r="H782" s="125">
        <f t="shared" ca="1" si="458"/>
        <v>0</v>
      </c>
      <c r="I782" s="125">
        <f t="shared" ca="1" si="470"/>
        <v>0</v>
      </c>
      <c r="J782" s="125">
        <f t="shared" ca="1" si="471"/>
        <v>0</v>
      </c>
      <c r="K782" s="125">
        <f t="shared" ca="1" si="472"/>
        <v>0</v>
      </c>
      <c r="L782" s="125">
        <f t="shared" ca="1" si="490"/>
        <v>0</v>
      </c>
      <c r="M782" s="125">
        <f t="shared" ca="1" si="473"/>
        <v>0</v>
      </c>
      <c r="N782" s="125">
        <f t="shared" ca="1" si="474"/>
        <v>0</v>
      </c>
      <c r="R782">
        <f t="shared" si="491"/>
        <v>775</v>
      </c>
      <c r="U782" s="55"/>
      <c r="V782">
        <f t="shared" si="492"/>
        <v>8</v>
      </c>
      <c r="W782">
        <f t="shared" ca="1" si="493"/>
        <v>2088</v>
      </c>
      <c r="X782" s="123">
        <f t="shared" ca="1" si="475"/>
        <v>68881</v>
      </c>
      <c r="Y782" s="64">
        <f t="shared" ca="1" si="476"/>
        <v>0</v>
      </c>
      <c r="Z782" s="64">
        <f t="shared" ca="1" si="477"/>
        <v>0</v>
      </c>
      <c r="AA782" s="64">
        <f t="shared" ca="1" si="478"/>
        <v>0</v>
      </c>
      <c r="AB782" s="64">
        <f t="shared" ca="1" si="479"/>
        <v>0</v>
      </c>
      <c r="AF782" t="str">
        <f t="shared" ca="1" si="459"/>
        <v>121979</v>
      </c>
      <c r="AG782" s="126">
        <f t="shared" ca="1" si="460"/>
        <v>0</v>
      </c>
      <c r="AH782" s="126">
        <f t="shared" ca="1" si="461"/>
        <v>0</v>
      </c>
      <c r="AI782" s="126">
        <f t="shared" ca="1" si="462"/>
        <v>0</v>
      </c>
      <c r="AJ782" t="str">
        <f t="shared" ca="1" si="463"/>
        <v>82088</v>
      </c>
      <c r="AK782" s="126">
        <f t="shared" ca="1" si="480"/>
        <v>0</v>
      </c>
      <c r="AL782" s="126">
        <f t="shared" ca="1" si="481"/>
        <v>0</v>
      </c>
      <c r="AM782" s="126">
        <f t="shared" ca="1" si="494"/>
        <v>0</v>
      </c>
      <c r="AN782" s="753">
        <f t="shared" ca="1" si="495"/>
        <v>0</v>
      </c>
      <c r="AO782" s="750">
        <f t="shared" ca="1" si="482"/>
        <v>0</v>
      </c>
      <c r="AP782" s="126">
        <f t="shared" ca="1" si="483"/>
        <v>0</v>
      </c>
      <c r="AQ782" s="126">
        <f t="shared" ca="1" si="484"/>
        <v>0</v>
      </c>
      <c r="AR782" s="126">
        <f t="shared" ca="1" si="464"/>
        <v>10000</v>
      </c>
      <c r="AS782" s="750">
        <f t="shared" ca="1" si="465"/>
        <v>0</v>
      </c>
      <c r="AT782" s="750">
        <f t="shared" ca="1" si="466"/>
        <v>0</v>
      </c>
      <c r="AU782" s="126">
        <f t="shared" ca="1" si="485"/>
        <v>0</v>
      </c>
      <c r="AV782" s="126">
        <f t="shared" ca="1" si="486"/>
        <v>0</v>
      </c>
      <c r="AW782" s="126">
        <f t="shared" ca="1" si="467"/>
        <v>10000</v>
      </c>
      <c r="AX782" s="750">
        <f t="shared" ca="1" si="487"/>
        <v>0</v>
      </c>
      <c r="AY782" s="750">
        <f t="shared" ca="1" si="488"/>
        <v>0</v>
      </c>
      <c r="AZ782">
        <f t="shared" si="489"/>
        <v>5750</v>
      </c>
    </row>
    <row r="783" spans="4:52">
      <c r="D783">
        <v>776</v>
      </c>
      <c r="E783" s="6">
        <f t="shared" ca="1" si="468"/>
        <v>29160</v>
      </c>
      <c r="F783" s="7">
        <f t="shared" ca="1" si="469"/>
        <v>0</v>
      </c>
      <c r="G783" s="125">
        <f ca="1">IF('Simulador - 1º Pilar'!$E$99="Sí",IF('Aportaciones PPE'!$B$13&lt;'Aportaciones PPE'!E783,0,F783*$B$8/12),F783*$B$8/12)</f>
        <v>0</v>
      </c>
      <c r="H783" s="125">
        <f t="shared" ca="1" si="458"/>
        <v>0</v>
      </c>
      <c r="I783" s="125">
        <f t="shared" ca="1" si="470"/>
        <v>0</v>
      </c>
      <c r="J783" s="125">
        <f t="shared" ca="1" si="471"/>
        <v>0</v>
      </c>
      <c r="K783" s="125">
        <f t="shared" ca="1" si="472"/>
        <v>0</v>
      </c>
      <c r="L783" s="125">
        <f t="shared" ca="1" si="490"/>
        <v>0</v>
      </c>
      <c r="M783" s="125">
        <f t="shared" ca="1" si="473"/>
        <v>0</v>
      </c>
      <c r="N783" s="125">
        <f t="shared" ca="1" si="474"/>
        <v>0</v>
      </c>
      <c r="R783">
        <f t="shared" si="491"/>
        <v>776</v>
      </c>
      <c r="U783" s="55"/>
      <c r="V783">
        <f t="shared" si="492"/>
        <v>9</v>
      </c>
      <c r="W783">
        <f t="shared" ca="1" si="493"/>
        <v>2088</v>
      </c>
      <c r="X783" s="123">
        <f t="shared" ca="1" si="475"/>
        <v>68912</v>
      </c>
      <c r="Y783" s="64">
        <f t="shared" ca="1" si="476"/>
        <v>0</v>
      </c>
      <c r="Z783" s="64">
        <f t="shared" ca="1" si="477"/>
        <v>0</v>
      </c>
      <c r="AA783" s="64">
        <f t="shared" ca="1" si="478"/>
        <v>0</v>
      </c>
      <c r="AB783" s="64">
        <f t="shared" ca="1" si="479"/>
        <v>0</v>
      </c>
      <c r="AF783" t="str">
        <f t="shared" ca="1" si="459"/>
        <v>111979</v>
      </c>
      <c r="AG783" s="126">
        <f t="shared" ca="1" si="460"/>
        <v>0</v>
      </c>
      <c r="AH783" s="126">
        <f t="shared" ca="1" si="461"/>
        <v>0</v>
      </c>
      <c r="AI783" s="126">
        <f t="shared" ca="1" si="462"/>
        <v>0</v>
      </c>
      <c r="AJ783" t="str">
        <f t="shared" ca="1" si="463"/>
        <v>92088</v>
      </c>
      <c r="AK783" s="126">
        <f t="shared" ca="1" si="480"/>
        <v>0</v>
      </c>
      <c r="AL783" s="126">
        <f t="shared" ca="1" si="481"/>
        <v>0</v>
      </c>
      <c r="AM783" s="126">
        <f t="shared" ca="1" si="494"/>
        <v>0</v>
      </c>
      <c r="AN783" s="753">
        <f t="shared" ca="1" si="495"/>
        <v>0</v>
      </c>
      <c r="AO783" s="750">
        <f t="shared" ca="1" si="482"/>
        <v>0</v>
      </c>
      <c r="AP783" s="126">
        <f t="shared" ca="1" si="483"/>
        <v>0</v>
      </c>
      <c r="AQ783" s="126">
        <f t="shared" ca="1" si="484"/>
        <v>0</v>
      </c>
      <c r="AR783" s="126">
        <f t="shared" ca="1" si="464"/>
        <v>10000</v>
      </c>
      <c r="AS783" s="750">
        <f t="shared" ca="1" si="465"/>
        <v>0</v>
      </c>
      <c r="AT783" s="750">
        <f t="shared" ca="1" si="466"/>
        <v>0</v>
      </c>
      <c r="AU783" s="126">
        <f t="shared" ca="1" si="485"/>
        <v>0</v>
      </c>
      <c r="AV783" s="126">
        <f t="shared" ca="1" si="486"/>
        <v>0</v>
      </c>
      <c r="AW783" s="126">
        <f t="shared" ca="1" si="467"/>
        <v>10000</v>
      </c>
      <c r="AX783" s="750">
        <f t="shared" ca="1" si="487"/>
        <v>0</v>
      </c>
      <c r="AY783" s="750">
        <f t="shared" ca="1" si="488"/>
        <v>0</v>
      </c>
      <c r="AZ783">
        <f t="shared" si="489"/>
        <v>5750</v>
      </c>
    </row>
    <row r="784" spans="4:52">
      <c r="D784">
        <v>777</v>
      </c>
      <c r="E784" s="6">
        <f t="shared" ca="1" si="468"/>
        <v>29129</v>
      </c>
      <c r="F784" s="7">
        <f t="shared" ca="1" si="469"/>
        <v>0</v>
      </c>
      <c r="G784" s="125">
        <f ca="1">IF('Simulador - 1º Pilar'!$E$99="Sí",IF('Aportaciones PPE'!$B$13&lt;'Aportaciones PPE'!E784,0,F784*$B$8/12),F784*$B$8/12)</f>
        <v>0</v>
      </c>
      <c r="H784" s="125">
        <f t="shared" ca="1" si="458"/>
        <v>0</v>
      </c>
      <c r="I784" s="125">
        <f t="shared" ca="1" si="470"/>
        <v>0</v>
      </c>
      <c r="J784" s="125">
        <f t="shared" ca="1" si="471"/>
        <v>0</v>
      </c>
      <c r="K784" s="125">
        <f t="shared" ca="1" si="472"/>
        <v>0</v>
      </c>
      <c r="L784" s="125">
        <f t="shared" ca="1" si="490"/>
        <v>0</v>
      </c>
      <c r="M784" s="125">
        <f t="shared" ca="1" si="473"/>
        <v>0</v>
      </c>
      <c r="N784" s="125">
        <f t="shared" ca="1" si="474"/>
        <v>0</v>
      </c>
      <c r="R784">
        <f t="shared" si="491"/>
        <v>777</v>
      </c>
      <c r="U784" s="55"/>
      <c r="V784">
        <f t="shared" si="492"/>
        <v>10</v>
      </c>
      <c r="W784">
        <f t="shared" ca="1" si="493"/>
        <v>2088</v>
      </c>
      <c r="X784" s="123">
        <f t="shared" ca="1" si="475"/>
        <v>68942</v>
      </c>
      <c r="Y784" s="64">
        <f t="shared" ca="1" si="476"/>
        <v>0</v>
      </c>
      <c r="Z784" s="64">
        <f t="shared" ca="1" si="477"/>
        <v>0</v>
      </c>
      <c r="AA784" s="64">
        <f t="shared" ca="1" si="478"/>
        <v>0</v>
      </c>
      <c r="AB784" s="64">
        <f t="shared" ca="1" si="479"/>
        <v>0</v>
      </c>
      <c r="AF784" t="str">
        <f t="shared" ca="1" si="459"/>
        <v>101979</v>
      </c>
      <c r="AG784" s="126">
        <f t="shared" ca="1" si="460"/>
        <v>0</v>
      </c>
      <c r="AH784" s="126">
        <f t="shared" ca="1" si="461"/>
        <v>0</v>
      </c>
      <c r="AI784" s="126">
        <f t="shared" ca="1" si="462"/>
        <v>0</v>
      </c>
      <c r="AJ784" t="str">
        <f t="shared" ca="1" si="463"/>
        <v>102088</v>
      </c>
      <c r="AK784" s="126">
        <f t="shared" ca="1" si="480"/>
        <v>0</v>
      </c>
      <c r="AL784" s="126">
        <f t="shared" ca="1" si="481"/>
        <v>0</v>
      </c>
      <c r="AM784" s="126">
        <f t="shared" ca="1" si="494"/>
        <v>0</v>
      </c>
      <c r="AN784" s="753">
        <f t="shared" ca="1" si="495"/>
        <v>0</v>
      </c>
      <c r="AO784" s="750">
        <f t="shared" ca="1" si="482"/>
        <v>0</v>
      </c>
      <c r="AP784" s="126">
        <f t="shared" ca="1" si="483"/>
        <v>0</v>
      </c>
      <c r="AQ784" s="126">
        <f t="shared" ca="1" si="484"/>
        <v>0</v>
      </c>
      <c r="AR784" s="126">
        <f t="shared" ca="1" si="464"/>
        <v>10000</v>
      </c>
      <c r="AS784" s="750">
        <f t="shared" ca="1" si="465"/>
        <v>0</v>
      </c>
      <c r="AT784" s="750">
        <f t="shared" ca="1" si="466"/>
        <v>0</v>
      </c>
      <c r="AU784" s="126">
        <f t="shared" ca="1" si="485"/>
        <v>0</v>
      </c>
      <c r="AV784" s="126">
        <f t="shared" ca="1" si="486"/>
        <v>0</v>
      </c>
      <c r="AW784" s="126">
        <f t="shared" ca="1" si="467"/>
        <v>10000</v>
      </c>
      <c r="AX784" s="750">
        <f t="shared" ca="1" si="487"/>
        <v>0</v>
      </c>
      <c r="AY784" s="750">
        <f t="shared" ca="1" si="488"/>
        <v>0</v>
      </c>
      <c r="AZ784">
        <f t="shared" si="489"/>
        <v>5750</v>
      </c>
    </row>
    <row r="785" spans="4:52">
      <c r="D785">
        <v>778</v>
      </c>
      <c r="E785" s="6">
        <f t="shared" ca="1" si="468"/>
        <v>29099</v>
      </c>
      <c r="F785" s="7">
        <f t="shared" ca="1" si="469"/>
        <v>0</v>
      </c>
      <c r="G785" s="125">
        <f ca="1">IF('Simulador - 1º Pilar'!$E$99="Sí",IF('Aportaciones PPE'!$B$13&lt;'Aportaciones PPE'!E785,0,F785*$B$8/12),F785*$B$8/12)</f>
        <v>0</v>
      </c>
      <c r="H785" s="125">
        <f t="shared" ca="1" si="458"/>
        <v>0</v>
      </c>
      <c r="I785" s="125">
        <f t="shared" ca="1" si="470"/>
        <v>0</v>
      </c>
      <c r="J785" s="125">
        <f t="shared" ca="1" si="471"/>
        <v>0</v>
      </c>
      <c r="K785" s="125">
        <f t="shared" ca="1" si="472"/>
        <v>0</v>
      </c>
      <c r="L785" s="125">
        <f t="shared" ca="1" si="490"/>
        <v>0</v>
      </c>
      <c r="M785" s="125">
        <f t="shared" ca="1" si="473"/>
        <v>0</v>
      </c>
      <c r="N785" s="125">
        <f t="shared" ca="1" si="474"/>
        <v>0</v>
      </c>
      <c r="R785">
        <f t="shared" si="491"/>
        <v>778</v>
      </c>
      <c r="U785" s="55"/>
      <c r="V785">
        <f t="shared" si="492"/>
        <v>11</v>
      </c>
      <c r="W785">
        <f t="shared" ca="1" si="493"/>
        <v>2088</v>
      </c>
      <c r="X785" s="123">
        <f t="shared" ca="1" si="475"/>
        <v>68973</v>
      </c>
      <c r="Y785" s="64">
        <f t="shared" ca="1" si="476"/>
        <v>0</v>
      </c>
      <c r="Z785" s="64">
        <f t="shared" ca="1" si="477"/>
        <v>0</v>
      </c>
      <c r="AA785" s="64">
        <f t="shared" ca="1" si="478"/>
        <v>0</v>
      </c>
      <c r="AB785" s="64">
        <f t="shared" ca="1" si="479"/>
        <v>0</v>
      </c>
      <c r="AF785" t="str">
        <f t="shared" ca="1" si="459"/>
        <v>91979</v>
      </c>
      <c r="AG785" s="126">
        <f t="shared" ca="1" si="460"/>
        <v>0</v>
      </c>
      <c r="AH785" s="126">
        <f t="shared" ca="1" si="461"/>
        <v>0</v>
      </c>
      <c r="AI785" s="126">
        <f t="shared" ca="1" si="462"/>
        <v>0</v>
      </c>
      <c r="AJ785" t="str">
        <f t="shared" ca="1" si="463"/>
        <v>112088</v>
      </c>
      <c r="AK785" s="126">
        <f t="shared" ca="1" si="480"/>
        <v>0</v>
      </c>
      <c r="AL785" s="126">
        <f t="shared" ca="1" si="481"/>
        <v>0</v>
      </c>
      <c r="AM785" s="126">
        <f t="shared" ca="1" si="494"/>
        <v>0</v>
      </c>
      <c r="AN785" s="753">
        <f t="shared" ca="1" si="495"/>
        <v>0</v>
      </c>
      <c r="AO785" s="750">
        <f t="shared" ca="1" si="482"/>
        <v>0</v>
      </c>
      <c r="AP785" s="126">
        <f t="shared" ca="1" si="483"/>
        <v>0</v>
      </c>
      <c r="AQ785" s="126">
        <f t="shared" ca="1" si="484"/>
        <v>0</v>
      </c>
      <c r="AR785" s="126">
        <f t="shared" ca="1" si="464"/>
        <v>10000</v>
      </c>
      <c r="AS785" s="750">
        <f t="shared" ca="1" si="465"/>
        <v>0</v>
      </c>
      <c r="AT785" s="750">
        <f t="shared" ca="1" si="466"/>
        <v>0</v>
      </c>
      <c r="AU785" s="126">
        <f t="shared" ca="1" si="485"/>
        <v>0</v>
      </c>
      <c r="AV785" s="126">
        <f t="shared" ca="1" si="486"/>
        <v>0</v>
      </c>
      <c r="AW785" s="126">
        <f t="shared" ca="1" si="467"/>
        <v>10000</v>
      </c>
      <c r="AX785" s="750">
        <f t="shared" ca="1" si="487"/>
        <v>0</v>
      </c>
      <c r="AY785" s="750">
        <f t="shared" ca="1" si="488"/>
        <v>0</v>
      </c>
      <c r="AZ785">
        <f t="shared" si="489"/>
        <v>5750</v>
      </c>
    </row>
    <row r="786" spans="4:52">
      <c r="D786">
        <v>779</v>
      </c>
      <c r="E786" s="6">
        <f t="shared" ca="1" si="468"/>
        <v>29068</v>
      </c>
      <c r="F786" s="7">
        <f t="shared" ca="1" si="469"/>
        <v>0</v>
      </c>
      <c r="G786" s="125">
        <f ca="1">IF('Simulador - 1º Pilar'!$E$99="Sí",IF('Aportaciones PPE'!$B$13&lt;'Aportaciones PPE'!E786,0,F786*$B$8/12),F786*$B$8/12)</f>
        <v>0</v>
      </c>
      <c r="H786" s="125">
        <f t="shared" ca="1" si="458"/>
        <v>0</v>
      </c>
      <c r="I786" s="125">
        <f t="shared" ca="1" si="470"/>
        <v>0</v>
      </c>
      <c r="J786" s="125">
        <f t="shared" ca="1" si="471"/>
        <v>0</v>
      </c>
      <c r="K786" s="125">
        <f t="shared" ca="1" si="472"/>
        <v>0</v>
      </c>
      <c r="L786" s="125">
        <f t="shared" ca="1" si="490"/>
        <v>0</v>
      </c>
      <c r="M786" s="125">
        <f t="shared" ca="1" si="473"/>
        <v>0</v>
      </c>
      <c r="N786" s="125">
        <f t="shared" ca="1" si="474"/>
        <v>0</v>
      </c>
      <c r="R786">
        <f t="shared" si="491"/>
        <v>779</v>
      </c>
      <c r="U786" s="55"/>
      <c r="V786">
        <f t="shared" si="492"/>
        <v>12</v>
      </c>
      <c r="W786">
        <f t="shared" ca="1" si="493"/>
        <v>2088</v>
      </c>
      <c r="X786" s="123">
        <f t="shared" ca="1" si="475"/>
        <v>69003</v>
      </c>
      <c r="Y786" s="64">
        <f t="shared" ca="1" si="476"/>
        <v>0</v>
      </c>
      <c r="Z786" s="64">
        <f t="shared" ca="1" si="477"/>
        <v>0</v>
      </c>
      <c r="AA786" s="64">
        <f t="shared" ca="1" si="478"/>
        <v>0</v>
      </c>
      <c r="AB786" s="64">
        <f t="shared" ca="1" si="479"/>
        <v>0</v>
      </c>
      <c r="AF786" t="str">
        <f t="shared" ca="1" si="459"/>
        <v>81979</v>
      </c>
      <c r="AG786" s="126">
        <f t="shared" ca="1" si="460"/>
        <v>0</v>
      </c>
      <c r="AH786" s="126">
        <f t="shared" ca="1" si="461"/>
        <v>0</v>
      </c>
      <c r="AI786" s="126">
        <f t="shared" ca="1" si="462"/>
        <v>0</v>
      </c>
      <c r="AJ786" t="str">
        <f t="shared" ca="1" si="463"/>
        <v>122088</v>
      </c>
      <c r="AK786" s="126">
        <f t="shared" ca="1" si="480"/>
        <v>0</v>
      </c>
      <c r="AL786" s="126">
        <f t="shared" ca="1" si="481"/>
        <v>0</v>
      </c>
      <c r="AM786" s="126">
        <f t="shared" ca="1" si="494"/>
        <v>0</v>
      </c>
      <c r="AN786" s="753">
        <f t="shared" ca="1" si="495"/>
        <v>0</v>
      </c>
      <c r="AO786" s="750">
        <f t="shared" ca="1" si="482"/>
        <v>0</v>
      </c>
      <c r="AP786" s="126">
        <f t="shared" ca="1" si="483"/>
        <v>0</v>
      </c>
      <c r="AQ786" s="126">
        <f t="shared" ca="1" si="484"/>
        <v>0</v>
      </c>
      <c r="AR786" s="126">
        <f t="shared" ca="1" si="464"/>
        <v>10000</v>
      </c>
      <c r="AS786" s="750">
        <f t="shared" ca="1" si="465"/>
        <v>0</v>
      </c>
      <c r="AT786" s="750">
        <f t="shared" ca="1" si="466"/>
        <v>0</v>
      </c>
      <c r="AU786" s="126">
        <f t="shared" ca="1" si="485"/>
        <v>0</v>
      </c>
      <c r="AV786" s="126">
        <f t="shared" ca="1" si="486"/>
        <v>0</v>
      </c>
      <c r="AW786" s="126">
        <f t="shared" ca="1" si="467"/>
        <v>10000</v>
      </c>
      <c r="AX786" s="750">
        <f t="shared" ca="1" si="487"/>
        <v>0</v>
      </c>
      <c r="AY786" s="750">
        <f t="shared" ca="1" si="488"/>
        <v>0</v>
      </c>
      <c r="AZ786">
        <f t="shared" si="489"/>
        <v>5750</v>
      </c>
    </row>
    <row r="787" spans="4:52">
      <c r="D787">
        <v>780</v>
      </c>
      <c r="E787" s="6">
        <f t="shared" ca="1" si="468"/>
        <v>29037</v>
      </c>
      <c r="F787" s="7">
        <f t="shared" ca="1" si="469"/>
        <v>0</v>
      </c>
      <c r="G787" s="125">
        <f ca="1">IF('Simulador - 1º Pilar'!$E$99="Sí",IF('Aportaciones PPE'!$B$13&lt;'Aportaciones PPE'!E787,0,F787*$B$8/12),F787*$B$8/12)</f>
        <v>0</v>
      </c>
      <c r="H787" s="125">
        <f t="shared" ca="1" si="458"/>
        <v>0</v>
      </c>
      <c r="I787" s="125">
        <f t="shared" ca="1" si="470"/>
        <v>0</v>
      </c>
      <c r="J787" s="125">
        <f t="shared" ca="1" si="471"/>
        <v>0</v>
      </c>
      <c r="K787" s="125">
        <f t="shared" ca="1" si="472"/>
        <v>0</v>
      </c>
      <c r="L787" s="125">
        <f t="shared" ca="1" si="490"/>
        <v>0</v>
      </c>
      <c r="M787" s="125">
        <f t="shared" ca="1" si="473"/>
        <v>0</v>
      </c>
      <c r="N787" s="125">
        <f t="shared" ca="1" si="474"/>
        <v>0</v>
      </c>
      <c r="R787">
        <f t="shared" si="491"/>
        <v>780</v>
      </c>
      <c r="U787" s="55"/>
      <c r="V787">
        <f t="shared" si="492"/>
        <v>1</v>
      </c>
      <c r="W787">
        <f t="shared" ca="1" si="493"/>
        <v>2089</v>
      </c>
      <c r="X787" s="123">
        <f t="shared" ca="1" si="475"/>
        <v>69034</v>
      </c>
      <c r="Y787" s="64">
        <f t="shared" ca="1" si="476"/>
        <v>0</v>
      </c>
      <c r="Z787" s="64">
        <f t="shared" ca="1" si="477"/>
        <v>0</v>
      </c>
      <c r="AA787" s="64">
        <f t="shared" ca="1" si="478"/>
        <v>0</v>
      </c>
      <c r="AB787" s="64">
        <f t="shared" ca="1" si="479"/>
        <v>0</v>
      </c>
      <c r="AF787" t="str">
        <f t="shared" ca="1" si="459"/>
        <v>71979</v>
      </c>
      <c r="AG787" s="126">
        <f t="shared" ca="1" si="460"/>
        <v>0</v>
      </c>
      <c r="AH787" s="126">
        <f t="shared" ca="1" si="461"/>
        <v>0</v>
      </c>
      <c r="AI787" s="126">
        <f t="shared" ca="1" si="462"/>
        <v>0</v>
      </c>
      <c r="AJ787" t="str">
        <f t="shared" ca="1" si="463"/>
        <v>12089</v>
      </c>
      <c r="AK787" s="126">
        <f t="shared" ca="1" si="480"/>
        <v>0</v>
      </c>
      <c r="AL787" s="126">
        <f t="shared" ca="1" si="481"/>
        <v>0</v>
      </c>
      <c r="AM787" s="126">
        <f t="shared" ca="1" si="494"/>
        <v>0</v>
      </c>
      <c r="AN787" s="753">
        <f t="shared" ca="1" si="495"/>
        <v>0</v>
      </c>
      <c r="AO787" s="750">
        <f t="shared" ca="1" si="482"/>
        <v>0</v>
      </c>
      <c r="AP787" s="126">
        <f t="shared" ca="1" si="483"/>
        <v>0</v>
      </c>
      <c r="AQ787" s="126">
        <f t="shared" ca="1" si="484"/>
        <v>0</v>
      </c>
      <c r="AR787" s="126">
        <f t="shared" ca="1" si="464"/>
        <v>10000</v>
      </c>
      <c r="AS787" s="750">
        <f t="shared" ca="1" si="465"/>
        <v>0</v>
      </c>
      <c r="AT787" s="750">
        <f t="shared" ca="1" si="466"/>
        <v>0</v>
      </c>
      <c r="AU787" s="126">
        <f t="shared" ca="1" si="485"/>
        <v>0</v>
      </c>
      <c r="AV787" s="126">
        <f t="shared" ca="1" si="486"/>
        <v>0</v>
      </c>
      <c r="AW787" s="126">
        <f t="shared" ca="1" si="467"/>
        <v>10000</v>
      </c>
      <c r="AX787" s="750">
        <f t="shared" ca="1" si="487"/>
        <v>0</v>
      </c>
      <c r="AY787" s="750">
        <f t="shared" ca="1" si="488"/>
        <v>0</v>
      </c>
      <c r="AZ787">
        <f t="shared" si="489"/>
        <v>5750</v>
      </c>
    </row>
    <row r="788" spans="4:52">
      <c r="D788">
        <v>781</v>
      </c>
      <c r="E788" s="6">
        <f t="shared" ca="1" si="468"/>
        <v>29007</v>
      </c>
      <c r="F788" s="7">
        <f t="shared" ca="1" si="469"/>
        <v>0</v>
      </c>
      <c r="G788" s="125">
        <f ca="1">IF('Simulador - 1º Pilar'!$E$99="Sí",IF('Aportaciones PPE'!$B$13&lt;'Aportaciones PPE'!E788,0,F788*$B$8/12),F788*$B$8/12)</f>
        <v>0</v>
      </c>
      <c r="H788" s="125">
        <f t="shared" ca="1" si="458"/>
        <v>0</v>
      </c>
      <c r="I788" s="125">
        <f t="shared" ca="1" si="470"/>
        <v>0</v>
      </c>
      <c r="J788" s="125">
        <f t="shared" ca="1" si="471"/>
        <v>0</v>
      </c>
      <c r="K788" s="125">
        <f t="shared" ca="1" si="472"/>
        <v>0</v>
      </c>
      <c r="L788" s="125">
        <f t="shared" ca="1" si="490"/>
        <v>0</v>
      </c>
      <c r="M788" s="125">
        <f t="shared" ca="1" si="473"/>
        <v>0</v>
      </c>
      <c r="N788" s="125">
        <f t="shared" ca="1" si="474"/>
        <v>0</v>
      </c>
      <c r="R788">
        <f t="shared" si="491"/>
        <v>781</v>
      </c>
      <c r="U788" s="55"/>
      <c r="V788">
        <f t="shared" si="492"/>
        <v>2</v>
      </c>
      <c r="W788">
        <f t="shared" ca="1" si="493"/>
        <v>2089</v>
      </c>
      <c r="X788" s="123">
        <f t="shared" ca="1" si="475"/>
        <v>69065</v>
      </c>
      <c r="Y788" s="64">
        <f t="shared" ca="1" si="476"/>
        <v>0</v>
      </c>
      <c r="Z788" s="64">
        <f t="shared" ca="1" si="477"/>
        <v>0</v>
      </c>
      <c r="AA788" s="64">
        <f t="shared" ca="1" si="478"/>
        <v>0</v>
      </c>
      <c r="AB788" s="64">
        <f t="shared" ca="1" si="479"/>
        <v>0</v>
      </c>
      <c r="AF788" t="str">
        <f t="shared" ca="1" si="459"/>
        <v>61979</v>
      </c>
      <c r="AG788" s="126">
        <f t="shared" ca="1" si="460"/>
        <v>0</v>
      </c>
      <c r="AH788" s="126">
        <f t="shared" ca="1" si="461"/>
        <v>0</v>
      </c>
      <c r="AI788" s="126">
        <f t="shared" ca="1" si="462"/>
        <v>0</v>
      </c>
      <c r="AJ788" t="str">
        <f t="shared" ca="1" si="463"/>
        <v>22089</v>
      </c>
      <c r="AK788" s="126">
        <f t="shared" ca="1" si="480"/>
        <v>0</v>
      </c>
      <c r="AL788" s="126">
        <f t="shared" ca="1" si="481"/>
        <v>0</v>
      </c>
      <c r="AM788" s="126">
        <f t="shared" ca="1" si="494"/>
        <v>0</v>
      </c>
      <c r="AN788" s="753">
        <f t="shared" ca="1" si="495"/>
        <v>0</v>
      </c>
      <c r="AO788" s="750">
        <f t="shared" ca="1" si="482"/>
        <v>0</v>
      </c>
      <c r="AP788" s="126">
        <f t="shared" ca="1" si="483"/>
        <v>0</v>
      </c>
      <c r="AQ788" s="126">
        <f t="shared" ca="1" si="484"/>
        <v>0</v>
      </c>
      <c r="AR788" s="126">
        <f t="shared" ca="1" si="464"/>
        <v>10000</v>
      </c>
      <c r="AS788" s="750">
        <f t="shared" ca="1" si="465"/>
        <v>0</v>
      </c>
      <c r="AT788" s="750">
        <f t="shared" ca="1" si="466"/>
        <v>0</v>
      </c>
      <c r="AU788" s="126">
        <f t="shared" ca="1" si="485"/>
        <v>0</v>
      </c>
      <c r="AV788" s="126">
        <f t="shared" ca="1" si="486"/>
        <v>0</v>
      </c>
      <c r="AW788" s="126">
        <f t="shared" ca="1" si="467"/>
        <v>10000</v>
      </c>
      <c r="AX788" s="750">
        <f t="shared" ca="1" si="487"/>
        <v>0</v>
      </c>
      <c r="AY788" s="750">
        <f t="shared" ca="1" si="488"/>
        <v>0</v>
      </c>
      <c r="AZ788">
        <f t="shared" si="489"/>
        <v>5750</v>
      </c>
    </row>
    <row r="789" spans="4:52">
      <c r="D789">
        <v>782</v>
      </c>
      <c r="E789" s="6">
        <f t="shared" ca="1" si="468"/>
        <v>28976</v>
      </c>
      <c r="F789" s="7">
        <f t="shared" ca="1" si="469"/>
        <v>0</v>
      </c>
      <c r="G789" s="125">
        <f ca="1">IF('Simulador - 1º Pilar'!$E$99="Sí",IF('Aportaciones PPE'!$B$13&lt;'Aportaciones PPE'!E789,0,F789*$B$8/12),F789*$B$8/12)</f>
        <v>0</v>
      </c>
      <c r="H789" s="125">
        <f t="shared" ca="1" si="458"/>
        <v>0</v>
      </c>
      <c r="I789" s="125">
        <f t="shared" ca="1" si="470"/>
        <v>0</v>
      </c>
      <c r="J789" s="125">
        <f t="shared" ca="1" si="471"/>
        <v>0</v>
      </c>
      <c r="K789" s="125">
        <f t="shared" ca="1" si="472"/>
        <v>0</v>
      </c>
      <c r="L789" s="125">
        <f t="shared" ca="1" si="490"/>
        <v>0</v>
      </c>
      <c r="M789" s="125">
        <f t="shared" ca="1" si="473"/>
        <v>0</v>
      </c>
      <c r="N789" s="125">
        <f t="shared" ca="1" si="474"/>
        <v>0</v>
      </c>
      <c r="R789">
        <f t="shared" si="491"/>
        <v>782</v>
      </c>
      <c r="U789" s="55"/>
      <c r="V789">
        <f t="shared" si="492"/>
        <v>3</v>
      </c>
      <c r="W789">
        <f t="shared" ca="1" si="493"/>
        <v>2089</v>
      </c>
      <c r="X789" s="123">
        <f t="shared" ca="1" si="475"/>
        <v>69093</v>
      </c>
      <c r="Y789" s="64">
        <f t="shared" ca="1" si="476"/>
        <v>0</v>
      </c>
      <c r="Z789" s="64">
        <f t="shared" ca="1" si="477"/>
        <v>0</v>
      </c>
      <c r="AA789" s="64">
        <f t="shared" ca="1" si="478"/>
        <v>0</v>
      </c>
      <c r="AB789" s="64">
        <f t="shared" ca="1" si="479"/>
        <v>0</v>
      </c>
      <c r="AF789" t="str">
        <f t="shared" ca="1" si="459"/>
        <v>51979</v>
      </c>
      <c r="AG789" s="126">
        <f t="shared" ca="1" si="460"/>
        <v>0</v>
      </c>
      <c r="AH789" s="126">
        <f t="shared" ca="1" si="461"/>
        <v>0</v>
      </c>
      <c r="AI789" s="126">
        <f t="shared" ca="1" si="462"/>
        <v>0</v>
      </c>
      <c r="AJ789" t="str">
        <f t="shared" ca="1" si="463"/>
        <v>32089</v>
      </c>
      <c r="AK789" s="126">
        <f t="shared" ca="1" si="480"/>
        <v>0</v>
      </c>
      <c r="AL789" s="126">
        <f t="shared" ca="1" si="481"/>
        <v>0</v>
      </c>
      <c r="AM789" s="126">
        <f t="shared" ca="1" si="494"/>
        <v>0</v>
      </c>
      <c r="AN789" s="753">
        <f t="shared" ca="1" si="495"/>
        <v>0</v>
      </c>
      <c r="AO789" s="750">
        <f t="shared" ca="1" si="482"/>
        <v>0</v>
      </c>
      <c r="AP789" s="126">
        <f t="shared" ca="1" si="483"/>
        <v>0</v>
      </c>
      <c r="AQ789" s="126">
        <f t="shared" ca="1" si="484"/>
        <v>0</v>
      </c>
      <c r="AR789" s="126">
        <f t="shared" ca="1" si="464"/>
        <v>10000</v>
      </c>
      <c r="AS789" s="750">
        <f t="shared" ca="1" si="465"/>
        <v>0</v>
      </c>
      <c r="AT789" s="750">
        <f t="shared" ca="1" si="466"/>
        <v>0</v>
      </c>
      <c r="AU789" s="126">
        <f t="shared" ca="1" si="485"/>
        <v>0</v>
      </c>
      <c r="AV789" s="126">
        <f t="shared" ca="1" si="486"/>
        <v>0</v>
      </c>
      <c r="AW789" s="126">
        <f t="shared" ca="1" si="467"/>
        <v>10000</v>
      </c>
      <c r="AX789" s="750">
        <f t="shared" ca="1" si="487"/>
        <v>0</v>
      </c>
      <c r="AY789" s="750">
        <f t="shared" ca="1" si="488"/>
        <v>0</v>
      </c>
      <c r="AZ789">
        <f t="shared" si="489"/>
        <v>5750</v>
      </c>
    </row>
    <row r="790" spans="4:52">
      <c r="D790">
        <v>783</v>
      </c>
      <c r="E790" s="6">
        <f t="shared" ca="1" si="468"/>
        <v>28946</v>
      </c>
      <c r="F790" s="7">
        <f t="shared" ca="1" si="469"/>
        <v>0</v>
      </c>
      <c r="G790" s="125">
        <f ca="1">IF('Simulador - 1º Pilar'!$E$99="Sí",IF('Aportaciones PPE'!$B$13&lt;'Aportaciones PPE'!E790,0,F790*$B$8/12),F790*$B$8/12)</f>
        <v>0</v>
      </c>
      <c r="H790" s="125">
        <f t="shared" ca="1" si="458"/>
        <v>0</v>
      </c>
      <c r="I790" s="125">
        <f t="shared" ca="1" si="470"/>
        <v>0</v>
      </c>
      <c r="J790" s="125">
        <f t="shared" ca="1" si="471"/>
        <v>0</v>
      </c>
      <c r="K790" s="125">
        <f t="shared" ca="1" si="472"/>
        <v>0</v>
      </c>
      <c r="L790" s="125">
        <f t="shared" ca="1" si="490"/>
        <v>0</v>
      </c>
      <c r="M790" s="125">
        <f t="shared" ca="1" si="473"/>
        <v>0</v>
      </c>
      <c r="N790" s="125">
        <f t="shared" ca="1" si="474"/>
        <v>0</v>
      </c>
      <c r="R790">
        <f t="shared" si="491"/>
        <v>783</v>
      </c>
      <c r="U790" s="55"/>
      <c r="V790">
        <f t="shared" si="492"/>
        <v>4</v>
      </c>
      <c r="W790">
        <f t="shared" ca="1" si="493"/>
        <v>2089</v>
      </c>
      <c r="X790" s="123">
        <f t="shared" ca="1" si="475"/>
        <v>69124</v>
      </c>
      <c r="Y790" s="64">
        <f t="shared" ca="1" si="476"/>
        <v>0</v>
      </c>
      <c r="Z790" s="64">
        <f t="shared" ca="1" si="477"/>
        <v>0</v>
      </c>
      <c r="AA790" s="64">
        <f t="shared" ca="1" si="478"/>
        <v>0</v>
      </c>
      <c r="AB790" s="64">
        <f t="shared" ca="1" si="479"/>
        <v>0</v>
      </c>
      <c r="AF790" t="str">
        <f t="shared" ca="1" si="459"/>
        <v>41979</v>
      </c>
      <c r="AG790" s="126">
        <f t="shared" ca="1" si="460"/>
        <v>0</v>
      </c>
      <c r="AH790" s="126">
        <f t="shared" ca="1" si="461"/>
        <v>0</v>
      </c>
      <c r="AI790" s="126">
        <f t="shared" ca="1" si="462"/>
        <v>0</v>
      </c>
      <c r="AJ790" t="str">
        <f t="shared" ca="1" si="463"/>
        <v>42089</v>
      </c>
      <c r="AK790" s="126">
        <f t="shared" ca="1" si="480"/>
        <v>0</v>
      </c>
      <c r="AL790" s="126">
        <f t="shared" ca="1" si="481"/>
        <v>0</v>
      </c>
      <c r="AM790" s="126">
        <f t="shared" ca="1" si="494"/>
        <v>0</v>
      </c>
      <c r="AN790" s="753">
        <f t="shared" ca="1" si="495"/>
        <v>0</v>
      </c>
      <c r="AO790" s="750">
        <f t="shared" ca="1" si="482"/>
        <v>0</v>
      </c>
      <c r="AP790" s="126">
        <f t="shared" ca="1" si="483"/>
        <v>0</v>
      </c>
      <c r="AQ790" s="126">
        <f t="shared" ca="1" si="484"/>
        <v>0</v>
      </c>
      <c r="AR790" s="126">
        <f t="shared" ca="1" si="464"/>
        <v>10000</v>
      </c>
      <c r="AS790" s="750">
        <f t="shared" ca="1" si="465"/>
        <v>0</v>
      </c>
      <c r="AT790" s="750">
        <f t="shared" ca="1" si="466"/>
        <v>0</v>
      </c>
      <c r="AU790" s="126">
        <f t="shared" ca="1" si="485"/>
        <v>0</v>
      </c>
      <c r="AV790" s="126">
        <f t="shared" ca="1" si="486"/>
        <v>0</v>
      </c>
      <c r="AW790" s="126">
        <f t="shared" ca="1" si="467"/>
        <v>10000</v>
      </c>
      <c r="AX790" s="750">
        <f t="shared" ca="1" si="487"/>
        <v>0</v>
      </c>
      <c r="AY790" s="750">
        <f t="shared" ca="1" si="488"/>
        <v>0</v>
      </c>
      <c r="AZ790">
        <f t="shared" si="489"/>
        <v>5750</v>
      </c>
    </row>
    <row r="791" spans="4:52">
      <c r="D791">
        <v>784</v>
      </c>
      <c r="E791" s="6">
        <f t="shared" ca="1" si="468"/>
        <v>28915</v>
      </c>
      <c r="F791" s="7">
        <f t="shared" ca="1" si="469"/>
        <v>0</v>
      </c>
      <c r="G791" s="125">
        <f ca="1">IF('Simulador - 1º Pilar'!$E$99="Sí",IF('Aportaciones PPE'!$B$13&lt;'Aportaciones PPE'!E791,0,F791*$B$8/12),F791*$B$8/12)</f>
        <v>0</v>
      </c>
      <c r="H791" s="125">
        <f t="shared" ca="1" si="458"/>
        <v>0</v>
      </c>
      <c r="I791" s="125">
        <f t="shared" ca="1" si="470"/>
        <v>0</v>
      </c>
      <c r="J791" s="125">
        <f t="shared" ca="1" si="471"/>
        <v>0</v>
      </c>
      <c r="K791" s="125">
        <f t="shared" ca="1" si="472"/>
        <v>0</v>
      </c>
      <c r="L791" s="125">
        <f t="shared" ca="1" si="490"/>
        <v>0</v>
      </c>
      <c r="M791" s="125">
        <f t="shared" ca="1" si="473"/>
        <v>0</v>
      </c>
      <c r="N791" s="125">
        <f t="shared" ca="1" si="474"/>
        <v>0</v>
      </c>
      <c r="R791">
        <f t="shared" si="491"/>
        <v>784</v>
      </c>
      <c r="U791" s="55"/>
      <c r="V791">
        <f t="shared" si="492"/>
        <v>5</v>
      </c>
      <c r="W791">
        <f t="shared" ca="1" si="493"/>
        <v>2089</v>
      </c>
      <c r="X791" s="123">
        <f t="shared" ca="1" si="475"/>
        <v>69154</v>
      </c>
      <c r="Y791" s="64">
        <f t="shared" ca="1" si="476"/>
        <v>0</v>
      </c>
      <c r="Z791" s="64">
        <f t="shared" ca="1" si="477"/>
        <v>0</v>
      </c>
      <c r="AA791" s="64">
        <f t="shared" ca="1" si="478"/>
        <v>0</v>
      </c>
      <c r="AB791" s="64">
        <f t="shared" ca="1" si="479"/>
        <v>0</v>
      </c>
      <c r="AF791" t="str">
        <f t="shared" ca="1" si="459"/>
        <v>31979</v>
      </c>
      <c r="AG791" s="126">
        <f t="shared" ca="1" si="460"/>
        <v>0</v>
      </c>
      <c r="AH791" s="126">
        <f t="shared" ca="1" si="461"/>
        <v>0</v>
      </c>
      <c r="AI791" s="126">
        <f t="shared" ca="1" si="462"/>
        <v>0</v>
      </c>
      <c r="AJ791" t="str">
        <f t="shared" ca="1" si="463"/>
        <v>52089</v>
      </c>
      <c r="AK791" s="126">
        <f t="shared" ca="1" si="480"/>
        <v>0</v>
      </c>
      <c r="AL791" s="126">
        <f t="shared" ca="1" si="481"/>
        <v>0</v>
      </c>
      <c r="AM791" s="126">
        <f t="shared" ca="1" si="494"/>
        <v>0</v>
      </c>
      <c r="AN791" s="753">
        <f t="shared" ca="1" si="495"/>
        <v>0</v>
      </c>
      <c r="AO791" s="750">
        <f t="shared" ca="1" si="482"/>
        <v>0</v>
      </c>
      <c r="AP791" s="126">
        <f t="shared" ca="1" si="483"/>
        <v>0</v>
      </c>
      <c r="AQ791" s="126">
        <f t="shared" ca="1" si="484"/>
        <v>0</v>
      </c>
      <c r="AR791" s="126">
        <f t="shared" ca="1" si="464"/>
        <v>10000</v>
      </c>
      <c r="AS791" s="750">
        <f t="shared" ca="1" si="465"/>
        <v>0</v>
      </c>
      <c r="AT791" s="750">
        <f t="shared" ca="1" si="466"/>
        <v>0</v>
      </c>
      <c r="AU791" s="126">
        <f t="shared" ca="1" si="485"/>
        <v>0</v>
      </c>
      <c r="AV791" s="126">
        <f t="shared" ca="1" si="486"/>
        <v>0</v>
      </c>
      <c r="AW791" s="126">
        <f t="shared" ca="1" si="467"/>
        <v>10000</v>
      </c>
      <c r="AX791" s="750">
        <f t="shared" ca="1" si="487"/>
        <v>0</v>
      </c>
      <c r="AY791" s="750">
        <f t="shared" ca="1" si="488"/>
        <v>0</v>
      </c>
      <c r="AZ791">
        <f t="shared" si="489"/>
        <v>5750</v>
      </c>
    </row>
    <row r="792" spans="4:52">
      <c r="D792">
        <v>785</v>
      </c>
      <c r="E792" s="6">
        <f t="shared" ca="1" si="468"/>
        <v>28887</v>
      </c>
      <c r="F792" s="7">
        <f t="shared" ca="1" si="469"/>
        <v>0</v>
      </c>
      <c r="G792" s="125">
        <f ca="1">IF('Simulador - 1º Pilar'!$E$99="Sí",IF('Aportaciones PPE'!$B$13&lt;'Aportaciones PPE'!E792,0,F792*$B$8/12),F792*$B$8/12)</f>
        <v>0</v>
      </c>
      <c r="H792" s="125">
        <f t="shared" ca="1" si="458"/>
        <v>0</v>
      </c>
      <c r="I792" s="125">
        <f t="shared" ca="1" si="470"/>
        <v>0</v>
      </c>
      <c r="J792" s="125">
        <f t="shared" ca="1" si="471"/>
        <v>0</v>
      </c>
      <c r="K792" s="125">
        <f t="shared" ca="1" si="472"/>
        <v>0</v>
      </c>
      <c r="L792" s="125">
        <f t="shared" ca="1" si="490"/>
        <v>0</v>
      </c>
      <c r="M792" s="125">
        <f t="shared" ca="1" si="473"/>
        <v>0</v>
      </c>
      <c r="N792" s="125">
        <f t="shared" ca="1" si="474"/>
        <v>0</v>
      </c>
      <c r="R792">
        <f t="shared" si="491"/>
        <v>785</v>
      </c>
      <c r="U792" s="55"/>
      <c r="V792">
        <f t="shared" si="492"/>
        <v>6</v>
      </c>
      <c r="W792">
        <f t="shared" ca="1" si="493"/>
        <v>2089</v>
      </c>
      <c r="X792" s="123">
        <f t="shared" ca="1" si="475"/>
        <v>69185</v>
      </c>
      <c r="Y792" s="64">
        <f t="shared" ca="1" si="476"/>
        <v>0</v>
      </c>
      <c r="Z792" s="64">
        <f t="shared" ca="1" si="477"/>
        <v>0</v>
      </c>
      <c r="AA792" s="64">
        <f t="shared" ca="1" si="478"/>
        <v>0</v>
      </c>
      <c r="AB792" s="64">
        <f t="shared" ca="1" si="479"/>
        <v>0</v>
      </c>
      <c r="AF792" t="str">
        <f t="shared" ca="1" si="459"/>
        <v>21979</v>
      </c>
      <c r="AG792" s="126">
        <f t="shared" ca="1" si="460"/>
        <v>0</v>
      </c>
      <c r="AH792" s="126">
        <f t="shared" ca="1" si="461"/>
        <v>0</v>
      </c>
      <c r="AI792" s="126">
        <f t="shared" ca="1" si="462"/>
        <v>0</v>
      </c>
      <c r="AJ792" t="str">
        <f t="shared" ca="1" si="463"/>
        <v>62089</v>
      </c>
      <c r="AK792" s="126">
        <f t="shared" ca="1" si="480"/>
        <v>0</v>
      </c>
      <c r="AL792" s="126">
        <f t="shared" ca="1" si="481"/>
        <v>0</v>
      </c>
      <c r="AM792" s="126">
        <f t="shared" ca="1" si="494"/>
        <v>0</v>
      </c>
      <c r="AN792" s="753">
        <f t="shared" ca="1" si="495"/>
        <v>0</v>
      </c>
      <c r="AO792" s="750">
        <f t="shared" ca="1" si="482"/>
        <v>0</v>
      </c>
      <c r="AP792" s="126">
        <f t="shared" ca="1" si="483"/>
        <v>0</v>
      </c>
      <c r="AQ792" s="126">
        <f t="shared" ca="1" si="484"/>
        <v>0</v>
      </c>
      <c r="AR792" s="126">
        <f t="shared" ca="1" si="464"/>
        <v>10000</v>
      </c>
      <c r="AS792" s="750">
        <f t="shared" ca="1" si="465"/>
        <v>0</v>
      </c>
      <c r="AT792" s="750">
        <f t="shared" ca="1" si="466"/>
        <v>0</v>
      </c>
      <c r="AU792" s="126">
        <f t="shared" ca="1" si="485"/>
        <v>0</v>
      </c>
      <c r="AV792" s="126">
        <f t="shared" ca="1" si="486"/>
        <v>0</v>
      </c>
      <c r="AW792" s="126">
        <f t="shared" ca="1" si="467"/>
        <v>10000</v>
      </c>
      <c r="AX792" s="750">
        <f t="shared" ca="1" si="487"/>
        <v>0</v>
      </c>
      <c r="AY792" s="750">
        <f t="shared" ca="1" si="488"/>
        <v>0</v>
      </c>
      <c r="AZ792">
        <f t="shared" si="489"/>
        <v>5750</v>
      </c>
    </row>
    <row r="793" spans="4:52">
      <c r="D793">
        <v>786</v>
      </c>
      <c r="E793" s="6">
        <f t="shared" ca="1" si="468"/>
        <v>28856</v>
      </c>
      <c r="F793" s="7">
        <f t="shared" ca="1" si="469"/>
        <v>0</v>
      </c>
      <c r="G793" s="125">
        <f ca="1">IF('Simulador - 1º Pilar'!$E$99="Sí",IF('Aportaciones PPE'!$B$13&lt;'Aportaciones PPE'!E793,0,F793*$B$8/12),F793*$B$8/12)</f>
        <v>0</v>
      </c>
      <c r="H793" s="125">
        <f t="shared" ca="1" si="458"/>
        <v>0</v>
      </c>
      <c r="I793" s="125">
        <f t="shared" ca="1" si="470"/>
        <v>0</v>
      </c>
      <c r="J793" s="125">
        <f t="shared" ca="1" si="471"/>
        <v>0</v>
      </c>
      <c r="K793" s="125">
        <f t="shared" ca="1" si="472"/>
        <v>0</v>
      </c>
      <c r="L793" s="125">
        <f t="shared" ca="1" si="490"/>
        <v>0</v>
      </c>
      <c r="M793" s="125">
        <f t="shared" ca="1" si="473"/>
        <v>0</v>
      </c>
      <c r="N793" s="125">
        <f t="shared" ca="1" si="474"/>
        <v>0</v>
      </c>
      <c r="R793">
        <f t="shared" si="491"/>
        <v>786</v>
      </c>
      <c r="U793" s="55"/>
      <c r="V793">
        <f t="shared" si="492"/>
        <v>7</v>
      </c>
      <c r="W793">
        <f t="shared" ca="1" si="493"/>
        <v>2089</v>
      </c>
      <c r="X793" s="123">
        <f t="shared" ca="1" si="475"/>
        <v>69215</v>
      </c>
      <c r="Y793" s="64">
        <f t="shared" ca="1" si="476"/>
        <v>0</v>
      </c>
      <c r="Z793" s="64">
        <f t="shared" ca="1" si="477"/>
        <v>0</v>
      </c>
      <c r="AA793" s="64">
        <f t="shared" ca="1" si="478"/>
        <v>0</v>
      </c>
      <c r="AB793" s="64">
        <f t="shared" ca="1" si="479"/>
        <v>0</v>
      </c>
      <c r="AF793" t="str">
        <f t="shared" ca="1" si="459"/>
        <v>11979</v>
      </c>
      <c r="AG793" s="126">
        <f t="shared" ca="1" si="460"/>
        <v>0</v>
      </c>
      <c r="AH793" s="126">
        <f t="shared" ca="1" si="461"/>
        <v>0</v>
      </c>
      <c r="AI793" s="126">
        <f t="shared" ca="1" si="462"/>
        <v>0</v>
      </c>
      <c r="AJ793" t="str">
        <f t="shared" ca="1" si="463"/>
        <v>72089</v>
      </c>
      <c r="AK793" s="126">
        <f t="shared" ca="1" si="480"/>
        <v>0</v>
      </c>
      <c r="AL793" s="126">
        <f t="shared" ca="1" si="481"/>
        <v>0</v>
      </c>
      <c r="AM793" s="126">
        <f t="shared" ca="1" si="494"/>
        <v>0</v>
      </c>
      <c r="AN793" s="753">
        <f t="shared" ca="1" si="495"/>
        <v>0</v>
      </c>
      <c r="AO793" s="750">
        <f t="shared" ca="1" si="482"/>
        <v>0</v>
      </c>
      <c r="AP793" s="126">
        <f t="shared" ca="1" si="483"/>
        <v>0</v>
      </c>
      <c r="AQ793" s="126">
        <f t="shared" ca="1" si="484"/>
        <v>0</v>
      </c>
      <c r="AR793" s="126">
        <f t="shared" ca="1" si="464"/>
        <v>10000</v>
      </c>
      <c r="AS793" s="750">
        <f t="shared" ca="1" si="465"/>
        <v>0</v>
      </c>
      <c r="AT793" s="750">
        <f t="shared" ca="1" si="466"/>
        <v>0</v>
      </c>
      <c r="AU793" s="126">
        <f t="shared" ca="1" si="485"/>
        <v>0</v>
      </c>
      <c r="AV793" s="126">
        <f t="shared" ca="1" si="486"/>
        <v>0</v>
      </c>
      <c r="AW793" s="126">
        <f t="shared" ca="1" si="467"/>
        <v>10000</v>
      </c>
      <c r="AX793" s="750">
        <f t="shared" ca="1" si="487"/>
        <v>0</v>
      </c>
      <c r="AY793" s="750">
        <f t="shared" ca="1" si="488"/>
        <v>0</v>
      </c>
      <c r="AZ793">
        <f t="shared" si="489"/>
        <v>5750</v>
      </c>
    </row>
    <row r="794" spans="4:52">
      <c r="D794">
        <v>787</v>
      </c>
      <c r="E794" s="6">
        <f t="shared" ca="1" si="468"/>
        <v>28825</v>
      </c>
      <c r="F794" s="7">
        <f t="shared" ca="1" si="469"/>
        <v>0</v>
      </c>
      <c r="G794" s="125">
        <f ca="1">IF('Simulador - 1º Pilar'!$E$99="Sí",IF('Aportaciones PPE'!$B$13&lt;'Aportaciones PPE'!E794,0,F794*$B$8/12),F794*$B$8/12)</f>
        <v>0</v>
      </c>
      <c r="H794" s="125">
        <f t="shared" ca="1" si="458"/>
        <v>0</v>
      </c>
      <c r="I794" s="125">
        <f t="shared" ca="1" si="470"/>
        <v>0</v>
      </c>
      <c r="J794" s="125">
        <f t="shared" ca="1" si="471"/>
        <v>0</v>
      </c>
      <c r="K794" s="125">
        <f t="shared" ca="1" si="472"/>
        <v>0</v>
      </c>
      <c r="L794" s="125">
        <f t="shared" ca="1" si="490"/>
        <v>0</v>
      </c>
      <c r="M794" s="125">
        <f t="shared" ca="1" si="473"/>
        <v>0</v>
      </c>
      <c r="N794" s="125">
        <f t="shared" ca="1" si="474"/>
        <v>0</v>
      </c>
      <c r="R794">
        <f t="shared" si="491"/>
        <v>787</v>
      </c>
      <c r="U794" s="55"/>
      <c r="V794">
        <f t="shared" si="492"/>
        <v>8</v>
      </c>
      <c r="W794">
        <f t="shared" ca="1" si="493"/>
        <v>2089</v>
      </c>
      <c r="X794" s="123">
        <f t="shared" ca="1" si="475"/>
        <v>69246</v>
      </c>
      <c r="Y794" s="64">
        <f t="shared" ca="1" si="476"/>
        <v>0</v>
      </c>
      <c r="Z794" s="64">
        <f t="shared" ca="1" si="477"/>
        <v>0</v>
      </c>
      <c r="AA794" s="64">
        <f t="shared" ca="1" si="478"/>
        <v>0</v>
      </c>
      <c r="AB794" s="64">
        <f t="shared" ca="1" si="479"/>
        <v>0</v>
      </c>
      <c r="AF794" t="str">
        <f t="shared" ca="1" si="459"/>
        <v>121978</v>
      </c>
      <c r="AG794" s="126">
        <f t="shared" ca="1" si="460"/>
        <v>0</v>
      </c>
      <c r="AH794" s="126">
        <f t="shared" ca="1" si="461"/>
        <v>0</v>
      </c>
      <c r="AI794" s="126">
        <f t="shared" ca="1" si="462"/>
        <v>0</v>
      </c>
      <c r="AJ794" t="str">
        <f t="shared" ca="1" si="463"/>
        <v>82089</v>
      </c>
      <c r="AK794" s="126">
        <f t="shared" ca="1" si="480"/>
        <v>0</v>
      </c>
      <c r="AL794" s="126">
        <f t="shared" ca="1" si="481"/>
        <v>0</v>
      </c>
      <c r="AM794" s="126">
        <f t="shared" ca="1" si="494"/>
        <v>0</v>
      </c>
      <c r="AN794" s="753">
        <f t="shared" ca="1" si="495"/>
        <v>0</v>
      </c>
      <c r="AO794" s="750">
        <f t="shared" ca="1" si="482"/>
        <v>0</v>
      </c>
      <c r="AP794" s="126">
        <f t="shared" ca="1" si="483"/>
        <v>0</v>
      </c>
      <c r="AQ794" s="126">
        <f t="shared" ca="1" si="484"/>
        <v>0</v>
      </c>
      <c r="AR794" s="126">
        <f t="shared" ca="1" si="464"/>
        <v>10000</v>
      </c>
      <c r="AS794" s="750">
        <f t="shared" ca="1" si="465"/>
        <v>0</v>
      </c>
      <c r="AT794" s="750">
        <f t="shared" ca="1" si="466"/>
        <v>0</v>
      </c>
      <c r="AU794" s="126">
        <f t="shared" ca="1" si="485"/>
        <v>0</v>
      </c>
      <c r="AV794" s="126">
        <f t="shared" ca="1" si="486"/>
        <v>0</v>
      </c>
      <c r="AW794" s="126">
        <f t="shared" ca="1" si="467"/>
        <v>10000</v>
      </c>
      <c r="AX794" s="750">
        <f t="shared" ca="1" si="487"/>
        <v>0</v>
      </c>
      <c r="AY794" s="750">
        <f t="shared" ca="1" si="488"/>
        <v>0</v>
      </c>
      <c r="AZ794">
        <f t="shared" si="489"/>
        <v>5750</v>
      </c>
    </row>
    <row r="795" spans="4:52">
      <c r="D795">
        <v>788</v>
      </c>
      <c r="E795" s="6">
        <f t="shared" ca="1" si="468"/>
        <v>28795</v>
      </c>
      <c r="F795" s="7">
        <f t="shared" ca="1" si="469"/>
        <v>0</v>
      </c>
      <c r="G795" s="125">
        <f ca="1">IF('Simulador - 1º Pilar'!$E$99="Sí",IF('Aportaciones PPE'!$B$13&lt;'Aportaciones PPE'!E795,0,F795*$B$8/12),F795*$B$8/12)</f>
        <v>0</v>
      </c>
      <c r="H795" s="125">
        <f t="shared" ca="1" si="458"/>
        <v>0</v>
      </c>
      <c r="I795" s="125">
        <f t="shared" ca="1" si="470"/>
        <v>0</v>
      </c>
      <c r="J795" s="125">
        <f t="shared" ca="1" si="471"/>
        <v>0</v>
      </c>
      <c r="K795" s="125">
        <f t="shared" ca="1" si="472"/>
        <v>0</v>
      </c>
      <c r="L795" s="125">
        <f t="shared" ca="1" si="490"/>
        <v>0</v>
      </c>
      <c r="M795" s="125">
        <f t="shared" ca="1" si="473"/>
        <v>0</v>
      </c>
      <c r="N795" s="125">
        <f t="shared" ca="1" si="474"/>
        <v>0</v>
      </c>
      <c r="R795">
        <f t="shared" si="491"/>
        <v>788</v>
      </c>
      <c r="U795" s="55"/>
      <c r="V795">
        <f t="shared" si="492"/>
        <v>9</v>
      </c>
      <c r="W795">
        <f t="shared" ca="1" si="493"/>
        <v>2089</v>
      </c>
      <c r="X795" s="123">
        <f t="shared" ca="1" si="475"/>
        <v>69277</v>
      </c>
      <c r="Y795" s="64">
        <f t="shared" ca="1" si="476"/>
        <v>0</v>
      </c>
      <c r="Z795" s="64">
        <f t="shared" ca="1" si="477"/>
        <v>0</v>
      </c>
      <c r="AA795" s="64">
        <f t="shared" ca="1" si="478"/>
        <v>0</v>
      </c>
      <c r="AB795" s="64">
        <f t="shared" ca="1" si="479"/>
        <v>0</v>
      </c>
      <c r="AF795" t="str">
        <f t="shared" ca="1" si="459"/>
        <v>111978</v>
      </c>
      <c r="AG795" s="126">
        <f t="shared" ca="1" si="460"/>
        <v>0</v>
      </c>
      <c r="AH795" s="126">
        <f t="shared" ca="1" si="461"/>
        <v>0</v>
      </c>
      <c r="AI795" s="126">
        <f t="shared" ca="1" si="462"/>
        <v>0</v>
      </c>
      <c r="AJ795" t="str">
        <f t="shared" ca="1" si="463"/>
        <v>92089</v>
      </c>
      <c r="AK795" s="126">
        <f t="shared" ca="1" si="480"/>
        <v>0</v>
      </c>
      <c r="AL795" s="126">
        <f t="shared" ca="1" si="481"/>
        <v>0</v>
      </c>
      <c r="AM795" s="126">
        <f t="shared" ca="1" si="494"/>
        <v>0</v>
      </c>
      <c r="AN795" s="753">
        <f t="shared" ca="1" si="495"/>
        <v>0</v>
      </c>
      <c r="AO795" s="750">
        <f t="shared" ca="1" si="482"/>
        <v>0</v>
      </c>
      <c r="AP795" s="126">
        <f t="shared" ca="1" si="483"/>
        <v>0</v>
      </c>
      <c r="AQ795" s="126">
        <f t="shared" ca="1" si="484"/>
        <v>0</v>
      </c>
      <c r="AR795" s="126">
        <f t="shared" ca="1" si="464"/>
        <v>10000</v>
      </c>
      <c r="AS795" s="750">
        <f t="shared" ca="1" si="465"/>
        <v>0</v>
      </c>
      <c r="AT795" s="750">
        <f t="shared" ca="1" si="466"/>
        <v>0</v>
      </c>
      <c r="AU795" s="126">
        <f t="shared" ca="1" si="485"/>
        <v>0</v>
      </c>
      <c r="AV795" s="126">
        <f t="shared" ca="1" si="486"/>
        <v>0</v>
      </c>
      <c r="AW795" s="126">
        <f t="shared" ca="1" si="467"/>
        <v>10000</v>
      </c>
      <c r="AX795" s="750">
        <f t="shared" ca="1" si="487"/>
        <v>0</v>
      </c>
      <c r="AY795" s="750">
        <f t="shared" ca="1" si="488"/>
        <v>0</v>
      </c>
      <c r="AZ795">
        <f t="shared" si="489"/>
        <v>5750</v>
      </c>
    </row>
    <row r="796" spans="4:52">
      <c r="D796">
        <v>789</v>
      </c>
      <c r="E796" s="6">
        <f t="shared" ca="1" si="468"/>
        <v>28764</v>
      </c>
      <c r="F796" s="7">
        <f t="shared" ca="1" si="469"/>
        <v>0</v>
      </c>
      <c r="G796" s="125">
        <f ca="1">IF('Simulador - 1º Pilar'!$E$99="Sí",IF('Aportaciones PPE'!$B$13&lt;'Aportaciones PPE'!E796,0,F796*$B$8/12),F796*$B$8/12)</f>
        <v>0</v>
      </c>
      <c r="H796" s="125">
        <f t="shared" ca="1" si="458"/>
        <v>0</v>
      </c>
      <c r="I796" s="125">
        <f t="shared" ca="1" si="470"/>
        <v>0</v>
      </c>
      <c r="J796" s="125">
        <f t="shared" ca="1" si="471"/>
        <v>0</v>
      </c>
      <c r="K796" s="125">
        <f t="shared" ca="1" si="472"/>
        <v>0</v>
      </c>
      <c r="L796" s="125">
        <f t="shared" ca="1" si="490"/>
        <v>0</v>
      </c>
      <c r="M796" s="125">
        <f t="shared" ca="1" si="473"/>
        <v>0</v>
      </c>
      <c r="N796" s="125">
        <f t="shared" ca="1" si="474"/>
        <v>0</v>
      </c>
      <c r="R796">
        <f t="shared" si="491"/>
        <v>789</v>
      </c>
      <c r="U796" s="55"/>
      <c r="V796">
        <f t="shared" si="492"/>
        <v>10</v>
      </c>
      <c r="W796">
        <f t="shared" ca="1" si="493"/>
        <v>2089</v>
      </c>
      <c r="X796" s="123">
        <f t="shared" ca="1" si="475"/>
        <v>69307</v>
      </c>
      <c r="Y796" s="64">
        <f t="shared" ca="1" si="476"/>
        <v>0</v>
      </c>
      <c r="Z796" s="64">
        <f t="shared" ca="1" si="477"/>
        <v>0</v>
      </c>
      <c r="AA796" s="64">
        <f t="shared" ca="1" si="478"/>
        <v>0</v>
      </c>
      <c r="AB796" s="64">
        <f t="shared" ca="1" si="479"/>
        <v>0</v>
      </c>
      <c r="AF796" t="str">
        <f t="shared" ca="1" si="459"/>
        <v>101978</v>
      </c>
      <c r="AG796" s="126">
        <f t="shared" ca="1" si="460"/>
        <v>0</v>
      </c>
      <c r="AH796" s="126">
        <f t="shared" ca="1" si="461"/>
        <v>0</v>
      </c>
      <c r="AI796" s="126">
        <f t="shared" ca="1" si="462"/>
        <v>0</v>
      </c>
      <c r="AJ796" t="str">
        <f t="shared" ca="1" si="463"/>
        <v>102089</v>
      </c>
      <c r="AK796" s="126">
        <f t="shared" ca="1" si="480"/>
        <v>0</v>
      </c>
      <c r="AL796" s="126">
        <f t="shared" ca="1" si="481"/>
        <v>0</v>
      </c>
      <c r="AM796" s="126">
        <f t="shared" ca="1" si="494"/>
        <v>0</v>
      </c>
      <c r="AN796" s="753">
        <f t="shared" ca="1" si="495"/>
        <v>0</v>
      </c>
      <c r="AO796" s="750">
        <f t="shared" ca="1" si="482"/>
        <v>0</v>
      </c>
      <c r="AP796" s="126">
        <f t="shared" ca="1" si="483"/>
        <v>0</v>
      </c>
      <c r="AQ796" s="126">
        <f t="shared" ca="1" si="484"/>
        <v>0</v>
      </c>
      <c r="AR796" s="126">
        <f t="shared" ca="1" si="464"/>
        <v>10000</v>
      </c>
      <c r="AS796" s="750">
        <f t="shared" ca="1" si="465"/>
        <v>0</v>
      </c>
      <c r="AT796" s="750">
        <f t="shared" ca="1" si="466"/>
        <v>0</v>
      </c>
      <c r="AU796" s="126">
        <f t="shared" ca="1" si="485"/>
        <v>0</v>
      </c>
      <c r="AV796" s="126">
        <f t="shared" ca="1" si="486"/>
        <v>0</v>
      </c>
      <c r="AW796" s="126">
        <f t="shared" ca="1" si="467"/>
        <v>10000</v>
      </c>
      <c r="AX796" s="750">
        <f t="shared" ca="1" si="487"/>
        <v>0</v>
      </c>
      <c r="AY796" s="750">
        <f t="shared" ca="1" si="488"/>
        <v>0</v>
      </c>
      <c r="AZ796">
        <f t="shared" si="489"/>
        <v>5750</v>
      </c>
    </row>
    <row r="797" spans="4:52">
      <c r="D797">
        <v>790</v>
      </c>
      <c r="E797" s="6">
        <f t="shared" ca="1" si="468"/>
        <v>28734</v>
      </c>
      <c r="F797" s="7">
        <f t="shared" ca="1" si="469"/>
        <v>0</v>
      </c>
      <c r="G797" s="125">
        <f ca="1">IF('Simulador - 1º Pilar'!$E$99="Sí",IF('Aportaciones PPE'!$B$13&lt;'Aportaciones PPE'!E797,0,F797*$B$8/12),F797*$B$8/12)</f>
        <v>0</v>
      </c>
      <c r="H797" s="125">
        <f t="shared" ca="1" si="458"/>
        <v>0</v>
      </c>
      <c r="I797" s="125">
        <f t="shared" ca="1" si="470"/>
        <v>0</v>
      </c>
      <c r="J797" s="125">
        <f t="shared" ca="1" si="471"/>
        <v>0</v>
      </c>
      <c r="K797" s="125">
        <f t="shared" ca="1" si="472"/>
        <v>0</v>
      </c>
      <c r="L797" s="125">
        <f t="shared" ca="1" si="490"/>
        <v>0</v>
      </c>
      <c r="M797" s="125">
        <f t="shared" ca="1" si="473"/>
        <v>0</v>
      </c>
      <c r="N797" s="125">
        <f t="shared" ca="1" si="474"/>
        <v>0</v>
      </c>
      <c r="R797">
        <f t="shared" si="491"/>
        <v>790</v>
      </c>
      <c r="U797" s="55"/>
      <c r="V797">
        <f t="shared" si="492"/>
        <v>11</v>
      </c>
      <c r="W797">
        <f t="shared" ca="1" si="493"/>
        <v>2089</v>
      </c>
      <c r="X797" s="123">
        <f t="shared" ca="1" si="475"/>
        <v>69338</v>
      </c>
      <c r="Y797" s="64">
        <f t="shared" ca="1" si="476"/>
        <v>0</v>
      </c>
      <c r="Z797" s="64">
        <f t="shared" ca="1" si="477"/>
        <v>0</v>
      </c>
      <c r="AA797" s="64">
        <f t="shared" ca="1" si="478"/>
        <v>0</v>
      </c>
      <c r="AB797" s="64">
        <f t="shared" ca="1" si="479"/>
        <v>0</v>
      </c>
      <c r="AF797" t="str">
        <f t="shared" ca="1" si="459"/>
        <v>91978</v>
      </c>
      <c r="AG797" s="126">
        <f t="shared" ca="1" si="460"/>
        <v>0</v>
      </c>
      <c r="AH797" s="126">
        <f t="shared" ca="1" si="461"/>
        <v>0</v>
      </c>
      <c r="AI797" s="126">
        <f t="shared" ca="1" si="462"/>
        <v>0</v>
      </c>
      <c r="AJ797" t="str">
        <f t="shared" ca="1" si="463"/>
        <v>112089</v>
      </c>
      <c r="AK797" s="126">
        <f t="shared" ca="1" si="480"/>
        <v>0</v>
      </c>
      <c r="AL797" s="126">
        <f t="shared" ca="1" si="481"/>
        <v>0</v>
      </c>
      <c r="AM797" s="126">
        <f t="shared" ca="1" si="494"/>
        <v>0</v>
      </c>
      <c r="AN797" s="753">
        <f t="shared" ca="1" si="495"/>
        <v>0</v>
      </c>
      <c r="AO797" s="750">
        <f t="shared" ca="1" si="482"/>
        <v>0</v>
      </c>
      <c r="AP797" s="126">
        <f t="shared" ca="1" si="483"/>
        <v>0</v>
      </c>
      <c r="AQ797" s="126">
        <f t="shared" ca="1" si="484"/>
        <v>0</v>
      </c>
      <c r="AR797" s="126">
        <f t="shared" ca="1" si="464"/>
        <v>10000</v>
      </c>
      <c r="AS797" s="750">
        <f t="shared" ca="1" si="465"/>
        <v>0</v>
      </c>
      <c r="AT797" s="750">
        <f t="shared" ca="1" si="466"/>
        <v>0</v>
      </c>
      <c r="AU797" s="126">
        <f t="shared" ca="1" si="485"/>
        <v>0</v>
      </c>
      <c r="AV797" s="126">
        <f t="shared" ca="1" si="486"/>
        <v>0</v>
      </c>
      <c r="AW797" s="126">
        <f t="shared" ca="1" si="467"/>
        <v>10000</v>
      </c>
      <c r="AX797" s="750">
        <f t="shared" ca="1" si="487"/>
        <v>0</v>
      </c>
      <c r="AY797" s="750">
        <f t="shared" ca="1" si="488"/>
        <v>0</v>
      </c>
      <c r="AZ797">
        <f t="shared" si="489"/>
        <v>5750</v>
      </c>
    </row>
    <row r="798" spans="4:52">
      <c r="D798">
        <v>791</v>
      </c>
      <c r="E798" s="6">
        <f t="shared" ca="1" si="468"/>
        <v>28703</v>
      </c>
      <c r="F798" s="7">
        <f t="shared" ca="1" si="469"/>
        <v>0</v>
      </c>
      <c r="G798" s="125">
        <f ca="1">IF('Simulador - 1º Pilar'!$E$99="Sí",IF('Aportaciones PPE'!$B$13&lt;'Aportaciones PPE'!E798,0,F798*$B$8/12),F798*$B$8/12)</f>
        <v>0</v>
      </c>
      <c r="H798" s="125">
        <f t="shared" ca="1" si="458"/>
        <v>0</v>
      </c>
      <c r="I798" s="125">
        <f t="shared" ca="1" si="470"/>
        <v>0</v>
      </c>
      <c r="J798" s="125">
        <f t="shared" ca="1" si="471"/>
        <v>0</v>
      </c>
      <c r="K798" s="125">
        <f t="shared" ca="1" si="472"/>
        <v>0</v>
      </c>
      <c r="L798" s="125">
        <f t="shared" ca="1" si="490"/>
        <v>0</v>
      </c>
      <c r="M798" s="125">
        <f t="shared" ca="1" si="473"/>
        <v>0</v>
      </c>
      <c r="N798" s="125">
        <f t="shared" ca="1" si="474"/>
        <v>0</v>
      </c>
      <c r="R798">
        <f t="shared" si="491"/>
        <v>791</v>
      </c>
      <c r="U798" s="55"/>
      <c r="V798">
        <f t="shared" si="492"/>
        <v>12</v>
      </c>
      <c r="W798">
        <f t="shared" ca="1" si="493"/>
        <v>2089</v>
      </c>
      <c r="X798" s="123">
        <f t="shared" ca="1" si="475"/>
        <v>69368</v>
      </c>
      <c r="Y798" s="64">
        <f t="shared" ca="1" si="476"/>
        <v>0</v>
      </c>
      <c r="Z798" s="64">
        <f t="shared" ca="1" si="477"/>
        <v>0</v>
      </c>
      <c r="AA798" s="64">
        <f t="shared" ca="1" si="478"/>
        <v>0</v>
      </c>
      <c r="AB798" s="64">
        <f t="shared" ca="1" si="479"/>
        <v>0</v>
      </c>
      <c r="AF798" t="str">
        <f t="shared" ca="1" si="459"/>
        <v>81978</v>
      </c>
      <c r="AG798" s="126">
        <f t="shared" ca="1" si="460"/>
        <v>0</v>
      </c>
      <c r="AH798" s="126">
        <f t="shared" ca="1" si="461"/>
        <v>0</v>
      </c>
      <c r="AI798" s="126">
        <f t="shared" ca="1" si="462"/>
        <v>0</v>
      </c>
      <c r="AJ798" t="str">
        <f t="shared" ca="1" si="463"/>
        <v>122089</v>
      </c>
      <c r="AK798" s="126">
        <f t="shared" ca="1" si="480"/>
        <v>0</v>
      </c>
      <c r="AL798" s="126">
        <f t="shared" ca="1" si="481"/>
        <v>0</v>
      </c>
      <c r="AM798" s="126">
        <f t="shared" ca="1" si="494"/>
        <v>0</v>
      </c>
      <c r="AN798" s="753">
        <f t="shared" ca="1" si="495"/>
        <v>0</v>
      </c>
      <c r="AO798" s="750">
        <f t="shared" ca="1" si="482"/>
        <v>0</v>
      </c>
      <c r="AP798" s="126">
        <f t="shared" ca="1" si="483"/>
        <v>0</v>
      </c>
      <c r="AQ798" s="126">
        <f t="shared" ca="1" si="484"/>
        <v>0</v>
      </c>
      <c r="AR798" s="126">
        <f t="shared" ca="1" si="464"/>
        <v>10000</v>
      </c>
      <c r="AS798" s="750">
        <f t="shared" ca="1" si="465"/>
        <v>0</v>
      </c>
      <c r="AT798" s="750">
        <f t="shared" ca="1" si="466"/>
        <v>0</v>
      </c>
      <c r="AU798" s="126">
        <f t="shared" ca="1" si="485"/>
        <v>0</v>
      </c>
      <c r="AV798" s="126">
        <f t="shared" ca="1" si="486"/>
        <v>0</v>
      </c>
      <c r="AW798" s="126">
        <f t="shared" ca="1" si="467"/>
        <v>10000</v>
      </c>
      <c r="AX798" s="750">
        <f t="shared" ca="1" si="487"/>
        <v>0</v>
      </c>
      <c r="AY798" s="750">
        <f t="shared" ca="1" si="488"/>
        <v>0</v>
      </c>
      <c r="AZ798">
        <f t="shared" si="489"/>
        <v>5750</v>
      </c>
    </row>
    <row r="799" spans="4:52">
      <c r="D799">
        <v>792</v>
      </c>
      <c r="E799" s="6">
        <f t="shared" ca="1" si="468"/>
        <v>28672</v>
      </c>
      <c r="F799" s="7">
        <f t="shared" ca="1" si="469"/>
        <v>0</v>
      </c>
      <c r="G799" s="125">
        <f ca="1">IF('Simulador - 1º Pilar'!$E$99="Sí",IF('Aportaciones PPE'!$B$13&lt;'Aportaciones PPE'!E799,0,F799*$B$8/12),F799*$B$8/12)</f>
        <v>0</v>
      </c>
      <c r="H799" s="125">
        <f t="shared" ca="1" si="458"/>
        <v>0</v>
      </c>
      <c r="I799" s="125">
        <f t="shared" ca="1" si="470"/>
        <v>0</v>
      </c>
      <c r="J799" s="125">
        <f t="shared" ca="1" si="471"/>
        <v>0</v>
      </c>
      <c r="K799" s="125">
        <f t="shared" ca="1" si="472"/>
        <v>0</v>
      </c>
      <c r="L799" s="125">
        <f t="shared" ca="1" si="490"/>
        <v>0</v>
      </c>
      <c r="M799" s="125">
        <f t="shared" ca="1" si="473"/>
        <v>0</v>
      </c>
      <c r="N799" s="125">
        <f t="shared" ca="1" si="474"/>
        <v>0</v>
      </c>
      <c r="R799">
        <f t="shared" si="491"/>
        <v>792</v>
      </c>
      <c r="U799" s="55"/>
      <c r="V799">
        <f t="shared" si="492"/>
        <v>1</v>
      </c>
      <c r="W799">
        <f t="shared" ca="1" si="493"/>
        <v>2090</v>
      </c>
      <c r="X799" s="123">
        <f t="shared" ca="1" si="475"/>
        <v>69399</v>
      </c>
      <c r="Y799" s="64">
        <f t="shared" ca="1" si="476"/>
        <v>0</v>
      </c>
      <c r="Z799" s="64">
        <f t="shared" ca="1" si="477"/>
        <v>0</v>
      </c>
      <c r="AA799" s="64">
        <f t="shared" ca="1" si="478"/>
        <v>0</v>
      </c>
      <c r="AB799" s="64">
        <f t="shared" ca="1" si="479"/>
        <v>0</v>
      </c>
      <c r="AF799" t="str">
        <f t="shared" ca="1" si="459"/>
        <v>71978</v>
      </c>
      <c r="AG799" s="126">
        <f t="shared" ca="1" si="460"/>
        <v>0</v>
      </c>
      <c r="AH799" s="126">
        <f t="shared" ca="1" si="461"/>
        <v>0</v>
      </c>
      <c r="AI799" s="126">
        <f t="shared" ca="1" si="462"/>
        <v>0</v>
      </c>
      <c r="AJ799" t="str">
        <f t="shared" ca="1" si="463"/>
        <v>12090</v>
      </c>
      <c r="AK799" s="126">
        <f t="shared" ca="1" si="480"/>
        <v>0</v>
      </c>
      <c r="AL799" s="126">
        <f t="shared" ca="1" si="481"/>
        <v>0</v>
      </c>
      <c r="AM799" s="126">
        <f t="shared" ca="1" si="494"/>
        <v>0</v>
      </c>
      <c r="AN799" s="753">
        <f t="shared" ca="1" si="495"/>
        <v>0</v>
      </c>
      <c r="AO799" s="750">
        <f t="shared" ca="1" si="482"/>
        <v>0</v>
      </c>
      <c r="AP799" s="126">
        <f t="shared" ca="1" si="483"/>
        <v>0</v>
      </c>
      <c r="AQ799" s="126">
        <f t="shared" ca="1" si="484"/>
        <v>0</v>
      </c>
      <c r="AR799" s="126">
        <f t="shared" ca="1" si="464"/>
        <v>10000</v>
      </c>
      <c r="AS799" s="750">
        <f t="shared" ca="1" si="465"/>
        <v>0</v>
      </c>
      <c r="AT799" s="750">
        <f t="shared" ca="1" si="466"/>
        <v>0</v>
      </c>
      <c r="AU799" s="126">
        <f t="shared" ca="1" si="485"/>
        <v>0</v>
      </c>
      <c r="AV799" s="126">
        <f t="shared" ca="1" si="486"/>
        <v>0</v>
      </c>
      <c r="AW799" s="126">
        <f t="shared" ca="1" si="467"/>
        <v>10000</v>
      </c>
      <c r="AX799" s="750">
        <f t="shared" ca="1" si="487"/>
        <v>0</v>
      </c>
      <c r="AY799" s="750">
        <f t="shared" ca="1" si="488"/>
        <v>0</v>
      </c>
      <c r="AZ799">
        <f t="shared" si="489"/>
        <v>5750</v>
      </c>
    </row>
    <row r="800" spans="4:52">
      <c r="D800">
        <v>793</v>
      </c>
      <c r="E800" s="6">
        <f t="shared" ca="1" si="468"/>
        <v>28642</v>
      </c>
      <c r="F800" s="7">
        <f t="shared" ca="1" si="469"/>
        <v>0</v>
      </c>
      <c r="G800" s="125">
        <f ca="1">IF('Simulador - 1º Pilar'!$E$99="Sí",IF('Aportaciones PPE'!$B$13&lt;'Aportaciones PPE'!E800,0,F800*$B$8/12),F800*$B$8/12)</f>
        <v>0</v>
      </c>
      <c r="H800" s="125">
        <f t="shared" ca="1" si="458"/>
        <v>0</v>
      </c>
      <c r="I800" s="125">
        <f t="shared" ca="1" si="470"/>
        <v>0</v>
      </c>
      <c r="J800" s="125">
        <f t="shared" ca="1" si="471"/>
        <v>0</v>
      </c>
      <c r="K800" s="125">
        <f t="shared" ca="1" si="472"/>
        <v>0</v>
      </c>
      <c r="L800" s="125">
        <f t="shared" ca="1" si="490"/>
        <v>0</v>
      </c>
      <c r="M800" s="125">
        <f t="shared" ca="1" si="473"/>
        <v>0</v>
      </c>
      <c r="N800" s="125">
        <f t="shared" ca="1" si="474"/>
        <v>0</v>
      </c>
      <c r="R800">
        <f t="shared" si="491"/>
        <v>793</v>
      </c>
      <c r="U800" s="55"/>
      <c r="V800">
        <f t="shared" si="492"/>
        <v>2</v>
      </c>
      <c r="W800">
        <f t="shared" ca="1" si="493"/>
        <v>2090</v>
      </c>
      <c r="X800" s="123">
        <f t="shared" ca="1" si="475"/>
        <v>69430</v>
      </c>
      <c r="Y800" s="64">
        <f t="shared" ca="1" si="476"/>
        <v>0</v>
      </c>
      <c r="Z800" s="64">
        <f t="shared" ca="1" si="477"/>
        <v>0</v>
      </c>
      <c r="AA800" s="64">
        <f t="shared" ca="1" si="478"/>
        <v>0</v>
      </c>
      <c r="AB800" s="64">
        <f t="shared" ca="1" si="479"/>
        <v>0</v>
      </c>
      <c r="AF800" t="str">
        <f t="shared" ca="1" si="459"/>
        <v>61978</v>
      </c>
      <c r="AG800" s="126">
        <f t="shared" ca="1" si="460"/>
        <v>0</v>
      </c>
      <c r="AH800" s="126">
        <f t="shared" ca="1" si="461"/>
        <v>0</v>
      </c>
      <c r="AI800" s="126">
        <f t="shared" ca="1" si="462"/>
        <v>0</v>
      </c>
      <c r="AJ800" t="str">
        <f t="shared" ca="1" si="463"/>
        <v>22090</v>
      </c>
      <c r="AK800" s="126">
        <f t="shared" ca="1" si="480"/>
        <v>0</v>
      </c>
      <c r="AL800" s="126">
        <f t="shared" ca="1" si="481"/>
        <v>0</v>
      </c>
      <c r="AM800" s="126">
        <f t="shared" ca="1" si="494"/>
        <v>0</v>
      </c>
      <c r="AN800" s="753">
        <f t="shared" ca="1" si="495"/>
        <v>0</v>
      </c>
      <c r="AO800" s="750">
        <f t="shared" ca="1" si="482"/>
        <v>0</v>
      </c>
      <c r="AP800" s="126">
        <f t="shared" ca="1" si="483"/>
        <v>0</v>
      </c>
      <c r="AQ800" s="126">
        <f t="shared" ca="1" si="484"/>
        <v>0</v>
      </c>
      <c r="AR800" s="126">
        <f t="shared" ca="1" si="464"/>
        <v>10000</v>
      </c>
      <c r="AS800" s="750">
        <f t="shared" ca="1" si="465"/>
        <v>0</v>
      </c>
      <c r="AT800" s="750">
        <f t="shared" ca="1" si="466"/>
        <v>0</v>
      </c>
      <c r="AU800" s="126">
        <f t="shared" ca="1" si="485"/>
        <v>0</v>
      </c>
      <c r="AV800" s="126">
        <f t="shared" ca="1" si="486"/>
        <v>0</v>
      </c>
      <c r="AW800" s="126">
        <f t="shared" ca="1" si="467"/>
        <v>10000</v>
      </c>
      <c r="AX800" s="750">
        <f t="shared" ca="1" si="487"/>
        <v>0</v>
      </c>
      <c r="AY800" s="750">
        <f t="shared" ca="1" si="488"/>
        <v>0</v>
      </c>
      <c r="AZ800">
        <f t="shared" si="489"/>
        <v>5750</v>
      </c>
    </row>
    <row r="801" spans="4:52">
      <c r="D801">
        <v>794</v>
      </c>
      <c r="E801" s="6">
        <f t="shared" ca="1" si="468"/>
        <v>28611</v>
      </c>
      <c r="F801" s="7">
        <f t="shared" ca="1" si="469"/>
        <v>0</v>
      </c>
      <c r="G801" s="125">
        <f ca="1">IF('Simulador - 1º Pilar'!$E$99="Sí",IF('Aportaciones PPE'!$B$13&lt;'Aportaciones PPE'!E801,0,F801*$B$8/12),F801*$B$8/12)</f>
        <v>0</v>
      </c>
      <c r="H801" s="125">
        <f t="shared" ca="1" si="458"/>
        <v>0</v>
      </c>
      <c r="I801" s="125">
        <f t="shared" ca="1" si="470"/>
        <v>0</v>
      </c>
      <c r="J801" s="125">
        <f t="shared" ca="1" si="471"/>
        <v>0</v>
      </c>
      <c r="K801" s="125">
        <f t="shared" ca="1" si="472"/>
        <v>0</v>
      </c>
      <c r="L801" s="125">
        <f t="shared" ca="1" si="490"/>
        <v>0</v>
      </c>
      <c r="M801" s="125">
        <f t="shared" ca="1" si="473"/>
        <v>0</v>
      </c>
      <c r="N801" s="125">
        <f t="shared" ca="1" si="474"/>
        <v>0</v>
      </c>
      <c r="R801">
        <f t="shared" si="491"/>
        <v>794</v>
      </c>
      <c r="U801" s="55"/>
      <c r="V801">
        <f t="shared" si="492"/>
        <v>3</v>
      </c>
      <c r="W801">
        <f t="shared" ca="1" si="493"/>
        <v>2090</v>
      </c>
      <c r="X801" s="123">
        <f t="shared" ca="1" si="475"/>
        <v>69458</v>
      </c>
      <c r="Y801" s="64">
        <f t="shared" ca="1" si="476"/>
        <v>0</v>
      </c>
      <c r="Z801" s="64">
        <f t="shared" ca="1" si="477"/>
        <v>0</v>
      </c>
      <c r="AA801" s="64">
        <f t="shared" ca="1" si="478"/>
        <v>0</v>
      </c>
      <c r="AB801" s="64">
        <f t="shared" ca="1" si="479"/>
        <v>0</v>
      </c>
      <c r="AF801" t="str">
        <f t="shared" ca="1" si="459"/>
        <v>51978</v>
      </c>
      <c r="AG801" s="126">
        <f t="shared" ca="1" si="460"/>
        <v>0</v>
      </c>
      <c r="AH801" s="126">
        <f t="shared" ca="1" si="461"/>
        <v>0</v>
      </c>
      <c r="AI801" s="126">
        <f t="shared" ca="1" si="462"/>
        <v>0</v>
      </c>
      <c r="AJ801" t="str">
        <f t="shared" ca="1" si="463"/>
        <v>32090</v>
      </c>
      <c r="AK801" s="126">
        <f t="shared" ca="1" si="480"/>
        <v>0</v>
      </c>
      <c r="AL801" s="126">
        <f t="shared" ca="1" si="481"/>
        <v>0</v>
      </c>
      <c r="AM801" s="126">
        <f t="shared" ca="1" si="494"/>
        <v>0</v>
      </c>
      <c r="AN801" s="753">
        <f t="shared" ca="1" si="495"/>
        <v>0</v>
      </c>
      <c r="AO801" s="750">
        <f t="shared" ca="1" si="482"/>
        <v>0</v>
      </c>
      <c r="AP801" s="126">
        <f t="shared" ca="1" si="483"/>
        <v>0</v>
      </c>
      <c r="AQ801" s="126">
        <f t="shared" ca="1" si="484"/>
        <v>0</v>
      </c>
      <c r="AR801" s="126">
        <f t="shared" ca="1" si="464"/>
        <v>10000</v>
      </c>
      <c r="AS801" s="750">
        <f t="shared" ca="1" si="465"/>
        <v>0</v>
      </c>
      <c r="AT801" s="750">
        <f t="shared" ca="1" si="466"/>
        <v>0</v>
      </c>
      <c r="AU801" s="126">
        <f t="shared" ca="1" si="485"/>
        <v>0</v>
      </c>
      <c r="AV801" s="126">
        <f t="shared" ca="1" si="486"/>
        <v>0</v>
      </c>
      <c r="AW801" s="126">
        <f t="shared" ca="1" si="467"/>
        <v>10000</v>
      </c>
      <c r="AX801" s="750">
        <f t="shared" ca="1" si="487"/>
        <v>0</v>
      </c>
      <c r="AY801" s="750">
        <f t="shared" ca="1" si="488"/>
        <v>0</v>
      </c>
      <c r="AZ801">
        <f t="shared" si="489"/>
        <v>5750</v>
      </c>
    </row>
    <row r="802" spans="4:52">
      <c r="D802">
        <v>795</v>
      </c>
      <c r="E802" s="6">
        <f t="shared" ca="1" si="468"/>
        <v>28581</v>
      </c>
      <c r="F802" s="7">
        <f t="shared" ca="1" si="469"/>
        <v>0</v>
      </c>
      <c r="G802" s="125">
        <f ca="1">IF('Simulador - 1º Pilar'!$E$99="Sí",IF('Aportaciones PPE'!$B$13&lt;'Aportaciones PPE'!E802,0,F802*$B$8/12),F802*$B$8/12)</f>
        <v>0</v>
      </c>
      <c r="H802" s="125">
        <f t="shared" ca="1" si="458"/>
        <v>0</v>
      </c>
      <c r="I802" s="125">
        <f t="shared" ca="1" si="470"/>
        <v>0</v>
      </c>
      <c r="J802" s="125">
        <f t="shared" ca="1" si="471"/>
        <v>0</v>
      </c>
      <c r="K802" s="125">
        <f t="shared" ca="1" si="472"/>
        <v>0</v>
      </c>
      <c r="L802" s="125">
        <f t="shared" ca="1" si="490"/>
        <v>0</v>
      </c>
      <c r="M802" s="125">
        <f t="shared" ca="1" si="473"/>
        <v>0</v>
      </c>
      <c r="N802" s="125">
        <f t="shared" ca="1" si="474"/>
        <v>0</v>
      </c>
      <c r="R802">
        <f t="shared" si="491"/>
        <v>795</v>
      </c>
      <c r="U802" s="55"/>
      <c r="V802">
        <f t="shared" si="492"/>
        <v>4</v>
      </c>
      <c r="W802">
        <f t="shared" ca="1" si="493"/>
        <v>2090</v>
      </c>
      <c r="X802" s="123">
        <f t="shared" ca="1" si="475"/>
        <v>69489</v>
      </c>
      <c r="Y802" s="64">
        <f t="shared" ca="1" si="476"/>
        <v>0</v>
      </c>
      <c r="Z802" s="64">
        <f t="shared" ca="1" si="477"/>
        <v>0</v>
      </c>
      <c r="AA802" s="64">
        <f t="shared" ca="1" si="478"/>
        <v>0</v>
      </c>
      <c r="AB802" s="64">
        <f t="shared" ca="1" si="479"/>
        <v>0</v>
      </c>
      <c r="AF802" t="str">
        <f t="shared" ca="1" si="459"/>
        <v>41978</v>
      </c>
      <c r="AG802" s="126">
        <f t="shared" ca="1" si="460"/>
        <v>0</v>
      </c>
      <c r="AH802" s="126">
        <f t="shared" ca="1" si="461"/>
        <v>0</v>
      </c>
      <c r="AI802" s="126">
        <f t="shared" ca="1" si="462"/>
        <v>0</v>
      </c>
      <c r="AJ802" t="str">
        <f t="shared" ca="1" si="463"/>
        <v>42090</v>
      </c>
      <c r="AK802" s="126">
        <f t="shared" ca="1" si="480"/>
        <v>0</v>
      </c>
      <c r="AL802" s="126">
        <f t="shared" ca="1" si="481"/>
        <v>0</v>
      </c>
      <c r="AM802" s="126">
        <f t="shared" ca="1" si="494"/>
        <v>0</v>
      </c>
      <c r="AN802" s="753">
        <f t="shared" ca="1" si="495"/>
        <v>0</v>
      </c>
      <c r="AO802" s="750">
        <f t="shared" ca="1" si="482"/>
        <v>0</v>
      </c>
      <c r="AP802" s="126">
        <f t="shared" ca="1" si="483"/>
        <v>0</v>
      </c>
      <c r="AQ802" s="126">
        <f t="shared" ca="1" si="484"/>
        <v>0</v>
      </c>
      <c r="AR802" s="126">
        <f t="shared" ca="1" si="464"/>
        <v>10000</v>
      </c>
      <c r="AS802" s="750">
        <f t="shared" ca="1" si="465"/>
        <v>0</v>
      </c>
      <c r="AT802" s="750">
        <f t="shared" ca="1" si="466"/>
        <v>0</v>
      </c>
      <c r="AU802" s="126">
        <f t="shared" ca="1" si="485"/>
        <v>0</v>
      </c>
      <c r="AV802" s="126">
        <f t="shared" ca="1" si="486"/>
        <v>0</v>
      </c>
      <c r="AW802" s="126">
        <f t="shared" ca="1" si="467"/>
        <v>10000</v>
      </c>
      <c r="AX802" s="750">
        <f t="shared" ca="1" si="487"/>
        <v>0</v>
      </c>
      <c r="AY802" s="750">
        <f t="shared" ca="1" si="488"/>
        <v>0</v>
      </c>
      <c r="AZ802">
        <f t="shared" si="489"/>
        <v>5750</v>
      </c>
    </row>
    <row r="803" spans="4:52">
      <c r="D803">
        <v>796</v>
      </c>
      <c r="E803" s="6">
        <f t="shared" ca="1" si="468"/>
        <v>28550</v>
      </c>
      <c r="F803" s="7">
        <f t="shared" ca="1" si="469"/>
        <v>0</v>
      </c>
      <c r="G803" s="125">
        <f ca="1">IF('Simulador - 1º Pilar'!$E$99="Sí",IF('Aportaciones PPE'!$B$13&lt;'Aportaciones PPE'!E803,0,F803*$B$8/12),F803*$B$8/12)</f>
        <v>0</v>
      </c>
      <c r="H803" s="125">
        <f t="shared" ca="1" si="458"/>
        <v>0</v>
      </c>
      <c r="I803" s="125">
        <f t="shared" ca="1" si="470"/>
        <v>0</v>
      </c>
      <c r="J803" s="125">
        <f t="shared" ca="1" si="471"/>
        <v>0</v>
      </c>
      <c r="K803" s="125">
        <f t="shared" ca="1" si="472"/>
        <v>0</v>
      </c>
      <c r="L803" s="125">
        <f t="shared" ca="1" si="490"/>
        <v>0</v>
      </c>
      <c r="M803" s="125">
        <f t="shared" ca="1" si="473"/>
        <v>0</v>
      </c>
      <c r="N803" s="125">
        <f t="shared" ca="1" si="474"/>
        <v>0</v>
      </c>
      <c r="R803">
        <f t="shared" si="491"/>
        <v>796</v>
      </c>
      <c r="U803" s="55"/>
      <c r="V803">
        <f t="shared" si="492"/>
        <v>5</v>
      </c>
      <c r="W803">
        <f t="shared" ca="1" si="493"/>
        <v>2090</v>
      </c>
      <c r="X803" s="123">
        <f t="shared" ca="1" si="475"/>
        <v>69519</v>
      </c>
      <c r="Y803" s="64">
        <f t="shared" ca="1" si="476"/>
        <v>0</v>
      </c>
      <c r="Z803" s="64">
        <f t="shared" ca="1" si="477"/>
        <v>0</v>
      </c>
      <c r="AA803" s="64">
        <f t="shared" ca="1" si="478"/>
        <v>0</v>
      </c>
      <c r="AB803" s="64">
        <f t="shared" ca="1" si="479"/>
        <v>0</v>
      </c>
      <c r="AF803" t="str">
        <f t="shared" ca="1" si="459"/>
        <v>31978</v>
      </c>
      <c r="AG803" s="126">
        <f t="shared" ca="1" si="460"/>
        <v>0</v>
      </c>
      <c r="AH803" s="126">
        <f t="shared" ca="1" si="461"/>
        <v>0</v>
      </c>
      <c r="AI803" s="126">
        <f t="shared" ca="1" si="462"/>
        <v>0</v>
      </c>
      <c r="AJ803" t="str">
        <f t="shared" ca="1" si="463"/>
        <v>52090</v>
      </c>
      <c r="AK803" s="126">
        <f t="shared" ca="1" si="480"/>
        <v>0</v>
      </c>
      <c r="AL803" s="126">
        <f t="shared" ca="1" si="481"/>
        <v>0</v>
      </c>
      <c r="AM803" s="126">
        <f t="shared" ca="1" si="494"/>
        <v>0</v>
      </c>
      <c r="AN803" s="753">
        <f t="shared" ca="1" si="495"/>
        <v>0</v>
      </c>
      <c r="AO803" s="750">
        <f t="shared" ca="1" si="482"/>
        <v>0</v>
      </c>
      <c r="AP803" s="126">
        <f t="shared" ca="1" si="483"/>
        <v>0</v>
      </c>
      <c r="AQ803" s="126">
        <f t="shared" ca="1" si="484"/>
        <v>0</v>
      </c>
      <c r="AR803" s="126">
        <f t="shared" ca="1" si="464"/>
        <v>10000</v>
      </c>
      <c r="AS803" s="750">
        <f t="shared" ca="1" si="465"/>
        <v>0</v>
      </c>
      <c r="AT803" s="750">
        <f t="shared" ca="1" si="466"/>
        <v>0</v>
      </c>
      <c r="AU803" s="126">
        <f t="shared" ca="1" si="485"/>
        <v>0</v>
      </c>
      <c r="AV803" s="126">
        <f t="shared" ca="1" si="486"/>
        <v>0</v>
      </c>
      <c r="AW803" s="126">
        <f t="shared" ca="1" si="467"/>
        <v>10000</v>
      </c>
      <c r="AX803" s="750">
        <f t="shared" ca="1" si="487"/>
        <v>0</v>
      </c>
      <c r="AY803" s="750">
        <f t="shared" ca="1" si="488"/>
        <v>0</v>
      </c>
      <c r="AZ803">
        <f t="shared" si="489"/>
        <v>5750</v>
      </c>
    </row>
    <row r="804" spans="4:52">
      <c r="D804">
        <v>797</v>
      </c>
      <c r="E804" s="6">
        <f t="shared" ca="1" si="468"/>
        <v>28522</v>
      </c>
      <c r="F804" s="7">
        <f t="shared" ca="1" si="469"/>
        <v>0</v>
      </c>
      <c r="G804" s="125">
        <f ca="1">IF('Simulador - 1º Pilar'!$E$99="Sí",IF('Aportaciones PPE'!$B$13&lt;'Aportaciones PPE'!E804,0,F804*$B$8/12),F804*$B$8/12)</f>
        <v>0</v>
      </c>
      <c r="H804" s="125">
        <f t="shared" ca="1" si="458"/>
        <v>0</v>
      </c>
      <c r="I804" s="125">
        <f t="shared" ca="1" si="470"/>
        <v>0</v>
      </c>
      <c r="J804" s="125">
        <f t="shared" ca="1" si="471"/>
        <v>0</v>
      </c>
      <c r="K804" s="125">
        <f t="shared" ca="1" si="472"/>
        <v>0</v>
      </c>
      <c r="L804" s="125">
        <f t="shared" ca="1" si="490"/>
        <v>0</v>
      </c>
      <c r="M804" s="125">
        <f t="shared" ca="1" si="473"/>
        <v>0</v>
      </c>
      <c r="N804" s="125">
        <f t="shared" ca="1" si="474"/>
        <v>0</v>
      </c>
      <c r="R804">
        <f t="shared" si="491"/>
        <v>797</v>
      </c>
      <c r="U804" s="55"/>
      <c r="V804">
        <f t="shared" si="492"/>
        <v>6</v>
      </c>
      <c r="W804">
        <f t="shared" ca="1" si="493"/>
        <v>2090</v>
      </c>
      <c r="X804" s="123">
        <f t="shared" ca="1" si="475"/>
        <v>69550</v>
      </c>
      <c r="Y804" s="64">
        <f t="shared" ca="1" si="476"/>
        <v>0</v>
      </c>
      <c r="Z804" s="64">
        <f t="shared" ca="1" si="477"/>
        <v>0</v>
      </c>
      <c r="AA804" s="64">
        <f t="shared" ca="1" si="478"/>
        <v>0</v>
      </c>
      <c r="AB804" s="64">
        <f t="shared" ca="1" si="479"/>
        <v>0</v>
      </c>
      <c r="AF804" t="str">
        <f t="shared" ca="1" si="459"/>
        <v>21978</v>
      </c>
      <c r="AG804" s="126">
        <f t="shared" ca="1" si="460"/>
        <v>0</v>
      </c>
      <c r="AH804" s="126">
        <f t="shared" ca="1" si="461"/>
        <v>0</v>
      </c>
      <c r="AI804" s="126">
        <f t="shared" ca="1" si="462"/>
        <v>0</v>
      </c>
      <c r="AJ804" t="str">
        <f t="shared" ca="1" si="463"/>
        <v>62090</v>
      </c>
      <c r="AK804" s="126">
        <f t="shared" ca="1" si="480"/>
        <v>0</v>
      </c>
      <c r="AL804" s="126">
        <f t="shared" ca="1" si="481"/>
        <v>0</v>
      </c>
      <c r="AM804" s="126">
        <f t="shared" ca="1" si="494"/>
        <v>0</v>
      </c>
      <c r="AN804" s="753">
        <f t="shared" ca="1" si="495"/>
        <v>0</v>
      </c>
      <c r="AO804" s="750">
        <f t="shared" ca="1" si="482"/>
        <v>0</v>
      </c>
      <c r="AP804" s="126">
        <f t="shared" ca="1" si="483"/>
        <v>0</v>
      </c>
      <c r="AQ804" s="126">
        <f t="shared" ca="1" si="484"/>
        <v>0</v>
      </c>
      <c r="AR804" s="126">
        <f t="shared" ca="1" si="464"/>
        <v>10000</v>
      </c>
      <c r="AS804" s="750">
        <f t="shared" ca="1" si="465"/>
        <v>0</v>
      </c>
      <c r="AT804" s="750">
        <f t="shared" ca="1" si="466"/>
        <v>0</v>
      </c>
      <c r="AU804" s="126">
        <f t="shared" ca="1" si="485"/>
        <v>0</v>
      </c>
      <c r="AV804" s="126">
        <f t="shared" ca="1" si="486"/>
        <v>0</v>
      </c>
      <c r="AW804" s="126">
        <f t="shared" ca="1" si="467"/>
        <v>10000</v>
      </c>
      <c r="AX804" s="750">
        <f t="shared" ca="1" si="487"/>
        <v>0</v>
      </c>
      <c r="AY804" s="750">
        <f t="shared" ca="1" si="488"/>
        <v>0</v>
      </c>
      <c r="AZ804">
        <f t="shared" si="489"/>
        <v>5750</v>
      </c>
    </row>
    <row r="805" spans="4:52">
      <c r="D805">
        <v>798</v>
      </c>
      <c r="E805" s="6">
        <f t="shared" ca="1" si="468"/>
        <v>28491</v>
      </c>
      <c r="F805" s="7">
        <f t="shared" ca="1" si="469"/>
        <v>0</v>
      </c>
      <c r="G805" s="125">
        <f ca="1">IF('Simulador - 1º Pilar'!$E$99="Sí",IF('Aportaciones PPE'!$B$13&lt;'Aportaciones PPE'!E805,0,F805*$B$8/12),F805*$B$8/12)</f>
        <v>0</v>
      </c>
      <c r="H805" s="125">
        <f t="shared" ca="1" si="458"/>
        <v>0</v>
      </c>
      <c r="I805" s="125">
        <f t="shared" ca="1" si="470"/>
        <v>0</v>
      </c>
      <c r="J805" s="125">
        <f t="shared" ca="1" si="471"/>
        <v>0</v>
      </c>
      <c r="K805" s="125">
        <f t="shared" ca="1" si="472"/>
        <v>0</v>
      </c>
      <c r="L805" s="125">
        <f t="shared" ca="1" si="490"/>
        <v>0</v>
      </c>
      <c r="M805" s="125">
        <f t="shared" ca="1" si="473"/>
        <v>0</v>
      </c>
      <c r="N805" s="125">
        <f t="shared" ca="1" si="474"/>
        <v>0</v>
      </c>
      <c r="R805">
        <f t="shared" si="491"/>
        <v>798</v>
      </c>
      <c r="U805" s="55"/>
      <c r="V805">
        <f t="shared" si="492"/>
        <v>7</v>
      </c>
      <c r="W805">
        <f t="shared" ca="1" si="493"/>
        <v>2090</v>
      </c>
      <c r="X805" s="123">
        <f t="shared" ca="1" si="475"/>
        <v>69580</v>
      </c>
      <c r="Y805" s="64">
        <f t="shared" ca="1" si="476"/>
        <v>0</v>
      </c>
      <c r="Z805" s="64">
        <f t="shared" ca="1" si="477"/>
        <v>0</v>
      </c>
      <c r="AA805" s="64">
        <f t="shared" ca="1" si="478"/>
        <v>0</v>
      </c>
      <c r="AB805" s="64">
        <f t="shared" ca="1" si="479"/>
        <v>0</v>
      </c>
      <c r="AF805" t="str">
        <f t="shared" ca="1" si="459"/>
        <v>11978</v>
      </c>
      <c r="AG805" s="126">
        <f t="shared" ca="1" si="460"/>
        <v>0</v>
      </c>
      <c r="AH805" s="126">
        <f t="shared" ca="1" si="461"/>
        <v>0</v>
      </c>
      <c r="AI805" s="126">
        <f t="shared" ca="1" si="462"/>
        <v>0</v>
      </c>
      <c r="AJ805" t="str">
        <f t="shared" ca="1" si="463"/>
        <v>72090</v>
      </c>
      <c r="AK805" s="126">
        <f t="shared" ca="1" si="480"/>
        <v>0</v>
      </c>
      <c r="AL805" s="126">
        <f t="shared" ca="1" si="481"/>
        <v>0</v>
      </c>
      <c r="AM805" s="126">
        <f t="shared" ca="1" si="494"/>
        <v>0</v>
      </c>
      <c r="AN805" s="753">
        <f t="shared" ca="1" si="495"/>
        <v>0</v>
      </c>
      <c r="AO805" s="750">
        <f t="shared" ca="1" si="482"/>
        <v>0</v>
      </c>
      <c r="AP805" s="126">
        <f t="shared" ca="1" si="483"/>
        <v>0</v>
      </c>
      <c r="AQ805" s="126">
        <f t="shared" ca="1" si="484"/>
        <v>0</v>
      </c>
      <c r="AR805" s="126">
        <f t="shared" ca="1" si="464"/>
        <v>10000</v>
      </c>
      <c r="AS805" s="750">
        <f t="shared" ca="1" si="465"/>
        <v>0</v>
      </c>
      <c r="AT805" s="750">
        <f t="shared" ca="1" si="466"/>
        <v>0</v>
      </c>
      <c r="AU805" s="126">
        <f t="shared" ca="1" si="485"/>
        <v>0</v>
      </c>
      <c r="AV805" s="126">
        <f t="shared" ca="1" si="486"/>
        <v>0</v>
      </c>
      <c r="AW805" s="126">
        <f t="shared" ca="1" si="467"/>
        <v>10000</v>
      </c>
      <c r="AX805" s="750">
        <f t="shared" ca="1" si="487"/>
        <v>0</v>
      </c>
      <c r="AY805" s="750">
        <f t="shared" ca="1" si="488"/>
        <v>0</v>
      </c>
      <c r="AZ805">
        <f t="shared" si="489"/>
        <v>5750</v>
      </c>
    </row>
    <row r="806" spans="4:52">
      <c r="D806">
        <v>799</v>
      </c>
      <c r="E806" s="6">
        <f t="shared" ca="1" si="468"/>
        <v>28460</v>
      </c>
      <c r="F806" s="7">
        <f t="shared" ca="1" si="469"/>
        <v>0</v>
      </c>
      <c r="G806" s="125">
        <f ca="1">IF('Simulador - 1º Pilar'!$E$99="Sí",IF('Aportaciones PPE'!$B$13&lt;'Aportaciones PPE'!E806,0,F806*$B$8/12),F806*$B$8/12)</f>
        <v>0</v>
      </c>
      <c r="H806" s="125">
        <f t="shared" ca="1" si="458"/>
        <v>0</v>
      </c>
      <c r="I806" s="125">
        <f t="shared" ca="1" si="470"/>
        <v>0</v>
      </c>
      <c r="J806" s="125">
        <f t="shared" ca="1" si="471"/>
        <v>0</v>
      </c>
      <c r="K806" s="125">
        <f t="shared" ca="1" si="472"/>
        <v>0</v>
      </c>
      <c r="L806" s="125">
        <f t="shared" ca="1" si="490"/>
        <v>0</v>
      </c>
      <c r="M806" s="125">
        <f t="shared" ca="1" si="473"/>
        <v>0</v>
      </c>
      <c r="N806" s="125">
        <f t="shared" ca="1" si="474"/>
        <v>0</v>
      </c>
      <c r="R806">
        <f t="shared" si="491"/>
        <v>799</v>
      </c>
      <c r="U806" s="55"/>
      <c r="V806">
        <f t="shared" si="492"/>
        <v>8</v>
      </c>
      <c r="W806">
        <f t="shared" ca="1" si="493"/>
        <v>2090</v>
      </c>
      <c r="X806" s="123">
        <f t="shared" ca="1" si="475"/>
        <v>69611</v>
      </c>
      <c r="Y806" s="64">
        <f t="shared" ca="1" si="476"/>
        <v>0</v>
      </c>
      <c r="Z806" s="64">
        <f t="shared" ca="1" si="477"/>
        <v>0</v>
      </c>
      <c r="AA806" s="64">
        <f t="shared" ca="1" si="478"/>
        <v>0</v>
      </c>
      <c r="AB806" s="64">
        <f t="shared" ca="1" si="479"/>
        <v>0</v>
      </c>
      <c r="AF806" t="str">
        <f t="shared" ca="1" si="459"/>
        <v>121977</v>
      </c>
      <c r="AG806" s="126">
        <f t="shared" ca="1" si="460"/>
        <v>0</v>
      </c>
      <c r="AH806" s="126">
        <f t="shared" ca="1" si="461"/>
        <v>0</v>
      </c>
      <c r="AI806" s="126">
        <f t="shared" ca="1" si="462"/>
        <v>0</v>
      </c>
      <c r="AJ806" t="str">
        <f t="shared" ca="1" si="463"/>
        <v>82090</v>
      </c>
      <c r="AK806" s="126">
        <f t="shared" ca="1" si="480"/>
        <v>0</v>
      </c>
      <c r="AL806" s="126">
        <f t="shared" ca="1" si="481"/>
        <v>0</v>
      </c>
      <c r="AM806" s="126">
        <f t="shared" ca="1" si="494"/>
        <v>0</v>
      </c>
      <c r="AN806" s="753">
        <f t="shared" ca="1" si="495"/>
        <v>0</v>
      </c>
      <c r="AO806" s="750">
        <f t="shared" ca="1" si="482"/>
        <v>0</v>
      </c>
      <c r="AP806" s="126">
        <f t="shared" ca="1" si="483"/>
        <v>0</v>
      </c>
      <c r="AQ806" s="126">
        <f t="shared" ca="1" si="484"/>
        <v>0</v>
      </c>
      <c r="AR806" s="126">
        <f t="shared" ca="1" si="464"/>
        <v>10000</v>
      </c>
      <c r="AS806" s="750">
        <f t="shared" ca="1" si="465"/>
        <v>0</v>
      </c>
      <c r="AT806" s="750">
        <f t="shared" ca="1" si="466"/>
        <v>0</v>
      </c>
      <c r="AU806" s="126">
        <f t="shared" ca="1" si="485"/>
        <v>0</v>
      </c>
      <c r="AV806" s="126">
        <f t="shared" ca="1" si="486"/>
        <v>0</v>
      </c>
      <c r="AW806" s="126">
        <f t="shared" ca="1" si="467"/>
        <v>10000</v>
      </c>
      <c r="AX806" s="750">
        <f t="shared" ca="1" si="487"/>
        <v>0</v>
      </c>
      <c r="AY806" s="750">
        <f t="shared" ca="1" si="488"/>
        <v>0</v>
      </c>
      <c r="AZ806">
        <f t="shared" si="489"/>
        <v>5750</v>
      </c>
    </row>
    <row r="807" spans="4:52">
      <c r="D807">
        <v>800</v>
      </c>
      <c r="E807" s="6">
        <f t="shared" ca="1" si="468"/>
        <v>28430</v>
      </c>
      <c r="F807" s="7">
        <f t="shared" ca="1" si="469"/>
        <v>0</v>
      </c>
      <c r="G807" s="125">
        <f ca="1">IF('Simulador - 1º Pilar'!$E$99="Sí",IF('Aportaciones PPE'!$B$13&lt;'Aportaciones PPE'!E807,0,F807*$B$8/12),F807*$B$8/12)</f>
        <v>0</v>
      </c>
      <c r="H807" s="125">
        <f t="shared" ca="1" si="458"/>
        <v>0</v>
      </c>
      <c r="I807" s="125">
        <f t="shared" ca="1" si="470"/>
        <v>0</v>
      </c>
      <c r="J807" s="125">
        <f t="shared" ca="1" si="471"/>
        <v>0</v>
      </c>
      <c r="K807" s="125">
        <f t="shared" ca="1" si="472"/>
        <v>0</v>
      </c>
      <c r="L807" s="125">
        <f t="shared" ca="1" si="490"/>
        <v>0</v>
      </c>
      <c r="M807" s="125">
        <f t="shared" ca="1" si="473"/>
        <v>0</v>
      </c>
      <c r="N807" s="125">
        <f t="shared" ca="1" si="474"/>
        <v>0</v>
      </c>
      <c r="R807">
        <f t="shared" si="491"/>
        <v>800</v>
      </c>
      <c r="U807" s="55"/>
      <c r="V807">
        <f t="shared" si="492"/>
        <v>9</v>
      </c>
      <c r="W807">
        <f t="shared" ca="1" si="493"/>
        <v>2090</v>
      </c>
      <c r="X807" s="123">
        <f t="shared" ca="1" si="475"/>
        <v>69642</v>
      </c>
      <c r="Y807" s="64">
        <f t="shared" ca="1" si="476"/>
        <v>0</v>
      </c>
      <c r="Z807" s="64">
        <f t="shared" ca="1" si="477"/>
        <v>0</v>
      </c>
      <c r="AA807" s="64">
        <f t="shared" ca="1" si="478"/>
        <v>0</v>
      </c>
      <c r="AB807" s="64">
        <f t="shared" ca="1" si="479"/>
        <v>0</v>
      </c>
      <c r="AF807" t="str">
        <f t="shared" ca="1" si="459"/>
        <v>111977</v>
      </c>
      <c r="AG807" s="126">
        <f t="shared" ca="1" si="460"/>
        <v>0</v>
      </c>
      <c r="AH807" s="126">
        <f t="shared" ca="1" si="461"/>
        <v>0</v>
      </c>
      <c r="AI807" s="126">
        <f t="shared" ca="1" si="462"/>
        <v>0</v>
      </c>
      <c r="AJ807" t="str">
        <f t="shared" ca="1" si="463"/>
        <v>92090</v>
      </c>
      <c r="AK807" s="126">
        <f t="shared" ca="1" si="480"/>
        <v>0</v>
      </c>
      <c r="AL807" s="126">
        <f t="shared" ca="1" si="481"/>
        <v>0</v>
      </c>
      <c r="AM807" s="126">
        <f t="shared" ca="1" si="494"/>
        <v>0</v>
      </c>
      <c r="AN807" s="753">
        <f t="shared" ca="1" si="495"/>
        <v>0</v>
      </c>
      <c r="AO807" s="750">
        <f t="shared" ca="1" si="482"/>
        <v>0</v>
      </c>
      <c r="AP807" s="126">
        <f t="shared" ca="1" si="483"/>
        <v>0</v>
      </c>
      <c r="AQ807" s="126">
        <f t="shared" ca="1" si="484"/>
        <v>0</v>
      </c>
      <c r="AR807" s="126">
        <f t="shared" ca="1" si="464"/>
        <v>10000</v>
      </c>
      <c r="AS807" s="750">
        <f t="shared" ca="1" si="465"/>
        <v>0</v>
      </c>
      <c r="AT807" s="750">
        <f t="shared" ca="1" si="466"/>
        <v>0</v>
      </c>
      <c r="AU807" s="126">
        <f t="shared" ca="1" si="485"/>
        <v>0</v>
      </c>
      <c r="AV807" s="126">
        <f t="shared" ca="1" si="486"/>
        <v>0</v>
      </c>
      <c r="AW807" s="126">
        <f t="shared" ca="1" si="467"/>
        <v>10000</v>
      </c>
      <c r="AX807" s="750">
        <f t="shared" ca="1" si="487"/>
        <v>0</v>
      </c>
      <c r="AY807" s="750">
        <f t="shared" ca="1" si="488"/>
        <v>0</v>
      </c>
      <c r="AZ807">
        <f t="shared" si="489"/>
        <v>5750</v>
      </c>
    </row>
    <row r="808" spans="4:52">
      <c r="D808">
        <v>801</v>
      </c>
      <c r="E808" s="6">
        <f t="shared" ca="1" si="468"/>
        <v>28399</v>
      </c>
      <c r="F808" s="7">
        <f t="shared" ca="1" si="469"/>
        <v>0</v>
      </c>
      <c r="G808" s="125">
        <f ca="1">IF('Simulador - 1º Pilar'!$E$99="Sí",IF('Aportaciones PPE'!$B$13&lt;'Aportaciones PPE'!E808,0,F808*$B$8/12),F808*$B$8/12)</f>
        <v>0</v>
      </c>
      <c r="H808" s="125">
        <f t="shared" ca="1" si="458"/>
        <v>0</v>
      </c>
      <c r="I808" s="125">
        <f t="shared" ca="1" si="470"/>
        <v>0</v>
      </c>
      <c r="J808" s="125">
        <f t="shared" ca="1" si="471"/>
        <v>0</v>
      </c>
      <c r="K808" s="125">
        <f t="shared" ca="1" si="472"/>
        <v>0</v>
      </c>
      <c r="L808" s="125">
        <f t="shared" ca="1" si="490"/>
        <v>0</v>
      </c>
      <c r="M808" s="125">
        <f t="shared" ca="1" si="473"/>
        <v>0</v>
      </c>
      <c r="N808" s="125">
        <f t="shared" ca="1" si="474"/>
        <v>0</v>
      </c>
      <c r="R808">
        <f t="shared" si="491"/>
        <v>801</v>
      </c>
      <c r="U808" s="55"/>
      <c r="V808">
        <f t="shared" si="492"/>
        <v>10</v>
      </c>
      <c r="W808">
        <f t="shared" ca="1" si="493"/>
        <v>2090</v>
      </c>
      <c r="X808" s="123">
        <f t="shared" ca="1" si="475"/>
        <v>69672</v>
      </c>
      <c r="Y808" s="64">
        <f t="shared" ca="1" si="476"/>
        <v>0</v>
      </c>
      <c r="Z808" s="64">
        <f t="shared" ca="1" si="477"/>
        <v>0</v>
      </c>
      <c r="AA808" s="64">
        <f t="shared" ca="1" si="478"/>
        <v>0</v>
      </c>
      <c r="AB808" s="64">
        <f t="shared" ca="1" si="479"/>
        <v>0</v>
      </c>
      <c r="AF808" t="str">
        <f t="shared" ca="1" si="459"/>
        <v>101977</v>
      </c>
      <c r="AG808" s="126">
        <f t="shared" ca="1" si="460"/>
        <v>0</v>
      </c>
      <c r="AH808" s="126">
        <f t="shared" ca="1" si="461"/>
        <v>0</v>
      </c>
      <c r="AI808" s="126">
        <f t="shared" ca="1" si="462"/>
        <v>0</v>
      </c>
      <c r="AJ808" t="str">
        <f t="shared" ca="1" si="463"/>
        <v>102090</v>
      </c>
      <c r="AK808" s="126">
        <f t="shared" ca="1" si="480"/>
        <v>0</v>
      </c>
      <c r="AL808" s="126">
        <f t="shared" ca="1" si="481"/>
        <v>0</v>
      </c>
      <c r="AM808" s="126">
        <f t="shared" ca="1" si="494"/>
        <v>0</v>
      </c>
      <c r="AN808" s="753">
        <f t="shared" ca="1" si="495"/>
        <v>0</v>
      </c>
      <c r="AO808" s="750">
        <f t="shared" ca="1" si="482"/>
        <v>0</v>
      </c>
      <c r="AP808" s="126">
        <f t="shared" ca="1" si="483"/>
        <v>0</v>
      </c>
      <c r="AQ808" s="126">
        <f t="shared" ca="1" si="484"/>
        <v>0</v>
      </c>
      <c r="AR808" s="126">
        <f t="shared" ca="1" si="464"/>
        <v>10000</v>
      </c>
      <c r="AS808" s="750">
        <f t="shared" ca="1" si="465"/>
        <v>0</v>
      </c>
      <c r="AT808" s="750">
        <f t="shared" ca="1" si="466"/>
        <v>0</v>
      </c>
      <c r="AU808" s="126">
        <f t="shared" ca="1" si="485"/>
        <v>0</v>
      </c>
      <c r="AV808" s="126">
        <f t="shared" ca="1" si="486"/>
        <v>0</v>
      </c>
      <c r="AW808" s="126">
        <f t="shared" ca="1" si="467"/>
        <v>10000</v>
      </c>
      <c r="AX808" s="750">
        <f t="shared" ca="1" si="487"/>
        <v>0</v>
      </c>
      <c r="AY808" s="750">
        <f t="shared" ca="1" si="488"/>
        <v>0</v>
      </c>
      <c r="AZ808">
        <f t="shared" si="489"/>
        <v>5750</v>
      </c>
    </row>
    <row r="809" spans="4:52">
      <c r="D809">
        <v>802</v>
      </c>
      <c r="E809" s="6">
        <f t="shared" ca="1" si="468"/>
        <v>28369</v>
      </c>
      <c r="F809" s="7">
        <f t="shared" ca="1" si="469"/>
        <v>0</v>
      </c>
      <c r="G809" s="125">
        <f ca="1">IF('Simulador - 1º Pilar'!$E$99="Sí",IF('Aportaciones PPE'!$B$13&lt;'Aportaciones PPE'!E809,0,F809*$B$8/12),F809*$B$8/12)</f>
        <v>0</v>
      </c>
      <c r="H809" s="125">
        <f t="shared" ca="1" si="458"/>
        <v>0</v>
      </c>
      <c r="I809" s="125">
        <f t="shared" ca="1" si="470"/>
        <v>0</v>
      </c>
      <c r="J809" s="125">
        <f t="shared" ca="1" si="471"/>
        <v>0</v>
      </c>
      <c r="K809" s="125">
        <f t="shared" ca="1" si="472"/>
        <v>0</v>
      </c>
      <c r="L809" s="125">
        <f t="shared" ca="1" si="490"/>
        <v>0</v>
      </c>
      <c r="M809" s="125">
        <f t="shared" ca="1" si="473"/>
        <v>0</v>
      </c>
      <c r="N809" s="125">
        <f t="shared" ca="1" si="474"/>
        <v>0</v>
      </c>
      <c r="R809">
        <f t="shared" si="491"/>
        <v>802</v>
      </c>
      <c r="U809" s="55"/>
      <c r="V809">
        <f t="shared" si="492"/>
        <v>11</v>
      </c>
      <c r="W809">
        <f t="shared" ca="1" si="493"/>
        <v>2090</v>
      </c>
      <c r="X809" s="123">
        <f t="shared" ca="1" si="475"/>
        <v>69703</v>
      </c>
      <c r="Y809" s="64">
        <f t="shared" ca="1" si="476"/>
        <v>0</v>
      </c>
      <c r="Z809" s="64">
        <f t="shared" ca="1" si="477"/>
        <v>0</v>
      </c>
      <c r="AA809" s="64">
        <f t="shared" ca="1" si="478"/>
        <v>0</v>
      </c>
      <c r="AB809" s="64">
        <f t="shared" ca="1" si="479"/>
        <v>0</v>
      </c>
      <c r="AF809" t="str">
        <f t="shared" ca="1" si="459"/>
        <v>91977</v>
      </c>
      <c r="AG809" s="126">
        <f t="shared" ca="1" si="460"/>
        <v>0</v>
      </c>
      <c r="AH809" s="126">
        <f t="shared" ca="1" si="461"/>
        <v>0</v>
      </c>
      <c r="AI809" s="126">
        <f t="shared" ca="1" si="462"/>
        <v>0</v>
      </c>
      <c r="AJ809" t="str">
        <f t="shared" ca="1" si="463"/>
        <v>112090</v>
      </c>
      <c r="AK809" s="126">
        <f t="shared" ca="1" si="480"/>
        <v>0</v>
      </c>
      <c r="AL809" s="126">
        <f t="shared" ca="1" si="481"/>
        <v>0</v>
      </c>
      <c r="AM809" s="126">
        <f t="shared" ca="1" si="494"/>
        <v>0</v>
      </c>
      <c r="AN809" s="753">
        <f t="shared" ca="1" si="495"/>
        <v>0</v>
      </c>
      <c r="AO809" s="750">
        <f t="shared" ca="1" si="482"/>
        <v>0</v>
      </c>
      <c r="AP809" s="126">
        <f t="shared" ca="1" si="483"/>
        <v>0</v>
      </c>
      <c r="AQ809" s="126">
        <f t="shared" ca="1" si="484"/>
        <v>0</v>
      </c>
      <c r="AR809" s="126">
        <f t="shared" ca="1" si="464"/>
        <v>10000</v>
      </c>
      <c r="AS809" s="750">
        <f t="shared" ca="1" si="465"/>
        <v>0</v>
      </c>
      <c r="AT809" s="750">
        <f t="shared" ca="1" si="466"/>
        <v>0</v>
      </c>
      <c r="AU809" s="126">
        <f t="shared" ca="1" si="485"/>
        <v>0</v>
      </c>
      <c r="AV809" s="126">
        <f t="shared" ca="1" si="486"/>
        <v>0</v>
      </c>
      <c r="AW809" s="126">
        <f t="shared" ca="1" si="467"/>
        <v>10000</v>
      </c>
      <c r="AX809" s="750">
        <f t="shared" ca="1" si="487"/>
        <v>0</v>
      </c>
      <c r="AY809" s="750">
        <f t="shared" ca="1" si="488"/>
        <v>0</v>
      </c>
      <c r="AZ809">
        <f t="shared" si="489"/>
        <v>5750</v>
      </c>
    </row>
    <row r="810" spans="4:52">
      <c r="D810">
        <v>803</v>
      </c>
      <c r="E810" s="6">
        <f t="shared" ca="1" si="468"/>
        <v>28338</v>
      </c>
      <c r="F810" s="7">
        <f t="shared" ca="1" si="469"/>
        <v>0</v>
      </c>
      <c r="G810" s="125">
        <f ca="1">IF('Simulador - 1º Pilar'!$E$99="Sí",IF('Aportaciones PPE'!$B$13&lt;'Aportaciones PPE'!E810,0,F810*$B$8/12),F810*$B$8/12)</f>
        <v>0</v>
      </c>
      <c r="H810" s="125">
        <f t="shared" ca="1" si="458"/>
        <v>0</v>
      </c>
      <c r="I810" s="125">
        <f t="shared" ca="1" si="470"/>
        <v>0</v>
      </c>
      <c r="J810" s="125">
        <f t="shared" ca="1" si="471"/>
        <v>0</v>
      </c>
      <c r="K810" s="125">
        <f t="shared" ca="1" si="472"/>
        <v>0</v>
      </c>
      <c r="L810" s="125">
        <f t="shared" ca="1" si="490"/>
        <v>0</v>
      </c>
      <c r="M810" s="125">
        <f t="shared" ca="1" si="473"/>
        <v>0</v>
      </c>
      <c r="N810" s="125">
        <f t="shared" ca="1" si="474"/>
        <v>0</v>
      </c>
      <c r="R810">
        <f t="shared" si="491"/>
        <v>803</v>
      </c>
      <c r="U810" s="55"/>
      <c r="V810">
        <f t="shared" si="492"/>
        <v>12</v>
      </c>
      <c r="W810">
        <f t="shared" ca="1" si="493"/>
        <v>2090</v>
      </c>
      <c r="X810" s="123">
        <f t="shared" ca="1" si="475"/>
        <v>69733</v>
      </c>
      <c r="Y810" s="64">
        <f t="shared" ca="1" si="476"/>
        <v>0</v>
      </c>
      <c r="Z810" s="64">
        <f t="shared" ca="1" si="477"/>
        <v>0</v>
      </c>
      <c r="AA810" s="64">
        <f t="shared" ca="1" si="478"/>
        <v>0</v>
      </c>
      <c r="AB810" s="64">
        <f t="shared" ca="1" si="479"/>
        <v>0</v>
      </c>
      <c r="AF810" t="str">
        <f t="shared" ca="1" si="459"/>
        <v>81977</v>
      </c>
      <c r="AG810" s="126">
        <f t="shared" ca="1" si="460"/>
        <v>0</v>
      </c>
      <c r="AH810" s="126">
        <f t="shared" ca="1" si="461"/>
        <v>0</v>
      </c>
      <c r="AI810" s="126">
        <f t="shared" ca="1" si="462"/>
        <v>0</v>
      </c>
      <c r="AJ810" t="str">
        <f t="shared" ca="1" si="463"/>
        <v>122090</v>
      </c>
      <c r="AK810" s="126">
        <f t="shared" ca="1" si="480"/>
        <v>0</v>
      </c>
      <c r="AL810" s="126">
        <f t="shared" ca="1" si="481"/>
        <v>0</v>
      </c>
      <c r="AM810" s="126">
        <f t="shared" ca="1" si="494"/>
        <v>0</v>
      </c>
      <c r="AN810" s="753">
        <f t="shared" ca="1" si="495"/>
        <v>0</v>
      </c>
      <c r="AO810" s="750">
        <f t="shared" ca="1" si="482"/>
        <v>0</v>
      </c>
      <c r="AP810" s="126">
        <f t="shared" ca="1" si="483"/>
        <v>0</v>
      </c>
      <c r="AQ810" s="126">
        <f t="shared" ca="1" si="484"/>
        <v>0</v>
      </c>
      <c r="AR810" s="126">
        <f t="shared" ca="1" si="464"/>
        <v>10000</v>
      </c>
      <c r="AS810" s="750">
        <f t="shared" ca="1" si="465"/>
        <v>0</v>
      </c>
      <c r="AT810" s="750">
        <f t="shared" ca="1" si="466"/>
        <v>0</v>
      </c>
      <c r="AU810" s="126">
        <f t="shared" ca="1" si="485"/>
        <v>0</v>
      </c>
      <c r="AV810" s="126">
        <f t="shared" ca="1" si="486"/>
        <v>0</v>
      </c>
      <c r="AW810" s="126">
        <f t="shared" ca="1" si="467"/>
        <v>10000</v>
      </c>
      <c r="AX810" s="750">
        <f t="shared" ca="1" si="487"/>
        <v>0</v>
      </c>
      <c r="AY810" s="750">
        <f t="shared" ca="1" si="488"/>
        <v>0</v>
      </c>
      <c r="AZ810">
        <f t="shared" si="489"/>
        <v>5750</v>
      </c>
    </row>
    <row r="811" spans="4:52">
      <c r="D811">
        <v>804</v>
      </c>
      <c r="E811" s="6">
        <f t="shared" ca="1" si="468"/>
        <v>28307</v>
      </c>
      <c r="F811" s="7">
        <f t="shared" ca="1" si="469"/>
        <v>0</v>
      </c>
      <c r="G811" s="125">
        <f ca="1">IF('Simulador - 1º Pilar'!$E$99="Sí",IF('Aportaciones PPE'!$B$13&lt;'Aportaciones PPE'!E811,0,F811*$B$8/12),F811*$B$8/12)</f>
        <v>0</v>
      </c>
      <c r="H811" s="125">
        <f t="shared" ca="1" si="458"/>
        <v>0</v>
      </c>
      <c r="I811" s="125">
        <f t="shared" ca="1" si="470"/>
        <v>0</v>
      </c>
      <c r="J811" s="125">
        <f t="shared" ca="1" si="471"/>
        <v>0</v>
      </c>
      <c r="K811" s="125">
        <f t="shared" ca="1" si="472"/>
        <v>0</v>
      </c>
      <c r="L811" s="125">
        <f t="shared" ca="1" si="490"/>
        <v>0</v>
      </c>
      <c r="M811" s="125">
        <f t="shared" ca="1" si="473"/>
        <v>0</v>
      </c>
      <c r="N811" s="125">
        <f t="shared" ca="1" si="474"/>
        <v>0</v>
      </c>
      <c r="R811">
        <f t="shared" si="491"/>
        <v>804</v>
      </c>
      <c r="U811" s="55"/>
      <c r="V811">
        <f t="shared" si="492"/>
        <v>1</v>
      </c>
      <c r="W811">
        <f t="shared" ca="1" si="493"/>
        <v>2091</v>
      </c>
      <c r="X811" s="123">
        <f t="shared" ca="1" si="475"/>
        <v>69764</v>
      </c>
      <c r="Y811" s="64">
        <f t="shared" ca="1" si="476"/>
        <v>0</v>
      </c>
      <c r="Z811" s="64">
        <f t="shared" ca="1" si="477"/>
        <v>0</v>
      </c>
      <c r="AA811" s="64">
        <f t="shared" ca="1" si="478"/>
        <v>0</v>
      </c>
      <c r="AB811" s="64">
        <f t="shared" ca="1" si="479"/>
        <v>0</v>
      </c>
      <c r="AF811" t="str">
        <f t="shared" ca="1" si="459"/>
        <v>71977</v>
      </c>
      <c r="AG811" s="126">
        <f t="shared" ca="1" si="460"/>
        <v>0</v>
      </c>
      <c r="AH811" s="126">
        <f t="shared" ca="1" si="461"/>
        <v>0</v>
      </c>
      <c r="AI811" s="126">
        <f t="shared" ca="1" si="462"/>
        <v>0</v>
      </c>
      <c r="AJ811" t="str">
        <f t="shared" ca="1" si="463"/>
        <v>12091</v>
      </c>
      <c r="AK811" s="126">
        <f t="shared" ca="1" si="480"/>
        <v>0</v>
      </c>
      <c r="AL811" s="126">
        <f t="shared" ca="1" si="481"/>
        <v>0</v>
      </c>
      <c r="AM811" s="126">
        <f t="shared" ca="1" si="494"/>
        <v>0</v>
      </c>
      <c r="AN811" s="753">
        <f t="shared" ca="1" si="495"/>
        <v>0</v>
      </c>
      <c r="AO811" s="750">
        <f t="shared" ca="1" si="482"/>
        <v>0</v>
      </c>
      <c r="AP811" s="126">
        <f t="shared" ca="1" si="483"/>
        <v>0</v>
      </c>
      <c r="AQ811" s="126">
        <f t="shared" ca="1" si="484"/>
        <v>0</v>
      </c>
      <c r="AR811" s="126">
        <f t="shared" ca="1" si="464"/>
        <v>10000</v>
      </c>
      <c r="AS811" s="750">
        <f t="shared" ca="1" si="465"/>
        <v>0</v>
      </c>
      <c r="AT811" s="750">
        <f t="shared" ca="1" si="466"/>
        <v>0</v>
      </c>
      <c r="AU811" s="126">
        <f t="shared" ca="1" si="485"/>
        <v>0</v>
      </c>
      <c r="AV811" s="126">
        <f t="shared" ca="1" si="486"/>
        <v>0</v>
      </c>
      <c r="AW811" s="126">
        <f t="shared" ca="1" si="467"/>
        <v>10000</v>
      </c>
      <c r="AX811" s="750">
        <f t="shared" ca="1" si="487"/>
        <v>0</v>
      </c>
      <c r="AY811" s="750">
        <f t="shared" ca="1" si="488"/>
        <v>0</v>
      </c>
      <c r="AZ811">
        <f t="shared" si="489"/>
        <v>5750</v>
      </c>
    </row>
    <row r="812" spans="4:52">
      <c r="D812">
        <v>805</v>
      </c>
      <c r="E812" s="6">
        <f t="shared" ca="1" si="468"/>
        <v>28277</v>
      </c>
      <c r="F812" s="7">
        <f t="shared" ca="1" si="469"/>
        <v>0</v>
      </c>
      <c r="G812" s="125">
        <f ca="1">IF('Simulador - 1º Pilar'!$E$99="Sí",IF('Aportaciones PPE'!$B$13&lt;'Aportaciones PPE'!E812,0,F812*$B$8/12),F812*$B$8/12)</f>
        <v>0</v>
      </c>
      <c r="H812" s="125">
        <f t="shared" ca="1" si="458"/>
        <v>0</v>
      </c>
      <c r="I812" s="125">
        <f t="shared" ca="1" si="470"/>
        <v>0</v>
      </c>
      <c r="J812" s="125">
        <f t="shared" ca="1" si="471"/>
        <v>0</v>
      </c>
      <c r="K812" s="125">
        <f t="shared" ca="1" si="472"/>
        <v>0</v>
      </c>
      <c r="L812" s="125">
        <f t="shared" ca="1" si="490"/>
        <v>0</v>
      </c>
      <c r="M812" s="125">
        <f t="shared" ca="1" si="473"/>
        <v>0</v>
      </c>
      <c r="N812" s="125">
        <f t="shared" ca="1" si="474"/>
        <v>0</v>
      </c>
      <c r="R812">
        <f t="shared" si="491"/>
        <v>805</v>
      </c>
      <c r="U812" s="55"/>
      <c r="V812">
        <f t="shared" si="492"/>
        <v>2</v>
      </c>
      <c r="W812">
        <f t="shared" ca="1" si="493"/>
        <v>2091</v>
      </c>
      <c r="X812" s="123">
        <f t="shared" ca="1" si="475"/>
        <v>69795</v>
      </c>
      <c r="Y812" s="64">
        <f t="shared" ca="1" si="476"/>
        <v>0</v>
      </c>
      <c r="Z812" s="64">
        <f t="shared" ca="1" si="477"/>
        <v>0</v>
      </c>
      <c r="AA812" s="64">
        <f t="shared" ca="1" si="478"/>
        <v>0</v>
      </c>
      <c r="AB812" s="64">
        <f t="shared" ca="1" si="479"/>
        <v>0</v>
      </c>
      <c r="AF812" t="str">
        <f t="shared" ca="1" si="459"/>
        <v>61977</v>
      </c>
      <c r="AG812" s="126">
        <f t="shared" ca="1" si="460"/>
        <v>0</v>
      </c>
      <c r="AH812" s="126">
        <f t="shared" ca="1" si="461"/>
        <v>0</v>
      </c>
      <c r="AI812" s="126">
        <f t="shared" ca="1" si="462"/>
        <v>0</v>
      </c>
      <c r="AJ812" t="str">
        <f t="shared" ca="1" si="463"/>
        <v>22091</v>
      </c>
      <c r="AK812" s="126">
        <f t="shared" ca="1" si="480"/>
        <v>0</v>
      </c>
      <c r="AL812" s="126">
        <f t="shared" ca="1" si="481"/>
        <v>0</v>
      </c>
      <c r="AM812" s="126">
        <f t="shared" ca="1" si="494"/>
        <v>0</v>
      </c>
      <c r="AN812" s="753">
        <f t="shared" ca="1" si="495"/>
        <v>0</v>
      </c>
      <c r="AO812" s="750">
        <f t="shared" ca="1" si="482"/>
        <v>0</v>
      </c>
      <c r="AP812" s="126">
        <f t="shared" ca="1" si="483"/>
        <v>0</v>
      </c>
      <c r="AQ812" s="126">
        <f t="shared" ca="1" si="484"/>
        <v>0</v>
      </c>
      <c r="AR812" s="126">
        <f t="shared" ca="1" si="464"/>
        <v>10000</v>
      </c>
      <c r="AS812" s="750">
        <f t="shared" ca="1" si="465"/>
        <v>0</v>
      </c>
      <c r="AT812" s="750">
        <f t="shared" ca="1" si="466"/>
        <v>0</v>
      </c>
      <c r="AU812" s="126">
        <f t="shared" ca="1" si="485"/>
        <v>0</v>
      </c>
      <c r="AV812" s="126">
        <f t="shared" ca="1" si="486"/>
        <v>0</v>
      </c>
      <c r="AW812" s="126">
        <f t="shared" ca="1" si="467"/>
        <v>10000</v>
      </c>
      <c r="AX812" s="750">
        <f t="shared" ca="1" si="487"/>
        <v>0</v>
      </c>
      <c r="AY812" s="750">
        <f t="shared" ca="1" si="488"/>
        <v>0</v>
      </c>
      <c r="AZ812">
        <f t="shared" si="489"/>
        <v>5750</v>
      </c>
    </row>
    <row r="813" spans="4:52">
      <c r="D813">
        <v>806</v>
      </c>
      <c r="E813" s="6">
        <f t="shared" ca="1" si="468"/>
        <v>28246</v>
      </c>
      <c r="F813" s="7">
        <f t="shared" ca="1" si="469"/>
        <v>0</v>
      </c>
      <c r="G813" s="125">
        <f ca="1">IF('Simulador - 1º Pilar'!$E$99="Sí",IF('Aportaciones PPE'!$B$13&lt;'Aportaciones PPE'!E813,0,F813*$B$8/12),F813*$B$8/12)</f>
        <v>0</v>
      </c>
      <c r="H813" s="125">
        <f t="shared" ca="1" si="458"/>
        <v>0</v>
      </c>
      <c r="I813" s="125">
        <f t="shared" ca="1" si="470"/>
        <v>0</v>
      </c>
      <c r="J813" s="125">
        <f t="shared" ca="1" si="471"/>
        <v>0</v>
      </c>
      <c r="K813" s="125">
        <f t="shared" ca="1" si="472"/>
        <v>0</v>
      </c>
      <c r="L813" s="125">
        <f t="shared" ca="1" si="490"/>
        <v>0</v>
      </c>
      <c r="M813" s="125">
        <f t="shared" ca="1" si="473"/>
        <v>0</v>
      </c>
      <c r="N813" s="125">
        <f t="shared" ca="1" si="474"/>
        <v>0</v>
      </c>
      <c r="R813">
        <f t="shared" si="491"/>
        <v>806</v>
      </c>
      <c r="U813" s="55"/>
      <c r="V813">
        <f t="shared" si="492"/>
        <v>3</v>
      </c>
      <c r="W813">
        <f t="shared" ca="1" si="493"/>
        <v>2091</v>
      </c>
      <c r="X813" s="123">
        <f t="shared" ca="1" si="475"/>
        <v>69823</v>
      </c>
      <c r="Y813" s="64">
        <f t="shared" ca="1" si="476"/>
        <v>0</v>
      </c>
      <c r="Z813" s="64">
        <f t="shared" ca="1" si="477"/>
        <v>0</v>
      </c>
      <c r="AA813" s="64">
        <f t="shared" ca="1" si="478"/>
        <v>0</v>
      </c>
      <c r="AB813" s="64">
        <f t="shared" ca="1" si="479"/>
        <v>0</v>
      </c>
      <c r="AF813" t="str">
        <f t="shared" ca="1" si="459"/>
        <v>51977</v>
      </c>
      <c r="AG813" s="126">
        <f t="shared" ca="1" si="460"/>
        <v>0</v>
      </c>
      <c r="AH813" s="126">
        <f t="shared" ca="1" si="461"/>
        <v>0</v>
      </c>
      <c r="AI813" s="126">
        <f t="shared" ca="1" si="462"/>
        <v>0</v>
      </c>
      <c r="AJ813" t="str">
        <f t="shared" ca="1" si="463"/>
        <v>32091</v>
      </c>
      <c r="AK813" s="126">
        <f t="shared" ca="1" si="480"/>
        <v>0</v>
      </c>
      <c r="AL813" s="126">
        <f t="shared" ca="1" si="481"/>
        <v>0</v>
      </c>
      <c r="AM813" s="126">
        <f t="shared" ca="1" si="494"/>
        <v>0</v>
      </c>
      <c r="AN813" s="753">
        <f t="shared" ca="1" si="495"/>
        <v>0</v>
      </c>
      <c r="AO813" s="750">
        <f t="shared" ca="1" si="482"/>
        <v>0</v>
      </c>
      <c r="AP813" s="126">
        <f t="shared" ca="1" si="483"/>
        <v>0</v>
      </c>
      <c r="AQ813" s="126">
        <f t="shared" ca="1" si="484"/>
        <v>0</v>
      </c>
      <c r="AR813" s="126">
        <f t="shared" ca="1" si="464"/>
        <v>10000</v>
      </c>
      <c r="AS813" s="750">
        <f t="shared" ca="1" si="465"/>
        <v>0</v>
      </c>
      <c r="AT813" s="750">
        <f t="shared" ca="1" si="466"/>
        <v>0</v>
      </c>
      <c r="AU813" s="126">
        <f t="shared" ca="1" si="485"/>
        <v>0</v>
      </c>
      <c r="AV813" s="126">
        <f t="shared" ca="1" si="486"/>
        <v>0</v>
      </c>
      <c r="AW813" s="126">
        <f t="shared" ca="1" si="467"/>
        <v>10000</v>
      </c>
      <c r="AX813" s="750">
        <f t="shared" ca="1" si="487"/>
        <v>0</v>
      </c>
      <c r="AY813" s="750">
        <f t="shared" ca="1" si="488"/>
        <v>0</v>
      </c>
      <c r="AZ813">
        <f t="shared" si="489"/>
        <v>5750</v>
      </c>
    </row>
    <row r="814" spans="4:52">
      <c r="D814">
        <v>807</v>
      </c>
      <c r="E814" s="6">
        <f t="shared" ca="1" si="468"/>
        <v>28216</v>
      </c>
      <c r="F814" s="7">
        <f t="shared" ca="1" si="469"/>
        <v>0</v>
      </c>
      <c r="G814" s="125">
        <f ca="1">IF('Simulador - 1º Pilar'!$E$99="Sí",IF('Aportaciones PPE'!$B$13&lt;'Aportaciones PPE'!E814,0,F814*$B$8/12),F814*$B$8/12)</f>
        <v>0</v>
      </c>
      <c r="H814" s="125">
        <f t="shared" ca="1" si="458"/>
        <v>0</v>
      </c>
      <c r="I814" s="125">
        <f t="shared" ca="1" si="470"/>
        <v>0</v>
      </c>
      <c r="J814" s="125">
        <f t="shared" ca="1" si="471"/>
        <v>0</v>
      </c>
      <c r="K814" s="125">
        <f t="shared" ca="1" si="472"/>
        <v>0</v>
      </c>
      <c r="L814" s="125">
        <f t="shared" ca="1" si="490"/>
        <v>0</v>
      </c>
      <c r="M814" s="125">
        <f t="shared" ca="1" si="473"/>
        <v>0</v>
      </c>
      <c r="N814" s="125">
        <f t="shared" ca="1" si="474"/>
        <v>0</v>
      </c>
      <c r="R814">
        <f t="shared" si="491"/>
        <v>807</v>
      </c>
      <c r="U814" s="55"/>
      <c r="V814">
        <f t="shared" si="492"/>
        <v>4</v>
      </c>
      <c r="W814">
        <f t="shared" ca="1" si="493"/>
        <v>2091</v>
      </c>
      <c r="X814" s="123">
        <f t="shared" ca="1" si="475"/>
        <v>69854</v>
      </c>
      <c r="Y814" s="64">
        <f t="shared" ca="1" si="476"/>
        <v>0</v>
      </c>
      <c r="Z814" s="64">
        <f t="shared" ca="1" si="477"/>
        <v>0</v>
      </c>
      <c r="AA814" s="64">
        <f t="shared" ca="1" si="478"/>
        <v>0</v>
      </c>
      <c r="AB814" s="64">
        <f t="shared" ca="1" si="479"/>
        <v>0</v>
      </c>
      <c r="AF814" t="str">
        <f t="shared" ca="1" si="459"/>
        <v>41977</v>
      </c>
      <c r="AG814" s="126">
        <f t="shared" ca="1" si="460"/>
        <v>0</v>
      </c>
      <c r="AH814" s="126">
        <f t="shared" ca="1" si="461"/>
        <v>0</v>
      </c>
      <c r="AI814" s="126">
        <f t="shared" ca="1" si="462"/>
        <v>0</v>
      </c>
      <c r="AJ814" t="str">
        <f t="shared" ca="1" si="463"/>
        <v>42091</v>
      </c>
      <c r="AK814" s="126">
        <f t="shared" ca="1" si="480"/>
        <v>0</v>
      </c>
      <c r="AL814" s="126">
        <f t="shared" ca="1" si="481"/>
        <v>0</v>
      </c>
      <c r="AM814" s="126">
        <f t="shared" ca="1" si="494"/>
        <v>0</v>
      </c>
      <c r="AN814" s="753">
        <f t="shared" ca="1" si="495"/>
        <v>0</v>
      </c>
      <c r="AO814" s="750">
        <f t="shared" ca="1" si="482"/>
        <v>0</v>
      </c>
      <c r="AP814" s="126">
        <f t="shared" ca="1" si="483"/>
        <v>0</v>
      </c>
      <c r="AQ814" s="126">
        <f t="shared" ca="1" si="484"/>
        <v>0</v>
      </c>
      <c r="AR814" s="126">
        <f t="shared" ca="1" si="464"/>
        <v>10000</v>
      </c>
      <c r="AS814" s="750">
        <f t="shared" ca="1" si="465"/>
        <v>0</v>
      </c>
      <c r="AT814" s="750">
        <f t="shared" ca="1" si="466"/>
        <v>0</v>
      </c>
      <c r="AU814" s="126">
        <f t="shared" ca="1" si="485"/>
        <v>0</v>
      </c>
      <c r="AV814" s="126">
        <f t="shared" ca="1" si="486"/>
        <v>0</v>
      </c>
      <c r="AW814" s="126">
        <f t="shared" ca="1" si="467"/>
        <v>10000</v>
      </c>
      <c r="AX814" s="750">
        <f t="shared" ca="1" si="487"/>
        <v>0</v>
      </c>
      <c r="AY814" s="750">
        <f t="shared" ca="1" si="488"/>
        <v>0</v>
      </c>
      <c r="AZ814">
        <f t="shared" si="489"/>
        <v>5750</v>
      </c>
    </row>
    <row r="815" spans="4:52">
      <c r="D815">
        <v>808</v>
      </c>
      <c r="E815" s="6">
        <f t="shared" ca="1" si="468"/>
        <v>28185</v>
      </c>
      <c r="F815" s="7">
        <f t="shared" ca="1" si="469"/>
        <v>0</v>
      </c>
      <c r="G815" s="125">
        <f ca="1">IF('Simulador - 1º Pilar'!$E$99="Sí",IF('Aportaciones PPE'!$B$13&lt;'Aportaciones PPE'!E815,0,F815*$B$8/12),F815*$B$8/12)</f>
        <v>0</v>
      </c>
      <c r="H815" s="125">
        <f t="shared" ca="1" si="458"/>
        <v>0</v>
      </c>
      <c r="I815" s="125">
        <f t="shared" ca="1" si="470"/>
        <v>0</v>
      </c>
      <c r="J815" s="125">
        <f t="shared" ca="1" si="471"/>
        <v>0</v>
      </c>
      <c r="K815" s="125">
        <f t="shared" ca="1" si="472"/>
        <v>0</v>
      </c>
      <c r="L815" s="125">
        <f t="shared" ca="1" si="490"/>
        <v>0</v>
      </c>
      <c r="M815" s="125">
        <f t="shared" ca="1" si="473"/>
        <v>0</v>
      </c>
      <c r="N815" s="125">
        <f t="shared" ca="1" si="474"/>
        <v>0</v>
      </c>
      <c r="R815">
        <f t="shared" si="491"/>
        <v>808</v>
      </c>
      <c r="U815" s="55"/>
      <c r="V815">
        <f t="shared" si="492"/>
        <v>5</v>
      </c>
      <c r="W815">
        <f t="shared" ca="1" si="493"/>
        <v>2091</v>
      </c>
      <c r="X815" s="123">
        <f t="shared" ca="1" si="475"/>
        <v>69884</v>
      </c>
      <c r="Y815" s="64">
        <f t="shared" ca="1" si="476"/>
        <v>0</v>
      </c>
      <c r="Z815" s="64">
        <f t="shared" ca="1" si="477"/>
        <v>0</v>
      </c>
      <c r="AA815" s="64">
        <f t="shared" ca="1" si="478"/>
        <v>0</v>
      </c>
      <c r="AB815" s="64">
        <f t="shared" ca="1" si="479"/>
        <v>0</v>
      </c>
      <c r="AF815" t="str">
        <f t="shared" ca="1" si="459"/>
        <v>31977</v>
      </c>
      <c r="AG815" s="126">
        <f t="shared" ca="1" si="460"/>
        <v>0</v>
      </c>
      <c r="AH815" s="126">
        <f t="shared" ca="1" si="461"/>
        <v>0</v>
      </c>
      <c r="AI815" s="126">
        <f t="shared" ca="1" si="462"/>
        <v>0</v>
      </c>
      <c r="AJ815" t="str">
        <f t="shared" ca="1" si="463"/>
        <v>52091</v>
      </c>
      <c r="AK815" s="126">
        <f t="shared" ca="1" si="480"/>
        <v>0</v>
      </c>
      <c r="AL815" s="126">
        <f t="shared" ca="1" si="481"/>
        <v>0</v>
      </c>
      <c r="AM815" s="126">
        <f t="shared" ca="1" si="494"/>
        <v>0</v>
      </c>
      <c r="AN815" s="753">
        <f t="shared" ca="1" si="495"/>
        <v>0</v>
      </c>
      <c r="AO815" s="750">
        <f t="shared" ca="1" si="482"/>
        <v>0</v>
      </c>
      <c r="AP815" s="126">
        <f t="shared" ca="1" si="483"/>
        <v>0</v>
      </c>
      <c r="AQ815" s="126">
        <f t="shared" ca="1" si="484"/>
        <v>0</v>
      </c>
      <c r="AR815" s="126">
        <f t="shared" ca="1" si="464"/>
        <v>10000</v>
      </c>
      <c r="AS815" s="750">
        <f t="shared" ca="1" si="465"/>
        <v>0</v>
      </c>
      <c r="AT815" s="750">
        <f t="shared" ca="1" si="466"/>
        <v>0</v>
      </c>
      <c r="AU815" s="126">
        <f t="shared" ca="1" si="485"/>
        <v>0</v>
      </c>
      <c r="AV815" s="126">
        <f t="shared" ca="1" si="486"/>
        <v>0</v>
      </c>
      <c r="AW815" s="126">
        <f t="shared" ca="1" si="467"/>
        <v>10000</v>
      </c>
      <c r="AX815" s="750">
        <f t="shared" ca="1" si="487"/>
        <v>0</v>
      </c>
      <c r="AY815" s="750">
        <f t="shared" ca="1" si="488"/>
        <v>0</v>
      </c>
      <c r="AZ815">
        <f t="shared" si="489"/>
        <v>5750</v>
      </c>
    </row>
    <row r="816" spans="4:52">
      <c r="D816">
        <v>809</v>
      </c>
      <c r="E816" s="6">
        <f t="shared" ca="1" si="468"/>
        <v>28157</v>
      </c>
      <c r="F816" s="7">
        <f t="shared" ca="1" si="469"/>
        <v>0</v>
      </c>
      <c r="G816" s="125">
        <f ca="1">IF('Simulador - 1º Pilar'!$E$99="Sí",IF('Aportaciones PPE'!$B$13&lt;'Aportaciones PPE'!E816,0,F816*$B$8/12),F816*$B$8/12)</f>
        <v>0</v>
      </c>
      <c r="H816" s="125">
        <f t="shared" ca="1" si="458"/>
        <v>0</v>
      </c>
      <c r="I816" s="125">
        <f t="shared" ca="1" si="470"/>
        <v>0</v>
      </c>
      <c r="J816" s="125">
        <f t="shared" ca="1" si="471"/>
        <v>0</v>
      </c>
      <c r="K816" s="125">
        <f t="shared" ca="1" si="472"/>
        <v>0</v>
      </c>
      <c r="L816" s="125">
        <f t="shared" ca="1" si="490"/>
        <v>0</v>
      </c>
      <c r="M816" s="125">
        <f t="shared" ca="1" si="473"/>
        <v>0</v>
      </c>
      <c r="N816" s="125">
        <f t="shared" ca="1" si="474"/>
        <v>0</v>
      </c>
      <c r="R816">
        <f t="shared" si="491"/>
        <v>809</v>
      </c>
      <c r="U816" s="55"/>
      <c r="V816">
        <f t="shared" si="492"/>
        <v>6</v>
      </c>
      <c r="W816">
        <f t="shared" ca="1" si="493"/>
        <v>2091</v>
      </c>
      <c r="X816" s="123">
        <f t="shared" ca="1" si="475"/>
        <v>69915</v>
      </c>
      <c r="Y816" s="64">
        <f t="shared" ca="1" si="476"/>
        <v>0</v>
      </c>
      <c r="Z816" s="64">
        <f t="shared" ca="1" si="477"/>
        <v>0</v>
      </c>
      <c r="AA816" s="64">
        <f t="shared" ca="1" si="478"/>
        <v>0</v>
      </c>
      <c r="AB816" s="64">
        <f t="shared" ca="1" si="479"/>
        <v>0</v>
      </c>
      <c r="AF816" t="str">
        <f t="shared" ca="1" si="459"/>
        <v>21977</v>
      </c>
      <c r="AG816" s="126">
        <f t="shared" ca="1" si="460"/>
        <v>0</v>
      </c>
      <c r="AH816" s="126">
        <f t="shared" ca="1" si="461"/>
        <v>0</v>
      </c>
      <c r="AI816" s="126">
        <f t="shared" ca="1" si="462"/>
        <v>0</v>
      </c>
      <c r="AJ816" t="str">
        <f t="shared" ca="1" si="463"/>
        <v>62091</v>
      </c>
      <c r="AK816" s="126">
        <f t="shared" ca="1" si="480"/>
        <v>0</v>
      </c>
      <c r="AL816" s="126">
        <f t="shared" ca="1" si="481"/>
        <v>0</v>
      </c>
      <c r="AM816" s="126">
        <f t="shared" ca="1" si="494"/>
        <v>0</v>
      </c>
      <c r="AN816" s="753">
        <f t="shared" ca="1" si="495"/>
        <v>0</v>
      </c>
      <c r="AO816" s="750">
        <f t="shared" ca="1" si="482"/>
        <v>0</v>
      </c>
      <c r="AP816" s="126">
        <f t="shared" ca="1" si="483"/>
        <v>0</v>
      </c>
      <c r="AQ816" s="126">
        <f t="shared" ca="1" si="484"/>
        <v>0</v>
      </c>
      <c r="AR816" s="126">
        <f t="shared" ca="1" si="464"/>
        <v>10000</v>
      </c>
      <c r="AS816" s="750">
        <f t="shared" ca="1" si="465"/>
        <v>0</v>
      </c>
      <c r="AT816" s="750">
        <f t="shared" ca="1" si="466"/>
        <v>0</v>
      </c>
      <c r="AU816" s="126">
        <f t="shared" ca="1" si="485"/>
        <v>0</v>
      </c>
      <c r="AV816" s="126">
        <f t="shared" ca="1" si="486"/>
        <v>0</v>
      </c>
      <c r="AW816" s="126">
        <f t="shared" ca="1" si="467"/>
        <v>10000</v>
      </c>
      <c r="AX816" s="750">
        <f t="shared" ca="1" si="487"/>
        <v>0</v>
      </c>
      <c r="AY816" s="750">
        <f t="shared" ca="1" si="488"/>
        <v>0</v>
      </c>
      <c r="AZ816">
        <f t="shared" si="489"/>
        <v>5750</v>
      </c>
    </row>
    <row r="817" spans="4:52">
      <c r="D817">
        <v>810</v>
      </c>
      <c r="E817" s="6">
        <f t="shared" ca="1" si="468"/>
        <v>28126</v>
      </c>
      <c r="F817" s="7">
        <f t="shared" ca="1" si="469"/>
        <v>0</v>
      </c>
      <c r="G817" s="125">
        <f ca="1">IF('Simulador - 1º Pilar'!$E$99="Sí",IF('Aportaciones PPE'!$B$13&lt;'Aportaciones PPE'!E817,0,F817*$B$8/12),F817*$B$8/12)</f>
        <v>0</v>
      </c>
      <c r="H817" s="125">
        <f t="shared" ca="1" si="458"/>
        <v>0</v>
      </c>
      <c r="I817" s="125">
        <f t="shared" ca="1" si="470"/>
        <v>0</v>
      </c>
      <c r="J817" s="125">
        <f t="shared" ca="1" si="471"/>
        <v>0</v>
      </c>
      <c r="K817" s="125">
        <f t="shared" ca="1" si="472"/>
        <v>0</v>
      </c>
      <c r="L817" s="125">
        <f t="shared" ca="1" si="490"/>
        <v>0</v>
      </c>
      <c r="M817" s="125">
        <f t="shared" ca="1" si="473"/>
        <v>0</v>
      </c>
      <c r="N817" s="125">
        <f t="shared" ca="1" si="474"/>
        <v>0</v>
      </c>
      <c r="R817">
        <f t="shared" si="491"/>
        <v>810</v>
      </c>
      <c r="U817" s="55"/>
      <c r="V817">
        <f t="shared" si="492"/>
        <v>7</v>
      </c>
      <c r="W817">
        <f t="shared" ca="1" si="493"/>
        <v>2091</v>
      </c>
      <c r="X817" s="123">
        <f t="shared" ca="1" si="475"/>
        <v>69945</v>
      </c>
      <c r="Y817" s="64">
        <f t="shared" ca="1" si="476"/>
        <v>0</v>
      </c>
      <c r="Z817" s="64">
        <f t="shared" ca="1" si="477"/>
        <v>0</v>
      </c>
      <c r="AA817" s="64">
        <f t="shared" ca="1" si="478"/>
        <v>0</v>
      </c>
      <c r="AB817" s="64">
        <f t="shared" ca="1" si="479"/>
        <v>0</v>
      </c>
      <c r="AF817" t="str">
        <f t="shared" ca="1" si="459"/>
        <v>11977</v>
      </c>
      <c r="AG817" s="126">
        <f t="shared" ca="1" si="460"/>
        <v>0</v>
      </c>
      <c r="AH817" s="126">
        <f t="shared" ca="1" si="461"/>
        <v>0</v>
      </c>
      <c r="AI817" s="126">
        <f t="shared" ca="1" si="462"/>
        <v>0</v>
      </c>
      <c r="AJ817" t="str">
        <f t="shared" ca="1" si="463"/>
        <v>72091</v>
      </c>
      <c r="AK817" s="126">
        <f t="shared" ca="1" si="480"/>
        <v>0</v>
      </c>
      <c r="AL817" s="126">
        <f t="shared" ca="1" si="481"/>
        <v>0</v>
      </c>
      <c r="AM817" s="126">
        <f t="shared" ca="1" si="494"/>
        <v>0</v>
      </c>
      <c r="AN817" s="753">
        <f t="shared" ca="1" si="495"/>
        <v>0</v>
      </c>
      <c r="AO817" s="750">
        <f t="shared" ca="1" si="482"/>
        <v>0</v>
      </c>
      <c r="AP817" s="126">
        <f t="shared" ca="1" si="483"/>
        <v>0</v>
      </c>
      <c r="AQ817" s="126">
        <f t="shared" ca="1" si="484"/>
        <v>0</v>
      </c>
      <c r="AR817" s="126">
        <f t="shared" ca="1" si="464"/>
        <v>10000</v>
      </c>
      <c r="AS817" s="750">
        <f t="shared" ca="1" si="465"/>
        <v>0</v>
      </c>
      <c r="AT817" s="750">
        <f t="shared" ca="1" si="466"/>
        <v>0</v>
      </c>
      <c r="AU817" s="126">
        <f t="shared" ca="1" si="485"/>
        <v>0</v>
      </c>
      <c r="AV817" s="126">
        <f t="shared" ca="1" si="486"/>
        <v>0</v>
      </c>
      <c r="AW817" s="126">
        <f t="shared" ca="1" si="467"/>
        <v>10000</v>
      </c>
      <c r="AX817" s="750">
        <f t="shared" ca="1" si="487"/>
        <v>0</v>
      </c>
      <c r="AY817" s="750">
        <f t="shared" ca="1" si="488"/>
        <v>0</v>
      </c>
      <c r="AZ817">
        <f t="shared" si="489"/>
        <v>5750</v>
      </c>
    </row>
    <row r="818" spans="4:52">
      <c r="D818">
        <v>811</v>
      </c>
      <c r="E818" s="6">
        <f t="shared" ca="1" si="468"/>
        <v>28095</v>
      </c>
      <c r="F818" s="7">
        <f t="shared" ca="1" si="469"/>
        <v>0</v>
      </c>
      <c r="G818" s="125">
        <f ca="1">IF('Simulador - 1º Pilar'!$E$99="Sí",IF('Aportaciones PPE'!$B$13&lt;'Aportaciones PPE'!E818,0,F818*$B$8/12),F818*$B$8/12)</f>
        <v>0</v>
      </c>
      <c r="H818" s="125">
        <f t="shared" ca="1" si="458"/>
        <v>0</v>
      </c>
      <c r="I818" s="125">
        <f t="shared" ca="1" si="470"/>
        <v>0</v>
      </c>
      <c r="J818" s="125">
        <f t="shared" ca="1" si="471"/>
        <v>0</v>
      </c>
      <c r="K818" s="125">
        <f t="shared" ca="1" si="472"/>
        <v>0</v>
      </c>
      <c r="L818" s="125">
        <f t="shared" ca="1" si="490"/>
        <v>0</v>
      </c>
      <c r="M818" s="125">
        <f t="shared" ca="1" si="473"/>
        <v>0</v>
      </c>
      <c r="N818" s="125">
        <f t="shared" ca="1" si="474"/>
        <v>0</v>
      </c>
      <c r="R818">
        <f t="shared" si="491"/>
        <v>811</v>
      </c>
      <c r="U818" s="55"/>
      <c r="V818">
        <f t="shared" si="492"/>
        <v>8</v>
      </c>
      <c r="W818">
        <f t="shared" ca="1" si="493"/>
        <v>2091</v>
      </c>
      <c r="X818" s="123">
        <f t="shared" ca="1" si="475"/>
        <v>69976</v>
      </c>
      <c r="Y818" s="64">
        <f t="shared" ca="1" si="476"/>
        <v>0</v>
      </c>
      <c r="Z818" s="64">
        <f t="shared" ca="1" si="477"/>
        <v>0</v>
      </c>
      <c r="AA818" s="64">
        <f t="shared" ca="1" si="478"/>
        <v>0</v>
      </c>
      <c r="AB818" s="64">
        <f t="shared" ca="1" si="479"/>
        <v>0</v>
      </c>
      <c r="AF818" t="str">
        <f t="shared" ca="1" si="459"/>
        <v>121976</v>
      </c>
      <c r="AG818" s="126">
        <f t="shared" ca="1" si="460"/>
        <v>0</v>
      </c>
      <c r="AH818" s="126">
        <f t="shared" ca="1" si="461"/>
        <v>0</v>
      </c>
      <c r="AI818" s="126">
        <f t="shared" ca="1" si="462"/>
        <v>0</v>
      </c>
      <c r="AJ818" t="str">
        <f t="shared" ca="1" si="463"/>
        <v>82091</v>
      </c>
      <c r="AK818" s="126">
        <f t="shared" ca="1" si="480"/>
        <v>0</v>
      </c>
      <c r="AL818" s="126">
        <f t="shared" ca="1" si="481"/>
        <v>0</v>
      </c>
      <c r="AM818" s="126">
        <f t="shared" ca="1" si="494"/>
        <v>0</v>
      </c>
      <c r="AN818" s="753">
        <f t="shared" ca="1" si="495"/>
        <v>0</v>
      </c>
      <c r="AO818" s="750">
        <f t="shared" ca="1" si="482"/>
        <v>0</v>
      </c>
      <c r="AP818" s="126">
        <f t="shared" ca="1" si="483"/>
        <v>0</v>
      </c>
      <c r="AQ818" s="126">
        <f t="shared" ca="1" si="484"/>
        <v>0</v>
      </c>
      <c r="AR818" s="126">
        <f t="shared" ca="1" si="464"/>
        <v>10000</v>
      </c>
      <c r="AS818" s="750">
        <f t="shared" ca="1" si="465"/>
        <v>0</v>
      </c>
      <c r="AT818" s="750">
        <f t="shared" ca="1" si="466"/>
        <v>0</v>
      </c>
      <c r="AU818" s="126">
        <f t="shared" ca="1" si="485"/>
        <v>0</v>
      </c>
      <c r="AV818" s="126">
        <f t="shared" ca="1" si="486"/>
        <v>0</v>
      </c>
      <c r="AW818" s="126">
        <f t="shared" ca="1" si="467"/>
        <v>10000</v>
      </c>
      <c r="AX818" s="750">
        <f t="shared" ca="1" si="487"/>
        <v>0</v>
      </c>
      <c r="AY818" s="750">
        <f t="shared" ca="1" si="488"/>
        <v>0</v>
      </c>
      <c r="AZ818">
        <f t="shared" si="489"/>
        <v>5750</v>
      </c>
    </row>
    <row r="819" spans="4:52">
      <c r="D819">
        <v>812</v>
      </c>
      <c r="E819" s="6">
        <f t="shared" ca="1" si="468"/>
        <v>28065</v>
      </c>
      <c r="F819" s="7">
        <f t="shared" ca="1" si="469"/>
        <v>0</v>
      </c>
      <c r="G819" s="125">
        <f ca="1">IF('Simulador - 1º Pilar'!$E$99="Sí",IF('Aportaciones PPE'!$B$13&lt;'Aportaciones PPE'!E819,0,F819*$B$8/12),F819*$B$8/12)</f>
        <v>0</v>
      </c>
      <c r="H819" s="125">
        <f t="shared" ca="1" si="458"/>
        <v>0</v>
      </c>
      <c r="I819" s="125">
        <f t="shared" ca="1" si="470"/>
        <v>0</v>
      </c>
      <c r="J819" s="125">
        <f t="shared" ca="1" si="471"/>
        <v>0</v>
      </c>
      <c r="K819" s="125">
        <f t="shared" ca="1" si="472"/>
        <v>0</v>
      </c>
      <c r="L819" s="125">
        <f t="shared" ca="1" si="490"/>
        <v>0</v>
      </c>
      <c r="M819" s="125">
        <f t="shared" ca="1" si="473"/>
        <v>0</v>
      </c>
      <c r="N819" s="125">
        <f t="shared" ca="1" si="474"/>
        <v>0</v>
      </c>
      <c r="R819">
        <f t="shared" si="491"/>
        <v>812</v>
      </c>
      <c r="U819" s="55"/>
      <c r="V819">
        <f t="shared" si="492"/>
        <v>9</v>
      </c>
      <c r="W819">
        <f t="shared" ca="1" si="493"/>
        <v>2091</v>
      </c>
      <c r="X819" s="123">
        <f t="shared" ca="1" si="475"/>
        <v>70007</v>
      </c>
      <c r="Y819" s="64">
        <f t="shared" ca="1" si="476"/>
        <v>0</v>
      </c>
      <c r="Z819" s="64">
        <f t="shared" ca="1" si="477"/>
        <v>0</v>
      </c>
      <c r="AA819" s="64">
        <f t="shared" ca="1" si="478"/>
        <v>0</v>
      </c>
      <c r="AB819" s="64">
        <f t="shared" ca="1" si="479"/>
        <v>0</v>
      </c>
      <c r="AF819" t="str">
        <f t="shared" ca="1" si="459"/>
        <v>111976</v>
      </c>
      <c r="AG819" s="126">
        <f t="shared" ca="1" si="460"/>
        <v>0</v>
      </c>
      <c r="AH819" s="126">
        <f t="shared" ca="1" si="461"/>
        <v>0</v>
      </c>
      <c r="AI819" s="126">
        <f t="shared" ca="1" si="462"/>
        <v>0</v>
      </c>
      <c r="AJ819" t="str">
        <f t="shared" ca="1" si="463"/>
        <v>92091</v>
      </c>
      <c r="AK819" s="126">
        <f t="shared" ca="1" si="480"/>
        <v>0</v>
      </c>
      <c r="AL819" s="126">
        <f t="shared" ca="1" si="481"/>
        <v>0</v>
      </c>
      <c r="AM819" s="126">
        <f t="shared" ca="1" si="494"/>
        <v>0</v>
      </c>
      <c r="AN819" s="753">
        <f t="shared" ca="1" si="495"/>
        <v>0</v>
      </c>
      <c r="AO819" s="750">
        <f t="shared" ca="1" si="482"/>
        <v>0</v>
      </c>
      <c r="AP819" s="126">
        <f t="shared" ca="1" si="483"/>
        <v>0</v>
      </c>
      <c r="AQ819" s="126">
        <f t="shared" ca="1" si="484"/>
        <v>0</v>
      </c>
      <c r="AR819" s="126">
        <f t="shared" ca="1" si="464"/>
        <v>10000</v>
      </c>
      <c r="AS819" s="750">
        <f t="shared" ca="1" si="465"/>
        <v>0</v>
      </c>
      <c r="AT819" s="750">
        <f t="shared" ca="1" si="466"/>
        <v>0</v>
      </c>
      <c r="AU819" s="126">
        <f t="shared" ca="1" si="485"/>
        <v>0</v>
      </c>
      <c r="AV819" s="126">
        <f t="shared" ca="1" si="486"/>
        <v>0</v>
      </c>
      <c r="AW819" s="126">
        <f t="shared" ca="1" si="467"/>
        <v>10000</v>
      </c>
      <c r="AX819" s="750">
        <f t="shared" ca="1" si="487"/>
        <v>0</v>
      </c>
      <c r="AY819" s="750">
        <f t="shared" ca="1" si="488"/>
        <v>0</v>
      </c>
      <c r="AZ819">
        <f t="shared" si="489"/>
        <v>5750</v>
      </c>
    </row>
    <row r="820" spans="4:52">
      <c r="D820">
        <v>813</v>
      </c>
      <c r="E820" s="6">
        <f t="shared" ca="1" si="468"/>
        <v>28034</v>
      </c>
      <c r="F820" s="7">
        <f t="shared" ca="1" si="469"/>
        <v>0</v>
      </c>
      <c r="G820" s="125">
        <f ca="1">IF('Simulador - 1º Pilar'!$E$99="Sí",IF('Aportaciones PPE'!$B$13&lt;'Aportaciones PPE'!E820,0,F820*$B$8/12),F820*$B$8/12)</f>
        <v>0</v>
      </c>
      <c r="H820" s="125">
        <f t="shared" ca="1" si="458"/>
        <v>0</v>
      </c>
      <c r="I820" s="125">
        <f t="shared" ca="1" si="470"/>
        <v>0</v>
      </c>
      <c r="J820" s="125">
        <f t="shared" ca="1" si="471"/>
        <v>0</v>
      </c>
      <c r="K820" s="125">
        <f t="shared" ca="1" si="472"/>
        <v>0</v>
      </c>
      <c r="L820" s="125">
        <f t="shared" ca="1" si="490"/>
        <v>0</v>
      </c>
      <c r="M820" s="125">
        <f t="shared" ca="1" si="473"/>
        <v>0</v>
      </c>
      <c r="N820" s="125">
        <f t="shared" ca="1" si="474"/>
        <v>0</v>
      </c>
      <c r="R820">
        <f t="shared" si="491"/>
        <v>813</v>
      </c>
      <c r="U820" s="55"/>
      <c r="V820">
        <f t="shared" si="492"/>
        <v>10</v>
      </c>
      <c r="W820">
        <f t="shared" ca="1" si="493"/>
        <v>2091</v>
      </c>
      <c r="X820" s="123">
        <f t="shared" ca="1" si="475"/>
        <v>70037</v>
      </c>
      <c r="Y820" s="64">
        <f t="shared" ca="1" si="476"/>
        <v>0</v>
      </c>
      <c r="Z820" s="64">
        <f t="shared" ca="1" si="477"/>
        <v>0</v>
      </c>
      <c r="AA820" s="64">
        <f t="shared" ca="1" si="478"/>
        <v>0</v>
      </c>
      <c r="AB820" s="64">
        <f t="shared" ca="1" si="479"/>
        <v>0</v>
      </c>
      <c r="AF820" t="str">
        <f t="shared" ca="1" si="459"/>
        <v>101976</v>
      </c>
      <c r="AG820" s="126">
        <f t="shared" ca="1" si="460"/>
        <v>0</v>
      </c>
      <c r="AH820" s="126">
        <f t="shared" ca="1" si="461"/>
        <v>0</v>
      </c>
      <c r="AI820" s="126">
        <f t="shared" ca="1" si="462"/>
        <v>0</v>
      </c>
      <c r="AJ820" t="str">
        <f t="shared" ca="1" si="463"/>
        <v>102091</v>
      </c>
      <c r="AK820" s="126">
        <f t="shared" ca="1" si="480"/>
        <v>0</v>
      </c>
      <c r="AL820" s="126">
        <f t="shared" ca="1" si="481"/>
        <v>0</v>
      </c>
      <c r="AM820" s="126">
        <f t="shared" ca="1" si="494"/>
        <v>0</v>
      </c>
      <c r="AN820" s="753">
        <f t="shared" ca="1" si="495"/>
        <v>0</v>
      </c>
      <c r="AO820" s="750">
        <f t="shared" ca="1" si="482"/>
        <v>0</v>
      </c>
      <c r="AP820" s="126">
        <f t="shared" ca="1" si="483"/>
        <v>0</v>
      </c>
      <c r="AQ820" s="126">
        <f t="shared" ca="1" si="484"/>
        <v>0</v>
      </c>
      <c r="AR820" s="126">
        <f t="shared" ca="1" si="464"/>
        <v>10000</v>
      </c>
      <c r="AS820" s="750">
        <f t="shared" ca="1" si="465"/>
        <v>0</v>
      </c>
      <c r="AT820" s="750">
        <f t="shared" ca="1" si="466"/>
        <v>0</v>
      </c>
      <c r="AU820" s="126">
        <f t="shared" ca="1" si="485"/>
        <v>0</v>
      </c>
      <c r="AV820" s="126">
        <f t="shared" ca="1" si="486"/>
        <v>0</v>
      </c>
      <c r="AW820" s="126">
        <f t="shared" ca="1" si="467"/>
        <v>10000</v>
      </c>
      <c r="AX820" s="750">
        <f t="shared" ca="1" si="487"/>
        <v>0</v>
      </c>
      <c r="AY820" s="750">
        <f t="shared" ca="1" si="488"/>
        <v>0</v>
      </c>
      <c r="AZ820">
        <f t="shared" si="489"/>
        <v>5750</v>
      </c>
    </row>
    <row r="821" spans="4:52">
      <c r="D821">
        <v>814</v>
      </c>
      <c r="E821" s="6">
        <f t="shared" ca="1" si="468"/>
        <v>28004</v>
      </c>
      <c r="F821" s="7">
        <f t="shared" ca="1" si="469"/>
        <v>0</v>
      </c>
      <c r="G821" s="125">
        <f ca="1">IF('Simulador - 1º Pilar'!$E$99="Sí",IF('Aportaciones PPE'!$B$13&lt;'Aportaciones PPE'!E821,0,F821*$B$8/12),F821*$B$8/12)</f>
        <v>0</v>
      </c>
      <c r="H821" s="125">
        <f t="shared" ca="1" si="458"/>
        <v>0</v>
      </c>
      <c r="I821" s="125">
        <f t="shared" ca="1" si="470"/>
        <v>0</v>
      </c>
      <c r="J821" s="125">
        <f t="shared" ca="1" si="471"/>
        <v>0</v>
      </c>
      <c r="K821" s="125">
        <f t="shared" ca="1" si="472"/>
        <v>0</v>
      </c>
      <c r="L821" s="125">
        <f t="shared" ca="1" si="490"/>
        <v>0</v>
      </c>
      <c r="M821" s="125">
        <f t="shared" ca="1" si="473"/>
        <v>0</v>
      </c>
      <c r="N821" s="125">
        <f t="shared" ca="1" si="474"/>
        <v>0</v>
      </c>
      <c r="R821">
        <f t="shared" si="491"/>
        <v>814</v>
      </c>
      <c r="U821" s="55"/>
      <c r="V821">
        <f t="shared" si="492"/>
        <v>11</v>
      </c>
      <c r="W821">
        <f t="shared" ca="1" si="493"/>
        <v>2091</v>
      </c>
      <c r="X821" s="123">
        <f t="shared" ca="1" si="475"/>
        <v>70068</v>
      </c>
      <c r="Y821" s="64">
        <f t="shared" ca="1" si="476"/>
        <v>0</v>
      </c>
      <c r="Z821" s="64">
        <f t="shared" ca="1" si="477"/>
        <v>0</v>
      </c>
      <c r="AA821" s="64">
        <f t="shared" ca="1" si="478"/>
        <v>0</v>
      </c>
      <c r="AB821" s="64">
        <f t="shared" ca="1" si="479"/>
        <v>0</v>
      </c>
      <c r="AF821" t="str">
        <f t="shared" ca="1" si="459"/>
        <v>91976</v>
      </c>
      <c r="AG821" s="126">
        <f t="shared" ca="1" si="460"/>
        <v>0</v>
      </c>
      <c r="AH821" s="126">
        <f t="shared" ca="1" si="461"/>
        <v>0</v>
      </c>
      <c r="AI821" s="126">
        <f t="shared" ca="1" si="462"/>
        <v>0</v>
      </c>
      <c r="AJ821" t="str">
        <f t="shared" ca="1" si="463"/>
        <v>112091</v>
      </c>
      <c r="AK821" s="126">
        <f t="shared" ca="1" si="480"/>
        <v>0</v>
      </c>
      <c r="AL821" s="126">
        <f t="shared" ca="1" si="481"/>
        <v>0</v>
      </c>
      <c r="AM821" s="126">
        <f t="shared" ca="1" si="494"/>
        <v>0</v>
      </c>
      <c r="AN821" s="753">
        <f t="shared" ca="1" si="495"/>
        <v>0</v>
      </c>
      <c r="AO821" s="750">
        <f t="shared" ca="1" si="482"/>
        <v>0</v>
      </c>
      <c r="AP821" s="126">
        <f t="shared" ca="1" si="483"/>
        <v>0</v>
      </c>
      <c r="AQ821" s="126">
        <f t="shared" ca="1" si="484"/>
        <v>0</v>
      </c>
      <c r="AR821" s="126">
        <f t="shared" ca="1" si="464"/>
        <v>10000</v>
      </c>
      <c r="AS821" s="750">
        <f t="shared" ca="1" si="465"/>
        <v>0</v>
      </c>
      <c r="AT821" s="750">
        <f t="shared" ca="1" si="466"/>
        <v>0</v>
      </c>
      <c r="AU821" s="126">
        <f t="shared" ca="1" si="485"/>
        <v>0</v>
      </c>
      <c r="AV821" s="126">
        <f t="shared" ca="1" si="486"/>
        <v>0</v>
      </c>
      <c r="AW821" s="126">
        <f t="shared" ca="1" si="467"/>
        <v>10000</v>
      </c>
      <c r="AX821" s="750">
        <f t="shared" ca="1" si="487"/>
        <v>0</v>
      </c>
      <c r="AY821" s="750">
        <f t="shared" ca="1" si="488"/>
        <v>0</v>
      </c>
      <c r="AZ821">
        <f t="shared" si="489"/>
        <v>5750</v>
      </c>
    </row>
    <row r="822" spans="4:52">
      <c r="D822">
        <v>815</v>
      </c>
      <c r="E822" s="6">
        <f t="shared" ca="1" si="468"/>
        <v>27973</v>
      </c>
      <c r="F822" s="7">
        <f t="shared" ca="1" si="469"/>
        <v>0</v>
      </c>
      <c r="G822" s="125">
        <f ca="1">IF('Simulador - 1º Pilar'!$E$99="Sí",IF('Aportaciones PPE'!$B$13&lt;'Aportaciones PPE'!E822,0,F822*$B$8/12),F822*$B$8/12)</f>
        <v>0</v>
      </c>
      <c r="H822" s="125">
        <f t="shared" ca="1" si="458"/>
        <v>0</v>
      </c>
      <c r="I822" s="125">
        <f t="shared" ca="1" si="470"/>
        <v>0</v>
      </c>
      <c r="J822" s="125">
        <f t="shared" ca="1" si="471"/>
        <v>0</v>
      </c>
      <c r="K822" s="125">
        <f t="shared" ca="1" si="472"/>
        <v>0</v>
      </c>
      <c r="L822" s="125">
        <f t="shared" ca="1" si="490"/>
        <v>0</v>
      </c>
      <c r="M822" s="125">
        <f t="shared" ca="1" si="473"/>
        <v>0</v>
      </c>
      <c r="N822" s="125">
        <f t="shared" ca="1" si="474"/>
        <v>0</v>
      </c>
      <c r="R822">
        <f t="shared" si="491"/>
        <v>815</v>
      </c>
      <c r="U822" s="55"/>
      <c r="V822">
        <f t="shared" si="492"/>
        <v>12</v>
      </c>
      <c r="W822">
        <f t="shared" ca="1" si="493"/>
        <v>2091</v>
      </c>
      <c r="X822" s="123">
        <f t="shared" ca="1" si="475"/>
        <v>70098</v>
      </c>
      <c r="Y822" s="64">
        <f t="shared" ca="1" si="476"/>
        <v>0</v>
      </c>
      <c r="Z822" s="64">
        <f t="shared" ca="1" si="477"/>
        <v>0</v>
      </c>
      <c r="AA822" s="64">
        <f t="shared" ca="1" si="478"/>
        <v>0</v>
      </c>
      <c r="AB822" s="64">
        <f t="shared" ca="1" si="479"/>
        <v>0</v>
      </c>
      <c r="AF822" t="str">
        <f t="shared" ca="1" si="459"/>
        <v>81976</v>
      </c>
      <c r="AG822" s="126">
        <f t="shared" ca="1" si="460"/>
        <v>0</v>
      </c>
      <c r="AH822" s="126">
        <f t="shared" ca="1" si="461"/>
        <v>0</v>
      </c>
      <c r="AI822" s="126">
        <f t="shared" ca="1" si="462"/>
        <v>0</v>
      </c>
      <c r="AJ822" t="str">
        <f t="shared" ca="1" si="463"/>
        <v>122091</v>
      </c>
      <c r="AK822" s="126">
        <f t="shared" ca="1" si="480"/>
        <v>0</v>
      </c>
      <c r="AL822" s="126">
        <f t="shared" ca="1" si="481"/>
        <v>0</v>
      </c>
      <c r="AM822" s="126">
        <f t="shared" ca="1" si="494"/>
        <v>0</v>
      </c>
      <c r="AN822" s="753">
        <f t="shared" ca="1" si="495"/>
        <v>0</v>
      </c>
      <c r="AO822" s="750">
        <f t="shared" ca="1" si="482"/>
        <v>0</v>
      </c>
      <c r="AP822" s="126">
        <f t="shared" ca="1" si="483"/>
        <v>0</v>
      </c>
      <c r="AQ822" s="126">
        <f t="shared" ca="1" si="484"/>
        <v>0</v>
      </c>
      <c r="AR822" s="126">
        <f t="shared" ca="1" si="464"/>
        <v>10000</v>
      </c>
      <c r="AS822" s="750">
        <f t="shared" ca="1" si="465"/>
        <v>0</v>
      </c>
      <c r="AT822" s="750">
        <f t="shared" ca="1" si="466"/>
        <v>0</v>
      </c>
      <c r="AU822" s="126">
        <f t="shared" ca="1" si="485"/>
        <v>0</v>
      </c>
      <c r="AV822" s="126">
        <f t="shared" ca="1" si="486"/>
        <v>0</v>
      </c>
      <c r="AW822" s="126">
        <f t="shared" ca="1" si="467"/>
        <v>10000</v>
      </c>
      <c r="AX822" s="750">
        <f t="shared" ca="1" si="487"/>
        <v>0</v>
      </c>
      <c r="AY822" s="750">
        <f t="shared" ca="1" si="488"/>
        <v>0</v>
      </c>
      <c r="AZ822">
        <f t="shared" si="489"/>
        <v>5750</v>
      </c>
    </row>
    <row r="823" spans="4:52">
      <c r="D823">
        <v>816</v>
      </c>
      <c r="E823" s="6">
        <f t="shared" ca="1" si="468"/>
        <v>27942</v>
      </c>
      <c r="F823" s="7">
        <f t="shared" ca="1" si="469"/>
        <v>0</v>
      </c>
      <c r="G823" s="125">
        <f ca="1">IF('Simulador - 1º Pilar'!$E$99="Sí",IF('Aportaciones PPE'!$B$13&lt;'Aportaciones PPE'!E823,0,F823*$B$8/12),F823*$B$8/12)</f>
        <v>0</v>
      </c>
      <c r="H823" s="125">
        <f t="shared" ca="1" si="458"/>
        <v>0</v>
      </c>
      <c r="I823" s="125">
        <f t="shared" ca="1" si="470"/>
        <v>0</v>
      </c>
      <c r="J823" s="125">
        <f t="shared" ca="1" si="471"/>
        <v>0</v>
      </c>
      <c r="K823" s="125">
        <f t="shared" ca="1" si="472"/>
        <v>0</v>
      </c>
      <c r="L823" s="125">
        <f t="shared" ca="1" si="490"/>
        <v>0</v>
      </c>
      <c r="M823" s="125">
        <f t="shared" ca="1" si="473"/>
        <v>0</v>
      </c>
      <c r="N823" s="125">
        <f t="shared" ca="1" si="474"/>
        <v>0</v>
      </c>
      <c r="R823">
        <f t="shared" si="491"/>
        <v>816</v>
      </c>
      <c r="U823" s="55"/>
      <c r="V823">
        <f t="shared" si="492"/>
        <v>1</v>
      </c>
      <c r="W823">
        <f t="shared" ca="1" si="493"/>
        <v>2092</v>
      </c>
      <c r="X823" s="123">
        <f t="shared" ca="1" si="475"/>
        <v>70129</v>
      </c>
      <c r="Y823" s="64">
        <f t="shared" ca="1" si="476"/>
        <v>0</v>
      </c>
      <c r="Z823" s="64">
        <f t="shared" ca="1" si="477"/>
        <v>0</v>
      </c>
      <c r="AA823" s="64">
        <f t="shared" ca="1" si="478"/>
        <v>0</v>
      </c>
      <c r="AB823" s="64">
        <f t="shared" ca="1" si="479"/>
        <v>0</v>
      </c>
      <c r="AF823" t="str">
        <f t="shared" ca="1" si="459"/>
        <v>71976</v>
      </c>
      <c r="AG823" s="126">
        <f t="shared" ca="1" si="460"/>
        <v>0</v>
      </c>
      <c r="AH823" s="126">
        <f t="shared" ca="1" si="461"/>
        <v>0</v>
      </c>
      <c r="AI823" s="126">
        <f t="shared" ca="1" si="462"/>
        <v>0</v>
      </c>
      <c r="AJ823" t="str">
        <f t="shared" ca="1" si="463"/>
        <v>12092</v>
      </c>
      <c r="AK823" s="126">
        <f t="shared" ca="1" si="480"/>
        <v>0</v>
      </c>
      <c r="AL823" s="126">
        <f t="shared" ca="1" si="481"/>
        <v>0</v>
      </c>
      <c r="AM823" s="126">
        <f t="shared" ca="1" si="494"/>
        <v>0</v>
      </c>
      <c r="AN823" s="753">
        <f t="shared" ca="1" si="495"/>
        <v>0</v>
      </c>
      <c r="AO823" s="750">
        <f t="shared" ca="1" si="482"/>
        <v>0</v>
      </c>
      <c r="AP823" s="126">
        <f t="shared" ca="1" si="483"/>
        <v>0</v>
      </c>
      <c r="AQ823" s="126">
        <f t="shared" ca="1" si="484"/>
        <v>0</v>
      </c>
      <c r="AR823" s="126">
        <f t="shared" ca="1" si="464"/>
        <v>10000</v>
      </c>
      <c r="AS823" s="750">
        <f t="shared" ca="1" si="465"/>
        <v>0</v>
      </c>
      <c r="AT823" s="750">
        <f t="shared" ca="1" si="466"/>
        <v>0</v>
      </c>
      <c r="AU823" s="126">
        <f t="shared" ca="1" si="485"/>
        <v>0</v>
      </c>
      <c r="AV823" s="126">
        <f t="shared" ca="1" si="486"/>
        <v>0</v>
      </c>
      <c r="AW823" s="126">
        <f t="shared" ca="1" si="467"/>
        <v>10000</v>
      </c>
      <c r="AX823" s="750">
        <f t="shared" ca="1" si="487"/>
        <v>0</v>
      </c>
      <c r="AY823" s="750">
        <f t="shared" ca="1" si="488"/>
        <v>0</v>
      </c>
      <c r="AZ823">
        <f t="shared" si="489"/>
        <v>5750</v>
      </c>
    </row>
    <row r="824" spans="4:52">
      <c r="D824">
        <v>817</v>
      </c>
      <c r="E824" s="6">
        <f t="shared" ca="1" si="468"/>
        <v>27912</v>
      </c>
      <c r="F824" s="7">
        <f t="shared" ca="1" si="469"/>
        <v>0</v>
      </c>
      <c r="G824" s="125">
        <f ca="1">IF('Simulador - 1º Pilar'!$E$99="Sí",IF('Aportaciones PPE'!$B$13&lt;'Aportaciones PPE'!E824,0,F824*$B$8/12),F824*$B$8/12)</f>
        <v>0</v>
      </c>
      <c r="H824" s="125">
        <f t="shared" ca="1" si="458"/>
        <v>0</v>
      </c>
      <c r="I824" s="125">
        <f t="shared" ca="1" si="470"/>
        <v>0</v>
      </c>
      <c r="J824" s="125">
        <f t="shared" ca="1" si="471"/>
        <v>0</v>
      </c>
      <c r="K824" s="125">
        <f t="shared" ca="1" si="472"/>
        <v>0</v>
      </c>
      <c r="L824" s="125">
        <f t="shared" ca="1" si="490"/>
        <v>0</v>
      </c>
      <c r="M824" s="125">
        <f t="shared" ca="1" si="473"/>
        <v>0</v>
      </c>
      <c r="N824" s="125">
        <f t="shared" ca="1" si="474"/>
        <v>0</v>
      </c>
      <c r="R824">
        <f t="shared" si="491"/>
        <v>817</v>
      </c>
      <c r="U824" s="55"/>
      <c r="V824">
        <f t="shared" si="492"/>
        <v>2</v>
      </c>
      <c r="W824">
        <f t="shared" ca="1" si="493"/>
        <v>2092</v>
      </c>
      <c r="X824" s="123">
        <f t="shared" ca="1" si="475"/>
        <v>70160</v>
      </c>
      <c r="Y824" s="64">
        <f t="shared" ca="1" si="476"/>
        <v>0</v>
      </c>
      <c r="Z824" s="64">
        <f t="shared" ca="1" si="477"/>
        <v>0</v>
      </c>
      <c r="AA824" s="64">
        <f t="shared" ca="1" si="478"/>
        <v>0</v>
      </c>
      <c r="AB824" s="64">
        <f t="shared" ca="1" si="479"/>
        <v>0</v>
      </c>
      <c r="AF824" t="str">
        <f t="shared" ca="1" si="459"/>
        <v>61976</v>
      </c>
      <c r="AG824" s="126">
        <f t="shared" ca="1" si="460"/>
        <v>0</v>
      </c>
      <c r="AH824" s="126">
        <f t="shared" ca="1" si="461"/>
        <v>0</v>
      </c>
      <c r="AI824" s="126">
        <f t="shared" ca="1" si="462"/>
        <v>0</v>
      </c>
      <c r="AJ824" t="str">
        <f t="shared" ca="1" si="463"/>
        <v>22092</v>
      </c>
      <c r="AK824" s="126">
        <f t="shared" ca="1" si="480"/>
        <v>0</v>
      </c>
      <c r="AL824" s="126">
        <f t="shared" ca="1" si="481"/>
        <v>0</v>
      </c>
      <c r="AM824" s="126">
        <f t="shared" ca="1" si="494"/>
        <v>0</v>
      </c>
      <c r="AN824" s="753">
        <f t="shared" ca="1" si="495"/>
        <v>0</v>
      </c>
      <c r="AO824" s="750">
        <f t="shared" ca="1" si="482"/>
        <v>0</v>
      </c>
      <c r="AP824" s="126">
        <f t="shared" ca="1" si="483"/>
        <v>0</v>
      </c>
      <c r="AQ824" s="126">
        <f t="shared" ca="1" si="484"/>
        <v>0</v>
      </c>
      <c r="AR824" s="126">
        <f t="shared" ca="1" si="464"/>
        <v>10000</v>
      </c>
      <c r="AS824" s="750">
        <f t="shared" ca="1" si="465"/>
        <v>0</v>
      </c>
      <c r="AT824" s="750">
        <f t="shared" ca="1" si="466"/>
        <v>0</v>
      </c>
      <c r="AU824" s="126">
        <f t="shared" ca="1" si="485"/>
        <v>0</v>
      </c>
      <c r="AV824" s="126">
        <f t="shared" ca="1" si="486"/>
        <v>0</v>
      </c>
      <c r="AW824" s="126">
        <f t="shared" ca="1" si="467"/>
        <v>10000</v>
      </c>
      <c r="AX824" s="750">
        <f t="shared" ca="1" si="487"/>
        <v>0</v>
      </c>
      <c r="AY824" s="750">
        <f t="shared" ca="1" si="488"/>
        <v>0</v>
      </c>
      <c r="AZ824">
        <f t="shared" si="489"/>
        <v>5750</v>
      </c>
    </row>
    <row r="825" spans="4:52">
      <c r="D825">
        <v>818</v>
      </c>
      <c r="E825" s="6">
        <f t="shared" ca="1" si="468"/>
        <v>27881</v>
      </c>
      <c r="F825" s="7">
        <f t="shared" ca="1" si="469"/>
        <v>0</v>
      </c>
      <c r="G825" s="125">
        <f ca="1">IF('Simulador - 1º Pilar'!$E$99="Sí",IF('Aportaciones PPE'!$B$13&lt;'Aportaciones PPE'!E825,0,F825*$B$8/12),F825*$B$8/12)</f>
        <v>0</v>
      </c>
      <c r="H825" s="125">
        <f t="shared" ca="1" si="458"/>
        <v>0</v>
      </c>
      <c r="I825" s="125">
        <f t="shared" ca="1" si="470"/>
        <v>0</v>
      </c>
      <c r="J825" s="125">
        <f t="shared" ca="1" si="471"/>
        <v>0</v>
      </c>
      <c r="K825" s="125">
        <f t="shared" ca="1" si="472"/>
        <v>0</v>
      </c>
      <c r="L825" s="125">
        <f t="shared" ca="1" si="490"/>
        <v>0</v>
      </c>
      <c r="M825" s="125">
        <f t="shared" ca="1" si="473"/>
        <v>0</v>
      </c>
      <c r="N825" s="125">
        <f t="shared" ca="1" si="474"/>
        <v>0</v>
      </c>
      <c r="R825">
        <f t="shared" si="491"/>
        <v>818</v>
      </c>
      <c r="U825" s="55"/>
      <c r="V825">
        <f t="shared" si="492"/>
        <v>3</v>
      </c>
      <c r="W825">
        <f t="shared" ca="1" si="493"/>
        <v>2092</v>
      </c>
      <c r="X825" s="123">
        <f t="shared" ca="1" si="475"/>
        <v>70189</v>
      </c>
      <c r="Y825" s="64">
        <f t="shared" ca="1" si="476"/>
        <v>0</v>
      </c>
      <c r="Z825" s="64">
        <f t="shared" ca="1" si="477"/>
        <v>0</v>
      </c>
      <c r="AA825" s="64">
        <f t="shared" ca="1" si="478"/>
        <v>0</v>
      </c>
      <c r="AB825" s="64">
        <f t="shared" ca="1" si="479"/>
        <v>0</v>
      </c>
      <c r="AF825" t="str">
        <f t="shared" ca="1" si="459"/>
        <v>51976</v>
      </c>
      <c r="AG825" s="126">
        <f t="shared" ca="1" si="460"/>
        <v>0</v>
      </c>
      <c r="AH825" s="126">
        <f t="shared" ca="1" si="461"/>
        <v>0</v>
      </c>
      <c r="AI825" s="126">
        <f t="shared" ca="1" si="462"/>
        <v>0</v>
      </c>
      <c r="AJ825" t="str">
        <f t="shared" ca="1" si="463"/>
        <v>32092</v>
      </c>
      <c r="AK825" s="126">
        <f t="shared" ca="1" si="480"/>
        <v>0</v>
      </c>
      <c r="AL825" s="126">
        <f t="shared" ca="1" si="481"/>
        <v>0</v>
      </c>
      <c r="AM825" s="126">
        <f t="shared" ca="1" si="494"/>
        <v>0</v>
      </c>
      <c r="AN825" s="753">
        <f t="shared" ca="1" si="495"/>
        <v>0</v>
      </c>
      <c r="AO825" s="750">
        <f t="shared" ca="1" si="482"/>
        <v>0</v>
      </c>
      <c r="AP825" s="126">
        <f t="shared" ca="1" si="483"/>
        <v>0</v>
      </c>
      <c r="AQ825" s="126">
        <f t="shared" ca="1" si="484"/>
        <v>0</v>
      </c>
      <c r="AR825" s="126">
        <f t="shared" ca="1" si="464"/>
        <v>10000</v>
      </c>
      <c r="AS825" s="750">
        <f t="shared" ca="1" si="465"/>
        <v>0</v>
      </c>
      <c r="AT825" s="750">
        <f t="shared" ca="1" si="466"/>
        <v>0</v>
      </c>
      <c r="AU825" s="126">
        <f t="shared" ca="1" si="485"/>
        <v>0</v>
      </c>
      <c r="AV825" s="126">
        <f t="shared" ca="1" si="486"/>
        <v>0</v>
      </c>
      <c r="AW825" s="126">
        <f t="shared" ca="1" si="467"/>
        <v>10000</v>
      </c>
      <c r="AX825" s="750">
        <f t="shared" ca="1" si="487"/>
        <v>0</v>
      </c>
      <c r="AY825" s="750">
        <f t="shared" ca="1" si="488"/>
        <v>0</v>
      </c>
      <c r="AZ825">
        <f t="shared" si="489"/>
        <v>5750</v>
      </c>
    </row>
    <row r="826" spans="4:52">
      <c r="D826">
        <v>819</v>
      </c>
      <c r="E826" s="6">
        <f t="shared" ca="1" si="468"/>
        <v>27851</v>
      </c>
      <c r="F826" s="7">
        <f t="shared" ca="1" si="469"/>
        <v>0</v>
      </c>
      <c r="G826" s="125">
        <f ca="1">IF('Simulador - 1º Pilar'!$E$99="Sí",IF('Aportaciones PPE'!$B$13&lt;'Aportaciones PPE'!E826,0,F826*$B$8/12),F826*$B$8/12)</f>
        <v>0</v>
      </c>
      <c r="H826" s="125">
        <f t="shared" ca="1" si="458"/>
        <v>0</v>
      </c>
      <c r="I826" s="125">
        <f t="shared" ca="1" si="470"/>
        <v>0</v>
      </c>
      <c r="J826" s="125">
        <f t="shared" ca="1" si="471"/>
        <v>0</v>
      </c>
      <c r="K826" s="125">
        <f t="shared" ca="1" si="472"/>
        <v>0</v>
      </c>
      <c r="L826" s="125">
        <f t="shared" ca="1" si="490"/>
        <v>0</v>
      </c>
      <c r="M826" s="125">
        <f t="shared" ca="1" si="473"/>
        <v>0</v>
      </c>
      <c r="N826" s="125">
        <f t="shared" ca="1" si="474"/>
        <v>0</v>
      </c>
      <c r="R826">
        <f t="shared" si="491"/>
        <v>819</v>
      </c>
      <c r="U826" s="55"/>
      <c r="V826">
        <f t="shared" si="492"/>
        <v>4</v>
      </c>
      <c r="W826">
        <f t="shared" ca="1" si="493"/>
        <v>2092</v>
      </c>
      <c r="X826" s="123">
        <f t="shared" ca="1" si="475"/>
        <v>70220</v>
      </c>
      <c r="Y826" s="64">
        <f t="shared" ca="1" si="476"/>
        <v>0</v>
      </c>
      <c r="Z826" s="64">
        <f t="shared" ca="1" si="477"/>
        <v>0</v>
      </c>
      <c r="AA826" s="64">
        <f t="shared" ca="1" si="478"/>
        <v>0</v>
      </c>
      <c r="AB826" s="64">
        <f t="shared" ca="1" si="479"/>
        <v>0</v>
      </c>
      <c r="AF826" t="str">
        <f t="shared" ca="1" si="459"/>
        <v>41976</v>
      </c>
      <c r="AG826" s="126">
        <f t="shared" ca="1" si="460"/>
        <v>0</v>
      </c>
      <c r="AH826" s="126">
        <f t="shared" ca="1" si="461"/>
        <v>0</v>
      </c>
      <c r="AI826" s="126">
        <f t="shared" ca="1" si="462"/>
        <v>0</v>
      </c>
      <c r="AJ826" t="str">
        <f t="shared" ca="1" si="463"/>
        <v>42092</v>
      </c>
      <c r="AK826" s="126">
        <f t="shared" ca="1" si="480"/>
        <v>0</v>
      </c>
      <c r="AL826" s="126">
        <f t="shared" ca="1" si="481"/>
        <v>0</v>
      </c>
      <c r="AM826" s="126">
        <f t="shared" ca="1" si="494"/>
        <v>0</v>
      </c>
      <c r="AN826" s="753">
        <f t="shared" ca="1" si="495"/>
        <v>0</v>
      </c>
      <c r="AO826" s="750">
        <f t="shared" ca="1" si="482"/>
        <v>0</v>
      </c>
      <c r="AP826" s="126">
        <f t="shared" ca="1" si="483"/>
        <v>0</v>
      </c>
      <c r="AQ826" s="126">
        <f t="shared" ca="1" si="484"/>
        <v>0</v>
      </c>
      <c r="AR826" s="126">
        <f t="shared" ca="1" si="464"/>
        <v>10000</v>
      </c>
      <c r="AS826" s="750">
        <f t="shared" ca="1" si="465"/>
        <v>0</v>
      </c>
      <c r="AT826" s="750">
        <f t="shared" ca="1" si="466"/>
        <v>0</v>
      </c>
      <c r="AU826" s="126">
        <f t="shared" ca="1" si="485"/>
        <v>0</v>
      </c>
      <c r="AV826" s="126">
        <f t="shared" ca="1" si="486"/>
        <v>0</v>
      </c>
      <c r="AW826" s="126">
        <f t="shared" ca="1" si="467"/>
        <v>10000</v>
      </c>
      <c r="AX826" s="750">
        <f t="shared" ca="1" si="487"/>
        <v>0</v>
      </c>
      <c r="AY826" s="750">
        <f t="shared" ca="1" si="488"/>
        <v>0</v>
      </c>
      <c r="AZ826">
        <f t="shared" si="489"/>
        <v>5750</v>
      </c>
    </row>
    <row r="827" spans="4:52">
      <c r="D827">
        <v>820</v>
      </c>
      <c r="E827" s="6">
        <f t="shared" ca="1" si="468"/>
        <v>27820</v>
      </c>
      <c r="F827" s="7">
        <f t="shared" ca="1" si="469"/>
        <v>0</v>
      </c>
      <c r="G827" s="125">
        <f ca="1">IF('Simulador - 1º Pilar'!$E$99="Sí",IF('Aportaciones PPE'!$B$13&lt;'Aportaciones PPE'!E827,0,F827*$B$8/12),F827*$B$8/12)</f>
        <v>0</v>
      </c>
      <c r="H827" s="125">
        <f t="shared" ca="1" si="458"/>
        <v>0</v>
      </c>
      <c r="I827" s="125">
        <f t="shared" ca="1" si="470"/>
        <v>0</v>
      </c>
      <c r="J827" s="125">
        <f t="shared" ca="1" si="471"/>
        <v>0</v>
      </c>
      <c r="K827" s="125">
        <f t="shared" ca="1" si="472"/>
        <v>0</v>
      </c>
      <c r="L827" s="125">
        <f t="shared" ca="1" si="490"/>
        <v>0</v>
      </c>
      <c r="M827" s="125">
        <f t="shared" ca="1" si="473"/>
        <v>0</v>
      </c>
      <c r="N827" s="125">
        <f t="shared" ca="1" si="474"/>
        <v>0</v>
      </c>
      <c r="R827">
        <f t="shared" si="491"/>
        <v>820</v>
      </c>
      <c r="U827" s="55"/>
      <c r="V827">
        <f t="shared" si="492"/>
        <v>5</v>
      </c>
      <c r="W827">
        <f t="shared" ca="1" si="493"/>
        <v>2092</v>
      </c>
      <c r="X827" s="123">
        <f t="shared" ca="1" si="475"/>
        <v>70250</v>
      </c>
      <c r="Y827" s="64">
        <f t="shared" ca="1" si="476"/>
        <v>0</v>
      </c>
      <c r="Z827" s="64">
        <f t="shared" ca="1" si="477"/>
        <v>0</v>
      </c>
      <c r="AA827" s="64">
        <f t="shared" ca="1" si="478"/>
        <v>0</v>
      </c>
      <c r="AB827" s="64">
        <f t="shared" ca="1" si="479"/>
        <v>0</v>
      </c>
      <c r="AF827" t="str">
        <f t="shared" ca="1" si="459"/>
        <v>31976</v>
      </c>
      <c r="AG827" s="126">
        <f t="shared" ca="1" si="460"/>
        <v>0</v>
      </c>
      <c r="AH827" s="126">
        <f t="shared" ca="1" si="461"/>
        <v>0</v>
      </c>
      <c r="AI827" s="126">
        <f t="shared" ca="1" si="462"/>
        <v>0</v>
      </c>
      <c r="AJ827" t="str">
        <f t="shared" ca="1" si="463"/>
        <v>52092</v>
      </c>
      <c r="AK827" s="126">
        <f t="shared" ca="1" si="480"/>
        <v>0</v>
      </c>
      <c r="AL827" s="126">
        <f t="shared" ca="1" si="481"/>
        <v>0</v>
      </c>
      <c r="AM827" s="126">
        <f t="shared" ca="1" si="494"/>
        <v>0</v>
      </c>
      <c r="AN827" s="753">
        <f t="shared" ca="1" si="495"/>
        <v>0</v>
      </c>
      <c r="AO827" s="750">
        <f t="shared" ca="1" si="482"/>
        <v>0</v>
      </c>
      <c r="AP827" s="126">
        <f t="shared" ca="1" si="483"/>
        <v>0</v>
      </c>
      <c r="AQ827" s="126">
        <f t="shared" ca="1" si="484"/>
        <v>0</v>
      </c>
      <c r="AR827" s="126">
        <f t="shared" ca="1" si="464"/>
        <v>10000</v>
      </c>
      <c r="AS827" s="750">
        <f t="shared" ca="1" si="465"/>
        <v>0</v>
      </c>
      <c r="AT827" s="750">
        <f t="shared" ca="1" si="466"/>
        <v>0</v>
      </c>
      <c r="AU827" s="126">
        <f t="shared" ca="1" si="485"/>
        <v>0</v>
      </c>
      <c r="AV827" s="126">
        <f t="shared" ca="1" si="486"/>
        <v>0</v>
      </c>
      <c r="AW827" s="126">
        <f t="shared" ca="1" si="467"/>
        <v>10000</v>
      </c>
      <c r="AX827" s="750">
        <f t="shared" ca="1" si="487"/>
        <v>0</v>
      </c>
      <c r="AY827" s="750">
        <f t="shared" ca="1" si="488"/>
        <v>0</v>
      </c>
      <c r="AZ827">
        <f t="shared" si="489"/>
        <v>5750</v>
      </c>
    </row>
    <row r="828" spans="4:52">
      <c r="D828">
        <v>821</v>
      </c>
      <c r="E828" s="6">
        <f t="shared" ca="1" si="468"/>
        <v>27791</v>
      </c>
      <c r="F828" s="7">
        <f t="shared" ca="1" si="469"/>
        <v>0</v>
      </c>
      <c r="G828" s="125">
        <f ca="1">IF('Simulador - 1º Pilar'!$E$99="Sí",IF('Aportaciones PPE'!$B$13&lt;'Aportaciones PPE'!E828,0,F828*$B$8/12),F828*$B$8/12)</f>
        <v>0</v>
      </c>
      <c r="H828" s="125">
        <f t="shared" ca="1" si="458"/>
        <v>0</v>
      </c>
      <c r="I828" s="125">
        <f t="shared" ca="1" si="470"/>
        <v>0</v>
      </c>
      <c r="J828" s="125">
        <f t="shared" ca="1" si="471"/>
        <v>0</v>
      </c>
      <c r="K828" s="125">
        <f t="shared" ca="1" si="472"/>
        <v>0</v>
      </c>
      <c r="L828" s="125">
        <f t="shared" ca="1" si="490"/>
        <v>0</v>
      </c>
      <c r="M828" s="125">
        <f t="shared" ca="1" si="473"/>
        <v>0</v>
      </c>
      <c r="N828" s="125">
        <f t="shared" ca="1" si="474"/>
        <v>0</v>
      </c>
      <c r="R828">
        <f t="shared" si="491"/>
        <v>821</v>
      </c>
      <c r="U828" s="55"/>
      <c r="V828">
        <f t="shared" si="492"/>
        <v>6</v>
      </c>
      <c r="W828">
        <f t="shared" ca="1" si="493"/>
        <v>2092</v>
      </c>
      <c r="X828" s="123">
        <f t="shared" ca="1" si="475"/>
        <v>70281</v>
      </c>
      <c r="Y828" s="64">
        <f t="shared" ca="1" si="476"/>
        <v>0</v>
      </c>
      <c r="Z828" s="64">
        <f t="shared" ca="1" si="477"/>
        <v>0</v>
      </c>
      <c r="AA828" s="64">
        <f t="shared" ca="1" si="478"/>
        <v>0</v>
      </c>
      <c r="AB828" s="64">
        <f t="shared" ca="1" si="479"/>
        <v>0</v>
      </c>
      <c r="AF828" t="str">
        <f t="shared" ca="1" si="459"/>
        <v>21976</v>
      </c>
      <c r="AG828" s="126">
        <f t="shared" ca="1" si="460"/>
        <v>0</v>
      </c>
      <c r="AH828" s="126">
        <f t="shared" ca="1" si="461"/>
        <v>0</v>
      </c>
      <c r="AI828" s="126">
        <f t="shared" ca="1" si="462"/>
        <v>0</v>
      </c>
      <c r="AJ828" t="str">
        <f t="shared" ca="1" si="463"/>
        <v>62092</v>
      </c>
      <c r="AK828" s="126">
        <f t="shared" ca="1" si="480"/>
        <v>0</v>
      </c>
      <c r="AL828" s="126">
        <f t="shared" ca="1" si="481"/>
        <v>0</v>
      </c>
      <c r="AM828" s="126">
        <f t="shared" ca="1" si="494"/>
        <v>0</v>
      </c>
      <c r="AN828" s="753">
        <f t="shared" ca="1" si="495"/>
        <v>0</v>
      </c>
      <c r="AO828" s="750">
        <f t="shared" ca="1" si="482"/>
        <v>0</v>
      </c>
      <c r="AP828" s="126">
        <f t="shared" ca="1" si="483"/>
        <v>0</v>
      </c>
      <c r="AQ828" s="126">
        <f t="shared" ca="1" si="484"/>
        <v>0</v>
      </c>
      <c r="AR828" s="126">
        <f t="shared" ca="1" si="464"/>
        <v>10000</v>
      </c>
      <c r="AS828" s="750">
        <f t="shared" ca="1" si="465"/>
        <v>0</v>
      </c>
      <c r="AT828" s="750">
        <f t="shared" ca="1" si="466"/>
        <v>0</v>
      </c>
      <c r="AU828" s="126">
        <f t="shared" ca="1" si="485"/>
        <v>0</v>
      </c>
      <c r="AV828" s="126">
        <f t="shared" ca="1" si="486"/>
        <v>0</v>
      </c>
      <c r="AW828" s="126">
        <f t="shared" ca="1" si="467"/>
        <v>10000</v>
      </c>
      <c r="AX828" s="750">
        <f t="shared" ca="1" si="487"/>
        <v>0</v>
      </c>
      <c r="AY828" s="750">
        <f t="shared" ca="1" si="488"/>
        <v>0</v>
      </c>
      <c r="AZ828">
        <f t="shared" si="489"/>
        <v>5750</v>
      </c>
    </row>
    <row r="829" spans="4:52">
      <c r="D829">
        <v>822</v>
      </c>
      <c r="E829" s="6">
        <f t="shared" ca="1" si="468"/>
        <v>27760</v>
      </c>
      <c r="F829" s="7">
        <f t="shared" ca="1" si="469"/>
        <v>0</v>
      </c>
      <c r="G829" s="125">
        <f ca="1">IF('Simulador - 1º Pilar'!$E$99="Sí",IF('Aportaciones PPE'!$B$13&lt;'Aportaciones PPE'!E829,0,F829*$B$8/12),F829*$B$8/12)</f>
        <v>0</v>
      </c>
      <c r="H829" s="125">
        <f t="shared" ca="1" si="458"/>
        <v>0</v>
      </c>
      <c r="I829" s="125">
        <f t="shared" ca="1" si="470"/>
        <v>0</v>
      </c>
      <c r="J829" s="125">
        <f t="shared" ca="1" si="471"/>
        <v>0</v>
      </c>
      <c r="K829" s="125">
        <f t="shared" ca="1" si="472"/>
        <v>0</v>
      </c>
      <c r="L829" s="125">
        <f t="shared" ca="1" si="490"/>
        <v>0</v>
      </c>
      <c r="M829" s="125">
        <f t="shared" ca="1" si="473"/>
        <v>0</v>
      </c>
      <c r="N829" s="125">
        <f t="shared" ca="1" si="474"/>
        <v>0</v>
      </c>
      <c r="R829">
        <f t="shared" si="491"/>
        <v>822</v>
      </c>
      <c r="U829" s="55"/>
      <c r="V829">
        <f t="shared" si="492"/>
        <v>7</v>
      </c>
      <c r="W829">
        <f t="shared" ca="1" si="493"/>
        <v>2092</v>
      </c>
      <c r="X829" s="123">
        <f t="shared" ca="1" si="475"/>
        <v>70311</v>
      </c>
      <c r="Y829" s="64">
        <f t="shared" ca="1" si="476"/>
        <v>0</v>
      </c>
      <c r="Z829" s="64">
        <f t="shared" ca="1" si="477"/>
        <v>0</v>
      </c>
      <c r="AA829" s="64">
        <f t="shared" ca="1" si="478"/>
        <v>0</v>
      </c>
      <c r="AB829" s="64">
        <f t="shared" ca="1" si="479"/>
        <v>0</v>
      </c>
      <c r="AF829" t="str">
        <f t="shared" ca="1" si="459"/>
        <v>11976</v>
      </c>
      <c r="AG829" s="126">
        <f t="shared" ca="1" si="460"/>
        <v>0</v>
      </c>
      <c r="AH829" s="126">
        <f t="shared" ca="1" si="461"/>
        <v>0</v>
      </c>
      <c r="AI829" s="126">
        <f t="shared" ca="1" si="462"/>
        <v>0</v>
      </c>
      <c r="AJ829" t="str">
        <f t="shared" ca="1" si="463"/>
        <v>72092</v>
      </c>
      <c r="AK829" s="126">
        <f t="shared" ca="1" si="480"/>
        <v>0</v>
      </c>
      <c r="AL829" s="126">
        <f t="shared" ca="1" si="481"/>
        <v>0</v>
      </c>
      <c r="AM829" s="126">
        <f t="shared" ca="1" si="494"/>
        <v>0</v>
      </c>
      <c r="AN829" s="753">
        <f t="shared" ca="1" si="495"/>
        <v>0</v>
      </c>
      <c r="AO829" s="750">
        <f t="shared" ca="1" si="482"/>
        <v>0</v>
      </c>
      <c r="AP829" s="126">
        <f t="shared" ca="1" si="483"/>
        <v>0</v>
      </c>
      <c r="AQ829" s="126">
        <f t="shared" ca="1" si="484"/>
        <v>0</v>
      </c>
      <c r="AR829" s="126">
        <f t="shared" ca="1" si="464"/>
        <v>10000</v>
      </c>
      <c r="AS829" s="750">
        <f t="shared" ca="1" si="465"/>
        <v>0</v>
      </c>
      <c r="AT829" s="750">
        <f t="shared" ca="1" si="466"/>
        <v>0</v>
      </c>
      <c r="AU829" s="126">
        <f t="shared" ca="1" si="485"/>
        <v>0</v>
      </c>
      <c r="AV829" s="126">
        <f t="shared" ca="1" si="486"/>
        <v>0</v>
      </c>
      <c r="AW829" s="126">
        <f t="shared" ca="1" si="467"/>
        <v>10000</v>
      </c>
      <c r="AX829" s="750">
        <f t="shared" ca="1" si="487"/>
        <v>0</v>
      </c>
      <c r="AY829" s="750">
        <f t="shared" ca="1" si="488"/>
        <v>0</v>
      </c>
      <c r="AZ829">
        <f t="shared" si="489"/>
        <v>5750</v>
      </c>
    </row>
    <row r="830" spans="4:52">
      <c r="D830">
        <v>823</v>
      </c>
      <c r="E830" s="6">
        <f t="shared" ca="1" si="468"/>
        <v>27729</v>
      </c>
      <c r="F830" s="7">
        <f t="shared" ca="1" si="469"/>
        <v>0</v>
      </c>
      <c r="G830" s="125">
        <f ca="1">IF('Simulador - 1º Pilar'!$E$99="Sí",IF('Aportaciones PPE'!$B$13&lt;'Aportaciones PPE'!E830,0,F830*$B$8/12),F830*$B$8/12)</f>
        <v>0</v>
      </c>
      <c r="H830" s="125">
        <f t="shared" ca="1" si="458"/>
        <v>0</v>
      </c>
      <c r="I830" s="125">
        <f t="shared" ca="1" si="470"/>
        <v>0</v>
      </c>
      <c r="J830" s="125">
        <f t="shared" ca="1" si="471"/>
        <v>0</v>
      </c>
      <c r="K830" s="125">
        <f t="shared" ca="1" si="472"/>
        <v>0</v>
      </c>
      <c r="L830" s="125">
        <f t="shared" ca="1" si="490"/>
        <v>0</v>
      </c>
      <c r="M830" s="125">
        <f t="shared" ca="1" si="473"/>
        <v>0</v>
      </c>
      <c r="N830" s="125">
        <f t="shared" ca="1" si="474"/>
        <v>0</v>
      </c>
      <c r="R830">
        <f t="shared" si="491"/>
        <v>823</v>
      </c>
      <c r="U830" s="55"/>
      <c r="V830">
        <f t="shared" si="492"/>
        <v>8</v>
      </c>
      <c r="W830">
        <f t="shared" ca="1" si="493"/>
        <v>2092</v>
      </c>
      <c r="X830" s="123">
        <f t="shared" ca="1" si="475"/>
        <v>70342</v>
      </c>
      <c r="Y830" s="64">
        <f t="shared" ca="1" si="476"/>
        <v>0</v>
      </c>
      <c r="Z830" s="64">
        <f t="shared" ca="1" si="477"/>
        <v>0</v>
      </c>
      <c r="AA830" s="64">
        <f t="shared" ca="1" si="478"/>
        <v>0</v>
      </c>
      <c r="AB830" s="64">
        <f t="shared" ca="1" si="479"/>
        <v>0</v>
      </c>
      <c r="AF830" t="str">
        <f t="shared" ca="1" si="459"/>
        <v>121975</v>
      </c>
      <c r="AG830" s="126">
        <f t="shared" ca="1" si="460"/>
        <v>0</v>
      </c>
      <c r="AH830" s="126">
        <f t="shared" ca="1" si="461"/>
        <v>0</v>
      </c>
      <c r="AI830" s="126">
        <f t="shared" ca="1" si="462"/>
        <v>0</v>
      </c>
      <c r="AJ830" t="str">
        <f t="shared" ca="1" si="463"/>
        <v>82092</v>
      </c>
      <c r="AK830" s="126">
        <f t="shared" ca="1" si="480"/>
        <v>0</v>
      </c>
      <c r="AL830" s="126">
        <f t="shared" ca="1" si="481"/>
        <v>0</v>
      </c>
      <c r="AM830" s="126">
        <f t="shared" ca="1" si="494"/>
        <v>0</v>
      </c>
      <c r="AN830" s="753">
        <f t="shared" ca="1" si="495"/>
        <v>0</v>
      </c>
      <c r="AO830" s="750">
        <f t="shared" ca="1" si="482"/>
        <v>0</v>
      </c>
      <c r="AP830" s="126">
        <f t="shared" ca="1" si="483"/>
        <v>0</v>
      </c>
      <c r="AQ830" s="126">
        <f t="shared" ca="1" si="484"/>
        <v>0</v>
      </c>
      <c r="AR830" s="126">
        <f t="shared" ca="1" si="464"/>
        <v>10000</v>
      </c>
      <c r="AS830" s="750">
        <f t="shared" ca="1" si="465"/>
        <v>0</v>
      </c>
      <c r="AT830" s="750">
        <f t="shared" ca="1" si="466"/>
        <v>0</v>
      </c>
      <c r="AU830" s="126">
        <f t="shared" ca="1" si="485"/>
        <v>0</v>
      </c>
      <c r="AV830" s="126">
        <f t="shared" ca="1" si="486"/>
        <v>0</v>
      </c>
      <c r="AW830" s="126">
        <f t="shared" ca="1" si="467"/>
        <v>10000</v>
      </c>
      <c r="AX830" s="750">
        <f t="shared" ca="1" si="487"/>
        <v>0</v>
      </c>
      <c r="AY830" s="750">
        <f t="shared" ca="1" si="488"/>
        <v>0</v>
      </c>
      <c r="AZ830">
        <f t="shared" si="489"/>
        <v>5750</v>
      </c>
    </row>
    <row r="831" spans="4:52">
      <c r="D831">
        <v>824</v>
      </c>
      <c r="E831" s="6">
        <f t="shared" ca="1" si="468"/>
        <v>27699</v>
      </c>
      <c r="F831" s="7">
        <f t="shared" ca="1" si="469"/>
        <v>0</v>
      </c>
      <c r="G831" s="125">
        <f ca="1">IF('Simulador - 1º Pilar'!$E$99="Sí",IF('Aportaciones PPE'!$B$13&lt;'Aportaciones PPE'!E831,0,F831*$B$8/12),F831*$B$8/12)</f>
        <v>0</v>
      </c>
      <c r="H831" s="125">
        <f t="shared" ca="1" si="458"/>
        <v>0</v>
      </c>
      <c r="I831" s="125">
        <f t="shared" ca="1" si="470"/>
        <v>0</v>
      </c>
      <c r="J831" s="125">
        <f t="shared" ca="1" si="471"/>
        <v>0</v>
      </c>
      <c r="K831" s="125">
        <f t="shared" ca="1" si="472"/>
        <v>0</v>
      </c>
      <c r="L831" s="125">
        <f t="shared" ca="1" si="490"/>
        <v>0</v>
      </c>
      <c r="M831" s="125">
        <f t="shared" ca="1" si="473"/>
        <v>0</v>
      </c>
      <c r="N831" s="125">
        <f t="shared" ca="1" si="474"/>
        <v>0</v>
      </c>
      <c r="R831">
        <f t="shared" si="491"/>
        <v>824</v>
      </c>
      <c r="U831" s="55"/>
      <c r="V831">
        <f t="shared" si="492"/>
        <v>9</v>
      </c>
      <c r="W831">
        <f t="shared" ca="1" si="493"/>
        <v>2092</v>
      </c>
      <c r="X831" s="123">
        <f t="shared" ca="1" si="475"/>
        <v>70373</v>
      </c>
      <c r="Y831" s="64">
        <f t="shared" ca="1" si="476"/>
        <v>0</v>
      </c>
      <c r="Z831" s="64">
        <f t="shared" ca="1" si="477"/>
        <v>0</v>
      </c>
      <c r="AA831" s="64">
        <f t="shared" ca="1" si="478"/>
        <v>0</v>
      </c>
      <c r="AB831" s="64">
        <f t="shared" ca="1" si="479"/>
        <v>0</v>
      </c>
      <c r="AF831" t="str">
        <f t="shared" ca="1" si="459"/>
        <v>111975</v>
      </c>
      <c r="AG831" s="126">
        <f t="shared" ca="1" si="460"/>
        <v>0</v>
      </c>
      <c r="AH831" s="126">
        <f t="shared" ca="1" si="461"/>
        <v>0</v>
      </c>
      <c r="AI831" s="126">
        <f t="shared" ca="1" si="462"/>
        <v>0</v>
      </c>
      <c r="AJ831" t="str">
        <f t="shared" ca="1" si="463"/>
        <v>92092</v>
      </c>
      <c r="AK831" s="126">
        <f t="shared" ca="1" si="480"/>
        <v>0</v>
      </c>
      <c r="AL831" s="126">
        <f t="shared" ca="1" si="481"/>
        <v>0</v>
      </c>
      <c r="AM831" s="126">
        <f t="shared" ca="1" si="494"/>
        <v>0</v>
      </c>
      <c r="AN831" s="753">
        <f t="shared" ca="1" si="495"/>
        <v>0</v>
      </c>
      <c r="AO831" s="750">
        <f t="shared" ca="1" si="482"/>
        <v>0</v>
      </c>
      <c r="AP831" s="126">
        <f t="shared" ca="1" si="483"/>
        <v>0</v>
      </c>
      <c r="AQ831" s="126">
        <f t="shared" ca="1" si="484"/>
        <v>0</v>
      </c>
      <c r="AR831" s="126">
        <f t="shared" ca="1" si="464"/>
        <v>10000</v>
      </c>
      <c r="AS831" s="750">
        <f t="shared" ca="1" si="465"/>
        <v>0</v>
      </c>
      <c r="AT831" s="750">
        <f t="shared" ca="1" si="466"/>
        <v>0</v>
      </c>
      <c r="AU831" s="126">
        <f t="shared" ca="1" si="485"/>
        <v>0</v>
      </c>
      <c r="AV831" s="126">
        <f t="shared" ca="1" si="486"/>
        <v>0</v>
      </c>
      <c r="AW831" s="126">
        <f t="shared" ca="1" si="467"/>
        <v>10000</v>
      </c>
      <c r="AX831" s="750">
        <f t="shared" ca="1" si="487"/>
        <v>0</v>
      </c>
      <c r="AY831" s="750">
        <f t="shared" ca="1" si="488"/>
        <v>0</v>
      </c>
      <c r="AZ831">
        <f t="shared" si="489"/>
        <v>5750</v>
      </c>
    </row>
    <row r="832" spans="4:52">
      <c r="D832">
        <v>825</v>
      </c>
      <c r="E832" s="6">
        <f t="shared" ca="1" si="468"/>
        <v>27668</v>
      </c>
      <c r="F832" s="7">
        <f t="shared" ca="1" si="469"/>
        <v>0</v>
      </c>
      <c r="G832" s="125">
        <f ca="1">IF('Simulador - 1º Pilar'!$E$99="Sí",IF('Aportaciones PPE'!$B$13&lt;'Aportaciones PPE'!E832,0,F832*$B$8/12),F832*$B$8/12)</f>
        <v>0</v>
      </c>
      <c r="H832" s="125">
        <f t="shared" ca="1" si="458"/>
        <v>0</v>
      </c>
      <c r="I832" s="125">
        <f t="shared" ca="1" si="470"/>
        <v>0</v>
      </c>
      <c r="J832" s="125">
        <f t="shared" ca="1" si="471"/>
        <v>0</v>
      </c>
      <c r="K832" s="125">
        <f t="shared" ca="1" si="472"/>
        <v>0</v>
      </c>
      <c r="L832" s="125">
        <f t="shared" ca="1" si="490"/>
        <v>0</v>
      </c>
      <c r="M832" s="125">
        <f t="shared" ca="1" si="473"/>
        <v>0</v>
      </c>
      <c r="N832" s="125">
        <f t="shared" ca="1" si="474"/>
        <v>0</v>
      </c>
      <c r="R832">
        <f t="shared" si="491"/>
        <v>825</v>
      </c>
      <c r="U832" s="55"/>
      <c r="V832">
        <f t="shared" si="492"/>
        <v>10</v>
      </c>
      <c r="W832">
        <f t="shared" ca="1" si="493"/>
        <v>2092</v>
      </c>
      <c r="X832" s="123">
        <f t="shared" ca="1" si="475"/>
        <v>70403</v>
      </c>
      <c r="Y832" s="64">
        <f t="shared" ca="1" si="476"/>
        <v>0</v>
      </c>
      <c r="Z832" s="64">
        <f t="shared" ca="1" si="477"/>
        <v>0</v>
      </c>
      <c r="AA832" s="64">
        <f t="shared" ca="1" si="478"/>
        <v>0</v>
      </c>
      <c r="AB832" s="64">
        <f t="shared" ca="1" si="479"/>
        <v>0</v>
      </c>
      <c r="AF832" t="str">
        <f t="shared" ca="1" si="459"/>
        <v>101975</v>
      </c>
      <c r="AG832" s="126">
        <f t="shared" ca="1" si="460"/>
        <v>0</v>
      </c>
      <c r="AH832" s="126">
        <f t="shared" ca="1" si="461"/>
        <v>0</v>
      </c>
      <c r="AI832" s="126">
        <f t="shared" ca="1" si="462"/>
        <v>0</v>
      </c>
      <c r="AJ832" t="str">
        <f t="shared" ca="1" si="463"/>
        <v>102092</v>
      </c>
      <c r="AK832" s="126">
        <f t="shared" ca="1" si="480"/>
        <v>0</v>
      </c>
      <c r="AL832" s="126">
        <f t="shared" ca="1" si="481"/>
        <v>0</v>
      </c>
      <c r="AM832" s="126">
        <f t="shared" ca="1" si="494"/>
        <v>0</v>
      </c>
      <c r="AN832" s="753">
        <f t="shared" ca="1" si="495"/>
        <v>0</v>
      </c>
      <c r="AO832" s="750">
        <f t="shared" ca="1" si="482"/>
        <v>0</v>
      </c>
      <c r="AP832" s="126">
        <f t="shared" ca="1" si="483"/>
        <v>0</v>
      </c>
      <c r="AQ832" s="126">
        <f t="shared" ca="1" si="484"/>
        <v>0</v>
      </c>
      <c r="AR832" s="126">
        <f t="shared" ca="1" si="464"/>
        <v>10000</v>
      </c>
      <c r="AS832" s="750">
        <f t="shared" ca="1" si="465"/>
        <v>0</v>
      </c>
      <c r="AT832" s="750">
        <f t="shared" ca="1" si="466"/>
        <v>0</v>
      </c>
      <c r="AU832" s="126">
        <f t="shared" ca="1" si="485"/>
        <v>0</v>
      </c>
      <c r="AV832" s="126">
        <f t="shared" ca="1" si="486"/>
        <v>0</v>
      </c>
      <c r="AW832" s="126">
        <f t="shared" ca="1" si="467"/>
        <v>10000</v>
      </c>
      <c r="AX832" s="750">
        <f t="shared" ca="1" si="487"/>
        <v>0</v>
      </c>
      <c r="AY832" s="750">
        <f t="shared" ca="1" si="488"/>
        <v>0</v>
      </c>
      <c r="AZ832">
        <f t="shared" si="489"/>
        <v>5750</v>
      </c>
    </row>
    <row r="833" spans="4:52">
      <c r="D833">
        <v>826</v>
      </c>
      <c r="E833" s="6">
        <f t="shared" ca="1" si="468"/>
        <v>27638</v>
      </c>
      <c r="F833" s="7">
        <f t="shared" ca="1" si="469"/>
        <v>0</v>
      </c>
      <c r="G833" s="125">
        <f ca="1">IF('Simulador - 1º Pilar'!$E$99="Sí",IF('Aportaciones PPE'!$B$13&lt;'Aportaciones PPE'!E833,0,F833*$B$8/12),F833*$B$8/12)</f>
        <v>0</v>
      </c>
      <c r="H833" s="125">
        <f t="shared" ca="1" si="458"/>
        <v>0</v>
      </c>
      <c r="I833" s="125">
        <f t="shared" ca="1" si="470"/>
        <v>0</v>
      </c>
      <c r="J833" s="125">
        <f t="shared" ca="1" si="471"/>
        <v>0</v>
      </c>
      <c r="K833" s="125">
        <f t="shared" ca="1" si="472"/>
        <v>0</v>
      </c>
      <c r="L833" s="125">
        <f t="shared" ca="1" si="490"/>
        <v>0</v>
      </c>
      <c r="M833" s="125">
        <f t="shared" ca="1" si="473"/>
        <v>0</v>
      </c>
      <c r="N833" s="125">
        <f t="shared" ca="1" si="474"/>
        <v>0</v>
      </c>
      <c r="R833">
        <f t="shared" si="491"/>
        <v>826</v>
      </c>
      <c r="U833" s="55"/>
      <c r="V833">
        <f t="shared" si="492"/>
        <v>11</v>
      </c>
      <c r="W833">
        <f t="shared" ca="1" si="493"/>
        <v>2092</v>
      </c>
      <c r="X833" s="123">
        <f t="shared" ca="1" si="475"/>
        <v>70434</v>
      </c>
      <c r="Y833" s="64">
        <f t="shared" ca="1" si="476"/>
        <v>0</v>
      </c>
      <c r="Z833" s="64">
        <f t="shared" ca="1" si="477"/>
        <v>0</v>
      </c>
      <c r="AA833" s="64">
        <f t="shared" ca="1" si="478"/>
        <v>0</v>
      </c>
      <c r="AB833" s="64">
        <f t="shared" ca="1" si="479"/>
        <v>0</v>
      </c>
      <c r="AF833" t="str">
        <f t="shared" ca="1" si="459"/>
        <v>91975</v>
      </c>
      <c r="AG833" s="126">
        <f t="shared" ca="1" si="460"/>
        <v>0</v>
      </c>
      <c r="AH833" s="126">
        <f t="shared" ca="1" si="461"/>
        <v>0</v>
      </c>
      <c r="AI833" s="126">
        <f t="shared" ca="1" si="462"/>
        <v>0</v>
      </c>
      <c r="AJ833" t="str">
        <f t="shared" ca="1" si="463"/>
        <v>112092</v>
      </c>
      <c r="AK833" s="126">
        <f t="shared" ca="1" si="480"/>
        <v>0</v>
      </c>
      <c r="AL833" s="126">
        <f t="shared" ca="1" si="481"/>
        <v>0</v>
      </c>
      <c r="AM833" s="126">
        <f t="shared" ca="1" si="494"/>
        <v>0</v>
      </c>
      <c r="AN833" s="753">
        <f t="shared" ca="1" si="495"/>
        <v>0</v>
      </c>
      <c r="AO833" s="750">
        <f t="shared" ca="1" si="482"/>
        <v>0</v>
      </c>
      <c r="AP833" s="126">
        <f t="shared" ca="1" si="483"/>
        <v>0</v>
      </c>
      <c r="AQ833" s="126">
        <f t="shared" ca="1" si="484"/>
        <v>0</v>
      </c>
      <c r="AR833" s="126">
        <f t="shared" ca="1" si="464"/>
        <v>10000</v>
      </c>
      <c r="AS833" s="750">
        <f t="shared" ca="1" si="465"/>
        <v>0</v>
      </c>
      <c r="AT833" s="750">
        <f t="shared" ca="1" si="466"/>
        <v>0</v>
      </c>
      <c r="AU833" s="126">
        <f t="shared" ca="1" si="485"/>
        <v>0</v>
      </c>
      <c r="AV833" s="126">
        <f t="shared" ca="1" si="486"/>
        <v>0</v>
      </c>
      <c r="AW833" s="126">
        <f t="shared" ca="1" si="467"/>
        <v>10000</v>
      </c>
      <c r="AX833" s="750">
        <f t="shared" ca="1" si="487"/>
        <v>0</v>
      </c>
      <c r="AY833" s="750">
        <f t="shared" ca="1" si="488"/>
        <v>0</v>
      </c>
      <c r="AZ833">
        <f t="shared" si="489"/>
        <v>5750</v>
      </c>
    </row>
    <row r="834" spans="4:52">
      <c r="D834">
        <v>827</v>
      </c>
      <c r="E834" s="6">
        <f t="shared" ca="1" si="468"/>
        <v>27607</v>
      </c>
      <c r="F834" s="7">
        <f t="shared" ca="1" si="469"/>
        <v>0</v>
      </c>
      <c r="G834" s="125">
        <f ca="1">IF('Simulador - 1º Pilar'!$E$99="Sí",IF('Aportaciones PPE'!$B$13&lt;'Aportaciones PPE'!E834,0,F834*$B$8/12),F834*$B$8/12)</f>
        <v>0</v>
      </c>
      <c r="H834" s="125">
        <f t="shared" ca="1" si="458"/>
        <v>0</v>
      </c>
      <c r="I834" s="125">
        <f t="shared" ca="1" si="470"/>
        <v>0</v>
      </c>
      <c r="J834" s="125">
        <f t="shared" ca="1" si="471"/>
        <v>0</v>
      </c>
      <c r="K834" s="125">
        <f t="shared" ca="1" si="472"/>
        <v>0</v>
      </c>
      <c r="L834" s="125">
        <f t="shared" ca="1" si="490"/>
        <v>0</v>
      </c>
      <c r="M834" s="125">
        <f t="shared" ca="1" si="473"/>
        <v>0</v>
      </c>
      <c r="N834" s="125">
        <f t="shared" ca="1" si="474"/>
        <v>0</v>
      </c>
      <c r="R834">
        <f t="shared" si="491"/>
        <v>827</v>
      </c>
      <c r="U834" s="55"/>
      <c r="V834">
        <f t="shared" si="492"/>
        <v>12</v>
      </c>
      <c r="W834">
        <f t="shared" ca="1" si="493"/>
        <v>2092</v>
      </c>
      <c r="X834" s="123">
        <f t="shared" ca="1" si="475"/>
        <v>70464</v>
      </c>
      <c r="Y834" s="64">
        <f t="shared" ca="1" si="476"/>
        <v>0</v>
      </c>
      <c r="Z834" s="64">
        <f t="shared" ca="1" si="477"/>
        <v>0</v>
      </c>
      <c r="AA834" s="64">
        <f t="shared" ca="1" si="478"/>
        <v>0</v>
      </c>
      <c r="AB834" s="64">
        <f t="shared" ca="1" si="479"/>
        <v>0</v>
      </c>
      <c r="AF834" t="str">
        <f t="shared" ca="1" si="459"/>
        <v>81975</v>
      </c>
      <c r="AG834" s="126">
        <f t="shared" ca="1" si="460"/>
        <v>0</v>
      </c>
      <c r="AH834" s="126">
        <f t="shared" ca="1" si="461"/>
        <v>0</v>
      </c>
      <c r="AI834" s="126">
        <f t="shared" ca="1" si="462"/>
        <v>0</v>
      </c>
      <c r="AJ834" t="str">
        <f t="shared" ca="1" si="463"/>
        <v>122092</v>
      </c>
      <c r="AK834" s="126">
        <f t="shared" ca="1" si="480"/>
        <v>0</v>
      </c>
      <c r="AL834" s="126">
        <f t="shared" ca="1" si="481"/>
        <v>0</v>
      </c>
      <c r="AM834" s="126">
        <f t="shared" ca="1" si="494"/>
        <v>0</v>
      </c>
      <c r="AN834" s="753">
        <f t="shared" ca="1" si="495"/>
        <v>0</v>
      </c>
      <c r="AO834" s="750">
        <f t="shared" ca="1" si="482"/>
        <v>0</v>
      </c>
      <c r="AP834" s="126">
        <f t="shared" ca="1" si="483"/>
        <v>0</v>
      </c>
      <c r="AQ834" s="126">
        <f t="shared" ca="1" si="484"/>
        <v>0</v>
      </c>
      <c r="AR834" s="126">
        <f t="shared" ca="1" si="464"/>
        <v>10000</v>
      </c>
      <c r="AS834" s="750">
        <f t="shared" ca="1" si="465"/>
        <v>0</v>
      </c>
      <c r="AT834" s="750">
        <f t="shared" ca="1" si="466"/>
        <v>0</v>
      </c>
      <c r="AU834" s="126">
        <f t="shared" ca="1" si="485"/>
        <v>0</v>
      </c>
      <c r="AV834" s="126">
        <f t="shared" ca="1" si="486"/>
        <v>0</v>
      </c>
      <c r="AW834" s="126">
        <f t="shared" ca="1" si="467"/>
        <v>10000</v>
      </c>
      <c r="AX834" s="750">
        <f t="shared" ca="1" si="487"/>
        <v>0</v>
      </c>
      <c r="AY834" s="750">
        <f t="shared" ca="1" si="488"/>
        <v>0</v>
      </c>
      <c r="AZ834">
        <f t="shared" si="489"/>
        <v>5750</v>
      </c>
    </row>
    <row r="835" spans="4:52">
      <c r="D835">
        <v>828</v>
      </c>
      <c r="E835" s="6">
        <f t="shared" ca="1" si="468"/>
        <v>27576</v>
      </c>
      <c r="F835" s="7">
        <f t="shared" ca="1" si="469"/>
        <v>0</v>
      </c>
      <c r="G835" s="125">
        <f ca="1">IF('Simulador - 1º Pilar'!$E$99="Sí",IF('Aportaciones PPE'!$B$13&lt;'Aportaciones PPE'!E835,0,F835*$B$8/12),F835*$B$8/12)</f>
        <v>0</v>
      </c>
      <c r="H835" s="125">
        <f t="shared" ca="1" si="458"/>
        <v>0</v>
      </c>
      <c r="I835" s="125">
        <f t="shared" ca="1" si="470"/>
        <v>0</v>
      </c>
      <c r="J835" s="125">
        <f t="shared" ca="1" si="471"/>
        <v>0</v>
      </c>
      <c r="K835" s="125">
        <f t="shared" ca="1" si="472"/>
        <v>0</v>
      </c>
      <c r="L835" s="125">
        <f t="shared" ca="1" si="490"/>
        <v>0</v>
      </c>
      <c r="M835" s="125">
        <f t="shared" ca="1" si="473"/>
        <v>0</v>
      </c>
      <c r="N835" s="125">
        <f t="shared" ca="1" si="474"/>
        <v>0</v>
      </c>
      <c r="R835">
        <f t="shared" si="491"/>
        <v>828</v>
      </c>
      <c r="U835" s="55"/>
      <c r="V835">
        <f t="shared" si="492"/>
        <v>1</v>
      </c>
      <c r="W835">
        <f t="shared" ca="1" si="493"/>
        <v>2093</v>
      </c>
      <c r="X835" s="123">
        <f t="shared" ca="1" si="475"/>
        <v>70495</v>
      </c>
      <c r="Y835" s="64">
        <f t="shared" ca="1" si="476"/>
        <v>0</v>
      </c>
      <c r="Z835" s="64">
        <f t="shared" ca="1" si="477"/>
        <v>0</v>
      </c>
      <c r="AA835" s="64">
        <f t="shared" ca="1" si="478"/>
        <v>0</v>
      </c>
      <c r="AB835" s="64">
        <f t="shared" ca="1" si="479"/>
        <v>0</v>
      </c>
      <c r="AF835" t="str">
        <f t="shared" ca="1" si="459"/>
        <v>71975</v>
      </c>
      <c r="AG835" s="126">
        <f t="shared" ca="1" si="460"/>
        <v>0</v>
      </c>
      <c r="AH835" s="126">
        <f t="shared" ca="1" si="461"/>
        <v>0</v>
      </c>
      <c r="AI835" s="126">
        <f t="shared" ca="1" si="462"/>
        <v>0</v>
      </c>
      <c r="AJ835" t="str">
        <f t="shared" ca="1" si="463"/>
        <v>12093</v>
      </c>
      <c r="AK835" s="126">
        <f t="shared" ca="1" si="480"/>
        <v>0</v>
      </c>
      <c r="AL835" s="126">
        <f t="shared" ca="1" si="481"/>
        <v>0</v>
      </c>
      <c r="AM835" s="126">
        <f t="shared" ca="1" si="494"/>
        <v>0</v>
      </c>
      <c r="AN835" s="753">
        <f t="shared" ca="1" si="495"/>
        <v>0</v>
      </c>
      <c r="AO835" s="750">
        <f t="shared" ca="1" si="482"/>
        <v>0</v>
      </c>
      <c r="AP835" s="126">
        <f t="shared" ca="1" si="483"/>
        <v>0</v>
      </c>
      <c r="AQ835" s="126">
        <f t="shared" ca="1" si="484"/>
        <v>0</v>
      </c>
      <c r="AR835" s="126">
        <f t="shared" ca="1" si="464"/>
        <v>10000</v>
      </c>
      <c r="AS835" s="750">
        <f t="shared" ca="1" si="465"/>
        <v>0</v>
      </c>
      <c r="AT835" s="750">
        <f t="shared" ca="1" si="466"/>
        <v>0</v>
      </c>
      <c r="AU835" s="126">
        <f t="shared" ca="1" si="485"/>
        <v>0</v>
      </c>
      <c r="AV835" s="126">
        <f t="shared" ca="1" si="486"/>
        <v>0</v>
      </c>
      <c r="AW835" s="126">
        <f t="shared" ca="1" si="467"/>
        <v>10000</v>
      </c>
      <c r="AX835" s="750">
        <f t="shared" ca="1" si="487"/>
        <v>0</v>
      </c>
      <c r="AY835" s="750">
        <f t="shared" ca="1" si="488"/>
        <v>0</v>
      </c>
      <c r="AZ835">
        <f t="shared" si="489"/>
        <v>5750</v>
      </c>
    </row>
    <row r="836" spans="4:52">
      <c r="D836">
        <v>829</v>
      </c>
      <c r="E836" s="6">
        <f t="shared" ca="1" si="468"/>
        <v>27546</v>
      </c>
      <c r="F836" s="7">
        <f t="shared" ca="1" si="469"/>
        <v>0</v>
      </c>
      <c r="G836" s="125">
        <f ca="1">IF('Simulador - 1º Pilar'!$E$99="Sí",IF('Aportaciones PPE'!$B$13&lt;'Aportaciones PPE'!E836,0,F836*$B$8/12),F836*$B$8/12)</f>
        <v>0</v>
      </c>
      <c r="H836" s="125">
        <f t="shared" ca="1" si="458"/>
        <v>0</v>
      </c>
      <c r="I836" s="125">
        <f t="shared" ca="1" si="470"/>
        <v>0</v>
      </c>
      <c r="J836" s="125">
        <f t="shared" ca="1" si="471"/>
        <v>0</v>
      </c>
      <c r="K836" s="125">
        <f t="shared" ca="1" si="472"/>
        <v>0</v>
      </c>
      <c r="L836" s="125">
        <f t="shared" ca="1" si="490"/>
        <v>0</v>
      </c>
      <c r="M836" s="125">
        <f t="shared" ca="1" si="473"/>
        <v>0</v>
      </c>
      <c r="N836" s="125">
        <f t="shared" ca="1" si="474"/>
        <v>0</v>
      </c>
      <c r="R836">
        <f t="shared" si="491"/>
        <v>829</v>
      </c>
      <c r="U836" s="55"/>
      <c r="V836">
        <f t="shared" si="492"/>
        <v>2</v>
      </c>
      <c r="W836">
        <f t="shared" ca="1" si="493"/>
        <v>2093</v>
      </c>
      <c r="X836" s="123">
        <f t="shared" ca="1" si="475"/>
        <v>70526</v>
      </c>
      <c r="Y836" s="64">
        <f t="shared" ca="1" si="476"/>
        <v>0</v>
      </c>
      <c r="Z836" s="64">
        <f t="shared" ca="1" si="477"/>
        <v>0</v>
      </c>
      <c r="AA836" s="64">
        <f t="shared" ca="1" si="478"/>
        <v>0</v>
      </c>
      <c r="AB836" s="64">
        <f t="shared" ca="1" si="479"/>
        <v>0</v>
      </c>
      <c r="AF836" t="str">
        <f t="shared" ca="1" si="459"/>
        <v>61975</v>
      </c>
      <c r="AG836" s="126">
        <f t="shared" ca="1" si="460"/>
        <v>0</v>
      </c>
      <c r="AH836" s="126">
        <f t="shared" ca="1" si="461"/>
        <v>0</v>
      </c>
      <c r="AI836" s="126">
        <f t="shared" ca="1" si="462"/>
        <v>0</v>
      </c>
      <c r="AJ836" t="str">
        <f t="shared" ca="1" si="463"/>
        <v>22093</v>
      </c>
      <c r="AK836" s="126">
        <f t="shared" ca="1" si="480"/>
        <v>0</v>
      </c>
      <c r="AL836" s="126">
        <f t="shared" ca="1" si="481"/>
        <v>0</v>
      </c>
      <c r="AM836" s="126">
        <f t="shared" ca="1" si="494"/>
        <v>0</v>
      </c>
      <c r="AN836" s="753">
        <f t="shared" ca="1" si="495"/>
        <v>0</v>
      </c>
      <c r="AO836" s="750">
        <f t="shared" ca="1" si="482"/>
        <v>0</v>
      </c>
      <c r="AP836" s="126">
        <f t="shared" ca="1" si="483"/>
        <v>0</v>
      </c>
      <c r="AQ836" s="126">
        <f t="shared" ca="1" si="484"/>
        <v>0</v>
      </c>
      <c r="AR836" s="126">
        <f t="shared" ca="1" si="464"/>
        <v>10000</v>
      </c>
      <c r="AS836" s="750">
        <f t="shared" ca="1" si="465"/>
        <v>0</v>
      </c>
      <c r="AT836" s="750">
        <f t="shared" ca="1" si="466"/>
        <v>0</v>
      </c>
      <c r="AU836" s="126">
        <f t="shared" ca="1" si="485"/>
        <v>0</v>
      </c>
      <c r="AV836" s="126">
        <f t="shared" ca="1" si="486"/>
        <v>0</v>
      </c>
      <c r="AW836" s="126">
        <f t="shared" ca="1" si="467"/>
        <v>10000</v>
      </c>
      <c r="AX836" s="750">
        <f t="shared" ca="1" si="487"/>
        <v>0</v>
      </c>
      <c r="AY836" s="750">
        <f t="shared" ca="1" si="488"/>
        <v>0</v>
      </c>
      <c r="AZ836">
        <f t="shared" si="489"/>
        <v>5750</v>
      </c>
    </row>
    <row r="837" spans="4:52">
      <c r="D837">
        <v>830</v>
      </c>
      <c r="E837" s="6">
        <f t="shared" ca="1" si="468"/>
        <v>27515</v>
      </c>
      <c r="F837" s="7">
        <f t="shared" ca="1" si="469"/>
        <v>0</v>
      </c>
      <c r="G837" s="125">
        <f ca="1">IF('Simulador - 1º Pilar'!$E$99="Sí",IF('Aportaciones PPE'!$B$13&lt;'Aportaciones PPE'!E837,0,F837*$B$8/12),F837*$B$8/12)</f>
        <v>0</v>
      </c>
      <c r="H837" s="125">
        <f t="shared" ca="1" si="458"/>
        <v>0</v>
      </c>
      <c r="I837" s="125">
        <f t="shared" ca="1" si="470"/>
        <v>0</v>
      </c>
      <c r="J837" s="125">
        <f t="shared" ca="1" si="471"/>
        <v>0</v>
      </c>
      <c r="K837" s="125">
        <f t="shared" ca="1" si="472"/>
        <v>0</v>
      </c>
      <c r="L837" s="125">
        <f t="shared" ca="1" si="490"/>
        <v>0</v>
      </c>
      <c r="M837" s="125">
        <f t="shared" ca="1" si="473"/>
        <v>0</v>
      </c>
      <c r="N837" s="125">
        <f t="shared" ca="1" si="474"/>
        <v>0</v>
      </c>
      <c r="R837">
        <f t="shared" si="491"/>
        <v>830</v>
      </c>
      <c r="U837" s="55"/>
      <c r="V837">
        <f t="shared" si="492"/>
        <v>3</v>
      </c>
      <c r="W837">
        <f t="shared" ca="1" si="493"/>
        <v>2093</v>
      </c>
      <c r="X837" s="123">
        <f t="shared" ca="1" si="475"/>
        <v>70554</v>
      </c>
      <c r="Y837" s="64">
        <f t="shared" ca="1" si="476"/>
        <v>0</v>
      </c>
      <c r="Z837" s="64">
        <f t="shared" ca="1" si="477"/>
        <v>0</v>
      </c>
      <c r="AA837" s="64">
        <f t="shared" ca="1" si="478"/>
        <v>0</v>
      </c>
      <c r="AB837" s="64">
        <f t="shared" ca="1" si="479"/>
        <v>0</v>
      </c>
      <c r="AF837" t="str">
        <f t="shared" ca="1" si="459"/>
        <v>51975</v>
      </c>
      <c r="AG837" s="126">
        <f t="shared" ca="1" si="460"/>
        <v>0</v>
      </c>
      <c r="AH837" s="126">
        <f t="shared" ca="1" si="461"/>
        <v>0</v>
      </c>
      <c r="AI837" s="126">
        <f t="shared" ca="1" si="462"/>
        <v>0</v>
      </c>
      <c r="AJ837" t="str">
        <f t="shared" ca="1" si="463"/>
        <v>32093</v>
      </c>
      <c r="AK837" s="126">
        <f t="shared" ca="1" si="480"/>
        <v>0</v>
      </c>
      <c r="AL837" s="126">
        <f t="shared" ca="1" si="481"/>
        <v>0</v>
      </c>
      <c r="AM837" s="126">
        <f t="shared" ca="1" si="494"/>
        <v>0</v>
      </c>
      <c r="AN837" s="753">
        <f t="shared" ca="1" si="495"/>
        <v>0</v>
      </c>
      <c r="AO837" s="750">
        <f t="shared" ca="1" si="482"/>
        <v>0</v>
      </c>
      <c r="AP837" s="126">
        <f t="shared" ca="1" si="483"/>
        <v>0</v>
      </c>
      <c r="AQ837" s="126">
        <f t="shared" ca="1" si="484"/>
        <v>0</v>
      </c>
      <c r="AR837" s="126">
        <f t="shared" ca="1" si="464"/>
        <v>10000</v>
      </c>
      <c r="AS837" s="750">
        <f t="shared" ca="1" si="465"/>
        <v>0</v>
      </c>
      <c r="AT837" s="750">
        <f t="shared" ca="1" si="466"/>
        <v>0</v>
      </c>
      <c r="AU837" s="126">
        <f t="shared" ca="1" si="485"/>
        <v>0</v>
      </c>
      <c r="AV837" s="126">
        <f t="shared" ca="1" si="486"/>
        <v>0</v>
      </c>
      <c r="AW837" s="126">
        <f t="shared" ca="1" si="467"/>
        <v>10000</v>
      </c>
      <c r="AX837" s="750">
        <f t="shared" ca="1" si="487"/>
        <v>0</v>
      </c>
      <c r="AY837" s="750">
        <f t="shared" ca="1" si="488"/>
        <v>0</v>
      </c>
      <c r="AZ837">
        <f t="shared" si="489"/>
        <v>5750</v>
      </c>
    </row>
    <row r="838" spans="4:52">
      <c r="D838">
        <v>831</v>
      </c>
      <c r="E838" s="6">
        <f t="shared" ca="1" si="468"/>
        <v>27485</v>
      </c>
      <c r="F838" s="7">
        <f t="shared" ca="1" si="469"/>
        <v>0</v>
      </c>
      <c r="G838" s="125">
        <f ca="1">IF('Simulador - 1º Pilar'!$E$99="Sí",IF('Aportaciones PPE'!$B$13&lt;'Aportaciones PPE'!E838,0,F838*$B$8/12),F838*$B$8/12)</f>
        <v>0</v>
      </c>
      <c r="H838" s="125">
        <f t="shared" ca="1" si="458"/>
        <v>0</v>
      </c>
      <c r="I838" s="125">
        <f t="shared" ca="1" si="470"/>
        <v>0</v>
      </c>
      <c r="J838" s="125">
        <f t="shared" ca="1" si="471"/>
        <v>0</v>
      </c>
      <c r="K838" s="125">
        <f t="shared" ca="1" si="472"/>
        <v>0</v>
      </c>
      <c r="L838" s="125">
        <f t="shared" ca="1" si="490"/>
        <v>0</v>
      </c>
      <c r="M838" s="125">
        <f t="shared" ca="1" si="473"/>
        <v>0</v>
      </c>
      <c r="N838" s="125">
        <f t="shared" ca="1" si="474"/>
        <v>0</v>
      </c>
      <c r="R838">
        <f t="shared" si="491"/>
        <v>831</v>
      </c>
      <c r="U838" s="55"/>
      <c r="V838">
        <f t="shared" si="492"/>
        <v>4</v>
      </c>
      <c r="W838">
        <f t="shared" ca="1" si="493"/>
        <v>2093</v>
      </c>
      <c r="X838" s="123">
        <f t="shared" ca="1" si="475"/>
        <v>70585</v>
      </c>
      <c r="Y838" s="64">
        <f t="shared" ca="1" si="476"/>
        <v>0</v>
      </c>
      <c r="Z838" s="64">
        <f t="shared" ca="1" si="477"/>
        <v>0</v>
      </c>
      <c r="AA838" s="64">
        <f t="shared" ca="1" si="478"/>
        <v>0</v>
      </c>
      <c r="AB838" s="64">
        <f t="shared" ca="1" si="479"/>
        <v>0</v>
      </c>
      <c r="AF838" t="str">
        <f t="shared" ca="1" si="459"/>
        <v>41975</v>
      </c>
      <c r="AG838" s="126">
        <f t="shared" ca="1" si="460"/>
        <v>0</v>
      </c>
      <c r="AH838" s="126">
        <f t="shared" ca="1" si="461"/>
        <v>0</v>
      </c>
      <c r="AI838" s="126">
        <f t="shared" ca="1" si="462"/>
        <v>0</v>
      </c>
      <c r="AJ838" t="str">
        <f t="shared" ca="1" si="463"/>
        <v>42093</v>
      </c>
      <c r="AK838" s="126">
        <f t="shared" ca="1" si="480"/>
        <v>0</v>
      </c>
      <c r="AL838" s="126">
        <f t="shared" ca="1" si="481"/>
        <v>0</v>
      </c>
      <c r="AM838" s="126">
        <f t="shared" ca="1" si="494"/>
        <v>0</v>
      </c>
      <c r="AN838" s="753">
        <f t="shared" ca="1" si="495"/>
        <v>0</v>
      </c>
      <c r="AO838" s="750">
        <f t="shared" ca="1" si="482"/>
        <v>0</v>
      </c>
      <c r="AP838" s="126">
        <f t="shared" ca="1" si="483"/>
        <v>0</v>
      </c>
      <c r="AQ838" s="126">
        <f t="shared" ca="1" si="484"/>
        <v>0</v>
      </c>
      <c r="AR838" s="126">
        <f t="shared" ca="1" si="464"/>
        <v>10000</v>
      </c>
      <c r="AS838" s="750">
        <f t="shared" ca="1" si="465"/>
        <v>0</v>
      </c>
      <c r="AT838" s="750">
        <f t="shared" ca="1" si="466"/>
        <v>0</v>
      </c>
      <c r="AU838" s="126">
        <f t="shared" ca="1" si="485"/>
        <v>0</v>
      </c>
      <c r="AV838" s="126">
        <f t="shared" ca="1" si="486"/>
        <v>0</v>
      </c>
      <c r="AW838" s="126">
        <f t="shared" ca="1" si="467"/>
        <v>10000</v>
      </c>
      <c r="AX838" s="750">
        <f t="shared" ca="1" si="487"/>
        <v>0</v>
      </c>
      <c r="AY838" s="750">
        <f t="shared" ca="1" si="488"/>
        <v>0</v>
      </c>
      <c r="AZ838">
        <f t="shared" si="489"/>
        <v>5750</v>
      </c>
    </row>
    <row r="839" spans="4:52">
      <c r="D839">
        <v>832</v>
      </c>
      <c r="E839" s="6">
        <f t="shared" ca="1" si="468"/>
        <v>27454</v>
      </c>
      <c r="F839" s="7">
        <f t="shared" ca="1" si="469"/>
        <v>0</v>
      </c>
      <c r="G839" s="125">
        <f ca="1">IF('Simulador - 1º Pilar'!$E$99="Sí",IF('Aportaciones PPE'!$B$13&lt;'Aportaciones PPE'!E839,0,F839*$B$8/12),F839*$B$8/12)</f>
        <v>0</v>
      </c>
      <c r="H839" s="125">
        <f t="shared" ref="H839:H902" ca="1" si="496">$H$5*G839</f>
        <v>0</v>
      </c>
      <c r="I839" s="125">
        <f t="shared" ca="1" si="470"/>
        <v>0</v>
      </c>
      <c r="J839" s="125">
        <f t="shared" ca="1" si="471"/>
        <v>0</v>
      </c>
      <c r="K839" s="125">
        <f t="shared" ca="1" si="472"/>
        <v>0</v>
      </c>
      <c r="L839" s="125">
        <f t="shared" ca="1" si="490"/>
        <v>0</v>
      </c>
      <c r="M839" s="125">
        <f t="shared" ca="1" si="473"/>
        <v>0</v>
      </c>
      <c r="N839" s="125">
        <f t="shared" ca="1" si="474"/>
        <v>0</v>
      </c>
      <c r="R839">
        <f t="shared" si="491"/>
        <v>832</v>
      </c>
      <c r="U839" s="55"/>
      <c r="V839">
        <f t="shared" si="492"/>
        <v>5</v>
      </c>
      <c r="W839">
        <f t="shared" ca="1" si="493"/>
        <v>2093</v>
      </c>
      <c r="X839" s="123">
        <f t="shared" ca="1" si="475"/>
        <v>70615</v>
      </c>
      <c r="Y839" s="64">
        <f t="shared" ca="1" si="476"/>
        <v>0</v>
      </c>
      <c r="Z839" s="64">
        <f t="shared" ca="1" si="477"/>
        <v>0</v>
      </c>
      <c r="AA839" s="64">
        <f t="shared" ca="1" si="478"/>
        <v>0</v>
      </c>
      <c r="AB839" s="64">
        <f t="shared" ca="1" si="479"/>
        <v>0</v>
      </c>
      <c r="AF839" t="str">
        <f t="shared" ref="AF839:AF902" ca="1" si="497">+MONTH(E839)&amp;YEAR(E839)</f>
        <v>31975</v>
      </c>
      <c r="AG839" s="126">
        <f t="shared" ref="AG839:AG902" ca="1" si="498">+I839</f>
        <v>0</v>
      </c>
      <c r="AH839" s="126">
        <f t="shared" ref="AH839:AH902" ca="1" si="499">+J839</f>
        <v>0</v>
      </c>
      <c r="AI839" s="126">
        <f t="shared" ref="AI839:AI902" ca="1" si="500">+H839</f>
        <v>0</v>
      </c>
      <c r="AJ839" t="str">
        <f t="shared" ref="AJ839:AJ902" ca="1" si="501">+V839&amp;W839</f>
        <v>52093</v>
      </c>
      <c r="AK839" s="126">
        <f t="shared" ca="1" si="480"/>
        <v>0</v>
      </c>
      <c r="AL839" s="126">
        <f t="shared" ca="1" si="481"/>
        <v>0</v>
      </c>
      <c r="AM839" s="126">
        <f t="shared" ca="1" si="494"/>
        <v>0</v>
      </c>
      <c r="AN839" s="753">
        <f t="shared" ca="1" si="495"/>
        <v>0</v>
      </c>
      <c r="AO839" s="750">
        <f t="shared" ca="1" si="482"/>
        <v>0</v>
      </c>
      <c r="AP839" s="126">
        <f t="shared" ca="1" si="483"/>
        <v>0</v>
      </c>
      <c r="AQ839" s="126">
        <f t="shared" ca="1" si="484"/>
        <v>0</v>
      </c>
      <c r="AR839" s="126">
        <f t="shared" ref="AR839:AR902" ca="1" si="502">+MAX($AM$2-SUMIF($W$7:$W$1066,W839,$AN$7:$AN$1066),0)</f>
        <v>10000</v>
      </c>
      <c r="AS839" s="750">
        <f t="shared" ref="AS839:AS902" ca="1" si="503">+MAX(IF(AQ839&gt;AR839,AR839-AQ838,AP839),0)</f>
        <v>0</v>
      </c>
      <c r="AT839" s="750">
        <f t="shared" ref="AT839:AT902" ca="1" si="504">+AP839-AS839</f>
        <v>0</v>
      </c>
      <c r="AU839" s="126">
        <f t="shared" ca="1" si="485"/>
        <v>0</v>
      </c>
      <c r="AV839" s="126">
        <f t="shared" ca="1" si="486"/>
        <v>0</v>
      </c>
      <c r="AW839" s="126">
        <f t="shared" ref="AW839:AW902" ca="1" si="505">+MAX($AM$2-SUMIF($W$7:$W$1066,W839,$AN$7:$AN$1066)-SUMIF($W$7:$W$1066,W839,$AS$7:$AS$1066),0)</f>
        <v>10000</v>
      </c>
      <c r="AX839" s="750">
        <f t="shared" ca="1" si="487"/>
        <v>0</v>
      </c>
      <c r="AY839" s="750">
        <f t="shared" ca="1" si="488"/>
        <v>0</v>
      </c>
      <c r="AZ839">
        <f t="shared" si="489"/>
        <v>5750</v>
      </c>
    </row>
    <row r="840" spans="4:52">
      <c r="D840">
        <v>833</v>
      </c>
      <c r="E840" s="6">
        <f t="shared" ref="E840:E903" ca="1" si="506">+DATE(YEAR(E839),MONTH(E839)-1,DAY(E839))</f>
        <v>27426</v>
      </c>
      <c r="F840" s="7">
        <f t="shared" ref="F840:F903" ca="1" si="507">IF(DATE(YEAR($B$6),MONTH($B$6)+1,DAY(1))=E840,1,IF(MONTH(E840)=1,F841*(1+$F$5),F841))</f>
        <v>0</v>
      </c>
      <c r="G840" s="125">
        <f ca="1">IF('Simulador - 1º Pilar'!$E$99="Sí",IF('Aportaciones PPE'!$B$13&lt;'Aportaciones PPE'!E840,0,F840*$B$8/12),F840*$B$8/12)</f>
        <v>0</v>
      </c>
      <c r="H840" s="125">
        <f t="shared" ca="1" si="496"/>
        <v>0</v>
      </c>
      <c r="I840" s="125">
        <f t="shared" ref="I840:I903" ca="1" si="508">$I$5*G840</f>
        <v>0</v>
      </c>
      <c r="J840" s="125">
        <f t="shared" ref="J840:J903" ca="1" si="509">+I840</f>
        <v>0</v>
      </c>
      <c r="K840" s="125">
        <f t="shared" ref="K840:K903" ca="1" si="510">(1+$O$5)^(D840/12)*(H840+IF(AND(F840=1,F841=0),$S$4,0))</f>
        <v>0</v>
      </c>
      <c r="L840" s="125">
        <f t="shared" ca="1" si="490"/>
        <v>0</v>
      </c>
      <c r="M840" s="125">
        <f t="shared" ref="M840:M903" ca="1" si="511">+L840</f>
        <v>0</v>
      </c>
      <c r="N840" s="125">
        <f t="shared" ref="N840:N903" ca="1" si="512">L840+K840+M840</f>
        <v>0</v>
      </c>
      <c r="R840">
        <f t="shared" si="491"/>
        <v>833</v>
      </c>
      <c r="U840" s="55"/>
      <c r="V840">
        <f t="shared" si="492"/>
        <v>6</v>
      </c>
      <c r="W840">
        <f t="shared" ca="1" si="493"/>
        <v>2093</v>
      </c>
      <c r="X840" s="123">
        <f t="shared" ref="X840:X903" ca="1" si="513">+DATE(W840,V840,1)</f>
        <v>70646</v>
      </c>
      <c r="Y840" s="64">
        <f t="shared" ref="Y840:Y903" ca="1" si="514">+_xlfn.IFNA(AN840+AS840+AX840,0)</f>
        <v>0</v>
      </c>
      <c r="Z840" s="64">
        <f t="shared" ref="Z840:Z903" ca="1" si="515">+_xlfn.IFNA(AO840+AT840+AY840,0)</f>
        <v>0</v>
      </c>
      <c r="AA840" s="64">
        <f t="shared" ref="AA840:AA903" ca="1" si="516">Y840*(1+$O$5)^(($B$7-X840)/365.25)</f>
        <v>0</v>
      </c>
      <c r="AB840" s="64">
        <f t="shared" ref="AB840:AB903" ca="1" si="517">Z840*(1+$O$5)^(($B$7-X840)/365.25)</f>
        <v>0</v>
      </c>
      <c r="AF840" t="str">
        <f t="shared" ca="1" si="497"/>
        <v>21975</v>
      </c>
      <c r="AG840" s="126">
        <f t="shared" ca="1" si="498"/>
        <v>0</v>
      </c>
      <c r="AH840" s="126">
        <f t="shared" ca="1" si="499"/>
        <v>0</v>
      </c>
      <c r="AI840" s="126">
        <f t="shared" ca="1" si="500"/>
        <v>0</v>
      </c>
      <c r="AJ840" t="str">
        <f t="shared" ca="1" si="501"/>
        <v>62093</v>
      </c>
      <c r="AK840" s="126">
        <f t="shared" ref="AK840:AK903" ca="1" si="518">+_xlfn.IFNA(VLOOKUP(AJ840,$AF$7:$AG$1066,2,0),0)</f>
        <v>0</v>
      </c>
      <c r="AL840" s="126">
        <f t="shared" ref="AL840:AL903" ca="1" si="519">+IF(W840&gt;W839,AK840,AL839+AK840)</f>
        <v>0</v>
      </c>
      <c r="AM840" s="126">
        <f t="shared" ca="1" si="494"/>
        <v>0</v>
      </c>
      <c r="AN840" s="753">
        <f t="shared" ca="1" si="495"/>
        <v>0</v>
      </c>
      <c r="AO840" s="750">
        <f t="shared" ref="AO840:AO903" ca="1" si="520">+AK840-AN840</f>
        <v>0</v>
      </c>
      <c r="AP840" s="126">
        <f t="shared" ref="AP840:AP903" ca="1" si="521">+_xlfn.IFNA(VLOOKUP(AJ840,$AF$7:$AI$1066,3,0),0)</f>
        <v>0</v>
      </c>
      <c r="AQ840" s="126">
        <f t="shared" ref="AQ840:AQ903" ca="1" si="522">+IF(W840&gt;W839,AP840,AQ839+AP840)</f>
        <v>0</v>
      </c>
      <c r="AR840" s="126">
        <f t="shared" ca="1" si="502"/>
        <v>10000</v>
      </c>
      <c r="AS840" s="750">
        <f t="shared" ca="1" si="503"/>
        <v>0</v>
      </c>
      <c r="AT840" s="750">
        <f t="shared" ca="1" si="504"/>
        <v>0</v>
      </c>
      <c r="AU840" s="126">
        <f t="shared" ref="AU840:AU903" ca="1" si="523">+_xlfn.IFNA(VLOOKUP(AJ840,$AF$7:$AI$1066,4,0),0)</f>
        <v>0</v>
      </c>
      <c r="AV840" s="126">
        <f t="shared" ref="AV840:AV903" ca="1" si="524">+IF(W840&gt;W839,AU840,AV839+AU840)</f>
        <v>0</v>
      </c>
      <c r="AW840" s="126">
        <f t="shared" ca="1" si="505"/>
        <v>10000</v>
      </c>
      <c r="AX840" s="750">
        <f t="shared" ref="AX840:AX903" ca="1" si="525">+MAX(IF(AV840&gt;AW840,AW840-AV839,AU840),0)</f>
        <v>0</v>
      </c>
      <c r="AY840" s="750">
        <f t="shared" ref="AY840:AY903" ca="1" si="526">+AU840-AX840</f>
        <v>0</v>
      </c>
      <c r="AZ840">
        <f t="shared" ref="AZ840:AZ903" si="527">+$AM$1+IF($AP$1&gt;$AP$2,$AM$3/2)</f>
        <v>5750</v>
      </c>
    </row>
    <row r="841" spans="4:52">
      <c r="D841">
        <v>834</v>
      </c>
      <c r="E841" s="6">
        <f t="shared" ca="1" si="506"/>
        <v>27395</v>
      </c>
      <c r="F841" s="7">
        <f t="shared" ca="1" si="507"/>
        <v>0</v>
      </c>
      <c r="G841" s="125">
        <f ca="1">IF('Simulador - 1º Pilar'!$E$99="Sí",IF('Aportaciones PPE'!$B$13&lt;'Aportaciones PPE'!E841,0,F841*$B$8/12),F841*$B$8/12)</f>
        <v>0</v>
      </c>
      <c r="H841" s="125">
        <f t="shared" ca="1" si="496"/>
        <v>0</v>
      </c>
      <c r="I841" s="125">
        <f t="shared" ca="1" si="508"/>
        <v>0</v>
      </c>
      <c r="J841" s="125">
        <f t="shared" ca="1" si="509"/>
        <v>0</v>
      </c>
      <c r="K841" s="125">
        <f t="shared" ca="1" si="510"/>
        <v>0</v>
      </c>
      <c r="L841" s="125">
        <f t="shared" ref="L841:L904" ca="1" si="528">(1+$O$5)^(D841/12)*(I841+IF(AND(F841=1,F842=0),0))</f>
        <v>0</v>
      </c>
      <c r="M841" s="125">
        <f t="shared" ca="1" si="511"/>
        <v>0</v>
      </c>
      <c r="N841" s="125">
        <f t="shared" ca="1" si="512"/>
        <v>0</v>
      </c>
      <c r="R841">
        <f t="shared" ref="R841:R904" si="529">D841</f>
        <v>834</v>
      </c>
      <c r="U841" s="55"/>
      <c r="V841">
        <f t="shared" ref="V841:V904" si="530">+IF(V840=11,12,IF(V840=12,1,V840+1))</f>
        <v>7</v>
      </c>
      <c r="W841">
        <f t="shared" ref="W841:W904" ca="1" si="531">+W840+IF(V840=12,1,0)</f>
        <v>2093</v>
      </c>
      <c r="X841" s="123">
        <f t="shared" ca="1" si="513"/>
        <v>70676</v>
      </c>
      <c r="Y841" s="64">
        <f t="shared" ca="1" si="514"/>
        <v>0</v>
      </c>
      <c r="Z841" s="64">
        <f t="shared" ca="1" si="515"/>
        <v>0</v>
      </c>
      <c r="AA841" s="64">
        <f t="shared" ca="1" si="516"/>
        <v>0</v>
      </c>
      <c r="AB841" s="64">
        <f t="shared" ca="1" si="517"/>
        <v>0</v>
      </c>
      <c r="AF841" t="str">
        <f t="shared" ca="1" si="497"/>
        <v>11975</v>
      </c>
      <c r="AG841" s="126">
        <f t="shared" ca="1" si="498"/>
        <v>0</v>
      </c>
      <c r="AH841" s="126">
        <f t="shared" ca="1" si="499"/>
        <v>0</v>
      </c>
      <c r="AI841" s="126">
        <f t="shared" ca="1" si="500"/>
        <v>0</v>
      </c>
      <c r="AJ841" t="str">
        <f t="shared" ca="1" si="501"/>
        <v>72093</v>
      </c>
      <c r="AK841" s="126">
        <f t="shared" ca="1" si="518"/>
        <v>0</v>
      </c>
      <c r="AL841" s="126">
        <f t="shared" ca="1" si="519"/>
        <v>0</v>
      </c>
      <c r="AM841" s="126">
        <f t="shared" ref="AM841:AM904" ca="1" si="532">IF(W841&gt;W840,IF(AL841&gt;=$AZ$8,$AZ$8,AL841),IF(OR(AM840=$AZ$8,AM840=0),0,IF(AL841&gt;=$AZ$8,$AZ$8,AL841)))</f>
        <v>0</v>
      </c>
      <c r="AN841" s="753">
        <f t="shared" ref="AN841:AN904" ca="1" si="533">+IF(OR(AM841&gt;AZ840,AM841=0),0,IF(AM841=AL841,AK841,$AZ$7-AL840))</f>
        <v>0</v>
      </c>
      <c r="AO841" s="750">
        <f t="shared" ca="1" si="520"/>
        <v>0</v>
      </c>
      <c r="AP841" s="126">
        <f t="shared" ca="1" si="521"/>
        <v>0</v>
      </c>
      <c r="AQ841" s="126">
        <f t="shared" ca="1" si="522"/>
        <v>0</v>
      </c>
      <c r="AR841" s="126">
        <f t="shared" ca="1" si="502"/>
        <v>10000</v>
      </c>
      <c r="AS841" s="750">
        <f t="shared" ca="1" si="503"/>
        <v>0</v>
      </c>
      <c r="AT841" s="750">
        <f t="shared" ca="1" si="504"/>
        <v>0</v>
      </c>
      <c r="AU841" s="126">
        <f t="shared" ca="1" si="523"/>
        <v>0</v>
      </c>
      <c r="AV841" s="126">
        <f t="shared" ca="1" si="524"/>
        <v>0</v>
      </c>
      <c r="AW841" s="126">
        <f t="shared" ca="1" si="505"/>
        <v>10000</v>
      </c>
      <c r="AX841" s="750">
        <f t="shared" ca="1" si="525"/>
        <v>0</v>
      </c>
      <c r="AY841" s="750">
        <f t="shared" ca="1" si="526"/>
        <v>0</v>
      </c>
      <c r="AZ841">
        <f t="shared" si="527"/>
        <v>5750</v>
      </c>
    </row>
    <row r="842" spans="4:52">
      <c r="D842">
        <v>835</v>
      </c>
      <c r="E842" s="6">
        <f t="shared" ca="1" si="506"/>
        <v>27364</v>
      </c>
      <c r="F842" s="7">
        <f t="shared" ca="1" si="507"/>
        <v>0</v>
      </c>
      <c r="G842" s="125">
        <f ca="1">IF('Simulador - 1º Pilar'!$E$99="Sí",IF('Aportaciones PPE'!$B$13&lt;'Aportaciones PPE'!E842,0,F842*$B$8/12),F842*$B$8/12)</f>
        <v>0</v>
      </c>
      <c r="H842" s="125">
        <f t="shared" ca="1" si="496"/>
        <v>0</v>
      </c>
      <c r="I842" s="125">
        <f t="shared" ca="1" si="508"/>
        <v>0</v>
      </c>
      <c r="J842" s="125">
        <f t="shared" ca="1" si="509"/>
        <v>0</v>
      </c>
      <c r="K842" s="125">
        <f t="shared" ca="1" si="510"/>
        <v>0</v>
      </c>
      <c r="L842" s="125">
        <f t="shared" ca="1" si="528"/>
        <v>0</v>
      </c>
      <c r="M842" s="125">
        <f t="shared" ca="1" si="511"/>
        <v>0</v>
      </c>
      <c r="N842" s="125">
        <f t="shared" ca="1" si="512"/>
        <v>0</v>
      </c>
      <c r="R842">
        <f t="shared" si="529"/>
        <v>835</v>
      </c>
      <c r="U842" s="55"/>
      <c r="V842">
        <f t="shared" si="530"/>
        <v>8</v>
      </c>
      <c r="W842">
        <f t="shared" ca="1" si="531"/>
        <v>2093</v>
      </c>
      <c r="X842" s="123">
        <f t="shared" ca="1" si="513"/>
        <v>70707</v>
      </c>
      <c r="Y842" s="64">
        <f t="shared" ca="1" si="514"/>
        <v>0</v>
      </c>
      <c r="Z842" s="64">
        <f t="shared" ca="1" si="515"/>
        <v>0</v>
      </c>
      <c r="AA842" s="64">
        <f t="shared" ca="1" si="516"/>
        <v>0</v>
      </c>
      <c r="AB842" s="64">
        <f t="shared" ca="1" si="517"/>
        <v>0</v>
      </c>
      <c r="AF842" t="str">
        <f t="shared" ca="1" si="497"/>
        <v>121974</v>
      </c>
      <c r="AG842" s="126">
        <f t="shared" ca="1" si="498"/>
        <v>0</v>
      </c>
      <c r="AH842" s="126">
        <f t="shared" ca="1" si="499"/>
        <v>0</v>
      </c>
      <c r="AI842" s="126">
        <f t="shared" ca="1" si="500"/>
        <v>0</v>
      </c>
      <c r="AJ842" t="str">
        <f t="shared" ca="1" si="501"/>
        <v>82093</v>
      </c>
      <c r="AK842" s="126">
        <f t="shared" ca="1" si="518"/>
        <v>0</v>
      </c>
      <c r="AL842" s="126">
        <f t="shared" ca="1" si="519"/>
        <v>0</v>
      </c>
      <c r="AM842" s="126">
        <f t="shared" ca="1" si="532"/>
        <v>0</v>
      </c>
      <c r="AN842" s="753">
        <f t="shared" ca="1" si="533"/>
        <v>0</v>
      </c>
      <c r="AO842" s="750">
        <f t="shared" ca="1" si="520"/>
        <v>0</v>
      </c>
      <c r="AP842" s="126">
        <f t="shared" ca="1" si="521"/>
        <v>0</v>
      </c>
      <c r="AQ842" s="126">
        <f t="shared" ca="1" si="522"/>
        <v>0</v>
      </c>
      <c r="AR842" s="126">
        <f t="shared" ca="1" si="502"/>
        <v>10000</v>
      </c>
      <c r="AS842" s="750">
        <f t="shared" ca="1" si="503"/>
        <v>0</v>
      </c>
      <c r="AT842" s="750">
        <f t="shared" ca="1" si="504"/>
        <v>0</v>
      </c>
      <c r="AU842" s="126">
        <f t="shared" ca="1" si="523"/>
        <v>0</v>
      </c>
      <c r="AV842" s="126">
        <f t="shared" ca="1" si="524"/>
        <v>0</v>
      </c>
      <c r="AW842" s="126">
        <f t="shared" ca="1" si="505"/>
        <v>10000</v>
      </c>
      <c r="AX842" s="750">
        <f t="shared" ca="1" si="525"/>
        <v>0</v>
      </c>
      <c r="AY842" s="750">
        <f t="shared" ca="1" si="526"/>
        <v>0</v>
      </c>
      <c r="AZ842">
        <f t="shared" si="527"/>
        <v>5750</v>
      </c>
    </row>
    <row r="843" spans="4:52">
      <c r="D843">
        <v>836</v>
      </c>
      <c r="E843" s="6">
        <f t="shared" ca="1" si="506"/>
        <v>27334</v>
      </c>
      <c r="F843" s="7">
        <f t="shared" ca="1" si="507"/>
        <v>0</v>
      </c>
      <c r="G843" s="125">
        <f ca="1">IF('Simulador - 1º Pilar'!$E$99="Sí",IF('Aportaciones PPE'!$B$13&lt;'Aportaciones PPE'!E843,0,F843*$B$8/12),F843*$B$8/12)</f>
        <v>0</v>
      </c>
      <c r="H843" s="125">
        <f t="shared" ca="1" si="496"/>
        <v>0</v>
      </c>
      <c r="I843" s="125">
        <f t="shared" ca="1" si="508"/>
        <v>0</v>
      </c>
      <c r="J843" s="125">
        <f t="shared" ca="1" si="509"/>
        <v>0</v>
      </c>
      <c r="K843" s="125">
        <f t="shared" ca="1" si="510"/>
        <v>0</v>
      </c>
      <c r="L843" s="125">
        <f t="shared" ca="1" si="528"/>
        <v>0</v>
      </c>
      <c r="M843" s="125">
        <f t="shared" ca="1" si="511"/>
        <v>0</v>
      </c>
      <c r="N843" s="125">
        <f t="shared" ca="1" si="512"/>
        <v>0</v>
      </c>
      <c r="R843">
        <f t="shared" si="529"/>
        <v>836</v>
      </c>
      <c r="U843" s="55"/>
      <c r="V843">
        <f t="shared" si="530"/>
        <v>9</v>
      </c>
      <c r="W843">
        <f t="shared" ca="1" si="531"/>
        <v>2093</v>
      </c>
      <c r="X843" s="123">
        <f t="shared" ca="1" si="513"/>
        <v>70738</v>
      </c>
      <c r="Y843" s="64">
        <f t="shared" ca="1" si="514"/>
        <v>0</v>
      </c>
      <c r="Z843" s="64">
        <f t="shared" ca="1" si="515"/>
        <v>0</v>
      </c>
      <c r="AA843" s="64">
        <f t="shared" ca="1" si="516"/>
        <v>0</v>
      </c>
      <c r="AB843" s="64">
        <f t="shared" ca="1" si="517"/>
        <v>0</v>
      </c>
      <c r="AF843" t="str">
        <f t="shared" ca="1" si="497"/>
        <v>111974</v>
      </c>
      <c r="AG843" s="126">
        <f t="shared" ca="1" si="498"/>
        <v>0</v>
      </c>
      <c r="AH843" s="126">
        <f t="shared" ca="1" si="499"/>
        <v>0</v>
      </c>
      <c r="AI843" s="126">
        <f t="shared" ca="1" si="500"/>
        <v>0</v>
      </c>
      <c r="AJ843" t="str">
        <f t="shared" ca="1" si="501"/>
        <v>92093</v>
      </c>
      <c r="AK843" s="126">
        <f t="shared" ca="1" si="518"/>
        <v>0</v>
      </c>
      <c r="AL843" s="126">
        <f t="shared" ca="1" si="519"/>
        <v>0</v>
      </c>
      <c r="AM843" s="126">
        <f t="shared" ca="1" si="532"/>
        <v>0</v>
      </c>
      <c r="AN843" s="753">
        <f t="shared" ca="1" si="533"/>
        <v>0</v>
      </c>
      <c r="AO843" s="750">
        <f t="shared" ca="1" si="520"/>
        <v>0</v>
      </c>
      <c r="AP843" s="126">
        <f t="shared" ca="1" si="521"/>
        <v>0</v>
      </c>
      <c r="AQ843" s="126">
        <f t="shared" ca="1" si="522"/>
        <v>0</v>
      </c>
      <c r="AR843" s="126">
        <f t="shared" ca="1" si="502"/>
        <v>10000</v>
      </c>
      <c r="AS843" s="750">
        <f t="shared" ca="1" si="503"/>
        <v>0</v>
      </c>
      <c r="AT843" s="750">
        <f t="shared" ca="1" si="504"/>
        <v>0</v>
      </c>
      <c r="AU843" s="126">
        <f t="shared" ca="1" si="523"/>
        <v>0</v>
      </c>
      <c r="AV843" s="126">
        <f t="shared" ca="1" si="524"/>
        <v>0</v>
      </c>
      <c r="AW843" s="126">
        <f t="shared" ca="1" si="505"/>
        <v>10000</v>
      </c>
      <c r="AX843" s="750">
        <f t="shared" ca="1" si="525"/>
        <v>0</v>
      </c>
      <c r="AY843" s="750">
        <f t="shared" ca="1" si="526"/>
        <v>0</v>
      </c>
      <c r="AZ843">
        <f t="shared" si="527"/>
        <v>5750</v>
      </c>
    </row>
    <row r="844" spans="4:52">
      <c r="D844">
        <v>837</v>
      </c>
      <c r="E844" s="6">
        <f t="shared" ca="1" si="506"/>
        <v>27303</v>
      </c>
      <c r="F844" s="7">
        <f t="shared" ca="1" si="507"/>
        <v>0</v>
      </c>
      <c r="G844" s="125">
        <f ca="1">IF('Simulador - 1º Pilar'!$E$99="Sí",IF('Aportaciones PPE'!$B$13&lt;'Aportaciones PPE'!E844,0,F844*$B$8/12),F844*$B$8/12)</f>
        <v>0</v>
      </c>
      <c r="H844" s="125">
        <f t="shared" ca="1" si="496"/>
        <v>0</v>
      </c>
      <c r="I844" s="125">
        <f t="shared" ca="1" si="508"/>
        <v>0</v>
      </c>
      <c r="J844" s="125">
        <f t="shared" ca="1" si="509"/>
        <v>0</v>
      </c>
      <c r="K844" s="125">
        <f t="shared" ca="1" si="510"/>
        <v>0</v>
      </c>
      <c r="L844" s="125">
        <f t="shared" ca="1" si="528"/>
        <v>0</v>
      </c>
      <c r="M844" s="125">
        <f t="shared" ca="1" si="511"/>
        <v>0</v>
      </c>
      <c r="N844" s="125">
        <f t="shared" ca="1" si="512"/>
        <v>0</v>
      </c>
      <c r="R844">
        <f t="shared" si="529"/>
        <v>837</v>
      </c>
      <c r="U844" s="55"/>
      <c r="V844">
        <f t="shared" si="530"/>
        <v>10</v>
      </c>
      <c r="W844">
        <f t="shared" ca="1" si="531"/>
        <v>2093</v>
      </c>
      <c r="X844" s="123">
        <f t="shared" ca="1" si="513"/>
        <v>70768</v>
      </c>
      <c r="Y844" s="64">
        <f t="shared" ca="1" si="514"/>
        <v>0</v>
      </c>
      <c r="Z844" s="64">
        <f t="shared" ca="1" si="515"/>
        <v>0</v>
      </c>
      <c r="AA844" s="64">
        <f t="shared" ca="1" si="516"/>
        <v>0</v>
      </c>
      <c r="AB844" s="64">
        <f t="shared" ca="1" si="517"/>
        <v>0</v>
      </c>
      <c r="AF844" t="str">
        <f t="shared" ca="1" si="497"/>
        <v>101974</v>
      </c>
      <c r="AG844" s="126">
        <f t="shared" ca="1" si="498"/>
        <v>0</v>
      </c>
      <c r="AH844" s="126">
        <f t="shared" ca="1" si="499"/>
        <v>0</v>
      </c>
      <c r="AI844" s="126">
        <f t="shared" ca="1" si="500"/>
        <v>0</v>
      </c>
      <c r="AJ844" t="str">
        <f t="shared" ca="1" si="501"/>
        <v>102093</v>
      </c>
      <c r="AK844" s="126">
        <f t="shared" ca="1" si="518"/>
        <v>0</v>
      </c>
      <c r="AL844" s="126">
        <f t="shared" ca="1" si="519"/>
        <v>0</v>
      </c>
      <c r="AM844" s="126">
        <f t="shared" ca="1" si="532"/>
        <v>0</v>
      </c>
      <c r="AN844" s="753">
        <f t="shared" ca="1" si="533"/>
        <v>0</v>
      </c>
      <c r="AO844" s="750">
        <f t="shared" ca="1" si="520"/>
        <v>0</v>
      </c>
      <c r="AP844" s="126">
        <f t="shared" ca="1" si="521"/>
        <v>0</v>
      </c>
      <c r="AQ844" s="126">
        <f t="shared" ca="1" si="522"/>
        <v>0</v>
      </c>
      <c r="AR844" s="126">
        <f t="shared" ca="1" si="502"/>
        <v>10000</v>
      </c>
      <c r="AS844" s="750">
        <f t="shared" ca="1" si="503"/>
        <v>0</v>
      </c>
      <c r="AT844" s="750">
        <f t="shared" ca="1" si="504"/>
        <v>0</v>
      </c>
      <c r="AU844" s="126">
        <f t="shared" ca="1" si="523"/>
        <v>0</v>
      </c>
      <c r="AV844" s="126">
        <f t="shared" ca="1" si="524"/>
        <v>0</v>
      </c>
      <c r="AW844" s="126">
        <f t="shared" ca="1" si="505"/>
        <v>10000</v>
      </c>
      <c r="AX844" s="750">
        <f t="shared" ca="1" si="525"/>
        <v>0</v>
      </c>
      <c r="AY844" s="750">
        <f t="shared" ca="1" si="526"/>
        <v>0</v>
      </c>
      <c r="AZ844">
        <f t="shared" si="527"/>
        <v>5750</v>
      </c>
    </row>
    <row r="845" spans="4:52">
      <c r="D845">
        <v>838</v>
      </c>
      <c r="E845" s="6">
        <f t="shared" ca="1" si="506"/>
        <v>27273</v>
      </c>
      <c r="F845" s="7">
        <f t="shared" ca="1" si="507"/>
        <v>0</v>
      </c>
      <c r="G845" s="125">
        <f ca="1">IF('Simulador - 1º Pilar'!$E$99="Sí",IF('Aportaciones PPE'!$B$13&lt;'Aportaciones PPE'!E845,0,F845*$B$8/12),F845*$B$8/12)</f>
        <v>0</v>
      </c>
      <c r="H845" s="125">
        <f t="shared" ca="1" si="496"/>
        <v>0</v>
      </c>
      <c r="I845" s="125">
        <f t="shared" ca="1" si="508"/>
        <v>0</v>
      </c>
      <c r="J845" s="125">
        <f t="shared" ca="1" si="509"/>
        <v>0</v>
      </c>
      <c r="K845" s="125">
        <f t="shared" ca="1" si="510"/>
        <v>0</v>
      </c>
      <c r="L845" s="125">
        <f t="shared" ca="1" si="528"/>
        <v>0</v>
      </c>
      <c r="M845" s="125">
        <f t="shared" ca="1" si="511"/>
        <v>0</v>
      </c>
      <c r="N845" s="125">
        <f t="shared" ca="1" si="512"/>
        <v>0</v>
      </c>
      <c r="R845">
        <f t="shared" si="529"/>
        <v>838</v>
      </c>
      <c r="U845" s="55"/>
      <c r="V845">
        <f t="shared" si="530"/>
        <v>11</v>
      </c>
      <c r="W845">
        <f t="shared" ca="1" si="531"/>
        <v>2093</v>
      </c>
      <c r="X845" s="123">
        <f t="shared" ca="1" si="513"/>
        <v>70799</v>
      </c>
      <c r="Y845" s="64">
        <f t="shared" ca="1" si="514"/>
        <v>0</v>
      </c>
      <c r="Z845" s="64">
        <f t="shared" ca="1" si="515"/>
        <v>0</v>
      </c>
      <c r="AA845" s="64">
        <f t="shared" ca="1" si="516"/>
        <v>0</v>
      </c>
      <c r="AB845" s="64">
        <f t="shared" ca="1" si="517"/>
        <v>0</v>
      </c>
      <c r="AF845" t="str">
        <f t="shared" ca="1" si="497"/>
        <v>91974</v>
      </c>
      <c r="AG845" s="126">
        <f t="shared" ca="1" si="498"/>
        <v>0</v>
      </c>
      <c r="AH845" s="126">
        <f t="shared" ca="1" si="499"/>
        <v>0</v>
      </c>
      <c r="AI845" s="126">
        <f t="shared" ca="1" si="500"/>
        <v>0</v>
      </c>
      <c r="AJ845" t="str">
        <f t="shared" ca="1" si="501"/>
        <v>112093</v>
      </c>
      <c r="AK845" s="126">
        <f t="shared" ca="1" si="518"/>
        <v>0</v>
      </c>
      <c r="AL845" s="126">
        <f t="shared" ca="1" si="519"/>
        <v>0</v>
      </c>
      <c r="AM845" s="126">
        <f t="shared" ca="1" si="532"/>
        <v>0</v>
      </c>
      <c r="AN845" s="753">
        <f t="shared" ca="1" si="533"/>
        <v>0</v>
      </c>
      <c r="AO845" s="750">
        <f t="shared" ca="1" si="520"/>
        <v>0</v>
      </c>
      <c r="AP845" s="126">
        <f t="shared" ca="1" si="521"/>
        <v>0</v>
      </c>
      <c r="AQ845" s="126">
        <f t="shared" ca="1" si="522"/>
        <v>0</v>
      </c>
      <c r="AR845" s="126">
        <f t="shared" ca="1" si="502"/>
        <v>10000</v>
      </c>
      <c r="AS845" s="750">
        <f t="shared" ca="1" si="503"/>
        <v>0</v>
      </c>
      <c r="AT845" s="750">
        <f t="shared" ca="1" si="504"/>
        <v>0</v>
      </c>
      <c r="AU845" s="126">
        <f t="shared" ca="1" si="523"/>
        <v>0</v>
      </c>
      <c r="AV845" s="126">
        <f t="shared" ca="1" si="524"/>
        <v>0</v>
      </c>
      <c r="AW845" s="126">
        <f t="shared" ca="1" si="505"/>
        <v>10000</v>
      </c>
      <c r="AX845" s="750">
        <f t="shared" ca="1" si="525"/>
        <v>0</v>
      </c>
      <c r="AY845" s="750">
        <f t="shared" ca="1" si="526"/>
        <v>0</v>
      </c>
      <c r="AZ845">
        <f t="shared" si="527"/>
        <v>5750</v>
      </c>
    </row>
    <row r="846" spans="4:52">
      <c r="D846">
        <v>839</v>
      </c>
      <c r="E846" s="6">
        <f t="shared" ca="1" si="506"/>
        <v>27242</v>
      </c>
      <c r="F846" s="7">
        <f t="shared" ca="1" si="507"/>
        <v>0</v>
      </c>
      <c r="G846" s="125">
        <f ca="1">IF('Simulador - 1º Pilar'!$E$99="Sí",IF('Aportaciones PPE'!$B$13&lt;'Aportaciones PPE'!E846,0,F846*$B$8/12),F846*$B$8/12)</f>
        <v>0</v>
      </c>
      <c r="H846" s="125">
        <f t="shared" ca="1" si="496"/>
        <v>0</v>
      </c>
      <c r="I846" s="125">
        <f t="shared" ca="1" si="508"/>
        <v>0</v>
      </c>
      <c r="J846" s="125">
        <f t="shared" ca="1" si="509"/>
        <v>0</v>
      </c>
      <c r="K846" s="125">
        <f t="shared" ca="1" si="510"/>
        <v>0</v>
      </c>
      <c r="L846" s="125">
        <f t="shared" ca="1" si="528"/>
        <v>0</v>
      </c>
      <c r="M846" s="125">
        <f t="shared" ca="1" si="511"/>
        <v>0</v>
      </c>
      <c r="N846" s="125">
        <f t="shared" ca="1" si="512"/>
        <v>0</v>
      </c>
      <c r="R846">
        <f t="shared" si="529"/>
        <v>839</v>
      </c>
      <c r="U846" s="55"/>
      <c r="V846">
        <f t="shared" si="530"/>
        <v>12</v>
      </c>
      <c r="W846">
        <f t="shared" ca="1" si="531"/>
        <v>2093</v>
      </c>
      <c r="X846" s="123">
        <f t="shared" ca="1" si="513"/>
        <v>70829</v>
      </c>
      <c r="Y846" s="64">
        <f t="shared" ca="1" si="514"/>
        <v>0</v>
      </c>
      <c r="Z846" s="64">
        <f t="shared" ca="1" si="515"/>
        <v>0</v>
      </c>
      <c r="AA846" s="64">
        <f t="shared" ca="1" si="516"/>
        <v>0</v>
      </c>
      <c r="AB846" s="64">
        <f t="shared" ca="1" si="517"/>
        <v>0</v>
      </c>
      <c r="AF846" t="str">
        <f t="shared" ca="1" si="497"/>
        <v>81974</v>
      </c>
      <c r="AG846" s="126">
        <f t="shared" ca="1" si="498"/>
        <v>0</v>
      </c>
      <c r="AH846" s="126">
        <f t="shared" ca="1" si="499"/>
        <v>0</v>
      </c>
      <c r="AI846" s="126">
        <f t="shared" ca="1" si="500"/>
        <v>0</v>
      </c>
      <c r="AJ846" t="str">
        <f t="shared" ca="1" si="501"/>
        <v>122093</v>
      </c>
      <c r="AK846" s="126">
        <f t="shared" ca="1" si="518"/>
        <v>0</v>
      </c>
      <c r="AL846" s="126">
        <f t="shared" ca="1" si="519"/>
        <v>0</v>
      </c>
      <c r="AM846" s="126">
        <f t="shared" ca="1" si="532"/>
        <v>0</v>
      </c>
      <c r="AN846" s="753">
        <f t="shared" ca="1" si="533"/>
        <v>0</v>
      </c>
      <c r="AO846" s="750">
        <f t="shared" ca="1" si="520"/>
        <v>0</v>
      </c>
      <c r="AP846" s="126">
        <f t="shared" ca="1" si="521"/>
        <v>0</v>
      </c>
      <c r="AQ846" s="126">
        <f t="shared" ca="1" si="522"/>
        <v>0</v>
      </c>
      <c r="AR846" s="126">
        <f t="shared" ca="1" si="502"/>
        <v>10000</v>
      </c>
      <c r="AS846" s="750">
        <f t="shared" ca="1" si="503"/>
        <v>0</v>
      </c>
      <c r="AT846" s="750">
        <f t="shared" ca="1" si="504"/>
        <v>0</v>
      </c>
      <c r="AU846" s="126">
        <f t="shared" ca="1" si="523"/>
        <v>0</v>
      </c>
      <c r="AV846" s="126">
        <f t="shared" ca="1" si="524"/>
        <v>0</v>
      </c>
      <c r="AW846" s="126">
        <f t="shared" ca="1" si="505"/>
        <v>10000</v>
      </c>
      <c r="AX846" s="750">
        <f t="shared" ca="1" si="525"/>
        <v>0</v>
      </c>
      <c r="AY846" s="750">
        <f t="shared" ca="1" si="526"/>
        <v>0</v>
      </c>
      <c r="AZ846">
        <f t="shared" si="527"/>
        <v>5750</v>
      </c>
    </row>
    <row r="847" spans="4:52">
      <c r="D847">
        <v>840</v>
      </c>
      <c r="E847" s="6">
        <f t="shared" ca="1" si="506"/>
        <v>27211</v>
      </c>
      <c r="F847" s="7">
        <f t="shared" ca="1" si="507"/>
        <v>0</v>
      </c>
      <c r="G847" s="125">
        <f ca="1">IF('Simulador - 1º Pilar'!$E$99="Sí",IF('Aportaciones PPE'!$B$13&lt;'Aportaciones PPE'!E847,0,F847*$B$8/12),F847*$B$8/12)</f>
        <v>0</v>
      </c>
      <c r="H847" s="125">
        <f t="shared" ca="1" si="496"/>
        <v>0</v>
      </c>
      <c r="I847" s="125">
        <f t="shared" ca="1" si="508"/>
        <v>0</v>
      </c>
      <c r="J847" s="125">
        <f t="shared" ca="1" si="509"/>
        <v>0</v>
      </c>
      <c r="K847" s="125">
        <f t="shared" ca="1" si="510"/>
        <v>0</v>
      </c>
      <c r="L847" s="125">
        <f t="shared" ca="1" si="528"/>
        <v>0</v>
      </c>
      <c r="M847" s="125">
        <f t="shared" ca="1" si="511"/>
        <v>0</v>
      </c>
      <c r="N847" s="125">
        <f t="shared" ca="1" si="512"/>
        <v>0</v>
      </c>
      <c r="R847">
        <f t="shared" si="529"/>
        <v>840</v>
      </c>
      <c r="U847" s="55"/>
      <c r="V847">
        <f t="shared" si="530"/>
        <v>1</v>
      </c>
      <c r="W847">
        <f t="shared" ca="1" si="531"/>
        <v>2094</v>
      </c>
      <c r="X847" s="123">
        <f t="shared" ca="1" si="513"/>
        <v>70860</v>
      </c>
      <c r="Y847" s="64">
        <f t="shared" ca="1" si="514"/>
        <v>0</v>
      </c>
      <c r="Z847" s="64">
        <f t="shared" ca="1" si="515"/>
        <v>0</v>
      </c>
      <c r="AA847" s="64">
        <f t="shared" ca="1" si="516"/>
        <v>0</v>
      </c>
      <c r="AB847" s="64">
        <f t="shared" ca="1" si="517"/>
        <v>0</v>
      </c>
      <c r="AF847" t="str">
        <f t="shared" ca="1" si="497"/>
        <v>71974</v>
      </c>
      <c r="AG847" s="126">
        <f t="shared" ca="1" si="498"/>
        <v>0</v>
      </c>
      <c r="AH847" s="126">
        <f t="shared" ca="1" si="499"/>
        <v>0</v>
      </c>
      <c r="AI847" s="126">
        <f t="shared" ca="1" si="500"/>
        <v>0</v>
      </c>
      <c r="AJ847" t="str">
        <f t="shared" ca="1" si="501"/>
        <v>12094</v>
      </c>
      <c r="AK847" s="126">
        <f t="shared" ca="1" si="518"/>
        <v>0</v>
      </c>
      <c r="AL847" s="126">
        <f t="shared" ca="1" si="519"/>
        <v>0</v>
      </c>
      <c r="AM847" s="126">
        <f t="shared" ca="1" si="532"/>
        <v>0</v>
      </c>
      <c r="AN847" s="753">
        <f t="shared" ca="1" si="533"/>
        <v>0</v>
      </c>
      <c r="AO847" s="750">
        <f t="shared" ca="1" si="520"/>
        <v>0</v>
      </c>
      <c r="AP847" s="126">
        <f t="shared" ca="1" si="521"/>
        <v>0</v>
      </c>
      <c r="AQ847" s="126">
        <f t="shared" ca="1" si="522"/>
        <v>0</v>
      </c>
      <c r="AR847" s="126">
        <f t="shared" ca="1" si="502"/>
        <v>10000</v>
      </c>
      <c r="AS847" s="750">
        <f t="shared" ca="1" si="503"/>
        <v>0</v>
      </c>
      <c r="AT847" s="750">
        <f t="shared" ca="1" si="504"/>
        <v>0</v>
      </c>
      <c r="AU847" s="126">
        <f t="shared" ca="1" si="523"/>
        <v>0</v>
      </c>
      <c r="AV847" s="126">
        <f t="shared" ca="1" si="524"/>
        <v>0</v>
      </c>
      <c r="AW847" s="126">
        <f t="shared" ca="1" si="505"/>
        <v>10000</v>
      </c>
      <c r="AX847" s="750">
        <f t="shared" ca="1" si="525"/>
        <v>0</v>
      </c>
      <c r="AY847" s="750">
        <f t="shared" ca="1" si="526"/>
        <v>0</v>
      </c>
      <c r="AZ847">
        <f t="shared" si="527"/>
        <v>5750</v>
      </c>
    </row>
    <row r="848" spans="4:52">
      <c r="D848">
        <v>841</v>
      </c>
      <c r="E848" s="6">
        <f t="shared" ca="1" si="506"/>
        <v>27181</v>
      </c>
      <c r="F848" s="7">
        <f t="shared" ca="1" si="507"/>
        <v>0</v>
      </c>
      <c r="G848" s="125">
        <f ca="1">IF('Simulador - 1º Pilar'!$E$99="Sí",IF('Aportaciones PPE'!$B$13&lt;'Aportaciones PPE'!E848,0,F848*$B$8/12),F848*$B$8/12)</f>
        <v>0</v>
      </c>
      <c r="H848" s="125">
        <f t="shared" ca="1" si="496"/>
        <v>0</v>
      </c>
      <c r="I848" s="125">
        <f t="shared" ca="1" si="508"/>
        <v>0</v>
      </c>
      <c r="J848" s="125">
        <f t="shared" ca="1" si="509"/>
        <v>0</v>
      </c>
      <c r="K848" s="125">
        <f t="shared" ca="1" si="510"/>
        <v>0</v>
      </c>
      <c r="L848" s="125">
        <f t="shared" ca="1" si="528"/>
        <v>0</v>
      </c>
      <c r="M848" s="125">
        <f t="shared" ca="1" si="511"/>
        <v>0</v>
      </c>
      <c r="N848" s="125">
        <f t="shared" ca="1" si="512"/>
        <v>0</v>
      </c>
      <c r="R848">
        <f t="shared" si="529"/>
        <v>841</v>
      </c>
      <c r="U848" s="55"/>
      <c r="V848">
        <f t="shared" si="530"/>
        <v>2</v>
      </c>
      <c r="W848">
        <f t="shared" ca="1" si="531"/>
        <v>2094</v>
      </c>
      <c r="X848" s="123">
        <f t="shared" ca="1" si="513"/>
        <v>70891</v>
      </c>
      <c r="Y848" s="64">
        <f t="shared" ca="1" si="514"/>
        <v>0</v>
      </c>
      <c r="Z848" s="64">
        <f t="shared" ca="1" si="515"/>
        <v>0</v>
      </c>
      <c r="AA848" s="64">
        <f t="shared" ca="1" si="516"/>
        <v>0</v>
      </c>
      <c r="AB848" s="64">
        <f t="shared" ca="1" si="517"/>
        <v>0</v>
      </c>
      <c r="AF848" t="str">
        <f t="shared" ca="1" si="497"/>
        <v>61974</v>
      </c>
      <c r="AG848" s="126">
        <f t="shared" ca="1" si="498"/>
        <v>0</v>
      </c>
      <c r="AH848" s="126">
        <f t="shared" ca="1" si="499"/>
        <v>0</v>
      </c>
      <c r="AI848" s="126">
        <f t="shared" ca="1" si="500"/>
        <v>0</v>
      </c>
      <c r="AJ848" t="str">
        <f t="shared" ca="1" si="501"/>
        <v>22094</v>
      </c>
      <c r="AK848" s="126">
        <f t="shared" ca="1" si="518"/>
        <v>0</v>
      </c>
      <c r="AL848" s="126">
        <f t="shared" ca="1" si="519"/>
        <v>0</v>
      </c>
      <c r="AM848" s="126">
        <f t="shared" ca="1" si="532"/>
        <v>0</v>
      </c>
      <c r="AN848" s="753">
        <f t="shared" ca="1" si="533"/>
        <v>0</v>
      </c>
      <c r="AO848" s="750">
        <f t="shared" ca="1" si="520"/>
        <v>0</v>
      </c>
      <c r="AP848" s="126">
        <f t="shared" ca="1" si="521"/>
        <v>0</v>
      </c>
      <c r="AQ848" s="126">
        <f t="shared" ca="1" si="522"/>
        <v>0</v>
      </c>
      <c r="AR848" s="126">
        <f t="shared" ca="1" si="502"/>
        <v>10000</v>
      </c>
      <c r="AS848" s="750">
        <f t="shared" ca="1" si="503"/>
        <v>0</v>
      </c>
      <c r="AT848" s="750">
        <f t="shared" ca="1" si="504"/>
        <v>0</v>
      </c>
      <c r="AU848" s="126">
        <f t="shared" ca="1" si="523"/>
        <v>0</v>
      </c>
      <c r="AV848" s="126">
        <f t="shared" ca="1" si="524"/>
        <v>0</v>
      </c>
      <c r="AW848" s="126">
        <f t="shared" ca="1" si="505"/>
        <v>10000</v>
      </c>
      <c r="AX848" s="750">
        <f t="shared" ca="1" si="525"/>
        <v>0</v>
      </c>
      <c r="AY848" s="750">
        <f t="shared" ca="1" si="526"/>
        <v>0</v>
      </c>
      <c r="AZ848">
        <f t="shared" si="527"/>
        <v>5750</v>
      </c>
    </row>
    <row r="849" spans="4:52">
      <c r="D849">
        <v>842</v>
      </c>
      <c r="E849" s="6">
        <f t="shared" ca="1" si="506"/>
        <v>27150</v>
      </c>
      <c r="F849" s="7">
        <f t="shared" ca="1" si="507"/>
        <v>0</v>
      </c>
      <c r="G849" s="125">
        <f ca="1">IF('Simulador - 1º Pilar'!$E$99="Sí",IF('Aportaciones PPE'!$B$13&lt;'Aportaciones PPE'!E849,0,F849*$B$8/12),F849*$B$8/12)</f>
        <v>0</v>
      </c>
      <c r="H849" s="125">
        <f t="shared" ca="1" si="496"/>
        <v>0</v>
      </c>
      <c r="I849" s="125">
        <f t="shared" ca="1" si="508"/>
        <v>0</v>
      </c>
      <c r="J849" s="125">
        <f t="shared" ca="1" si="509"/>
        <v>0</v>
      </c>
      <c r="K849" s="125">
        <f t="shared" ca="1" si="510"/>
        <v>0</v>
      </c>
      <c r="L849" s="125">
        <f t="shared" ca="1" si="528"/>
        <v>0</v>
      </c>
      <c r="M849" s="125">
        <f t="shared" ca="1" si="511"/>
        <v>0</v>
      </c>
      <c r="N849" s="125">
        <f t="shared" ca="1" si="512"/>
        <v>0</v>
      </c>
      <c r="R849">
        <f t="shared" si="529"/>
        <v>842</v>
      </c>
      <c r="U849" s="55"/>
      <c r="V849">
        <f t="shared" si="530"/>
        <v>3</v>
      </c>
      <c r="W849">
        <f t="shared" ca="1" si="531"/>
        <v>2094</v>
      </c>
      <c r="X849" s="123">
        <f t="shared" ca="1" si="513"/>
        <v>70919</v>
      </c>
      <c r="Y849" s="64">
        <f t="shared" ca="1" si="514"/>
        <v>0</v>
      </c>
      <c r="Z849" s="64">
        <f t="shared" ca="1" si="515"/>
        <v>0</v>
      </c>
      <c r="AA849" s="64">
        <f t="shared" ca="1" si="516"/>
        <v>0</v>
      </c>
      <c r="AB849" s="64">
        <f t="shared" ca="1" si="517"/>
        <v>0</v>
      </c>
      <c r="AF849" t="str">
        <f t="shared" ca="1" si="497"/>
        <v>51974</v>
      </c>
      <c r="AG849" s="126">
        <f t="shared" ca="1" si="498"/>
        <v>0</v>
      </c>
      <c r="AH849" s="126">
        <f t="shared" ca="1" si="499"/>
        <v>0</v>
      </c>
      <c r="AI849" s="126">
        <f t="shared" ca="1" si="500"/>
        <v>0</v>
      </c>
      <c r="AJ849" t="str">
        <f t="shared" ca="1" si="501"/>
        <v>32094</v>
      </c>
      <c r="AK849" s="126">
        <f t="shared" ca="1" si="518"/>
        <v>0</v>
      </c>
      <c r="AL849" s="126">
        <f t="shared" ca="1" si="519"/>
        <v>0</v>
      </c>
      <c r="AM849" s="126">
        <f t="shared" ca="1" si="532"/>
        <v>0</v>
      </c>
      <c r="AN849" s="753">
        <f t="shared" ca="1" si="533"/>
        <v>0</v>
      </c>
      <c r="AO849" s="750">
        <f t="shared" ca="1" si="520"/>
        <v>0</v>
      </c>
      <c r="AP849" s="126">
        <f t="shared" ca="1" si="521"/>
        <v>0</v>
      </c>
      <c r="AQ849" s="126">
        <f t="shared" ca="1" si="522"/>
        <v>0</v>
      </c>
      <c r="AR849" s="126">
        <f t="shared" ca="1" si="502"/>
        <v>10000</v>
      </c>
      <c r="AS849" s="750">
        <f t="shared" ca="1" si="503"/>
        <v>0</v>
      </c>
      <c r="AT849" s="750">
        <f t="shared" ca="1" si="504"/>
        <v>0</v>
      </c>
      <c r="AU849" s="126">
        <f t="shared" ca="1" si="523"/>
        <v>0</v>
      </c>
      <c r="AV849" s="126">
        <f t="shared" ca="1" si="524"/>
        <v>0</v>
      </c>
      <c r="AW849" s="126">
        <f t="shared" ca="1" si="505"/>
        <v>10000</v>
      </c>
      <c r="AX849" s="750">
        <f t="shared" ca="1" si="525"/>
        <v>0</v>
      </c>
      <c r="AY849" s="750">
        <f t="shared" ca="1" si="526"/>
        <v>0</v>
      </c>
      <c r="AZ849">
        <f t="shared" si="527"/>
        <v>5750</v>
      </c>
    </row>
    <row r="850" spans="4:52">
      <c r="D850">
        <v>843</v>
      </c>
      <c r="E850" s="6">
        <f t="shared" ca="1" si="506"/>
        <v>27120</v>
      </c>
      <c r="F850" s="7">
        <f t="shared" ca="1" si="507"/>
        <v>0</v>
      </c>
      <c r="G850" s="125">
        <f ca="1">IF('Simulador - 1º Pilar'!$E$99="Sí",IF('Aportaciones PPE'!$B$13&lt;'Aportaciones PPE'!E850,0,F850*$B$8/12),F850*$B$8/12)</f>
        <v>0</v>
      </c>
      <c r="H850" s="125">
        <f t="shared" ca="1" si="496"/>
        <v>0</v>
      </c>
      <c r="I850" s="125">
        <f t="shared" ca="1" si="508"/>
        <v>0</v>
      </c>
      <c r="J850" s="125">
        <f t="shared" ca="1" si="509"/>
        <v>0</v>
      </c>
      <c r="K850" s="125">
        <f t="shared" ca="1" si="510"/>
        <v>0</v>
      </c>
      <c r="L850" s="125">
        <f t="shared" ca="1" si="528"/>
        <v>0</v>
      </c>
      <c r="M850" s="125">
        <f t="shared" ca="1" si="511"/>
        <v>0</v>
      </c>
      <c r="N850" s="125">
        <f t="shared" ca="1" si="512"/>
        <v>0</v>
      </c>
      <c r="R850">
        <f t="shared" si="529"/>
        <v>843</v>
      </c>
      <c r="U850" s="55"/>
      <c r="V850">
        <f t="shared" si="530"/>
        <v>4</v>
      </c>
      <c r="W850">
        <f t="shared" ca="1" si="531"/>
        <v>2094</v>
      </c>
      <c r="X850" s="123">
        <f t="shared" ca="1" si="513"/>
        <v>70950</v>
      </c>
      <c r="Y850" s="64">
        <f t="shared" ca="1" si="514"/>
        <v>0</v>
      </c>
      <c r="Z850" s="64">
        <f t="shared" ca="1" si="515"/>
        <v>0</v>
      </c>
      <c r="AA850" s="64">
        <f t="shared" ca="1" si="516"/>
        <v>0</v>
      </c>
      <c r="AB850" s="64">
        <f t="shared" ca="1" si="517"/>
        <v>0</v>
      </c>
      <c r="AF850" t="str">
        <f t="shared" ca="1" si="497"/>
        <v>41974</v>
      </c>
      <c r="AG850" s="126">
        <f t="shared" ca="1" si="498"/>
        <v>0</v>
      </c>
      <c r="AH850" s="126">
        <f t="shared" ca="1" si="499"/>
        <v>0</v>
      </c>
      <c r="AI850" s="126">
        <f t="shared" ca="1" si="500"/>
        <v>0</v>
      </c>
      <c r="AJ850" t="str">
        <f t="shared" ca="1" si="501"/>
        <v>42094</v>
      </c>
      <c r="AK850" s="126">
        <f t="shared" ca="1" si="518"/>
        <v>0</v>
      </c>
      <c r="AL850" s="126">
        <f t="shared" ca="1" si="519"/>
        <v>0</v>
      </c>
      <c r="AM850" s="126">
        <f t="shared" ca="1" si="532"/>
        <v>0</v>
      </c>
      <c r="AN850" s="753">
        <f t="shared" ca="1" si="533"/>
        <v>0</v>
      </c>
      <c r="AO850" s="750">
        <f t="shared" ca="1" si="520"/>
        <v>0</v>
      </c>
      <c r="AP850" s="126">
        <f t="shared" ca="1" si="521"/>
        <v>0</v>
      </c>
      <c r="AQ850" s="126">
        <f t="shared" ca="1" si="522"/>
        <v>0</v>
      </c>
      <c r="AR850" s="126">
        <f t="shared" ca="1" si="502"/>
        <v>10000</v>
      </c>
      <c r="AS850" s="750">
        <f t="shared" ca="1" si="503"/>
        <v>0</v>
      </c>
      <c r="AT850" s="750">
        <f t="shared" ca="1" si="504"/>
        <v>0</v>
      </c>
      <c r="AU850" s="126">
        <f t="shared" ca="1" si="523"/>
        <v>0</v>
      </c>
      <c r="AV850" s="126">
        <f t="shared" ca="1" si="524"/>
        <v>0</v>
      </c>
      <c r="AW850" s="126">
        <f t="shared" ca="1" si="505"/>
        <v>10000</v>
      </c>
      <c r="AX850" s="750">
        <f t="shared" ca="1" si="525"/>
        <v>0</v>
      </c>
      <c r="AY850" s="750">
        <f t="shared" ca="1" si="526"/>
        <v>0</v>
      </c>
      <c r="AZ850">
        <f t="shared" si="527"/>
        <v>5750</v>
      </c>
    </row>
    <row r="851" spans="4:52">
      <c r="D851">
        <v>844</v>
      </c>
      <c r="E851" s="6">
        <f t="shared" ca="1" si="506"/>
        <v>27089</v>
      </c>
      <c r="F851" s="7">
        <f t="shared" ca="1" si="507"/>
        <v>0</v>
      </c>
      <c r="G851" s="125">
        <f ca="1">IF('Simulador - 1º Pilar'!$E$99="Sí",IF('Aportaciones PPE'!$B$13&lt;'Aportaciones PPE'!E851,0,F851*$B$8/12),F851*$B$8/12)</f>
        <v>0</v>
      </c>
      <c r="H851" s="125">
        <f t="shared" ca="1" si="496"/>
        <v>0</v>
      </c>
      <c r="I851" s="125">
        <f t="shared" ca="1" si="508"/>
        <v>0</v>
      </c>
      <c r="J851" s="125">
        <f t="shared" ca="1" si="509"/>
        <v>0</v>
      </c>
      <c r="K851" s="125">
        <f t="shared" ca="1" si="510"/>
        <v>0</v>
      </c>
      <c r="L851" s="125">
        <f t="shared" ca="1" si="528"/>
        <v>0</v>
      </c>
      <c r="M851" s="125">
        <f t="shared" ca="1" si="511"/>
        <v>0</v>
      </c>
      <c r="N851" s="125">
        <f t="shared" ca="1" si="512"/>
        <v>0</v>
      </c>
      <c r="R851">
        <f t="shared" si="529"/>
        <v>844</v>
      </c>
      <c r="U851" s="55"/>
      <c r="V851">
        <f t="shared" si="530"/>
        <v>5</v>
      </c>
      <c r="W851">
        <f t="shared" ca="1" si="531"/>
        <v>2094</v>
      </c>
      <c r="X851" s="123">
        <f t="shared" ca="1" si="513"/>
        <v>70980</v>
      </c>
      <c r="Y851" s="64">
        <f t="shared" ca="1" si="514"/>
        <v>0</v>
      </c>
      <c r="Z851" s="64">
        <f t="shared" ca="1" si="515"/>
        <v>0</v>
      </c>
      <c r="AA851" s="64">
        <f t="shared" ca="1" si="516"/>
        <v>0</v>
      </c>
      <c r="AB851" s="64">
        <f t="shared" ca="1" si="517"/>
        <v>0</v>
      </c>
      <c r="AF851" t="str">
        <f t="shared" ca="1" si="497"/>
        <v>31974</v>
      </c>
      <c r="AG851" s="126">
        <f t="shared" ca="1" si="498"/>
        <v>0</v>
      </c>
      <c r="AH851" s="126">
        <f t="shared" ca="1" si="499"/>
        <v>0</v>
      </c>
      <c r="AI851" s="126">
        <f t="shared" ca="1" si="500"/>
        <v>0</v>
      </c>
      <c r="AJ851" t="str">
        <f t="shared" ca="1" si="501"/>
        <v>52094</v>
      </c>
      <c r="AK851" s="126">
        <f t="shared" ca="1" si="518"/>
        <v>0</v>
      </c>
      <c r="AL851" s="126">
        <f t="shared" ca="1" si="519"/>
        <v>0</v>
      </c>
      <c r="AM851" s="126">
        <f t="shared" ca="1" si="532"/>
        <v>0</v>
      </c>
      <c r="AN851" s="753">
        <f t="shared" ca="1" si="533"/>
        <v>0</v>
      </c>
      <c r="AO851" s="750">
        <f t="shared" ca="1" si="520"/>
        <v>0</v>
      </c>
      <c r="AP851" s="126">
        <f t="shared" ca="1" si="521"/>
        <v>0</v>
      </c>
      <c r="AQ851" s="126">
        <f t="shared" ca="1" si="522"/>
        <v>0</v>
      </c>
      <c r="AR851" s="126">
        <f t="shared" ca="1" si="502"/>
        <v>10000</v>
      </c>
      <c r="AS851" s="750">
        <f t="shared" ca="1" si="503"/>
        <v>0</v>
      </c>
      <c r="AT851" s="750">
        <f t="shared" ca="1" si="504"/>
        <v>0</v>
      </c>
      <c r="AU851" s="126">
        <f t="shared" ca="1" si="523"/>
        <v>0</v>
      </c>
      <c r="AV851" s="126">
        <f t="shared" ca="1" si="524"/>
        <v>0</v>
      </c>
      <c r="AW851" s="126">
        <f t="shared" ca="1" si="505"/>
        <v>10000</v>
      </c>
      <c r="AX851" s="750">
        <f t="shared" ca="1" si="525"/>
        <v>0</v>
      </c>
      <c r="AY851" s="750">
        <f t="shared" ca="1" si="526"/>
        <v>0</v>
      </c>
      <c r="AZ851">
        <f t="shared" si="527"/>
        <v>5750</v>
      </c>
    </row>
    <row r="852" spans="4:52">
      <c r="D852">
        <v>845</v>
      </c>
      <c r="E852" s="6">
        <f t="shared" ca="1" si="506"/>
        <v>27061</v>
      </c>
      <c r="F852" s="7">
        <f t="shared" ca="1" si="507"/>
        <v>0</v>
      </c>
      <c r="G852" s="125">
        <f ca="1">IF('Simulador - 1º Pilar'!$E$99="Sí",IF('Aportaciones PPE'!$B$13&lt;'Aportaciones PPE'!E852,0,F852*$B$8/12),F852*$B$8/12)</f>
        <v>0</v>
      </c>
      <c r="H852" s="125">
        <f t="shared" ca="1" si="496"/>
        <v>0</v>
      </c>
      <c r="I852" s="125">
        <f t="shared" ca="1" si="508"/>
        <v>0</v>
      </c>
      <c r="J852" s="125">
        <f t="shared" ca="1" si="509"/>
        <v>0</v>
      </c>
      <c r="K852" s="125">
        <f t="shared" ca="1" si="510"/>
        <v>0</v>
      </c>
      <c r="L852" s="125">
        <f t="shared" ca="1" si="528"/>
        <v>0</v>
      </c>
      <c r="M852" s="125">
        <f t="shared" ca="1" si="511"/>
        <v>0</v>
      </c>
      <c r="N852" s="125">
        <f t="shared" ca="1" si="512"/>
        <v>0</v>
      </c>
      <c r="R852">
        <f t="shared" si="529"/>
        <v>845</v>
      </c>
      <c r="U852" s="55"/>
      <c r="V852">
        <f t="shared" si="530"/>
        <v>6</v>
      </c>
      <c r="W852">
        <f t="shared" ca="1" si="531"/>
        <v>2094</v>
      </c>
      <c r="X852" s="123">
        <f t="shared" ca="1" si="513"/>
        <v>71011</v>
      </c>
      <c r="Y852" s="64">
        <f t="shared" ca="1" si="514"/>
        <v>0</v>
      </c>
      <c r="Z852" s="64">
        <f t="shared" ca="1" si="515"/>
        <v>0</v>
      </c>
      <c r="AA852" s="64">
        <f t="shared" ca="1" si="516"/>
        <v>0</v>
      </c>
      <c r="AB852" s="64">
        <f t="shared" ca="1" si="517"/>
        <v>0</v>
      </c>
      <c r="AF852" t="str">
        <f t="shared" ca="1" si="497"/>
        <v>21974</v>
      </c>
      <c r="AG852" s="126">
        <f t="shared" ca="1" si="498"/>
        <v>0</v>
      </c>
      <c r="AH852" s="126">
        <f t="shared" ca="1" si="499"/>
        <v>0</v>
      </c>
      <c r="AI852" s="126">
        <f t="shared" ca="1" si="500"/>
        <v>0</v>
      </c>
      <c r="AJ852" t="str">
        <f t="shared" ca="1" si="501"/>
        <v>62094</v>
      </c>
      <c r="AK852" s="126">
        <f t="shared" ca="1" si="518"/>
        <v>0</v>
      </c>
      <c r="AL852" s="126">
        <f t="shared" ca="1" si="519"/>
        <v>0</v>
      </c>
      <c r="AM852" s="126">
        <f t="shared" ca="1" si="532"/>
        <v>0</v>
      </c>
      <c r="AN852" s="753">
        <f t="shared" ca="1" si="533"/>
        <v>0</v>
      </c>
      <c r="AO852" s="750">
        <f t="shared" ca="1" si="520"/>
        <v>0</v>
      </c>
      <c r="AP852" s="126">
        <f t="shared" ca="1" si="521"/>
        <v>0</v>
      </c>
      <c r="AQ852" s="126">
        <f t="shared" ca="1" si="522"/>
        <v>0</v>
      </c>
      <c r="AR852" s="126">
        <f t="shared" ca="1" si="502"/>
        <v>10000</v>
      </c>
      <c r="AS852" s="750">
        <f t="shared" ca="1" si="503"/>
        <v>0</v>
      </c>
      <c r="AT852" s="750">
        <f t="shared" ca="1" si="504"/>
        <v>0</v>
      </c>
      <c r="AU852" s="126">
        <f t="shared" ca="1" si="523"/>
        <v>0</v>
      </c>
      <c r="AV852" s="126">
        <f t="shared" ca="1" si="524"/>
        <v>0</v>
      </c>
      <c r="AW852" s="126">
        <f t="shared" ca="1" si="505"/>
        <v>10000</v>
      </c>
      <c r="AX852" s="750">
        <f t="shared" ca="1" si="525"/>
        <v>0</v>
      </c>
      <c r="AY852" s="750">
        <f t="shared" ca="1" si="526"/>
        <v>0</v>
      </c>
      <c r="AZ852">
        <f t="shared" si="527"/>
        <v>5750</v>
      </c>
    </row>
    <row r="853" spans="4:52">
      <c r="D853">
        <v>846</v>
      </c>
      <c r="E853" s="6">
        <f t="shared" ca="1" si="506"/>
        <v>27030</v>
      </c>
      <c r="F853" s="7">
        <f t="shared" ca="1" si="507"/>
        <v>0</v>
      </c>
      <c r="G853" s="125">
        <f ca="1">IF('Simulador - 1º Pilar'!$E$99="Sí",IF('Aportaciones PPE'!$B$13&lt;'Aportaciones PPE'!E853,0,F853*$B$8/12),F853*$B$8/12)</f>
        <v>0</v>
      </c>
      <c r="H853" s="125">
        <f t="shared" ca="1" si="496"/>
        <v>0</v>
      </c>
      <c r="I853" s="125">
        <f t="shared" ca="1" si="508"/>
        <v>0</v>
      </c>
      <c r="J853" s="125">
        <f t="shared" ca="1" si="509"/>
        <v>0</v>
      </c>
      <c r="K853" s="125">
        <f t="shared" ca="1" si="510"/>
        <v>0</v>
      </c>
      <c r="L853" s="125">
        <f t="shared" ca="1" si="528"/>
        <v>0</v>
      </c>
      <c r="M853" s="125">
        <f t="shared" ca="1" si="511"/>
        <v>0</v>
      </c>
      <c r="N853" s="125">
        <f t="shared" ca="1" si="512"/>
        <v>0</v>
      </c>
      <c r="R853">
        <f t="shared" si="529"/>
        <v>846</v>
      </c>
      <c r="U853" s="55"/>
      <c r="V853">
        <f t="shared" si="530"/>
        <v>7</v>
      </c>
      <c r="W853">
        <f t="shared" ca="1" si="531"/>
        <v>2094</v>
      </c>
      <c r="X853" s="123">
        <f t="shared" ca="1" si="513"/>
        <v>71041</v>
      </c>
      <c r="Y853" s="64">
        <f t="shared" ca="1" si="514"/>
        <v>0</v>
      </c>
      <c r="Z853" s="64">
        <f t="shared" ca="1" si="515"/>
        <v>0</v>
      </c>
      <c r="AA853" s="64">
        <f t="shared" ca="1" si="516"/>
        <v>0</v>
      </c>
      <c r="AB853" s="64">
        <f t="shared" ca="1" si="517"/>
        <v>0</v>
      </c>
      <c r="AF853" t="str">
        <f t="shared" ca="1" si="497"/>
        <v>11974</v>
      </c>
      <c r="AG853" s="126">
        <f t="shared" ca="1" si="498"/>
        <v>0</v>
      </c>
      <c r="AH853" s="126">
        <f t="shared" ca="1" si="499"/>
        <v>0</v>
      </c>
      <c r="AI853" s="126">
        <f t="shared" ca="1" si="500"/>
        <v>0</v>
      </c>
      <c r="AJ853" t="str">
        <f t="shared" ca="1" si="501"/>
        <v>72094</v>
      </c>
      <c r="AK853" s="126">
        <f t="shared" ca="1" si="518"/>
        <v>0</v>
      </c>
      <c r="AL853" s="126">
        <f t="shared" ca="1" si="519"/>
        <v>0</v>
      </c>
      <c r="AM853" s="126">
        <f t="shared" ca="1" si="532"/>
        <v>0</v>
      </c>
      <c r="AN853" s="753">
        <f t="shared" ca="1" si="533"/>
        <v>0</v>
      </c>
      <c r="AO853" s="750">
        <f t="shared" ca="1" si="520"/>
        <v>0</v>
      </c>
      <c r="AP853" s="126">
        <f t="shared" ca="1" si="521"/>
        <v>0</v>
      </c>
      <c r="AQ853" s="126">
        <f t="shared" ca="1" si="522"/>
        <v>0</v>
      </c>
      <c r="AR853" s="126">
        <f t="shared" ca="1" si="502"/>
        <v>10000</v>
      </c>
      <c r="AS853" s="750">
        <f t="shared" ca="1" si="503"/>
        <v>0</v>
      </c>
      <c r="AT853" s="750">
        <f t="shared" ca="1" si="504"/>
        <v>0</v>
      </c>
      <c r="AU853" s="126">
        <f t="shared" ca="1" si="523"/>
        <v>0</v>
      </c>
      <c r="AV853" s="126">
        <f t="shared" ca="1" si="524"/>
        <v>0</v>
      </c>
      <c r="AW853" s="126">
        <f t="shared" ca="1" si="505"/>
        <v>10000</v>
      </c>
      <c r="AX853" s="750">
        <f t="shared" ca="1" si="525"/>
        <v>0</v>
      </c>
      <c r="AY853" s="750">
        <f t="shared" ca="1" si="526"/>
        <v>0</v>
      </c>
      <c r="AZ853">
        <f t="shared" si="527"/>
        <v>5750</v>
      </c>
    </row>
    <row r="854" spans="4:52">
      <c r="D854">
        <v>847</v>
      </c>
      <c r="E854" s="6">
        <f t="shared" ca="1" si="506"/>
        <v>26999</v>
      </c>
      <c r="F854" s="7">
        <f t="shared" ca="1" si="507"/>
        <v>0</v>
      </c>
      <c r="G854" s="125">
        <f ca="1">IF('Simulador - 1º Pilar'!$E$99="Sí",IF('Aportaciones PPE'!$B$13&lt;'Aportaciones PPE'!E854,0,F854*$B$8/12),F854*$B$8/12)</f>
        <v>0</v>
      </c>
      <c r="H854" s="125">
        <f t="shared" ca="1" si="496"/>
        <v>0</v>
      </c>
      <c r="I854" s="125">
        <f t="shared" ca="1" si="508"/>
        <v>0</v>
      </c>
      <c r="J854" s="125">
        <f t="shared" ca="1" si="509"/>
        <v>0</v>
      </c>
      <c r="K854" s="125">
        <f t="shared" ca="1" si="510"/>
        <v>0</v>
      </c>
      <c r="L854" s="125">
        <f t="shared" ca="1" si="528"/>
        <v>0</v>
      </c>
      <c r="M854" s="125">
        <f t="shared" ca="1" si="511"/>
        <v>0</v>
      </c>
      <c r="N854" s="125">
        <f t="shared" ca="1" si="512"/>
        <v>0</v>
      </c>
      <c r="R854">
        <f t="shared" si="529"/>
        <v>847</v>
      </c>
      <c r="U854" s="55"/>
      <c r="V854">
        <f t="shared" si="530"/>
        <v>8</v>
      </c>
      <c r="W854">
        <f t="shared" ca="1" si="531"/>
        <v>2094</v>
      </c>
      <c r="X854" s="123">
        <f t="shared" ca="1" si="513"/>
        <v>71072</v>
      </c>
      <c r="Y854" s="64">
        <f t="shared" ca="1" si="514"/>
        <v>0</v>
      </c>
      <c r="Z854" s="64">
        <f t="shared" ca="1" si="515"/>
        <v>0</v>
      </c>
      <c r="AA854" s="64">
        <f t="shared" ca="1" si="516"/>
        <v>0</v>
      </c>
      <c r="AB854" s="64">
        <f t="shared" ca="1" si="517"/>
        <v>0</v>
      </c>
      <c r="AF854" t="str">
        <f t="shared" ca="1" si="497"/>
        <v>121973</v>
      </c>
      <c r="AG854" s="126">
        <f t="shared" ca="1" si="498"/>
        <v>0</v>
      </c>
      <c r="AH854" s="126">
        <f t="shared" ca="1" si="499"/>
        <v>0</v>
      </c>
      <c r="AI854" s="126">
        <f t="shared" ca="1" si="500"/>
        <v>0</v>
      </c>
      <c r="AJ854" t="str">
        <f t="shared" ca="1" si="501"/>
        <v>82094</v>
      </c>
      <c r="AK854" s="126">
        <f t="shared" ca="1" si="518"/>
        <v>0</v>
      </c>
      <c r="AL854" s="126">
        <f t="shared" ca="1" si="519"/>
        <v>0</v>
      </c>
      <c r="AM854" s="126">
        <f t="shared" ca="1" si="532"/>
        <v>0</v>
      </c>
      <c r="AN854" s="753">
        <f t="shared" ca="1" si="533"/>
        <v>0</v>
      </c>
      <c r="AO854" s="750">
        <f t="shared" ca="1" si="520"/>
        <v>0</v>
      </c>
      <c r="AP854" s="126">
        <f t="shared" ca="1" si="521"/>
        <v>0</v>
      </c>
      <c r="AQ854" s="126">
        <f t="shared" ca="1" si="522"/>
        <v>0</v>
      </c>
      <c r="AR854" s="126">
        <f t="shared" ca="1" si="502"/>
        <v>10000</v>
      </c>
      <c r="AS854" s="750">
        <f t="shared" ca="1" si="503"/>
        <v>0</v>
      </c>
      <c r="AT854" s="750">
        <f t="shared" ca="1" si="504"/>
        <v>0</v>
      </c>
      <c r="AU854" s="126">
        <f t="shared" ca="1" si="523"/>
        <v>0</v>
      </c>
      <c r="AV854" s="126">
        <f t="shared" ca="1" si="524"/>
        <v>0</v>
      </c>
      <c r="AW854" s="126">
        <f t="shared" ca="1" si="505"/>
        <v>10000</v>
      </c>
      <c r="AX854" s="750">
        <f t="shared" ca="1" si="525"/>
        <v>0</v>
      </c>
      <c r="AY854" s="750">
        <f t="shared" ca="1" si="526"/>
        <v>0</v>
      </c>
      <c r="AZ854">
        <f t="shared" si="527"/>
        <v>5750</v>
      </c>
    </row>
    <row r="855" spans="4:52">
      <c r="D855">
        <v>848</v>
      </c>
      <c r="E855" s="6">
        <f t="shared" ca="1" si="506"/>
        <v>26969</v>
      </c>
      <c r="F855" s="7">
        <f t="shared" ca="1" si="507"/>
        <v>0</v>
      </c>
      <c r="G855" s="125">
        <f ca="1">IF('Simulador - 1º Pilar'!$E$99="Sí",IF('Aportaciones PPE'!$B$13&lt;'Aportaciones PPE'!E855,0,F855*$B$8/12),F855*$B$8/12)</f>
        <v>0</v>
      </c>
      <c r="H855" s="125">
        <f t="shared" ca="1" si="496"/>
        <v>0</v>
      </c>
      <c r="I855" s="125">
        <f t="shared" ca="1" si="508"/>
        <v>0</v>
      </c>
      <c r="J855" s="125">
        <f t="shared" ca="1" si="509"/>
        <v>0</v>
      </c>
      <c r="K855" s="125">
        <f t="shared" ca="1" si="510"/>
        <v>0</v>
      </c>
      <c r="L855" s="125">
        <f t="shared" ca="1" si="528"/>
        <v>0</v>
      </c>
      <c r="M855" s="125">
        <f t="shared" ca="1" si="511"/>
        <v>0</v>
      </c>
      <c r="N855" s="125">
        <f t="shared" ca="1" si="512"/>
        <v>0</v>
      </c>
      <c r="R855">
        <f t="shared" si="529"/>
        <v>848</v>
      </c>
      <c r="U855" s="55"/>
      <c r="V855">
        <f t="shared" si="530"/>
        <v>9</v>
      </c>
      <c r="W855">
        <f t="shared" ca="1" si="531"/>
        <v>2094</v>
      </c>
      <c r="X855" s="123">
        <f t="shared" ca="1" si="513"/>
        <v>71103</v>
      </c>
      <c r="Y855" s="64">
        <f t="shared" ca="1" si="514"/>
        <v>0</v>
      </c>
      <c r="Z855" s="64">
        <f t="shared" ca="1" si="515"/>
        <v>0</v>
      </c>
      <c r="AA855" s="64">
        <f t="shared" ca="1" si="516"/>
        <v>0</v>
      </c>
      <c r="AB855" s="64">
        <f t="shared" ca="1" si="517"/>
        <v>0</v>
      </c>
      <c r="AF855" t="str">
        <f t="shared" ca="1" si="497"/>
        <v>111973</v>
      </c>
      <c r="AG855" s="126">
        <f t="shared" ca="1" si="498"/>
        <v>0</v>
      </c>
      <c r="AH855" s="126">
        <f t="shared" ca="1" si="499"/>
        <v>0</v>
      </c>
      <c r="AI855" s="126">
        <f t="shared" ca="1" si="500"/>
        <v>0</v>
      </c>
      <c r="AJ855" t="str">
        <f t="shared" ca="1" si="501"/>
        <v>92094</v>
      </c>
      <c r="AK855" s="126">
        <f t="shared" ca="1" si="518"/>
        <v>0</v>
      </c>
      <c r="AL855" s="126">
        <f t="shared" ca="1" si="519"/>
        <v>0</v>
      </c>
      <c r="AM855" s="126">
        <f t="shared" ca="1" si="532"/>
        <v>0</v>
      </c>
      <c r="AN855" s="753">
        <f t="shared" ca="1" si="533"/>
        <v>0</v>
      </c>
      <c r="AO855" s="750">
        <f t="shared" ca="1" si="520"/>
        <v>0</v>
      </c>
      <c r="AP855" s="126">
        <f t="shared" ca="1" si="521"/>
        <v>0</v>
      </c>
      <c r="AQ855" s="126">
        <f t="shared" ca="1" si="522"/>
        <v>0</v>
      </c>
      <c r="AR855" s="126">
        <f t="shared" ca="1" si="502"/>
        <v>10000</v>
      </c>
      <c r="AS855" s="750">
        <f t="shared" ca="1" si="503"/>
        <v>0</v>
      </c>
      <c r="AT855" s="750">
        <f t="shared" ca="1" si="504"/>
        <v>0</v>
      </c>
      <c r="AU855" s="126">
        <f t="shared" ca="1" si="523"/>
        <v>0</v>
      </c>
      <c r="AV855" s="126">
        <f t="shared" ca="1" si="524"/>
        <v>0</v>
      </c>
      <c r="AW855" s="126">
        <f t="shared" ca="1" si="505"/>
        <v>10000</v>
      </c>
      <c r="AX855" s="750">
        <f t="shared" ca="1" si="525"/>
        <v>0</v>
      </c>
      <c r="AY855" s="750">
        <f t="shared" ca="1" si="526"/>
        <v>0</v>
      </c>
      <c r="AZ855">
        <f t="shared" si="527"/>
        <v>5750</v>
      </c>
    </row>
    <row r="856" spans="4:52">
      <c r="D856">
        <v>849</v>
      </c>
      <c r="E856" s="6">
        <f t="shared" ca="1" si="506"/>
        <v>26938</v>
      </c>
      <c r="F856" s="7">
        <f t="shared" ca="1" si="507"/>
        <v>0</v>
      </c>
      <c r="G856" s="125">
        <f ca="1">IF('Simulador - 1º Pilar'!$E$99="Sí",IF('Aportaciones PPE'!$B$13&lt;'Aportaciones PPE'!E856,0,F856*$B$8/12),F856*$B$8/12)</f>
        <v>0</v>
      </c>
      <c r="H856" s="125">
        <f t="shared" ca="1" si="496"/>
        <v>0</v>
      </c>
      <c r="I856" s="125">
        <f t="shared" ca="1" si="508"/>
        <v>0</v>
      </c>
      <c r="J856" s="125">
        <f t="shared" ca="1" si="509"/>
        <v>0</v>
      </c>
      <c r="K856" s="125">
        <f t="shared" ca="1" si="510"/>
        <v>0</v>
      </c>
      <c r="L856" s="125">
        <f t="shared" ca="1" si="528"/>
        <v>0</v>
      </c>
      <c r="M856" s="125">
        <f t="shared" ca="1" si="511"/>
        <v>0</v>
      </c>
      <c r="N856" s="125">
        <f t="shared" ca="1" si="512"/>
        <v>0</v>
      </c>
      <c r="R856">
        <f t="shared" si="529"/>
        <v>849</v>
      </c>
      <c r="U856" s="55"/>
      <c r="V856">
        <f t="shared" si="530"/>
        <v>10</v>
      </c>
      <c r="W856">
        <f t="shared" ca="1" si="531"/>
        <v>2094</v>
      </c>
      <c r="X856" s="123">
        <f t="shared" ca="1" si="513"/>
        <v>71133</v>
      </c>
      <c r="Y856" s="64">
        <f t="shared" ca="1" si="514"/>
        <v>0</v>
      </c>
      <c r="Z856" s="64">
        <f t="shared" ca="1" si="515"/>
        <v>0</v>
      </c>
      <c r="AA856" s="64">
        <f t="shared" ca="1" si="516"/>
        <v>0</v>
      </c>
      <c r="AB856" s="64">
        <f t="shared" ca="1" si="517"/>
        <v>0</v>
      </c>
      <c r="AF856" t="str">
        <f t="shared" ca="1" si="497"/>
        <v>101973</v>
      </c>
      <c r="AG856" s="126">
        <f t="shared" ca="1" si="498"/>
        <v>0</v>
      </c>
      <c r="AH856" s="126">
        <f t="shared" ca="1" si="499"/>
        <v>0</v>
      </c>
      <c r="AI856" s="126">
        <f t="shared" ca="1" si="500"/>
        <v>0</v>
      </c>
      <c r="AJ856" t="str">
        <f t="shared" ca="1" si="501"/>
        <v>102094</v>
      </c>
      <c r="AK856" s="126">
        <f t="shared" ca="1" si="518"/>
        <v>0</v>
      </c>
      <c r="AL856" s="126">
        <f t="shared" ca="1" si="519"/>
        <v>0</v>
      </c>
      <c r="AM856" s="126">
        <f t="shared" ca="1" si="532"/>
        <v>0</v>
      </c>
      <c r="AN856" s="753">
        <f t="shared" ca="1" si="533"/>
        <v>0</v>
      </c>
      <c r="AO856" s="750">
        <f t="shared" ca="1" si="520"/>
        <v>0</v>
      </c>
      <c r="AP856" s="126">
        <f t="shared" ca="1" si="521"/>
        <v>0</v>
      </c>
      <c r="AQ856" s="126">
        <f t="shared" ca="1" si="522"/>
        <v>0</v>
      </c>
      <c r="AR856" s="126">
        <f t="shared" ca="1" si="502"/>
        <v>10000</v>
      </c>
      <c r="AS856" s="750">
        <f t="shared" ca="1" si="503"/>
        <v>0</v>
      </c>
      <c r="AT856" s="750">
        <f t="shared" ca="1" si="504"/>
        <v>0</v>
      </c>
      <c r="AU856" s="126">
        <f t="shared" ca="1" si="523"/>
        <v>0</v>
      </c>
      <c r="AV856" s="126">
        <f t="shared" ca="1" si="524"/>
        <v>0</v>
      </c>
      <c r="AW856" s="126">
        <f t="shared" ca="1" si="505"/>
        <v>10000</v>
      </c>
      <c r="AX856" s="750">
        <f t="shared" ca="1" si="525"/>
        <v>0</v>
      </c>
      <c r="AY856" s="750">
        <f t="shared" ca="1" si="526"/>
        <v>0</v>
      </c>
      <c r="AZ856">
        <f t="shared" si="527"/>
        <v>5750</v>
      </c>
    </row>
    <row r="857" spans="4:52">
      <c r="D857">
        <v>850</v>
      </c>
      <c r="E857" s="6">
        <f t="shared" ca="1" si="506"/>
        <v>26908</v>
      </c>
      <c r="F857" s="7">
        <f t="shared" ca="1" si="507"/>
        <v>0</v>
      </c>
      <c r="G857" s="125">
        <f ca="1">IF('Simulador - 1º Pilar'!$E$99="Sí",IF('Aportaciones PPE'!$B$13&lt;'Aportaciones PPE'!E857,0,F857*$B$8/12),F857*$B$8/12)</f>
        <v>0</v>
      </c>
      <c r="H857" s="125">
        <f t="shared" ca="1" si="496"/>
        <v>0</v>
      </c>
      <c r="I857" s="125">
        <f t="shared" ca="1" si="508"/>
        <v>0</v>
      </c>
      <c r="J857" s="125">
        <f t="shared" ca="1" si="509"/>
        <v>0</v>
      </c>
      <c r="K857" s="125">
        <f t="shared" ca="1" si="510"/>
        <v>0</v>
      </c>
      <c r="L857" s="125">
        <f t="shared" ca="1" si="528"/>
        <v>0</v>
      </c>
      <c r="M857" s="125">
        <f t="shared" ca="1" si="511"/>
        <v>0</v>
      </c>
      <c r="N857" s="125">
        <f t="shared" ca="1" si="512"/>
        <v>0</v>
      </c>
      <c r="R857">
        <f t="shared" si="529"/>
        <v>850</v>
      </c>
      <c r="U857" s="55"/>
      <c r="V857">
        <f t="shared" si="530"/>
        <v>11</v>
      </c>
      <c r="W857">
        <f t="shared" ca="1" si="531"/>
        <v>2094</v>
      </c>
      <c r="X857" s="123">
        <f t="shared" ca="1" si="513"/>
        <v>71164</v>
      </c>
      <c r="Y857" s="64">
        <f t="shared" ca="1" si="514"/>
        <v>0</v>
      </c>
      <c r="Z857" s="64">
        <f t="shared" ca="1" si="515"/>
        <v>0</v>
      </c>
      <c r="AA857" s="64">
        <f t="shared" ca="1" si="516"/>
        <v>0</v>
      </c>
      <c r="AB857" s="64">
        <f t="shared" ca="1" si="517"/>
        <v>0</v>
      </c>
      <c r="AF857" t="str">
        <f t="shared" ca="1" si="497"/>
        <v>91973</v>
      </c>
      <c r="AG857" s="126">
        <f t="shared" ca="1" si="498"/>
        <v>0</v>
      </c>
      <c r="AH857" s="126">
        <f t="shared" ca="1" si="499"/>
        <v>0</v>
      </c>
      <c r="AI857" s="126">
        <f t="shared" ca="1" si="500"/>
        <v>0</v>
      </c>
      <c r="AJ857" t="str">
        <f t="shared" ca="1" si="501"/>
        <v>112094</v>
      </c>
      <c r="AK857" s="126">
        <f t="shared" ca="1" si="518"/>
        <v>0</v>
      </c>
      <c r="AL857" s="126">
        <f t="shared" ca="1" si="519"/>
        <v>0</v>
      </c>
      <c r="AM857" s="126">
        <f t="shared" ca="1" si="532"/>
        <v>0</v>
      </c>
      <c r="AN857" s="753">
        <f t="shared" ca="1" si="533"/>
        <v>0</v>
      </c>
      <c r="AO857" s="750">
        <f t="shared" ca="1" si="520"/>
        <v>0</v>
      </c>
      <c r="AP857" s="126">
        <f t="shared" ca="1" si="521"/>
        <v>0</v>
      </c>
      <c r="AQ857" s="126">
        <f t="shared" ca="1" si="522"/>
        <v>0</v>
      </c>
      <c r="AR857" s="126">
        <f t="shared" ca="1" si="502"/>
        <v>10000</v>
      </c>
      <c r="AS857" s="750">
        <f t="shared" ca="1" si="503"/>
        <v>0</v>
      </c>
      <c r="AT857" s="750">
        <f t="shared" ca="1" si="504"/>
        <v>0</v>
      </c>
      <c r="AU857" s="126">
        <f t="shared" ca="1" si="523"/>
        <v>0</v>
      </c>
      <c r="AV857" s="126">
        <f t="shared" ca="1" si="524"/>
        <v>0</v>
      </c>
      <c r="AW857" s="126">
        <f t="shared" ca="1" si="505"/>
        <v>10000</v>
      </c>
      <c r="AX857" s="750">
        <f t="shared" ca="1" si="525"/>
        <v>0</v>
      </c>
      <c r="AY857" s="750">
        <f t="shared" ca="1" si="526"/>
        <v>0</v>
      </c>
      <c r="AZ857">
        <f t="shared" si="527"/>
        <v>5750</v>
      </c>
    </row>
    <row r="858" spans="4:52">
      <c r="D858">
        <v>851</v>
      </c>
      <c r="E858" s="6">
        <f t="shared" ca="1" si="506"/>
        <v>26877</v>
      </c>
      <c r="F858" s="7">
        <f t="shared" ca="1" si="507"/>
        <v>0</v>
      </c>
      <c r="G858" s="125">
        <f ca="1">IF('Simulador - 1º Pilar'!$E$99="Sí",IF('Aportaciones PPE'!$B$13&lt;'Aportaciones PPE'!E858,0,F858*$B$8/12),F858*$B$8/12)</f>
        <v>0</v>
      </c>
      <c r="H858" s="125">
        <f t="shared" ca="1" si="496"/>
        <v>0</v>
      </c>
      <c r="I858" s="125">
        <f t="shared" ca="1" si="508"/>
        <v>0</v>
      </c>
      <c r="J858" s="125">
        <f t="shared" ca="1" si="509"/>
        <v>0</v>
      </c>
      <c r="K858" s="125">
        <f t="shared" ca="1" si="510"/>
        <v>0</v>
      </c>
      <c r="L858" s="125">
        <f t="shared" ca="1" si="528"/>
        <v>0</v>
      </c>
      <c r="M858" s="125">
        <f t="shared" ca="1" si="511"/>
        <v>0</v>
      </c>
      <c r="N858" s="125">
        <f t="shared" ca="1" si="512"/>
        <v>0</v>
      </c>
      <c r="R858">
        <f t="shared" si="529"/>
        <v>851</v>
      </c>
      <c r="U858" s="55"/>
      <c r="V858">
        <f t="shared" si="530"/>
        <v>12</v>
      </c>
      <c r="W858">
        <f t="shared" ca="1" si="531"/>
        <v>2094</v>
      </c>
      <c r="X858" s="123">
        <f t="shared" ca="1" si="513"/>
        <v>71194</v>
      </c>
      <c r="Y858" s="64">
        <f t="shared" ca="1" si="514"/>
        <v>0</v>
      </c>
      <c r="Z858" s="64">
        <f t="shared" ca="1" si="515"/>
        <v>0</v>
      </c>
      <c r="AA858" s="64">
        <f t="shared" ca="1" si="516"/>
        <v>0</v>
      </c>
      <c r="AB858" s="64">
        <f t="shared" ca="1" si="517"/>
        <v>0</v>
      </c>
      <c r="AF858" t="str">
        <f t="shared" ca="1" si="497"/>
        <v>81973</v>
      </c>
      <c r="AG858" s="126">
        <f t="shared" ca="1" si="498"/>
        <v>0</v>
      </c>
      <c r="AH858" s="126">
        <f t="shared" ca="1" si="499"/>
        <v>0</v>
      </c>
      <c r="AI858" s="126">
        <f t="shared" ca="1" si="500"/>
        <v>0</v>
      </c>
      <c r="AJ858" t="str">
        <f t="shared" ca="1" si="501"/>
        <v>122094</v>
      </c>
      <c r="AK858" s="126">
        <f t="shared" ca="1" si="518"/>
        <v>0</v>
      </c>
      <c r="AL858" s="126">
        <f t="shared" ca="1" si="519"/>
        <v>0</v>
      </c>
      <c r="AM858" s="126">
        <f t="shared" ca="1" si="532"/>
        <v>0</v>
      </c>
      <c r="AN858" s="753">
        <f t="shared" ca="1" si="533"/>
        <v>0</v>
      </c>
      <c r="AO858" s="750">
        <f t="shared" ca="1" si="520"/>
        <v>0</v>
      </c>
      <c r="AP858" s="126">
        <f t="shared" ca="1" si="521"/>
        <v>0</v>
      </c>
      <c r="AQ858" s="126">
        <f t="shared" ca="1" si="522"/>
        <v>0</v>
      </c>
      <c r="AR858" s="126">
        <f t="shared" ca="1" si="502"/>
        <v>10000</v>
      </c>
      <c r="AS858" s="750">
        <f t="shared" ca="1" si="503"/>
        <v>0</v>
      </c>
      <c r="AT858" s="750">
        <f t="shared" ca="1" si="504"/>
        <v>0</v>
      </c>
      <c r="AU858" s="126">
        <f t="shared" ca="1" si="523"/>
        <v>0</v>
      </c>
      <c r="AV858" s="126">
        <f t="shared" ca="1" si="524"/>
        <v>0</v>
      </c>
      <c r="AW858" s="126">
        <f t="shared" ca="1" si="505"/>
        <v>10000</v>
      </c>
      <c r="AX858" s="750">
        <f t="shared" ca="1" si="525"/>
        <v>0</v>
      </c>
      <c r="AY858" s="750">
        <f t="shared" ca="1" si="526"/>
        <v>0</v>
      </c>
      <c r="AZ858">
        <f t="shared" si="527"/>
        <v>5750</v>
      </c>
    </row>
    <row r="859" spans="4:52">
      <c r="D859">
        <v>852</v>
      </c>
      <c r="E859" s="6">
        <f t="shared" ca="1" si="506"/>
        <v>26846</v>
      </c>
      <c r="F859" s="7">
        <f t="shared" ca="1" si="507"/>
        <v>0</v>
      </c>
      <c r="G859" s="125">
        <f ca="1">IF('Simulador - 1º Pilar'!$E$99="Sí",IF('Aportaciones PPE'!$B$13&lt;'Aportaciones PPE'!E859,0,F859*$B$8/12),F859*$B$8/12)</f>
        <v>0</v>
      </c>
      <c r="H859" s="125">
        <f t="shared" ca="1" si="496"/>
        <v>0</v>
      </c>
      <c r="I859" s="125">
        <f t="shared" ca="1" si="508"/>
        <v>0</v>
      </c>
      <c r="J859" s="125">
        <f t="shared" ca="1" si="509"/>
        <v>0</v>
      </c>
      <c r="K859" s="125">
        <f t="shared" ca="1" si="510"/>
        <v>0</v>
      </c>
      <c r="L859" s="125">
        <f t="shared" ca="1" si="528"/>
        <v>0</v>
      </c>
      <c r="M859" s="125">
        <f t="shared" ca="1" si="511"/>
        <v>0</v>
      </c>
      <c r="N859" s="125">
        <f t="shared" ca="1" si="512"/>
        <v>0</v>
      </c>
      <c r="R859">
        <f t="shared" si="529"/>
        <v>852</v>
      </c>
      <c r="U859" s="55"/>
      <c r="V859">
        <f t="shared" si="530"/>
        <v>1</v>
      </c>
      <c r="W859">
        <f t="shared" ca="1" si="531"/>
        <v>2095</v>
      </c>
      <c r="X859" s="123">
        <f t="shared" ca="1" si="513"/>
        <v>71225</v>
      </c>
      <c r="Y859" s="64">
        <f t="shared" ca="1" si="514"/>
        <v>0</v>
      </c>
      <c r="Z859" s="64">
        <f t="shared" ca="1" si="515"/>
        <v>0</v>
      </c>
      <c r="AA859" s="64">
        <f t="shared" ca="1" si="516"/>
        <v>0</v>
      </c>
      <c r="AB859" s="64">
        <f t="shared" ca="1" si="517"/>
        <v>0</v>
      </c>
      <c r="AF859" t="str">
        <f t="shared" ca="1" si="497"/>
        <v>71973</v>
      </c>
      <c r="AG859" s="126">
        <f t="shared" ca="1" si="498"/>
        <v>0</v>
      </c>
      <c r="AH859" s="126">
        <f t="shared" ca="1" si="499"/>
        <v>0</v>
      </c>
      <c r="AI859" s="126">
        <f t="shared" ca="1" si="500"/>
        <v>0</v>
      </c>
      <c r="AJ859" t="str">
        <f t="shared" ca="1" si="501"/>
        <v>12095</v>
      </c>
      <c r="AK859" s="126">
        <f t="shared" ca="1" si="518"/>
        <v>0</v>
      </c>
      <c r="AL859" s="126">
        <f t="shared" ca="1" si="519"/>
        <v>0</v>
      </c>
      <c r="AM859" s="126">
        <f t="shared" ca="1" si="532"/>
        <v>0</v>
      </c>
      <c r="AN859" s="753">
        <f t="shared" ca="1" si="533"/>
        <v>0</v>
      </c>
      <c r="AO859" s="750">
        <f t="shared" ca="1" si="520"/>
        <v>0</v>
      </c>
      <c r="AP859" s="126">
        <f t="shared" ca="1" si="521"/>
        <v>0</v>
      </c>
      <c r="AQ859" s="126">
        <f t="shared" ca="1" si="522"/>
        <v>0</v>
      </c>
      <c r="AR859" s="126">
        <f t="shared" ca="1" si="502"/>
        <v>10000</v>
      </c>
      <c r="AS859" s="750">
        <f t="shared" ca="1" si="503"/>
        <v>0</v>
      </c>
      <c r="AT859" s="750">
        <f t="shared" ca="1" si="504"/>
        <v>0</v>
      </c>
      <c r="AU859" s="126">
        <f t="shared" ca="1" si="523"/>
        <v>0</v>
      </c>
      <c r="AV859" s="126">
        <f t="shared" ca="1" si="524"/>
        <v>0</v>
      </c>
      <c r="AW859" s="126">
        <f t="shared" ca="1" si="505"/>
        <v>10000</v>
      </c>
      <c r="AX859" s="750">
        <f t="shared" ca="1" si="525"/>
        <v>0</v>
      </c>
      <c r="AY859" s="750">
        <f t="shared" ca="1" si="526"/>
        <v>0</v>
      </c>
      <c r="AZ859">
        <f t="shared" si="527"/>
        <v>5750</v>
      </c>
    </row>
    <row r="860" spans="4:52">
      <c r="D860">
        <v>853</v>
      </c>
      <c r="E860" s="6">
        <f t="shared" ca="1" si="506"/>
        <v>26816</v>
      </c>
      <c r="F860" s="7">
        <f t="shared" ca="1" si="507"/>
        <v>0</v>
      </c>
      <c r="G860" s="125">
        <f ca="1">IF('Simulador - 1º Pilar'!$E$99="Sí",IF('Aportaciones PPE'!$B$13&lt;'Aportaciones PPE'!E860,0,F860*$B$8/12),F860*$B$8/12)</f>
        <v>0</v>
      </c>
      <c r="H860" s="125">
        <f t="shared" ca="1" si="496"/>
        <v>0</v>
      </c>
      <c r="I860" s="125">
        <f t="shared" ca="1" si="508"/>
        <v>0</v>
      </c>
      <c r="J860" s="125">
        <f t="shared" ca="1" si="509"/>
        <v>0</v>
      </c>
      <c r="K860" s="125">
        <f t="shared" ca="1" si="510"/>
        <v>0</v>
      </c>
      <c r="L860" s="125">
        <f t="shared" ca="1" si="528"/>
        <v>0</v>
      </c>
      <c r="M860" s="125">
        <f t="shared" ca="1" si="511"/>
        <v>0</v>
      </c>
      <c r="N860" s="125">
        <f t="shared" ca="1" si="512"/>
        <v>0</v>
      </c>
      <c r="R860">
        <f t="shared" si="529"/>
        <v>853</v>
      </c>
      <c r="U860" s="55"/>
      <c r="V860">
        <f t="shared" si="530"/>
        <v>2</v>
      </c>
      <c r="W860">
        <f t="shared" ca="1" si="531"/>
        <v>2095</v>
      </c>
      <c r="X860" s="123">
        <f t="shared" ca="1" si="513"/>
        <v>71256</v>
      </c>
      <c r="Y860" s="64">
        <f t="shared" ca="1" si="514"/>
        <v>0</v>
      </c>
      <c r="Z860" s="64">
        <f t="shared" ca="1" si="515"/>
        <v>0</v>
      </c>
      <c r="AA860" s="64">
        <f t="shared" ca="1" si="516"/>
        <v>0</v>
      </c>
      <c r="AB860" s="64">
        <f t="shared" ca="1" si="517"/>
        <v>0</v>
      </c>
      <c r="AF860" t="str">
        <f t="shared" ca="1" si="497"/>
        <v>61973</v>
      </c>
      <c r="AG860" s="126">
        <f t="shared" ca="1" si="498"/>
        <v>0</v>
      </c>
      <c r="AH860" s="126">
        <f t="shared" ca="1" si="499"/>
        <v>0</v>
      </c>
      <c r="AI860" s="126">
        <f t="shared" ca="1" si="500"/>
        <v>0</v>
      </c>
      <c r="AJ860" t="str">
        <f t="shared" ca="1" si="501"/>
        <v>22095</v>
      </c>
      <c r="AK860" s="126">
        <f t="shared" ca="1" si="518"/>
        <v>0</v>
      </c>
      <c r="AL860" s="126">
        <f t="shared" ca="1" si="519"/>
        <v>0</v>
      </c>
      <c r="AM860" s="126">
        <f t="shared" ca="1" si="532"/>
        <v>0</v>
      </c>
      <c r="AN860" s="753">
        <f t="shared" ca="1" si="533"/>
        <v>0</v>
      </c>
      <c r="AO860" s="750">
        <f t="shared" ca="1" si="520"/>
        <v>0</v>
      </c>
      <c r="AP860" s="126">
        <f t="shared" ca="1" si="521"/>
        <v>0</v>
      </c>
      <c r="AQ860" s="126">
        <f t="shared" ca="1" si="522"/>
        <v>0</v>
      </c>
      <c r="AR860" s="126">
        <f t="shared" ca="1" si="502"/>
        <v>10000</v>
      </c>
      <c r="AS860" s="750">
        <f t="shared" ca="1" si="503"/>
        <v>0</v>
      </c>
      <c r="AT860" s="750">
        <f t="shared" ca="1" si="504"/>
        <v>0</v>
      </c>
      <c r="AU860" s="126">
        <f t="shared" ca="1" si="523"/>
        <v>0</v>
      </c>
      <c r="AV860" s="126">
        <f t="shared" ca="1" si="524"/>
        <v>0</v>
      </c>
      <c r="AW860" s="126">
        <f t="shared" ca="1" si="505"/>
        <v>10000</v>
      </c>
      <c r="AX860" s="750">
        <f t="shared" ca="1" si="525"/>
        <v>0</v>
      </c>
      <c r="AY860" s="750">
        <f t="shared" ca="1" si="526"/>
        <v>0</v>
      </c>
      <c r="AZ860">
        <f t="shared" si="527"/>
        <v>5750</v>
      </c>
    </row>
    <row r="861" spans="4:52">
      <c r="D861">
        <v>854</v>
      </c>
      <c r="E861" s="6">
        <f t="shared" ca="1" si="506"/>
        <v>26785</v>
      </c>
      <c r="F861" s="7">
        <f t="shared" ca="1" si="507"/>
        <v>0</v>
      </c>
      <c r="G861" s="125">
        <f ca="1">IF('Simulador - 1º Pilar'!$E$99="Sí",IF('Aportaciones PPE'!$B$13&lt;'Aportaciones PPE'!E861,0,F861*$B$8/12),F861*$B$8/12)</f>
        <v>0</v>
      </c>
      <c r="H861" s="125">
        <f t="shared" ca="1" si="496"/>
        <v>0</v>
      </c>
      <c r="I861" s="125">
        <f t="shared" ca="1" si="508"/>
        <v>0</v>
      </c>
      <c r="J861" s="125">
        <f t="shared" ca="1" si="509"/>
        <v>0</v>
      </c>
      <c r="K861" s="125">
        <f t="shared" ca="1" si="510"/>
        <v>0</v>
      </c>
      <c r="L861" s="125">
        <f t="shared" ca="1" si="528"/>
        <v>0</v>
      </c>
      <c r="M861" s="125">
        <f t="shared" ca="1" si="511"/>
        <v>0</v>
      </c>
      <c r="N861" s="125">
        <f t="shared" ca="1" si="512"/>
        <v>0</v>
      </c>
      <c r="R861">
        <f t="shared" si="529"/>
        <v>854</v>
      </c>
      <c r="U861" s="55"/>
      <c r="V861">
        <f t="shared" si="530"/>
        <v>3</v>
      </c>
      <c r="W861">
        <f t="shared" ca="1" si="531"/>
        <v>2095</v>
      </c>
      <c r="X861" s="123">
        <f t="shared" ca="1" si="513"/>
        <v>71284</v>
      </c>
      <c r="Y861" s="64">
        <f t="shared" ca="1" si="514"/>
        <v>0</v>
      </c>
      <c r="Z861" s="64">
        <f t="shared" ca="1" si="515"/>
        <v>0</v>
      </c>
      <c r="AA861" s="64">
        <f t="shared" ca="1" si="516"/>
        <v>0</v>
      </c>
      <c r="AB861" s="64">
        <f t="shared" ca="1" si="517"/>
        <v>0</v>
      </c>
      <c r="AF861" t="str">
        <f t="shared" ca="1" si="497"/>
        <v>51973</v>
      </c>
      <c r="AG861" s="126">
        <f t="shared" ca="1" si="498"/>
        <v>0</v>
      </c>
      <c r="AH861" s="126">
        <f t="shared" ca="1" si="499"/>
        <v>0</v>
      </c>
      <c r="AI861" s="126">
        <f t="shared" ca="1" si="500"/>
        <v>0</v>
      </c>
      <c r="AJ861" t="str">
        <f t="shared" ca="1" si="501"/>
        <v>32095</v>
      </c>
      <c r="AK861" s="126">
        <f t="shared" ca="1" si="518"/>
        <v>0</v>
      </c>
      <c r="AL861" s="126">
        <f t="shared" ca="1" si="519"/>
        <v>0</v>
      </c>
      <c r="AM861" s="126">
        <f t="shared" ca="1" si="532"/>
        <v>0</v>
      </c>
      <c r="AN861" s="753">
        <f t="shared" ca="1" si="533"/>
        <v>0</v>
      </c>
      <c r="AO861" s="750">
        <f t="shared" ca="1" si="520"/>
        <v>0</v>
      </c>
      <c r="AP861" s="126">
        <f t="shared" ca="1" si="521"/>
        <v>0</v>
      </c>
      <c r="AQ861" s="126">
        <f t="shared" ca="1" si="522"/>
        <v>0</v>
      </c>
      <c r="AR861" s="126">
        <f t="shared" ca="1" si="502"/>
        <v>10000</v>
      </c>
      <c r="AS861" s="750">
        <f t="shared" ca="1" si="503"/>
        <v>0</v>
      </c>
      <c r="AT861" s="750">
        <f t="shared" ca="1" si="504"/>
        <v>0</v>
      </c>
      <c r="AU861" s="126">
        <f t="shared" ca="1" si="523"/>
        <v>0</v>
      </c>
      <c r="AV861" s="126">
        <f t="shared" ca="1" si="524"/>
        <v>0</v>
      </c>
      <c r="AW861" s="126">
        <f t="shared" ca="1" si="505"/>
        <v>10000</v>
      </c>
      <c r="AX861" s="750">
        <f t="shared" ca="1" si="525"/>
        <v>0</v>
      </c>
      <c r="AY861" s="750">
        <f t="shared" ca="1" si="526"/>
        <v>0</v>
      </c>
      <c r="AZ861">
        <f t="shared" si="527"/>
        <v>5750</v>
      </c>
    </row>
    <row r="862" spans="4:52">
      <c r="D862">
        <v>855</v>
      </c>
      <c r="E862" s="6">
        <f t="shared" ca="1" si="506"/>
        <v>26755</v>
      </c>
      <c r="F862" s="7">
        <f t="shared" ca="1" si="507"/>
        <v>0</v>
      </c>
      <c r="G862" s="125">
        <f ca="1">IF('Simulador - 1º Pilar'!$E$99="Sí",IF('Aportaciones PPE'!$B$13&lt;'Aportaciones PPE'!E862,0,F862*$B$8/12),F862*$B$8/12)</f>
        <v>0</v>
      </c>
      <c r="H862" s="125">
        <f t="shared" ca="1" si="496"/>
        <v>0</v>
      </c>
      <c r="I862" s="125">
        <f t="shared" ca="1" si="508"/>
        <v>0</v>
      </c>
      <c r="J862" s="125">
        <f t="shared" ca="1" si="509"/>
        <v>0</v>
      </c>
      <c r="K862" s="125">
        <f t="shared" ca="1" si="510"/>
        <v>0</v>
      </c>
      <c r="L862" s="125">
        <f t="shared" ca="1" si="528"/>
        <v>0</v>
      </c>
      <c r="M862" s="125">
        <f t="shared" ca="1" si="511"/>
        <v>0</v>
      </c>
      <c r="N862" s="125">
        <f t="shared" ca="1" si="512"/>
        <v>0</v>
      </c>
      <c r="R862">
        <f t="shared" si="529"/>
        <v>855</v>
      </c>
      <c r="U862" s="55"/>
      <c r="V862">
        <f t="shared" si="530"/>
        <v>4</v>
      </c>
      <c r="W862">
        <f t="shared" ca="1" si="531"/>
        <v>2095</v>
      </c>
      <c r="X862" s="123">
        <f t="shared" ca="1" si="513"/>
        <v>71315</v>
      </c>
      <c r="Y862" s="64">
        <f t="shared" ca="1" si="514"/>
        <v>0</v>
      </c>
      <c r="Z862" s="64">
        <f t="shared" ca="1" si="515"/>
        <v>0</v>
      </c>
      <c r="AA862" s="64">
        <f t="shared" ca="1" si="516"/>
        <v>0</v>
      </c>
      <c r="AB862" s="64">
        <f t="shared" ca="1" si="517"/>
        <v>0</v>
      </c>
      <c r="AF862" t="str">
        <f t="shared" ca="1" si="497"/>
        <v>41973</v>
      </c>
      <c r="AG862" s="126">
        <f t="shared" ca="1" si="498"/>
        <v>0</v>
      </c>
      <c r="AH862" s="126">
        <f t="shared" ca="1" si="499"/>
        <v>0</v>
      </c>
      <c r="AI862" s="126">
        <f t="shared" ca="1" si="500"/>
        <v>0</v>
      </c>
      <c r="AJ862" t="str">
        <f t="shared" ca="1" si="501"/>
        <v>42095</v>
      </c>
      <c r="AK862" s="126">
        <f t="shared" ca="1" si="518"/>
        <v>0</v>
      </c>
      <c r="AL862" s="126">
        <f t="shared" ca="1" si="519"/>
        <v>0</v>
      </c>
      <c r="AM862" s="126">
        <f t="shared" ca="1" si="532"/>
        <v>0</v>
      </c>
      <c r="AN862" s="753">
        <f t="shared" ca="1" si="533"/>
        <v>0</v>
      </c>
      <c r="AO862" s="750">
        <f t="shared" ca="1" si="520"/>
        <v>0</v>
      </c>
      <c r="AP862" s="126">
        <f t="shared" ca="1" si="521"/>
        <v>0</v>
      </c>
      <c r="AQ862" s="126">
        <f t="shared" ca="1" si="522"/>
        <v>0</v>
      </c>
      <c r="AR862" s="126">
        <f t="shared" ca="1" si="502"/>
        <v>10000</v>
      </c>
      <c r="AS862" s="750">
        <f t="shared" ca="1" si="503"/>
        <v>0</v>
      </c>
      <c r="AT862" s="750">
        <f t="shared" ca="1" si="504"/>
        <v>0</v>
      </c>
      <c r="AU862" s="126">
        <f t="shared" ca="1" si="523"/>
        <v>0</v>
      </c>
      <c r="AV862" s="126">
        <f t="shared" ca="1" si="524"/>
        <v>0</v>
      </c>
      <c r="AW862" s="126">
        <f t="shared" ca="1" si="505"/>
        <v>10000</v>
      </c>
      <c r="AX862" s="750">
        <f t="shared" ca="1" si="525"/>
        <v>0</v>
      </c>
      <c r="AY862" s="750">
        <f t="shared" ca="1" si="526"/>
        <v>0</v>
      </c>
      <c r="AZ862">
        <f t="shared" si="527"/>
        <v>5750</v>
      </c>
    </row>
    <row r="863" spans="4:52">
      <c r="D863">
        <v>856</v>
      </c>
      <c r="E863" s="6">
        <f t="shared" ca="1" si="506"/>
        <v>26724</v>
      </c>
      <c r="F863" s="7">
        <f t="shared" ca="1" si="507"/>
        <v>0</v>
      </c>
      <c r="G863" s="125">
        <f ca="1">IF('Simulador - 1º Pilar'!$E$99="Sí",IF('Aportaciones PPE'!$B$13&lt;'Aportaciones PPE'!E863,0,F863*$B$8/12),F863*$B$8/12)</f>
        <v>0</v>
      </c>
      <c r="H863" s="125">
        <f t="shared" ca="1" si="496"/>
        <v>0</v>
      </c>
      <c r="I863" s="125">
        <f t="shared" ca="1" si="508"/>
        <v>0</v>
      </c>
      <c r="J863" s="125">
        <f t="shared" ca="1" si="509"/>
        <v>0</v>
      </c>
      <c r="K863" s="125">
        <f t="shared" ca="1" si="510"/>
        <v>0</v>
      </c>
      <c r="L863" s="125">
        <f t="shared" ca="1" si="528"/>
        <v>0</v>
      </c>
      <c r="M863" s="125">
        <f t="shared" ca="1" si="511"/>
        <v>0</v>
      </c>
      <c r="N863" s="125">
        <f t="shared" ca="1" si="512"/>
        <v>0</v>
      </c>
      <c r="R863">
        <f t="shared" si="529"/>
        <v>856</v>
      </c>
      <c r="U863" s="55"/>
      <c r="V863">
        <f t="shared" si="530"/>
        <v>5</v>
      </c>
      <c r="W863">
        <f t="shared" ca="1" si="531"/>
        <v>2095</v>
      </c>
      <c r="X863" s="123">
        <f t="shared" ca="1" si="513"/>
        <v>71345</v>
      </c>
      <c r="Y863" s="64">
        <f t="shared" ca="1" si="514"/>
        <v>0</v>
      </c>
      <c r="Z863" s="64">
        <f t="shared" ca="1" si="515"/>
        <v>0</v>
      </c>
      <c r="AA863" s="64">
        <f t="shared" ca="1" si="516"/>
        <v>0</v>
      </c>
      <c r="AB863" s="64">
        <f t="shared" ca="1" si="517"/>
        <v>0</v>
      </c>
      <c r="AF863" t="str">
        <f t="shared" ca="1" si="497"/>
        <v>31973</v>
      </c>
      <c r="AG863" s="126">
        <f t="shared" ca="1" si="498"/>
        <v>0</v>
      </c>
      <c r="AH863" s="126">
        <f t="shared" ca="1" si="499"/>
        <v>0</v>
      </c>
      <c r="AI863" s="126">
        <f t="shared" ca="1" si="500"/>
        <v>0</v>
      </c>
      <c r="AJ863" t="str">
        <f t="shared" ca="1" si="501"/>
        <v>52095</v>
      </c>
      <c r="AK863" s="126">
        <f t="shared" ca="1" si="518"/>
        <v>0</v>
      </c>
      <c r="AL863" s="126">
        <f t="shared" ca="1" si="519"/>
        <v>0</v>
      </c>
      <c r="AM863" s="126">
        <f t="shared" ca="1" si="532"/>
        <v>0</v>
      </c>
      <c r="AN863" s="753">
        <f t="shared" ca="1" si="533"/>
        <v>0</v>
      </c>
      <c r="AO863" s="750">
        <f t="shared" ca="1" si="520"/>
        <v>0</v>
      </c>
      <c r="AP863" s="126">
        <f t="shared" ca="1" si="521"/>
        <v>0</v>
      </c>
      <c r="AQ863" s="126">
        <f t="shared" ca="1" si="522"/>
        <v>0</v>
      </c>
      <c r="AR863" s="126">
        <f t="shared" ca="1" si="502"/>
        <v>10000</v>
      </c>
      <c r="AS863" s="750">
        <f t="shared" ca="1" si="503"/>
        <v>0</v>
      </c>
      <c r="AT863" s="750">
        <f t="shared" ca="1" si="504"/>
        <v>0</v>
      </c>
      <c r="AU863" s="126">
        <f t="shared" ca="1" si="523"/>
        <v>0</v>
      </c>
      <c r="AV863" s="126">
        <f t="shared" ca="1" si="524"/>
        <v>0</v>
      </c>
      <c r="AW863" s="126">
        <f t="shared" ca="1" si="505"/>
        <v>10000</v>
      </c>
      <c r="AX863" s="750">
        <f t="shared" ca="1" si="525"/>
        <v>0</v>
      </c>
      <c r="AY863" s="750">
        <f t="shared" ca="1" si="526"/>
        <v>0</v>
      </c>
      <c r="AZ863">
        <f t="shared" si="527"/>
        <v>5750</v>
      </c>
    </row>
    <row r="864" spans="4:52">
      <c r="D864">
        <v>857</v>
      </c>
      <c r="E864" s="6">
        <f t="shared" ca="1" si="506"/>
        <v>26696</v>
      </c>
      <c r="F864" s="7">
        <f t="shared" ca="1" si="507"/>
        <v>0</v>
      </c>
      <c r="G864" s="125">
        <f ca="1">IF('Simulador - 1º Pilar'!$E$99="Sí",IF('Aportaciones PPE'!$B$13&lt;'Aportaciones PPE'!E864,0,F864*$B$8/12),F864*$B$8/12)</f>
        <v>0</v>
      </c>
      <c r="H864" s="125">
        <f t="shared" ca="1" si="496"/>
        <v>0</v>
      </c>
      <c r="I864" s="125">
        <f t="shared" ca="1" si="508"/>
        <v>0</v>
      </c>
      <c r="J864" s="125">
        <f t="shared" ca="1" si="509"/>
        <v>0</v>
      </c>
      <c r="K864" s="125">
        <f t="shared" ca="1" si="510"/>
        <v>0</v>
      </c>
      <c r="L864" s="125">
        <f t="shared" ca="1" si="528"/>
        <v>0</v>
      </c>
      <c r="M864" s="125">
        <f t="shared" ca="1" si="511"/>
        <v>0</v>
      </c>
      <c r="N864" s="125">
        <f t="shared" ca="1" si="512"/>
        <v>0</v>
      </c>
      <c r="R864">
        <f t="shared" si="529"/>
        <v>857</v>
      </c>
      <c r="U864" s="55"/>
      <c r="V864">
        <f t="shared" si="530"/>
        <v>6</v>
      </c>
      <c r="W864">
        <f t="shared" ca="1" si="531"/>
        <v>2095</v>
      </c>
      <c r="X864" s="123">
        <f t="shared" ca="1" si="513"/>
        <v>71376</v>
      </c>
      <c r="Y864" s="64">
        <f t="shared" ca="1" si="514"/>
        <v>0</v>
      </c>
      <c r="Z864" s="64">
        <f t="shared" ca="1" si="515"/>
        <v>0</v>
      </c>
      <c r="AA864" s="64">
        <f t="shared" ca="1" si="516"/>
        <v>0</v>
      </c>
      <c r="AB864" s="64">
        <f t="shared" ca="1" si="517"/>
        <v>0</v>
      </c>
      <c r="AF864" t="str">
        <f t="shared" ca="1" si="497"/>
        <v>21973</v>
      </c>
      <c r="AG864" s="126">
        <f t="shared" ca="1" si="498"/>
        <v>0</v>
      </c>
      <c r="AH864" s="126">
        <f t="shared" ca="1" si="499"/>
        <v>0</v>
      </c>
      <c r="AI864" s="126">
        <f t="shared" ca="1" si="500"/>
        <v>0</v>
      </c>
      <c r="AJ864" t="str">
        <f t="shared" ca="1" si="501"/>
        <v>62095</v>
      </c>
      <c r="AK864" s="126">
        <f t="shared" ca="1" si="518"/>
        <v>0</v>
      </c>
      <c r="AL864" s="126">
        <f t="shared" ca="1" si="519"/>
        <v>0</v>
      </c>
      <c r="AM864" s="126">
        <f t="shared" ca="1" si="532"/>
        <v>0</v>
      </c>
      <c r="AN864" s="753">
        <f t="shared" ca="1" si="533"/>
        <v>0</v>
      </c>
      <c r="AO864" s="750">
        <f t="shared" ca="1" si="520"/>
        <v>0</v>
      </c>
      <c r="AP864" s="126">
        <f t="shared" ca="1" si="521"/>
        <v>0</v>
      </c>
      <c r="AQ864" s="126">
        <f t="shared" ca="1" si="522"/>
        <v>0</v>
      </c>
      <c r="AR864" s="126">
        <f t="shared" ca="1" si="502"/>
        <v>10000</v>
      </c>
      <c r="AS864" s="750">
        <f t="shared" ca="1" si="503"/>
        <v>0</v>
      </c>
      <c r="AT864" s="750">
        <f t="shared" ca="1" si="504"/>
        <v>0</v>
      </c>
      <c r="AU864" s="126">
        <f t="shared" ca="1" si="523"/>
        <v>0</v>
      </c>
      <c r="AV864" s="126">
        <f t="shared" ca="1" si="524"/>
        <v>0</v>
      </c>
      <c r="AW864" s="126">
        <f t="shared" ca="1" si="505"/>
        <v>10000</v>
      </c>
      <c r="AX864" s="750">
        <f t="shared" ca="1" si="525"/>
        <v>0</v>
      </c>
      <c r="AY864" s="750">
        <f t="shared" ca="1" si="526"/>
        <v>0</v>
      </c>
      <c r="AZ864">
        <f t="shared" si="527"/>
        <v>5750</v>
      </c>
    </row>
    <row r="865" spans="4:52">
      <c r="D865">
        <v>858</v>
      </c>
      <c r="E865" s="6">
        <f t="shared" ca="1" si="506"/>
        <v>26665</v>
      </c>
      <c r="F865" s="7">
        <f t="shared" ca="1" si="507"/>
        <v>0</v>
      </c>
      <c r="G865" s="125">
        <f ca="1">IF('Simulador - 1º Pilar'!$E$99="Sí",IF('Aportaciones PPE'!$B$13&lt;'Aportaciones PPE'!E865,0,F865*$B$8/12),F865*$B$8/12)</f>
        <v>0</v>
      </c>
      <c r="H865" s="125">
        <f t="shared" ca="1" si="496"/>
        <v>0</v>
      </c>
      <c r="I865" s="125">
        <f t="shared" ca="1" si="508"/>
        <v>0</v>
      </c>
      <c r="J865" s="125">
        <f t="shared" ca="1" si="509"/>
        <v>0</v>
      </c>
      <c r="K865" s="125">
        <f t="shared" ca="1" si="510"/>
        <v>0</v>
      </c>
      <c r="L865" s="125">
        <f t="shared" ca="1" si="528"/>
        <v>0</v>
      </c>
      <c r="M865" s="125">
        <f t="shared" ca="1" si="511"/>
        <v>0</v>
      </c>
      <c r="N865" s="125">
        <f t="shared" ca="1" si="512"/>
        <v>0</v>
      </c>
      <c r="R865">
        <f t="shared" si="529"/>
        <v>858</v>
      </c>
      <c r="U865" s="55"/>
      <c r="V865">
        <f t="shared" si="530"/>
        <v>7</v>
      </c>
      <c r="W865">
        <f t="shared" ca="1" si="531"/>
        <v>2095</v>
      </c>
      <c r="X865" s="123">
        <f t="shared" ca="1" si="513"/>
        <v>71406</v>
      </c>
      <c r="Y865" s="64">
        <f t="shared" ca="1" si="514"/>
        <v>0</v>
      </c>
      <c r="Z865" s="64">
        <f t="shared" ca="1" si="515"/>
        <v>0</v>
      </c>
      <c r="AA865" s="64">
        <f t="shared" ca="1" si="516"/>
        <v>0</v>
      </c>
      <c r="AB865" s="64">
        <f t="shared" ca="1" si="517"/>
        <v>0</v>
      </c>
      <c r="AF865" t="str">
        <f t="shared" ca="1" si="497"/>
        <v>11973</v>
      </c>
      <c r="AG865" s="126">
        <f t="shared" ca="1" si="498"/>
        <v>0</v>
      </c>
      <c r="AH865" s="126">
        <f t="shared" ca="1" si="499"/>
        <v>0</v>
      </c>
      <c r="AI865" s="126">
        <f t="shared" ca="1" si="500"/>
        <v>0</v>
      </c>
      <c r="AJ865" t="str">
        <f t="shared" ca="1" si="501"/>
        <v>72095</v>
      </c>
      <c r="AK865" s="126">
        <f t="shared" ca="1" si="518"/>
        <v>0</v>
      </c>
      <c r="AL865" s="126">
        <f t="shared" ca="1" si="519"/>
        <v>0</v>
      </c>
      <c r="AM865" s="126">
        <f t="shared" ca="1" si="532"/>
        <v>0</v>
      </c>
      <c r="AN865" s="753">
        <f t="shared" ca="1" si="533"/>
        <v>0</v>
      </c>
      <c r="AO865" s="750">
        <f t="shared" ca="1" si="520"/>
        <v>0</v>
      </c>
      <c r="AP865" s="126">
        <f t="shared" ca="1" si="521"/>
        <v>0</v>
      </c>
      <c r="AQ865" s="126">
        <f t="shared" ca="1" si="522"/>
        <v>0</v>
      </c>
      <c r="AR865" s="126">
        <f t="shared" ca="1" si="502"/>
        <v>10000</v>
      </c>
      <c r="AS865" s="750">
        <f t="shared" ca="1" si="503"/>
        <v>0</v>
      </c>
      <c r="AT865" s="750">
        <f t="shared" ca="1" si="504"/>
        <v>0</v>
      </c>
      <c r="AU865" s="126">
        <f t="shared" ca="1" si="523"/>
        <v>0</v>
      </c>
      <c r="AV865" s="126">
        <f t="shared" ca="1" si="524"/>
        <v>0</v>
      </c>
      <c r="AW865" s="126">
        <f t="shared" ca="1" si="505"/>
        <v>10000</v>
      </c>
      <c r="AX865" s="750">
        <f t="shared" ca="1" si="525"/>
        <v>0</v>
      </c>
      <c r="AY865" s="750">
        <f t="shared" ca="1" si="526"/>
        <v>0</v>
      </c>
      <c r="AZ865">
        <f t="shared" si="527"/>
        <v>5750</v>
      </c>
    </row>
    <row r="866" spans="4:52">
      <c r="D866">
        <v>859</v>
      </c>
      <c r="E866" s="6">
        <f t="shared" ca="1" si="506"/>
        <v>26634</v>
      </c>
      <c r="F866" s="7">
        <f t="shared" ca="1" si="507"/>
        <v>0</v>
      </c>
      <c r="G866" s="125">
        <f ca="1">IF('Simulador - 1º Pilar'!$E$99="Sí",IF('Aportaciones PPE'!$B$13&lt;'Aportaciones PPE'!E866,0,F866*$B$8/12),F866*$B$8/12)</f>
        <v>0</v>
      </c>
      <c r="H866" s="125">
        <f t="shared" ca="1" si="496"/>
        <v>0</v>
      </c>
      <c r="I866" s="125">
        <f t="shared" ca="1" si="508"/>
        <v>0</v>
      </c>
      <c r="J866" s="125">
        <f t="shared" ca="1" si="509"/>
        <v>0</v>
      </c>
      <c r="K866" s="125">
        <f t="shared" ca="1" si="510"/>
        <v>0</v>
      </c>
      <c r="L866" s="125">
        <f t="shared" ca="1" si="528"/>
        <v>0</v>
      </c>
      <c r="M866" s="125">
        <f t="shared" ca="1" si="511"/>
        <v>0</v>
      </c>
      <c r="N866" s="125">
        <f t="shared" ca="1" si="512"/>
        <v>0</v>
      </c>
      <c r="R866">
        <f t="shared" si="529"/>
        <v>859</v>
      </c>
      <c r="U866" s="55"/>
      <c r="V866">
        <f t="shared" si="530"/>
        <v>8</v>
      </c>
      <c r="W866">
        <f t="shared" ca="1" si="531"/>
        <v>2095</v>
      </c>
      <c r="X866" s="123">
        <f t="shared" ca="1" si="513"/>
        <v>71437</v>
      </c>
      <c r="Y866" s="64">
        <f t="shared" ca="1" si="514"/>
        <v>0</v>
      </c>
      <c r="Z866" s="64">
        <f t="shared" ca="1" si="515"/>
        <v>0</v>
      </c>
      <c r="AA866" s="64">
        <f t="shared" ca="1" si="516"/>
        <v>0</v>
      </c>
      <c r="AB866" s="64">
        <f t="shared" ca="1" si="517"/>
        <v>0</v>
      </c>
      <c r="AF866" t="str">
        <f t="shared" ca="1" si="497"/>
        <v>121972</v>
      </c>
      <c r="AG866" s="126">
        <f t="shared" ca="1" si="498"/>
        <v>0</v>
      </c>
      <c r="AH866" s="126">
        <f t="shared" ca="1" si="499"/>
        <v>0</v>
      </c>
      <c r="AI866" s="126">
        <f t="shared" ca="1" si="500"/>
        <v>0</v>
      </c>
      <c r="AJ866" t="str">
        <f t="shared" ca="1" si="501"/>
        <v>82095</v>
      </c>
      <c r="AK866" s="126">
        <f t="shared" ca="1" si="518"/>
        <v>0</v>
      </c>
      <c r="AL866" s="126">
        <f t="shared" ca="1" si="519"/>
        <v>0</v>
      </c>
      <c r="AM866" s="126">
        <f t="shared" ca="1" si="532"/>
        <v>0</v>
      </c>
      <c r="AN866" s="753">
        <f t="shared" ca="1" si="533"/>
        <v>0</v>
      </c>
      <c r="AO866" s="750">
        <f t="shared" ca="1" si="520"/>
        <v>0</v>
      </c>
      <c r="AP866" s="126">
        <f t="shared" ca="1" si="521"/>
        <v>0</v>
      </c>
      <c r="AQ866" s="126">
        <f t="shared" ca="1" si="522"/>
        <v>0</v>
      </c>
      <c r="AR866" s="126">
        <f t="shared" ca="1" si="502"/>
        <v>10000</v>
      </c>
      <c r="AS866" s="750">
        <f t="shared" ca="1" si="503"/>
        <v>0</v>
      </c>
      <c r="AT866" s="750">
        <f t="shared" ca="1" si="504"/>
        <v>0</v>
      </c>
      <c r="AU866" s="126">
        <f t="shared" ca="1" si="523"/>
        <v>0</v>
      </c>
      <c r="AV866" s="126">
        <f t="shared" ca="1" si="524"/>
        <v>0</v>
      </c>
      <c r="AW866" s="126">
        <f t="shared" ca="1" si="505"/>
        <v>10000</v>
      </c>
      <c r="AX866" s="750">
        <f t="shared" ca="1" si="525"/>
        <v>0</v>
      </c>
      <c r="AY866" s="750">
        <f t="shared" ca="1" si="526"/>
        <v>0</v>
      </c>
      <c r="AZ866">
        <f t="shared" si="527"/>
        <v>5750</v>
      </c>
    </row>
    <row r="867" spans="4:52">
      <c r="D867">
        <v>860</v>
      </c>
      <c r="E867" s="6">
        <f t="shared" ca="1" si="506"/>
        <v>26604</v>
      </c>
      <c r="F867" s="7">
        <f t="shared" ca="1" si="507"/>
        <v>0</v>
      </c>
      <c r="G867" s="125">
        <f ca="1">IF('Simulador - 1º Pilar'!$E$99="Sí",IF('Aportaciones PPE'!$B$13&lt;'Aportaciones PPE'!E867,0,F867*$B$8/12),F867*$B$8/12)</f>
        <v>0</v>
      </c>
      <c r="H867" s="125">
        <f t="shared" ca="1" si="496"/>
        <v>0</v>
      </c>
      <c r="I867" s="125">
        <f t="shared" ca="1" si="508"/>
        <v>0</v>
      </c>
      <c r="J867" s="125">
        <f t="shared" ca="1" si="509"/>
        <v>0</v>
      </c>
      <c r="K867" s="125">
        <f t="shared" ca="1" si="510"/>
        <v>0</v>
      </c>
      <c r="L867" s="125">
        <f t="shared" ca="1" si="528"/>
        <v>0</v>
      </c>
      <c r="M867" s="125">
        <f t="shared" ca="1" si="511"/>
        <v>0</v>
      </c>
      <c r="N867" s="125">
        <f t="shared" ca="1" si="512"/>
        <v>0</v>
      </c>
      <c r="R867">
        <f t="shared" si="529"/>
        <v>860</v>
      </c>
      <c r="U867" s="55"/>
      <c r="V867">
        <f t="shared" si="530"/>
        <v>9</v>
      </c>
      <c r="W867">
        <f t="shared" ca="1" si="531"/>
        <v>2095</v>
      </c>
      <c r="X867" s="123">
        <f t="shared" ca="1" si="513"/>
        <v>71468</v>
      </c>
      <c r="Y867" s="64">
        <f t="shared" ca="1" si="514"/>
        <v>0</v>
      </c>
      <c r="Z867" s="64">
        <f t="shared" ca="1" si="515"/>
        <v>0</v>
      </c>
      <c r="AA867" s="64">
        <f t="shared" ca="1" si="516"/>
        <v>0</v>
      </c>
      <c r="AB867" s="64">
        <f t="shared" ca="1" si="517"/>
        <v>0</v>
      </c>
      <c r="AF867" t="str">
        <f t="shared" ca="1" si="497"/>
        <v>111972</v>
      </c>
      <c r="AG867" s="126">
        <f t="shared" ca="1" si="498"/>
        <v>0</v>
      </c>
      <c r="AH867" s="126">
        <f t="shared" ca="1" si="499"/>
        <v>0</v>
      </c>
      <c r="AI867" s="126">
        <f t="shared" ca="1" si="500"/>
        <v>0</v>
      </c>
      <c r="AJ867" t="str">
        <f t="shared" ca="1" si="501"/>
        <v>92095</v>
      </c>
      <c r="AK867" s="126">
        <f t="shared" ca="1" si="518"/>
        <v>0</v>
      </c>
      <c r="AL867" s="126">
        <f t="shared" ca="1" si="519"/>
        <v>0</v>
      </c>
      <c r="AM867" s="126">
        <f t="shared" ca="1" si="532"/>
        <v>0</v>
      </c>
      <c r="AN867" s="753">
        <f t="shared" ca="1" si="533"/>
        <v>0</v>
      </c>
      <c r="AO867" s="750">
        <f t="shared" ca="1" si="520"/>
        <v>0</v>
      </c>
      <c r="AP867" s="126">
        <f t="shared" ca="1" si="521"/>
        <v>0</v>
      </c>
      <c r="AQ867" s="126">
        <f t="shared" ca="1" si="522"/>
        <v>0</v>
      </c>
      <c r="AR867" s="126">
        <f t="shared" ca="1" si="502"/>
        <v>10000</v>
      </c>
      <c r="AS867" s="750">
        <f t="shared" ca="1" si="503"/>
        <v>0</v>
      </c>
      <c r="AT867" s="750">
        <f t="shared" ca="1" si="504"/>
        <v>0</v>
      </c>
      <c r="AU867" s="126">
        <f t="shared" ca="1" si="523"/>
        <v>0</v>
      </c>
      <c r="AV867" s="126">
        <f t="shared" ca="1" si="524"/>
        <v>0</v>
      </c>
      <c r="AW867" s="126">
        <f t="shared" ca="1" si="505"/>
        <v>10000</v>
      </c>
      <c r="AX867" s="750">
        <f t="shared" ca="1" si="525"/>
        <v>0</v>
      </c>
      <c r="AY867" s="750">
        <f t="shared" ca="1" si="526"/>
        <v>0</v>
      </c>
      <c r="AZ867">
        <f t="shared" si="527"/>
        <v>5750</v>
      </c>
    </row>
    <row r="868" spans="4:52">
      <c r="D868">
        <v>861</v>
      </c>
      <c r="E868" s="6">
        <f t="shared" ca="1" si="506"/>
        <v>26573</v>
      </c>
      <c r="F868" s="7">
        <f t="shared" ca="1" si="507"/>
        <v>0</v>
      </c>
      <c r="G868" s="125">
        <f ca="1">IF('Simulador - 1º Pilar'!$E$99="Sí",IF('Aportaciones PPE'!$B$13&lt;'Aportaciones PPE'!E868,0,F868*$B$8/12),F868*$B$8/12)</f>
        <v>0</v>
      </c>
      <c r="H868" s="125">
        <f t="shared" ca="1" si="496"/>
        <v>0</v>
      </c>
      <c r="I868" s="125">
        <f t="shared" ca="1" si="508"/>
        <v>0</v>
      </c>
      <c r="J868" s="125">
        <f t="shared" ca="1" si="509"/>
        <v>0</v>
      </c>
      <c r="K868" s="125">
        <f t="shared" ca="1" si="510"/>
        <v>0</v>
      </c>
      <c r="L868" s="125">
        <f t="shared" ca="1" si="528"/>
        <v>0</v>
      </c>
      <c r="M868" s="125">
        <f t="shared" ca="1" si="511"/>
        <v>0</v>
      </c>
      <c r="N868" s="125">
        <f t="shared" ca="1" si="512"/>
        <v>0</v>
      </c>
      <c r="R868">
        <f t="shared" si="529"/>
        <v>861</v>
      </c>
      <c r="U868" s="55"/>
      <c r="V868">
        <f t="shared" si="530"/>
        <v>10</v>
      </c>
      <c r="W868">
        <f t="shared" ca="1" si="531"/>
        <v>2095</v>
      </c>
      <c r="X868" s="123">
        <f t="shared" ca="1" si="513"/>
        <v>71498</v>
      </c>
      <c r="Y868" s="64">
        <f t="shared" ca="1" si="514"/>
        <v>0</v>
      </c>
      <c r="Z868" s="64">
        <f t="shared" ca="1" si="515"/>
        <v>0</v>
      </c>
      <c r="AA868" s="64">
        <f t="shared" ca="1" si="516"/>
        <v>0</v>
      </c>
      <c r="AB868" s="64">
        <f t="shared" ca="1" si="517"/>
        <v>0</v>
      </c>
      <c r="AF868" t="str">
        <f t="shared" ca="1" si="497"/>
        <v>101972</v>
      </c>
      <c r="AG868" s="126">
        <f t="shared" ca="1" si="498"/>
        <v>0</v>
      </c>
      <c r="AH868" s="126">
        <f t="shared" ca="1" si="499"/>
        <v>0</v>
      </c>
      <c r="AI868" s="126">
        <f t="shared" ca="1" si="500"/>
        <v>0</v>
      </c>
      <c r="AJ868" t="str">
        <f t="shared" ca="1" si="501"/>
        <v>102095</v>
      </c>
      <c r="AK868" s="126">
        <f t="shared" ca="1" si="518"/>
        <v>0</v>
      </c>
      <c r="AL868" s="126">
        <f t="shared" ca="1" si="519"/>
        <v>0</v>
      </c>
      <c r="AM868" s="126">
        <f t="shared" ca="1" si="532"/>
        <v>0</v>
      </c>
      <c r="AN868" s="753">
        <f t="shared" ca="1" si="533"/>
        <v>0</v>
      </c>
      <c r="AO868" s="750">
        <f t="shared" ca="1" si="520"/>
        <v>0</v>
      </c>
      <c r="AP868" s="126">
        <f t="shared" ca="1" si="521"/>
        <v>0</v>
      </c>
      <c r="AQ868" s="126">
        <f t="shared" ca="1" si="522"/>
        <v>0</v>
      </c>
      <c r="AR868" s="126">
        <f t="shared" ca="1" si="502"/>
        <v>10000</v>
      </c>
      <c r="AS868" s="750">
        <f t="shared" ca="1" si="503"/>
        <v>0</v>
      </c>
      <c r="AT868" s="750">
        <f t="shared" ca="1" si="504"/>
        <v>0</v>
      </c>
      <c r="AU868" s="126">
        <f t="shared" ca="1" si="523"/>
        <v>0</v>
      </c>
      <c r="AV868" s="126">
        <f t="shared" ca="1" si="524"/>
        <v>0</v>
      </c>
      <c r="AW868" s="126">
        <f t="shared" ca="1" si="505"/>
        <v>10000</v>
      </c>
      <c r="AX868" s="750">
        <f t="shared" ca="1" si="525"/>
        <v>0</v>
      </c>
      <c r="AY868" s="750">
        <f t="shared" ca="1" si="526"/>
        <v>0</v>
      </c>
      <c r="AZ868">
        <f t="shared" si="527"/>
        <v>5750</v>
      </c>
    </row>
    <row r="869" spans="4:52">
      <c r="D869">
        <v>862</v>
      </c>
      <c r="E869" s="6">
        <f t="shared" ca="1" si="506"/>
        <v>26543</v>
      </c>
      <c r="F869" s="7">
        <f t="shared" ca="1" si="507"/>
        <v>0</v>
      </c>
      <c r="G869" s="125">
        <f ca="1">IF('Simulador - 1º Pilar'!$E$99="Sí",IF('Aportaciones PPE'!$B$13&lt;'Aportaciones PPE'!E869,0,F869*$B$8/12),F869*$B$8/12)</f>
        <v>0</v>
      </c>
      <c r="H869" s="125">
        <f t="shared" ca="1" si="496"/>
        <v>0</v>
      </c>
      <c r="I869" s="125">
        <f t="shared" ca="1" si="508"/>
        <v>0</v>
      </c>
      <c r="J869" s="125">
        <f t="shared" ca="1" si="509"/>
        <v>0</v>
      </c>
      <c r="K869" s="125">
        <f t="shared" ca="1" si="510"/>
        <v>0</v>
      </c>
      <c r="L869" s="125">
        <f t="shared" ca="1" si="528"/>
        <v>0</v>
      </c>
      <c r="M869" s="125">
        <f t="shared" ca="1" si="511"/>
        <v>0</v>
      </c>
      <c r="N869" s="125">
        <f t="shared" ca="1" si="512"/>
        <v>0</v>
      </c>
      <c r="R869">
        <f t="shared" si="529"/>
        <v>862</v>
      </c>
      <c r="U869" s="55"/>
      <c r="V869">
        <f t="shared" si="530"/>
        <v>11</v>
      </c>
      <c r="W869">
        <f t="shared" ca="1" si="531"/>
        <v>2095</v>
      </c>
      <c r="X869" s="123">
        <f t="shared" ca="1" si="513"/>
        <v>71529</v>
      </c>
      <c r="Y869" s="64">
        <f t="shared" ca="1" si="514"/>
        <v>0</v>
      </c>
      <c r="Z869" s="64">
        <f t="shared" ca="1" si="515"/>
        <v>0</v>
      </c>
      <c r="AA869" s="64">
        <f t="shared" ca="1" si="516"/>
        <v>0</v>
      </c>
      <c r="AB869" s="64">
        <f t="shared" ca="1" si="517"/>
        <v>0</v>
      </c>
      <c r="AF869" t="str">
        <f t="shared" ca="1" si="497"/>
        <v>91972</v>
      </c>
      <c r="AG869" s="126">
        <f t="shared" ca="1" si="498"/>
        <v>0</v>
      </c>
      <c r="AH869" s="126">
        <f t="shared" ca="1" si="499"/>
        <v>0</v>
      </c>
      <c r="AI869" s="126">
        <f t="shared" ca="1" si="500"/>
        <v>0</v>
      </c>
      <c r="AJ869" t="str">
        <f t="shared" ca="1" si="501"/>
        <v>112095</v>
      </c>
      <c r="AK869" s="126">
        <f t="shared" ca="1" si="518"/>
        <v>0</v>
      </c>
      <c r="AL869" s="126">
        <f t="shared" ca="1" si="519"/>
        <v>0</v>
      </c>
      <c r="AM869" s="126">
        <f t="shared" ca="1" si="532"/>
        <v>0</v>
      </c>
      <c r="AN869" s="753">
        <f t="shared" ca="1" si="533"/>
        <v>0</v>
      </c>
      <c r="AO869" s="750">
        <f t="shared" ca="1" si="520"/>
        <v>0</v>
      </c>
      <c r="AP869" s="126">
        <f t="shared" ca="1" si="521"/>
        <v>0</v>
      </c>
      <c r="AQ869" s="126">
        <f t="shared" ca="1" si="522"/>
        <v>0</v>
      </c>
      <c r="AR869" s="126">
        <f t="shared" ca="1" si="502"/>
        <v>10000</v>
      </c>
      <c r="AS869" s="750">
        <f t="shared" ca="1" si="503"/>
        <v>0</v>
      </c>
      <c r="AT869" s="750">
        <f t="shared" ca="1" si="504"/>
        <v>0</v>
      </c>
      <c r="AU869" s="126">
        <f t="shared" ca="1" si="523"/>
        <v>0</v>
      </c>
      <c r="AV869" s="126">
        <f t="shared" ca="1" si="524"/>
        <v>0</v>
      </c>
      <c r="AW869" s="126">
        <f t="shared" ca="1" si="505"/>
        <v>10000</v>
      </c>
      <c r="AX869" s="750">
        <f t="shared" ca="1" si="525"/>
        <v>0</v>
      </c>
      <c r="AY869" s="750">
        <f t="shared" ca="1" si="526"/>
        <v>0</v>
      </c>
      <c r="AZ869">
        <f t="shared" si="527"/>
        <v>5750</v>
      </c>
    </row>
    <row r="870" spans="4:52">
      <c r="D870">
        <v>863</v>
      </c>
      <c r="E870" s="6">
        <f t="shared" ca="1" si="506"/>
        <v>26512</v>
      </c>
      <c r="F870" s="7">
        <f t="shared" ca="1" si="507"/>
        <v>0</v>
      </c>
      <c r="G870" s="125">
        <f ca="1">IF('Simulador - 1º Pilar'!$E$99="Sí",IF('Aportaciones PPE'!$B$13&lt;'Aportaciones PPE'!E870,0,F870*$B$8/12),F870*$B$8/12)</f>
        <v>0</v>
      </c>
      <c r="H870" s="125">
        <f t="shared" ca="1" si="496"/>
        <v>0</v>
      </c>
      <c r="I870" s="125">
        <f t="shared" ca="1" si="508"/>
        <v>0</v>
      </c>
      <c r="J870" s="125">
        <f t="shared" ca="1" si="509"/>
        <v>0</v>
      </c>
      <c r="K870" s="125">
        <f t="shared" ca="1" si="510"/>
        <v>0</v>
      </c>
      <c r="L870" s="125">
        <f t="shared" ca="1" si="528"/>
        <v>0</v>
      </c>
      <c r="M870" s="125">
        <f t="shared" ca="1" si="511"/>
        <v>0</v>
      </c>
      <c r="N870" s="125">
        <f t="shared" ca="1" si="512"/>
        <v>0</v>
      </c>
      <c r="R870">
        <f t="shared" si="529"/>
        <v>863</v>
      </c>
      <c r="U870" s="55"/>
      <c r="V870">
        <f t="shared" si="530"/>
        <v>12</v>
      </c>
      <c r="W870">
        <f t="shared" ca="1" si="531"/>
        <v>2095</v>
      </c>
      <c r="X870" s="123">
        <f t="shared" ca="1" si="513"/>
        <v>71559</v>
      </c>
      <c r="Y870" s="64">
        <f t="shared" ca="1" si="514"/>
        <v>0</v>
      </c>
      <c r="Z870" s="64">
        <f t="shared" ca="1" si="515"/>
        <v>0</v>
      </c>
      <c r="AA870" s="64">
        <f t="shared" ca="1" si="516"/>
        <v>0</v>
      </c>
      <c r="AB870" s="64">
        <f t="shared" ca="1" si="517"/>
        <v>0</v>
      </c>
      <c r="AF870" t="str">
        <f t="shared" ca="1" si="497"/>
        <v>81972</v>
      </c>
      <c r="AG870" s="126">
        <f t="shared" ca="1" si="498"/>
        <v>0</v>
      </c>
      <c r="AH870" s="126">
        <f t="shared" ca="1" si="499"/>
        <v>0</v>
      </c>
      <c r="AI870" s="126">
        <f t="shared" ca="1" si="500"/>
        <v>0</v>
      </c>
      <c r="AJ870" t="str">
        <f t="shared" ca="1" si="501"/>
        <v>122095</v>
      </c>
      <c r="AK870" s="126">
        <f t="shared" ca="1" si="518"/>
        <v>0</v>
      </c>
      <c r="AL870" s="126">
        <f t="shared" ca="1" si="519"/>
        <v>0</v>
      </c>
      <c r="AM870" s="126">
        <f t="shared" ca="1" si="532"/>
        <v>0</v>
      </c>
      <c r="AN870" s="753">
        <f t="shared" ca="1" si="533"/>
        <v>0</v>
      </c>
      <c r="AO870" s="750">
        <f t="shared" ca="1" si="520"/>
        <v>0</v>
      </c>
      <c r="AP870" s="126">
        <f t="shared" ca="1" si="521"/>
        <v>0</v>
      </c>
      <c r="AQ870" s="126">
        <f t="shared" ca="1" si="522"/>
        <v>0</v>
      </c>
      <c r="AR870" s="126">
        <f t="shared" ca="1" si="502"/>
        <v>10000</v>
      </c>
      <c r="AS870" s="750">
        <f t="shared" ca="1" si="503"/>
        <v>0</v>
      </c>
      <c r="AT870" s="750">
        <f t="shared" ca="1" si="504"/>
        <v>0</v>
      </c>
      <c r="AU870" s="126">
        <f t="shared" ca="1" si="523"/>
        <v>0</v>
      </c>
      <c r="AV870" s="126">
        <f t="shared" ca="1" si="524"/>
        <v>0</v>
      </c>
      <c r="AW870" s="126">
        <f t="shared" ca="1" si="505"/>
        <v>10000</v>
      </c>
      <c r="AX870" s="750">
        <f t="shared" ca="1" si="525"/>
        <v>0</v>
      </c>
      <c r="AY870" s="750">
        <f t="shared" ca="1" si="526"/>
        <v>0</v>
      </c>
      <c r="AZ870">
        <f t="shared" si="527"/>
        <v>5750</v>
      </c>
    </row>
    <row r="871" spans="4:52">
      <c r="D871">
        <v>864</v>
      </c>
      <c r="E871" s="6">
        <f t="shared" ca="1" si="506"/>
        <v>26481</v>
      </c>
      <c r="F871" s="7">
        <f t="shared" ca="1" si="507"/>
        <v>0</v>
      </c>
      <c r="G871" s="125">
        <f ca="1">IF('Simulador - 1º Pilar'!$E$99="Sí",IF('Aportaciones PPE'!$B$13&lt;'Aportaciones PPE'!E871,0,F871*$B$8/12),F871*$B$8/12)</f>
        <v>0</v>
      </c>
      <c r="H871" s="125">
        <f t="shared" ca="1" si="496"/>
        <v>0</v>
      </c>
      <c r="I871" s="125">
        <f t="shared" ca="1" si="508"/>
        <v>0</v>
      </c>
      <c r="J871" s="125">
        <f t="shared" ca="1" si="509"/>
        <v>0</v>
      </c>
      <c r="K871" s="125">
        <f t="shared" ca="1" si="510"/>
        <v>0</v>
      </c>
      <c r="L871" s="125">
        <f t="shared" ca="1" si="528"/>
        <v>0</v>
      </c>
      <c r="M871" s="125">
        <f t="shared" ca="1" si="511"/>
        <v>0</v>
      </c>
      <c r="N871" s="125">
        <f t="shared" ca="1" si="512"/>
        <v>0</v>
      </c>
      <c r="R871">
        <f t="shared" si="529"/>
        <v>864</v>
      </c>
      <c r="U871" s="55"/>
      <c r="V871">
        <f t="shared" si="530"/>
        <v>1</v>
      </c>
      <c r="W871">
        <f t="shared" ca="1" si="531"/>
        <v>2096</v>
      </c>
      <c r="X871" s="123">
        <f t="shared" ca="1" si="513"/>
        <v>71590</v>
      </c>
      <c r="Y871" s="64">
        <f t="shared" ca="1" si="514"/>
        <v>0</v>
      </c>
      <c r="Z871" s="64">
        <f t="shared" ca="1" si="515"/>
        <v>0</v>
      </c>
      <c r="AA871" s="64">
        <f t="shared" ca="1" si="516"/>
        <v>0</v>
      </c>
      <c r="AB871" s="64">
        <f t="shared" ca="1" si="517"/>
        <v>0</v>
      </c>
      <c r="AF871" t="str">
        <f t="shared" ca="1" si="497"/>
        <v>71972</v>
      </c>
      <c r="AG871" s="126">
        <f t="shared" ca="1" si="498"/>
        <v>0</v>
      </c>
      <c r="AH871" s="126">
        <f t="shared" ca="1" si="499"/>
        <v>0</v>
      </c>
      <c r="AI871" s="126">
        <f t="shared" ca="1" si="500"/>
        <v>0</v>
      </c>
      <c r="AJ871" t="str">
        <f t="shared" ca="1" si="501"/>
        <v>12096</v>
      </c>
      <c r="AK871" s="126">
        <f t="shared" ca="1" si="518"/>
        <v>0</v>
      </c>
      <c r="AL871" s="126">
        <f t="shared" ca="1" si="519"/>
        <v>0</v>
      </c>
      <c r="AM871" s="126">
        <f t="shared" ca="1" si="532"/>
        <v>0</v>
      </c>
      <c r="AN871" s="753">
        <f t="shared" ca="1" si="533"/>
        <v>0</v>
      </c>
      <c r="AO871" s="750">
        <f t="shared" ca="1" si="520"/>
        <v>0</v>
      </c>
      <c r="AP871" s="126">
        <f t="shared" ca="1" si="521"/>
        <v>0</v>
      </c>
      <c r="AQ871" s="126">
        <f t="shared" ca="1" si="522"/>
        <v>0</v>
      </c>
      <c r="AR871" s="126">
        <f t="shared" ca="1" si="502"/>
        <v>10000</v>
      </c>
      <c r="AS871" s="750">
        <f t="shared" ca="1" si="503"/>
        <v>0</v>
      </c>
      <c r="AT871" s="750">
        <f t="shared" ca="1" si="504"/>
        <v>0</v>
      </c>
      <c r="AU871" s="126">
        <f t="shared" ca="1" si="523"/>
        <v>0</v>
      </c>
      <c r="AV871" s="126">
        <f t="shared" ca="1" si="524"/>
        <v>0</v>
      </c>
      <c r="AW871" s="126">
        <f t="shared" ca="1" si="505"/>
        <v>10000</v>
      </c>
      <c r="AX871" s="750">
        <f t="shared" ca="1" si="525"/>
        <v>0</v>
      </c>
      <c r="AY871" s="750">
        <f t="shared" ca="1" si="526"/>
        <v>0</v>
      </c>
      <c r="AZ871">
        <f t="shared" si="527"/>
        <v>5750</v>
      </c>
    </row>
    <row r="872" spans="4:52">
      <c r="D872">
        <v>865</v>
      </c>
      <c r="E872" s="6">
        <f t="shared" ca="1" si="506"/>
        <v>26451</v>
      </c>
      <c r="F872" s="7">
        <f t="shared" ca="1" si="507"/>
        <v>0</v>
      </c>
      <c r="G872" s="125">
        <f ca="1">IF('Simulador - 1º Pilar'!$E$99="Sí",IF('Aportaciones PPE'!$B$13&lt;'Aportaciones PPE'!E872,0,F872*$B$8/12),F872*$B$8/12)</f>
        <v>0</v>
      </c>
      <c r="H872" s="125">
        <f t="shared" ca="1" si="496"/>
        <v>0</v>
      </c>
      <c r="I872" s="125">
        <f t="shared" ca="1" si="508"/>
        <v>0</v>
      </c>
      <c r="J872" s="125">
        <f t="shared" ca="1" si="509"/>
        <v>0</v>
      </c>
      <c r="K872" s="125">
        <f t="shared" ca="1" si="510"/>
        <v>0</v>
      </c>
      <c r="L872" s="125">
        <f t="shared" ca="1" si="528"/>
        <v>0</v>
      </c>
      <c r="M872" s="125">
        <f t="shared" ca="1" si="511"/>
        <v>0</v>
      </c>
      <c r="N872" s="125">
        <f t="shared" ca="1" si="512"/>
        <v>0</v>
      </c>
      <c r="R872">
        <f t="shared" si="529"/>
        <v>865</v>
      </c>
      <c r="U872" s="55"/>
      <c r="V872">
        <f t="shared" si="530"/>
        <v>2</v>
      </c>
      <c r="W872">
        <f t="shared" ca="1" si="531"/>
        <v>2096</v>
      </c>
      <c r="X872" s="123">
        <f t="shared" ca="1" si="513"/>
        <v>71621</v>
      </c>
      <c r="Y872" s="64">
        <f t="shared" ca="1" si="514"/>
        <v>0</v>
      </c>
      <c r="Z872" s="64">
        <f t="shared" ca="1" si="515"/>
        <v>0</v>
      </c>
      <c r="AA872" s="64">
        <f t="shared" ca="1" si="516"/>
        <v>0</v>
      </c>
      <c r="AB872" s="64">
        <f t="shared" ca="1" si="517"/>
        <v>0</v>
      </c>
      <c r="AF872" t="str">
        <f t="shared" ca="1" si="497"/>
        <v>61972</v>
      </c>
      <c r="AG872" s="126">
        <f t="shared" ca="1" si="498"/>
        <v>0</v>
      </c>
      <c r="AH872" s="126">
        <f t="shared" ca="1" si="499"/>
        <v>0</v>
      </c>
      <c r="AI872" s="126">
        <f t="shared" ca="1" si="500"/>
        <v>0</v>
      </c>
      <c r="AJ872" t="str">
        <f t="shared" ca="1" si="501"/>
        <v>22096</v>
      </c>
      <c r="AK872" s="126">
        <f t="shared" ca="1" si="518"/>
        <v>0</v>
      </c>
      <c r="AL872" s="126">
        <f t="shared" ca="1" si="519"/>
        <v>0</v>
      </c>
      <c r="AM872" s="126">
        <f t="shared" ca="1" si="532"/>
        <v>0</v>
      </c>
      <c r="AN872" s="753">
        <f t="shared" ca="1" si="533"/>
        <v>0</v>
      </c>
      <c r="AO872" s="750">
        <f t="shared" ca="1" si="520"/>
        <v>0</v>
      </c>
      <c r="AP872" s="126">
        <f t="shared" ca="1" si="521"/>
        <v>0</v>
      </c>
      <c r="AQ872" s="126">
        <f t="shared" ca="1" si="522"/>
        <v>0</v>
      </c>
      <c r="AR872" s="126">
        <f t="shared" ca="1" si="502"/>
        <v>10000</v>
      </c>
      <c r="AS872" s="750">
        <f t="shared" ca="1" si="503"/>
        <v>0</v>
      </c>
      <c r="AT872" s="750">
        <f t="shared" ca="1" si="504"/>
        <v>0</v>
      </c>
      <c r="AU872" s="126">
        <f t="shared" ca="1" si="523"/>
        <v>0</v>
      </c>
      <c r="AV872" s="126">
        <f t="shared" ca="1" si="524"/>
        <v>0</v>
      </c>
      <c r="AW872" s="126">
        <f t="shared" ca="1" si="505"/>
        <v>10000</v>
      </c>
      <c r="AX872" s="750">
        <f t="shared" ca="1" si="525"/>
        <v>0</v>
      </c>
      <c r="AY872" s="750">
        <f t="shared" ca="1" si="526"/>
        <v>0</v>
      </c>
      <c r="AZ872">
        <f t="shared" si="527"/>
        <v>5750</v>
      </c>
    </row>
    <row r="873" spans="4:52">
      <c r="D873">
        <v>866</v>
      </c>
      <c r="E873" s="6">
        <f t="shared" ca="1" si="506"/>
        <v>26420</v>
      </c>
      <c r="F873" s="7">
        <f t="shared" ca="1" si="507"/>
        <v>0</v>
      </c>
      <c r="G873" s="125">
        <f ca="1">IF('Simulador - 1º Pilar'!$E$99="Sí",IF('Aportaciones PPE'!$B$13&lt;'Aportaciones PPE'!E873,0,F873*$B$8/12),F873*$B$8/12)</f>
        <v>0</v>
      </c>
      <c r="H873" s="125">
        <f t="shared" ca="1" si="496"/>
        <v>0</v>
      </c>
      <c r="I873" s="125">
        <f t="shared" ca="1" si="508"/>
        <v>0</v>
      </c>
      <c r="J873" s="125">
        <f t="shared" ca="1" si="509"/>
        <v>0</v>
      </c>
      <c r="K873" s="125">
        <f t="shared" ca="1" si="510"/>
        <v>0</v>
      </c>
      <c r="L873" s="125">
        <f t="shared" ca="1" si="528"/>
        <v>0</v>
      </c>
      <c r="M873" s="125">
        <f t="shared" ca="1" si="511"/>
        <v>0</v>
      </c>
      <c r="N873" s="125">
        <f t="shared" ca="1" si="512"/>
        <v>0</v>
      </c>
      <c r="R873">
        <f t="shared" si="529"/>
        <v>866</v>
      </c>
      <c r="U873" s="55"/>
      <c r="V873">
        <f t="shared" si="530"/>
        <v>3</v>
      </c>
      <c r="W873">
        <f t="shared" ca="1" si="531"/>
        <v>2096</v>
      </c>
      <c r="X873" s="123">
        <f t="shared" ca="1" si="513"/>
        <v>71650</v>
      </c>
      <c r="Y873" s="64">
        <f t="shared" ca="1" si="514"/>
        <v>0</v>
      </c>
      <c r="Z873" s="64">
        <f t="shared" ca="1" si="515"/>
        <v>0</v>
      </c>
      <c r="AA873" s="64">
        <f t="shared" ca="1" si="516"/>
        <v>0</v>
      </c>
      <c r="AB873" s="64">
        <f t="shared" ca="1" si="517"/>
        <v>0</v>
      </c>
      <c r="AF873" t="str">
        <f t="shared" ca="1" si="497"/>
        <v>51972</v>
      </c>
      <c r="AG873" s="126">
        <f t="shared" ca="1" si="498"/>
        <v>0</v>
      </c>
      <c r="AH873" s="126">
        <f t="shared" ca="1" si="499"/>
        <v>0</v>
      </c>
      <c r="AI873" s="126">
        <f t="shared" ca="1" si="500"/>
        <v>0</v>
      </c>
      <c r="AJ873" t="str">
        <f t="shared" ca="1" si="501"/>
        <v>32096</v>
      </c>
      <c r="AK873" s="126">
        <f t="shared" ca="1" si="518"/>
        <v>0</v>
      </c>
      <c r="AL873" s="126">
        <f t="shared" ca="1" si="519"/>
        <v>0</v>
      </c>
      <c r="AM873" s="126">
        <f t="shared" ca="1" si="532"/>
        <v>0</v>
      </c>
      <c r="AN873" s="753">
        <f t="shared" ca="1" si="533"/>
        <v>0</v>
      </c>
      <c r="AO873" s="750">
        <f t="shared" ca="1" si="520"/>
        <v>0</v>
      </c>
      <c r="AP873" s="126">
        <f t="shared" ca="1" si="521"/>
        <v>0</v>
      </c>
      <c r="AQ873" s="126">
        <f t="shared" ca="1" si="522"/>
        <v>0</v>
      </c>
      <c r="AR873" s="126">
        <f t="shared" ca="1" si="502"/>
        <v>10000</v>
      </c>
      <c r="AS873" s="750">
        <f t="shared" ca="1" si="503"/>
        <v>0</v>
      </c>
      <c r="AT873" s="750">
        <f t="shared" ca="1" si="504"/>
        <v>0</v>
      </c>
      <c r="AU873" s="126">
        <f t="shared" ca="1" si="523"/>
        <v>0</v>
      </c>
      <c r="AV873" s="126">
        <f t="shared" ca="1" si="524"/>
        <v>0</v>
      </c>
      <c r="AW873" s="126">
        <f t="shared" ca="1" si="505"/>
        <v>10000</v>
      </c>
      <c r="AX873" s="750">
        <f t="shared" ca="1" si="525"/>
        <v>0</v>
      </c>
      <c r="AY873" s="750">
        <f t="shared" ca="1" si="526"/>
        <v>0</v>
      </c>
      <c r="AZ873">
        <f t="shared" si="527"/>
        <v>5750</v>
      </c>
    </row>
    <row r="874" spans="4:52">
      <c r="D874">
        <v>867</v>
      </c>
      <c r="E874" s="6">
        <f t="shared" ca="1" si="506"/>
        <v>26390</v>
      </c>
      <c r="F874" s="7">
        <f t="shared" ca="1" si="507"/>
        <v>0</v>
      </c>
      <c r="G874" s="125">
        <f ca="1">IF('Simulador - 1º Pilar'!$E$99="Sí",IF('Aportaciones PPE'!$B$13&lt;'Aportaciones PPE'!E874,0,F874*$B$8/12),F874*$B$8/12)</f>
        <v>0</v>
      </c>
      <c r="H874" s="125">
        <f t="shared" ca="1" si="496"/>
        <v>0</v>
      </c>
      <c r="I874" s="125">
        <f t="shared" ca="1" si="508"/>
        <v>0</v>
      </c>
      <c r="J874" s="125">
        <f t="shared" ca="1" si="509"/>
        <v>0</v>
      </c>
      <c r="K874" s="125">
        <f t="shared" ca="1" si="510"/>
        <v>0</v>
      </c>
      <c r="L874" s="125">
        <f t="shared" ca="1" si="528"/>
        <v>0</v>
      </c>
      <c r="M874" s="125">
        <f t="shared" ca="1" si="511"/>
        <v>0</v>
      </c>
      <c r="N874" s="125">
        <f t="shared" ca="1" si="512"/>
        <v>0</v>
      </c>
      <c r="R874">
        <f t="shared" si="529"/>
        <v>867</v>
      </c>
      <c r="U874" s="55"/>
      <c r="V874">
        <f t="shared" si="530"/>
        <v>4</v>
      </c>
      <c r="W874">
        <f t="shared" ca="1" si="531"/>
        <v>2096</v>
      </c>
      <c r="X874" s="123">
        <f t="shared" ca="1" si="513"/>
        <v>71681</v>
      </c>
      <c r="Y874" s="64">
        <f t="shared" ca="1" si="514"/>
        <v>0</v>
      </c>
      <c r="Z874" s="64">
        <f t="shared" ca="1" si="515"/>
        <v>0</v>
      </c>
      <c r="AA874" s="64">
        <f t="shared" ca="1" si="516"/>
        <v>0</v>
      </c>
      <c r="AB874" s="64">
        <f t="shared" ca="1" si="517"/>
        <v>0</v>
      </c>
      <c r="AF874" t="str">
        <f t="shared" ca="1" si="497"/>
        <v>41972</v>
      </c>
      <c r="AG874" s="126">
        <f t="shared" ca="1" si="498"/>
        <v>0</v>
      </c>
      <c r="AH874" s="126">
        <f t="shared" ca="1" si="499"/>
        <v>0</v>
      </c>
      <c r="AI874" s="126">
        <f t="shared" ca="1" si="500"/>
        <v>0</v>
      </c>
      <c r="AJ874" t="str">
        <f t="shared" ca="1" si="501"/>
        <v>42096</v>
      </c>
      <c r="AK874" s="126">
        <f t="shared" ca="1" si="518"/>
        <v>0</v>
      </c>
      <c r="AL874" s="126">
        <f t="shared" ca="1" si="519"/>
        <v>0</v>
      </c>
      <c r="AM874" s="126">
        <f t="shared" ca="1" si="532"/>
        <v>0</v>
      </c>
      <c r="AN874" s="753">
        <f t="shared" ca="1" si="533"/>
        <v>0</v>
      </c>
      <c r="AO874" s="750">
        <f t="shared" ca="1" si="520"/>
        <v>0</v>
      </c>
      <c r="AP874" s="126">
        <f t="shared" ca="1" si="521"/>
        <v>0</v>
      </c>
      <c r="AQ874" s="126">
        <f t="shared" ca="1" si="522"/>
        <v>0</v>
      </c>
      <c r="AR874" s="126">
        <f t="shared" ca="1" si="502"/>
        <v>10000</v>
      </c>
      <c r="AS874" s="750">
        <f t="shared" ca="1" si="503"/>
        <v>0</v>
      </c>
      <c r="AT874" s="750">
        <f t="shared" ca="1" si="504"/>
        <v>0</v>
      </c>
      <c r="AU874" s="126">
        <f t="shared" ca="1" si="523"/>
        <v>0</v>
      </c>
      <c r="AV874" s="126">
        <f t="shared" ca="1" si="524"/>
        <v>0</v>
      </c>
      <c r="AW874" s="126">
        <f t="shared" ca="1" si="505"/>
        <v>10000</v>
      </c>
      <c r="AX874" s="750">
        <f t="shared" ca="1" si="525"/>
        <v>0</v>
      </c>
      <c r="AY874" s="750">
        <f t="shared" ca="1" si="526"/>
        <v>0</v>
      </c>
      <c r="AZ874">
        <f t="shared" si="527"/>
        <v>5750</v>
      </c>
    </row>
    <row r="875" spans="4:52">
      <c r="D875">
        <v>868</v>
      </c>
      <c r="E875" s="6">
        <f t="shared" ca="1" si="506"/>
        <v>26359</v>
      </c>
      <c r="F875" s="7">
        <f t="shared" ca="1" si="507"/>
        <v>0</v>
      </c>
      <c r="G875" s="125">
        <f ca="1">IF('Simulador - 1º Pilar'!$E$99="Sí",IF('Aportaciones PPE'!$B$13&lt;'Aportaciones PPE'!E875,0,F875*$B$8/12),F875*$B$8/12)</f>
        <v>0</v>
      </c>
      <c r="H875" s="125">
        <f t="shared" ca="1" si="496"/>
        <v>0</v>
      </c>
      <c r="I875" s="125">
        <f t="shared" ca="1" si="508"/>
        <v>0</v>
      </c>
      <c r="J875" s="125">
        <f t="shared" ca="1" si="509"/>
        <v>0</v>
      </c>
      <c r="K875" s="125">
        <f t="shared" ca="1" si="510"/>
        <v>0</v>
      </c>
      <c r="L875" s="125">
        <f t="shared" ca="1" si="528"/>
        <v>0</v>
      </c>
      <c r="M875" s="125">
        <f t="shared" ca="1" si="511"/>
        <v>0</v>
      </c>
      <c r="N875" s="125">
        <f t="shared" ca="1" si="512"/>
        <v>0</v>
      </c>
      <c r="R875">
        <f t="shared" si="529"/>
        <v>868</v>
      </c>
      <c r="U875" s="55"/>
      <c r="V875">
        <f t="shared" si="530"/>
        <v>5</v>
      </c>
      <c r="W875">
        <f t="shared" ca="1" si="531"/>
        <v>2096</v>
      </c>
      <c r="X875" s="123">
        <f t="shared" ca="1" si="513"/>
        <v>71711</v>
      </c>
      <c r="Y875" s="64">
        <f t="shared" ca="1" si="514"/>
        <v>0</v>
      </c>
      <c r="Z875" s="64">
        <f t="shared" ca="1" si="515"/>
        <v>0</v>
      </c>
      <c r="AA875" s="64">
        <f t="shared" ca="1" si="516"/>
        <v>0</v>
      </c>
      <c r="AB875" s="64">
        <f t="shared" ca="1" si="517"/>
        <v>0</v>
      </c>
      <c r="AF875" t="str">
        <f t="shared" ca="1" si="497"/>
        <v>31972</v>
      </c>
      <c r="AG875" s="126">
        <f t="shared" ca="1" si="498"/>
        <v>0</v>
      </c>
      <c r="AH875" s="126">
        <f t="shared" ca="1" si="499"/>
        <v>0</v>
      </c>
      <c r="AI875" s="126">
        <f t="shared" ca="1" si="500"/>
        <v>0</v>
      </c>
      <c r="AJ875" t="str">
        <f t="shared" ca="1" si="501"/>
        <v>52096</v>
      </c>
      <c r="AK875" s="126">
        <f t="shared" ca="1" si="518"/>
        <v>0</v>
      </c>
      <c r="AL875" s="126">
        <f t="shared" ca="1" si="519"/>
        <v>0</v>
      </c>
      <c r="AM875" s="126">
        <f t="shared" ca="1" si="532"/>
        <v>0</v>
      </c>
      <c r="AN875" s="753">
        <f t="shared" ca="1" si="533"/>
        <v>0</v>
      </c>
      <c r="AO875" s="750">
        <f t="shared" ca="1" si="520"/>
        <v>0</v>
      </c>
      <c r="AP875" s="126">
        <f t="shared" ca="1" si="521"/>
        <v>0</v>
      </c>
      <c r="AQ875" s="126">
        <f t="shared" ca="1" si="522"/>
        <v>0</v>
      </c>
      <c r="AR875" s="126">
        <f t="shared" ca="1" si="502"/>
        <v>10000</v>
      </c>
      <c r="AS875" s="750">
        <f t="shared" ca="1" si="503"/>
        <v>0</v>
      </c>
      <c r="AT875" s="750">
        <f t="shared" ca="1" si="504"/>
        <v>0</v>
      </c>
      <c r="AU875" s="126">
        <f t="shared" ca="1" si="523"/>
        <v>0</v>
      </c>
      <c r="AV875" s="126">
        <f t="shared" ca="1" si="524"/>
        <v>0</v>
      </c>
      <c r="AW875" s="126">
        <f t="shared" ca="1" si="505"/>
        <v>10000</v>
      </c>
      <c r="AX875" s="750">
        <f t="shared" ca="1" si="525"/>
        <v>0</v>
      </c>
      <c r="AY875" s="750">
        <f t="shared" ca="1" si="526"/>
        <v>0</v>
      </c>
      <c r="AZ875">
        <f t="shared" si="527"/>
        <v>5750</v>
      </c>
    </row>
    <row r="876" spans="4:52">
      <c r="D876">
        <v>869</v>
      </c>
      <c r="E876" s="6">
        <f t="shared" ca="1" si="506"/>
        <v>26330</v>
      </c>
      <c r="F876" s="7">
        <f t="shared" ca="1" si="507"/>
        <v>0</v>
      </c>
      <c r="G876" s="125">
        <f ca="1">IF('Simulador - 1º Pilar'!$E$99="Sí",IF('Aportaciones PPE'!$B$13&lt;'Aportaciones PPE'!E876,0,F876*$B$8/12),F876*$B$8/12)</f>
        <v>0</v>
      </c>
      <c r="H876" s="125">
        <f t="shared" ca="1" si="496"/>
        <v>0</v>
      </c>
      <c r="I876" s="125">
        <f t="shared" ca="1" si="508"/>
        <v>0</v>
      </c>
      <c r="J876" s="125">
        <f t="shared" ca="1" si="509"/>
        <v>0</v>
      </c>
      <c r="K876" s="125">
        <f t="shared" ca="1" si="510"/>
        <v>0</v>
      </c>
      <c r="L876" s="125">
        <f t="shared" ca="1" si="528"/>
        <v>0</v>
      </c>
      <c r="M876" s="125">
        <f t="shared" ca="1" si="511"/>
        <v>0</v>
      </c>
      <c r="N876" s="125">
        <f t="shared" ca="1" si="512"/>
        <v>0</v>
      </c>
      <c r="R876">
        <f t="shared" si="529"/>
        <v>869</v>
      </c>
      <c r="U876" s="55"/>
      <c r="V876">
        <f t="shared" si="530"/>
        <v>6</v>
      </c>
      <c r="W876">
        <f t="shared" ca="1" si="531"/>
        <v>2096</v>
      </c>
      <c r="X876" s="123">
        <f t="shared" ca="1" si="513"/>
        <v>71742</v>
      </c>
      <c r="Y876" s="64">
        <f t="shared" ca="1" si="514"/>
        <v>0</v>
      </c>
      <c r="Z876" s="64">
        <f t="shared" ca="1" si="515"/>
        <v>0</v>
      </c>
      <c r="AA876" s="64">
        <f t="shared" ca="1" si="516"/>
        <v>0</v>
      </c>
      <c r="AB876" s="64">
        <f t="shared" ca="1" si="517"/>
        <v>0</v>
      </c>
      <c r="AF876" t="str">
        <f t="shared" ca="1" si="497"/>
        <v>21972</v>
      </c>
      <c r="AG876" s="126">
        <f t="shared" ca="1" si="498"/>
        <v>0</v>
      </c>
      <c r="AH876" s="126">
        <f t="shared" ca="1" si="499"/>
        <v>0</v>
      </c>
      <c r="AI876" s="126">
        <f t="shared" ca="1" si="500"/>
        <v>0</v>
      </c>
      <c r="AJ876" t="str">
        <f t="shared" ca="1" si="501"/>
        <v>62096</v>
      </c>
      <c r="AK876" s="126">
        <f t="shared" ca="1" si="518"/>
        <v>0</v>
      </c>
      <c r="AL876" s="126">
        <f t="shared" ca="1" si="519"/>
        <v>0</v>
      </c>
      <c r="AM876" s="126">
        <f t="shared" ca="1" si="532"/>
        <v>0</v>
      </c>
      <c r="AN876" s="753">
        <f t="shared" ca="1" si="533"/>
        <v>0</v>
      </c>
      <c r="AO876" s="750">
        <f t="shared" ca="1" si="520"/>
        <v>0</v>
      </c>
      <c r="AP876" s="126">
        <f t="shared" ca="1" si="521"/>
        <v>0</v>
      </c>
      <c r="AQ876" s="126">
        <f t="shared" ca="1" si="522"/>
        <v>0</v>
      </c>
      <c r="AR876" s="126">
        <f t="shared" ca="1" si="502"/>
        <v>10000</v>
      </c>
      <c r="AS876" s="750">
        <f t="shared" ca="1" si="503"/>
        <v>0</v>
      </c>
      <c r="AT876" s="750">
        <f t="shared" ca="1" si="504"/>
        <v>0</v>
      </c>
      <c r="AU876" s="126">
        <f t="shared" ca="1" si="523"/>
        <v>0</v>
      </c>
      <c r="AV876" s="126">
        <f t="shared" ca="1" si="524"/>
        <v>0</v>
      </c>
      <c r="AW876" s="126">
        <f t="shared" ca="1" si="505"/>
        <v>10000</v>
      </c>
      <c r="AX876" s="750">
        <f t="shared" ca="1" si="525"/>
        <v>0</v>
      </c>
      <c r="AY876" s="750">
        <f t="shared" ca="1" si="526"/>
        <v>0</v>
      </c>
      <c r="AZ876">
        <f t="shared" si="527"/>
        <v>5750</v>
      </c>
    </row>
    <row r="877" spans="4:52">
      <c r="D877">
        <v>870</v>
      </c>
      <c r="E877" s="6">
        <f t="shared" ca="1" si="506"/>
        <v>26299</v>
      </c>
      <c r="F877" s="7">
        <f t="shared" ca="1" si="507"/>
        <v>0</v>
      </c>
      <c r="G877" s="125">
        <f ca="1">IF('Simulador - 1º Pilar'!$E$99="Sí",IF('Aportaciones PPE'!$B$13&lt;'Aportaciones PPE'!E877,0,F877*$B$8/12),F877*$B$8/12)</f>
        <v>0</v>
      </c>
      <c r="H877" s="125">
        <f t="shared" ca="1" si="496"/>
        <v>0</v>
      </c>
      <c r="I877" s="125">
        <f t="shared" ca="1" si="508"/>
        <v>0</v>
      </c>
      <c r="J877" s="125">
        <f t="shared" ca="1" si="509"/>
        <v>0</v>
      </c>
      <c r="K877" s="125">
        <f t="shared" ca="1" si="510"/>
        <v>0</v>
      </c>
      <c r="L877" s="125">
        <f t="shared" ca="1" si="528"/>
        <v>0</v>
      </c>
      <c r="M877" s="125">
        <f t="shared" ca="1" si="511"/>
        <v>0</v>
      </c>
      <c r="N877" s="125">
        <f t="shared" ca="1" si="512"/>
        <v>0</v>
      </c>
      <c r="R877">
        <f t="shared" si="529"/>
        <v>870</v>
      </c>
      <c r="U877" s="55"/>
      <c r="V877">
        <f t="shared" si="530"/>
        <v>7</v>
      </c>
      <c r="W877">
        <f t="shared" ca="1" si="531"/>
        <v>2096</v>
      </c>
      <c r="X877" s="123">
        <f t="shared" ca="1" si="513"/>
        <v>71772</v>
      </c>
      <c r="Y877" s="64">
        <f t="shared" ca="1" si="514"/>
        <v>0</v>
      </c>
      <c r="Z877" s="64">
        <f t="shared" ca="1" si="515"/>
        <v>0</v>
      </c>
      <c r="AA877" s="64">
        <f t="shared" ca="1" si="516"/>
        <v>0</v>
      </c>
      <c r="AB877" s="64">
        <f t="shared" ca="1" si="517"/>
        <v>0</v>
      </c>
      <c r="AF877" t="str">
        <f t="shared" ca="1" si="497"/>
        <v>11972</v>
      </c>
      <c r="AG877" s="126">
        <f t="shared" ca="1" si="498"/>
        <v>0</v>
      </c>
      <c r="AH877" s="126">
        <f t="shared" ca="1" si="499"/>
        <v>0</v>
      </c>
      <c r="AI877" s="126">
        <f t="shared" ca="1" si="500"/>
        <v>0</v>
      </c>
      <c r="AJ877" t="str">
        <f t="shared" ca="1" si="501"/>
        <v>72096</v>
      </c>
      <c r="AK877" s="126">
        <f t="shared" ca="1" si="518"/>
        <v>0</v>
      </c>
      <c r="AL877" s="126">
        <f t="shared" ca="1" si="519"/>
        <v>0</v>
      </c>
      <c r="AM877" s="126">
        <f t="shared" ca="1" si="532"/>
        <v>0</v>
      </c>
      <c r="AN877" s="753">
        <f t="shared" ca="1" si="533"/>
        <v>0</v>
      </c>
      <c r="AO877" s="750">
        <f t="shared" ca="1" si="520"/>
        <v>0</v>
      </c>
      <c r="AP877" s="126">
        <f t="shared" ca="1" si="521"/>
        <v>0</v>
      </c>
      <c r="AQ877" s="126">
        <f t="shared" ca="1" si="522"/>
        <v>0</v>
      </c>
      <c r="AR877" s="126">
        <f t="shared" ca="1" si="502"/>
        <v>10000</v>
      </c>
      <c r="AS877" s="750">
        <f t="shared" ca="1" si="503"/>
        <v>0</v>
      </c>
      <c r="AT877" s="750">
        <f t="shared" ca="1" si="504"/>
        <v>0</v>
      </c>
      <c r="AU877" s="126">
        <f t="shared" ca="1" si="523"/>
        <v>0</v>
      </c>
      <c r="AV877" s="126">
        <f t="shared" ca="1" si="524"/>
        <v>0</v>
      </c>
      <c r="AW877" s="126">
        <f t="shared" ca="1" si="505"/>
        <v>10000</v>
      </c>
      <c r="AX877" s="750">
        <f t="shared" ca="1" si="525"/>
        <v>0</v>
      </c>
      <c r="AY877" s="750">
        <f t="shared" ca="1" si="526"/>
        <v>0</v>
      </c>
      <c r="AZ877">
        <f t="shared" si="527"/>
        <v>5750</v>
      </c>
    </row>
    <row r="878" spans="4:52">
      <c r="D878">
        <v>871</v>
      </c>
      <c r="E878" s="6">
        <f t="shared" ca="1" si="506"/>
        <v>26268</v>
      </c>
      <c r="F878" s="7">
        <f t="shared" ca="1" si="507"/>
        <v>0</v>
      </c>
      <c r="G878" s="125">
        <f ca="1">IF('Simulador - 1º Pilar'!$E$99="Sí",IF('Aportaciones PPE'!$B$13&lt;'Aportaciones PPE'!E878,0,F878*$B$8/12),F878*$B$8/12)</f>
        <v>0</v>
      </c>
      <c r="H878" s="125">
        <f t="shared" ca="1" si="496"/>
        <v>0</v>
      </c>
      <c r="I878" s="125">
        <f t="shared" ca="1" si="508"/>
        <v>0</v>
      </c>
      <c r="J878" s="125">
        <f t="shared" ca="1" si="509"/>
        <v>0</v>
      </c>
      <c r="K878" s="125">
        <f t="shared" ca="1" si="510"/>
        <v>0</v>
      </c>
      <c r="L878" s="125">
        <f t="shared" ca="1" si="528"/>
        <v>0</v>
      </c>
      <c r="M878" s="125">
        <f t="shared" ca="1" si="511"/>
        <v>0</v>
      </c>
      <c r="N878" s="125">
        <f t="shared" ca="1" si="512"/>
        <v>0</v>
      </c>
      <c r="R878">
        <f t="shared" si="529"/>
        <v>871</v>
      </c>
      <c r="U878" s="55"/>
      <c r="V878">
        <f t="shared" si="530"/>
        <v>8</v>
      </c>
      <c r="W878">
        <f t="shared" ca="1" si="531"/>
        <v>2096</v>
      </c>
      <c r="X878" s="123">
        <f t="shared" ca="1" si="513"/>
        <v>71803</v>
      </c>
      <c r="Y878" s="64">
        <f t="shared" ca="1" si="514"/>
        <v>0</v>
      </c>
      <c r="Z878" s="64">
        <f t="shared" ca="1" si="515"/>
        <v>0</v>
      </c>
      <c r="AA878" s="64">
        <f t="shared" ca="1" si="516"/>
        <v>0</v>
      </c>
      <c r="AB878" s="64">
        <f t="shared" ca="1" si="517"/>
        <v>0</v>
      </c>
      <c r="AF878" t="str">
        <f t="shared" ca="1" si="497"/>
        <v>121971</v>
      </c>
      <c r="AG878" s="126">
        <f t="shared" ca="1" si="498"/>
        <v>0</v>
      </c>
      <c r="AH878" s="126">
        <f t="shared" ca="1" si="499"/>
        <v>0</v>
      </c>
      <c r="AI878" s="126">
        <f t="shared" ca="1" si="500"/>
        <v>0</v>
      </c>
      <c r="AJ878" t="str">
        <f t="shared" ca="1" si="501"/>
        <v>82096</v>
      </c>
      <c r="AK878" s="126">
        <f t="shared" ca="1" si="518"/>
        <v>0</v>
      </c>
      <c r="AL878" s="126">
        <f t="shared" ca="1" si="519"/>
        <v>0</v>
      </c>
      <c r="AM878" s="126">
        <f t="shared" ca="1" si="532"/>
        <v>0</v>
      </c>
      <c r="AN878" s="753">
        <f t="shared" ca="1" si="533"/>
        <v>0</v>
      </c>
      <c r="AO878" s="750">
        <f t="shared" ca="1" si="520"/>
        <v>0</v>
      </c>
      <c r="AP878" s="126">
        <f t="shared" ca="1" si="521"/>
        <v>0</v>
      </c>
      <c r="AQ878" s="126">
        <f t="shared" ca="1" si="522"/>
        <v>0</v>
      </c>
      <c r="AR878" s="126">
        <f t="shared" ca="1" si="502"/>
        <v>10000</v>
      </c>
      <c r="AS878" s="750">
        <f t="shared" ca="1" si="503"/>
        <v>0</v>
      </c>
      <c r="AT878" s="750">
        <f t="shared" ca="1" si="504"/>
        <v>0</v>
      </c>
      <c r="AU878" s="126">
        <f t="shared" ca="1" si="523"/>
        <v>0</v>
      </c>
      <c r="AV878" s="126">
        <f t="shared" ca="1" si="524"/>
        <v>0</v>
      </c>
      <c r="AW878" s="126">
        <f t="shared" ca="1" si="505"/>
        <v>10000</v>
      </c>
      <c r="AX878" s="750">
        <f t="shared" ca="1" si="525"/>
        <v>0</v>
      </c>
      <c r="AY878" s="750">
        <f t="shared" ca="1" si="526"/>
        <v>0</v>
      </c>
      <c r="AZ878">
        <f t="shared" si="527"/>
        <v>5750</v>
      </c>
    </row>
    <row r="879" spans="4:52">
      <c r="D879">
        <v>872</v>
      </c>
      <c r="E879" s="6">
        <f t="shared" ca="1" si="506"/>
        <v>26238</v>
      </c>
      <c r="F879" s="7">
        <f t="shared" ca="1" si="507"/>
        <v>0</v>
      </c>
      <c r="G879" s="125">
        <f ca="1">IF('Simulador - 1º Pilar'!$E$99="Sí",IF('Aportaciones PPE'!$B$13&lt;'Aportaciones PPE'!E879,0,F879*$B$8/12),F879*$B$8/12)</f>
        <v>0</v>
      </c>
      <c r="H879" s="125">
        <f t="shared" ca="1" si="496"/>
        <v>0</v>
      </c>
      <c r="I879" s="125">
        <f t="shared" ca="1" si="508"/>
        <v>0</v>
      </c>
      <c r="J879" s="125">
        <f t="shared" ca="1" si="509"/>
        <v>0</v>
      </c>
      <c r="K879" s="125">
        <f t="shared" ca="1" si="510"/>
        <v>0</v>
      </c>
      <c r="L879" s="125">
        <f t="shared" ca="1" si="528"/>
        <v>0</v>
      </c>
      <c r="M879" s="125">
        <f t="shared" ca="1" si="511"/>
        <v>0</v>
      </c>
      <c r="N879" s="125">
        <f t="shared" ca="1" si="512"/>
        <v>0</v>
      </c>
      <c r="R879">
        <f t="shared" si="529"/>
        <v>872</v>
      </c>
      <c r="U879" s="55"/>
      <c r="V879">
        <f t="shared" si="530"/>
        <v>9</v>
      </c>
      <c r="W879">
        <f t="shared" ca="1" si="531"/>
        <v>2096</v>
      </c>
      <c r="X879" s="123">
        <f t="shared" ca="1" si="513"/>
        <v>71834</v>
      </c>
      <c r="Y879" s="64">
        <f t="shared" ca="1" si="514"/>
        <v>0</v>
      </c>
      <c r="Z879" s="64">
        <f t="shared" ca="1" si="515"/>
        <v>0</v>
      </c>
      <c r="AA879" s="64">
        <f t="shared" ca="1" si="516"/>
        <v>0</v>
      </c>
      <c r="AB879" s="64">
        <f t="shared" ca="1" si="517"/>
        <v>0</v>
      </c>
      <c r="AF879" t="str">
        <f t="shared" ca="1" si="497"/>
        <v>111971</v>
      </c>
      <c r="AG879" s="126">
        <f t="shared" ca="1" si="498"/>
        <v>0</v>
      </c>
      <c r="AH879" s="126">
        <f t="shared" ca="1" si="499"/>
        <v>0</v>
      </c>
      <c r="AI879" s="126">
        <f t="shared" ca="1" si="500"/>
        <v>0</v>
      </c>
      <c r="AJ879" t="str">
        <f t="shared" ca="1" si="501"/>
        <v>92096</v>
      </c>
      <c r="AK879" s="126">
        <f t="shared" ca="1" si="518"/>
        <v>0</v>
      </c>
      <c r="AL879" s="126">
        <f t="shared" ca="1" si="519"/>
        <v>0</v>
      </c>
      <c r="AM879" s="126">
        <f t="shared" ca="1" si="532"/>
        <v>0</v>
      </c>
      <c r="AN879" s="753">
        <f t="shared" ca="1" si="533"/>
        <v>0</v>
      </c>
      <c r="AO879" s="750">
        <f t="shared" ca="1" si="520"/>
        <v>0</v>
      </c>
      <c r="AP879" s="126">
        <f t="shared" ca="1" si="521"/>
        <v>0</v>
      </c>
      <c r="AQ879" s="126">
        <f t="shared" ca="1" si="522"/>
        <v>0</v>
      </c>
      <c r="AR879" s="126">
        <f t="shared" ca="1" si="502"/>
        <v>10000</v>
      </c>
      <c r="AS879" s="750">
        <f t="shared" ca="1" si="503"/>
        <v>0</v>
      </c>
      <c r="AT879" s="750">
        <f t="shared" ca="1" si="504"/>
        <v>0</v>
      </c>
      <c r="AU879" s="126">
        <f t="shared" ca="1" si="523"/>
        <v>0</v>
      </c>
      <c r="AV879" s="126">
        <f t="shared" ca="1" si="524"/>
        <v>0</v>
      </c>
      <c r="AW879" s="126">
        <f t="shared" ca="1" si="505"/>
        <v>10000</v>
      </c>
      <c r="AX879" s="750">
        <f t="shared" ca="1" si="525"/>
        <v>0</v>
      </c>
      <c r="AY879" s="750">
        <f t="shared" ca="1" si="526"/>
        <v>0</v>
      </c>
      <c r="AZ879">
        <f t="shared" si="527"/>
        <v>5750</v>
      </c>
    </row>
    <row r="880" spans="4:52">
      <c r="D880">
        <v>873</v>
      </c>
      <c r="E880" s="6">
        <f t="shared" ca="1" si="506"/>
        <v>26207</v>
      </c>
      <c r="F880" s="7">
        <f t="shared" ca="1" si="507"/>
        <v>0</v>
      </c>
      <c r="G880" s="125">
        <f ca="1">IF('Simulador - 1º Pilar'!$E$99="Sí",IF('Aportaciones PPE'!$B$13&lt;'Aportaciones PPE'!E880,0,F880*$B$8/12),F880*$B$8/12)</f>
        <v>0</v>
      </c>
      <c r="H880" s="125">
        <f t="shared" ca="1" si="496"/>
        <v>0</v>
      </c>
      <c r="I880" s="125">
        <f t="shared" ca="1" si="508"/>
        <v>0</v>
      </c>
      <c r="J880" s="125">
        <f t="shared" ca="1" si="509"/>
        <v>0</v>
      </c>
      <c r="K880" s="125">
        <f t="shared" ca="1" si="510"/>
        <v>0</v>
      </c>
      <c r="L880" s="125">
        <f t="shared" ca="1" si="528"/>
        <v>0</v>
      </c>
      <c r="M880" s="125">
        <f t="shared" ca="1" si="511"/>
        <v>0</v>
      </c>
      <c r="N880" s="125">
        <f t="shared" ca="1" si="512"/>
        <v>0</v>
      </c>
      <c r="R880">
        <f t="shared" si="529"/>
        <v>873</v>
      </c>
      <c r="U880" s="55"/>
      <c r="V880">
        <f t="shared" si="530"/>
        <v>10</v>
      </c>
      <c r="W880">
        <f t="shared" ca="1" si="531"/>
        <v>2096</v>
      </c>
      <c r="X880" s="123">
        <f t="shared" ca="1" si="513"/>
        <v>71864</v>
      </c>
      <c r="Y880" s="64">
        <f t="shared" ca="1" si="514"/>
        <v>0</v>
      </c>
      <c r="Z880" s="64">
        <f t="shared" ca="1" si="515"/>
        <v>0</v>
      </c>
      <c r="AA880" s="64">
        <f t="shared" ca="1" si="516"/>
        <v>0</v>
      </c>
      <c r="AB880" s="64">
        <f t="shared" ca="1" si="517"/>
        <v>0</v>
      </c>
      <c r="AF880" t="str">
        <f t="shared" ca="1" si="497"/>
        <v>101971</v>
      </c>
      <c r="AG880" s="126">
        <f t="shared" ca="1" si="498"/>
        <v>0</v>
      </c>
      <c r="AH880" s="126">
        <f t="shared" ca="1" si="499"/>
        <v>0</v>
      </c>
      <c r="AI880" s="126">
        <f t="shared" ca="1" si="500"/>
        <v>0</v>
      </c>
      <c r="AJ880" t="str">
        <f t="shared" ca="1" si="501"/>
        <v>102096</v>
      </c>
      <c r="AK880" s="126">
        <f t="shared" ca="1" si="518"/>
        <v>0</v>
      </c>
      <c r="AL880" s="126">
        <f t="shared" ca="1" si="519"/>
        <v>0</v>
      </c>
      <c r="AM880" s="126">
        <f t="shared" ca="1" si="532"/>
        <v>0</v>
      </c>
      <c r="AN880" s="753">
        <f t="shared" ca="1" si="533"/>
        <v>0</v>
      </c>
      <c r="AO880" s="750">
        <f t="shared" ca="1" si="520"/>
        <v>0</v>
      </c>
      <c r="AP880" s="126">
        <f t="shared" ca="1" si="521"/>
        <v>0</v>
      </c>
      <c r="AQ880" s="126">
        <f t="shared" ca="1" si="522"/>
        <v>0</v>
      </c>
      <c r="AR880" s="126">
        <f t="shared" ca="1" si="502"/>
        <v>10000</v>
      </c>
      <c r="AS880" s="750">
        <f t="shared" ca="1" si="503"/>
        <v>0</v>
      </c>
      <c r="AT880" s="750">
        <f t="shared" ca="1" si="504"/>
        <v>0</v>
      </c>
      <c r="AU880" s="126">
        <f t="shared" ca="1" si="523"/>
        <v>0</v>
      </c>
      <c r="AV880" s="126">
        <f t="shared" ca="1" si="524"/>
        <v>0</v>
      </c>
      <c r="AW880" s="126">
        <f t="shared" ca="1" si="505"/>
        <v>10000</v>
      </c>
      <c r="AX880" s="750">
        <f t="shared" ca="1" si="525"/>
        <v>0</v>
      </c>
      <c r="AY880" s="750">
        <f t="shared" ca="1" si="526"/>
        <v>0</v>
      </c>
      <c r="AZ880">
        <f t="shared" si="527"/>
        <v>5750</v>
      </c>
    </row>
    <row r="881" spans="4:52">
      <c r="D881">
        <v>874</v>
      </c>
      <c r="E881" s="6">
        <f t="shared" ca="1" si="506"/>
        <v>26177</v>
      </c>
      <c r="F881" s="7">
        <f t="shared" ca="1" si="507"/>
        <v>0</v>
      </c>
      <c r="G881" s="125">
        <f ca="1">IF('Simulador - 1º Pilar'!$E$99="Sí",IF('Aportaciones PPE'!$B$13&lt;'Aportaciones PPE'!E881,0,F881*$B$8/12),F881*$B$8/12)</f>
        <v>0</v>
      </c>
      <c r="H881" s="125">
        <f t="shared" ca="1" si="496"/>
        <v>0</v>
      </c>
      <c r="I881" s="125">
        <f t="shared" ca="1" si="508"/>
        <v>0</v>
      </c>
      <c r="J881" s="125">
        <f t="shared" ca="1" si="509"/>
        <v>0</v>
      </c>
      <c r="K881" s="125">
        <f t="shared" ca="1" si="510"/>
        <v>0</v>
      </c>
      <c r="L881" s="125">
        <f t="shared" ca="1" si="528"/>
        <v>0</v>
      </c>
      <c r="M881" s="125">
        <f t="shared" ca="1" si="511"/>
        <v>0</v>
      </c>
      <c r="N881" s="125">
        <f t="shared" ca="1" si="512"/>
        <v>0</v>
      </c>
      <c r="R881">
        <f t="shared" si="529"/>
        <v>874</v>
      </c>
      <c r="U881" s="55"/>
      <c r="V881">
        <f t="shared" si="530"/>
        <v>11</v>
      </c>
      <c r="W881">
        <f t="shared" ca="1" si="531"/>
        <v>2096</v>
      </c>
      <c r="X881" s="123">
        <f t="shared" ca="1" si="513"/>
        <v>71895</v>
      </c>
      <c r="Y881" s="64">
        <f t="shared" ca="1" si="514"/>
        <v>0</v>
      </c>
      <c r="Z881" s="64">
        <f t="shared" ca="1" si="515"/>
        <v>0</v>
      </c>
      <c r="AA881" s="64">
        <f t="shared" ca="1" si="516"/>
        <v>0</v>
      </c>
      <c r="AB881" s="64">
        <f t="shared" ca="1" si="517"/>
        <v>0</v>
      </c>
      <c r="AF881" t="str">
        <f t="shared" ca="1" si="497"/>
        <v>91971</v>
      </c>
      <c r="AG881" s="126">
        <f t="shared" ca="1" si="498"/>
        <v>0</v>
      </c>
      <c r="AH881" s="126">
        <f t="shared" ca="1" si="499"/>
        <v>0</v>
      </c>
      <c r="AI881" s="126">
        <f t="shared" ca="1" si="500"/>
        <v>0</v>
      </c>
      <c r="AJ881" t="str">
        <f t="shared" ca="1" si="501"/>
        <v>112096</v>
      </c>
      <c r="AK881" s="126">
        <f t="shared" ca="1" si="518"/>
        <v>0</v>
      </c>
      <c r="AL881" s="126">
        <f t="shared" ca="1" si="519"/>
        <v>0</v>
      </c>
      <c r="AM881" s="126">
        <f t="shared" ca="1" si="532"/>
        <v>0</v>
      </c>
      <c r="AN881" s="753">
        <f t="shared" ca="1" si="533"/>
        <v>0</v>
      </c>
      <c r="AO881" s="750">
        <f t="shared" ca="1" si="520"/>
        <v>0</v>
      </c>
      <c r="AP881" s="126">
        <f t="shared" ca="1" si="521"/>
        <v>0</v>
      </c>
      <c r="AQ881" s="126">
        <f t="shared" ca="1" si="522"/>
        <v>0</v>
      </c>
      <c r="AR881" s="126">
        <f t="shared" ca="1" si="502"/>
        <v>10000</v>
      </c>
      <c r="AS881" s="750">
        <f t="shared" ca="1" si="503"/>
        <v>0</v>
      </c>
      <c r="AT881" s="750">
        <f t="shared" ca="1" si="504"/>
        <v>0</v>
      </c>
      <c r="AU881" s="126">
        <f t="shared" ca="1" si="523"/>
        <v>0</v>
      </c>
      <c r="AV881" s="126">
        <f t="shared" ca="1" si="524"/>
        <v>0</v>
      </c>
      <c r="AW881" s="126">
        <f t="shared" ca="1" si="505"/>
        <v>10000</v>
      </c>
      <c r="AX881" s="750">
        <f t="shared" ca="1" si="525"/>
        <v>0</v>
      </c>
      <c r="AY881" s="750">
        <f t="shared" ca="1" si="526"/>
        <v>0</v>
      </c>
      <c r="AZ881">
        <f t="shared" si="527"/>
        <v>5750</v>
      </c>
    </row>
    <row r="882" spans="4:52">
      <c r="D882">
        <v>875</v>
      </c>
      <c r="E882" s="6">
        <f t="shared" ca="1" si="506"/>
        <v>26146</v>
      </c>
      <c r="F882" s="7">
        <f t="shared" ca="1" si="507"/>
        <v>0</v>
      </c>
      <c r="G882" s="125">
        <f ca="1">IF('Simulador - 1º Pilar'!$E$99="Sí",IF('Aportaciones PPE'!$B$13&lt;'Aportaciones PPE'!E882,0,F882*$B$8/12),F882*$B$8/12)</f>
        <v>0</v>
      </c>
      <c r="H882" s="125">
        <f t="shared" ca="1" si="496"/>
        <v>0</v>
      </c>
      <c r="I882" s="125">
        <f t="shared" ca="1" si="508"/>
        <v>0</v>
      </c>
      <c r="J882" s="125">
        <f t="shared" ca="1" si="509"/>
        <v>0</v>
      </c>
      <c r="K882" s="125">
        <f t="shared" ca="1" si="510"/>
        <v>0</v>
      </c>
      <c r="L882" s="125">
        <f t="shared" ca="1" si="528"/>
        <v>0</v>
      </c>
      <c r="M882" s="125">
        <f t="shared" ca="1" si="511"/>
        <v>0</v>
      </c>
      <c r="N882" s="125">
        <f t="shared" ca="1" si="512"/>
        <v>0</v>
      </c>
      <c r="R882">
        <f t="shared" si="529"/>
        <v>875</v>
      </c>
      <c r="U882" s="55"/>
      <c r="V882">
        <f t="shared" si="530"/>
        <v>12</v>
      </c>
      <c r="W882">
        <f t="shared" ca="1" si="531"/>
        <v>2096</v>
      </c>
      <c r="X882" s="123">
        <f t="shared" ca="1" si="513"/>
        <v>71925</v>
      </c>
      <c r="Y882" s="64">
        <f t="shared" ca="1" si="514"/>
        <v>0</v>
      </c>
      <c r="Z882" s="64">
        <f t="shared" ca="1" si="515"/>
        <v>0</v>
      </c>
      <c r="AA882" s="64">
        <f t="shared" ca="1" si="516"/>
        <v>0</v>
      </c>
      <c r="AB882" s="64">
        <f t="shared" ca="1" si="517"/>
        <v>0</v>
      </c>
      <c r="AF882" t="str">
        <f t="shared" ca="1" si="497"/>
        <v>81971</v>
      </c>
      <c r="AG882" s="126">
        <f t="shared" ca="1" si="498"/>
        <v>0</v>
      </c>
      <c r="AH882" s="126">
        <f t="shared" ca="1" si="499"/>
        <v>0</v>
      </c>
      <c r="AI882" s="126">
        <f t="shared" ca="1" si="500"/>
        <v>0</v>
      </c>
      <c r="AJ882" t="str">
        <f t="shared" ca="1" si="501"/>
        <v>122096</v>
      </c>
      <c r="AK882" s="126">
        <f t="shared" ca="1" si="518"/>
        <v>0</v>
      </c>
      <c r="AL882" s="126">
        <f t="shared" ca="1" si="519"/>
        <v>0</v>
      </c>
      <c r="AM882" s="126">
        <f t="shared" ca="1" si="532"/>
        <v>0</v>
      </c>
      <c r="AN882" s="753">
        <f t="shared" ca="1" si="533"/>
        <v>0</v>
      </c>
      <c r="AO882" s="750">
        <f t="shared" ca="1" si="520"/>
        <v>0</v>
      </c>
      <c r="AP882" s="126">
        <f t="shared" ca="1" si="521"/>
        <v>0</v>
      </c>
      <c r="AQ882" s="126">
        <f t="shared" ca="1" si="522"/>
        <v>0</v>
      </c>
      <c r="AR882" s="126">
        <f t="shared" ca="1" si="502"/>
        <v>10000</v>
      </c>
      <c r="AS882" s="750">
        <f t="shared" ca="1" si="503"/>
        <v>0</v>
      </c>
      <c r="AT882" s="750">
        <f t="shared" ca="1" si="504"/>
        <v>0</v>
      </c>
      <c r="AU882" s="126">
        <f t="shared" ca="1" si="523"/>
        <v>0</v>
      </c>
      <c r="AV882" s="126">
        <f t="shared" ca="1" si="524"/>
        <v>0</v>
      </c>
      <c r="AW882" s="126">
        <f t="shared" ca="1" si="505"/>
        <v>10000</v>
      </c>
      <c r="AX882" s="750">
        <f t="shared" ca="1" si="525"/>
        <v>0</v>
      </c>
      <c r="AY882" s="750">
        <f t="shared" ca="1" si="526"/>
        <v>0</v>
      </c>
      <c r="AZ882">
        <f t="shared" si="527"/>
        <v>5750</v>
      </c>
    </row>
    <row r="883" spans="4:52">
      <c r="D883">
        <v>876</v>
      </c>
      <c r="E883" s="6">
        <f t="shared" ca="1" si="506"/>
        <v>26115</v>
      </c>
      <c r="F883" s="7">
        <f t="shared" ca="1" si="507"/>
        <v>0</v>
      </c>
      <c r="G883" s="125">
        <f ca="1">IF('Simulador - 1º Pilar'!$E$99="Sí",IF('Aportaciones PPE'!$B$13&lt;'Aportaciones PPE'!E883,0,F883*$B$8/12),F883*$B$8/12)</f>
        <v>0</v>
      </c>
      <c r="H883" s="125">
        <f t="shared" ca="1" si="496"/>
        <v>0</v>
      </c>
      <c r="I883" s="125">
        <f t="shared" ca="1" si="508"/>
        <v>0</v>
      </c>
      <c r="J883" s="125">
        <f t="shared" ca="1" si="509"/>
        <v>0</v>
      </c>
      <c r="K883" s="125">
        <f t="shared" ca="1" si="510"/>
        <v>0</v>
      </c>
      <c r="L883" s="125">
        <f t="shared" ca="1" si="528"/>
        <v>0</v>
      </c>
      <c r="M883" s="125">
        <f t="shared" ca="1" si="511"/>
        <v>0</v>
      </c>
      <c r="N883" s="125">
        <f t="shared" ca="1" si="512"/>
        <v>0</v>
      </c>
      <c r="R883">
        <f t="shared" si="529"/>
        <v>876</v>
      </c>
      <c r="U883" s="55"/>
      <c r="V883">
        <f t="shared" si="530"/>
        <v>1</v>
      </c>
      <c r="W883">
        <f t="shared" ca="1" si="531"/>
        <v>2097</v>
      </c>
      <c r="X883" s="123">
        <f t="shared" ca="1" si="513"/>
        <v>71956</v>
      </c>
      <c r="Y883" s="64">
        <f t="shared" ca="1" si="514"/>
        <v>0</v>
      </c>
      <c r="Z883" s="64">
        <f t="shared" ca="1" si="515"/>
        <v>0</v>
      </c>
      <c r="AA883" s="64">
        <f t="shared" ca="1" si="516"/>
        <v>0</v>
      </c>
      <c r="AB883" s="64">
        <f t="shared" ca="1" si="517"/>
        <v>0</v>
      </c>
      <c r="AF883" t="str">
        <f t="shared" ca="1" si="497"/>
        <v>71971</v>
      </c>
      <c r="AG883" s="126">
        <f t="shared" ca="1" si="498"/>
        <v>0</v>
      </c>
      <c r="AH883" s="126">
        <f t="shared" ca="1" si="499"/>
        <v>0</v>
      </c>
      <c r="AI883" s="126">
        <f t="shared" ca="1" si="500"/>
        <v>0</v>
      </c>
      <c r="AJ883" t="str">
        <f t="shared" ca="1" si="501"/>
        <v>12097</v>
      </c>
      <c r="AK883" s="126">
        <f t="shared" ca="1" si="518"/>
        <v>0</v>
      </c>
      <c r="AL883" s="126">
        <f t="shared" ca="1" si="519"/>
        <v>0</v>
      </c>
      <c r="AM883" s="126">
        <f t="shared" ca="1" si="532"/>
        <v>0</v>
      </c>
      <c r="AN883" s="753">
        <f t="shared" ca="1" si="533"/>
        <v>0</v>
      </c>
      <c r="AO883" s="750">
        <f t="shared" ca="1" si="520"/>
        <v>0</v>
      </c>
      <c r="AP883" s="126">
        <f t="shared" ca="1" si="521"/>
        <v>0</v>
      </c>
      <c r="AQ883" s="126">
        <f t="shared" ca="1" si="522"/>
        <v>0</v>
      </c>
      <c r="AR883" s="126">
        <f t="shared" ca="1" si="502"/>
        <v>10000</v>
      </c>
      <c r="AS883" s="750">
        <f t="shared" ca="1" si="503"/>
        <v>0</v>
      </c>
      <c r="AT883" s="750">
        <f t="shared" ca="1" si="504"/>
        <v>0</v>
      </c>
      <c r="AU883" s="126">
        <f t="shared" ca="1" si="523"/>
        <v>0</v>
      </c>
      <c r="AV883" s="126">
        <f t="shared" ca="1" si="524"/>
        <v>0</v>
      </c>
      <c r="AW883" s="126">
        <f t="shared" ca="1" si="505"/>
        <v>10000</v>
      </c>
      <c r="AX883" s="750">
        <f t="shared" ca="1" si="525"/>
        <v>0</v>
      </c>
      <c r="AY883" s="750">
        <f t="shared" ca="1" si="526"/>
        <v>0</v>
      </c>
      <c r="AZ883">
        <f t="shared" si="527"/>
        <v>5750</v>
      </c>
    </row>
    <row r="884" spans="4:52">
      <c r="D884">
        <v>877</v>
      </c>
      <c r="E884" s="6">
        <f t="shared" ca="1" si="506"/>
        <v>26085</v>
      </c>
      <c r="F884" s="7">
        <f t="shared" ca="1" si="507"/>
        <v>0</v>
      </c>
      <c r="G884" s="125">
        <f ca="1">IF('Simulador - 1º Pilar'!$E$99="Sí",IF('Aportaciones PPE'!$B$13&lt;'Aportaciones PPE'!E884,0,F884*$B$8/12),F884*$B$8/12)</f>
        <v>0</v>
      </c>
      <c r="H884" s="125">
        <f t="shared" ca="1" si="496"/>
        <v>0</v>
      </c>
      <c r="I884" s="125">
        <f t="shared" ca="1" si="508"/>
        <v>0</v>
      </c>
      <c r="J884" s="125">
        <f t="shared" ca="1" si="509"/>
        <v>0</v>
      </c>
      <c r="K884" s="125">
        <f t="shared" ca="1" si="510"/>
        <v>0</v>
      </c>
      <c r="L884" s="125">
        <f t="shared" ca="1" si="528"/>
        <v>0</v>
      </c>
      <c r="M884" s="125">
        <f t="shared" ca="1" si="511"/>
        <v>0</v>
      </c>
      <c r="N884" s="125">
        <f t="shared" ca="1" si="512"/>
        <v>0</v>
      </c>
      <c r="R884">
        <f t="shared" si="529"/>
        <v>877</v>
      </c>
      <c r="U884" s="55"/>
      <c r="V884">
        <f t="shared" si="530"/>
        <v>2</v>
      </c>
      <c r="W884">
        <f t="shared" ca="1" si="531"/>
        <v>2097</v>
      </c>
      <c r="X884" s="123">
        <f t="shared" ca="1" si="513"/>
        <v>71987</v>
      </c>
      <c r="Y884" s="64">
        <f t="shared" ca="1" si="514"/>
        <v>0</v>
      </c>
      <c r="Z884" s="64">
        <f t="shared" ca="1" si="515"/>
        <v>0</v>
      </c>
      <c r="AA884" s="64">
        <f t="shared" ca="1" si="516"/>
        <v>0</v>
      </c>
      <c r="AB884" s="64">
        <f t="shared" ca="1" si="517"/>
        <v>0</v>
      </c>
      <c r="AF884" t="str">
        <f t="shared" ca="1" si="497"/>
        <v>61971</v>
      </c>
      <c r="AG884" s="126">
        <f t="shared" ca="1" si="498"/>
        <v>0</v>
      </c>
      <c r="AH884" s="126">
        <f t="shared" ca="1" si="499"/>
        <v>0</v>
      </c>
      <c r="AI884" s="126">
        <f t="shared" ca="1" si="500"/>
        <v>0</v>
      </c>
      <c r="AJ884" t="str">
        <f t="shared" ca="1" si="501"/>
        <v>22097</v>
      </c>
      <c r="AK884" s="126">
        <f t="shared" ca="1" si="518"/>
        <v>0</v>
      </c>
      <c r="AL884" s="126">
        <f t="shared" ca="1" si="519"/>
        <v>0</v>
      </c>
      <c r="AM884" s="126">
        <f t="shared" ca="1" si="532"/>
        <v>0</v>
      </c>
      <c r="AN884" s="753">
        <f t="shared" ca="1" si="533"/>
        <v>0</v>
      </c>
      <c r="AO884" s="750">
        <f t="shared" ca="1" si="520"/>
        <v>0</v>
      </c>
      <c r="AP884" s="126">
        <f t="shared" ca="1" si="521"/>
        <v>0</v>
      </c>
      <c r="AQ884" s="126">
        <f t="shared" ca="1" si="522"/>
        <v>0</v>
      </c>
      <c r="AR884" s="126">
        <f t="shared" ca="1" si="502"/>
        <v>10000</v>
      </c>
      <c r="AS884" s="750">
        <f t="shared" ca="1" si="503"/>
        <v>0</v>
      </c>
      <c r="AT884" s="750">
        <f t="shared" ca="1" si="504"/>
        <v>0</v>
      </c>
      <c r="AU884" s="126">
        <f t="shared" ca="1" si="523"/>
        <v>0</v>
      </c>
      <c r="AV884" s="126">
        <f t="shared" ca="1" si="524"/>
        <v>0</v>
      </c>
      <c r="AW884" s="126">
        <f t="shared" ca="1" si="505"/>
        <v>10000</v>
      </c>
      <c r="AX884" s="750">
        <f t="shared" ca="1" si="525"/>
        <v>0</v>
      </c>
      <c r="AY884" s="750">
        <f t="shared" ca="1" si="526"/>
        <v>0</v>
      </c>
      <c r="AZ884">
        <f t="shared" si="527"/>
        <v>5750</v>
      </c>
    </row>
    <row r="885" spans="4:52">
      <c r="D885">
        <v>878</v>
      </c>
      <c r="E885" s="6">
        <f t="shared" ca="1" si="506"/>
        <v>26054</v>
      </c>
      <c r="F885" s="7">
        <f t="shared" ca="1" si="507"/>
        <v>0</v>
      </c>
      <c r="G885" s="125">
        <f ca="1">IF('Simulador - 1º Pilar'!$E$99="Sí",IF('Aportaciones PPE'!$B$13&lt;'Aportaciones PPE'!E885,0,F885*$B$8/12),F885*$B$8/12)</f>
        <v>0</v>
      </c>
      <c r="H885" s="125">
        <f t="shared" ca="1" si="496"/>
        <v>0</v>
      </c>
      <c r="I885" s="125">
        <f t="shared" ca="1" si="508"/>
        <v>0</v>
      </c>
      <c r="J885" s="125">
        <f t="shared" ca="1" si="509"/>
        <v>0</v>
      </c>
      <c r="K885" s="125">
        <f t="shared" ca="1" si="510"/>
        <v>0</v>
      </c>
      <c r="L885" s="125">
        <f t="shared" ca="1" si="528"/>
        <v>0</v>
      </c>
      <c r="M885" s="125">
        <f t="shared" ca="1" si="511"/>
        <v>0</v>
      </c>
      <c r="N885" s="125">
        <f t="shared" ca="1" si="512"/>
        <v>0</v>
      </c>
      <c r="R885">
        <f t="shared" si="529"/>
        <v>878</v>
      </c>
      <c r="U885" s="55"/>
      <c r="V885">
        <f t="shared" si="530"/>
        <v>3</v>
      </c>
      <c r="W885">
        <f t="shared" ca="1" si="531"/>
        <v>2097</v>
      </c>
      <c r="X885" s="123">
        <f t="shared" ca="1" si="513"/>
        <v>72015</v>
      </c>
      <c r="Y885" s="64">
        <f t="shared" ca="1" si="514"/>
        <v>0</v>
      </c>
      <c r="Z885" s="64">
        <f t="shared" ca="1" si="515"/>
        <v>0</v>
      </c>
      <c r="AA885" s="64">
        <f t="shared" ca="1" si="516"/>
        <v>0</v>
      </c>
      <c r="AB885" s="64">
        <f t="shared" ca="1" si="517"/>
        <v>0</v>
      </c>
      <c r="AF885" t="str">
        <f t="shared" ca="1" si="497"/>
        <v>51971</v>
      </c>
      <c r="AG885" s="126">
        <f t="shared" ca="1" si="498"/>
        <v>0</v>
      </c>
      <c r="AH885" s="126">
        <f t="shared" ca="1" si="499"/>
        <v>0</v>
      </c>
      <c r="AI885" s="126">
        <f t="shared" ca="1" si="500"/>
        <v>0</v>
      </c>
      <c r="AJ885" t="str">
        <f t="shared" ca="1" si="501"/>
        <v>32097</v>
      </c>
      <c r="AK885" s="126">
        <f t="shared" ca="1" si="518"/>
        <v>0</v>
      </c>
      <c r="AL885" s="126">
        <f t="shared" ca="1" si="519"/>
        <v>0</v>
      </c>
      <c r="AM885" s="126">
        <f t="shared" ca="1" si="532"/>
        <v>0</v>
      </c>
      <c r="AN885" s="753">
        <f t="shared" ca="1" si="533"/>
        <v>0</v>
      </c>
      <c r="AO885" s="750">
        <f t="shared" ca="1" si="520"/>
        <v>0</v>
      </c>
      <c r="AP885" s="126">
        <f t="shared" ca="1" si="521"/>
        <v>0</v>
      </c>
      <c r="AQ885" s="126">
        <f t="shared" ca="1" si="522"/>
        <v>0</v>
      </c>
      <c r="AR885" s="126">
        <f t="shared" ca="1" si="502"/>
        <v>10000</v>
      </c>
      <c r="AS885" s="750">
        <f t="shared" ca="1" si="503"/>
        <v>0</v>
      </c>
      <c r="AT885" s="750">
        <f t="shared" ca="1" si="504"/>
        <v>0</v>
      </c>
      <c r="AU885" s="126">
        <f t="shared" ca="1" si="523"/>
        <v>0</v>
      </c>
      <c r="AV885" s="126">
        <f t="shared" ca="1" si="524"/>
        <v>0</v>
      </c>
      <c r="AW885" s="126">
        <f t="shared" ca="1" si="505"/>
        <v>10000</v>
      </c>
      <c r="AX885" s="750">
        <f t="shared" ca="1" si="525"/>
        <v>0</v>
      </c>
      <c r="AY885" s="750">
        <f t="shared" ca="1" si="526"/>
        <v>0</v>
      </c>
      <c r="AZ885">
        <f t="shared" si="527"/>
        <v>5750</v>
      </c>
    </row>
    <row r="886" spans="4:52">
      <c r="D886">
        <v>879</v>
      </c>
      <c r="E886" s="6">
        <f t="shared" ca="1" si="506"/>
        <v>26024</v>
      </c>
      <c r="F886" s="7">
        <f t="shared" ca="1" si="507"/>
        <v>0</v>
      </c>
      <c r="G886" s="125">
        <f ca="1">IF('Simulador - 1º Pilar'!$E$99="Sí",IF('Aportaciones PPE'!$B$13&lt;'Aportaciones PPE'!E886,0,F886*$B$8/12),F886*$B$8/12)</f>
        <v>0</v>
      </c>
      <c r="H886" s="125">
        <f t="shared" ca="1" si="496"/>
        <v>0</v>
      </c>
      <c r="I886" s="125">
        <f t="shared" ca="1" si="508"/>
        <v>0</v>
      </c>
      <c r="J886" s="125">
        <f t="shared" ca="1" si="509"/>
        <v>0</v>
      </c>
      <c r="K886" s="125">
        <f t="shared" ca="1" si="510"/>
        <v>0</v>
      </c>
      <c r="L886" s="125">
        <f t="shared" ca="1" si="528"/>
        <v>0</v>
      </c>
      <c r="M886" s="125">
        <f t="shared" ca="1" si="511"/>
        <v>0</v>
      </c>
      <c r="N886" s="125">
        <f t="shared" ca="1" si="512"/>
        <v>0</v>
      </c>
      <c r="R886">
        <f t="shared" si="529"/>
        <v>879</v>
      </c>
      <c r="U886" s="55"/>
      <c r="V886">
        <f t="shared" si="530"/>
        <v>4</v>
      </c>
      <c r="W886">
        <f t="shared" ca="1" si="531"/>
        <v>2097</v>
      </c>
      <c r="X886" s="123">
        <f t="shared" ca="1" si="513"/>
        <v>72046</v>
      </c>
      <c r="Y886" s="64">
        <f t="shared" ca="1" si="514"/>
        <v>0</v>
      </c>
      <c r="Z886" s="64">
        <f t="shared" ca="1" si="515"/>
        <v>0</v>
      </c>
      <c r="AA886" s="64">
        <f t="shared" ca="1" si="516"/>
        <v>0</v>
      </c>
      <c r="AB886" s="64">
        <f t="shared" ca="1" si="517"/>
        <v>0</v>
      </c>
      <c r="AF886" t="str">
        <f t="shared" ca="1" si="497"/>
        <v>41971</v>
      </c>
      <c r="AG886" s="126">
        <f t="shared" ca="1" si="498"/>
        <v>0</v>
      </c>
      <c r="AH886" s="126">
        <f t="shared" ca="1" si="499"/>
        <v>0</v>
      </c>
      <c r="AI886" s="126">
        <f t="shared" ca="1" si="500"/>
        <v>0</v>
      </c>
      <c r="AJ886" t="str">
        <f t="shared" ca="1" si="501"/>
        <v>42097</v>
      </c>
      <c r="AK886" s="126">
        <f t="shared" ca="1" si="518"/>
        <v>0</v>
      </c>
      <c r="AL886" s="126">
        <f t="shared" ca="1" si="519"/>
        <v>0</v>
      </c>
      <c r="AM886" s="126">
        <f t="shared" ca="1" si="532"/>
        <v>0</v>
      </c>
      <c r="AN886" s="753">
        <f t="shared" ca="1" si="533"/>
        <v>0</v>
      </c>
      <c r="AO886" s="750">
        <f t="shared" ca="1" si="520"/>
        <v>0</v>
      </c>
      <c r="AP886" s="126">
        <f t="shared" ca="1" si="521"/>
        <v>0</v>
      </c>
      <c r="AQ886" s="126">
        <f t="shared" ca="1" si="522"/>
        <v>0</v>
      </c>
      <c r="AR886" s="126">
        <f t="shared" ca="1" si="502"/>
        <v>10000</v>
      </c>
      <c r="AS886" s="750">
        <f t="shared" ca="1" si="503"/>
        <v>0</v>
      </c>
      <c r="AT886" s="750">
        <f t="shared" ca="1" si="504"/>
        <v>0</v>
      </c>
      <c r="AU886" s="126">
        <f t="shared" ca="1" si="523"/>
        <v>0</v>
      </c>
      <c r="AV886" s="126">
        <f t="shared" ca="1" si="524"/>
        <v>0</v>
      </c>
      <c r="AW886" s="126">
        <f t="shared" ca="1" si="505"/>
        <v>10000</v>
      </c>
      <c r="AX886" s="750">
        <f t="shared" ca="1" si="525"/>
        <v>0</v>
      </c>
      <c r="AY886" s="750">
        <f t="shared" ca="1" si="526"/>
        <v>0</v>
      </c>
      <c r="AZ886">
        <f t="shared" si="527"/>
        <v>5750</v>
      </c>
    </row>
    <row r="887" spans="4:52">
      <c r="D887">
        <v>880</v>
      </c>
      <c r="E887" s="6">
        <f t="shared" ca="1" si="506"/>
        <v>25993</v>
      </c>
      <c r="F887" s="7">
        <f t="shared" ca="1" si="507"/>
        <v>0</v>
      </c>
      <c r="G887" s="125">
        <f ca="1">IF('Simulador - 1º Pilar'!$E$99="Sí",IF('Aportaciones PPE'!$B$13&lt;'Aportaciones PPE'!E887,0,F887*$B$8/12),F887*$B$8/12)</f>
        <v>0</v>
      </c>
      <c r="H887" s="125">
        <f t="shared" ca="1" si="496"/>
        <v>0</v>
      </c>
      <c r="I887" s="125">
        <f t="shared" ca="1" si="508"/>
        <v>0</v>
      </c>
      <c r="J887" s="125">
        <f t="shared" ca="1" si="509"/>
        <v>0</v>
      </c>
      <c r="K887" s="125">
        <f t="shared" ca="1" si="510"/>
        <v>0</v>
      </c>
      <c r="L887" s="125">
        <f t="shared" ca="1" si="528"/>
        <v>0</v>
      </c>
      <c r="M887" s="125">
        <f t="shared" ca="1" si="511"/>
        <v>0</v>
      </c>
      <c r="N887" s="125">
        <f t="shared" ca="1" si="512"/>
        <v>0</v>
      </c>
      <c r="R887">
        <f t="shared" si="529"/>
        <v>880</v>
      </c>
      <c r="U887" s="55"/>
      <c r="V887">
        <f t="shared" si="530"/>
        <v>5</v>
      </c>
      <c r="W887">
        <f t="shared" ca="1" si="531"/>
        <v>2097</v>
      </c>
      <c r="X887" s="123">
        <f t="shared" ca="1" si="513"/>
        <v>72076</v>
      </c>
      <c r="Y887" s="64">
        <f t="shared" ca="1" si="514"/>
        <v>0</v>
      </c>
      <c r="Z887" s="64">
        <f t="shared" ca="1" si="515"/>
        <v>0</v>
      </c>
      <c r="AA887" s="64">
        <f t="shared" ca="1" si="516"/>
        <v>0</v>
      </c>
      <c r="AB887" s="64">
        <f t="shared" ca="1" si="517"/>
        <v>0</v>
      </c>
      <c r="AF887" t="str">
        <f t="shared" ca="1" si="497"/>
        <v>31971</v>
      </c>
      <c r="AG887" s="126">
        <f t="shared" ca="1" si="498"/>
        <v>0</v>
      </c>
      <c r="AH887" s="126">
        <f t="shared" ca="1" si="499"/>
        <v>0</v>
      </c>
      <c r="AI887" s="126">
        <f t="shared" ca="1" si="500"/>
        <v>0</v>
      </c>
      <c r="AJ887" t="str">
        <f t="shared" ca="1" si="501"/>
        <v>52097</v>
      </c>
      <c r="AK887" s="126">
        <f t="shared" ca="1" si="518"/>
        <v>0</v>
      </c>
      <c r="AL887" s="126">
        <f t="shared" ca="1" si="519"/>
        <v>0</v>
      </c>
      <c r="AM887" s="126">
        <f t="shared" ca="1" si="532"/>
        <v>0</v>
      </c>
      <c r="AN887" s="753">
        <f t="shared" ca="1" si="533"/>
        <v>0</v>
      </c>
      <c r="AO887" s="750">
        <f t="shared" ca="1" si="520"/>
        <v>0</v>
      </c>
      <c r="AP887" s="126">
        <f t="shared" ca="1" si="521"/>
        <v>0</v>
      </c>
      <c r="AQ887" s="126">
        <f t="shared" ca="1" si="522"/>
        <v>0</v>
      </c>
      <c r="AR887" s="126">
        <f t="shared" ca="1" si="502"/>
        <v>10000</v>
      </c>
      <c r="AS887" s="750">
        <f t="shared" ca="1" si="503"/>
        <v>0</v>
      </c>
      <c r="AT887" s="750">
        <f t="shared" ca="1" si="504"/>
        <v>0</v>
      </c>
      <c r="AU887" s="126">
        <f t="shared" ca="1" si="523"/>
        <v>0</v>
      </c>
      <c r="AV887" s="126">
        <f t="shared" ca="1" si="524"/>
        <v>0</v>
      </c>
      <c r="AW887" s="126">
        <f t="shared" ca="1" si="505"/>
        <v>10000</v>
      </c>
      <c r="AX887" s="750">
        <f t="shared" ca="1" si="525"/>
        <v>0</v>
      </c>
      <c r="AY887" s="750">
        <f t="shared" ca="1" si="526"/>
        <v>0</v>
      </c>
      <c r="AZ887">
        <f t="shared" si="527"/>
        <v>5750</v>
      </c>
    </row>
    <row r="888" spans="4:52">
      <c r="D888">
        <v>881</v>
      </c>
      <c r="E888" s="6">
        <f t="shared" ca="1" si="506"/>
        <v>25965</v>
      </c>
      <c r="F888" s="7">
        <f t="shared" ca="1" si="507"/>
        <v>0</v>
      </c>
      <c r="G888" s="125">
        <f ca="1">IF('Simulador - 1º Pilar'!$E$99="Sí",IF('Aportaciones PPE'!$B$13&lt;'Aportaciones PPE'!E888,0,F888*$B$8/12),F888*$B$8/12)</f>
        <v>0</v>
      </c>
      <c r="H888" s="125">
        <f t="shared" ca="1" si="496"/>
        <v>0</v>
      </c>
      <c r="I888" s="125">
        <f t="shared" ca="1" si="508"/>
        <v>0</v>
      </c>
      <c r="J888" s="125">
        <f t="shared" ca="1" si="509"/>
        <v>0</v>
      </c>
      <c r="K888" s="125">
        <f t="shared" ca="1" si="510"/>
        <v>0</v>
      </c>
      <c r="L888" s="125">
        <f t="shared" ca="1" si="528"/>
        <v>0</v>
      </c>
      <c r="M888" s="125">
        <f t="shared" ca="1" si="511"/>
        <v>0</v>
      </c>
      <c r="N888" s="125">
        <f t="shared" ca="1" si="512"/>
        <v>0</v>
      </c>
      <c r="R888">
        <f t="shared" si="529"/>
        <v>881</v>
      </c>
      <c r="U888" s="55"/>
      <c r="V888">
        <f t="shared" si="530"/>
        <v>6</v>
      </c>
      <c r="W888">
        <f t="shared" ca="1" si="531"/>
        <v>2097</v>
      </c>
      <c r="X888" s="123">
        <f t="shared" ca="1" si="513"/>
        <v>72107</v>
      </c>
      <c r="Y888" s="64">
        <f t="shared" ca="1" si="514"/>
        <v>0</v>
      </c>
      <c r="Z888" s="64">
        <f t="shared" ca="1" si="515"/>
        <v>0</v>
      </c>
      <c r="AA888" s="64">
        <f t="shared" ca="1" si="516"/>
        <v>0</v>
      </c>
      <c r="AB888" s="64">
        <f t="shared" ca="1" si="517"/>
        <v>0</v>
      </c>
      <c r="AF888" t="str">
        <f t="shared" ca="1" si="497"/>
        <v>21971</v>
      </c>
      <c r="AG888" s="126">
        <f t="shared" ca="1" si="498"/>
        <v>0</v>
      </c>
      <c r="AH888" s="126">
        <f t="shared" ca="1" si="499"/>
        <v>0</v>
      </c>
      <c r="AI888" s="126">
        <f t="shared" ca="1" si="500"/>
        <v>0</v>
      </c>
      <c r="AJ888" t="str">
        <f t="shared" ca="1" si="501"/>
        <v>62097</v>
      </c>
      <c r="AK888" s="126">
        <f t="shared" ca="1" si="518"/>
        <v>0</v>
      </c>
      <c r="AL888" s="126">
        <f t="shared" ca="1" si="519"/>
        <v>0</v>
      </c>
      <c r="AM888" s="126">
        <f t="shared" ca="1" si="532"/>
        <v>0</v>
      </c>
      <c r="AN888" s="753">
        <f t="shared" ca="1" si="533"/>
        <v>0</v>
      </c>
      <c r="AO888" s="750">
        <f t="shared" ca="1" si="520"/>
        <v>0</v>
      </c>
      <c r="AP888" s="126">
        <f t="shared" ca="1" si="521"/>
        <v>0</v>
      </c>
      <c r="AQ888" s="126">
        <f t="shared" ca="1" si="522"/>
        <v>0</v>
      </c>
      <c r="AR888" s="126">
        <f t="shared" ca="1" si="502"/>
        <v>10000</v>
      </c>
      <c r="AS888" s="750">
        <f t="shared" ca="1" si="503"/>
        <v>0</v>
      </c>
      <c r="AT888" s="750">
        <f t="shared" ca="1" si="504"/>
        <v>0</v>
      </c>
      <c r="AU888" s="126">
        <f t="shared" ca="1" si="523"/>
        <v>0</v>
      </c>
      <c r="AV888" s="126">
        <f t="shared" ca="1" si="524"/>
        <v>0</v>
      </c>
      <c r="AW888" s="126">
        <f t="shared" ca="1" si="505"/>
        <v>10000</v>
      </c>
      <c r="AX888" s="750">
        <f t="shared" ca="1" si="525"/>
        <v>0</v>
      </c>
      <c r="AY888" s="750">
        <f t="shared" ca="1" si="526"/>
        <v>0</v>
      </c>
      <c r="AZ888">
        <f t="shared" si="527"/>
        <v>5750</v>
      </c>
    </row>
    <row r="889" spans="4:52">
      <c r="D889">
        <v>882</v>
      </c>
      <c r="E889" s="6">
        <f t="shared" ca="1" si="506"/>
        <v>25934</v>
      </c>
      <c r="F889" s="7">
        <f t="shared" ca="1" si="507"/>
        <v>0</v>
      </c>
      <c r="G889" s="125">
        <f ca="1">IF('Simulador - 1º Pilar'!$E$99="Sí",IF('Aportaciones PPE'!$B$13&lt;'Aportaciones PPE'!E889,0,F889*$B$8/12),F889*$B$8/12)</f>
        <v>0</v>
      </c>
      <c r="H889" s="125">
        <f t="shared" ca="1" si="496"/>
        <v>0</v>
      </c>
      <c r="I889" s="125">
        <f t="shared" ca="1" si="508"/>
        <v>0</v>
      </c>
      <c r="J889" s="125">
        <f t="shared" ca="1" si="509"/>
        <v>0</v>
      </c>
      <c r="K889" s="125">
        <f t="shared" ca="1" si="510"/>
        <v>0</v>
      </c>
      <c r="L889" s="125">
        <f t="shared" ca="1" si="528"/>
        <v>0</v>
      </c>
      <c r="M889" s="125">
        <f t="shared" ca="1" si="511"/>
        <v>0</v>
      </c>
      <c r="N889" s="125">
        <f t="shared" ca="1" si="512"/>
        <v>0</v>
      </c>
      <c r="R889">
        <f t="shared" si="529"/>
        <v>882</v>
      </c>
      <c r="U889" s="55"/>
      <c r="V889">
        <f t="shared" si="530"/>
        <v>7</v>
      </c>
      <c r="W889">
        <f t="shared" ca="1" si="531"/>
        <v>2097</v>
      </c>
      <c r="X889" s="123">
        <f t="shared" ca="1" si="513"/>
        <v>72137</v>
      </c>
      <c r="Y889" s="64">
        <f t="shared" ca="1" si="514"/>
        <v>0</v>
      </c>
      <c r="Z889" s="64">
        <f t="shared" ca="1" si="515"/>
        <v>0</v>
      </c>
      <c r="AA889" s="64">
        <f t="shared" ca="1" si="516"/>
        <v>0</v>
      </c>
      <c r="AB889" s="64">
        <f t="shared" ca="1" si="517"/>
        <v>0</v>
      </c>
      <c r="AF889" t="str">
        <f t="shared" ca="1" si="497"/>
        <v>11971</v>
      </c>
      <c r="AG889" s="126">
        <f t="shared" ca="1" si="498"/>
        <v>0</v>
      </c>
      <c r="AH889" s="126">
        <f t="shared" ca="1" si="499"/>
        <v>0</v>
      </c>
      <c r="AI889" s="126">
        <f t="shared" ca="1" si="500"/>
        <v>0</v>
      </c>
      <c r="AJ889" t="str">
        <f t="shared" ca="1" si="501"/>
        <v>72097</v>
      </c>
      <c r="AK889" s="126">
        <f t="shared" ca="1" si="518"/>
        <v>0</v>
      </c>
      <c r="AL889" s="126">
        <f t="shared" ca="1" si="519"/>
        <v>0</v>
      </c>
      <c r="AM889" s="126">
        <f t="shared" ca="1" si="532"/>
        <v>0</v>
      </c>
      <c r="AN889" s="753">
        <f t="shared" ca="1" si="533"/>
        <v>0</v>
      </c>
      <c r="AO889" s="750">
        <f t="shared" ca="1" si="520"/>
        <v>0</v>
      </c>
      <c r="AP889" s="126">
        <f t="shared" ca="1" si="521"/>
        <v>0</v>
      </c>
      <c r="AQ889" s="126">
        <f t="shared" ca="1" si="522"/>
        <v>0</v>
      </c>
      <c r="AR889" s="126">
        <f t="shared" ca="1" si="502"/>
        <v>10000</v>
      </c>
      <c r="AS889" s="750">
        <f t="shared" ca="1" si="503"/>
        <v>0</v>
      </c>
      <c r="AT889" s="750">
        <f t="shared" ca="1" si="504"/>
        <v>0</v>
      </c>
      <c r="AU889" s="126">
        <f t="shared" ca="1" si="523"/>
        <v>0</v>
      </c>
      <c r="AV889" s="126">
        <f t="shared" ca="1" si="524"/>
        <v>0</v>
      </c>
      <c r="AW889" s="126">
        <f t="shared" ca="1" si="505"/>
        <v>10000</v>
      </c>
      <c r="AX889" s="750">
        <f t="shared" ca="1" si="525"/>
        <v>0</v>
      </c>
      <c r="AY889" s="750">
        <f t="shared" ca="1" si="526"/>
        <v>0</v>
      </c>
      <c r="AZ889">
        <f t="shared" si="527"/>
        <v>5750</v>
      </c>
    </row>
    <row r="890" spans="4:52">
      <c r="D890">
        <v>883</v>
      </c>
      <c r="E890" s="6">
        <f t="shared" ca="1" si="506"/>
        <v>25903</v>
      </c>
      <c r="F890" s="7">
        <f t="shared" ca="1" si="507"/>
        <v>0</v>
      </c>
      <c r="G890" s="125">
        <f ca="1">IF('Simulador - 1º Pilar'!$E$99="Sí",IF('Aportaciones PPE'!$B$13&lt;'Aportaciones PPE'!E890,0,F890*$B$8/12),F890*$B$8/12)</f>
        <v>0</v>
      </c>
      <c r="H890" s="125">
        <f t="shared" ca="1" si="496"/>
        <v>0</v>
      </c>
      <c r="I890" s="125">
        <f t="shared" ca="1" si="508"/>
        <v>0</v>
      </c>
      <c r="J890" s="125">
        <f t="shared" ca="1" si="509"/>
        <v>0</v>
      </c>
      <c r="K890" s="125">
        <f t="shared" ca="1" si="510"/>
        <v>0</v>
      </c>
      <c r="L890" s="125">
        <f t="shared" ca="1" si="528"/>
        <v>0</v>
      </c>
      <c r="M890" s="125">
        <f t="shared" ca="1" si="511"/>
        <v>0</v>
      </c>
      <c r="N890" s="125">
        <f t="shared" ca="1" si="512"/>
        <v>0</v>
      </c>
      <c r="R890">
        <f t="shared" si="529"/>
        <v>883</v>
      </c>
      <c r="U890" s="55"/>
      <c r="V890">
        <f t="shared" si="530"/>
        <v>8</v>
      </c>
      <c r="W890">
        <f t="shared" ca="1" si="531"/>
        <v>2097</v>
      </c>
      <c r="X890" s="123">
        <f t="shared" ca="1" si="513"/>
        <v>72168</v>
      </c>
      <c r="Y890" s="64">
        <f t="shared" ca="1" si="514"/>
        <v>0</v>
      </c>
      <c r="Z890" s="64">
        <f t="shared" ca="1" si="515"/>
        <v>0</v>
      </c>
      <c r="AA890" s="64">
        <f t="shared" ca="1" si="516"/>
        <v>0</v>
      </c>
      <c r="AB890" s="64">
        <f t="shared" ca="1" si="517"/>
        <v>0</v>
      </c>
      <c r="AF890" t="str">
        <f t="shared" ca="1" si="497"/>
        <v>121970</v>
      </c>
      <c r="AG890" s="126">
        <f t="shared" ca="1" si="498"/>
        <v>0</v>
      </c>
      <c r="AH890" s="126">
        <f t="shared" ca="1" si="499"/>
        <v>0</v>
      </c>
      <c r="AI890" s="126">
        <f t="shared" ca="1" si="500"/>
        <v>0</v>
      </c>
      <c r="AJ890" t="str">
        <f t="shared" ca="1" si="501"/>
        <v>82097</v>
      </c>
      <c r="AK890" s="126">
        <f t="shared" ca="1" si="518"/>
        <v>0</v>
      </c>
      <c r="AL890" s="126">
        <f t="shared" ca="1" si="519"/>
        <v>0</v>
      </c>
      <c r="AM890" s="126">
        <f t="shared" ca="1" si="532"/>
        <v>0</v>
      </c>
      <c r="AN890" s="753">
        <f t="shared" ca="1" si="533"/>
        <v>0</v>
      </c>
      <c r="AO890" s="750">
        <f t="shared" ca="1" si="520"/>
        <v>0</v>
      </c>
      <c r="AP890" s="126">
        <f t="shared" ca="1" si="521"/>
        <v>0</v>
      </c>
      <c r="AQ890" s="126">
        <f t="shared" ca="1" si="522"/>
        <v>0</v>
      </c>
      <c r="AR890" s="126">
        <f t="shared" ca="1" si="502"/>
        <v>10000</v>
      </c>
      <c r="AS890" s="750">
        <f t="shared" ca="1" si="503"/>
        <v>0</v>
      </c>
      <c r="AT890" s="750">
        <f t="shared" ca="1" si="504"/>
        <v>0</v>
      </c>
      <c r="AU890" s="126">
        <f t="shared" ca="1" si="523"/>
        <v>0</v>
      </c>
      <c r="AV890" s="126">
        <f t="shared" ca="1" si="524"/>
        <v>0</v>
      </c>
      <c r="AW890" s="126">
        <f t="shared" ca="1" si="505"/>
        <v>10000</v>
      </c>
      <c r="AX890" s="750">
        <f t="shared" ca="1" si="525"/>
        <v>0</v>
      </c>
      <c r="AY890" s="750">
        <f t="shared" ca="1" si="526"/>
        <v>0</v>
      </c>
      <c r="AZ890">
        <f t="shared" si="527"/>
        <v>5750</v>
      </c>
    </row>
    <row r="891" spans="4:52">
      <c r="D891">
        <v>884</v>
      </c>
      <c r="E891" s="6">
        <f t="shared" ca="1" si="506"/>
        <v>25873</v>
      </c>
      <c r="F891" s="7">
        <f t="shared" ca="1" si="507"/>
        <v>0</v>
      </c>
      <c r="G891" s="125">
        <f ca="1">IF('Simulador - 1º Pilar'!$E$99="Sí",IF('Aportaciones PPE'!$B$13&lt;'Aportaciones PPE'!E891,0,F891*$B$8/12),F891*$B$8/12)</f>
        <v>0</v>
      </c>
      <c r="H891" s="125">
        <f t="shared" ca="1" si="496"/>
        <v>0</v>
      </c>
      <c r="I891" s="125">
        <f t="shared" ca="1" si="508"/>
        <v>0</v>
      </c>
      <c r="J891" s="125">
        <f t="shared" ca="1" si="509"/>
        <v>0</v>
      </c>
      <c r="K891" s="125">
        <f t="shared" ca="1" si="510"/>
        <v>0</v>
      </c>
      <c r="L891" s="125">
        <f t="shared" ca="1" si="528"/>
        <v>0</v>
      </c>
      <c r="M891" s="125">
        <f t="shared" ca="1" si="511"/>
        <v>0</v>
      </c>
      <c r="N891" s="125">
        <f t="shared" ca="1" si="512"/>
        <v>0</v>
      </c>
      <c r="R891">
        <f t="shared" si="529"/>
        <v>884</v>
      </c>
      <c r="U891" s="55"/>
      <c r="V891">
        <f t="shared" si="530"/>
        <v>9</v>
      </c>
      <c r="W891">
        <f t="shared" ca="1" si="531"/>
        <v>2097</v>
      </c>
      <c r="X891" s="123">
        <f t="shared" ca="1" si="513"/>
        <v>72199</v>
      </c>
      <c r="Y891" s="64">
        <f t="shared" ca="1" si="514"/>
        <v>0</v>
      </c>
      <c r="Z891" s="64">
        <f t="shared" ca="1" si="515"/>
        <v>0</v>
      </c>
      <c r="AA891" s="64">
        <f t="shared" ca="1" si="516"/>
        <v>0</v>
      </c>
      <c r="AB891" s="64">
        <f t="shared" ca="1" si="517"/>
        <v>0</v>
      </c>
      <c r="AF891" t="str">
        <f t="shared" ca="1" si="497"/>
        <v>111970</v>
      </c>
      <c r="AG891" s="126">
        <f t="shared" ca="1" si="498"/>
        <v>0</v>
      </c>
      <c r="AH891" s="126">
        <f t="shared" ca="1" si="499"/>
        <v>0</v>
      </c>
      <c r="AI891" s="126">
        <f t="shared" ca="1" si="500"/>
        <v>0</v>
      </c>
      <c r="AJ891" t="str">
        <f t="shared" ca="1" si="501"/>
        <v>92097</v>
      </c>
      <c r="AK891" s="126">
        <f t="shared" ca="1" si="518"/>
        <v>0</v>
      </c>
      <c r="AL891" s="126">
        <f t="shared" ca="1" si="519"/>
        <v>0</v>
      </c>
      <c r="AM891" s="126">
        <f t="shared" ca="1" si="532"/>
        <v>0</v>
      </c>
      <c r="AN891" s="753">
        <f t="shared" ca="1" si="533"/>
        <v>0</v>
      </c>
      <c r="AO891" s="750">
        <f t="shared" ca="1" si="520"/>
        <v>0</v>
      </c>
      <c r="AP891" s="126">
        <f t="shared" ca="1" si="521"/>
        <v>0</v>
      </c>
      <c r="AQ891" s="126">
        <f t="shared" ca="1" si="522"/>
        <v>0</v>
      </c>
      <c r="AR891" s="126">
        <f t="shared" ca="1" si="502"/>
        <v>10000</v>
      </c>
      <c r="AS891" s="750">
        <f t="shared" ca="1" si="503"/>
        <v>0</v>
      </c>
      <c r="AT891" s="750">
        <f t="shared" ca="1" si="504"/>
        <v>0</v>
      </c>
      <c r="AU891" s="126">
        <f t="shared" ca="1" si="523"/>
        <v>0</v>
      </c>
      <c r="AV891" s="126">
        <f t="shared" ca="1" si="524"/>
        <v>0</v>
      </c>
      <c r="AW891" s="126">
        <f t="shared" ca="1" si="505"/>
        <v>10000</v>
      </c>
      <c r="AX891" s="750">
        <f t="shared" ca="1" si="525"/>
        <v>0</v>
      </c>
      <c r="AY891" s="750">
        <f t="shared" ca="1" si="526"/>
        <v>0</v>
      </c>
      <c r="AZ891">
        <f t="shared" si="527"/>
        <v>5750</v>
      </c>
    </row>
    <row r="892" spans="4:52">
      <c r="D892">
        <v>885</v>
      </c>
      <c r="E892" s="6">
        <f t="shared" ca="1" si="506"/>
        <v>25842</v>
      </c>
      <c r="F892" s="7">
        <f t="shared" ca="1" si="507"/>
        <v>0</v>
      </c>
      <c r="G892" s="125">
        <f ca="1">IF('Simulador - 1º Pilar'!$E$99="Sí",IF('Aportaciones PPE'!$B$13&lt;'Aportaciones PPE'!E892,0,F892*$B$8/12),F892*$B$8/12)</f>
        <v>0</v>
      </c>
      <c r="H892" s="125">
        <f t="shared" ca="1" si="496"/>
        <v>0</v>
      </c>
      <c r="I892" s="125">
        <f t="shared" ca="1" si="508"/>
        <v>0</v>
      </c>
      <c r="J892" s="125">
        <f t="shared" ca="1" si="509"/>
        <v>0</v>
      </c>
      <c r="K892" s="125">
        <f t="shared" ca="1" si="510"/>
        <v>0</v>
      </c>
      <c r="L892" s="125">
        <f t="shared" ca="1" si="528"/>
        <v>0</v>
      </c>
      <c r="M892" s="125">
        <f t="shared" ca="1" si="511"/>
        <v>0</v>
      </c>
      <c r="N892" s="125">
        <f t="shared" ca="1" si="512"/>
        <v>0</v>
      </c>
      <c r="R892">
        <f t="shared" si="529"/>
        <v>885</v>
      </c>
      <c r="U892" s="55"/>
      <c r="V892">
        <f t="shared" si="530"/>
        <v>10</v>
      </c>
      <c r="W892">
        <f t="shared" ca="1" si="531"/>
        <v>2097</v>
      </c>
      <c r="X892" s="123">
        <f t="shared" ca="1" si="513"/>
        <v>72229</v>
      </c>
      <c r="Y892" s="64">
        <f t="shared" ca="1" si="514"/>
        <v>0</v>
      </c>
      <c r="Z892" s="64">
        <f t="shared" ca="1" si="515"/>
        <v>0</v>
      </c>
      <c r="AA892" s="64">
        <f t="shared" ca="1" si="516"/>
        <v>0</v>
      </c>
      <c r="AB892" s="64">
        <f t="shared" ca="1" si="517"/>
        <v>0</v>
      </c>
      <c r="AF892" t="str">
        <f t="shared" ca="1" si="497"/>
        <v>101970</v>
      </c>
      <c r="AG892" s="126">
        <f t="shared" ca="1" si="498"/>
        <v>0</v>
      </c>
      <c r="AH892" s="126">
        <f t="shared" ca="1" si="499"/>
        <v>0</v>
      </c>
      <c r="AI892" s="126">
        <f t="shared" ca="1" si="500"/>
        <v>0</v>
      </c>
      <c r="AJ892" t="str">
        <f t="shared" ca="1" si="501"/>
        <v>102097</v>
      </c>
      <c r="AK892" s="126">
        <f t="shared" ca="1" si="518"/>
        <v>0</v>
      </c>
      <c r="AL892" s="126">
        <f t="shared" ca="1" si="519"/>
        <v>0</v>
      </c>
      <c r="AM892" s="126">
        <f t="shared" ca="1" si="532"/>
        <v>0</v>
      </c>
      <c r="AN892" s="753">
        <f t="shared" ca="1" si="533"/>
        <v>0</v>
      </c>
      <c r="AO892" s="750">
        <f t="shared" ca="1" si="520"/>
        <v>0</v>
      </c>
      <c r="AP892" s="126">
        <f t="shared" ca="1" si="521"/>
        <v>0</v>
      </c>
      <c r="AQ892" s="126">
        <f t="shared" ca="1" si="522"/>
        <v>0</v>
      </c>
      <c r="AR892" s="126">
        <f t="shared" ca="1" si="502"/>
        <v>10000</v>
      </c>
      <c r="AS892" s="750">
        <f t="shared" ca="1" si="503"/>
        <v>0</v>
      </c>
      <c r="AT892" s="750">
        <f t="shared" ca="1" si="504"/>
        <v>0</v>
      </c>
      <c r="AU892" s="126">
        <f t="shared" ca="1" si="523"/>
        <v>0</v>
      </c>
      <c r="AV892" s="126">
        <f t="shared" ca="1" si="524"/>
        <v>0</v>
      </c>
      <c r="AW892" s="126">
        <f t="shared" ca="1" si="505"/>
        <v>10000</v>
      </c>
      <c r="AX892" s="750">
        <f t="shared" ca="1" si="525"/>
        <v>0</v>
      </c>
      <c r="AY892" s="750">
        <f t="shared" ca="1" si="526"/>
        <v>0</v>
      </c>
      <c r="AZ892">
        <f t="shared" si="527"/>
        <v>5750</v>
      </c>
    </row>
    <row r="893" spans="4:52">
      <c r="D893">
        <v>886</v>
      </c>
      <c r="E893" s="6">
        <f t="shared" ca="1" si="506"/>
        <v>25812</v>
      </c>
      <c r="F893" s="7">
        <f t="shared" ca="1" si="507"/>
        <v>0</v>
      </c>
      <c r="G893" s="125">
        <f ca="1">IF('Simulador - 1º Pilar'!$E$99="Sí",IF('Aportaciones PPE'!$B$13&lt;'Aportaciones PPE'!E893,0,F893*$B$8/12),F893*$B$8/12)</f>
        <v>0</v>
      </c>
      <c r="H893" s="125">
        <f t="shared" ca="1" si="496"/>
        <v>0</v>
      </c>
      <c r="I893" s="125">
        <f t="shared" ca="1" si="508"/>
        <v>0</v>
      </c>
      <c r="J893" s="125">
        <f t="shared" ca="1" si="509"/>
        <v>0</v>
      </c>
      <c r="K893" s="125">
        <f t="shared" ca="1" si="510"/>
        <v>0</v>
      </c>
      <c r="L893" s="125">
        <f t="shared" ca="1" si="528"/>
        <v>0</v>
      </c>
      <c r="M893" s="125">
        <f t="shared" ca="1" si="511"/>
        <v>0</v>
      </c>
      <c r="N893" s="125">
        <f t="shared" ca="1" si="512"/>
        <v>0</v>
      </c>
      <c r="R893">
        <f t="shared" si="529"/>
        <v>886</v>
      </c>
      <c r="U893" s="55"/>
      <c r="V893">
        <f t="shared" si="530"/>
        <v>11</v>
      </c>
      <c r="W893">
        <f t="shared" ca="1" si="531"/>
        <v>2097</v>
      </c>
      <c r="X893" s="123">
        <f t="shared" ca="1" si="513"/>
        <v>72260</v>
      </c>
      <c r="Y893" s="64">
        <f t="shared" ca="1" si="514"/>
        <v>0</v>
      </c>
      <c r="Z893" s="64">
        <f t="shared" ca="1" si="515"/>
        <v>0</v>
      </c>
      <c r="AA893" s="64">
        <f t="shared" ca="1" si="516"/>
        <v>0</v>
      </c>
      <c r="AB893" s="64">
        <f t="shared" ca="1" si="517"/>
        <v>0</v>
      </c>
      <c r="AF893" t="str">
        <f t="shared" ca="1" si="497"/>
        <v>91970</v>
      </c>
      <c r="AG893" s="126">
        <f t="shared" ca="1" si="498"/>
        <v>0</v>
      </c>
      <c r="AH893" s="126">
        <f t="shared" ca="1" si="499"/>
        <v>0</v>
      </c>
      <c r="AI893" s="126">
        <f t="shared" ca="1" si="500"/>
        <v>0</v>
      </c>
      <c r="AJ893" t="str">
        <f t="shared" ca="1" si="501"/>
        <v>112097</v>
      </c>
      <c r="AK893" s="126">
        <f t="shared" ca="1" si="518"/>
        <v>0</v>
      </c>
      <c r="AL893" s="126">
        <f t="shared" ca="1" si="519"/>
        <v>0</v>
      </c>
      <c r="AM893" s="126">
        <f t="shared" ca="1" si="532"/>
        <v>0</v>
      </c>
      <c r="AN893" s="753">
        <f t="shared" ca="1" si="533"/>
        <v>0</v>
      </c>
      <c r="AO893" s="750">
        <f t="shared" ca="1" si="520"/>
        <v>0</v>
      </c>
      <c r="AP893" s="126">
        <f t="shared" ca="1" si="521"/>
        <v>0</v>
      </c>
      <c r="AQ893" s="126">
        <f t="shared" ca="1" si="522"/>
        <v>0</v>
      </c>
      <c r="AR893" s="126">
        <f t="shared" ca="1" si="502"/>
        <v>10000</v>
      </c>
      <c r="AS893" s="750">
        <f t="shared" ca="1" si="503"/>
        <v>0</v>
      </c>
      <c r="AT893" s="750">
        <f t="shared" ca="1" si="504"/>
        <v>0</v>
      </c>
      <c r="AU893" s="126">
        <f t="shared" ca="1" si="523"/>
        <v>0</v>
      </c>
      <c r="AV893" s="126">
        <f t="shared" ca="1" si="524"/>
        <v>0</v>
      </c>
      <c r="AW893" s="126">
        <f t="shared" ca="1" si="505"/>
        <v>10000</v>
      </c>
      <c r="AX893" s="750">
        <f t="shared" ca="1" si="525"/>
        <v>0</v>
      </c>
      <c r="AY893" s="750">
        <f t="shared" ca="1" si="526"/>
        <v>0</v>
      </c>
      <c r="AZ893">
        <f t="shared" si="527"/>
        <v>5750</v>
      </c>
    </row>
    <row r="894" spans="4:52">
      <c r="D894">
        <v>887</v>
      </c>
      <c r="E894" s="6">
        <f t="shared" ca="1" si="506"/>
        <v>25781</v>
      </c>
      <c r="F894" s="7">
        <f t="shared" ca="1" si="507"/>
        <v>0</v>
      </c>
      <c r="G894" s="125">
        <f ca="1">IF('Simulador - 1º Pilar'!$E$99="Sí",IF('Aportaciones PPE'!$B$13&lt;'Aportaciones PPE'!E894,0,F894*$B$8/12),F894*$B$8/12)</f>
        <v>0</v>
      </c>
      <c r="H894" s="125">
        <f t="shared" ca="1" si="496"/>
        <v>0</v>
      </c>
      <c r="I894" s="125">
        <f t="shared" ca="1" si="508"/>
        <v>0</v>
      </c>
      <c r="J894" s="125">
        <f t="shared" ca="1" si="509"/>
        <v>0</v>
      </c>
      <c r="K894" s="125">
        <f t="shared" ca="1" si="510"/>
        <v>0</v>
      </c>
      <c r="L894" s="125">
        <f t="shared" ca="1" si="528"/>
        <v>0</v>
      </c>
      <c r="M894" s="125">
        <f t="shared" ca="1" si="511"/>
        <v>0</v>
      </c>
      <c r="N894" s="125">
        <f t="shared" ca="1" si="512"/>
        <v>0</v>
      </c>
      <c r="R894">
        <f t="shared" si="529"/>
        <v>887</v>
      </c>
      <c r="U894" s="55"/>
      <c r="V894">
        <f t="shared" si="530"/>
        <v>12</v>
      </c>
      <c r="W894">
        <f t="shared" ca="1" si="531"/>
        <v>2097</v>
      </c>
      <c r="X894" s="123">
        <f t="shared" ca="1" si="513"/>
        <v>72290</v>
      </c>
      <c r="Y894" s="64">
        <f t="shared" ca="1" si="514"/>
        <v>0</v>
      </c>
      <c r="Z894" s="64">
        <f t="shared" ca="1" si="515"/>
        <v>0</v>
      </c>
      <c r="AA894" s="64">
        <f t="shared" ca="1" si="516"/>
        <v>0</v>
      </c>
      <c r="AB894" s="64">
        <f t="shared" ca="1" si="517"/>
        <v>0</v>
      </c>
      <c r="AF894" t="str">
        <f t="shared" ca="1" si="497"/>
        <v>81970</v>
      </c>
      <c r="AG894" s="126">
        <f t="shared" ca="1" si="498"/>
        <v>0</v>
      </c>
      <c r="AH894" s="126">
        <f t="shared" ca="1" si="499"/>
        <v>0</v>
      </c>
      <c r="AI894" s="126">
        <f t="shared" ca="1" si="500"/>
        <v>0</v>
      </c>
      <c r="AJ894" t="str">
        <f t="shared" ca="1" si="501"/>
        <v>122097</v>
      </c>
      <c r="AK894" s="126">
        <f t="shared" ca="1" si="518"/>
        <v>0</v>
      </c>
      <c r="AL894" s="126">
        <f t="shared" ca="1" si="519"/>
        <v>0</v>
      </c>
      <c r="AM894" s="126">
        <f t="shared" ca="1" si="532"/>
        <v>0</v>
      </c>
      <c r="AN894" s="753">
        <f t="shared" ca="1" si="533"/>
        <v>0</v>
      </c>
      <c r="AO894" s="750">
        <f t="shared" ca="1" si="520"/>
        <v>0</v>
      </c>
      <c r="AP894" s="126">
        <f t="shared" ca="1" si="521"/>
        <v>0</v>
      </c>
      <c r="AQ894" s="126">
        <f t="shared" ca="1" si="522"/>
        <v>0</v>
      </c>
      <c r="AR894" s="126">
        <f t="shared" ca="1" si="502"/>
        <v>10000</v>
      </c>
      <c r="AS894" s="750">
        <f t="shared" ca="1" si="503"/>
        <v>0</v>
      </c>
      <c r="AT894" s="750">
        <f t="shared" ca="1" si="504"/>
        <v>0</v>
      </c>
      <c r="AU894" s="126">
        <f t="shared" ca="1" si="523"/>
        <v>0</v>
      </c>
      <c r="AV894" s="126">
        <f t="shared" ca="1" si="524"/>
        <v>0</v>
      </c>
      <c r="AW894" s="126">
        <f t="shared" ca="1" si="505"/>
        <v>10000</v>
      </c>
      <c r="AX894" s="750">
        <f t="shared" ca="1" si="525"/>
        <v>0</v>
      </c>
      <c r="AY894" s="750">
        <f t="shared" ca="1" si="526"/>
        <v>0</v>
      </c>
      <c r="AZ894">
        <f t="shared" si="527"/>
        <v>5750</v>
      </c>
    </row>
    <row r="895" spans="4:52">
      <c r="D895">
        <v>888</v>
      </c>
      <c r="E895" s="6">
        <f t="shared" ca="1" si="506"/>
        <v>25750</v>
      </c>
      <c r="F895" s="7">
        <f t="shared" ca="1" si="507"/>
        <v>0</v>
      </c>
      <c r="G895" s="125">
        <f ca="1">IF('Simulador - 1º Pilar'!$E$99="Sí",IF('Aportaciones PPE'!$B$13&lt;'Aportaciones PPE'!E895,0,F895*$B$8/12),F895*$B$8/12)</f>
        <v>0</v>
      </c>
      <c r="H895" s="125">
        <f t="shared" ca="1" si="496"/>
        <v>0</v>
      </c>
      <c r="I895" s="125">
        <f t="shared" ca="1" si="508"/>
        <v>0</v>
      </c>
      <c r="J895" s="125">
        <f t="shared" ca="1" si="509"/>
        <v>0</v>
      </c>
      <c r="K895" s="125">
        <f t="shared" ca="1" si="510"/>
        <v>0</v>
      </c>
      <c r="L895" s="125">
        <f t="shared" ca="1" si="528"/>
        <v>0</v>
      </c>
      <c r="M895" s="125">
        <f t="shared" ca="1" si="511"/>
        <v>0</v>
      </c>
      <c r="N895" s="125">
        <f t="shared" ca="1" si="512"/>
        <v>0</v>
      </c>
      <c r="R895">
        <f t="shared" si="529"/>
        <v>888</v>
      </c>
      <c r="U895" s="55"/>
      <c r="V895">
        <f t="shared" si="530"/>
        <v>1</v>
      </c>
      <c r="W895">
        <f t="shared" ca="1" si="531"/>
        <v>2098</v>
      </c>
      <c r="X895" s="123">
        <f t="shared" ca="1" si="513"/>
        <v>72321</v>
      </c>
      <c r="Y895" s="64">
        <f t="shared" ca="1" si="514"/>
        <v>0</v>
      </c>
      <c r="Z895" s="64">
        <f t="shared" ca="1" si="515"/>
        <v>0</v>
      </c>
      <c r="AA895" s="64">
        <f t="shared" ca="1" si="516"/>
        <v>0</v>
      </c>
      <c r="AB895" s="64">
        <f t="shared" ca="1" si="517"/>
        <v>0</v>
      </c>
      <c r="AF895" t="str">
        <f t="shared" ca="1" si="497"/>
        <v>71970</v>
      </c>
      <c r="AG895" s="126">
        <f t="shared" ca="1" si="498"/>
        <v>0</v>
      </c>
      <c r="AH895" s="126">
        <f t="shared" ca="1" si="499"/>
        <v>0</v>
      </c>
      <c r="AI895" s="126">
        <f t="shared" ca="1" si="500"/>
        <v>0</v>
      </c>
      <c r="AJ895" t="str">
        <f t="shared" ca="1" si="501"/>
        <v>12098</v>
      </c>
      <c r="AK895" s="126">
        <f t="shared" ca="1" si="518"/>
        <v>0</v>
      </c>
      <c r="AL895" s="126">
        <f t="shared" ca="1" si="519"/>
        <v>0</v>
      </c>
      <c r="AM895" s="126">
        <f t="shared" ca="1" si="532"/>
        <v>0</v>
      </c>
      <c r="AN895" s="753">
        <f t="shared" ca="1" si="533"/>
        <v>0</v>
      </c>
      <c r="AO895" s="750">
        <f t="shared" ca="1" si="520"/>
        <v>0</v>
      </c>
      <c r="AP895" s="126">
        <f t="shared" ca="1" si="521"/>
        <v>0</v>
      </c>
      <c r="AQ895" s="126">
        <f t="shared" ca="1" si="522"/>
        <v>0</v>
      </c>
      <c r="AR895" s="126">
        <f t="shared" ca="1" si="502"/>
        <v>10000</v>
      </c>
      <c r="AS895" s="750">
        <f t="shared" ca="1" si="503"/>
        <v>0</v>
      </c>
      <c r="AT895" s="750">
        <f t="shared" ca="1" si="504"/>
        <v>0</v>
      </c>
      <c r="AU895" s="126">
        <f t="shared" ca="1" si="523"/>
        <v>0</v>
      </c>
      <c r="AV895" s="126">
        <f t="shared" ca="1" si="524"/>
        <v>0</v>
      </c>
      <c r="AW895" s="126">
        <f t="shared" ca="1" si="505"/>
        <v>10000</v>
      </c>
      <c r="AX895" s="750">
        <f t="shared" ca="1" si="525"/>
        <v>0</v>
      </c>
      <c r="AY895" s="750">
        <f t="shared" ca="1" si="526"/>
        <v>0</v>
      </c>
      <c r="AZ895">
        <f t="shared" si="527"/>
        <v>5750</v>
      </c>
    </row>
    <row r="896" spans="4:52">
      <c r="D896">
        <v>889</v>
      </c>
      <c r="E896" s="6">
        <f t="shared" ca="1" si="506"/>
        <v>25720</v>
      </c>
      <c r="F896" s="7">
        <f t="shared" ca="1" si="507"/>
        <v>0</v>
      </c>
      <c r="G896" s="125">
        <f ca="1">IF('Simulador - 1º Pilar'!$E$99="Sí",IF('Aportaciones PPE'!$B$13&lt;'Aportaciones PPE'!E896,0,F896*$B$8/12),F896*$B$8/12)</f>
        <v>0</v>
      </c>
      <c r="H896" s="125">
        <f t="shared" ca="1" si="496"/>
        <v>0</v>
      </c>
      <c r="I896" s="125">
        <f t="shared" ca="1" si="508"/>
        <v>0</v>
      </c>
      <c r="J896" s="125">
        <f t="shared" ca="1" si="509"/>
        <v>0</v>
      </c>
      <c r="K896" s="125">
        <f t="shared" ca="1" si="510"/>
        <v>0</v>
      </c>
      <c r="L896" s="125">
        <f t="shared" ca="1" si="528"/>
        <v>0</v>
      </c>
      <c r="M896" s="125">
        <f t="shared" ca="1" si="511"/>
        <v>0</v>
      </c>
      <c r="N896" s="125">
        <f t="shared" ca="1" si="512"/>
        <v>0</v>
      </c>
      <c r="R896">
        <f t="shared" si="529"/>
        <v>889</v>
      </c>
      <c r="U896" s="55"/>
      <c r="V896">
        <f t="shared" si="530"/>
        <v>2</v>
      </c>
      <c r="W896">
        <f t="shared" ca="1" si="531"/>
        <v>2098</v>
      </c>
      <c r="X896" s="123">
        <f t="shared" ca="1" si="513"/>
        <v>72352</v>
      </c>
      <c r="Y896" s="64">
        <f t="shared" ca="1" si="514"/>
        <v>0</v>
      </c>
      <c r="Z896" s="64">
        <f t="shared" ca="1" si="515"/>
        <v>0</v>
      </c>
      <c r="AA896" s="64">
        <f t="shared" ca="1" si="516"/>
        <v>0</v>
      </c>
      <c r="AB896" s="64">
        <f t="shared" ca="1" si="517"/>
        <v>0</v>
      </c>
      <c r="AF896" t="str">
        <f t="shared" ca="1" si="497"/>
        <v>61970</v>
      </c>
      <c r="AG896" s="126">
        <f t="shared" ca="1" si="498"/>
        <v>0</v>
      </c>
      <c r="AH896" s="126">
        <f t="shared" ca="1" si="499"/>
        <v>0</v>
      </c>
      <c r="AI896" s="126">
        <f t="shared" ca="1" si="500"/>
        <v>0</v>
      </c>
      <c r="AJ896" t="str">
        <f t="shared" ca="1" si="501"/>
        <v>22098</v>
      </c>
      <c r="AK896" s="126">
        <f t="shared" ca="1" si="518"/>
        <v>0</v>
      </c>
      <c r="AL896" s="126">
        <f t="shared" ca="1" si="519"/>
        <v>0</v>
      </c>
      <c r="AM896" s="126">
        <f t="shared" ca="1" si="532"/>
        <v>0</v>
      </c>
      <c r="AN896" s="753">
        <f t="shared" ca="1" si="533"/>
        <v>0</v>
      </c>
      <c r="AO896" s="750">
        <f t="shared" ca="1" si="520"/>
        <v>0</v>
      </c>
      <c r="AP896" s="126">
        <f t="shared" ca="1" si="521"/>
        <v>0</v>
      </c>
      <c r="AQ896" s="126">
        <f t="shared" ca="1" si="522"/>
        <v>0</v>
      </c>
      <c r="AR896" s="126">
        <f t="shared" ca="1" si="502"/>
        <v>10000</v>
      </c>
      <c r="AS896" s="750">
        <f t="shared" ca="1" si="503"/>
        <v>0</v>
      </c>
      <c r="AT896" s="750">
        <f t="shared" ca="1" si="504"/>
        <v>0</v>
      </c>
      <c r="AU896" s="126">
        <f t="shared" ca="1" si="523"/>
        <v>0</v>
      </c>
      <c r="AV896" s="126">
        <f t="shared" ca="1" si="524"/>
        <v>0</v>
      </c>
      <c r="AW896" s="126">
        <f t="shared" ca="1" si="505"/>
        <v>10000</v>
      </c>
      <c r="AX896" s="750">
        <f t="shared" ca="1" si="525"/>
        <v>0</v>
      </c>
      <c r="AY896" s="750">
        <f t="shared" ca="1" si="526"/>
        <v>0</v>
      </c>
      <c r="AZ896">
        <f t="shared" si="527"/>
        <v>5750</v>
      </c>
    </row>
    <row r="897" spans="4:52">
      <c r="D897">
        <v>890</v>
      </c>
      <c r="E897" s="6">
        <f t="shared" ca="1" si="506"/>
        <v>25689</v>
      </c>
      <c r="F897" s="7">
        <f t="shared" ca="1" si="507"/>
        <v>0</v>
      </c>
      <c r="G897" s="125">
        <f ca="1">IF('Simulador - 1º Pilar'!$E$99="Sí",IF('Aportaciones PPE'!$B$13&lt;'Aportaciones PPE'!E897,0,F897*$B$8/12),F897*$B$8/12)</f>
        <v>0</v>
      </c>
      <c r="H897" s="125">
        <f t="shared" ca="1" si="496"/>
        <v>0</v>
      </c>
      <c r="I897" s="125">
        <f t="shared" ca="1" si="508"/>
        <v>0</v>
      </c>
      <c r="J897" s="125">
        <f t="shared" ca="1" si="509"/>
        <v>0</v>
      </c>
      <c r="K897" s="125">
        <f t="shared" ca="1" si="510"/>
        <v>0</v>
      </c>
      <c r="L897" s="125">
        <f t="shared" ca="1" si="528"/>
        <v>0</v>
      </c>
      <c r="M897" s="125">
        <f t="shared" ca="1" si="511"/>
        <v>0</v>
      </c>
      <c r="N897" s="125">
        <f t="shared" ca="1" si="512"/>
        <v>0</v>
      </c>
      <c r="R897">
        <f t="shared" si="529"/>
        <v>890</v>
      </c>
      <c r="U897" s="55"/>
      <c r="V897">
        <f t="shared" si="530"/>
        <v>3</v>
      </c>
      <c r="W897">
        <f t="shared" ca="1" si="531"/>
        <v>2098</v>
      </c>
      <c r="X897" s="123">
        <f t="shared" ca="1" si="513"/>
        <v>72380</v>
      </c>
      <c r="Y897" s="64">
        <f t="shared" ca="1" si="514"/>
        <v>0</v>
      </c>
      <c r="Z897" s="64">
        <f t="shared" ca="1" si="515"/>
        <v>0</v>
      </c>
      <c r="AA897" s="64">
        <f t="shared" ca="1" si="516"/>
        <v>0</v>
      </c>
      <c r="AB897" s="64">
        <f t="shared" ca="1" si="517"/>
        <v>0</v>
      </c>
      <c r="AF897" t="str">
        <f t="shared" ca="1" si="497"/>
        <v>51970</v>
      </c>
      <c r="AG897" s="126">
        <f t="shared" ca="1" si="498"/>
        <v>0</v>
      </c>
      <c r="AH897" s="126">
        <f t="shared" ca="1" si="499"/>
        <v>0</v>
      </c>
      <c r="AI897" s="126">
        <f t="shared" ca="1" si="500"/>
        <v>0</v>
      </c>
      <c r="AJ897" t="str">
        <f t="shared" ca="1" si="501"/>
        <v>32098</v>
      </c>
      <c r="AK897" s="126">
        <f t="shared" ca="1" si="518"/>
        <v>0</v>
      </c>
      <c r="AL897" s="126">
        <f t="shared" ca="1" si="519"/>
        <v>0</v>
      </c>
      <c r="AM897" s="126">
        <f t="shared" ca="1" si="532"/>
        <v>0</v>
      </c>
      <c r="AN897" s="753">
        <f t="shared" ca="1" si="533"/>
        <v>0</v>
      </c>
      <c r="AO897" s="750">
        <f t="shared" ca="1" si="520"/>
        <v>0</v>
      </c>
      <c r="AP897" s="126">
        <f t="shared" ca="1" si="521"/>
        <v>0</v>
      </c>
      <c r="AQ897" s="126">
        <f t="shared" ca="1" si="522"/>
        <v>0</v>
      </c>
      <c r="AR897" s="126">
        <f t="shared" ca="1" si="502"/>
        <v>10000</v>
      </c>
      <c r="AS897" s="750">
        <f t="shared" ca="1" si="503"/>
        <v>0</v>
      </c>
      <c r="AT897" s="750">
        <f t="shared" ca="1" si="504"/>
        <v>0</v>
      </c>
      <c r="AU897" s="126">
        <f t="shared" ca="1" si="523"/>
        <v>0</v>
      </c>
      <c r="AV897" s="126">
        <f t="shared" ca="1" si="524"/>
        <v>0</v>
      </c>
      <c r="AW897" s="126">
        <f t="shared" ca="1" si="505"/>
        <v>10000</v>
      </c>
      <c r="AX897" s="750">
        <f t="shared" ca="1" si="525"/>
        <v>0</v>
      </c>
      <c r="AY897" s="750">
        <f t="shared" ca="1" si="526"/>
        <v>0</v>
      </c>
      <c r="AZ897">
        <f t="shared" si="527"/>
        <v>5750</v>
      </c>
    </row>
    <row r="898" spans="4:52">
      <c r="D898">
        <v>891</v>
      </c>
      <c r="E898" s="6">
        <f t="shared" ca="1" si="506"/>
        <v>25659</v>
      </c>
      <c r="F898" s="7">
        <f t="shared" ca="1" si="507"/>
        <v>0</v>
      </c>
      <c r="G898" s="125">
        <f ca="1">IF('Simulador - 1º Pilar'!$E$99="Sí",IF('Aportaciones PPE'!$B$13&lt;'Aportaciones PPE'!E898,0,F898*$B$8/12),F898*$B$8/12)</f>
        <v>0</v>
      </c>
      <c r="H898" s="125">
        <f t="shared" ca="1" si="496"/>
        <v>0</v>
      </c>
      <c r="I898" s="125">
        <f t="shared" ca="1" si="508"/>
        <v>0</v>
      </c>
      <c r="J898" s="125">
        <f t="shared" ca="1" si="509"/>
        <v>0</v>
      </c>
      <c r="K898" s="125">
        <f t="shared" ca="1" si="510"/>
        <v>0</v>
      </c>
      <c r="L898" s="125">
        <f t="shared" ca="1" si="528"/>
        <v>0</v>
      </c>
      <c r="M898" s="125">
        <f t="shared" ca="1" si="511"/>
        <v>0</v>
      </c>
      <c r="N898" s="125">
        <f t="shared" ca="1" si="512"/>
        <v>0</v>
      </c>
      <c r="R898">
        <f t="shared" si="529"/>
        <v>891</v>
      </c>
      <c r="U898" s="55"/>
      <c r="V898">
        <f t="shared" si="530"/>
        <v>4</v>
      </c>
      <c r="W898">
        <f t="shared" ca="1" si="531"/>
        <v>2098</v>
      </c>
      <c r="X898" s="123">
        <f t="shared" ca="1" si="513"/>
        <v>72411</v>
      </c>
      <c r="Y898" s="64">
        <f t="shared" ca="1" si="514"/>
        <v>0</v>
      </c>
      <c r="Z898" s="64">
        <f t="shared" ca="1" si="515"/>
        <v>0</v>
      </c>
      <c r="AA898" s="64">
        <f t="shared" ca="1" si="516"/>
        <v>0</v>
      </c>
      <c r="AB898" s="64">
        <f t="shared" ca="1" si="517"/>
        <v>0</v>
      </c>
      <c r="AF898" t="str">
        <f t="shared" ca="1" si="497"/>
        <v>41970</v>
      </c>
      <c r="AG898" s="126">
        <f t="shared" ca="1" si="498"/>
        <v>0</v>
      </c>
      <c r="AH898" s="126">
        <f t="shared" ca="1" si="499"/>
        <v>0</v>
      </c>
      <c r="AI898" s="126">
        <f t="shared" ca="1" si="500"/>
        <v>0</v>
      </c>
      <c r="AJ898" t="str">
        <f t="shared" ca="1" si="501"/>
        <v>42098</v>
      </c>
      <c r="AK898" s="126">
        <f t="shared" ca="1" si="518"/>
        <v>0</v>
      </c>
      <c r="AL898" s="126">
        <f t="shared" ca="1" si="519"/>
        <v>0</v>
      </c>
      <c r="AM898" s="126">
        <f t="shared" ca="1" si="532"/>
        <v>0</v>
      </c>
      <c r="AN898" s="753">
        <f t="shared" ca="1" si="533"/>
        <v>0</v>
      </c>
      <c r="AO898" s="750">
        <f t="shared" ca="1" si="520"/>
        <v>0</v>
      </c>
      <c r="AP898" s="126">
        <f t="shared" ca="1" si="521"/>
        <v>0</v>
      </c>
      <c r="AQ898" s="126">
        <f t="shared" ca="1" si="522"/>
        <v>0</v>
      </c>
      <c r="AR898" s="126">
        <f t="shared" ca="1" si="502"/>
        <v>10000</v>
      </c>
      <c r="AS898" s="750">
        <f t="shared" ca="1" si="503"/>
        <v>0</v>
      </c>
      <c r="AT898" s="750">
        <f t="shared" ca="1" si="504"/>
        <v>0</v>
      </c>
      <c r="AU898" s="126">
        <f t="shared" ca="1" si="523"/>
        <v>0</v>
      </c>
      <c r="AV898" s="126">
        <f t="shared" ca="1" si="524"/>
        <v>0</v>
      </c>
      <c r="AW898" s="126">
        <f t="shared" ca="1" si="505"/>
        <v>10000</v>
      </c>
      <c r="AX898" s="750">
        <f t="shared" ca="1" si="525"/>
        <v>0</v>
      </c>
      <c r="AY898" s="750">
        <f t="shared" ca="1" si="526"/>
        <v>0</v>
      </c>
      <c r="AZ898">
        <f t="shared" si="527"/>
        <v>5750</v>
      </c>
    </row>
    <row r="899" spans="4:52">
      <c r="D899">
        <v>892</v>
      </c>
      <c r="E899" s="6">
        <f t="shared" ca="1" si="506"/>
        <v>25628</v>
      </c>
      <c r="F899" s="7">
        <f t="shared" ca="1" si="507"/>
        <v>0</v>
      </c>
      <c r="G899" s="125">
        <f ca="1">IF('Simulador - 1º Pilar'!$E$99="Sí",IF('Aportaciones PPE'!$B$13&lt;'Aportaciones PPE'!E899,0,F899*$B$8/12),F899*$B$8/12)</f>
        <v>0</v>
      </c>
      <c r="H899" s="125">
        <f t="shared" ca="1" si="496"/>
        <v>0</v>
      </c>
      <c r="I899" s="125">
        <f t="shared" ca="1" si="508"/>
        <v>0</v>
      </c>
      <c r="J899" s="125">
        <f t="shared" ca="1" si="509"/>
        <v>0</v>
      </c>
      <c r="K899" s="125">
        <f t="shared" ca="1" si="510"/>
        <v>0</v>
      </c>
      <c r="L899" s="125">
        <f t="shared" ca="1" si="528"/>
        <v>0</v>
      </c>
      <c r="M899" s="125">
        <f t="shared" ca="1" si="511"/>
        <v>0</v>
      </c>
      <c r="N899" s="125">
        <f t="shared" ca="1" si="512"/>
        <v>0</v>
      </c>
      <c r="R899">
        <f t="shared" si="529"/>
        <v>892</v>
      </c>
      <c r="U899" s="55"/>
      <c r="V899">
        <f t="shared" si="530"/>
        <v>5</v>
      </c>
      <c r="W899">
        <f t="shared" ca="1" si="531"/>
        <v>2098</v>
      </c>
      <c r="X899" s="123">
        <f t="shared" ca="1" si="513"/>
        <v>72441</v>
      </c>
      <c r="Y899" s="64">
        <f t="shared" ca="1" si="514"/>
        <v>0</v>
      </c>
      <c r="Z899" s="64">
        <f t="shared" ca="1" si="515"/>
        <v>0</v>
      </c>
      <c r="AA899" s="64">
        <f t="shared" ca="1" si="516"/>
        <v>0</v>
      </c>
      <c r="AB899" s="64">
        <f t="shared" ca="1" si="517"/>
        <v>0</v>
      </c>
      <c r="AF899" t="str">
        <f t="shared" ca="1" si="497"/>
        <v>31970</v>
      </c>
      <c r="AG899" s="126">
        <f t="shared" ca="1" si="498"/>
        <v>0</v>
      </c>
      <c r="AH899" s="126">
        <f t="shared" ca="1" si="499"/>
        <v>0</v>
      </c>
      <c r="AI899" s="126">
        <f t="shared" ca="1" si="500"/>
        <v>0</v>
      </c>
      <c r="AJ899" t="str">
        <f t="shared" ca="1" si="501"/>
        <v>52098</v>
      </c>
      <c r="AK899" s="126">
        <f t="shared" ca="1" si="518"/>
        <v>0</v>
      </c>
      <c r="AL899" s="126">
        <f t="shared" ca="1" si="519"/>
        <v>0</v>
      </c>
      <c r="AM899" s="126">
        <f t="shared" ca="1" si="532"/>
        <v>0</v>
      </c>
      <c r="AN899" s="753">
        <f t="shared" ca="1" si="533"/>
        <v>0</v>
      </c>
      <c r="AO899" s="750">
        <f t="shared" ca="1" si="520"/>
        <v>0</v>
      </c>
      <c r="AP899" s="126">
        <f t="shared" ca="1" si="521"/>
        <v>0</v>
      </c>
      <c r="AQ899" s="126">
        <f t="shared" ca="1" si="522"/>
        <v>0</v>
      </c>
      <c r="AR899" s="126">
        <f t="shared" ca="1" si="502"/>
        <v>10000</v>
      </c>
      <c r="AS899" s="750">
        <f t="shared" ca="1" si="503"/>
        <v>0</v>
      </c>
      <c r="AT899" s="750">
        <f t="shared" ca="1" si="504"/>
        <v>0</v>
      </c>
      <c r="AU899" s="126">
        <f t="shared" ca="1" si="523"/>
        <v>0</v>
      </c>
      <c r="AV899" s="126">
        <f t="shared" ca="1" si="524"/>
        <v>0</v>
      </c>
      <c r="AW899" s="126">
        <f t="shared" ca="1" si="505"/>
        <v>10000</v>
      </c>
      <c r="AX899" s="750">
        <f t="shared" ca="1" si="525"/>
        <v>0</v>
      </c>
      <c r="AY899" s="750">
        <f t="shared" ca="1" si="526"/>
        <v>0</v>
      </c>
      <c r="AZ899">
        <f t="shared" si="527"/>
        <v>5750</v>
      </c>
    </row>
    <row r="900" spans="4:52">
      <c r="D900">
        <v>893</v>
      </c>
      <c r="E900" s="6">
        <f t="shared" ca="1" si="506"/>
        <v>25600</v>
      </c>
      <c r="F900" s="7">
        <f t="shared" ca="1" si="507"/>
        <v>0</v>
      </c>
      <c r="G900" s="125">
        <f ca="1">IF('Simulador - 1º Pilar'!$E$99="Sí",IF('Aportaciones PPE'!$B$13&lt;'Aportaciones PPE'!E900,0,F900*$B$8/12),F900*$B$8/12)</f>
        <v>0</v>
      </c>
      <c r="H900" s="125">
        <f t="shared" ca="1" si="496"/>
        <v>0</v>
      </c>
      <c r="I900" s="125">
        <f t="shared" ca="1" si="508"/>
        <v>0</v>
      </c>
      <c r="J900" s="125">
        <f t="shared" ca="1" si="509"/>
        <v>0</v>
      </c>
      <c r="K900" s="125">
        <f t="shared" ca="1" si="510"/>
        <v>0</v>
      </c>
      <c r="L900" s="125">
        <f t="shared" ca="1" si="528"/>
        <v>0</v>
      </c>
      <c r="M900" s="125">
        <f t="shared" ca="1" si="511"/>
        <v>0</v>
      </c>
      <c r="N900" s="125">
        <f t="shared" ca="1" si="512"/>
        <v>0</v>
      </c>
      <c r="R900">
        <f t="shared" si="529"/>
        <v>893</v>
      </c>
      <c r="U900" s="55"/>
      <c r="V900">
        <f t="shared" si="530"/>
        <v>6</v>
      </c>
      <c r="W900">
        <f t="shared" ca="1" si="531"/>
        <v>2098</v>
      </c>
      <c r="X900" s="123">
        <f t="shared" ca="1" si="513"/>
        <v>72472</v>
      </c>
      <c r="Y900" s="64">
        <f t="shared" ca="1" si="514"/>
        <v>0</v>
      </c>
      <c r="Z900" s="64">
        <f t="shared" ca="1" si="515"/>
        <v>0</v>
      </c>
      <c r="AA900" s="64">
        <f t="shared" ca="1" si="516"/>
        <v>0</v>
      </c>
      <c r="AB900" s="64">
        <f t="shared" ca="1" si="517"/>
        <v>0</v>
      </c>
      <c r="AF900" t="str">
        <f t="shared" ca="1" si="497"/>
        <v>21970</v>
      </c>
      <c r="AG900" s="126">
        <f t="shared" ca="1" si="498"/>
        <v>0</v>
      </c>
      <c r="AH900" s="126">
        <f t="shared" ca="1" si="499"/>
        <v>0</v>
      </c>
      <c r="AI900" s="126">
        <f t="shared" ca="1" si="500"/>
        <v>0</v>
      </c>
      <c r="AJ900" t="str">
        <f t="shared" ca="1" si="501"/>
        <v>62098</v>
      </c>
      <c r="AK900" s="126">
        <f t="shared" ca="1" si="518"/>
        <v>0</v>
      </c>
      <c r="AL900" s="126">
        <f t="shared" ca="1" si="519"/>
        <v>0</v>
      </c>
      <c r="AM900" s="126">
        <f t="shared" ca="1" si="532"/>
        <v>0</v>
      </c>
      <c r="AN900" s="753">
        <f t="shared" ca="1" si="533"/>
        <v>0</v>
      </c>
      <c r="AO900" s="750">
        <f t="shared" ca="1" si="520"/>
        <v>0</v>
      </c>
      <c r="AP900" s="126">
        <f t="shared" ca="1" si="521"/>
        <v>0</v>
      </c>
      <c r="AQ900" s="126">
        <f t="shared" ca="1" si="522"/>
        <v>0</v>
      </c>
      <c r="AR900" s="126">
        <f t="shared" ca="1" si="502"/>
        <v>10000</v>
      </c>
      <c r="AS900" s="750">
        <f t="shared" ca="1" si="503"/>
        <v>0</v>
      </c>
      <c r="AT900" s="750">
        <f t="shared" ca="1" si="504"/>
        <v>0</v>
      </c>
      <c r="AU900" s="126">
        <f t="shared" ca="1" si="523"/>
        <v>0</v>
      </c>
      <c r="AV900" s="126">
        <f t="shared" ca="1" si="524"/>
        <v>0</v>
      </c>
      <c r="AW900" s="126">
        <f t="shared" ca="1" si="505"/>
        <v>10000</v>
      </c>
      <c r="AX900" s="750">
        <f t="shared" ca="1" si="525"/>
        <v>0</v>
      </c>
      <c r="AY900" s="750">
        <f t="shared" ca="1" si="526"/>
        <v>0</v>
      </c>
      <c r="AZ900">
        <f t="shared" si="527"/>
        <v>5750</v>
      </c>
    </row>
    <row r="901" spans="4:52">
      <c r="D901">
        <v>894</v>
      </c>
      <c r="E901" s="6">
        <f t="shared" ca="1" si="506"/>
        <v>25569</v>
      </c>
      <c r="F901" s="7">
        <f t="shared" ca="1" si="507"/>
        <v>0</v>
      </c>
      <c r="G901" s="125">
        <f ca="1">IF('Simulador - 1º Pilar'!$E$99="Sí",IF('Aportaciones PPE'!$B$13&lt;'Aportaciones PPE'!E901,0,F901*$B$8/12),F901*$B$8/12)</f>
        <v>0</v>
      </c>
      <c r="H901" s="125">
        <f t="shared" ca="1" si="496"/>
        <v>0</v>
      </c>
      <c r="I901" s="125">
        <f t="shared" ca="1" si="508"/>
        <v>0</v>
      </c>
      <c r="J901" s="125">
        <f t="shared" ca="1" si="509"/>
        <v>0</v>
      </c>
      <c r="K901" s="125">
        <f t="shared" ca="1" si="510"/>
        <v>0</v>
      </c>
      <c r="L901" s="125">
        <f t="shared" ca="1" si="528"/>
        <v>0</v>
      </c>
      <c r="M901" s="125">
        <f t="shared" ca="1" si="511"/>
        <v>0</v>
      </c>
      <c r="N901" s="125">
        <f t="shared" ca="1" si="512"/>
        <v>0</v>
      </c>
      <c r="R901">
        <f t="shared" si="529"/>
        <v>894</v>
      </c>
      <c r="U901" s="55"/>
      <c r="V901">
        <f t="shared" si="530"/>
        <v>7</v>
      </c>
      <c r="W901">
        <f t="shared" ca="1" si="531"/>
        <v>2098</v>
      </c>
      <c r="X901" s="123">
        <f t="shared" ca="1" si="513"/>
        <v>72502</v>
      </c>
      <c r="Y901" s="64">
        <f t="shared" ca="1" si="514"/>
        <v>0</v>
      </c>
      <c r="Z901" s="64">
        <f t="shared" ca="1" si="515"/>
        <v>0</v>
      </c>
      <c r="AA901" s="64">
        <f t="shared" ca="1" si="516"/>
        <v>0</v>
      </c>
      <c r="AB901" s="64">
        <f t="shared" ca="1" si="517"/>
        <v>0</v>
      </c>
      <c r="AF901" t="str">
        <f t="shared" ca="1" si="497"/>
        <v>11970</v>
      </c>
      <c r="AG901" s="126">
        <f t="shared" ca="1" si="498"/>
        <v>0</v>
      </c>
      <c r="AH901" s="126">
        <f t="shared" ca="1" si="499"/>
        <v>0</v>
      </c>
      <c r="AI901" s="126">
        <f t="shared" ca="1" si="500"/>
        <v>0</v>
      </c>
      <c r="AJ901" t="str">
        <f t="shared" ca="1" si="501"/>
        <v>72098</v>
      </c>
      <c r="AK901" s="126">
        <f t="shared" ca="1" si="518"/>
        <v>0</v>
      </c>
      <c r="AL901" s="126">
        <f t="shared" ca="1" si="519"/>
        <v>0</v>
      </c>
      <c r="AM901" s="126">
        <f t="shared" ca="1" si="532"/>
        <v>0</v>
      </c>
      <c r="AN901" s="753">
        <f t="shared" ca="1" si="533"/>
        <v>0</v>
      </c>
      <c r="AO901" s="750">
        <f t="shared" ca="1" si="520"/>
        <v>0</v>
      </c>
      <c r="AP901" s="126">
        <f t="shared" ca="1" si="521"/>
        <v>0</v>
      </c>
      <c r="AQ901" s="126">
        <f t="shared" ca="1" si="522"/>
        <v>0</v>
      </c>
      <c r="AR901" s="126">
        <f t="shared" ca="1" si="502"/>
        <v>10000</v>
      </c>
      <c r="AS901" s="750">
        <f t="shared" ca="1" si="503"/>
        <v>0</v>
      </c>
      <c r="AT901" s="750">
        <f t="shared" ca="1" si="504"/>
        <v>0</v>
      </c>
      <c r="AU901" s="126">
        <f t="shared" ca="1" si="523"/>
        <v>0</v>
      </c>
      <c r="AV901" s="126">
        <f t="shared" ca="1" si="524"/>
        <v>0</v>
      </c>
      <c r="AW901" s="126">
        <f t="shared" ca="1" si="505"/>
        <v>10000</v>
      </c>
      <c r="AX901" s="750">
        <f t="shared" ca="1" si="525"/>
        <v>0</v>
      </c>
      <c r="AY901" s="750">
        <f t="shared" ca="1" si="526"/>
        <v>0</v>
      </c>
      <c r="AZ901">
        <f t="shared" si="527"/>
        <v>5750</v>
      </c>
    </row>
    <row r="902" spans="4:52">
      <c r="D902">
        <v>895</v>
      </c>
      <c r="E902" s="6">
        <f t="shared" ca="1" si="506"/>
        <v>25538</v>
      </c>
      <c r="F902" s="7">
        <f t="shared" ca="1" si="507"/>
        <v>0</v>
      </c>
      <c r="G902" s="125">
        <f ca="1">IF('Simulador - 1º Pilar'!$E$99="Sí",IF('Aportaciones PPE'!$B$13&lt;'Aportaciones PPE'!E902,0,F902*$B$8/12),F902*$B$8/12)</f>
        <v>0</v>
      </c>
      <c r="H902" s="125">
        <f t="shared" ca="1" si="496"/>
        <v>0</v>
      </c>
      <c r="I902" s="125">
        <f t="shared" ca="1" si="508"/>
        <v>0</v>
      </c>
      <c r="J902" s="125">
        <f t="shared" ca="1" si="509"/>
        <v>0</v>
      </c>
      <c r="K902" s="125">
        <f t="shared" ca="1" si="510"/>
        <v>0</v>
      </c>
      <c r="L902" s="125">
        <f t="shared" ca="1" si="528"/>
        <v>0</v>
      </c>
      <c r="M902" s="125">
        <f t="shared" ca="1" si="511"/>
        <v>0</v>
      </c>
      <c r="N902" s="125">
        <f t="shared" ca="1" si="512"/>
        <v>0</v>
      </c>
      <c r="R902">
        <f t="shared" si="529"/>
        <v>895</v>
      </c>
      <c r="U902" s="55"/>
      <c r="V902">
        <f t="shared" si="530"/>
        <v>8</v>
      </c>
      <c r="W902">
        <f t="shared" ca="1" si="531"/>
        <v>2098</v>
      </c>
      <c r="X902" s="123">
        <f t="shared" ca="1" si="513"/>
        <v>72533</v>
      </c>
      <c r="Y902" s="64">
        <f t="shared" ca="1" si="514"/>
        <v>0</v>
      </c>
      <c r="Z902" s="64">
        <f t="shared" ca="1" si="515"/>
        <v>0</v>
      </c>
      <c r="AA902" s="64">
        <f t="shared" ca="1" si="516"/>
        <v>0</v>
      </c>
      <c r="AB902" s="64">
        <f t="shared" ca="1" si="517"/>
        <v>0</v>
      </c>
      <c r="AF902" t="str">
        <f t="shared" ca="1" si="497"/>
        <v>121969</v>
      </c>
      <c r="AG902" s="126">
        <f t="shared" ca="1" si="498"/>
        <v>0</v>
      </c>
      <c r="AH902" s="126">
        <f t="shared" ca="1" si="499"/>
        <v>0</v>
      </c>
      <c r="AI902" s="126">
        <f t="shared" ca="1" si="500"/>
        <v>0</v>
      </c>
      <c r="AJ902" t="str">
        <f t="shared" ca="1" si="501"/>
        <v>82098</v>
      </c>
      <c r="AK902" s="126">
        <f t="shared" ca="1" si="518"/>
        <v>0</v>
      </c>
      <c r="AL902" s="126">
        <f t="shared" ca="1" si="519"/>
        <v>0</v>
      </c>
      <c r="AM902" s="126">
        <f t="shared" ca="1" si="532"/>
        <v>0</v>
      </c>
      <c r="AN902" s="753">
        <f t="shared" ca="1" si="533"/>
        <v>0</v>
      </c>
      <c r="AO902" s="750">
        <f t="shared" ca="1" si="520"/>
        <v>0</v>
      </c>
      <c r="AP902" s="126">
        <f t="shared" ca="1" si="521"/>
        <v>0</v>
      </c>
      <c r="AQ902" s="126">
        <f t="shared" ca="1" si="522"/>
        <v>0</v>
      </c>
      <c r="AR902" s="126">
        <f t="shared" ca="1" si="502"/>
        <v>10000</v>
      </c>
      <c r="AS902" s="750">
        <f t="shared" ca="1" si="503"/>
        <v>0</v>
      </c>
      <c r="AT902" s="750">
        <f t="shared" ca="1" si="504"/>
        <v>0</v>
      </c>
      <c r="AU902" s="126">
        <f t="shared" ca="1" si="523"/>
        <v>0</v>
      </c>
      <c r="AV902" s="126">
        <f t="shared" ca="1" si="524"/>
        <v>0</v>
      </c>
      <c r="AW902" s="126">
        <f t="shared" ca="1" si="505"/>
        <v>10000</v>
      </c>
      <c r="AX902" s="750">
        <f t="shared" ca="1" si="525"/>
        <v>0</v>
      </c>
      <c r="AY902" s="750">
        <f t="shared" ca="1" si="526"/>
        <v>0</v>
      </c>
      <c r="AZ902">
        <f t="shared" si="527"/>
        <v>5750</v>
      </c>
    </row>
    <row r="903" spans="4:52">
      <c r="D903">
        <v>896</v>
      </c>
      <c r="E903" s="6">
        <f t="shared" ca="1" si="506"/>
        <v>25508</v>
      </c>
      <c r="F903" s="7">
        <f t="shared" ca="1" si="507"/>
        <v>0</v>
      </c>
      <c r="G903" s="125">
        <f ca="1">IF('Simulador - 1º Pilar'!$E$99="Sí",IF('Aportaciones PPE'!$B$13&lt;'Aportaciones PPE'!E903,0,F903*$B$8/12),F903*$B$8/12)</f>
        <v>0</v>
      </c>
      <c r="H903" s="125">
        <f t="shared" ref="H903:H966" ca="1" si="534">$H$5*G903</f>
        <v>0</v>
      </c>
      <c r="I903" s="125">
        <f t="shared" ca="1" si="508"/>
        <v>0</v>
      </c>
      <c r="J903" s="125">
        <f t="shared" ca="1" si="509"/>
        <v>0</v>
      </c>
      <c r="K903" s="125">
        <f t="shared" ca="1" si="510"/>
        <v>0</v>
      </c>
      <c r="L903" s="125">
        <f t="shared" ca="1" si="528"/>
        <v>0</v>
      </c>
      <c r="M903" s="125">
        <f t="shared" ca="1" si="511"/>
        <v>0</v>
      </c>
      <c r="N903" s="125">
        <f t="shared" ca="1" si="512"/>
        <v>0</v>
      </c>
      <c r="R903">
        <f t="shared" si="529"/>
        <v>896</v>
      </c>
      <c r="U903" s="55"/>
      <c r="V903">
        <f t="shared" si="530"/>
        <v>9</v>
      </c>
      <c r="W903">
        <f t="shared" ca="1" si="531"/>
        <v>2098</v>
      </c>
      <c r="X903" s="123">
        <f t="shared" ca="1" si="513"/>
        <v>72564</v>
      </c>
      <c r="Y903" s="64">
        <f t="shared" ca="1" si="514"/>
        <v>0</v>
      </c>
      <c r="Z903" s="64">
        <f t="shared" ca="1" si="515"/>
        <v>0</v>
      </c>
      <c r="AA903" s="64">
        <f t="shared" ca="1" si="516"/>
        <v>0</v>
      </c>
      <c r="AB903" s="64">
        <f t="shared" ca="1" si="517"/>
        <v>0</v>
      </c>
      <c r="AF903" t="str">
        <f t="shared" ref="AF903:AF966" ca="1" si="535">+MONTH(E903)&amp;YEAR(E903)</f>
        <v>111969</v>
      </c>
      <c r="AG903" s="126">
        <f t="shared" ref="AG903:AG966" ca="1" si="536">+I903</f>
        <v>0</v>
      </c>
      <c r="AH903" s="126">
        <f t="shared" ref="AH903:AH966" ca="1" si="537">+J903</f>
        <v>0</v>
      </c>
      <c r="AI903" s="126">
        <f t="shared" ref="AI903:AI966" ca="1" si="538">+H903</f>
        <v>0</v>
      </c>
      <c r="AJ903" t="str">
        <f t="shared" ref="AJ903:AJ966" ca="1" si="539">+V903&amp;W903</f>
        <v>92098</v>
      </c>
      <c r="AK903" s="126">
        <f t="shared" ca="1" si="518"/>
        <v>0</v>
      </c>
      <c r="AL903" s="126">
        <f t="shared" ca="1" si="519"/>
        <v>0</v>
      </c>
      <c r="AM903" s="126">
        <f t="shared" ca="1" si="532"/>
        <v>0</v>
      </c>
      <c r="AN903" s="753">
        <f t="shared" ca="1" si="533"/>
        <v>0</v>
      </c>
      <c r="AO903" s="750">
        <f t="shared" ca="1" si="520"/>
        <v>0</v>
      </c>
      <c r="AP903" s="126">
        <f t="shared" ca="1" si="521"/>
        <v>0</v>
      </c>
      <c r="AQ903" s="126">
        <f t="shared" ca="1" si="522"/>
        <v>0</v>
      </c>
      <c r="AR903" s="126">
        <f t="shared" ref="AR903:AR966" ca="1" si="540">+MAX($AM$2-SUMIF($W$7:$W$1066,W903,$AN$7:$AN$1066),0)</f>
        <v>10000</v>
      </c>
      <c r="AS903" s="750">
        <f t="shared" ref="AS903:AS966" ca="1" si="541">+MAX(IF(AQ903&gt;AR903,AR903-AQ902,AP903),0)</f>
        <v>0</v>
      </c>
      <c r="AT903" s="750">
        <f t="shared" ref="AT903:AT966" ca="1" si="542">+AP903-AS903</f>
        <v>0</v>
      </c>
      <c r="AU903" s="126">
        <f t="shared" ca="1" si="523"/>
        <v>0</v>
      </c>
      <c r="AV903" s="126">
        <f t="shared" ca="1" si="524"/>
        <v>0</v>
      </c>
      <c r="AW903" s="126">
        <f t="shared" ref="AW903:AW966" ca="1" si="543">+MAX($AM$2-SUMIF($W$7:$W$1066,W903,$AN$7:$AN$1066)-SUMIF($W$7:$W$1066,W903,$AS$7:$AS$1066),0)</f>
        <v>10000</v>
      </c>
      <c r="AX903" s="750">
        <f t="shared" ca="1" si="525"/>
        <v>0</v>
      </c>
      <c r="AY903" s="750">
        <f t="shared" ca="1" si="526"/>
        <v>0</v>
      </c>
      <c r="AZ903">
        <f t="shared" si="527"/>
        <v>5750</v>
      </c>
    </row>
    <row r="904" spans="4:52">
      <c r="D904">
        <v>897</v>
      </c>
      <c r="E904" s="6">
        <f t="shared" ref="E904:E967" ca="1" si="544">+DATE(YEAR(E903),MONTH(E903)-1,DAY(E903))</f>
        <v>25477</v>
      </c>
      <c r="F904" s="7">
        <f t="shared" ref="F904:F967" ca="1" si="545">IF(DATE(YEAR($B$6),MONTH($B$6)+1,DAY(1))=E904,1,IF(MONTH(E904)=1,F905*(1+$F$5),F905))</f>
        <v>0</v>
      </c>
      <c r="G904" s="125">
        <f ca="1">IF('Simulador - 1º Pilar'!$E$99="Sí",IF('Aportaciones PPE'!$B$13&lt;'Aportaciones PPE'!E904,0,F904*$B$8/12),F904*$B$8/12)</f>
        <v>0</v>
      </c>
      <c r="H904" s="125">
        <f t="shared" ca="1" si="534"/>
        <v>0</v>
      </c>
      <c r="I904" s="125">
        <f t="shared" ref="I904:I967" ca="1" si="546">$I$5*G904</f>
        <v>0</v>
      </c>
      <c r="J904" s="125">
        <f t="shared" ref="J904:J967" ca="1" si="547">+I904</f>
        <v>0</v>
      </c>
      <c r="K904" s="125">
        <f t="shared" ref="K904:K967" ca="1" si="548">(1+$O$5)^(D904/12)*(H904+IF(AND(F904=1,F905=0),$S$4,0))</f>
        <v>0</v>
      </c>
      <c r="L904" s="125">
        <f t="shared" ca="1" si="528"/>
        <v>0</v>
      </c>
      <c r="M904" s="125">
        <f t="shared" ref="M904:M967" ca="1" si="549">+L904</f>
        <v>0</v>
      </c>
      <c r="N904" s="125">
        <f t="shared" ref="N904:N967" ca="1" si="550">L904+K904+M904</f>
        <v>0</v>
      </c>
      <c r="R904">
        <f t="shared" si="529"/>
        <v>897</v>
      </c>
      <c r="U904" s="55"/>
      <c r="V904">
        <f t="shared" si="530"/>
        <v>10</v>
      </c>
      <c r="W904">
        <f t="shared" ca="1" si="531"/>
        <v>2098</v>
      </c>
      <c r="X904" s="123">
        <f t="shared" ref="X904:X967" ca="1" si="551">+DATE(W904,V904,1)</f>
        <v>72594</v>
      </c>
      <c r="Y904" s="64">
        <f t="shared" ref="Y904:Y967" ca="1" si="552">+_xlfn.IFNA(AN904+AS904+AX904,0)</f>
        <v>0</v>
      </c>
      <c r="Z904" s="64">
        <f t="shared" ref="Z904:Z967" ca="1" si="553">+_xlfn.IFNA(AO904+AT904+AY904,0)</f>
        <v>0</v>
      </c>
      <c r="AA904" s="64">
        <f t="shared" ref="AA904:AA967" ca="1" si="554">Y904*(1+$O$5)^(($B$7-X904)/365.25)</f>
        <v>0</v>
      </c>
      <c r="AB904" s="64">
        <f t="shared" ref="AB904:AB967" ca="1" si="555">Z904*(1+$O$5)^(($B$7-X904)/365.25)</f>
        <v>0</v>
      </c>
      <c r="AF904" t="str">
        <f t="shared" ca="1" si="535"/>
        <v>101969</v>
      </c>
      <c r="AG904" s="126">
        <f t="shared" ca="1" si="536"/>
        <v>0</v>
      </c>
      <c r="AH904" s="126">
        <f t="shared" ca="1" si="537"/>
        <v>0</v>
      </c>
      <c r="AI904" s="126">
        <f t="shared" ca="1" si="538"/>
        <v>0</v>
      </c>
      <c r="AJ904" t="str">
        <f t="shared" ca="1" si="539"/>
        <v>102098</v>
      </c>
      <c r="AK904" s="126">
        <f t="shared" ref="AK904:AK967" ca="1" si="556">+_xlfn.IFNA(VLOOKUP(AJ904,$AF$7:$AG$1066,2,0),0)</f>
        <v>0</v>
      </c>
      <c r="AL904" s="126">
        <f t="shared" ref="AL904:AL967" ca="1" si="557">+IF(W904&gt;W903,AK904,AL903+AK904)</f>
        <v>0</v>
      </c>
      <c r="AM904" s="126">
        <f t="shared" ca="1" si="532"/>
        <v>0</v>
      </c>
      <c r="AN904" s="753">
        <f t="shared" ca="1" si="533"/>
        <v>0</v>
      </c>
      <c r="AO904" s="750">
        <f t="shared" ref="AO904:AO967" ca="1" si="558">+AK904-AN904</f>
        <v>0</v>
      </c>
      <c r="AP904" s="126">
        <f t="shared" ref="AP904:AP967" ca="1" si="559">+_xlfn.IFNA(VLOOKUP(AJ904,$AF$7:$AI$1066,3,0),0)</f>
        <v>0</v>
      </c>
      <c r="AQ904" s="126">
        <f t="shared" ref="AQ904:AQ967" ca="1" si="560">+IF(W904&gt;W903,AP904,AQ903+AP904)</f>
        <v>0</v>
      </c>
      <c r="AR904" s="126">
        <f t="shared" ca="1" si="540"/>
        <v>10000</v>
      </c>
      <c r="AS904" s="750">
        <f t="shared" ca="1" si="541"/>
        <v>0</v>
      </c>
      <c r="AT904" s="750">
        <f t="shared" ca="1" si="542"/>
        <v>0</v>
      </c>
      <c r="AU904" s="126">
        <f t="shared" ref="AU904:AU967" ca="1" si="561">+_xlfn.IFNA(VLOOKUP(AJ904,$AF$7:$AI$1066,4,0),0)</f>
        <v>0</v>
      </c>
      <c r="AV904" s="126">
        <f t="shared" ref="AV904:AV967" ca="1" si="562">+IF(W904&gt;W903,AU904,AV903+AU904)</f>
        <v>0</v>
      </c>
      <c r="AW904" s="126">
        <f t="shared" ca="1" si="543"/>
        <v>10000</v>
      </c>
      <c r="AX904" s="750">
        <f t="shared" ref="AX904:AX967" ca="1" si="563">+MAX(IF(AV904&gt;AW904,AW904-AV903,AU904),0)</f>
        <v>0</v>
      </c>
      <c r="AY904" s="750">
        <f t="shared" ref="AY904:AY967" ca="1" si="564">+AU904-AX904</f>
        <v>0</v>
      </c>
      <c r="AZ904">
        <f t="shared" ref="AZ904:AZ967" si="565">+$AM$1+IF($AP$1&gt;$AP$2,$AM$3/2)</f>
        <v>5750</v>
      </c>
    </row>
    <row r="905" spans="4:52">
      <c r="D905">
        <v>898</v>
      </c>
      <c r="E905" s="6">
        <f t="shared" ca="1" si="544"/>
        <v>25447</v>
      </c>
      <c r="F905" s="7">
        <f t="shared" ca="1" si="545"/>
        <v>0</v>
      </c>
      <c r="G905" s="125">
        <f ca="1">IF('Simulador - 1º Pilar'!$E$99="Sí",IF('Aportaciones PPE'!$B$13&lt;'Aportaciones PPE'!E905,0,F905*$B$8/12),F905*$B$8/12)</f>
        <v>0</v>
      </c>
      <c r="H905" s="125">
        <f t="shared" ca="1" si="534"/>
        <v>0</v>
      </c>
      <c r="I905" s="125">
        <f t="shared" ca="1" si="546"/>
        <v>0</v>
      </c>
      <c r="J905" s="125">
        <f t="shared" ca="1" si="547"/>
        <v>0</v>
      </c>
      <c r="K905" s="125">
        <f t="shared" ca="1" si="548"/>
        <v>0</v>
      </c>
      <c r="L905" s="125">
        <f t="shared" ref="L905:L968" ca="1" si="566">(1+$O$5)^(D905/12)*(I905+IF(AND(F905=1,F906=0),0))</f>
        <v>0</v>
      </c>
      <c r="M905" s="125">
        <f t="shared" ca="1" si="549"/>
        <v>0</v>
      </c>
      <c r="N905" s="125">
        <f t="shared" ca="1" si="550"/>
        <v>0</v>
      </c>
      <c r="R905">
        <f t="shared" ref="R905:R968" si="567">D905</f>
        <v>898</v>
      </c>
      <c r="U905" s="55"/>
      <c r="V905">
        <f t="shared" ref="V905:V968" si="568">+IF(V904=11,12,IF(V904=12,1,V904+1))</f>
        <v>11</v>
      </c>
      <c r="W905">
        <f t="shared" ref="W905:W968" ca="1" si="569">+W904+IF(V904=12,1,0)</f>
        <v>2098</v>
      </c>
      <c r="X905" s="123">
        <f t="shared" ca="1" si="551"/>
        <v>72625</v>
      </c>
      <c r="Y905" s="64">
        <f t="shared" ca="1" si="552"/>
        <v>0</v>
      </c>
      <c r="Z905" s="64">
        <f t="shared" ca="1" si="553"/>
        <v>0</v>
      </c>
      <c r="AA905" s="64">
        <f t="shared" ca="1" si="554"/>
        <v>0</v>
      </c>
      <c r="AB905" s="64">
        <f t="shared" ca="1" si="555"/>
        <v>0</v>
      </c>
      <c r="AF905" t="str">
        <f t="shared" ca="1" si="535"/>
        <v>91969</v>
      </c>
      <c r="AG905" s="126">
        <f t="shared" ca="1" si="536"/>
        <v>0</v>
      </c>
      <c r="AH905" s="126">
        <f t="shared" ca="1" si="537"/>
        <v>0</v>
      </c>
      <c r="AI905" s="126">
        <f t="shared" ca="1" si="538"/>
        <v>0</v>
      </c>
      <c r="AJ905" t="str">
        <f t="shared" ca="1" si="539"/>
        <v>112098</v>
      </c>
      <c r="AK905" s="126">
        <f t="shared" ca="1" si="556"/>
        <v>0</v>
      </c>
      <c r="AL905" s="126">
        <f t="shared" ca="1" si="557"/>
        <v>0</v>
      </c>
      <c r="AM905" s="126">
        <f t="shared" ref="AM905:AM968" ca="1" si="570">IF(W905&gt;W904,IF(AL905&gt;=$AZ$8,$AZ$8,AL905),IF(OR(AM904=$AZ$8,AM904=0),0,IF(AL905&gt;=$AZ$8,$AZ$8,AL905)))</f>
        <v>0</v>
      </c>
      <c r="AN905" s="753">
        <f t="shared" ref="AN905:AN968" ca="1" si="571">+IF(OR(AM905&gt;AZ904,AM905=0),0,IF(AM905=AL905,AK905,$AZ$7-AL904))</f>
        <v>0</v>
      </c>
      <c r="AO905" s="750">
        <f t="shared" ca="1" si="558"/>
        <v>0</v>
      </c>
      <c r="AP905" s="126">
        <f t="shared" ca="1" si="559"/>
        <v>0</v>
      </c>
      <c r="AQ905" s="126">
        <f t="shared" ca="1" si="560"/>
        <v>0</v>
      </c>
      <c r="AR905" s="126">
        <f t="shared" ca="1" si="540"/>
        <v>10000</v>
      </c>
      <c r="AS905" s="750">
        <f t="shared" ca="1" si="541"/>
        <v>0</v>
      </c>
      <c r="AT905" s="750">
        <f t="shared" ca="1" si="542"/>
        <v>0</v>
      </c>
      <c r="AU905" s="126">
        <f t="shared" ca="1" si="561"/>
        <v>0</v>
      </c>
      <c r="AV905" s="126">
        <f t="shared" ca="1" si="562"/>
        <v>0</v>
      </c>
      <c r="AW905" s="126">
        <f t="shared" ca="1" si="543"/>
        <v>10000</v>
      </c>
      <c r="AX905" s="750">
        <f t="shared" ca="1" si="563"/>
        <v>0</v>
      </c>
      <c r="AY905" s="750">
        <f t="shared" ca="1" si="564"/>
        <v>0</v>
      </c>
      <c r="AZ905">
        <f t="shared" si="565"/>
        <v>5750</v>
      </c>
    </row>
    <row r="906" spans="4:52">
      <c r="D906">
        <v>899</v>
      </c>
      <c r="E906" s="6">
        <f t="shared" ca="1" si="544"/>
        <v>25416</v>
      </c>
      <c r="F906" s="7">
        <f t="shared" ca="1" si="545"/>
        <v>0</v>
      </c>
      <c r="G906" s="125">
        <f ca="1">IF('Simulador - 1º Pilar'!$E$99="Sí",IF('Aportaciones PPE'!$B$13&lt;'Aportaciones PPE'!E906,0,F906*$B$8/12),F906*$B$8/12)</f>
        <v>0</v>
      </c>
      <c r="H906" s="125">
        <f t="shared" ca="1" si="534"/>
        <v>0</v>
      </c>
      <c r="I906" s="125">
        <f t="shared" ca="1" si="546"/>
        <v>0</v>
      </c>
      <c r="J906" s="125">
        <f t="shared" ca="1" si="547"/>
        <v>0</v>
      </c>
      <c r="K906" s="125">
        <f t="shared" ca="1" si="548"/>
        <v>0</v>
      </c>
      <c r="L906" s="125">
        <f t="shared" ca="1" si="566"/>
        <v>0</v>
      </c>
      <c r="M906" s="125">
        <f t="shared" ca="1" si="549"/>
        <v>0</v>
      </c>
      <c r="N906" s="125">
        <f t="shared" ca="1" si="550"/>
        <v>0</v>
      </c>
      <c r="R906">
        <f t="shared" si="567"/>
        <v>899</v>
      </c>
      <c r="U906" s="55"/>
      <c r="V906">
        <f t="shared" si="568"/>
        <v>12</v>
      </c>
      <c r="W906">
        <f t="shared" ca="1" si="569"/>
        <v>2098</v>
      </c>
      <c r="X906" s="123">
        <f t="shared" ca="1" si="551"/>
        <v>72655</v>
      </c>
      <c r="Y906" s="64">
        <f t="shared" ca="1" si="552"/>
        <v>0</v>
      </c>
      <c r="Z906" s="64">
        <f t="shared" ca="1" si="553"/>
        <v>0</v>
      </c>
      <c r="AA906" s="64">
        <f t="shared" ca="1" si="554"/>
        <v>0</v>
      </c>
      <c r="AB906" s="64">
        <f t="shared" ca="1" si="555"/>
        <v>0</v>
      </c>
      <c r="AF906" t="str">
        <f t="shared" ca="1" si="535"/>
        <v>81969</v>
      </c>
      <c r="AG906" s="126">
        <f t="shared" ca="1" si="536"/>
        <v>0</v>
      </c>
      <c r="AH906" s="126">
        <f t="shared" ca="1" si="537"/>
        <v>0</v>
      </c>
      <c r="AI906" s="126">
        <f t="shared" ca="1" si="538"/>
        <v>0</v>
      </c>
      <c r="AJ906" t="str">
        <f t="shared" ca="1" si="539"/>
        <v>122098</v>
      </c>
      <c r="AK906" s="126">
        <f t="shared" ca="1" si="556"/>
        <v>0</v>
      </c>
      <c r="AL906" s="126">
        <f t="shared" ca="1" si="557"/>
        <v>0</v>
      </c>
      <c r="AM906" s="126">
        <f t="shared" ca="1" si="570"/>
        <v>0</v>
      </c>
      <c r="AN906" s="753">
        <f t="shared" ca="1" si="571"/>
        <v>0</v>
      </c>
      <c r="AO906" s="750">
        <f t="shared" ca="1" si="558"/>
        <v>0</v>
      </c>
      <c r="AP906" s="126">
        <f t="shared" ca="1" si="559"/>
        <v>0</v>
      </c>
      <c r="AQ906" s="126">
        <f t="shared" ca="1" si="560"/>
        <v>0</v>
      </c>
      <c r="AR906" s="126">
        <f t="shared" ca="1" si="540"/>
        <v>10000</v>
      </c>
      <c r="AS906" s="750">
        <f t="shared" ca="1" si="541"/>
        <v>0</v>
      </c>
      <c r="AT906" s="750">
        <f t="shared" ca="1" si="542"/>
        <v>0</v>
      </c>
      <c r="AU906" s="126">
        <f t="shared" ca="1" si="561"/>
        <v>0</v>
      </c>
      <c r="AV906" s="126">
        <f t="shared" ca="1" si="562"/>
        <v>0</v>
      </c>
      <c r="AW906" s="126">
        <f t="shared" ca="1" si="543"/>
        <v>10000</v>
      </c>
      <c r="AX906" s="750">
        <f t="shared" ca="1" si="563"/>
        <v>0</v>
      </c>
      <c r="AY906" s="750">
        <f t="shared" ca="1" si="564"/>
        <v>0</v>
      </c>
      <c r="AZ906">
        <f t="shared" si="565"/>
        <v>5750</v>
      </c>
    </row>
    <row r="907" spans="4:52">
      <c r="D907">
        <v>900</v>
      </c>
      <c r="E907" s="6">
        <f t="shared" ca="1" si="544"/>
        <v>25385</v>
      </c>
      <c r="F907" s="7">
        <f t="shared" ca="1" si="545"/>
        <v>0</v>
      </c>
      <c r="G907" s="125">
        <f ca="1">IF('Simulador - 1º Pilar'!$E$99="Sí",IF('Aportaciones PPE'!$B$13&lt;'Aportaciones PPE'!E907,0,F907*$B$8/12),F907*$B$8/12)</f>
        <v>0</v>
      </c>
      <c r="H907" s="125">
        <f t="shared" ca="1" si="534"/>
        <v>0</v>
      </c>
      <c r="I907" s="125">
        <f t="shared" ca="1" si="546"/>
        <v>0</v>
      </c>
      <c r="J907" s="125">
        <f t="shared" ca="1" si="547"/>
        <v>0</v>
      </c>
      <c r="K907" s="125">
        <f t="shared" ca="1" si="548"/>
        <v>0</v>
      </c>
      <c r="L907" s="125">
        <f t="shared" ca="1" si="566"/>
        <v>0</v>
      </c>
      <c r="M907" s="125">
        <f t="shared" ca="1" si="549"/>
        <v>0</v>
      </c>
      <c r="N907" s="125">
        <f t="shared" ca="1" si="550"/>
        <v>0</v>
      </c>
      <c r="R907">
        <f t="shared" si="567"/>
        <v>900</v>
      </c>
      <c r="U907" s="55"/>
      <c r="V907">
        <f t="shared" si="568"/>
        <v>1</v>
      </c>
      <c r="W907">
        <f t="shared" ca="1" si="569"/>
        <v>2099</v>
      </c>
      <c r="X907" s="123">
        <f t="shared" ca="1" si="551"/>
        <v>72686</v>
      </c>
      <c r="Y907" s="64">
        <f t="shared" ca="1" si="552"/>
        <v>0</v>
      </c>
      <c r="Z907" s="64">
        <f t="shared" ca="1" si="553"/>
        <v>0</v>
      </c>
      <c r="AA907" s="64">
        <f t="shared" ca="1" si="554"/>
        <v>0</v>
      </c>
      <c r="AB907" s="64">
        <f t="shared" ca="1" si="555"/>
        <v>0</v>
      </c>
      <c r="AF907" t="str">
        <f t="shared" ca="1" si="535"/>
        <v>71969</v>
      </c>
      <c r="AG907" s="126">
        <f t="shared" ca="1" si="536"/>
        <v>0</v>
      </c>
      <c r="AH907" s="126">
        <f t="shared" ca="1" si="537"/>
        <v>0</v>
      </c>
      <c r="AI907" s="126">
        <f t="shared" ca="1" si="538"/>
        <v>0</v>
      </c>
      <c r="AJ907" t="str">
        <f t="shared" ca="1" si="539"/>
        <v>12099</v>
      </c>
      <c r="AK907" s="126">
        <f t="shared" ca="1" si="556"/>
        <v>0</v>
      </c>
      <c r="AL907" s="126">
        <f t="shared" ca="1" si="557"/>
        <v>0</v>
      </c>
      <c r="AM907" s="126">
        <f t="shared" ca="1" si="570"/>
        <v>0</v>
      </c>
      <c r="AN907" s="753">
        <f t="shared" ca="1" si="571"/>
        <v>0</v>
      </c>
      <c r="AO907" s="750">
        <f t="shared" ca="1" si="558"/>
        <v>0</v>
      </c>
      <c r="AP907" s="126">
        <f t="shared" ca="1" si="559"/>
        <v>0</v>
      </c>
      <c r="AQ907" s="126">
        <f t="shared" ca="1" si="560"/>
        <v>0</v>
      </c>
      <c r="AR907" s="126">
        <f t="shared" ca="1" si="540"/>
        <v>10000</v>
      </c>
      <c r="AS907" s="750">
        <f t="shared" ca="1" si="541"/>
        <v>0</v>
      </c>
      <c r="AT907" s="750">
        <f t="shared" ca="1" si="542"/>
        <v>0</v>
      </c>
      <c r="AU907" s="126">
        <f t="shared" ca="1" si="561"/>
        <v>0</v>
      </c>
      <c r="AV907" s="126">
        <f t="shared" ca="1" si="562"/>
        <v>0</v>
      </c>
      <c r="AW907" s="126">
        <f t="shared" ca="1" si="543"/>
        <v>10000</v>
      </c>
      <c r="AX907" s="750">
        <f t="shared" ca="1" si="563"/>
        <v>0</v>
      </c>
      <c r="AY907" s="750">
        <f t="shared" ca="1" si="564"/>
        <v>0</v>
      </c>
      <c r="AZ907">
        <f t="shared" si="565"/>
        <v>5750</v>
      </c>
    </row>
    <row r="908" spans="4:52">
      <c r="D908">
        <v>901</v>
      </c>
      <c r="E908" s="6">
        <f t="shared" ca="1" si="544"/>
        <v>25355</v>
      </c>
      <c r="F908" s="7">
        <f t="shared" ca="1" si="545"/>
        <v>0</v>
      </c>
      <c r="G908" s="125">
        <f ca="1">IF('Simulador - 1º Pilar'!$E$99="Sí",IF('Aportaciones PPE'!$B$13&lt;'Aportaciones PPE'!E908,0,F908*$B$8/12),F908*$B$8/12)</f>
        <v>0</v>
      </c>
      <c r="H908" s="125">
        <f t="shared" ca="1" si="534"/>
        <v>0</v>
      </c>
      <c r="I908" s="125">
        <f t="shared" ca="1" si="546"/>
        <v>0</v>
      </c>
      <c r="J908" s="125">
        <f t="shared" ca="1" si="547"/>
        <v>0</v>
      </c>
      <c r="K908" s="125">
        <f t="shared" ca="1" si="548"/>
        <v>0</v>
      </c>
      <c r="L908" s="125">
        <f t="shared" ca="1" si="566"/>
        <v>0</v>
      </c>
      <c r="M908" s="125">
        <f t="shared" ca="1" si="549"/>
        <v>0</v>
      </c>
      <c r="N908" s="125">
        <f t="shared" ca="1" si="550"/>
        <v>0</v>
      </c>
      <c r="R908">
        <f t="shared" si="567"/>
        <v>901</v>
      </c>
      <c r="U908" s="55"/>
      <c r="V908">
        <f t="shared" si="568"/>
        <v>2</v>
      </c>
      <c r="W908">
        <f t="shared" ca="1" si="569"/>
        <v>2099</v>
      </c>
      <c r="X908" s="123">
        <f t="shared" ca="1" si="551"/>
        <v>72717</v>
      </c>
      <c r="Y908" s="64">
        <f t="shared" ca="1" si="552"/>
        <v>0</v>
      </c>
      <c r="Z908" s="64">
        <f t="shared" ca="1" si="553"/>
        <v>0</v>
      </c>
      <c r="AA908" s="64">
        <f t="shared" ca="1" si="554"/>
        <v>0</v>
      </c>
      <c r="AB908" s="64">
        <f t="shared" ca="1" si="555"/>
        <v>0</v>
      </c>
      <c r="AF908" t="str">
        <f t="shared" ca="1" si="535"/>
        <v>61969</v>
      </c>
      <c r="AG908" s="126">
        <f t="shared" ca="1" si="536"/>
        <v>0</v>
      </c>
      <c r="AH908" s="126">
        <f t="shared" ca="1" si="537"/>
        <v>0</v>
      </c>
      <c r="AI908" s="126">
        <f t="shared" ca="1" si="538"/>
        <v>0</v>
      </c>
      <c r="AJ908" t="str">
        <f t="shared" ca="1" si="539"/>
        <v>22099</v>
      </c>
      <c r="AK908" s="126">
        <f t="shared" ca="1" si="556"/>
        <v>0</v>
      </c>
      <c r="AL908" s="126">
        <f t="shared" ca="1" si="557"/>
        <v>0</v>
      </c>
      <c r="AM908" s="126">
        <f t="shared" ca="1" si="570"/>
        <v>0</v>
      </c>
      <c r="AN908" s="753">
        <f t="shared" ca="1" si="571"/>
        <v>0</v>
      </c>
      <c r="AO908" s="750">
        <f t="shared" ca="1" si="558"/>
        <v>0</v>
      </c>
      <c r="AP908" s="126">
        <f t="shared" ca="1" si="559"/>
        <v>0</v>
      </c>
      <c r="AQ908" s="126">
        <f t="shared" ca="1" si="560"/>
        <v>0</v>
      </c>
      <c r="AR908" s="126">
        <f t="shared" ca="1" si="540"/>
        <v>10000</v>
      </c>
      <c r="AS908" s="750">
        <f t="shared" ca="1" si="541"/>
        <v>0</v>
      </c>
      <c r="AT908" s="750">
        <f t="shared" ca="1" si="542"/>
        <v>0</v>
      </c>
      <c r="AU908" s="126">
        <f t="shared" ca="1" si="561"/>
        <v>0</v>
      </c>
      <c r="AV908" s="126">
        <f t="shared" ca="1" si="562"/>
        <v>0</v>
      </c>
      <c r="AW908" s="126">
        <f t="shared" ca="1" si="543"/>
        <v>10000</v>
      </c>
      <c r="AX908" s="750">
        <f t="shared" ca="1" si="563"/>
        <v>0</v>
      </c>
      <c r="AY908" s="750">
        <f t="shared" ca="1" si="564"/>
        <v>0</v>
      </c>
      <c r="AZ908">
        <f t="shared" si="565"/>
        <v>5750</v>
      </c>
    </row>
    <row r="909" spans="4:52">
      <c r="D909">
        <v>902</v>
      </c>
      <c r="E909" s="6">
        <f t="shared" ca="1" si="544"/>
        <v>25324</v>
      </c>
      <c r="F909" s="7">
        <f t="shared" ca="1" si="545"/>
        <v>0</v>
      </c>
      <c r="G909" s="125">
        <f ca="1">IF('Simulador - 1º Pilar'!$E$99="Sí",IF('Aportaciones PPE'!$B$13&lt;'Aportaciones PPE'!E909,0,F909*$B$8/12),F909*$B$8/12)</f>
        <v>0</v>
      </c>
      <c r="H909" s="125">
        <f t="shared" ca="1" si="534"/>
        <v>0</v>
      </c>
      <c r="I909" s="125">
        <f t="shared" ca="1" si="546"/>
        <v>0</v>
      </c>
      <c r="J909" s="125">
        <f t="shared" ca="1" si="547"/>
        <v>0</v>
      </c>
      <c r="K909" s="125">
        <f t="shared" ca="1" si="548"/>
        <v>0</v>
      </c>
      <c r="L909" s="125">
        <f t="shared" ca="1" si="566"/>
        <v>0</v>
      </c>
      <c r="M909" s="125">
        <f t="shared" ca="1" si="549"/>
        <v>0</v>
      </c>
      <c r="N909" s="125">
        <f t="shared" ca="1" si="550"/>
        <v>0</v>
      </c>
      <c r="R909">
        <f t="shared" si="567"/>
        <v>902</v>
      </c>
      <c r="U909" s="55"/>
      <c r="V909">
        <f t="shared" si="568"/>
        <v>3</v>
      </c>
      <c r="W909">
        <f t="shared" ca="1" si="569"/>
        <v>2099</v>
      </c>
      <c r="X909" s="123">
        <f t="shared" ca="1" si="551"/>
        <v>72745</v>
      </c>
      <c r="Y909" s="64">
        <f t="shared" ca="1" si="552"/>
        <v>0</v>
      </c>
      <c r="Z909" s="64">
        <f t="shared" ca="1" si="553"/>
        <v>0</v>
      </c>
      <c r="AA909" s="64">
        <f t="shared" ca="1" si="554"/>
        <v>0</v>
      </c>
      <c r="AB909" s="64">
        <f t="shared" ca="1" si="555"/>
        <v>0</v>
      </c>
      <c r="AF909" t="str">
        <f t="shared" ca="1" si="535"/>
        <v>51969</v>
      </c>
      <c r="AG909" s="126">
        <f t="shared" ca="1" si="536"/>
        <v>0</v>
      </c>
      <c r="AH909" s="126">
        <f t="shared" ca="1" si="537"/>
        <v>0</v>
      </c>
      <c r="AI909" s="126">
        <f t="shared" ca="1" si="538"/>
        <v>0</v>
      </c>
      <c r="AJ909" t="str">
        <f t="shared" ca="1" si="539"/>
        <v>32099</v>
      </c>
      <c r="AK909" s="126">
        <f t="shared" ca="1" si="556"/>
        <v>0</v>
      </c>
      <c r="AL909" s="126">
        <f t="shared" ca="1" si="557"/>
        <v>0</v>
      </c>
      <c r="AM909" s="126">
        <f t="shared" ca="1" si="570"/>
        <v>0</v>
      </c>
      <c r="AN909" s="753">
        <f t="shared" ca="1" si="571"/>
        <v>0</v>
      </c>
      <c r="AO909" s="750">
        <f t="shared" ca="1" si="558"/>
        <v>0</v>
      </c>
      <c r="AP909" s="126">
        <f t="shared" ca="1" si="559"/>
        <v>0</v>
      </c>
      <c r="AQ909" s="126">
        <f t="shared" ca="1" si="560"/>
        <v>0</v>
      </c>
      <c r="AR909" s="126">
        <f t="shared" ca="1" si="540"/>
        <v>10000</v>
      </c>
      <c r="AS909" s="750">
        <f t="shared" ca="1" si="541"/>
        <v>0</v>
      </c>
      <c r="AT909" s="750">
        <f t="shared" ca="1" si="542"/>
        <v>0</v>
      </c>
      <c r="AU909" s="126">
        <f t="shared" ca="1" si="561"/>
        <v>0</v>
      </c>
      <c r="AV909" s="126">
        <f t="shared" ca="1" si="562"/>
        <v>0</v>
      </c>
      <c r="AW909" s="126">
        <f t="shared" ca="1" si="543"/>
        <v>10000</v>
      </c>
      <c r="AX909" s="750">
        <f t="shared" ca="1" si="563"/>
        <v>0</v>
      </c>
      <c r="AY909" s="750">
        <f t="shared" ca="1" si="564"/>
        <v>0</v>
      </c>
      <c r="AZ909">
        <f t="shared" si="565"/>
        <v>5750</v>
      </c>
    </row>
    <row r="910" spans="4:52">
      <c r="D910">
        <v>903</v>
      </c>
      <c r="E910" s="6">
        <f t="shared" ca="1" si="544"/>
        <v>25294</v>
      </c>
      <c r="F910" s="7">
        <f t="shared" ca="1" si="545"/>
        <v>0</v>
      </c>
      <c r="G910" s="125">
        <f ca="1">IF('Simulador - 1º Pilar'!$E$99="Sí",IF('Aportaciones PPE'!$B$13&lt;'Aportaciones PPE'!E910,0,F910*$B$8/12),F910*$B$8/12)</f>
        <v>0</v>
      </c>
      <c r="H910" s="125">
        <f t="shared" ca="1" si="534"/>
        <v>0</v>
      </c>
      <c r="I910" s="125">
        <f t="shared" ca="1" si="546"/>
        <v>0</v>
      </c>
      <c r="J910" s="125">
        <f t="shared" ca="1" si="547"/>
        <v>0</v>
      </c>
      <c r="K910" s="125">
        <f t="shared" ca="1" si="548"/>
        <v>0</v>
      </c>
      <c r="L910" s="125">
        <f t="shared" ca="1" si="566"/>
        <v>0</v>
      </c>
      <c r="M910" s="125">
        <f t="shared" ca="1" si="549"/>
        <v>0</v>
      </c>
      <c r="N910" s="125">
        <f t="shared" ca="1" si="550"/>
        <v>0</v>
      </c>
      <c r="R910">
        <f t="shared" si="567"/>
        <v>903</v>
      </c>
      <c r="U910" s="55"/>
      <c r="V910">
        <f t="shared" si="568"/>
        <v>4</v>
      </c>
      <c r="W910">
        <f t="shared" ca="1" si="569"/>
        <v>2099</v>
      </c>
      <c r="X910" s="123">
        <f t="shared" ca="1" si="551"/>
        <v>72776</v>
      </c>
      <c r="Y910" s="64">
        <f t="shared" ca="1" si="552"/>
        <v>0</v>
      </c>
      <c r="Z910" s="64">
        <f t="shared" ca="1" si="553"/>
        <v>0</v>
      </c>
      <c r="AA910" s="64">
        <f t="shared" ca="1" si="554"/>
        <v>0</v>
      </c>
      <c r="AB910" s="64">
        <f t="shared" ca="1" si="555"/>
        <v>0</v>
      </c>
      <c r="AF910" t="str">
        <f t="shared" ca="1" si="535"/>
        <v>41969</v>
      </c>
      <c r="AG910" s="126">
        <f t="shared" ca="1" si="536"/>
        <v>0</v>
      </c>
      <c r="AH910" s="126">
        <f t="shared" ca="1" si="537"/>
        <v>0</v>
      </c>
      <c r="AI910" s="126">
        <f t="shared" ca="1" si="538"/>
        <v>0</v>
      </c>
      <c r="AJ910" t="str">
        <f t="shared" ca="1" si="539"/>
        <v>42099</v>
      </c>
      <c r="AK910" s="126">
        <f t="shared" ca="1" si="556"/>
        <v>0</v>
      </c>
      <c r="AL910" s="126">
        <f t="shared" ca="1" si="557"/>
        <v>0</v>
      </c>
      <c r="AM910" s="126">
        <f t="shared" ca="1" si="570"/>
        <v>0</v>
      </c>
      <c r="AN910" s="753">
        <f t="shared" ca="1" si="571"/>
        <v>0</v>
      </c>
      <c r="AO910" s="750">
        <f t="shared" ca="1" si="558"/>
        <v>0</v>
      </c>
      <c r="AP910" s="126">
        <f t="shared" ca="1" si="559"/>
        <v>0</v>
      </c>
      <c r="AQ910" s="126">
        <f t="shared" ca="1" si="560"/>
        <v>0</v>
      </c>
      <c r="AR910" s="126">
        <f t="shared" ca="1" si="540"/>
        <v>10000</v>
      </c>
      <c r="AS910" s="750">
        <f t="shared" ca="1" si="541"/>
        <v>0</v>
      </c>
      <c r="AT910" s="750">
        <f t="shared" ca="1" si="542"/>
        <v>0</v>
      </c>
      <c r="AU910" s="126">
        <f t="shared" ca="1" si="561"/>
        <v>0</v>
      </c>
      <c r="AV910" s="126">
        <f t="shared" ca="1" si="562"/>
        <v>0</v>
      </c>
      <c r="AW910" s="126">
        <f t="shared" ca="1" si="543"/>
        <v>10000</v>
      </c>
      <c r="AX910" s="750">
        <f t="shared" ca="1" si="563"/>
        <v>0</v>
      </c>
      <c r="AY910" s="750">
        <f t="shared" ca="1" si="564"/>
        <v>0</v>
      </c>
      <c r="AZ910">
        <f t="shared" si="565"/>
        <v>5750</v>
      </c>
    </row>
    <row r="911" spans="4:52">
      <c r="D911">
        <v>904</v>
      </c>
      <c r="E911" s="6">
        <f t="shared" ca="1" si="544"/>
        <v>25263</v>
      </c>
      <c r="F911" s="7">
        <f t="shared" ca="1" si="545"/>
        <v>0</v>
      </c>
      <c r="G911" s="125">
        <f ca="1">IF('Simulador - 1º Pilar'!$E$99="Sí",IF('Aportaciones PPE'!$B$13&lt;'Aportaciones PPE'!E911,0,F911*$B$8/12),F911*$B$8/12)</f>
        <v>0</v>
      </c>
      <c r="H911" s="125">
        <f t="shared" ca="1" si="534"/>
        <v>0</v>
      </c>
      <c r="I911" s="125">
        <f t="shared" ca="1" si="546"/>
        <v>0</v>
      </c>
      <c r="J911" s="125">
        <f t="shared" ca="1" si="547"/>
        <v>0</v>
      </c>
      <c r="K911" s="125">
        <f t="shared" ca="1" si="548"/>
        <v>0</v>
      </c>
      <c r="L911" s="125">
        <f t="shared" ca="1" si="566"/>
        <v>0</v>
      </c>
      <c r="M911" s="125">
        <f t="shared" ca="1" si="549"/>
        <v>0</v>
      </c>
      <c r="N911" s="125">
        <f t="shared" ca="1" si="550"/>
        <v>0</v>
      </c>
      <c r="R911">
        <f t="shared" si="567"/>
        <v>904</v>
      </c>
      <c r="U911" s="55"/>
      <c r="V911">
        <f t="shared" si="568"/>
        <v>5</v>
      </c>
      <c r="W911">
        <f t="shared" ca="1" si="569"/>
        <v>2099</v>
      </c>
      <c r="X911" s="123">
        <f t="shared" ca="1" si="551"/>
        <v>72806</v>
      </c>
      <c r="Y911" s="64">
        <f t="shared" ca="1" si="552"/>
        <v>0</v>
      </c>
      <c r="Z911" s="64">
        <f t="shared" ca="1" si="553"/>
        <v>0</v>
      </c>
      <c r="AA911" s="64">
        <f t="shared" ca="1" si="554"/>
        <v>0</v>
      </c>
      <c r="AB911" s="64">
        <f t="shared" ca="1" si="555"/>
        <v>0</v>
      </c>
      <c r="AF911" t="str">
        <f t="shared" ca="1" si="535"/>
        <v>31969</v>
      </c>
      <c r="AG911" s="126">
        <f t="shared" ca="1" si="536"/>
        <v>0</v>
      </c>
      <c r="AH911" s="126">
        <f t="shared" ca="1" si="537"/>
        <v>0</v>
      </c>
      <c r="AI911" s="126">
        <f t="shared" ca="1" si="538"/>
        <v>0</v>
      </c>
      <c r="AJ911" t="str">
        <f t="shared" ca="1" si="539"/>
        <v>52099</v>
      </c>
      <c r="AK911" s="126">
        <f t="shared" ca="1" si="556"/>
        <v>0</v>
      </c>
      <c r="AL911" s="126">
        <f t="shared" ca="1" si="557"/>
        <v>0</v>
      </c>
      <c r="AM911" s="126">
        <f t="shared" ca="1" si="570"/>
        <v>0</v>
      </c>
      <c r="AN911" s="753">
        <f t="shared" ca="1" si="571"/>
        <v>0</v>
      </c>
      <c r="AO911" s="750">
        <f t="shared" ca="1" si="558"/>
        <v>0</v>
      </c>
      <c r="AP911" s="126">
        <f t="shared" ca="1" si="559"/>
        <v>0</v>
      </c>
      <c r="AQ911" s="126">
        <f t="shared" ca="1" si="560"/>
        <v>0</v>
      </c>
      <c r="AR911" s="126">
        <f t="shared" ca="1" si="540"/>
        <v>10000</v>
      </c>
      <c r="AS911" s="750">
        <f t="shared" ca="1" si="541"/>
        <v>0</v>
      </c>
      <c r="AT911" s="750">
        <f t="shared" ca="1" si="542"/>
        <v>0</v>
      </c>
      <c r="AU911" s="126">
        <f t="shared" ca="1" si="561"/>
        <v>0</v>
      </c>
      <c r="AV911" s="126">
        <f t="shared" ca="1" si="562"/>
        <v>0</v>
      </c>
      <c r="AW911" s="126">
        <f t="shared" ca="1" si="543"/>
        <v>10000</v>
      </c>
      <c r="AX911" s="750">
        <f t="shared" ca="1" si="563"/>
        <v>0</v>
      </c>
      <c r="AY911" s="750">
        <f t="shared" ca="1" si="564"/>
        <v>0</v>
      </c>
      <c r="AZ911">
        <f t="shared" si="565"/>
        <v>5750</v>
      </c>
    </row>
    <row r="912" spans="4:52">
      <c r="D912">
        <v>905</v>
      </c>
      <c r="E912" s="6">
        <f t="shared" ca="1" si="544"/>
        <v>25235</v>
      </c>
      <c r="F912" s="7">
        <f t="shared" ca="1" si="545"/>
        <v>0</v>
      </c>
      <c r="G912" s="125">
        <f ca="1">IF('Simulador - 1º Pilar'!$E$99="Sí",IF('Aportaciones PPE'!$B$13&lt;'Aportaciones PPE'!E912,0,F912*$B$8/12),F912*$B$8/12)</f>
        <v>0</v>
      </c>
      <c r="H912" s="125">
        <f t="shared" ca="1" si="534"/>
        <v>0</v>
      </c>
      <c r="I912" s="125">
        <f t="shared" ca="1" si="546"/>
        <v>0</v>
      </c>
      <c r="J912" s="125">
        <f t="shared" ca="1" si="547"/>
        <v>0</v>
      </c>
      <c r="K912" s="125">
        <f t="shared" ca="1" si="548"/>
        <v>0</v>
      </c>
      <c r="L912" s="125">
        <f t="shared" ca="1" si="566"/>
        <v>0</v>
      </c>
      <c r="M912" s="125">
        <f t="shared" ca="1" si="549"/>
        <v>0</v>
      </c>
      <c r="N912" s="125">
        <f t="shared" ca="1" si="550"/>
        <v>0</v>
      </c>
      <c r="R912">
        <f t="shared" si="567"/>
        <v>905</v>
      </c>
      <c r="U912" s="55"/>
      <c r="V912">
        <f t="shared" si="568"/>
        <v>6</v>
      </c>
      <c r="W912">
        <f t="shared" ca="1" si="569"/>
        <v>2099</v>
      </c>
      <c r="X912" s="123">
        <f t="shared" ca="1" si="551"/>
        <v>72837</v>
      </c>
      <c r="Y912" s="64">
        <f t="shared" ca="1" si="552"/>
        <v>0</v>
      </c>
      <c r="Z912" s="64">
        <f t="shared" ca="1" si="553"/>
        <v>0</v>
      </c>
      <c r="AA912" s="64">
        <f t="shared" ca="1" si="554"/>
        <v>0</v>
      </c>
      <c r="AB912" s="64">
        <f t="shared" ca="1" si="555"/>
        <v>0</v>
      </c>
      <c r="AF912" t="str">
        <f t="shared" ca="1" si="535"/>
        <v>21969</v>
      </c>
      <c r="AG912" s="126">
        <f t="shared" ca="1" si="536"/>
        <v>0</v>
      </c>
      <c r="AH912" s="126">
        <f t="shared" ca="1" si="537"/>
        <v>0</v>
      </c>
      <c r="AI912" s="126">
        <f t="shared" ca="1" si="538"/>
        <v>0</v>
      </c>
      <c r="AJ912" t="str">
        <f t="shared" ca="1" si="539"/>
        <v>62099</v>
      </c>
      <c r="AK912" s="126">
        <f t="shared" ca="1" si="556"/>
        <v>0</v>
      </c>
      <c r="AL912" s="126">
        <f t="shared" ca="1" si="557"/>
        <v>0</v>
      </c>
      <c r="AM912" s="126">
        <f t="shared" ca="1" si="570"/>
        <v>0</v>
      </c>
      <c r="AN912" s="753">
        <f t="shared" ca="1" si="571"/>
        <v>0</v>
      </c>
      <c r="AO912" s="750">
        <f t="shared" ca="1" si="558"/>
        <v>0</v>
      </c>
      <c r="AP912" s="126">
        <f t="shared" ca="1" si="559"/>
        <v>0</v>
      </c>
      <c r="AQ912" s="126">
        <f t="shared" ca="1" si="560"/>
        <v>0</v>
      </c>
      <c r="AR912" s="126">
        <f t="shared" ca="1" si="540"/>
        <v>10000</v>
      </c>
      <c r="AS912" s="750">
        <f t="shared" ca="1" si="541"/>
        <v>0</v>
      </c>
      <c r="AT912" s="750">
        <f t="shared" ca="1" si="542"/>
        <v>0</v>
      </c>
      <c r="AU912" s="126">
        <f t="shared" ca="1" si="561"/>
        <v>0</v>
      </c>
      <c r="AV912" s="126">
        <f t="shared" ca="1" si="562"/>
        <v>0</v>
      </c>
      <c r="AW912" s="126">
        <f t="shared" ca="1" si="543"/>
        <v>10000</v>
      </c>
      <c r="AX912" s="750">
        <f t="shared" ca="1" si="563"/>
        <v>0</v>
      </c>
      <c r="AY912" s="750">
        <f t="shared" ca="1" si="564"/>
        <v>0</v>
      </c>
      <c r="AZ912">
        <f t="shared" si="565"/>
        <v>5750</v>
      </c>
    </row>
    <row r="913" spans="4:52">
      <c r="D913">
        <v>906</v>
      </c>
      <c r="E913" s="6">
        <f t="shared" ca="1" si="544"/>
        <v>25204</v>
      </c>
      <c r="F913" s="7">
        <f t="shared" ca="1" si="545"/>
        <v>0</v>
      </c>
      <c r="G913" s="125">
        <f ca="1">IF('Simulador - 1º Pilar'!$E$99="Sí",IF('Aportaciones PPE'!$B$13&lt;'Aportaciones PPE'!E913,0,F913*$B$8/12),F913*$B$8/12)</f>
        <v>0</v>
      </c>
      <c r="H913" s="125">
        <f t="shared" ca="1" si="534"/>
        <v>0</v>
      </c>
      <c r="I913" s="125">
        <f t="shared" ca="1" si="546"/>
        <v>0</v>
      </c>
      <c r="J913" s="125">
        <f t="shared" ca="1" si="547"/>
        <v>0</v>
      </c>
      <c r="K913" s="125">
        <f t="shared" ca="1" si="548"/>
        <v>0</v>
      </c>
      <c r="L913" s="125">
        <f t="shared" ca="1" si="566"/>
        <v>0</v>
      </c>
      <c r="M913" s="125">
        <f t="shared" ca="1" si="549"/>
        <v>0</v>
      </c>
      <c r="N913" s="125">
        <f t="shared" ca="1" si="550"/>
        <v>0</v>
      </c>
      <c r="R913">
        <f t="shared" si="567"/>
        <v>906</v>
      </c>
      <c r="U913" s="55"/>
      <c r="V913">
        <f t="shared" si="568"/>
        <v>7</v>
      </c>
      <c r="W913">
        <f t="shared" ca="1" si="569"/>
        <v>2099</v>
      </c>
      <c r="X913" s="123">
        <f t="shared" ca="1" si="551"/>
        <v>72867</v>
      </c>
      <c r="Y913" s="64">
        <f t="shared" ca="1" si="552"/>
        <v>0</v>
      </c>
      <c r="Z913" s="64">
        <f t="shared" ca="1" si="553"/>
        <v>0</v>
      </c>
      <c r="AA913" s="64">
        <f t="shared" ca="1" si="554"/>
        <v>0</v>
      </c>
      <c r="AB913" s="64">
        <f t="shared" ca="1" si="555"/>
        <v>0</v>
      </c>
      <c r="AF913" t="str">
        <f t="shared" ca="1" si="535"/>
        <v>11969</v>
      </c>
      <c r="AG913" s="126">
        <f t="shared" ca="1" si="536"/>
        <v>0</v>
      </c>
      <c r="AH913" s="126">
        <f t="shared" ca="1" si="537"/>
        <v>0</v>
      </c>
      <c r="AI913" s="126">
        <f t="shared" ca="1" si="538"/>
        <v>0</v>
      </c>
      <c r="AJ913" t="str">
        <f t="shared" ca="1" si="539"/>
        <v>72099</v>
      </c>
      <c r="AK913" s="126">
        <f t="shared" ca="1" si="556"/>
        <v>0</v>
      </c>
      <c r="AL913" s="126">
        <f t="shared" ca="1" si="557"/>
        <v>0</v>
      </c>
      <c r="AM913" s="126">
        <f t="shared" ca="1" si="570"/>
        <v>0</v>
      </c>
      <c r="AN913" s="753">
        <f t="shared" ca="1" si="571"/>
        <v>0</v>
      </c>
      <c r="AO913" s="750">
        <f t="shared" ca="1" si="558"/>
        <v>0</v>
      </c>
      <c r="AP913" s="126">
        <f t="shared" ca="1" si="559"/>
        <v>0</v>
      </c>
      <c r="AQ913" s="126">
        <f t="shared" ca="1" si="560"/>
        <v>0</v>
      </c>
      <c r="AR913" s="126">
        <f t="shared" ca="1" si="540"/>
        <v>10000</v>
      </c>
      <c r="AS913" s="750">
        <f t="shared" ca="1" si="541"/>
        <v>0</v>
      </c>
      <c r="AT913" s="750">
        <f t="shared" ca="1" si="542"/>
        <v>0</v>
      </c>
      <c r="AU913" s="126">
        <f t="shared" ca="1" si="561"/>
        <v>0</v>
      </c>
      <c r="AV913" s="126">
        <f t="shared" ca="1" si="562"/>
        <v>0</v>
      </c>
      <c r="AW913" s="126">
        <f t="shared" ca="1" si="543"/>
        <v>10000</v>
      </c>
      <c r="AX913" s="750">
        <f t="shared" ca="1" si="563"/>
        <v>0</v>
      </c>
      <c r="AY913" s="750">
        <f t="shared" ca="1" si="564"/>
        <v>0</v>
      </c>
      <c r="AZ913">
        <f t="shared" si="565"/>
        <v>5750</v>
      </c>
    </row>
    <row r="914" spans="4:52">
      <c r="D914">
        <v>907</v>
      </c>
      <c r="E914" s="6">
        <f t="shared" ca="1" si="544"/>
        <v>25173</v>
      </c>
      <c r="F914" s="7">
        <f t="shared" ca="1" si="545"/>
        <v>0</v>
      </c>
      <c r="G914" s="125">
        <f ca="1">IF('Simulador - 1º Pilar'!$E$99="Sí",IF('Aportaciones PPE'!$B$13&lt;'Aportaciones PPE'!E914,0,F914*$B$8/12),F914*$B$8/12)</f>
        <v>0</v>
      </c>
      <c r="H914" s="125">
        <f t="shared" ca="1" si="534"/>
        <v>0</v>
      </c>
      <c r="I914" s="125">
        <f t="shared" ca="1" si="546"/>
        <v>0</v>
      </c>
      <c r="J914" s="125">
        <f t="shared" ca="1" si="547"/>
        <v>0</v>
      </c>
      <c r="K914" s="125">
        <f t="shared" ca="1" si="548"/>
        <v>0</v>
      </c>
      <c r="L914" s="125">
        <f t="shared" ca="1" si="566"/>
        <v>0</v>
      </c>
      <c r="M914" s="125">
        <f t="shared" ca="1" si="549"/>
        <v>0</v>
      </c>
      <c r="N914" s="125">
        <f t="shared" ca="1" si="550"/>
        <v>0</v>
      </c>
      <c r="R914">
        <f t="shared" si="567"/>
        <v>907</v>
      </c>
      <c r="U914" s="55"/>
      <c r="V914">
        <f t="shared" si="568"/>
        <v>8</v>
      </c>
      <c r="W914">
        <f t="shared" ca="1" si="569"/>
        <v>2099</v>
      </c>
      <c r="X914" s="123">
        <f t="shared" ca="1" si="551"/>
        <v>72898</v>
      </c>
      <c r="Y914" s="64">
        <f t="shared" ca="1" si="552"/>
        <v>0</v>
      </c>
      <c r="Z914" s="64">
        <f t="shared" ca="1" si="553"/>
        <v>0</v>
      </c>
      <c r="AA914" s="64">
        <f t="shared" ca="1" si="554"/>
        <v>0</v>
      </c>
      <c r="AB914" s="64">
        <f t="shared" ca="1" si="555"/>
        <v>0</v>
      </c>
      <c r="AF914" t="str">
        <f t="shared" ca="1" si="535"/>
        <v>121968</v>
      </c>
      <c r="AG914" s="126">
        <f t="shared" ca="1" si="536"/>
        <v>0</v>
      </c>
      <c r="AH914" s="126">
        <f t="shared" ca="1" si="537"/>
        <v>0</v>
      </c>
      <c r="AI914" s="126">
        <f t="shared" ca="1" si="538"/>
        <v>0</v>
      </c>
      <c r="AJ914" t="str">
        <f t="shared" ca="1" si="539"/>
        <v>82099</v>
      </c>
      <c r="AK914" s="126">
        <f t="shared" ca="1" si="556"/>
        <v>0</v>
      </c>
      <c r="AL914" s="126">
        <f t="shared" ca="1" si="557"/>
        <v>0</v>
      </c>
      <c r="AM914" s="126">
        <f t="shared" ca="1" si="570"/>
        <v>0</v>
      </c>
      <c r="AN914" s="753">
        <f t="shared" ca="1" si="571"/>
        <v>0</v>
      </c>
      <c r="AO914" s="750">
        <f t="shared" ca="1" si="558"/>
        <v>0</v>
      </c>
      <c r="AP914" s="126">
        <f t="shared" ca="1" si="559"/>
        <v>0</v>
      </c>
      <c r="AQ914" s="126">
        <f t="shared" ca="1" si="560"/>
        <v>0</v>
      </c>
      <c r="AR914" s="126">
        <f t="shared" ca="1" si="540"/>
        <v>10000</v>
      </c>
      <c r="AS914" s="750">
        <f t="shared" ca="1" si="541"/>
        <v>0</v>
      </c>
      <c r="AT914" s="750">
        <f t="shared" ca="1" si="542"/>
        <v>0</v>
      </c>
      <c r="AU914" s="126">
        <f t="shared" ca="1" si="561"/>
        <v>0</v>
      </c>
      <c r="AV914" s="126">
        <f t="shared" ca="1" si="562"/>
        <v>0</v>
      </c>
      <c r="AW914" s="126">
        <f t="shared" ca="1" si="543"/>
        <v>10000</v>
      </c>
      <c r="AX914" s="750">
        <f t="shared" ca="1" si="563"/>
        <v>0</v>
      </c>
      <c r="AY914" s="750">
        <f t="shared" ca="1" si="564"/>
        <v>0</v>
      </c>
      <c r="AZ914">
        <f t="shared" si="565"/>
        <v>5750</v>
      </c>
    </row>
    <row r="915" spans="4:52">
      <c r="D915">
        <v>908</v>
      </c>
      <c r="E915" s="6">
        <f t="shared" ca="1" si="544"/>
        <v>25143</v>
      </c>
      <c r="F915" s="7">
        <f t="shared" ca="1" si="545"/>
        <v>0</v>
      </c>
      <c r="G915" s="125">
        <f ca="1">IF('Simulador - 1º Pilar'!$E$99="Sí",IF('Aportaciones PPE'!$B$13&lt;'Aportaciones PPE'!E915,0,F915*$B$8/12),F915*$B$8/12)</f>
        <v>0</v>
      </c>
      <c r="H915" s="125">
        <f t="shared" ca="1" si="534"/>
        <v>0</v>
      </c>
      <c r="I915" s="125">
        <f t="shared" ca="1" si="546"/>
        <v>0</v>
      </c>
      <c r="J915" s="125">
        <f t="shared" ca="1" si="547"/>
        <v>0</v>
      </c>
      <c r="K915" s="125">
        <f t="shared" ca="1" si="548"/>
        <v>0</v>
      </c>
      <c r="L915" s="125">
        <f t="shared" ca="1" si="566"/>
        <v>0</v>
      </c>
      <c r="M915" s="125">
        <f t="shared" ca="1" si="549"/>
        <v>0</v>
      </c>
      <c r="N915" s="125">
        <f t="shared" ca="1" si="550"/>
        <v>0</v>
      </c>
      <c r="R915">
        <f t="shared" si="567"/>
        <v>908</v>
      </c>
      <c r="U915" s="55"/>
      <c r="V915">
        <f t="shared" si="568"/>
        <v>9</v>
      </c>
      <c r="W915">
        <f t="shared" ca="1" si="569"/>
        <v>2099</v>
      </c>
      <c r="X915" s="123">
        <f t="shared" ca="1" si="551"/>
        <v>72929</v>
      </c>
      <c r="Y915" s="64">
        <f t="shared" ca="1" si="552"/>
        <v>0</v>
      </c>
      <c r="Z915" s="64">
        <f t="shared" ca="1" si="553"/>
        <v>0</v>
      </c>
      <c r="AA915" s="64">
        <f t="shared" ca="1" si="554"/>
        <v>0</v>
      </c>
      <c r="AB915" s="64">
        <f t="shared" ca="1" si="555"/>
        <v>0</v>
      </c>
      <c r="AF915" t="str">
        <f t="shared" ca="1" si="535"/>
        <v>111968</v>
      </c>
      <c r="AG915" s="126">
        <f t="shared" ca="1" si="536"/>
        <v>0</v>
      </c>
      <c r="AH915" s="126">
        <f t="shared" ca="1" si="537"/>
        <v>0</v>
      </c>
      <c r="AI915" s="126">
        <f t="shared" ca="1" si="538"/>
        <v>0</v>
      </c>
      <c r="AJ915" t="str">
        <f t="shared" ca="1" si="539"/>
        <v>92099</v>
      </c>
      <c r="AK915" s="126">
        <f t="shared" ca="1" si="556"/>
        <v>0</v>
      </c>
      <c r="AL915" s="126">
        <f t="shared" ca="1" si="557"/>
        <v>0</v>
      </c>
      <c r="AM915" s="126">
        <f t="shared" ca="1" si="570"/>
        <v>0</v>
      </c>
      <c r="AN915" s="753">
        <f t="shared" ca="1" si="571"/>
        <v>0</v>
      </c>
      <c r="AO915" s="750">
        <f t="shared" ca="1" si="558"/>
        <v>0</v>
      </c>
      <c r="AP915" s="126">
        <f t="shared" ca="1" si="559"/>
        <v>0</v>
      </c>
      <c r="AQ915" s="126">
        <f t="shared" ca="1" si="560"/>
        <v>0</v>
      </c>
      <c r="AR915" s="126">
        <f t="shared" ca="1" si="540"/>
        <v>10000</v>
      </c>
      <c r="AS915" s="750">
        <f t="shared" ca="1" si="541"/>
        <v>0</v>
      </c>
      <c r="AT915" s="750">
        <f t="shared" ca="1" si="542"/>
        <v>0</v>
      </c>
      <c r="AU915" s="126">
        <f t="shared" ca="1" si="561"/>
        <v>0</v>
      </c>
      <c r="AV915" s="126">
        <f t="shared" ca="1" si="562"/>
        <v>0</v>
      </c>
      <c r="AW915" s="126">
        <f t="shared" ca="1" si="543"/>
        <v>10000</v>
      </c>
      <c r="AX915" s="750">
        <f t="shared" ca="1" si="563"/>
        <v>0</v>
      </c>
      <c r="AY915" s="750">
        <f t="shared" ca="1" si="564"/>
        <v>0</v>
      </c>
      <c r="AZ915">
        <f t="shared" si="565"/>
        <v>5750</v>
      </c>
    </row>
    <row r="916" spans="4:52">
      <c r="D916">
        <v>909</v>
      </c>
      <c r="E916" s="6">
        <f t="shared" ca="1" si="544"/>
        <v>25112</v>
      </c>
      <c r="F916" s="7">
        <f t="shared" ca="1" si="545"/>
        <v>0</v>
      </c>
      <c r="G916" s="125">
        <f ca="1">IF('Simulador - 1º Pilar'!$E$99="Sí",IF('Aportaciones PPE'!$B$13&lt;'Aportaciones PPE'!E916,0,F916*$B$8/12),F916*$B$8/12)</f>
        <v>0</v>
      </c>
      <c r="H916" s="125">
        <f t="shared" ca="1" si="534"/>
        <v>0</v>
      </c>
      <c r="I916" s="125">
        <f t="shared" ca="1" si="546"/>
        <v>0</v>
      </c>
      <c r="J916" s="125">
        <f t="shared" ca="1" si="547"/>
        <v>0</v>
      </c>
      <c r="K916" s="125">
        <f t="shared" ca="1" si="548"/>
        <v>0</v>
      </c>
      <c r="L916" s="125">
        <f t="shared" ca="1" si="566"/>
        <v>0</v>
      </c>
      <c r="M916" s="125">
        <f t="shared" ca="1" si="549"/>
        <v>0</v>
      </c>
      <c r="N916" s="125">
        <f t="shared" ca="1" si="550"/>
        <v>0</v>
      </c>
      <c r="R916">
        <f t="shared" si="567"/>
        <v>909</v>
      </c>
      <c r="U916" s="55"/>
      <c r="V916">
        <f t="shared" si="568"/>
        <v>10</v>
      </c>
      <c r="W916">
        <f t="shared" ca="1" si="569"/>
        <v>2099</v>
      </c>
      <c r="X916" s="123">
        <f t="shared" ca="1" si="551"/>
        <v>72959</v>
      </c>
      <c r="Y916" s="64">
        <f t="shared" ca="1" si="552"/>
        <v>0</v>
      </c>
      <c r="Z916" s="64">
        <f t="shared" ca="1" si="553"/>
        <v>0</v>
      </c>
      <c r="AA916" s="64">
        <f t="shared" ca="1" si="554"/>
        <v>0</v>
      </c>
      <c r="AB916" s="64">
        <f t="shared" ca="1" si="555"/>
        <v>0</v>
      </c>
      <c r="AF916" t="str">
        <f t="shared" ca="1" si="535"/>
        <v>101968</v>
      </c>
      <c r="AG916" s="126">
        <f t="shared" ca="1" si="536"/>
        <v>0</v>
      </c>
      <c r="AH916" s="126">
        <f t="shared" ca="1" si="537"/>
        <v>0</v>
      </c>
      <c r="AI916" s="126">
        <f t="shared" ca="1" si="538"/>
        <v>0</v>
      </c>
      <c r="AJ916" t="str">
        <f t="shared" ca="1" si="539"/>
        <v>102099</v>
      </c>
      <c r="AK916" s="126">
        <f t="shared" ca="1" si="556"/>
        <v>0</v>
      </c>
      <c r="AL916" s="126">
        <f t="shared" ca="1" si="557"/>
        <v>0</v>
      </c>
      <c r="AM916" s="126">
        <f t="shared" ca="1" si="570"/>
        <v>0</v>
      </c>
      <c r="AN916" s="753">
        <f t="shared" ca="1" si="571"/>
        <v>0</v>
      </c>
      <c r="AO916" s="750">
        <f t="shared" ca="1" si="558"/>
        <v>0</v>
      </c>
      <c r="AP916" s="126">
        <f t="shared" ca="1" si="559"/>
        <v>0</v>
      </c>
      <c r="AQ916" s="126">
        <f t="shared" ca="1" si="560"/>
        <v>0</v>
      </c>
      <c r="AR916" s="126">
        <f t="shared" ca="1" si="540"/>
        <v>10000</v>
      </c>
      <c r="AS916" s="750">
        <f t="shared" ca="1" si="541"/>
        <v>0</v>
      </c>
      <c r="AT916" s="750">
        <f t="shared" ca="1" si="542"/>
        <v>0</v>
      </c>
      <c r="AU916" s="126">
        <f t="shared" ca="1" si="561"/>
        <v>0</v>
      </c>
      <c r="AV916" s="126">
        <f t="shared" ca="1" si="562"/>
        <v>0</v>
      </c>
      <c r="AW916" s="126">
        <f t="shared" ca="1" si="543"/>
        <v>10000</v>
      </c>
      <c r="AX916" s="750">
        <f t="shared" ca="1" si="563"/>
        <v>0</v>
      </c>
      <c r="AY916" s="750">
        <f t="shared" ca="1" si="564"/>
        <v>0</v>
      </c>
      <c r="AZ916">
        <f t="shared" si="565"/>
        <v>5750</v>
      </c>
    </row>
    <row r="917" spans="4:52">
      <c r="D917">
        <v>910</v>
      </c>
      <c r="E917" s="6">
        <f t="shared" ca="1" si="544"/>
        <v>25082</v>
      </c>
      <c r="F917" s="7">
        <f t="shared" ca="1" si="545"/>
        <v>0</v>
      </c>
      <c r="G917" s="125">
        <f ca="1">IF('Simulador - 1º Pilar'!$E$99="Sí",IF('Aportaciones PPE'!$B$13&lt;'Aportaciones PPE'!E917,0,F917*$B$8/12),F917*$B$8/12)</f>
        <v>0</v>
      </c>
      <c r="H917" s="125">
        <f t="shared" ca="1" si="534"/>
        <v>0</v>
      </c>
      <c r="I917" s="125">
        <f t="shared" ca="1" si="546"/>
        <v>0</v>
      </c>
      <c r="J917" s="125">
        <f t="shared" ca="1" si="547"/>
        <v>0</v>
      </c>
      <c r="K917" s="125">
        <f t="shared" ca="1" si="548"/>
        <v>0</v>
      </c>
      <c r="L917" s="125">
        <f t="shared" ca="1" si="566"/>
        <v>0</v>
      </c>
      <c r="M917" s="125">
        <f t="shared" ca="1" si="549"/>
        <v>0</v>
      </c>
      <c r="N917" s="125">
        <f t="shared" ca="1" si="550"/>
        <v>0</v>
      </c>
      <c r="R917">
        <f t="shared" si="567"/>
        <v>910</v>
      </c>
      <c r="U917" s="55"/>
      <c r="V917">
        <f t="shared" si="568"/>
        <v>11</v>
      </c>
      <c r="W917">
        <f t="shared" ca="1" si="569"/>
        <v>2099</v>
      </c>
      <c r="X917" s="123">
        <f t="shared" ca="1" si="551"/>
        <v>72990</v>
      </c>
      <c r="Y917" s="64">
        <f t="shared" ca="1" si="552"/>
        <v>0</v>
      </c>
      <c r="Z917" s="64">
        <f t="shared" ca="1" si="553"/>
        <v>0</v>
      </c>
      <c r="AA917" s="64">
        <f t="shared" ca="1" si="554"/>
        <v>0</v>
      </c>
      <c r="AB917" s="64">
        <f t="shared" ca="1" si="555"/>
        <v>0</v>
      </c>
      <c r="AF917" t="str">
        <f t="shared" ca="1" si="535"/>
        <v>91968</v>
      </c>
      <c r="AG917" s="126">
        <f t="shared" ca="1" si="536"/>
        <v>0</v>
      </c>
      <c r="AH917" s="126">
        <f t="shared" ca="1" si="537"/>
        <v>0</v>
      </c>
      <c r="AI917" s="126">
        <f t="shared" ca="1" si="538"/>
        <v>0</v>
      </c>
      <c r="AJ917" t="str">
        <f t="shared" ca="1" si="539"/>
        <v>112099</v>
      </c>
      <c r="AK917" s="126">
        <f t="shared" ca="1" si="556"/>
        <v>0</v>
      </c>
      <c r="AL917" s="126">
        <f t="shared" ca="1" si="557"/>
        <v>0</v>
      </c>
      <c r="AM917" s="126">
        <f t="shared" ca="1" si="570"/>
        <v>0</v>
      </c>
      <c r="AN917" s="753">
        <f t="shared" ca="1" si="571"/>
        <v>0</v>
      </c>
      <c r="AO917" s="750">
        <f t="shared" ca="1" si="558"/>
        <v>0</v>
      </c>
      <c r="AP917" s="126">
        <f t="shared" ca="1" si="559"/>
        <v>0</v>
      </c>
      <c r="AQ917" s="126">
        <f t="shared" ca="1" si="560"/>
        <v>0</v>
      </c>
      <c r="AR917" s="126">
        <f t="shared" ca="1" si="540"/>
        <v>10000</v>
      </c>
      <c r="AS917" s="750">
        <f t="shared" ca="1" si="541"/>
        <v>0</v>
      </c>
      <c r="AT917" s="750">
        <f t="shared" ca="1" si="542"/>
        <v>0</v>
      </c>
      <c r="AU917" s="126">
        <f t="shared" ca="1" si="561"/>
        <v>0</v>
      </c>
      <c r="AV917" s="126">
        <f t="shared" ca="1" si="562"/>
        <v>0</v>
      </c>
      <c r="AW917" s="126">
        <f t="shared" ca="1" si="543"/>
        <v>10000</v>
      </c>
      <c r="AX917" s="750">
        <f t="shared" ca="1" si="563"/>
        <v>0</v>
      </c>
      <c r="AY917" s="750">
        <f t="shared" ca="1" si="564"/>
        <v>0</v>
      </c>
      <c r="AZ917">
        <f t="shared" si="565"/>
        <v>5750</v>
      </c>
    </row>
    <row r="918" spans="4:52">
      <c r="D918">
        <v>911</v>
      </c>
      <c r="E918" s="6">
        <f t="shared" ca="1" si="544"/>
        <v>25051</v>
      </c>
      <c r="F918" s="7">
        <f t="shared" ca="1" si="545"/>
        <v>0</v>
      </c>
      <c r="G918" s="125">
        <f ca="1">IF('Simulador - 1º Pilar'!$E$99="Sí",IF('Aportaciones PPE'!$B$13&lt;'Aportaciones PPE'!E918,0,F918*$B$8/12),F918*$B$8/12)</f>
        <v>0</v>
      </c>
      <c r="H918" s="125">
        <f t="shared" ca="1" si="534"/>
        <v>0</v>
      </c>
      <c r="I918" s="125">
        <f t="shared" ca="1" si="546"/>
        <v>0</v>
      </c>
      <c r="J918" s="125">
        <f t="shared" ca="1" si="547"/>
        <v>0</v>
      </c>
      <c r="K918" s="125">
        <f t="shared" ca="1" si="548"/>
        <v>0</v>
      </c>
      <c r="L918" s="125">
        <f t="shared" ca="1" si="566"/>
        <v>0</v>
      </c>
      <c r="M918" s="125">
        <f t="shared" ca="1" si="549"/>
        <v>0</v>
      </c>
      <c r="N918" s="125">
        <f t="shared" ca="1" si="550"/>
        <v>0</v>
      </c>
      <c r="R918">
        <f t="shared" si="567"/>
        <v>911</v>
      </c>
      <c r="U918" s="55"/>
      <c r="V918">
        <f t="shared" si="568"/>
        <v>12</v>
      </c>
      <c r="W918">
        <f t="shared" ca="1" si="569"/>
        <v>2099</v>
      </c>
      <c r="X918" s="123">
        <f t="shared" ca="1" si="551"/>
        <v>73020</v>
      </c>
      <c r="Y918" s="64">
        <f t="shared" ca="1" si="552"/>
        <v>0</v>
      </c>
      <c r="Z918" s="64">
        <f t="shared" ca="1" si="553"/>
        <v>0</v>
      </c>
      <c r="AA918" s="64">
        <f t="shared" ca="1" si="554"/>
        <v>0</v>
      </c>
      <c r="AB918" s="64">
        <f t="shared" ca="1" si="555"/>
        <v>0</v>
      </c>
      <c r="AF918" t="str">
        <f t="shared" ca="1" si="535"/>
        <v>81968</v>
      </c>
      <c r="AG918" s="126">
        <f t="shared" ca="1" si="536"/>
        <v>0</v>
      </c>
      <c r="AH918" s="126">
        <f t="shared" ca="1" si="537"/>
        <v>0</v>
      </c>
      <c r="AI918" s="126">
        <f t="shared" ca="1" si="538"/>
        <v>0</v>
      </c>
      <c r="AJ918" t="str">
        <f t="shared" ca="1" si="539"/>
        <v>122099</v>
      </c>
      <c r="AK918" s="126">
        <f t="shared" ca="1" si="556"/>
        <v>0</v>
      </c>
      <c r="AL918" s="126">
        <f t="shared" ca="1" si="557"/>
        <v>0</v>
      </c>
      <c r="AM918" s="126">
        <f t="shared" ca="1" si="570"/>
        <v>0</v>
      </c>
      <c r="AN918" s="753">
        <f t="shared" ca="1" si="571"/>
        <v>0</v>
      </c>
      <c r="AO918" s="750">
        <f t="shared" ca="1" si="558"/>
        <v>0</v>
      </c>
      <c r="AP918" s="126">
        <f t="shared" ca="1" si="559"/>
        <v>0</v>
      </c>
      <c r="AQ918" s="126">
        <f t="shared" ca="1" si="560"/>
        <v>0</v>
      </c>
      <c r="AR918" s="126">
        <f t="shared" ca="1" si="540"/>
        <v>10000</v>
      </c>
      <c r="AS918" s="750">
        <f t="shared" ca="1" si="541"/>
        <v>0</v>
      </c>
      <c r="AT918" s="750">
        <f t="shared" ca="1" si="542"/>
        <v>0</v>
      </c>
      <c r="AU918" s="126">
        <f t="shared" ca="1" si="561"/>
        <v>0</v>
      </c>
      <c r="AV918" s="126">
        <f t="shared" ca="1" si="562"/>
        <v>0</v>
      </c>
      <c r="AW918" s="126">
        <f t="shared" ca="1" si="543"/>
        <v>10000</v>
      </c>
      <c r="AX918" s="750">
        <f t="shared" ca="1" si="563"/>
        <v>0</v>
      </c>
      <c r="AY918" s="750">
        <f t="shared" ca="1" si="564"/>
        <v>0</v>
      </c>
      <c r="AZ918">
        <f t="shared" si="565"/>
        <v>5750</v>
      </c>
    </row>
    <row r="919" spans="4:52">
      <c r="D919">
        <v>912</v>
      </c>
      <c r="E919" s="6">
        <f t="shared" ca="1" si="544"/>
        <v>25020</v>
      </c>
      <c r="F919" s="7">
        <f t="shared" ca="1" si="545"/>
        <v>0</v>
      </c>
      <c r="G919" s="125">
        <f ca="1">IF('Simulador - 1º Pilar'!$E$99="Sí",IF('Aportaciones PPE'!$B$13&lt;'Aportaciones PPE'!E919,0,F919*$B$8/12),F919*$B$8/12)</f>
        <v>0</v>
      </c>
      <c r="H919" s="125">
        <f t="shared" ca="1" si="534"/>
        <v>0</v>
      </c>
      <c r="I919" s="125">
        <f t="shared" ca="1" si="546"/>
        <v>0</v>
      </c>
      <c r="J919" s="125">
        <f t="shared" ca="1" si="547"/>
        <v>0</v>
      </c>
      <c r="K919" s="125">
        <f t="shared" ca="1" si="548"/>
        <v>0</v>
      </c>
      <c r="L919" s="125">
        <f t="shared" ca="1" si="566"/>
        <v>0</v>
      </c>
      <c r="M919" s="125">
        <f t="shared" ca="1" si="549"/>
        <v>0</v>
      </c>
      <c r="N919" s="125">
        <f t="shared" ca="1" si="550"/>
        <v>0</v>
      </c>
      <c r="R919">
        <f t="shared" si="567"/>
        <v>912</v>
      </c>
      <c r="U919" s="55"/>
      <c r="V919">
        <f t="shared" si="568"/>
        <v>1</v>
      </c>
      <c r="W919">
        <f t="shared" ca="1" si="569"/>
        <v>2100</v>
      </c>
      <c r="X919" s="123">
        <f t="shared" ca="1" si="551"/>
        <v>73051</v>
      </c>
      <c r="Y919" s="64">
        <f t="shared" ca="1" si="552"/>
        <v>0</v>
      </c>
      <c r="Z919" s="64">
        <f t="shared" ca="1" si="553"/>
        <v>0</v>
      </c>
      <c r="AA919" s="64">
        <f t="shared" ca="1" si="554"/>
        <v>0</v>
      </c>
      <c r="AB919" s="64">
        <f t="shared" ca="1" si="555"/>
        <v>0</v>
      </c>
      <c r="AF919" t="str">
        <f t="shared" ca="1" si="535"/>
        <v>71968</v>
      </c>
      <c r="AG919" s="126">
        <f t="shared" ca="1" si="536"/>
        <v>0</v>
      </c>
      <c r="AH919" s="126">
        <f t="shared" ca="1" si="537"/>
        <v>0</v>
      </c>
      <c r="AI919" s="126">
        <f t="shared" ca="1" si="538"/>
        <v>0</v>
      </c>
      <c r="AJ919" t="str">
        <f t="shared" ca="1" si="539"/>
        <v>12100</v>
      </c>
      <c r="AK919" s="126">
        <f t="shared" ca="1" si="556"/>
        <v>0</v>
      </c>
      <c r="AL919" s="126">
        <f t="shared" ca="1" si="557"/>
        <v>0</v>
      </c>
      <c r="AM919" s="126">
        <f t="shared" ca="1" si="570"/>
        <v>0</v>
      </c>
      <c r="AN919" s="753">
        <f t="shared" ca="1" si="571"/>
        <v>0</v>
      </c>
      <c r="AO919" s="750">
        <f t="shared" ca="1" si="558"/>
        <v>0</v>
      </c>
      <c r="AP919" s="126">
        <f t="shared" ca="1" si="559"/>
        <v>0</v>
      </c>
      <c r="AQ919" s="126">
        <f t="shared" ca="1" si="560"/>
        <v>0</v>
      </c>
      <c r="AR919" s="126">
        <f t="shared" ca="1" si="540"/>
        <v>10000</v>
      </c>
      <c r="AS919" s="750">
        <f t="shared" ca="1" si="541"/>
        <v>0</v>
      </c>
      <c r="AT919" s="750">
        <f t="shared" ca="1" si="542"/>
        <v>0</v>
      </c>
      <c r="AU919" s="126">
        <f t="shared" ca="1" si="561"/>
        <v>0</v>
      </c>
      <c r="AV919" s="126">
        <f t="shared" ca="1" si="562"/>
        <v>0</v>
      </c>
      <c r="AW919" s="126">
        <f t="shared" ca="1" si="543"/>
        <v>10000</v>
      </c>
      <c r="AX919" s="750">
        <f t="shared" ca="1" si="563"/>
        <v>0</v>
      </c>
      <c r="AY919" s="750">
        <f t="shared" ca="1" si="564"/>
        <v>0</v>
      </c>
      <c r="AZ919">
        <f t="shared" si="565"/>
        <v>5750</v>
      </c>
    </row>
    <row r="920" spans="4:52">
      <c r="D920">
        <v>913</v>
      </c>
      <c r="E920" s="6">
        <f t="shared" ca="1" si="544"/>
        <v>24990</v>
      </c>
      <c r="F920" s="7">
        <f t="shared" ca="1" si="545"/>
        <v>0</v>
      </c>
      <c r="G920" s="125">
        <f ca="1">IF('Simulador - 1º Pilar'!$E$99="Sí",IF('Aportaciones PPE'!$B$13&lt;'Aportaciones PPE'!E920,0,F920*$B$8/12),F920*$B$8/12)</f>
        <v>0</v>
      </c>
      <c r="H920" s="125">
        <f t="shared" ca="1" si="534"/>
        <v>0</v>
      </c>
      <c r="I920" s="125">
        <f t="shared" ca="1" si="546"/>
        <v>0</v>
      </c>
      <c r="J920" s="125">
        <f t="shared" ca="1" si="547"/>
        <v>0</v>
      </c>
      <c r="K920" s="125">
        <f t="shared" ca="1" si="548"/>
        <v>0</v>
      </c>
      <c r="L920" s="125">
        <f t="shared" ca="1" si="566"/>
        <v>0</v>
      </c>
      <c r="M920" s="125">
        <f t="shared" ca="1" si="549"/>
        <v>0</v>
      </c>
      <c r="N920" s="125">
        <f t="shared" ca="1" si="550"/>
        <v>0</v>
      </c>
      <c r="R920">
        <f t="shared" si="567"/>
        <v>913</v>
      </c>
      <c r="U920" s="55"/>
      <c r="V920">
        <f t="shared" si="568"/>
        <v>2</v>
      </c>
      <c r="W920">
        <f t="shared" ca="1" si="569"/>
        <v>2100</v>
      </c>
      <c r="X920" s="123">
        <f t="shared" ca="1" si="551"/>
        <v>73082</v>
      </c>
      <c r="Y920" s="64">
        <f t="shared" ca="1" si="552"/>
        <v>0</v>
      </c>
      <c r="Z920" s="64">
        <f t="shared" ca="1" si="553"/>
        <v>0</v>
      </c>
      <c r="AA920" s="64">
        <f t="shared" ca="1" si="554"/>
        <v>0</v>
      </c>
      <c r="AB920" s="64">
        <f t="shared" ca="1" si="555"/>
        <v>0</v>
      </c>
      <c r="AF920" t="str">
        <f t="shared" ca="1" si="535"/>
        <v>61968</v>
      </c>
      <c r="AG920" s="126">
        <f t="shared" ca="1" si="536"/>
        <v>0</v>
      </c>
      <c r="AH920" s="126">
        <f t="shared" ca="1" si="537"/>
        <v>0</v>
      </c>
      <c r="AI920" s="126">
        <f t="shared" ca="1" si="538"/>
        <v>0</v>
      </c>
      <c r="AJ920" t="str">
        <f t="shared" ca="1" si="539"/>
        <v>22100</v>
      </c>
      <c r="AK920" s="126">
        <f t="shared" ca="1" si="556"/>
        <v>0</v>
      </c>
      <c r="AL920" s="126">
        <f t="shared" ca="1" si="557"/>
        <v>0</v>
      </c>
      <c r="AM920" s="126">
        <f t="shared" ca="1" si="570"/>
        <v>0</v>
      </c>
      <c r="AN920" s="753">
        <f t="shared" ca="1" si="571"/>
        <v>0</v>
      </c>
      <c r="AO920" s="750">
        <f t="shared" ca="1" si="558"/>
        <v>0</v>
      </c>
      <c r="AP920" s="126">
        <f t="shared" ca="1" si="559"/>
        <v>0</v>
      </c>
      <c r="AQ920" s="126">
        <f t="shared" ca="1" si="560"/>
        <v>0</v>
      </c>
      <c r="AR920" s="126">
        <f t="shared" ca="1" si="540"/>
        <v>10000</v>
      </c>
      <c r="AS920" s="750">
        <f t="shared" ca="1" si="541"/>
        <v>0</v>
      </c>
      <c r="AT920" s="750">
        <f t="shared" ca="1" si="542"/>
        <v>0</v>
      </c>
      <c r="AU920" s="126">
        <f t="shared" ca="1" si="561"/>
        <v>0</v>
      </c>
      <c r="AV920" s="126">
        <f t="shared" ca="1" si="562"/>
        <v>0</v>
      </c>
      <c r="AW920" s="126">
        <f t="shared" ca="1" si="543"/>
        <v>10000</v>
      </c>
      <c r="AX920" s="750">
        <f t="shared" ca="1" si="563"/>
        <v>0</v>
      </c>
      <c r="AY920" s="750">
        <f t="shared" ca="1" si="564"/>
        <v>0</v>
      </c>
      <c r="AZ920">
        <f t="shared" si="565"/>
        <v>5750</v>
      </c>
    </row>
    <row r="921" spans="4:52">
      <c r="D921">
        <v>914</v>
      </c>
      <c r="E921" s="6">
        <f t="shared" ca="1" si="544"/>
        <v>24959</v>
      </c>
      <c r="F921" s="7">
        <f t="shared" ca="1" si="545"/>
        <v>0</v>
      </c>
      <c r="G921" s="125">
        <f ca="1">IF('Simulador - 1º Pilar'!$E$99="Sí",IF('Aportaciones PPE'!$B$13&lt;'Aportaciones PPE'!E921,0,F921*$B$8/12),F921*$B$8/12)</f>
        <v>0</v>
      </c>
      <c r="H921" s="125">
        <f t="shared" ca="1" si="534"/>
        <v>0</v>
      </c>
      <c r="I921" s="125">
        <f t="shared" ca="1" si="546"/>
        <v>0</v>
      </c>
      <c r="J921" s="125">
        <f t="shared" ca="1" si="547"/>
        <v>0</v>
      </c>
      <c r="K921" s="125">
        <f t="shared" ca="1" si="548"/>
        <v>0</v>
      </c>
      <c r="L921" s="125">
        <f t="shared" ca="1" si="566"/>
        <v>0</v>
      </c>
      <c r="M921" s="125">
        <f t="shared" ca="1" si="549"/>
        <v>0</v>
      </c>
      <c r="N921" s="125">
        <f t="shared" ca="1" si="550"/>
        <v>0</v>
      </c>
      <c r="R921">
        <f t="shared" si="567"/>
        <v>914</v>
      </c>
      <c r="U921" s="55"/>
      <c r="V921">
        <f t="shared" si="568"/>
        <v>3</v>
      </c>
      <c r="W921">
        <f t="shared" ca="1" si="569"/>
        <v>2100</v>
      </c>
      <c r="X921" s="123">
        <f t="shared" ca="1" si="551"/>
        <v>73110</v>
      </c>
      <c r="Y921" s="64">
        <f t="shared" ca="1" si="552"/>
        <v>0</v>
      </c>
      <c r="Z921" s="64">
        <f t="shared" ca="1" si="553"/>
        <v>0</v>
      </c>
      <c r="AA921" s="64">
        <f t="shared" ca="1" si="554"/>
        <v>0</v>
      </c>
      <c r="AB921" s="64">
        <f t="shared" ca="1" si="555"/>
        <v>0</v>
      </c>
      <c r="AF921" t="str">
        <f t="shared" ca="1" si="535"/>
        <v>51968</v>
      </c>
      <c r="AG921" s="126">
        <f t="shared" ca="1" si="536"/>
        <v>0</v>
      </c>
      <c r="AH921" s="126">
        <f t="shared" ca="1" si="537"/>
        <v>0</v>
      </c>
      <c r="AI921" s="126">
        <f t="shared" ca="1" si="538"/>
        <v>0</v>
      </c>
      <c r="AJ921" t="str">
        <f t="shared" ca="1" si="539"/>
        <v>32100</v>
      </c>
      <c r="AK921" s="126">
        <f t="shared" ca="1" si="556"/>
        <v>0</v>
      </c>
      <c r="AL921" s="126">
        <f t="shared" ca="1" si="557"/>
        <v>0</v>
      </c>
      <c r="AM921" s="126">
        <f t="shared" ca="1" si="570"/>
        <v>0</v>
      </c>
      <c r="AN921" s="753">
        <f t="shared" ca="1" si="571"/>
        <v>0</v>
      </c>
      <c r="AO921" s="750">
        <f t="shared" ca="1" si="558"/>
        <v>0</v>
      </c>
      <c r="AP921" s="126">
        <f t="shared" ca="1" si="559"/>
        <v>0</v>
      </c>
      <c r="AQ921" s="126">
        <f t="shared" ca="1" si="560"/>
        <v>0</v>
      </c>
      <c r="AR921" s="126">
        <f t="shared" ca="1" si="540"/>
        <v>10000</v>
      </c>
      <c r="AS921" s="750">
        <f t="shared" ca="1" si="541"/>
        <v>0</v>
      </c>
      <c r="AT921" s="750">
        <f t="shared" ca="1" si="542"/>
        <v>0</v>
      </c>
      <c r="AU921" s="126">
        <f t="shared" ca="1" si="561"/>
        <v>0</v>
      </c>
      <c r="AV921" s="126">
        <f t="shared" ca="1" si="562"/>
        <v>0</v>
      </c>
      <c r="AW921" s="126">
        <f t="shared" ca="1" si="543"/>
        <v>10000</v>
      </c>
      <c r="AX921" s="750">
        <f t="shared" ca="1" si="563"/>
        <v>0</v>
      </c>
      <c r="AY921" s="750">
        <f t="shared" ca="1" si="564"/>
        <v>0</v>
      </c>
      <c r="AZ921">
        <f t="shared" si="565"/>
        <v>5750</v>
      </c>
    </row>
    <row r="922" spans="4:52">
      <c r="D922">
        <v>915</v>
      </c>
      <c r="E922" s="6">
        <f t="shared" ca="1" si="544"/>
        <v>24929</v>
      </c>
      <c r="F922" s="7">
        <f t="shared" ca="1" si="545"/>
        <v>0</v>
      </c>
      <c r="G922" s="125">
        <f ca="1">IF('Simulador - 1º Pilar'!$E$99="Sí",IF('Aportaciones PPE'!$B$13&lt;'Aportaciones PPE'!E922,0,F922*$B$8/12),F922*$B$8/12)</f>
        <v>0</v>
      </c>
      <c r="H922" s="125">
        <f t="shared" ca="1" si="534"/>
        <v>0</v>
      </c>
      <c r="I922" s="125">
        <f t="shared" ca="1" si="546"/>
        <v>0</v>
      </c>
      <c r="J922" s="125">
        <f t="shared" ca="1" si="547"/>
        <v>0</v>
      </c>
      <c r="K922" s="125">
        <f t="shared" ca="1" si="548"/>
        <v>0</v>
      </c>
      <c r="L922" s="125">
        <f t="shared" ca="1" si="566"/>
        <v>0</v>
      </c>
      <c r="M922" s="125">
        <f t="shared" ca="1" si="549"/>
        <v>0</v>
      </c>
      <c r="N922" s="125">
        <f t="shared" ca="1" si="550"/>
        <v>0</v>
      </c>
      <c r="R922">
        <f t="shared" si="567"/>
        <v>915</v>
      </c>
      <c r="U922" s="55"/>
      <c r="V922">
        <f t="shared" si="568"/>
        <v>4</v>
      </c>
      <c r="W922">
        <f t="shared" ca="1" si="569"/>
        <v>2100</v>
      </c>
      <c r="X922" s="123">
        <f t="shared" ca="1" si="551"/>
        <v>73141</v>
      </c>
      <c r="Y922" s="64">
        <f t="shared" ca="1" si="552"/>
        <v>0</v>
      </c>
      <c r="Z922" s="64">
        <f t="shared" ca="1" si="553"/>
        <v>0</v>
      </c>
      <c r="AA922" s="64">
        <f t="shared" ca="1" si="554"/>
        <v>0</v>
      </c>
      <c r="AB922" s="64">
        <f t="shared" ca="1" si="555"/>
        <v>0</v>
      </c>
      <c r="AF922" t="str">
        <f t="shared" ca="1" si="535"/>
        <v>41968</v>
      </c>
      <c r="AG922" s="126">
        <f t="shared" ca="1" si="536"/>
        <v>0</v>
      </c>
      <c r="AH922" s="126">
        <f t="shared" ca="1" si="537"/>
        <v>0</v>
      </c>
      <c r="AI922" s="126">
        <f t="shared" ca="1" si="538"/>
        <v>0</v>
      </c>
      <c r="AJ922" t="str">
        <f t="shared" ca="1" si="539"/>
        <v>42100</v>
      </c>
      <c r="AK922" s="126">
        <f t="shared" ca="1" si="556"/>
        <v>0</v>
      </c>
      <c r="AL922" s="126">
        <f t="shared" ca="1" si="557"/>
        <v>0</v>
      </c>
      <c r="AM922" s="126">
        <f t="shared" ca="1" si="570"/>
        <v>0</v>
      </c>
      <c r="AN922" s="753">
        <f t="shared" ca="1" si="571"/>
        <v>0</v>
      </c>
      <c r="AO922" s="750">
        <f t="shared" ca="1" si="558"/>
        <v>0</v>
      </c>
      <c r="AP922" s="126">
        <f t="shared" ca="1" si="559"/>
        <v>0</v>
      </c>
      <c r="AQ922" s="126">
        <f t="shared" ca="1" si="560"/>
        <v>0</v>
      </c>
      <c r="AR922" s="126">
        <f t="shared" ca="1" si="540"/>
        <v>10000</v>
      </c>
      <c r="AS922" s="750">
        <f t="shared" ca="1" si="541"/>
        <v>0</v>
      </c>
      <c r="AT922" s="750">
        <f t="shared" ca="1" si="542"/>
        <v>0</v>
      </c>
      <c r="AU922" s="126">
        <f t="shared" ca="1" si="561"/>
        <v>0</v>
      </c>
      <c r="AV922" s="126">
        <f t="shared" ca="1" si="562"/>
        <v>0</v>
      </c>
      <c r="AW922" s="126">
        <f t="shared" ca="1" si="543"/>
        <v>10000</v>
      </c>
      <c r="AX922" s="750">
        <f t="shared" ca="1" si="563"/>
        <v>0</v>
      </c>
      <c r="AY922" s="750">
        <f t="shared" ca="1" si="564"/>
        <v>0</v>
      </c>
      <c r="AZ922">
        <f t="shared" si="565"/>
        <v>5750</v>
      </c>
    </row>
    <row r="923" spans="4:52">
      <c r="D923">
        <v>916</v>
      </c>
      <c r="E923" s="6">
        <f t="shared" ca="1" si="544"/>
        <v>24898</v>
      </c>
      <c r="F923" s="7">
        <f t="shared" ca="1" si="545"/>
        <v>0</v>
      </c>
      <c r="G923" s="125">
        <f ca="1">IF('Simulador - 1º Pilar'!$E$99="Sí",IF('Aportaciones PPE'!$B$13&lt;'Aportaciones PPE'!E923,0,F923*$B$8/12),F923*$B$8/12)</f>
        <v>0</v>
      </c>
      <c r="H923" s="125">
        <f t="shared" ca="1" si="534"/>
        <v>0</v>
      </c>
      <c r="I923" s="125">
        <f t="shared" ca="1" si="546"/>
        <v>0</v>
      </c>
      <c r="J923" s="125">
        <f t="shared" ca="1" si="547"/>
        <v>0</v>
      </c>
      <c r="K923" s="125">
        <f t="shared" ca="1" si="548"/>
        <v>0</v>
      </c>
      <c r="L923" s="125">
        <f t="shared" ca="1" si="566"/>
        <v>0</v>
      </c>
      <c r="M923" s="125">
        <f t="shared" ca="1" si="549"/>
        <v>0</v>
      </c>
      <c r="N923" s="125">
        <f t="shared" ca="1" si="550"/>
        <v>0</v>
      </c>
      <c r="R923">
        <f t="shared" si="567"/>
        <v>916</v>
      </c>
      <c r="U923" s="55"/>
      <c r="V923">
        <f t="shared" si="568"/>
        <v>5</v>
      </c>
      <c r="W923">
        <f t="shared" ca="1" si="569"/>
        <v>2100</v>
      </c>
      <c r="X923" s="123">
        <f t="shared" ca="1" si="551"/>
        <v>73171</v>
      </c>
      <c r="Y923" s="64">
        <f t="shared" ca="1" si="552"/>
        <v>0</v>
      </c>
      <c r="Z923" s="64">
        <f t="shared" ca="1" si="553"/>
        <v>0</v>
      </c>
      <c r="AA923" s="64">
        <f t="shared" ca="1" si="554"/>
        <v>0</v>
      </c>
      <c r="AB923" s="64">
        <f t="shared" ca="1" si="555"/>
        <v>0</v>
      </c>
      <c r="AF923" t="str">
        <f t="shared" ca="1" si="535"/>
        <v>31968</v>
      </c>
      <c r="AG923" s="126">
        <f t="shared" ca="1" si="536"/>
        <v>0</v>
      </c>
      <c r="AH923" s="126">
        <f t="shared" ca="1" si="537"/>
        <v>0</v>
      </c>
      <c r="AI923" s="126">
        <f t="shared" ca="1" si="538"/>
        <v>0</v>
      </c>
      <c r="AJ923" t="str">
        <f t="shared" ca="1" si="539"/>
        <v>52100</v>
      </c>
      <c r="AK923" s="126">
        <f t="shared" ca="1" si="556"/>
        <v>0</v>
      </c>
      <c r="AL923" s="126">
        <f t="shared" ca="1" si="557"/>
        <v>0</v>
      </c>
      <c r="AM923" s="126">
        <f t="shared" ca="1" si="570"/>
        <v>0</v>
      </c>
      <c r="AN923" s="753">
        <f t="shared" ca="1" si="571"/>
        <v>0</v>
      </c>
      <c r="AO923" s="750">
        <f t="shared" ca="1" si="558"/>
        <v>0</v>
      </c>
      <c r="AP923" s="126">
        <f t="shared" ca="1" si="559"/>
        <v>0</v>
      </c>
      <c r="AQ923" s="126">
        <f t="shared" ca="1" si="560"/>
        <v>0</v>
      </c>
      <c r="AR923" s="126">
        <f t="shared" ca="1" si="540"/>
        <v>10000</v>
      </c>
      <c r="AS923" s="750">
        <f t="shared" ca="1" si="541"/>
        <v>0</v>
      </c>
      <c r="AT923" s="750">
        <f t="shared" ca="1" si="542"/>
        <v>0</v>
      </c>
      <c r="AU923" s="126">
        <f t="shared" ca="1" si="561"/>
        <v>0</v>
      </c>
      <c r="AV923" s="126">
        <f t="shared" ca="1" si="562"/>
        <v>0</v>
      </c>
      <c r="AW923" s="126">
        <f t="shared" ca="1" si="543"/>
        <v>10000</v>
      </c>
      <c r="AX923" s="750">
        <f t="shared" ca="1" si="563"/>
        <v>0</v>
      </c>
      <c r="AY923" s="750">
        <f t="shared" ca="1" si="564"/>
        <v>0</v>
      </c>
      <c r="AZ923">
        <f t="shared" si="565"/>
        <v>5750</v>
      </c>
    </row>
    <row r="924" spans="4:52">
      <c r="D924">
        <v>917</v>
      </c>
      <c r="E924" s="6">
        <f t="shared" ca="1" si="544"/>
        <v>24869</v>
      </c>
      <c r="F924" s="7">
        <f t="shared" ca="1" si="545"/>
        <v>0</v>
      </c>
      <c r="G924" s="125">
        <f ca="1">IF('Simulador - 1º Pilar'!$E$99="Sí",IF('Aportaciones PPE'!$B$13&lt;'Aportaciones PPE'!E924,0,F924*$B$8/12),F924*$B$8/12)</f>
        <v>0</v>
      </c>
      <c r="H924" s="125">
        <f t="shared" ca="1" si="534"/>
        <v>0</v>
      </c>
      <c r="I924" s="125">
        <f t="shared" ca="1" si="546"/>
        <v>0</v>
      </c>
      <c r="J924" s="125">
        <f t="shared" ca="1" si="547"/>
        <v>0</v>
      </c>
      <c r="K924" s="125">
        <f t="shared" ca="1" si="548"/>
        <v>0</v>
      </c>
      <c r="L924" s="125">
        <f t="shared" ca="1" si="566"/>
        <v>0</v>
      </c>
      <c r="M924" s="125">
        <f t="shared" ca="1" si="549"/>
        <v>0</v>
      </c>
      <c r="N924" s="125">
        <f t="shared" ca="1" si="550"/>
        <v>0</v>
      </c>
      <c r="R924">
        <f t="shared" si="567"/>
        <v>917</v>
      </c>
      <c r="U924" s="55"/>
      <c r="V924">
        <f t="shared" si="568"/>
        <v>6</v>
      </c>
      <c r="W924">
        <f t="shared" ca="1" si="569"/>
        <v>2100</v>
      </c>
      <c r="X924" s="123">
        <f t="shared" ca="1" si="551"/>
        <v>73202</v>
      </c>
      <c r="Y924" s="64">
        <f t="shared" ca="1" si="552"/>
        <v>0</v>
      </c>
      <c r="Z924" s="64">
        <f t="shared" ca="1" si="553"/>
        <v>0</v>
      </c>
      <c r="AA924" s="64">
        <f t="shared" ca="1" si="554"/>
        <v>0</v>
      </c>
      <c r="AB924" s="64">
        <f t="shared" ca="1" si="555"/>
        <v>0</v>
      </c>
      <c r="AF924" t="str">
        <f t="shared" ca="1" si="535"/>
        <v>21968</v>
      </c>
      <c r="AG924" s="126">
        <f t="shared" ca="1" si="536"/>
        <v>0</v>
      </c>
      <c r="AH924" s="126">
        <f t="shared" ca="1" si="537"/>
        <v>0</v>
      </c>
      <c r="AI924" s="126">
        <f t="shared" ca="1" si="538"/>
        <v>0</v>
      </c>
      <c r="AJ924" t="str">
        <f t="shared" ca="1" si="539"/>
        <v>62100</v>
      </c>
      <c r="AK924" s="126">
        <f t="shared" ca="1" si="556"/>
        <v>0</v>
      </c>
      <c r="AL924" s="126">
        <f t="shared" ca="1" si="557"/>
        <v>0</v>
      </c>
      <c r="AM924" s="126">
        <f t="shared" ca="1" si="570"/>
        <v>0</v>
      </c>
      <c r="AN924" s="753">
        <f t="shared" ca="1" si="571"/>
        <v>0</v>
      </c>
      <c r="AO924" s="750">
        <f t="shared" ca="1" si="558"/>
        <v>0</v>
      </c>
      <c r="AP924" s="126">
        <f t="shared" ca="1" si="559"/>
        <v>0</v>
      </c>
      <c r="AQ924" s="126">
        <f t="shared" ca="1" si="560"/>
        <v>0</v>
      </c>
      <c r="AR924" s="126">
        <f t="shared" ca="1" si="540"/>
        <v>10000</v>
      </c>
      <c r="AS924" s="750">
        <f t="shared" ca="1" si="541"/>
        <v>0</v>
      </c>
      <c r="AT924" s="750">
        <f t="shared" ca="1" si="542"/>
        <v>0</v>
      </c>
      <c r="AU924" s="126">
        <f t="shared" ca="1" si="561"/>
        <v>0</v>
      </c>
      <c r="AV924" s="126">
        <f t="shared" ca="1" si="562"/>
        <v>0</v>
      </c>
      <c r="AW924" s="126">
        <f t="shared" ca="1" si="543"/>
        <v>10000</v>
      </c>
      <c r="AX924" s="750">
        <f t="shared" ca="1" si="563"/>
        <v>0</v>
      </c>
      <c r="AY924" s="750">
        <f t="shared" ca="1" si="564"/>
        <v>0</v>
      </c>
      <c r="AZ924">
        <f t="shared" si="565"/>
        <v>5750</v>
      </c>
    </row>
    <row r="925" spans="4:52">
      <c r="D925">
        <v>918</v>
      </c>
      <c r="E925" s="6">
        <f t="shared" ca="1" si="544"/>
        <v>24838</v>
      </c>
      <c r="F925" s="7">
        <f t="shared" ca="1" si="545"/>
        <v>0</v>
      </c>
      <c r="G925" s="125">
        <f ca="1">IF('Simulador - 1º Pilar'!$E$99="Sí",IF('Aportaciones PPE'!$B$13&lt;'Aportaciones PPE'!E925,0,F925*$B$8/12),F925*$B$8/12)</f>
        <v>0</v>
      </c>
      <c r="H925" s="125">
        <f t="shared" ca="1" si="534"/>
        <v>0</v>
      </c>
      <c r="I925" s="125">
        <f t="shared" ca="1" si="546"/>
        <v>0</v>
      </c>
      <c r="J925" s="125">
        <f t="shared" ca="1" si="547"/>
        <v>0</v>
      </c>
      <c r="K925" s="125">
        <f t="shared" ca="1" si="548"/>
        <v>0</v>
      </c>
      <c r="L925" s="125">
        <f t="shared" ca="1" si="566"/>
        <v>0</v>
      </c>
      <c r="M925" s="125">
        <f t="shared" ca="1" si="549"/>
        <v>0</v>
      </c>
      <c r="N925" s="125">
        <f t="shared" ca="1" si="550"/>
        <v>0</v>
      </c>
      <c r="R925">
        <f t="shared" si="567"/>
        <v>918</v>
      </c>
      <c r="U925" s="55"/>
      <c r="V925">
        <f t="shared" si="568"/>
        <v>7</v>
      </c>
      <c r="W925">
        <f t="shared" ca="1" si="569"/>
        <v>2100</v>
      </c>
      <c r="X925" s="123">
        <f t="shared" ca="1" si="551"/>
        <v>73232</v>
      </c>
      <c r="Y925" s="64">
        <f t="shared" ca="1" si="552"/>
        <v>0</v>
      </c>
      <c r="Z925" s="64">
        <f t="shared" ca="1" si="553"/>
        <v>0</v>
      </c>
      <c r="AA925" s="64">
        <f t="shared" ca="1" si="554"/>
        <v>0</v>
      </c>
      <c r="AB925" s="64">
        <f t="shared" ca="1" si="555"/>
        <v>0</v>
      </c>
      <c r="AF925" t="str">
        <f t="shared" ca="1" si="535"/>
        <v>11968</v>
      </c>
      <c r="AG925" s="126">
        <f t="shared" ca="1" si="536"/>
        <v>0</v>
      </c>
      <c r="AH925" s="126">
        <f t="shared" ca="1" si="537"/>
        <v>0</v>
      </c>
      <c r="AI925" s="126">
        <f t="shared" ca="1" si="538"/>
        <v>0</v>
      </c>
      <c r="AJ925" t="str">
        <f t="shared" ca="1" si="539"/>
        <v>72100</v>
      </c>
      <c r="AK925" s="126">
        <f t="shared" ca="1" si="556"/>
        <v>0</v>
      </c>
      <c r="AL925" s="126">
        <f t="shared" ca="1" si="557"/>
        <v>0</v>
      </c>
      <c r="AM925" s="126">
        <f t="shared" ca="1" si="570"/>
        <v>0</v>
      </c>
      <c r="AN925" s="753">
        <f t="shared" ca="1" si="571"/>
        <v>0</v>
      </c>
      <c r="AO925" s="750">
        <f t="shared" ca="1" si="558"/>
        <v>0</v>
      </c>
      <c r="AP925" s="126">
        <f t="shared" ca="1" si="559"/>
        <v>0</v>
      </c>
      <c r="AQ925" s="126">
        <f t="shared" ca="1" si="560"/>
        <v>0</v>
      </c>
      <c r="AR925" s="126">
        <f t="shared" ca="1" si="540"/>
        <v>10000</v>
      </c>
      <c r="AS925" s="750">
        <f t="shared" ca="1" si="541"/>
        <v>0</v>
      </c>
      <c r="AT925" s="750">
        <f t="shared" ca="1" si="542"/>
        <v>0</v>
      </c>
      <c r="AU925" s="126">
        <f t="shared" ca="1" si="561"/>
        <v>0</v>
      </c>
      <c r="AV925" s="126">
        <f t="shared" ca="1" si="562"/>
        <v>0</v>
      </c>
      <c r="AW925" s="126">
        <f t="shared" ca="1" si="543"/>
        <v>10000</v>
      </c>
      <c r="AX925" s="750">
        <f t="shared" ca="1" si="563"/>
        <v>0</v>
      </c>
      <c r="AY925" s="750">
        <f t="shared" ca="1" si="564"/>
        <v>0</v>
      </c>
      <c r="AZ925">
        <f t="shared" si="565"/>
        <v>5750</v>
      </c>
    </row>
    <row r="926" spans="4:52">
      <c r="D926">
        <v>919</v>
      </c>
      <c r="E926" s="6">
        <f t="shared" ca="1" si="544"/>
        <v>24807</v>
      </c>
      <c r="F926" s="7">
        <f t="shared" ca="1" si="545"/>
        <v>0</v>
      </c>
      <c r="G926" s="125">
        <f ca="1">IF('Simulador - 1º Pilar'!$E$99="Sí",IF('Aportaciones PPE'!$B$13&lt;'Aportaciones PPE'!E926,0,F926*$B$8/12),F926*$B$8/12)</f>
        <v>0</v>
      </c>
      <c r="H926" s="125">
        <f t="shared" ca="1" si="534"/>
        <v>0</v>
      </c>
      <c r="I926" s="125">
        <f t="shared" ca="1" si="546"/>
        <v>0</v>
      </c>
      <c r="J926" s="125">
        <f t="shared" ca="1" si="547"/>
        <v>0</v>
      </c>
      <c r="K926" s="125">
        <f t="shared" ca="1" si="548"/>
        <v>0</v>
      </c>
      <c r="L926" s="125">
        <f t="shared" ca="1" si="566"/>
        <v>0</v>
      </c>
      <c r="M926" s="125">
        <f t="shared" ca="1" si="549"/>
        <v>0</v>
      </c>
      <c r="N926" s="125">
        <f t="shared" ca="1" si="550"/>
        <v>0</v>
      </c>
      <c r="R926">
        <f t="shared" si="567"/>
        <v>919</v>
      </c>
      <c r="U926" s="55"/>
      <c r="V926">
        <f t="shared" si="568"/>
        <v>8</v>
      </c>
      <c r="W926">
        <f t="shared" ca="1" si="569"/>
        <v>2100</v>
      </c>
      <c r="X926" s="123">
        <f t="shared" ca="1" si="551"/>
        <v>73263</v>
      </c>
      <c r="Y926" s="64">
        <f t="shared" ca="1" si="552"/>
        <v>0</v>
      </c>
      <c r="Z926" s="64">
        <f t="shared" ca="1" si="553"/>
        <v>0</v>
      </c>
      <c r="AA926" s="64">
        <f t="shared" ca="1" si="554"/>
        <v>0</v>
      </c>
      <c r="AB926" s="64">
        <f t="shared" ca="1" si="555"/>
        <v>0</v>
      </c>
      <c r="AF926" t="str">
        <f t="shared" ca="1" si="535"/>
        <v>121967</v>
      </c>
      <c r="AG926" s="126">
        <f t="shared" ca="1" si="536"/>
        <v>0</v>
      </c>
      <c r="AH926" s="126">
        <f t="shared" ca="1" si="537"/>
        <v>0</v>
      </c>
      <c r="AI926" s="126">
        <f t="shared" ca="1" si="538"/>
        <v>0</v>
      </c>
      <c r="AJ926" t="str">
        <f t="shared" ca="1" si="539"/>
        <v>82100</v>
      </c>
      <c r="AK926" s="126">
        <f t="shared" ca="1" si="556"/>
        <v>0</v>
      </c>
      <c r="AL926" s="126">
        <f t="shared" ca="1" si="557"/>
        <v>0</v>
      </c>
      <c r="AM926" s="126">
        <f t="shared" ca="1" si="570"/>
        <v>0</v>
      </c>
      <c r="AN926" s="753">
        <f t="shared" ca="1" si="571"/>
        <v>0</v>
      </c>
      <c r="AO926" s="750">
        <f t="shared" ca="1" si="558"/>
        <v>0</v>
      </c>
      <c r="AP926" s="126">
        <f t="shared" ca="1" si="559"/>
        <v>0</v>
      </c>
      <c r="AQ926" s="126">
        <f t="shared" ca="1" si="560"/>
        <v>0</v>
      </c>
      <c r="AR926" s="126">
        <f t="shared" ca="1" si="540"/>
        <v>10000</v>
      </c>
      <c r="AS926" s="750">
        <f t="shared" ca="1" si="541"/>
        <v>0</v>
      </c>
      <c r="AT926" s="750">
        <f t="shared" ca="1" si="542"/>
        <v>0</v>
      </c>
      <c r="AU926" s="126">
        <f t="shared" ca="1" si="561"/>
        <v>0</v>
      </c>
      <c r="AV926" s="126">
        <f t="shared" ca="1" si="562"/>
        <v>0</v>
      </c>
      <c r="AW926" s="126">
        <f t="shared" ca="1" si="543"/>
        <v>10000</v>
      </c>
      <c r="AX926" s="750">
        <f t="shared" ca="1" si="563"/>
        <v>0</v>
      </c>
      <c r="AY926" s="750">
        <f t="shared" ca="1" si="564"/>
        <v>0</v>
      </c>
      <c r="AZ926">
        <f t="shared" si="565"/>
        <v>5750</v>
      </c>
    </row>
    <row r="927" spans="4:52">
      <c r="D927">
        <v>920</v>
      </c>
      <c r="E927" s="6">
        <f t="shared" ca="1" si="544"/>
        <v>24777</v>
      </c>
      <c r="F927" s="7">
        <f t="shared" ca="1" si="545"/>
        <v>0</v>
      </c>
      <c r="G927" s="125">
        <f ca="1">IF('Simulador - 1º Pilar'!$E$99="Sí",IF('Aportaciones PPE'!$B$13&lt;'Aportaciones PPE'!E927,0,F927*$B$8/12),F927*$B$8/12)</f>
        <v>0</v>
      </c>
      <c r="H927" s="125">
        <f t="shared" ca="1" si="534"/>
        <v>0</v>
      </c>
      <c r="I927" s="125">
        <f t="shared" ca="1" si="546"/>
        <v>0</v>
      </c>
      <c r="J927" s="125">
        <f t="shared" ca="1" si="547"/>
        <v>0</v>
      </c>
      <c r="K927" s="125">
        <f t="shared" ca="1" si="548"/>
        <v>0</v>
      </c>
      <c r="L927" s="125">
        <f t="shared" ca="1" si="566"/>
        <v>0</v>
      </c>
      <c r="M927" s="125">
        <f t="shared" ca="1" si="549"/>
        <v>0</v>
      </c>
      <c r="N927" s="125">
        <f t="shared" ca="1" si="550"/>
        <v>0</v>
      </c>
      <c r="R927">
        <f t="shared" si="567"/>
        <v>920</v>
      </c>
      <c r="U927" s="55"/>
      <c r="V927">
        <f t="shared" si="568"/>
        <v>9</v>
      </c>
      <c r="W927">
        <f t="shared" ca="1" si="569"/>
        <v>2100</v>
      </c>
      <c r="X927" s="123">
        <f t="shared" ca="1" si="551"/>
        <v>73294</v>
      </c>
      <c r="Y927" s="64">
        <f t="shared" ca="1" si="552"/>
        <v>0</v>
      </c>
      <c r="Z927" s="64">
        <f t="shared" ca="1" si="553"/>
        <v>0</v>
      </c>
      <c r="AA927" s="64">
        <f t="shared" ca="1" si="554"/>
        <v>0</v>
      </c>
      <c r="AB927" s="64">
        <f t="shared" ca="1" si="555"/>
        <v>0</v>
      </c>
      <c r="AF927" t="str">
        <f t="shared" ca="1" si="535"/>
        <v>111967</v>
      </c>
      <c r="AG927" s="126">
        <f t="shared" ca="1" si="536"/>
        <v>0</v>
      </c>
      <c r="AH927" s="126">
        <f t="shared" ca="1" si="537"/>
        <v>0</v>
      </c>
      <c r="AI927" s="126">
        <f t="shared" ca="1" si="538"/>
        <v>0</v>
      </c>
      <c r="AJ927" t="str">
        <f t="shared" ca="1" si="539"/>
        <v>92100</v>
      </c>
      <c r="AK927" s="126">
        <f t="shared" ca="1" si="556"/>
        <v>0</v>
      </c>
      <c r="AL927" s="126">
        <f t="shared" ca="1" si="557"/>
        <v>0</v>
      </c>
      <c r="AM927" s="126">
        <f t="shared" ca="1" si="570"/>
        <v>0</v>
      </c>
      <c r="AN927" s="753">
        <f t="shared" ca="1" si="571"/>
        <v>0</v>
      </c>
      <c r="AO927" s="750">
        <f t="shared" ca="1" si="558"/>
        <v>0</v>
      </c>
      <c r="AP927" s="126">
        <f t="shared" ca="1" si="559"/>
        <v>0</v>
      </c>
      <c r="AQ927" s="126">
        <f t="shared" ca="1" si="560"/>
        <v>0</v>
      </c>
      <c r="AR927" s="126">
        <f t="shared" ca="1" si="540"/>
        <v>10000</v>
      </c>
      <c r="AS927" s="750">
        <f t="shared" ca="1" si="541"/>
        <v>0</v>
      </c>
      <c r="AT927" s="750">
        <f t="shared" ca="1" si="542"/>
        <v>0</v>
      </c>
      <c r="AU927" s="126">
        <f t="shared" ca="1" si="561"/>
        <v>0</v>
      </c>
      <c r="AV927" s="126">
        <f t="shared" ca="1" si="562"/>
        <v>0</v>
      </c>
      <c r="AW927" s="126">
        <f t="shared" ca="1" si="543"/>
        <v>10000</v>
      </c>
      <c r="AX927" s="750">
        <f t="shared" ca="1" si="563"/>
        <v>0</v>
      </c>
      <c r="AY927" s="750">
        <f t="shared" ca="1" si="564"/>
        <v>0</v>
      </c>
      <c r="AZ927">
        <f t="shared" si="565"/>
        <v>5750</v>
      </c>
    </row>
    <row r="928" spans="4:52">
      <c r="D928">
        <v>921</v>
      </c>
      <c r="E928" s="6">
        <f t="shared" ca="1" si="544"/>
        <v>24746</v>
      </c>
      <c r="F928" s="7">
        <f t="shared" ca="1" si="545"/>
        <v>0</v>
      </c>
      <c r="G928" s="125">
        <f ca="1">IF('Simulador - 1º Pilar'!$E$99="Sí",IF('Aportaciones PPE'!$B$13&lt;'Aportaciones PPE'!E928,0,F928*$B$8/12),F928*$B$8/12)</f>
        <v>0</v>
      </c>
      <c r="H928" s="125">
        <f t="shared" ca="1" si="534"/>
        <v>0</v>
      </c>
      <c r="I928" s="125">
        <f t="shared" ca="1" si="546"/>
        <v>0</v>
      </c>
      <c r="J928" s="125">
        <f t="shared" ca="1" si="547"/>
        <v>0</v>
      </c>
      <c r="K928" s="125">
        <f t="shared" ca="1" si="548"/>
        <v>0</v>
      </c>
      <c r="L928" s="125">
        <f t="shared" ca="1" si="566"/>
        <v>0</v>
      </c>
      <c r="M928" s="125">
        <f t="shared" ca="1" si="549"/>
        <v>0</v>
      </c>
      <c r="N928" s="125">
        <f t="shared" ca="1" si="550"/>
        <v>0</v>
      </c>
      <c r="R928">
        <f t="shared" si="567"/>
        <v>921</v>
      </c>
      <c r="U928" s="55"/>
      <c r="V928">
        <f t="shared" si="568"/>
        <v>10</v>
      </c>
      <c r="W928">
        <f t="shared" ca="1" si="569"/>
        <v>2100</v>
      </c>
      <c r="X928" s="123">
        <f t="shared" ca="1" si="551"/>
        <v>73324</v>
      </c>
      <c r="Y928" s="64">
        <f t="shared" ca="1" si="552"/>
        <v>0</v>
      </c>
      <c r="Z928" s="64">
        <f t="shared" ca="1" si="553"/>
        <v>0</v>
      </c>
      <c r="AA928" s="64">
        <f t="shared" ca="1" si="554"/>
        <v>0</v>
      </c>
      <c r="AB928" s="64">
        <f t="shared" ca="1" si="555"/>
        <v>0</v>
      </c>
      <c r="AF928" t="str">
        <f t="shared" ca="1" si="535"/>
        <v>101967</v>
      </c>
      <c r="AG928" s="126">
        <f t="shared" ca="1" si="536"/>
        <v>0</v>
      </c>
      <c r="AH928" s="126">
        <f t="shared" ca="1" si="537"/>
        <v>0</v>
      </c>
      <c r="AI928" s="126">
        <f t="shared" ca="1" si="538"/>
        <v>0</v>
      </c>
      <c r="AJ928" t="str">
        <f t="shared" ca="1" si="539"/>
        <v>102100</v>
      </c>
      <c r="AK928" s="126">
        <f t="shared" ca="1" si="556"/>
        <v>0</v>
      </c>
      <c r="AL928" s="126">
        <f t="shared" ca="1" si="557"/>
        <v>0</v>
      </c>
      <c r="AM928" s="126">
        <f t="shared" ca="1" si="570"/>
        <v>0</v>
      </c>
      <c r="AN928" s="753">
        <f t="shared" ca="1" si="571"/>
        <v>0</v>
      </c>
      <c r="AO928" s="750">
        <f t="shared" ca="1" si="558"/>
        <v>0</v>
      </c>
      <c r="AP928" s="126">
        <f t="shared" ca="1" si="559"/>
        <v>0</v>
      </c>
      <c r="AQ928" s="126">
        <f t="shared" ca="1" si="560"/>
        <v>0</v>
      </c>
      <c r="AR928" s="126">
        <f t="shared" ca="1" si="540"/>
        <v>10000</v>
      </c>
      <c r="AS928" s="750">
        <f t="shared" ca="1" si="541"/>
        <v>0</v>
      </c>
      <c r="AT928" s="750">
        <f t="shared" ca="1" si="542"/>
        <v>0</v>
      </c>
      <c r="AU928" s="126">
        <f t="shared" ca="1" si="561"/>
        <v>0</v>
      </c>
      <c r="AV928" s="126">
        <f t="shared" ca="1" si="562"/>
        <v>0</v>
      </c>
      <c r="AW928" s="126">
        <f t="shared" ca="1" si="543"/>
        <v>10000</v>
      </c>
      <c r="AX928" s="750">
        <f t="shared" ca="1" si="563"/>
        <v>0</v>
      </c>
      <c r="AY928" s="750">
        <f t="shared" ca="1" si="564"/>
        <v>0</v>
      </c>
      <c r="AZ928">
        <f t="shared" si="565"/>
        <v>5750</v>
      </c>
    </row>
    <row r="929" spans="4:52">
      <c r="D929">
        <v>922</v>
      </c>
      <c r="E929" s="6">
        <f t="shared" ca="1" si="544"/>
        <v>24716</v>
      </c>
      <c r="F929" s="7">
        <f t="shared" ca="1" si="545"/>
        <v>0</v>
      </c>
      <c r="G929" s="125">
        <f ca="1">IF('Simulador - 1º Pilar'!$E$99="Sí",IF('Aportaciones PPE'!$B$13&lt;'Aportaciones PPE'!E929,0,F929*$B$8/12),F929*$B$8/12)</f>
        <v>0</v>
      </c>
      <c r="H929" s="125">
        <f t="shared" ca="1" si="534"/>
        <v>0</v>
      </c>
      <c r="I929" s="125">
        <f t="shared" ca="1" si="546"/>
        <v>0</v>
      </c>
      <c r="J929" s="125">
        <f t="shared" ca="1" si="547"/>
        <v>0</v>
      </c>
      <c r="K929" s="125">
        <f t="shared" ca="1" si="548"/>
        <v>0</v>
      </c>
      <c r="L929" s="125">
        <f t="shared" ca="1" si="566"/>
        <v>0</v>
      </c>
      <c r="M929" s="125">
        <f t="shared" ca="1" si="549"/>
        <v>0</v>
      </c>
      <c r="N929" s="125">
        <f t="shared" ca="1" si="550"/>
        <v>0</v>
      </c>
      <c r="R929">
        <f t="shared" si="567"/>
        <v>922</v>
      </c>
      <c r="U929" s="55"/>
      <c r="V929">
        <f t="shared" si="568"/>
        <v>11</v>
      </c>
      <c r="W929">
        <f t="shared" ca="1" si="569"/>
        <v>2100</v>
      </c>
      <c r="X929" s="123">
        <f t="shared" ca="1" si="551"/>
        <v>73355</v>
      </c>
      <c r="Y929" s="64">
        <f t="shared" ca="1" si="552"/>
        <v>0</v>
      </c>
      <c r="Z929" s="64">
        <f t="shared" ca="1" si="553"/>
        <v>0</v>
      </c>
      <c r="AA929" s="64">
        <f t="shared" ca="1" si="554"/>
        <v>0</v>
      </c>
      <c r="AB929" s="64">
        <f t="shared" ca="1" si="555"/>
        <v>0</v>
      </c>
      <c r="AF929" t="str">
        <f t="shared" ca="1" si="535"/>
        <v>91967</v>
      </c>
      <c r="AG929" s="126">
        <f t="shared" ca="1" si="536"/>
        <v>0</v>
      </c>
      <c r="AH929" s="126">
        <f t="shared" ca="1" si="537"/>
        <v>0</v>
      </c>
      <c r="AI929" s="126">
        <f t="shared" ca="1" si="538"/>
        <v>0</v>
      </c>
      <c r="AJ929" t="str">
        <f t="shared" ca="1" si="539"/>
        <v>112100</v>
      </c>
      <c r="AK929" s="126">
        <f t="shared" ca="1" si="556"/>
        <v>0</v>
      </c>
      <c r="AL929" s="126">
        <f t="shared" ca="1" si="557"/>
        <v>0</v>
      </c>
      <c r="AM929" s="126">
        <f t="shared" ca="1" si="570"/>
        <v>0</v>
      </c>
      <c r="AN929" s="753">
        <f t="shared" ca="1" si="571"/>
        <v>0</v>
      </c>
      <c r="AO929" s="750">
        <f t="shared" ca="1" si="558"/>
        <v>0</v>
      </c>
      <c r="AP929" s="126">
        <f t="shared" ca="1" si="559"/>
        <v>0</v>
      </c>
      <c r="AQ929" s="126">
        <f t="shared" ca="1" si="560"/>
        <v>0</v>
      </c>
      <c r="AR929" s="126">
        <f t="shared" ca="1" si="540"/>
        <v>10000</v>
      </c>
      <c r="AS929" s="750">
        <f t="shared" ca="1" si="541"/>
        <v>0</v>
      </c>
      <c r="AT929" s="750">
        <f t="shared" ca="1" si="542"/>
        <v>0</v>
      </c>
      <c r="AU929" s="126">
        <f t="shared" ca="1" si="561"/>
        <v>0</v>
      </c>
      <c r="AV929" s="126">
        <f t="shared" ca="1" si="562"/>
        <v>0</v>
      </c>
      <c r="AW929" s="126">
        <f t="shared" ca="1" si="543"/>
        <v>10000</v>
      </c>
      <c r="AX929" s="750">
        <f t="shared" ca="1" si="563"/>
        <v>0</v>
      </c>
      <c r="AY929" s="750">
        <f t="shared" ca="1" si="564"/>
        <v>0</v>
      </c>
      <c r="AZ929">
        <f t="shared" si="565"/>
        <v>5750</v>
      </c>
    </row>
    <row r="930" spans="4:52">
      <c r="D930">
        <v>923</v>
      </c>
      <c r="E930" s="6">
        <f t="shared" ca="1" si="544"/>
        <v>24685</v>
      </c>
      <c r="F930" s="7">
        <f t="shared" ca="1" si="545"/>
        <v>0</v>
      </c>
      <c r="G930" s="125">
        <f ca="1">IF('Simulador - 1º Pilar'!$E$99="Sí",IF('Aportaciones PPE'!$B$13&lt;'Aportaciones PPE'!E930,0,F930*$B$8/12),F930*$B$8/12)</f>
        <v>0</v>
      </c>
      <c r="H930" s="125">
        <f t="shared" ca="1" si="534"/>
        <v>0</v>
      </c>
      <c r="I930" s="125">
        <f t="shared" ca="1" si="546"/>
        <v>0</v>
      </c>
      <c r="J930" s="125">
        <f t="shared" ca="1" si="547"/>
        <v>0</v>
      </c>
      <c r="K930" s="125">
        <f t="shared" ca="1" si="548"/>
        <v>0</v>
      </c>
      <c r="L930" s="125">
        <f t="shared" ca="1" si="566"/>
        <v>0</v>
      </c>
      <c r="M930" s="125">
        <f t="shared" ca="1" si="549"/>
        <v>0</v>
      </c>
      <c r="N930" s="125">
        <f t="shared" ca="1" si="550"/>
        <v>0</v>
      </c>
      <c r="R930">
        <f t="shared" si="567"/>
        <v>923</v>
      </c>
      <c r="U930" s="55"/>
      <c r="V930">
        <f t="shared" si="568"/>
        <v>12</v>
      </c>
      <c r="W930">
        <f t="shared" ca="1" si="569"/>
        <v>2100</v>
      </c>
      <c r="X930" s="123">
        <f t="shared" ca="1" si="551"/>
        <v>73385</v>
      </c>
      <c r="Y930" s="64">
        <f t="shared" ca="1" si="552"/>
        <v>0</v>
      </c>
      <c r="Z930" s="64">
        <f t="shared" ca="1" si="553"/>
        <v>0</v>
      </c>
      <c r="AA930" s="64">
        <f t="shared" ca="1" si="554"/>
        <v>0</v>
      </c>
      <c r="AB930" s="64">
        <f t="shared" ca="1" si="555"/>
        <v>0</v>
      </c>
      <c r="AF930" t="str">
        <f t="shared" ca="1" si="535"/>
        <v>81967</v>
      </c>
      <c r="AG930" s="126">
        <f t="shared" ca="1" si="536"/>
        <v>0</v>
      </c>
      <c r="AH930" s="126">
        <f t="shared" ca="1" si="537"/>
        <v>0</v>
      </c>
      <c r="AI930" s="126">
        <f t="shared" ca="1" si="538"/>
        <v>0</v>
      </c>
      <c r="AJ930" t="str">
        <f t="shared" ca="1" si="539"/>
        <v>122100</v>
      </c>
      <c r="AK930" s="126">
        <f t="shared" ca="1" si="556"/>
        <v>0</v>
      </c>
      <c r="AL930" s="126">
        <f t="shared" ca="1" si="557"/>
        <v>0</v>
      </c>
      <c r="AM930" s="126">
        <f t="shared" ca="1" si="570"/>
        <v>0</v>
      </c>
      <c r="AN930" s="753">
        <f t="shared" ca="1" si="571"/>
        <v>0</v>
      </c>
      <c r="AO930" s="750">
        <f t="shared" ca="1" si="558"/>
        <v>0</v>
      </c>
      <c r="AP930" s="126">
        <f t="shared" ca="1" si="559"/>
        <v>0</v>
      </c>
      <c r="AQ930" s="126">
        <f t="shared" ca="1" si="560"/>
        <v>0</v>
      </c>
      <c r="AR930" s="126">
        <f t="shared" ca="1" si="540"/>
        <v>10000</v>
      </c>
      <c r="AS930" s="750">
        <f t="shared" ca="1" si="541"/>
        <v>0</v>
      </c>
      <c r="AT930" s="750">
        <f t="shared" ca="1" si="542"/>
        <v>0</v>
      </c>
      <c r="AU930" s="126">
        <f t="shared" ca="1" si="561"/>
        <v>0</v>
      </c>
      <c r="AV930" s="126">
        <f t="shared" ca="1" si="562"/>
        <v>0</v>
      </c>
      <c r="AW930" s="126">
        <f t="shared" ca="1" si="543"/>
        <v>10000</v>
      </c>
      <c r="AX930" s="750">
        <f t="shared" ca="1" si="563"/>
        <v>0</v>
      </c>
      <c r="AY930" s="750">
        <f t="shared" ca="1" si="564"/>
        <v>0</v>
      </c>
      <c r="AZ930">
        <f t="shared" si="565"/>
        <v>5750</v>
      </c>
    </row>
    <row r="931" spans="4:52">
      <c r="D931">
        <v>924</v>
      </c>
      <c r="E931" s="6">
        <f t="shared" ca="1" si="544"/>
        <v>24654</v>
      </c>
      <c r="F931" s="7">
        <f t="shared" ca="1" si="545"/>
        <v>0</v>
      </c>
      <c r="G931" s="125">
        <f ca="1">IF('Simulador - 1º Pilar'!$E$99="Sí",IF('Aportaciones PPE'!$B$13&lt;'Aportaciones PPE'!E931,0,F931*$B$8/12),F931*$B$8/12)</f>
        <v>0</v>
      </c>
      <c r="H931" s="125">
        <f t="shared" ca="1" si="534"/>
        <v>0</v>
      </c>
      <c r="I931" s="125">
        <f t="shared" ca="1" si="546"/>
        <v>0</v>
      </c>
      <c r="J931" s="125">
        <f t="shared" ca="1" si="547"/>
        <v>0</v>
      </c>
      <c r="K931" s="125">
        <f t="shared" ca="1" si="548"/>
        <v>0</v>
      </c>
      <c r="L931" s="125">
        <f t="shared" ca="1" si="566"/>
        <v>0</v>
      </c>
      <c r="M931" s="125">
        <f t="shared" ca="1" si="549"/>
        <v>0</v>
      </c>
      <c r="N931" s="125">
        <f t="shared" ca="1" si="550"/>
        <v>0</v>
      </c>
      <c r="R931">
        <f t="shared" si="567"/>
        <v>924</v>
      </c>
      <c r="U931" s="55"/>
      <c r="V931">
        <f t="shared" si="568"/>
        <v>1</v>
      </c>
      <c r="W931">
        <f t="shared" ca="1" si="569"/>
        <v>2101</v>
      </c>
      <c r="X931" s="123">
        <f t="shared" ca="1" si="551"/>
        <v>73416</v>
      </c>
      <c r="Y931" s="64">
        <f t="shared" ca="1" si="552"/>
        <v>0</v>
      </c>
      <c r="Z931" s="64">
        <f t="shared" ca="1" si="553"/>
        <v>0</v>
      </c>
      <c r="AA931" s="64">
        <f t="shared" ca="1" si="554"/>
        <v>0</v>
      </c>
      <c r="AB931" s="64">
        <f t="shared" ca="1" si="555"/>
        <v>0</v>
      </c>
      <c r="AF931" t="str">
        <f t="shared" ca="1" si="535"/>
        <v>71967</v>
      </c>
      <c r="AG931" s="126">
        <f t="shared" ca="1" si="536"/>
        <v>0</v>
      </c>
      <c r="AH931" s="126">
        <f t="shared" ca="1" si="537"/>
        <v>0</v>
      </c>
      <c r="AI931" s="126">
        <f t="shared" ca="1" si="538"/>
        <v>0</v>
      </c>
      <c r="AJ931" t="str">
        <f t="shared" ca="1" si="539"/>
        <v>12101</v>
      </c>
      <c r="AK931" s="126">
        <f t="shared" ca="1" si="556"/>
        <v>0</v>
      </c>
      <c r="AL931" s="126">
        <f t="shared" ca="1" si="557"/>
        <v>0</v>
      </c>
      <c r="AM931" s="126">
        <f t="shared" ca="1" si="570"/>
        <v>0</v>
      </c>
      <c r="AN931" s="753">
        <f t="shared" ca="1" si="571"/>
        <v>0</v>
      </c>
      <c r="AO931" s="750">
        <f t="shared" ca="1" si="558"/>
        <v>0</v>
      </c>
      <c r="AP931" s="126">
        <f t="shared" ca="1" si="559"/>
        <v>0</v>
      </c>
      <c r="AQ931" s="126">
        <f t="shared" ca="1" si="560"/>
        <v>0</v>
      </c>
      <c r="AR931" s="126">
        <f t="shared" ca="1" si="540"/>
        <v>10000</v>
      </c>
      <c r="AS931" s="750">
        <f t="shared" ca="1" si="541"/>
        <v>0</v>
      </c>
      <c r="AT931" s="750">
        <f t="shared" ca="1" si="542"/>
        <v>0</v>
      </c>
      <c r="AU931" s="126">
        <f t="shared" ca="1" si="561"/>
        <v>0</v>
      </c>
      <c r="AV931" s="126">
        <f t="shared" ca="1" si="562"/>
        <v>0</v>
      </c>
      <c r="AW931" s="126">
        <f t="shared" ca="1" si="543"/>
        <v>10000</v>
      </c>
      <c r="AX931" s="750">
        <f t="shared" ca="1" si="563"/>
        <v>0</v>
      </c>
      <c r="AY931" s="750">
        <f t="shared" ca="1" si="564"/>
        <v>0</v>
      </c>
      <c r="AZ931">
        <f t="shared" si="565"/>
        <v>5750</v>
      </c>
    </row>
    <row r="932" spans="4:52">
      <c r="D932">
        <v>925</v>
      </c>
      <c r="E932" s="6">
        <f t="shared" ca="1" si="544"/>
        <v>24624</v>
      </c>
      <c r="F932" s="7">
        <f t="shared" ca="1" si="545"/>
        <v>0</v>
      </c>
      <c r="G932" s="125">
        <f ca="1">IF('Simulador - 1º Pilar'!$E$99="Sí",IF('Aportaciones PPE'!$B$13&lt;'Aportaciones PPE'!E932,0,F932*$B$8/12),F932*$B$8/12)</f>
        <v>0</v>
      </c>
      <c r="H932" s="125">
        <f t="shared" ca="1" si="534"/>
        <v>0</v>
      </c>
      <c r="I932" s="125">
        <f t="shared" ca="1" si="546"/>
        <v>0</v>
      </c>
      <c r="J932" s="125">
        <f t="shared" ca="1" si="547"/>
        <v>0</v>
      </c>
      <c r="K932" s="125">
        <f t="shared" ca="1" si="548"/>
        <v>0</v>
      </c>
      <c r="L932" s="125">
        <f t="shared" ca="1" si="566"/>
        <v>0</v>
      </c>
      <c r="M932" s="125">
        <f t="shared" ca="1" si="549"/>
        <v>0</v>
      </c>
      <c r="N932" s="125">
        <f t="shared" ca="1" si="550"/>
        <v>0</v>
      </c>
      <c r="R932">
        <f t="shared" si="567"/>
        <v>925</v>
      </c>
      <c r="U932" s="55"/>
      <c r="V932">
        <f t="shared" si="568"/>
        <v>2</v>
      </c>
      <c r="W932">
        <f t="shared" ca="1" si="569"/>
        <v>2101</v>
      </c>
      <c r="X932" s="123">
        <f t="shared" ca="1" si="551"/>
        <v>73447</v>
      </c>
      <c r="Y932" s="64">
        <f t="shared" ca="1" si="552"/>
        <v>0</v>
      </c>
      <c r="Z932" s="64">
        <f t="shared" ca="1" si="553"/>
        <v>0</v>
      </c>
      <c r="AA932" s="64">
        <f t="shared" ca="1" si="554"/>
        <v>0</v>
      </c>
      <c r="AB932" s="64">
        <f t="shared" ca="1" si="555"/>
        <v>0</v>
      </c>
      <c r="AF932" t="str">
        <f t="shared" ca="1" si="535"/>
        <v>61967</v>
      </c>
      <c r="AG932" s="126">
        <f t="shared" ca="1" si="536"/>
        <v>0</v>
      </c>
      <c r="AH932" s="126">
        <f t="shared" ca="1" si="537"/>
        <v>0</v>
      </c>
      <c r="AI932" s="126">
        <f t="shared" ca="1" si="538"/>
        <v>0</v>
      </c>
      <c r="AJ932" t="str">
        <f t="shared" ca="1" si="539"/>
        <v>22101</v>
      </c>
      <c r="AK932" s="126">
        <f t="shared" ca="1" si="556"/>
        <v>0</v>
      </c>
      <c r="AL932" s="126">
        <f t="shared" ca="1" si="557"/>
        <v>0</v>
      </c>
      <c r="AM932" s="126">
        <f t="shared" ca="1" si="570"/>
        <v>0</v>
      </c>
      <c r="AN932" s="753">
        <f t="shared" ca="1" si="571"/>
        <v>0</v>
      </c>
      <c r="AO932" s="750">
        <f t="shared" ca="1" si="558"/>
        <v>0</v>
      </c>
      <c r="AP932" s="126">
        <f t="shared" ca="1" si="559"/>
        <v>0</v>
      </c>
      <c r="AQ932" s="126">
        <f t="shared" ca="1" si="560"/>
        <v>0</v>
      </c>
      <c r="AR932" s="126">
        <f t="shared" ca="1" si="540"/>
        <v>10000</v>
      </c>
      <c r="AS932" s="750">
        <f t="shared" ca="1" si="541"/>
        <v>0</v>
      </c>
      <c r="AT932" s="750">
        <f t="shared" ca="1" si="542"/>
        <v>0</v>
      </c>
      <c r="AU932" s="126">
        <f t="shared" ca="1" si="561"/>
        <v>0</v>
      </c>
      <c r="AV932" s="126">
        <f t="shared" ca="1" si="562"/>
        <v>0</v>
      </c>
      <c r="AW932" s="126">
        <f t="shared" ca="1" si="543"/>
        <v>10000</v>
      </c>
      <c r="AX932" s="750">
        <f t="shared" ca="1" si="563"/>
        <v>0</v>
      </c>
      <c r="AY932" s="750">
        <f t="shared" ca="1" si="564"/>
        <v>0</v>
      </c>
      <c r="AZ932">
        <f t="shared" si="565"/>
        <v>5750</v>
      </c>
    </row>
    <row r="933" spans="4:52">
      <c r="D933">
        <v>926</v>
      </c>
      <c r="E933" s="6">
        <f t="shared" ca="1" si="544"/>
        <v>24593</v>
      </c>
      <c r="F933" s="7">
        <f t="shared" ca="1" si="545"/>
        <v>0</v>
      </c>
      <c r="G933" s="125">
        <f ca="1">IF('Simulador - 1º Pilar'!$E$99="Sí",IF('Aportaciones PPE'!$B$13&lt;'Aportaciones PPE'!E933,0,F933*$B$8/12),F933*$B$8/12)</f>
        <v>0</v>
      </c>
      <c r="H933" s="125">
        <f t="shared" ca="1" si="534"/>
        <v>0</v>
      </c>
      <c r="I933" s="125">
        <f t="shared" ca="1" si="546"/>
        <v>0</v>
      </c>
      <c r="J933" s="125">
        <f t="shared" ca="1" si="547"/>
        <v>0</v>
      </c>
      <c r="K933" s="125">
        <f t="shared" ca="1" si="548"/>
        <v>0</v>
      </c>
      <c r="L933" s="125">
        <f t="shared" ca="1" si="566"/>
        <v>0</v>
      </c>
      <c r="M933" s="125">
        <f t="shared" ca="1" si="549"/>
        <v>0</v>
      </c>
      <c r="N933" s="125">
        <f t="shared" ca="1" si="550"/>
        <v>0</v>
      </c>
      <c r="R933">
        <f t="shared" si="567"/>
        <v>926</v>
      </c>
      <c r="U933" s="55"/>
      <c r="V933">
        <f t="shared" si="568"/>
        <v>3</v>
      </c>
      <c r="W933">
        <f t="shared" ca="1" si="569"/>
        <v>2101</v>
      </c>
      <c r="X933" s="123">
        <f t="shared" ca="1" si="551"/>
        <v>73475</v>
      </c>
      <c r="Y933" s="64">
        <f t="shared" ca="1" si="552"/>
        <v>0</v>
      </c>
      <c r="Z933" s="64">
        <f t="shared" ca="1" si="553"/>
        <v>0</v>
      </c>
      <c r="AA933" s="64">
        <f t="shared" ca="1" si="554"/>
        <v>0</v>
      </c>
      <c r="AB933" s="64">
        <f t="shared" ca="1" si="555"/>
        <v>0</v>
      </c>
      <c r="AF933" t="str">
        <f t="shared" ca="1" si="535"/>
        <v>51967</v>
      </c>
      <c r="AG933" s="126">
        <f t="shared" ca="1" si="536"/>
        <v>0</v>
      </c>
      <c r="AH933" s="126">
        <f t="shared" ca="1" si="537"/>
        <v>0</v>
      </c>
      <c r="AI933" s="126">
        <f t="shared" ca="1" si="538"/>
        <v>0</v>
      </c>
      <c r="AJ933" t="str">
        <f t="shared" ca="1" si="539"/>
        <v>32101</v>
      </c>
      <c r="AK933" s="126">
        <f t="shared" ca="1" si="556"/>
        <v>0</v>
      </c>
      <c r="AL933" s="126">
        <f t="shared" ca="1" si="557"/>
        <v>0</v>
      </c>
      <c r="AM933" s="126">
        <f t="shared" ca="1" si="570"/>
        <v>0</v>
      </c>
      <c r="AN933" s="753">
        <f t="shared" ca="1" si="571"/>
        <v>0</v>
      </c>
      <c r="AO933" s="750">
        <f t="shared" ca="1" si="558"/>
        <v>0</v>
      </c>
      <c r="AP933" s="126">
        <f t="shared" ca="1" si="559"/>
        <v>0</v>
      </c>
      <c r="AQ933" s="126">
        <f t="shared" ca="1" si="560"/>
        <v>0</v>
      </c>
      <c r="AR933" s="126">
        <f t="shared" ca="1" si="540"/>
        <v>10000</v>
      </c>
      <c r="AS933" s="750">
        <f t="shared" ca="1" si="541"/>
        <v>0</v>
      </c>
      <c r="AT933" s="750">
        <f t="shared" ca="1" si="542"/>
        <v>0</v>
      </c>
      <c r="AU933" s="126">
        <f t="shared" ca="1" si="561"/>
        <v>0</v>
      </c>
      <c r="AV933" s="126">
        <f t="shared" ca="1" si="562"/>
        <v>0</v>
      </c>
      <c r="AW933" s="126">
        <f t="shared" ca="1" si="543"/>
        <v>10000</v>
      </c>
      <c r="AX933" s="750">
        <f t="shared" ca="1" si="563"/>
        <v>0</v>
      </c>
      <c r="AY933" s="750">
        <f t="shared" ca="1" si="564"/>
        <v>0</v>
      </c>
      <c r="AZ933">
        <f t="shared" si="565"/>
        <v>5750</v>
      </c>
    </row>
    <row r="934" spans="4:52">
      <c r="D934">
        <v>927</v>
      </c>
      <c r="E934" s="6">
        <f t="shared" ca="1" si="544"/>
        <v>24563</v>
      </c>
      <c r="F934" s="7">
        <f t="shared" ca="1" si="545"/>
        <v>0</v>
      </c>
      <c r="G934" s="125">
        <f ca="1">IF('Simulador - 1º Pilar'!$E$99="Sí",IF('Aportaciones PPE'!$B$13&lt;'Aportaciones PPE'!E934,0,F934*$B$8/12),F934*$B$8/12)</f>
        <v>0</v>
      </c>
      <c r="H934" s="125">
        <f t="shared" ca="1" si="534"/>
        <v>0</v>
      </c>
      <c r="I934" s="125">
        <f t="shared" ca="1" si="546"/>
        <v>0</v>
      </c>
      <c r="J934" s="125">
        <f t="shared" ca="1" si="547"/>
        <v>0</v>
      </c>
      <c r="K934" s="125">
        <f t="shared" ca="1" si="548"/>
        <v>0</v>
      </c>
      <c r="L934" s="125">
        <f t="shared" ca="1" si="566"/>
        <v>0</v>
      </c>
      <c r="M934" s="125">
        <f t="shared" ca="1" si="549"/>
        <v>0</v>
      </c>
      <c r="N934" s="125">
        <f t="shared" ca="1" si="550"/>
        <v>0</v>
      </c>
      <c r="R934">
        <f t="shared" si="567"/>
        <v>927</v>
      </c>
      <c r="U934" s="55"/>
      <c r="V934">
        <f t="shared" si="568"/>
        <v>4</v>
      </c>
      <c r="W934">
        <f t="shared" ca="1" si="569"/>
        <v>2101</v>
      </c>
      <c r="X934" s="123">
        <f t="shared" ca="1" si="551"/>
        <v>73506</v>
      </c>
      <c r="Y934" s="64">
        <f t="shared" ca="1" si="552"/>
        <v>0</v>
      </c>
      <c r="Z934" s="64">
        <f t="shared" ca="1" si="553"/>
        <v>0</v>
      </c>
      <c r="AA934" s="64">
        <f t="shared" ca="1" si="554"/>
        <v>0</v>
      </c>
      <c r="AB934" s="64">
        <f t="shared" ca="1" si="555"/>
        <v>0</v>
      </c>
      <c r="AF934" t="str">
        <f t="shared" ca="1" si="535"/>
        <v>41967</v>
      </c>
      <c r="AG934" s="126">
        <f t="shared" ca="1" si="536"/>
        <v>0</v>
      </c>
      <c r="AH934" s="126">
        <f t="shared" ca="1" si="537"/>
        <v>0</v>
      </c>
      <c r="AI934" s="126">
        <f t="shared" ca="1" si="538"/>
        <v>0</v>
      </c>
      <c r="AJ934" t="str">
        <f t="shared" ca="1" si="539"/>
        <v>42101</v>
      </c>
      <c r="AK934" s="126">
        <f t="shared" ca="1" si="556"/>
        <v>0</v>
      </c>
      <c r="AL934" s="126">
        <f t="shared" ca="1" si="557"/>
        <v>0</v>
      </c>
      <c r="AM934" s="126">
        <f t="shared" ca="1" si="570"/>
        <v>0</v>
      </c>
      <c r="AN934" s="753">
        <f t="shared" ca="1" si="571"/>
        <v>0</v>
      </c>
      <c r="AO934" s="750">
        <f t="shared" ca="1" si="558"/>
        <v>0</v>
      </c>
      <c r="AP934" s="126">
        <f t="shared" ca="1" si="559"/>
        <v>0</v>
      </c>
      <c r="AQ934" s="126">
        <f t="shared" ca="1" si="560"/>
        <v>0</v>
      </c>
      <c r="AR934" s="126">
        <f t="shared" ca="1" si="540"/>
        <v>10000</v>
      </c>
      <c r="AS934" s="750">
        <f t="shared" ca="1" si="541"/>
        <v>0</v>
      </c>
      <c r="AT934" s="750">
        <f t="shared" ca="1" si="542"/>
        <v>0</v>
      </c>
      <c r="AU934" s="126">
        <f t="shared" ca="1" si="561"/>
        <v>0</v>
      </c>
      <c r="AV934" s="126">
        <f t="shared" ca="1" si="562"/>
        <v>0</v>
      </c>
      <c r="AW934" s="126">
        <f t="shared" ca="1" si="543"/>
        <v>10000</v>
      </c>
      <c r="AX934" s="750">
        <f t="shared" ca="1" si="563"/>
        <v>0</v>
      </c>
      <c r="AY934" s="750">
        <f t="shared" ca="1" si="564"/>
        <v>0</v>
      </c>
      <c r="AZ934">
        <f t="shared" si="565"/>
        <v>5750</v>
      </c>
    </row>
    <row r="935" spans="4:52">
      <c r="D935">
        <v>928</v>
      </c>
      <c r="E935" s="6">
        <f t="shared" ca="1" si="544"/>
        <v>24532</v>
      </c>
      <c r="F935" s="7">
        <f t="shared" ca="1" si="545"/>
        <v>0</v>
      </c>
      <c r="G935" s="125">
        <f ca="1">IF('Simulador - 1º Pilar'!$E$99="Sí",IF('Aportaciones PPE'!$B$13&lt;'Aportaciones PPE'!E935,0,F935*$B$8/12),F935*$B$8/12)</f>
        <v>0</v>
      </c>
      <c r="H935" s="125">
        <f t="shared" ca="1" si="534"/>
        <v>0</v>
      </c>
      <c r="I935" s="125">
        <f t="shared" ca="1" si="546"/>
        <v>0</v>
      </c>
      <c r="J935" s="125">
        <f t="shared" ca="1" si="547"/>
        <v>0</v>
      </c>
      <c r="K935" s="125">
        <f t="shared" ca="1" si="548"/>
        <v>0</v>
      </c>
      <c r="L935" s="125">
        <f t="shared" ca="1" si="566"/>
        <v>0</v>
      </c>
      <c r="M935" s="125">
        <f t="shared" ca="1" si="549"/>
        <v>0</v>
      </c>
      <c r="N935" s="125">
        <f t="shared" ca="1" si="550"/>
        <v>0</v>
      </c>
      <c r="R935">
        <f t="shared" si="567"/>
        <v>928</v>
      </c>
      <c r="U935" s="55"/>
      <c r="V935">
        <f t="shared" si="568"/>
        <v>5</v>
      </c>
      <c r="W935">
        <f t="shared" ca="1" si="569"/>
        <v>2101</v>
      </c>
      <c r="X935" s="123">
        <f t="shared" ca="1" si="551"/>
        <v>73536</v>
      </c>
      <c r="Y935" s="64">
        <f t="shared" ca="1" si="552"/>
        <v>0</v>
      </c>
      <c r="Z935" s="64">
        <f t="shared" ca="1" si="553"/>
        <v>0</v>
      </c>
      <c r="AA935" s="64">
        <f t="shared" ca="1" si="554"/>
        <v>0</v>
      </c>
      <c r="AB935" s="64">
        <f t="shared" ca="1" si="555"/>
        <v>0</v>
      </c>
      <c r="AF935" t="str">
        <f t="shared" ca="1" si="535"/>
        <v>31967</v>
      </c>
      <c r="AG935" s="126">
        <f t="shared" ca="1" si="536"/>
        <v>0</v>
      </c>
      <c r="AH935" s="126">
        <f t="shared" ca="1" si="537"/>
        <v>0</v>
      </c>
      <c r="AI935" s="126">
        <f t="shared" ca="1" si="538"/>
        <v>0</v>
      </c>
      <c r="AJ935" t="str">
        <f t="shared" ca="1" si="539"/>
        <v>52101</v>
      </c>
      <c r="AK935" s="126">
        <f t="shared" ca="1" si="556"/>
        <v>0</v>
      </c>
      <c r="AL935" s="126">
        <f t="shared" ca="1" si="557"/>
        <v>0</v>
      </c>
      <c r="AM935" s="126">
        <f t="shared" ca="1" si="570"/>
        <v>0</v>
      </c>
      <c r="AN935" s="753">
        <f t="shared" ca="1" si="571"/>
        <v>0</v>
      </c>
      <c r="AO935" s="750">
        <f t="shared" ca="1" si="558"/>
        <v>0</v>
      </c>
      <c r="AP935" s="126">
        <f t="shared" ca="1" si="559"/>
        <v>0</v>
      </c>
      <c r="AQ935" s="126">
        <f t="shared" ca="1" si="560"/>
        <v>0</v>
      </c>
      <c r="AR935" s="126">
        <f t="shared" ca="1" si="540"/>
        <v>10000</v>
      </c>
      <c r="AS935" s="750">
        <f t="shared" ca="1" si="541"/>
        <v>0</v>
      </c>
      <c r="AT935" s="750">
        <f t="shared" ca="1" si="542"/>
        <v>0</v>
      </c>
      <c r="AU935" s="126">
        <f t="shared" ca="1" si="561"/>
        <v>0</v>
      </c>
      <c r="AV935" s="126">
        <f t="shared" ca="1" si="562"/>
        <v>0</v>
      </c>
      <c r="AW935" s="126">
        <f t="shared" ca="1" si="543"/>
        <v>10000</v>
      </c>
      <c r="AX935" s="750">
        <f t="shared" ca="1" si="563"/>
        <v>0</v>
      </c>
      <c r="AY935" s="750">
        <f t="shared" ca="1" si="564"/>
        <v>0</v>
      </c>
      <c r="AZ935">
        <f t="shared" si="565"/>
        <v>5750</v>
      </c>
    </row>
    <row r="936" spans="4:52">
      <c r="D936">
        <v>929</v>
      </c>
      <c r="E936" s="6">
        <f t="shared" ca="1" si="544"/>
        <v>24504</v>
      </c>
      <c r="F936" s="7">
        <f t="shared" ca="1" si="545"/>
        <v>0</v>
      </c>
      <c r="G936" s="125">
        <f ca="1">IF('Simulador - 1º Pilar'!$E$99="Sí",IF('Aportaciones PPE'!$B$13&lt;'Aportaciones PPE'!E936,0,F936*$B$8/12),F936*$B$8/12)</f>
        <v>0</v>
      </c>
      <c r="H936" s="125">
        <f t="shared" ca="1" si="534"/>
        <v>0</v>
      </c>
      <c r="I936" s="125">
        <f t="shared" ca="1" si="546"/>
        <v>0</v>
      </c>
      <c r="J936" s="125">
        <f t="shared" ca="1" si="547"/>
        <v>0</v>
      </c>
      <c r="K936" s="125">
        <f t="shared" ca="1" si="548"/>
        <v>0</v>
      </c>
      <c r="L936" s="125">
        <f t="shared" ca="1" si="566"/>
        <v>0</v>
      </c>
      <c r="M936" s="125">
        <f t="shared" ca="1" si="549"/>
        <v>0</v>
      </c>
      <c r="N936" s="125">
        <f t="shared" ca="1" si="550"/>
        <v>0</v>
      </c>
      <c r="R936">
        <f t="shared" si="567"/>
        <v>929</v>
      </c>
      <c r="U936" s="55"/>
      <c r="V936">
        <f t="shared" si="568"/>
        <v>6</v>
      </c>
      <c r="W936">
        <f t="shared" ca="1" si="569"/>
        <v>2101</v>
      </c>
      <c r="X936" s="123">
        <f t="shared" ca="1" si="551"/>
        <v>73567</v>
      </c>
      <c r="Y936" s="64">
        <f t="shared" ca="1" si="552"/>
        <v>0</v>
      </c>
      <c r="Z936" s="64">
        <f t="shared" ca="1" si="553"/>
        <v>0</v>
      </c>
      <c r="AA936" s="64">
        <f t="shared" ca="1" si="554"/>
        <v>0</v>
      </c>
      <c r="AB936" s="64">
        <f t="shared" ca="1" si="555"/>
        <v>0</v>
      </c>
      <c r="AF936" t="str">
        <f t="shared" ca="1" si="535"/>
        <v>21967</v>
      </c>
      <c r="AG936" s="126">
        <f t="shared" ca="1" si="536"/>
        <v>0</v>
      </c>
      <c r="AH936" s="126">
        <f t="shared" ca="1" si="537"/>
        <v>0</v>
      </c>
      <c r="AI936" s="126">
        <f t="shared" ca="1" si="538"/>
        <v>0</v>
      </c>
      <c r="AJ936" t="str">
        <f t="shared" ca="1" si="539"/>
        <v>62101</v>
      </c>
      <c r="AK936" s="126">
        <f t="shared" ca="1" si="556"/>
        <v>0</v>
      </c>
      <c r="AL936" s="126">
        <f t="shared" ca="1" si="557"/>
        <v>0</v>
      </c>
      <c r="AM936" s="126">
        <f t="shared" ca="1" si="570"/>
        <v>0</v>
      </c>
      <c r="AN936" s="753">
        <f t="shared" ca="1" si="571"/>
        <v>0</v>
      </c>
      <c r="AO936" s="750">
        <f t="shared" ca="1" si="558"/>
        <v>0</v>
      </c>
      <c r="AP936" s="126">
        <f t="shared" ca="1" si="559"/>
        <v>0</v>
      </c>
      <c r="AQ936" s="126">
        <f t="shared" ca="1" si="560"/>
        <v>0</v>
      </c>
      <c r="AR936" s="126">
        <f t="shared" ca="1" si="540"/>
        <v>10000</v>
      </c>
      <c r="AS936" s="750">
        <f t="shared" ca="1" si="541"/>
        <v>0</v>
      </c>
      <c r="AT936" s="750">
        <f t="shared" ca="1" si="542"/>
        <v>0</v>
      </c>
      <c r="AU936" s="126">
        <f t="shared" ca="1" si="561"/>
        <v>0</v>
      </c>
      <c r="AV936" s="126">
        <f t="shared" ca="1" si="562"/>
        <v>0</v>
      </c>
      <c r="AW936" s="126">
        <f t="shared" ca="1" si="543"/>
        <v>10000</v>
      </c>
      <c r="AX936" s="750">
        <f t="shared" ca="1" si="563"/>
        <v>0</v>
      </c>
      <c r="AY936" s="750">
        <f t="shared" ca="1" si="564"/>
        <v>0</v>
      </c>
      <c r="AZ936">
        <f t="shared" si="565"/>
        <v>5750</v>
      </c>
    </row>
    <row r="937" spans="4:52">
      <c r="D937">
        <v>930</v>
      </c>
      <c r="E937" s="6">
        <f t="shared" ca="1" si="544"/>
        <v>24473</v>
      </c>
      <c r="F937" s="7">
        <f t="shared" ca="1" si="545"/>
        <v>0</v>
      </c>
      <c r="G937" s="125">
        <f ca="1">IF('Simulador - 1º Pilar'!$E$99="Sí",IF('Aportaciones PPE'!$B$13&lt;'Aportaciones PPE'!E937,0,F937*$B$8/12),F937*$B$8/12)</f>
        <v>0</v>
      </c>
      <c r="H937" s="125">
        <f t="shared" ca="1" si="534"/>
        <v>0</v>
      </c>
      <c r="I937" s="125">
        <f t="shared" ca="1" si="546"/>
        <v>0</v>
      </c>
      <c r="J937" s="125">
        <f t="shared" ca="1" si="547"/>
        <v>0</v>
      </c>
      <c r="K937" s="125">
        <f t="shared" ca="1" si="548"/>
        <v>0</v>
      </c>
      <c r="L937" s="125">
        <f t="shared" ca="1" si="566"/>
        <v>0</v>
      </c>
      <c r="M937" s="125">
        <f t="shared" ca="1" si="549"/>
        <v>0</v>
      </c>
      <c r="N937" s="125">
        <f t="shared" ca="1" si="550"/>
        <v>0</v>
      </c>
      <c r="R937">
        <f t="shared" si="567"/>
        <v>930</v>
      </c>
      <c r="U937" s="55"/>
      <c r="V937">
        <f t="shared" si="568"/>
        <v>7</v>
      </c>
      <c r="W937">
        <f t="shared" ca="1" si="569"/>
        <v>2101</v>
      </c>
      <c r="X937" s="123">
        <f t="shared" ca="1" si="551"/>
        <v>73597</v>
      </c>
      <c r="Y937" s="64">
        <f t="shared" ca="1" si="552"/>
        <v>0</v>
      </c>
      <c r="Z937" s="64">
        <f t="shared" ca="1" si="553"/>
        <v>0</v>
      </c>
      <c r="AA937" s="64">
        <f t="shared" ca="1" si="554"/>
        <v>0</v>
      </c>
      <c r="AB937" s="64">
        <f t="shared" ca="1" si="555"/>
        <v>0</v>
      </c>
      <c r="AF937" t="str">
        <f t="shared" ca="1" si="535"/>
        <v>11967</v>
      </c>
      <c r="AG937" s="126">
        <f t="shared" ca="1" si="536"/>
        <v>0</v>
      </c>
      <c r="AH937" s="126">
        <f t="shared" ca="1" si="537"/>
        <v>0</v>
      </c>
      <c r="AI937" s="126">
        <f t="shared" ca="1" si="538"/>
        <v>0</v>
      </c>
      <c r="AJ937" t="str">
        <f t="shared" ca="1" si="539"/>
        <v>72101</v>
      </c>
      <c r="AK937" s="126">
        <f t="shared" ca="1" si="556"/>
        <v>0</v>
      </c>
      <c r="AL937" s="126">
        <f t="shared" ca="1" si="557"/>
        <v>0</v>
      </c>
      <c r="AM937" s="126">
        <f t="shared" ca="1" si="570"/>
        <v>0</v>
      </c>
      <c r="AN937" s="753">
        <f t="shared" ca="1" si="571"/>
        <v>0</v>
      </c>
      <c r="AO937" s="750">
        <f t="shared" ca="1" si="558"/>
        <v>0</v>
      </c>
      <c r="AP937" s="126">
        <f t="shared" ca="1" si="559"/>
        <v>0</v>
      </c>
      <c r="AQ937" s="126">
        <f t="shared" ca="1" si="560"/>
        <v>0</v>
      </c>
      <c r="AR937" s="126">
        <f t="shared" ca="1" si="540"/>
        <v>10000</v>
      </c>
      <c r="AS937" s="750">
        <f t="shared" ca="1" si="541"/>
        <v>0</v>
      </c>
      <c r="AT937" s="750">
        <f t="shared" ca="1" si="542"/>
        <v>0</v>
      </c>
      <c r="AU937" s="126">
        <f t="shared" ca="1" si="561"/>
        <v>0</v>
      </c>
      <c r="AV937" s="126">
        <f t="shared" ca="1" si="562"/>
        <v>0</v>
      </c>
      <c r="AW937" s="126">
        <f t="shared" ca="1" si="543"/>
        <v>10000</v>
      </c>
      <c r="AX937" s="750">
        <f t="shared" ca="1" si="563"/>
        <v>0</v>
      </c>
      <c r="AY937" s="750">
        <f t="shared" ca="1" si="564"/>
        <v>0</v>
      </c>
      <c r="AZ937">
        <f t="shared" si="565"/>
        <v>5750</v>
      </c>
    </row>
    <row r="938" spans="4:52">
      <c r="D938">
        <v>931</v>
      </c>
      <c r="E938" s="6">
        <f t="shared" ca="1" si="544"/>
        <v>24442</v>
      </c>
      <c r="F938" s="7">
        <f t="shared" ca="1" si="545"/>
        <v>0</v>
      </c>
      <c r="G938" s="125">
        <f ca="1">IF('Simulador - 1º Pilar'!$E$99="Sí",IF('Aportaciones PPE'!$B$13&lt;'Aportaciones PPE'!E938,0,F938*$B$8/12),F938*$B$8/12)</f>
        <v>0</v>
      </c>
      <c r="H938" s="125">
        <f t="shared" ca="1" si="534"/>
        <v>0</v>
      </c>
      <c r="I938" s="125">
        <f t="shared" ca="1" si="546"/>
        <v>0</v>
      </c>
      <c r="J938" s="125">
        <f t="shared" ca="1" si="547"/>
        <v>0</v>
      </c>
      <c r="K938" s="125">
        <f t="shared" ca="1" si="548"/>
        <v>0</v>
      </c>
      <c r="L938" s="125">
        <f t="shared" ca="1" si="566"/>
        <v>0</v>
      </c>
      <c r="M938" s="125">
        <f t="shared" ca="1" si="549"/>
        <v>0</v>
      </c>
      <c r="N938" s="125">
        <f t="shared" ca="1" si="550"/>
        <v>0</v>
      </c>
      <c r="R938">
        <f t="shared" si="567"/>
        <v>931</v>
      </c>
      <c r="U938" s="55"/>
      <c r="V938">
        <f t="shared" si="568"/>
        <v>8</v>
      </c>
      <c r="W938">
        <f t="shared" ca="1" si="569"/>
        <v>2101</v>
      </c>
      <c r="X938" s="123">
        <f t="shared" ca="1" si="551"/>
        <v>73628</v>
      </c>
      <c r="Y938" s="64">
        <f t="shared" ca="1" si="552"/>
        <v>0</v>
      </c>
      <c r="Z938" s="64">
        <f t="shared" ca="1" si="553"/>
        <v>0</v>
      </c>
      <c r="AA938" s="64">
        <f t="shared" ca="1" si="554"/>
        <v>0</v>
      </c>
      <c r="AB938" s="64">
        <f t="shared" ca="1" si="555"/>
        <v>0</v>
      </c>
      <c r="AF938" t="str">
        <f t="shared" ca="1" si="535"/>
        <v>121966</v>
      </c>
      <c r="AG938" s="126">
        <f t="shared" ca="1" si="536"/>
        <v>0</v>
      </c>
      <c r="AH938" s="126">
        <f t="shared" ca="1" si="537"/>
        <v>0</v>
      </c>
      <c r="AI938" s="126">
        <f t="shared" ca="1" si="538"/>
        <v>0</v>
      </c>
      <c r="AJ938" t="str">
        <f t="shared" ca="1" si="539"/>
        <v>82101</v>
      </c>
      <c r="AK938" s="126">
        <f t="shared" ca="1" si="556"/>
        <v>0</v>
      </c>
      <c r="AL938" s="126">
        <f t="shared" ca="1" si="557"/>
        <v>0</v>
      </c>
      <c r="AM938" s="126">
        <f t="shared" ca="1" si="570"/>
        <v>0</v>
      </c>
      <c r="AN938" s="753">
        <f t="shared" ca="1" si="571"/>
        <v>0</v>
      </c>
      <c r="AO938" s="750">
        <f t="shared" ca="1" si="558"/>
        <v>0</v>
      </c>
      <c r="AP938" s="126">
        <f t="shared" ca="1" si="559"/>
        <v>0</v>
      </c>
      <c r="AQ938" s="126">
        <f t="shared" ca="1" si="560"/>
        <v>0</v>
      </c>
      <c r="AR938" s="126">
        <f t="shared" ca="1" si="540"/>
        <v>10000</v>
      </c>
      <c r="AS938" s="750">
        <f t="shared" ca="1" si="541"/>
        <v>0</v>
      </c>
      <c r="AT938" s="750">
        <f t="shared" ca="1" si="542"/>
        <v>0</v>
      </c>
      <c r="AU938" s="126">
        <f t="shared" ca="1" si="561"/>
        <v>0</v>
      </c>
      <c r="AV938" s="126">
        <f t="shared" ca="1" si="562"/>
        <v>0</v>
      </c>
      <c r="AW938" s="126">
        <f t="shared" ca="1" si="543"/>
        <v>10000</v>
      </c>
      <c r="AX938" s="750">
        <f t="shared" ca="1" si="563"/>
        <v>0</v>
      </c>
      <c r="AY938" s="750">
        <f t="shared" ca="1" si="564"/>
        <v>0</v>
      </c>
      <c r="AZ938">
        <f t="shared" si="565"/>
        <v>5750</v>
      </c>
    </row>
    <row r="939" spans="4:52">
      <c r="D939">
        <v>932</v>
      </c>
      <c r="E939" s="6">
        <f t="shared" ca="1" si="544"/>
        <v>24412</v>
      </c>
      <c r="F939" s="7">
        <f t="shared" ca="1" si="545"/>
        <v>0</v>
      </c>
      <c r="G939" s="125">
        <f ca="1">IF('Simulador - 1º Pilar'!$E$99="Sí",IF('Aportaciones PPE'!$B$13&lt;'Aportaciones PPE'!E939,0,F939*$B$8/12),F939*$B$8/12)</f>
        <v>0</v>
      </c>
      <c r="H939" s="125">
        <f t="shared" ca="1" si="534"/>
        <v>0</v>
      </c>
      <c r="I939" s="125">
        <f t="shared" ca="1" si="546"/>
        <v>0</v>
      </c>
      <c r="J939" s="125">
        <f t="shared" ca="1" si="547"/>
        <v>0</v>
      </c>
      <c r="K939" s="125">
        <f t="shared" ca="1" si="548"/>
        <v>0</v>
      </c>
      <c r="L939" s="125">
        <f t="shared" ca="1" si="566"/>
        <v>0</v>
      </c>
      <c r="M939" s="125">
        <f t="shared" ca="1" si="549"/>
        <v>0</v>
      </c>
      <c r="N939" s="125">
        <f t="shared" ca="1" si="550"/>
        <v>0</v>
      </c>
      <c r="R939">
        <f t="shared" si="567"/>
        <v>932</v>
      </c>
      <c r="U939" s="55"/>
      <c r="V939">
        <f t="shared" si="568"/>
        <v>9</v>
      </c>
      <c r="W939">
        <f t="shared" ca="1" si="569"/>
        <v>2101</v>
      </c>
      <c r="X939" s="123">
        <f t="shared" ca="1" si="551"/>
        <v>73659</v>
      </c>
      <c r="Y939" s="64">
        <f t="shared" ca="1" si="552"/>
        <v>0</v>
      </c>
      <c r="Z939" s="64">
        <f t="shared" ca="1" si="553"/>
        <v>0</v>
      </c>
      <c r="AA939" s="64">
        <f t="shared" ca="1" si="554"/>
        <v>0</v>
      </c>
      <c r="AB939" s="64">
        <f t="shared" ca="1" si="555"/>
        <v>0</v>
      </c>
      <c r="AF939" t="str">
        <f t="shared" ca="1" si="535"/>
        <v>111966</v>
      </c>
      <c r="AG939" s="126">
        <f t="shared" ca="1" si="536"/>
        <v>0</v>
      </c>
      <c r="AH939" s="126">
        <f t="shared" ca="1" si="537"/>
        <v>0</v>
      </c>
      <c r="AI939" s="126">
        <f t="shared" ca="1" si="538"/>
        <v>0</v>
      </c>
      <c r="AJ939" t="str">
        <f t="shared" ca="1" si="539"/>
        <v>92101</v>
      </c>
      <c r="AK939" s="126">
        <f t="shared" ca="1" si="556"/>
        <v>0</v>
      </c>
      <c r="AL939" s="126">
        <f t="shared" ca="1" si="557"/>
        <v>0</v>
      </c>
      <c r="AM939" s="126">
        <f t="shared" ca="1" si="570"/>
        <v>0</v>
      </c>
      <c r="AN939" s="753">
        <f t="shared" ca="1" si="571"/>
        <v>0</v>
      </c>
      <c r="AO939" s="750">
        <f t="shared" ca="1" si="558"/>
        <v>0</v>
      </c>
      <c r="AP939" s="126">
        <f t="shared" ca="1" si="559"/>
        <v>0</v>
      </c>
      <c r="AQ939" s="126">
        <f t="shared" ca="1" si="560"/>
        <v>0</v>
      </c>
      <c r="AR939" s="126">
        <f t="shared" ca="1" si="540"/>
        <v>10000</v>
      </c>
      <c r="AS939" s="750">
        <f t="shared" ca="1" si="541"/>
        <v>0</v>
      </c>
      <c r="AT939" s="750">
        <f t="shared" ca="1" si="542"/>
        <v>0</v>
      </c>
      <c r="AU939" s="126">
        <f t="shared" ca="1" si="561"/>
        <v>0</v>
      </c>
      <c r="AV939" s="126">
        <f t="shared" ca="1" si="562"/>
        <v>0</v>
      </c>
      <c r="AW939" s="126">
        <f t="shared" ca="1" si="543"/>
        <v>10000</v>
      </c>
      <c r="AX939" s="750">
        <f t="shared" ca="1" si="563"/>
        <v>0</v>
      </c>
      <c r="AY939" s="750">
        <f t="shared" ca="1" si="564"/>
        <v>0</v>
      </c>
      <c r="AZ939">
        <f t="shared" si="565"/>
        <v>5750</v>
      </c>
    </row>
    <row r="940" spans="4:52">
      <c r="D940">
        <v>933</v>
      </c>
      <c r="E940" s="6">
        <f t="shared" ca="1" si="544"/>
        <v>24381</v>
      </c>
      <c r="F940" s="7">
        <f t="shared" ca="1" si="545"/>
        <v>0</v>
      </c>
      <c r="G940" s="125">
        <f ca="1">IF('Simulador - 1º Pilar'!$E$99="Sí",IF('Aportaciones PPE'!$B$13&lt;'Aportaciones PPE'!E940,0,F940*$B$8/12),F940*$B$8/12)</f>
        <v>0</v>
      </c>
      <c r="H940" s="125">
        <f t="shared" ca="1" si="534"/>
        <v>0</v>
      </c>
      <c r="I940" s="125">
        <f t="shared" ca="1" si="546"/>
        <v>0</v>
      </c>
      <c r="J940" s="125">
        <f t="shared" ca="1" si="547"/>
        <v>0</v>
      </c>
      <c r="K940" s="125">
        <f t="shared" ca="1" si="548"/>
        <v>0</v>
      </c>
      <c r="L940" s="125">
        <f t="shared" ca="1" si="566"/>
        <v>0</v>
      </c>
      <c r="M940" s="125">
        <f t="shared" ca="1" si="549"/>
        <v>0</v>
      </c>
      <c r="N940" s="125">
        <f t="shared" ca="1" si="550"/>
        <v>0</v>
      </c>
      <c r="R940">
        <f t="shared" si="567"/>
        <v>933</v>
      </c>
      <c r="U940" s="55"/>
      <c r="V940">
        <f t="shared" si="568"/>
        <v>10</v>
      </c>
      <c r="W940">
        <f t="shared" ca="1" si="569"/>
        <v>2101</v>
      </c>
      <c r="X940" s="123">
        <f t="shared" ca="1" si="551"/>
        <v>73689</v>
      </c>
      <c r="Y940" s="64">
        <f t="shared" ca="1" si="552"/>
        <v>0</v>
      </c>
      <c r="Z940" s="64">
        <f t="shared" ca="1" si="553"/>
        <v>0</v>
      </c>
      <c r="AA940" s="64">
        <f t="shared" ca="1" si="554"/>
        <v>0</v>
      </c>
      <c r="AB940" s="64">
        <f t="shared" ca="1" si="555"/>
        <v>0</v>
      </c>
      <c r="AF940" t="str">
        <f t="shared" ca="1" si="535"/>
        <v>101966</v>
      </c>
      <c r="AG940" s="126">
        <f t="shared" ca="1" si="536"/>
        <v>0</v>
      </c>
      <c r="AH940" s="126">
        <f t="shared" ca="1" si="537"/>
        <v>0</v>
      </c>
      <c r="AI940" s="126">
        <f t="shared" ca="1" si="538"/>
        <v>0</v>
      </c>
      <c r="AJ940" t="str">
        <f t="shared" ca="1" si="539"/>
        <v>102101</v>
      </c>
      <c r="AK940" s="126">
        <f t="shared" ca="1" si="556"/>
        <v>0</v>
      </c>
      <c r="AL940" s="126">
        <f t="shared" ca="1" si="557"/>
        <v>0</v>
      </c>
      <c r="AM940" s="126">
        <f t="shared" ca="1" si="570"/>
        <v>0</v>
      </c>
      <c r="AN940" s="753">
        <f t="shared" ca="1" si="571"/>
        <v>0</v>
      </c>
      <c r="AO940" s="750">
        <f t="shared" ca="1" si="558"/>
        <v>0</v>
      </c>
      <c r="AP940" s="126">
        <f t="shared" ca="1" si="559"/>
        <v>0</v>
      </c>
      <c r="AQ940" s="126">
        <f t="shared" ca="1" si="560"/>
        <v>0</v>
      </c>
      <c r="AR940" s="126">
        <f t="shared" ca="1" si="540"/>
        <v>10000</v>
      </c>
      <c r="AS940" s="750">
        <f t="shared" ca="1" si="541"/>
        <v>0</v>
      </c>
      <c r="AT940" s="750">
        <f t="shared" ca="1" si="542"/>
        <v>0</v>
      </c>
      <c r="AU940" s="126">
        <f t="shared" ca="1" si="561"/>
        <v>0</v>
      </c>
      <c r="AV940" s="126">
        <f t="shared" ca="1" si="562"/>
        <v>0</v>
      </c>
      <c r="AW940" s="126">
        <f t="shared" ca="1" si="543"/>
        <v>10000</v>
      </c>
      <c r="AX940" s="750">
        <f t="shared" ca="1" si="563"/>
        <v>0</v>
      </c>
      <c r="AY940" s="750">
        <f t="shared" ca="1" si="564"/>
        <v>0</v>
      </c>
      <c r="AZ940">
        <f t="shared" si="565"/>
        <v>5750</v>
      </c>
    </row>
    <row r="941" spans="4:52">
      <c r="D941">
        <v>934</v>
      </c>
      <c r="E941" s="6">
        <f t="shared" ca="1" si="544"/>
        <v>24351</v>
      </c>
      <c r="F941" s="7">
        <f t="shared" ca="1" si="545"/>
        <v>0</v>
      </c>
      <c r="G941" s="125">
        <f ca="1">IF('Simulador - 1º Pilar'!$E$99="Sí",IF('Aportaciones PPE'!$B$13&lt;'Aportaciones PPE'!E941,0,F941*$B$8/12),F941*$B$8/12)</f>
        <v>0</v>
      </c>
      <c r="H941" s="125">
        <f t="shared" ca="1" si="534"/>
        <v>0</v>
      </c>
      <c r="I941" s="125">
        <f t="shared" ca="1" si="546"/>
        <v>0</v>
      </c>
      <c r="J941" s="125">
        <f t="shared" ca="1" si="547"/>
        <v>0</v>
      </c>
      <c r="K941" s="125">
        <f t="shared" ca="1" si="548"/>
        <v>0</v>
      </c>
      <c r="L941" s="125">
        <f t="shared" ca="1" si="566"/>
        <v>0</v>
      </c>
      <c r="M941" s="125">
        <f t="shared" ca="1" si="549"/>
        <v>0</v>
      </c>
      <c r="N941" s="125">
        <f t="shared" ca="1" si="550"/>
        <v>0</v>
      </c>
      <c r="R941">
        <f t="shared" si="567"/>
        <v>934</v>
      </c>
      <c r="U941" s="55"/>
      <c r="V941">
        <f t="shared" si="568"/>
        <v>11</v>
      </c>
      <c r="W941">
        <f t="shared" ca="1" si="569"/>
        <v>2101</v>
      </c>
      <c r="X941" s="123">
        <f t="shared" ca="1" si="551"/>
        <v>73720</v>
      </c>
      <c r="Y941" s="64">
        <f t="shared" ca="1" si="552"/>
        <v>0</v>
      </c>
      <c r="Z941" s="64">
        <f t="shared" ca="1" si="553"/>
        <v>0</v>
      </c>
      <c r="AA941" s="64">
        <f t="shared" ca="1" si="554"/>
        <v>0</v>
      </c>
      <c r="AB941" s="64">
        <f t="shared" ca="1" si="555"/>
        <v>0</v>
      </c>
      <c r="AF941" t="str">
        <f t="shared" ca="1" si="535"/>
        <v>91966</v>
      </c>
      <c r="AG941" s="126">
        <f t="shared" ca="1" si="536"/>
        <v>0</v>
      </c>
      <c r="AH941" s="126">
        <f t="shared" ca="1" si="537"/>
        <v>0</v>
      </c>
      <c r="AI941" s="126">
        <f t="shared" ca="1" si="538"/>
        <v>0</v>
      </c>
      <c r="AJ941" t="str">
        <f t="shared" ca="1" si="539"/>
        <v>112101</v>
      </c>
      <c r="AK941" s="126">
        <f t="shared" ca="1" si="556"/>
        <v>0</v>
      </c>
      <c r="AL941" s="126">
        <f t="shared" ca="1" si="557"/>
        <v>0</v>
      </c>
      <c r="AM941" s="126">
        <f t="shared" ca="1" si="570"/>
        <v>0</v>
      </c>
      <c r="AN941" s="753">
        <f t="shared" ca="1" si="571"/>
        <v>0</v>
      </c>
      <c r="AO941" s="750">
        <f t="shared" ca="1" si="558"/>
        <v>0</v>
      </c>
      <c r="AP941" s="126">
        <f t="shared" ca="1" si="559"/>
        <v>0</v>
      </c>
      <c r="AQ941" s="126">
        <f t="shared" ca="1" si="560"/>
        <v>0</v>
      </c>
      <c r="AR941" s="126">
        <f t="shared" ca="1" si="540"/>
        <v>10000</v>
      </c>
      <c r="AS941" s="750">
        <f t="shared" ca="1" si="541"/>
        <v>0</v>
      </c>
      <c r="AT941" s="750">
        <f t="shared" ca="1" si="542"/>
        <v>0</v>
      </c>
      <c r="AU941" s="126">
        <f t="shared" ca="1" si="561"/>
        <v>0</v>
      </c>
      <c r="AV941" s="126">
        <f t="shared" ca="1" si="562"/>
        <v>0</v>
      </c>
      <c r="AW941" s="126">
        <f t="shared" ca="1" si="543"/>
        <v>10000</v>
      </c>
      <c r="AX941" s="750">
        <f t="shared" ca="1" si="563"/>
        <v>0</v>
      </c>
      <c r="AY941" s="750">
        <f t="shared" ca="1" si="564"/>
        <v>0</v>
      </c>
      <c r="AZ941">
        <f t="shared" si="565"/>
        <v>5750</v>
      </c>
    </row>
    <row r="942" spans="4:52">
      <c r="D942">
        <v>935</v>
      </c>
      <c r="E942" s="6">
        <f t="shared" ca="1" si="544"/>
        <v>24320</v>
      </c>
      <c r="F942" s="7">
        <f t="shared" ca="1" si="545"/>
        <v>0</v>
      </c>
      <c r="G942" s="125">
        <f ca="1">IF('Simulador - 1º Pilar'!$E$99="Sí",IF('Aportaciones PPE'!$B$13&lt;'Aportaciones PPE'!E942,0,F942*$B$8/12),F942*$B$8/12)</f>
        <v>0</v>
      </c>
      <c r="H942" s="125">
        <f t="shared" ca="1" si="534"/>
        <v>0</v>
      </c>
      <c r="I942" s="125">
        <f t="shared" ca="1" si="546"/>
        <v>0</v>
      </c>
      <c r="J942" s="125">
        <f t="shared" ca="1" si="547"/>
        <v>0</v>
      </c>
      <c r="K942" s="125">
        <f t="shared" ca="1" si="548"/>
        <v>0</v>
      </c>
      <c r="L942" s="125">
        <f t="shared" ca="1" si="566"/>
        <v>0</v>
      </c>
      <c r="M942" s="125">
        <f t="shared" ca="1" si="549"/>
        <v>0</v>
      </c>
      <c r="N942" s="125">
        <f t="shared" ca="1" si="550"/>
        <v>0</v>
      </c>
      <c r="R942">
        <f t="shared" si="567"/>
        <v>935</v>
      </c>
      <c r="U942" s="55"/>
      <c r="V942">
        <f t="shared" si="568"/>
        <v>12</v>
      </c>
      <c r="W942">
        <f t="shared" ca="1" si="569"/>
        <v>2101</v>
      </c>
      <c r="X942" s="123">
        <f t="shared" ca="1" si="551"/>
        <v>73750</v>
      </c>
      <c r="Y942" s="64">
        <f t="shared" ca="1" si="552"/>
        <v>0</v>
      </c>
      <c r="Z942" s="64">
        <f t="shared" ca="1" si="553"/>
        <v>0</v>
      </c>
      <c r="AA942" s="64">
        <f t="shared" ca="1" si="554"/>
        <v>0</v>
      </c>
      <c r="AB942" s="64">
        <f t="shared" ca="1" si="555"/>
        <v>0</v>
      </c>
      <c r="AF942" t="str">
        <f t="shared" ca="1" si="535"/>
        <v>81966</v>
      </c>
      <c r="AG942" s="126">
        <f t="shared" ca="1" si="536"/>
        <v>0</v>
      </c>
      <c r="AH942" s="126">
        <f t="shared" ca="1" si="537"/>
        <v>0</v>
      </c>
      <c r="AI942" s="126">
        <f t="shared" ca="1" si="538"/>
        <v>0</v>
      </c>
      <c r="AJ942" t="str">
        <f t="shared" ca="1" si="539"/>
        <v>122101</v>
      </c>
      <c r="AK942" s="126">
        <f t="shared" ca="1" si="556"/>
        <v>0</v>
      </c>
      <c r="AL942" s="126">
        <f t="shared" ca="1" si="557"/>
        <v>0</v>
      </c>
      <c r="AM942" s="126">
        <f t="shared" ca="1" si="570"/>
        <v>0</v>
      </c>
      <c r="AN942" s="753">
        <f t="shared" ca="1" si="571"/>
        <v>0</v>
      </c>
      <c r="AO942" s="750">
        <f t="shared" ca="1" si="558"/>
        <v>0</v>
      </c>
      <c r="AP942" s="126">
        <f t="shared" ca="1" si="559"/>
        <v>0</v>
      </c>
      <c r="AQ942" s="126">
        <f t="shared" ca="1" si="560"/>
        <v>0</v>
      </c>
      <c r="AR942" s="126">
        <f t="shared" ca="1" si="540"/>
        <v>10000</v>
      </c>
      <c r="AS942" s="750">
        <f t="shared" ca="1" si="541"/>
        <v>0</v>
      </c>
      <c r="AT942" s="750">
        <f t="shared" ca="1" si="542"/>
        <v>0</v>
      </c>
      <c r="AU942" s="126">
        <f t="shared" ca="1" si="561"/>
        <v>0</v>
      </c>
      <c r="AV942" s="126">
        <f t="shared" ca="1" si="562"/>
        <v>0</v>
      </c>
      <c r="AW942" s="126">
        <f t="shared" ca="1" si="543"/>
        <v>10000</v>
      </c>
      <c r="AX942" s="750">
        <f t="shared" ca="1" si="563"/>
        <v>0</v>
      </c>
      <c r="AY942" s="750">
        <f t="shared" ca="1" si="564"/>
        <v>0</v>
      </c>
      <c r="AZ942">
        <f t="shared" si="565"/>
        <v>5750</v>
      </c>
    </row>
    <row r="943" spans="4:52">
      <c r="D943">
        <v>936</v>
      </c>
      <c r="E943" s="6">
        <f t="shared" ca="1" si="544"/>
        <v>24289</v>
      </c>
      <c r="F943" s="7">
        <f t="shared" ca="1" si="545"/>
        <v>0</v>
      </c>
      <c r="G943" s="125">
        <f ca="1">IF('Simulador - 1º Pilar'!$E$99="Sí",IF('Aportaciones PPE'!$B$13&lt;'Aportaciones PPE'!E943,0,F943*$B$8/12),F943*$B$8/12)</f>
        <v>0</v>
      </c>
      <c r="H943" s="125">
        <f t="shared" ca="1" si="534"/>
        <v>0</v>
      </c>
      <c r="I943" s="125">
        <f t="shared" ca="1" si="546"/>
        <v>0</v>
      </c>
      <c r="J943" s="125">
        <f t="shared" ca="1" si="547"/>
        <v>0</v>
      </c>
      <c r="K943" s="125">
        <f t="shared" ca="1" si="548"/>
        <v>0</v>
      </c>
      <c r="L943" s="125">
        <f t="shared" ca="1" si="566"/>
        <v>0</v>
      </c>
      <c r="M943" s="125">
        <f t="shared" ca="1" si="549"/>
        <v>0</v>
      </c>
      <c r="N943" s="125">
        <f t="shared" ca="1" si="550"/>
        <v>0</v>
      </c>
      <c r="R943">
        <f t="shared" si="567"/>
        <v>936</v>
      </c>
      <c r="U943" s="55"/>
      <c r="V943">
        <f t="shared" si="568"/>
        <v>1</v>
      </c>
      <c r="W943">
        <f t="shared" ca="1" si="569"/>
        <v>2102</v>
      </c>
      <c r="X943" s="123">
        <f t="shared" ca="1" si="551"/>
        <v>73781</v>
      </c>
      <c r="Y943" s="64">
        <f t="shared" ca="1" si="552"/>
        <v>0</v>
      </c>
      <c r="Z943" s="64">
        <f t="shared" ca="1" si="553"/>
        <v>0</v>
      </c>
      <c r="AA943" s="64">
        <f t="shared" ca="1" si="554"/>
        <v>0</v>
      </c>
      <c r="AB943" s="64">
        <f t="shared" ca="1" si="555"/>
        <v>0</v>
      </c>
      <c r="AF943" t="str">
        <f t="shared" ca="1" si="535"/>
        <v>71966</v>
      </c>
      <c r="AG943" s="126">
        <f t="shared" ca="1" si="536"/>
        <v>0</v>
      </c>
      <c r="AH943" s="126">
        <f t="shared" ca="1" si="537"/>
        <v>0</v>
      </c>
      <c r="AI943" s="126">
        <f t="shared" ca="1" si="538"/>
        <v>0</v>
      </c>
      <c r="AJ943" t="str">
        <f t="shared" ca="1" si="539"/>
        <v>12102</v>
      </c>
      <c r="AK943" s="126">
        <f t="shared" ca="1" si="556"/>
        <v>0</v>
      </c>
      <c r="AL943" s="126">
        <f t="shared" ca="1" si="557"/>
        <v>0</v>
      </c>
      <c r="AM943" s="126">
        <f t="shared" ca="1" si="570"/>
        <v>0</v>
      </c>
      <c r="AN943" s="753">
        <f t="shared" ca="1" si="571"/>
        <v>0</v>
      </c>
      <c r="AO943" s="750">
        <f t="shared" ca="1" si="558"/>
        <v>0</v>
      </c>
      <c r="AP943" s="126">
        <f t="shared" ca="1" si="559"/>
        <v>0</v>
      </c>
      <c r="AQ943" s="126">
        <f t="shared" ca="1" si="560"/>
        <v>0</v>
      </c>
      <c r="AR943" s="126">
        <f t="shared" ca="1" si="540"/>
        <v>10000</v>
      </c>
      <c r="AS943" s="750">
        <f t="shared" ca="1" si="541"/>
        <v>0</v>
      </c>
      <c r="AT943" s="750">
        <f t="shared" ca="1" si="542"/>
        <v>0</v>
      </c>
      <c r="AU943" s="126">
        <f t="shared" ca="1" si="561"/>
        <v>0</v>
      </c>
      <c r="AV943" s="126">
        <f t="shared" ca="1" si="562"/>
        <v>0</v>
      </c>
      <c r="AW943" s="126">
        <f t="shared" ca="1" si="543"/>
        <v>10000</v>
      </c>
      <c r="AX943" s="750">
        <f t="shared" ca="1" si="563"/>
        <v>0</v>
      </c>
      <c r="AY943" s="750">
        <f t="shared" ca="1" si="564"/>
        <v>0</v>
      </c>
      <c r="AZ943">
        <f t="shared" si="565"/>
        <v>5750</v>
      </c>
    </row>
    <row r="944" spans="4:52">
      <c r="D944">
        <v>937</v>
      </c>
      <c r="E944" s="6">
        <f t="shared" ca="1" si="544"/>
        <v>24259</v>
      </c>
      <c r="F944" s="7">
        <f t="shared" ca="1" si="545"/>
        <v>0</v>
      </c>
      <c r="G944" s="125">
        <f ca="1">IF('Simulador - 1º Pilar'!$E$99="Sí",IF('Aportaciones PPE'!$B$13&lt;'Aportaciones PPE'!E944,0,F944*$B$8/12),F944*$B$8/12)</f>
        <v>0</v>
      </c>
      <c r="H944" s="125">
        <f t="shared" ca="1" si="534"/>
        <v>0</v>
      </c>
      <c r="I944" s="125">
        <f t="shared" ca="1" si="546"/>
        <v>0</v>
      </c>
      <c r="J944" s="125">
        <f t="shared" ca="1" si="547"/>
        <v>0</v>
      </c>
      <c r="K944" s="125">
        <f t="shared" ca="1" si="548"/>
        <v>0</v>
      </c>
      <c r="L944" s="125">
        <f t="shared" ca="1" si="566"/>
        <v>0</v>
      </c>
      <c r="M944" s="125">
        <f t="shared" ca="1" si="549"/>
        <v>0</v>
      </c>
      <c r="N944" s="125">
        <f t="shared" ca="1" si="550"/>
        <v>0</v>
      </c>
      <c r="R944">
        <f t="shared" si="567"/>
        <v>937</v>
      </c>
      <c r="U944" s="55"/>
      <c r="V944">
        <f t="shared" si="568"/>
        <v>2</v>
      </c>
      <c r="W944">
        <f t="shared" ca="1" si="569"/>
        <v>2102</v>
      </c>
      <c r="X944" s="123">
        <f t="shared" ca="1" si="551"/>
        <v>73812</v>
      </c>
      <c r="Y944" s="64">
        <f t="shared" ca="1" si="552"/>
        <v>0</v>
      </c>
      <c r="Z944" s="64">
        <f t="shared" ca="1" si="553"/>
        <v>0</v>
      </c>
      <c r="AA944" s="64">
        <f t="shared" ca="1" si="554"/>
        <v>0</v>
      </c>
      <c r="AB944" s="64">
        <f t="shared" ca="1" si="555"/>
        <v>0</v>
      </c>
      <c r="AF944" t="str">
        <f t="shared" ca="1" si="535"/>
        <v>61966</v>
      </c>
      <c r="AG944" s="126">
        <f t="shared" ca="1" si="536"/>
        <v>0</v>
      </c>
      <c r="AH944" s="126">
        <f t="shared" ca="1" si="537"/>
        <v>0</v>
      </c>
      <c r="AI944" s="126">
        <f t="shared" ca="1" si="538"/>
        <v>0</v>
      </c>
      <c r="AJ944" t="str">
        <f t="shared" ca="1" si="539"/>
        <v>22102</v>
      </c>
      <c r="AK944" s="126">
        <f t="shared" ca="1" si="556"/>
        <v>0</v>
      </c>
      <c r="AL944" s="126">
        <f t="shared" ca="1" si="557"/>
        <v>0</v>
      </c>
      <c r="AM944" s="126">
        <f t="shared" ca="1" si="570"/>
        <v>0</v>
      </c>
      <c r="AN944" s="753">
        <f t="shared" ca="1" si="571"/>
        <v>0</v>
      </c>
      <c r="AO944" s="750">
        <f t="shared" ca="1" si="558"/>
        <v>0</v>
      </c>
      <c r="AP944" s="126">
        <f t="shared" ca="1" si="559"/>
        <v>0</v>
      </c>
      <c r="AQ944" s="126">
        <f t="shared" ca="1" si="560"/>
        <v>0</v>
      </c>
      <c r="AR944" s="126">
        <f t="shared" ca="1" si="540"/>
        <v>10000</v>
      </c>
      <c r="AS944" s="750">
        <f t="shared" ca="1" si="541"/>
        <v>0</v>
      </c>
      <c r="AT944" s="750">
        <f t="shared" ca="1" si="542"/>
        <v>0</v>
      </c>
      <c r="AU944" s="126">
        <f t="shared" ca="1" si="561"/>
        <v>0</v>
      </c>
      <c r="AV944" s="126">
        <f t="shared" ca="1" si="562"/>
        <v>0</v>
      </c>
      <c r="AW944" s="126">
        <f t="shared" ca="1" si="543"/>
        <v>10000</v>
      </c>
      <c r="AX944" s="750">
        <f t="shared" ca="1" si="563"/>
        <v>0</v>
      </c>
      <c r="AY944" s="750">
        <f t="shared" ca="1" si="564"/>
        <v>0</v>
      </c>
      <c r="AZ944">
        <f t="shared" si="565"/>
        <v>5750</v>
      </c>
    </row>
    <row r="945" spans="4:52">
      <c r="D945">
        <v>938</v>
      </c>
      <c r="E945" s="6">
        <f t="shared" ca="1" si="544"/>
        <v>24228</v>
      </c>
      <c r="F945" s="7">
        <f t="shared" ca="1" si="545"/>
        <v>0</v>
      </c>
      <c r="G945" s="125">
        <f ca="1">IF('Simulador - 1º Pilar'!$E$99="Sí",IF('Aportaciones PPE'!$B$13&lt;'Aportaciones PPE'!E945,0,F945*$B$8/12),F945*$B$8/12)</f>
        <v>0</v>
      </c>
      <c r="H945" s="125">
        <f t="shared" ca="1" si="534"/>
        <v>0</v>
      </c>
      <c r="I945" s="125">
        <f t="shared" ca="1" si="546"/>
        <v>0</v>
      </c>
      <c r="J945" s="125">
        <f t="shared" ca="1" si="547"/>
        <v>0</v>
      </c>
      <c r="K945" s="125">
        <f t="shared" ca="1" si="548"/>
        <v>0</v>
      </c>
      <c r="L945" s="125">
        <f t="shared" ca="1" si="566"/>
        <v>0</v>
      </c>
      <c r="M945" s="125">
        <f t="shared" ca="1" si="549"/>
        <v>0</v>
      </c>
      <c r="N945" s="125">
        <f t="shared" ca="1" si="550"/>
        <v>0</v>
      </c>
      <c r="R945">
        <f t="shared" si="567"/>
        <v>938</v>
      </c>
      <c r="U945" s="55"/>
      <c r="V945">
        <f t="shared" si="568"/>
        <v>3</v>
      </c>
      <c r="W945">
        <f t="shared" ca="1" si="569"/>
        <v>2102</v>
      </c>
      <c r="X945" s="123">
        <f t="shared" ca="1" si="551"/>
        <v>73840</v>
      </c>
      <c r="Y945" s="64">
        <f t="shared" ca="1" si="552"/>
        <v>0</v>
      </c>
      <c r="Z945" s="64">
        <f t="shared" ca="1" si="553"/>
        <v>0</v>
      </c>
      <c r="AA945" s="64">
        <f t="shared" ca="1" si="554"/>
        <v>0</v>
      </c>
      <c r="AB945" s="64">
        <f t="shared" ca="1" si="555"/>
        <v>0</v>
      </c>
      <c r="AF945" t="str">
        <f t="shared" ca="1" si="535"/>
        <v>51966</v>
      </c>
      <c r="AG945" s="126">
        <f t="shared" ca="1" si="536"/>
        <v>0</v>
      </c>
      <c r="AH945" s="126">
        <f t="shared" ca="1" si="537"/>
        <v>0</v>
      </c>
      <c r="AI945" s="126">
        <f t="shared" ca="1" si="538"/>
        <v>0</v>
      </c>
      <c r="AJ945" t="str">
        <f t="shared" ca="1" si="539"/>
        <v>32102</v>
      </c>
      <c r="AK945" s="126">
        <f t="shared" ca="1" si="556"/>
        <v>0</v>
      </c>
      <c r="AL945" s="126">
        <f t="shared" ca="1" si="557"/>
        <v>0</v>
      </c>
      <c r="AM945" s="126">
        <f t="shared" ca="1" si="570"/>
        <v>0</v>
      </c>
      <c r="AN945" s="753">
        <f t="shared" ca="1" si="571"/>
        <v>0</v>
      </c>
      <c r="AO945" s="750">
        <f t="shared" ca="1" si="558"/>
        <v>0</v>
      </c>
      <c r="AP945" s="126">
        <f t="shared" ca="1" si="559"/>
        <v>0</v>
      </c>
      <c r="AQ945" s="126">
        <f t="shared" ca="1" si="560"/>
        <v>0</v>
      </c>
      <c r="AR945" s="126">
        <f t="shared" ca="1" si="540"/>
        <v>10000</v>
      </c>
      <c r="AS945" s="750">
        <f t="shared" ca="1" si="541"/>
        <v>0</v>
      </c>
      <c r="AT945" s="750">
        <f t="shared" ca="1" si="542"/>
        <v>0</v>
      </c>
      <c r="AU945" s="126">
        <f t="shared" ca="1" si="561"/>
        <v>0</v>
      </c>
      <c r="AV945" s="126">
        <f t="shared" ca="1" si="562"/>
        <v>0</v>
      </c>
      <c r="AW945" s="126">
        <f t="shared" ca="1" si="543"/>
        <v>10000</v>
      </c>
      <c r="AX945" s="750">
        <f t="shared" ca="1" si="563"/>
        <v>0</v>
      </c>
      <c r="AY945" s="750">
        <f t="shared" ca="1" si="564"/>
        <v>0</v>
      </c>
      <c r="AZ945">
        <f t="shared" si="565"/>
        <v>5750</v>
      </c>
    </row>
    <row r="946" spans="4:52">
      <c r="D946">
        <v>939</v>
      </c>
      <c r="E946" s="6">
        <f t="shared" ca="1" si="544"/>
        <v>24198</v>
      </c>
      <c r="F946" s="7">
        <f t="shared" ca="1" si="545"/>
        <v>0</v>
      </c>
      <c r="G946" s="125">
        <f ca="1">IF('Simulador - 1º Pilar'!$E$99="Sí",IF('Aportaciones PPE'!$B$13&lt;'Aportaciones PPE'!E946,0,F946*$B$8/12),F946*$B$8/12)</f>
        <v>0</v>
      </c>
      <c r="H946" s="125">
        <f t="shared" ca="1" si="534"/>
        <v>0</v>
      </c>
      <c r="I946" s="125">
        <f t="shared" ca="1" si="546"/>
        <v>0</v>
      </c>
      <c r="J946" s="125">
        <f t="shared" ca="1" si="547"/>
        <v>0</v>
      </c>
      <c r="K946" s="125">
        <f t="shared" ca="1" si="548"/>
        <v>0</v>
      </c>
      <c r="L946" s="125">
        <f t="shared" ca="1" si="566"/>
        <v>0</v>
      </c>
      <c r="M946" s="125">
        <f t="shared" ca="1" si="549"/>
        <v>0</v>
      </c>
      <c r="N946" s="125">
        <f t="shared" ca="1" si="550"/>
        <v>0</v>
      </c>
      <c r="R946">
        <f t="shared" si="567"/>
        <v>939</v>
      </c>
      <c r="U946" s="55"/>
      <c r="V946">
        <f t="shared" si="568"/>
        <v>4</v>
      </c>
      <c r="W946">
        <f t="shared" ca="1" si="569"/>
        <v>2102</v>
      </c>
      <c r="X946" s="123">
        <f t="shared" ca="1" si="551"/>
        <v>73871</v>
      </c>
      <c r="Y946" s="64">
        <f t="shared" ca="1" si="552"/>
        <v>0</v>
      </c>
      <c r="Z946" s="64">
        <f t="shared" ca="1" si="553"/>
        <v>0</v>
      </c>
      <c r="AA946" s="64">
        <f t="shared" ca="1" si="554"/>
        <v>0</v>
      </c>
      <c r="AB946" s="64">
        <f t="shared" ca="1" si="555"/>
        <v>0</v>
      </c>
      <c r="AF946" t="str">
        <f t="shared" ca="1" si="535"/>
        <v>41966</v>
      </c>
      <c r="AG946" s="126">
        <f t="shared" ca="1" si="536"/>
        <v>0</v>
      </c>
      <c r="AH946" s="126">
        <f t="shared" ca="1" si="537"/>
        <v>0</v>
      </c>
      <c r="AI946" s="126">
        <f t="shared" ca="1" si="538"/>
        <v>0</v>
      </c>
      <c r="AJ946" t="str">
        <f t="shared" ca="1" si="539"/>
        <v>42102</v>
      </c>
      <c r="AK946" s="126">
        <f t="shared" ca="1" si="556"/>
        <v>0</v>
      </c>
      <c r="AL946" s="126">
        <f t="shared" ca="1" si="557"/>
        <v>0</v>
      </c>
      <c r="AM946" s="126">
        <f t="shared" ca="1" si="570"/>
        <v>0</v>
      </c>
      <c r="AN946" s="753">
        <f t="shared" ca="1" si="571"/>
        <v>0</v>
      </c>
      <c r="AO946" s="750">
        <f t="shared" ca="1" si="558"/>
        <v>0</v>
      </c>
      <c r="AP946" s="126">
        <f t="shared" ca="1" si="559"/>
        <v>0</v>
      </c>
      <c r="AQ946" s="126">
        <f t="shared" ca="1" si="560"/>
        <v>0</v>
      </c>
      <c r="AR946" s="126">
        <f t="shared" ca="1" si="540"/>
        <v>10000</v>
      </c>
      <c r="AS946" s="750">
        <f t="shared" ca="1" si="541"/>
        <v>0</v>
      </c>
      <c r="AT946" s="750">
        <f t="shared" ca="1" si="542"/>
        <v>0</v>
      </c>
      <c r="AU946" s="126">
        <f t="shared" ca="1" si="561"/>
        <v>0</v>
      </c>
      <c r="AV946" s="126">
        <f t="shared" ca="1" si="562"/>
        <v>0</v>
      </c>
      <c r="AW946" s="126">
        <f t="shared" ca="1" si="543"/>
        <v>10000</v>
      </c>
      <c r="AX946" s="750">
        <f t="shared" ca="1" si="563"/>
        <v>0</v>
      </c>
      <c r="AY946" s="750">
        <f t="shared" ca="1" si="564"/>
        <v>0</v>
      </c>
      <c r="AZ946">
        <f t="shared" si="565"/>
        <v>5750</v>
      </c>
    </row>
    <row r="947" spans="4:52">
      <c r="D947">
        <v>940</v>
      </c>
      <c r="E947" s="6">
        <f t="shared" ca="1" si="544"/>
        <v>24167</v>
      </c>
      <c r="F947" s="7">
        <f t="shared" ca="1" si="545"/>
        <v>0</v>
      </c>
      <c r="G947" s="125">
        <f ca="1">IF('Simulador - 1º Pilar'!$E$99="Sí",IF('Aportaciones PPE'!$B$13&lt;'Aportaciones PPE'!E947,0,F947*$B$8/12),F947*$B$8/12)</f>
        <v>0</v>
      </c>
      <c r="H947" s="125">
        <f t="shared" ca="1" si="534"/>
        <v>0</v>
      </c>
      <c r="I947" s="125">
        <f t="shared" ca="1" si="546"/>
        <v>0</v>
      </c>
      <c r="J947" s="125">
        <f t="shared" ca="1" si="547"/>
        <v>0</v>
      </c>
      <c r="K947" s="125">
        <f t="shared" ca="1" si="548"/>
        <v>0</v>
      </c>
      <c r="L947" s="125">
        <f t="shared" ca="1" si="566"/>
        <v>0</v>
      </c>
      <c r="M947" s="125">
        <f t="shared" ca="1" si="549"/>
        <v>0</v>
      </c>
      <c r="N947" s="125">
        <f t="shared" ca="1" si="550"/>
        <v>0</v>
      </c>
      <c r="R947">
        <f t="shared" si="567"/>
        <v>940</v>
      </c>
      <c r="U947" s="55"/>
      <c r="V947">
        <f t="shared" si="568"/>
        <v>5</v>
      </c>
      <c r="W947">
        <f t="shared" ca="1" si="569"/>
        <v>2102</v>
      </c>
      <c r="X947" s="123">
        <f t="shared" ca="1" si="551"/>
        <v>73901</v>
      </c>
      <c r="Y947" s="64">
        <f t="shared" ca="1" si="552"/>
        <v>0</v>
      </c>
      <c r="Z947" s="64">
        <f t="shared" ca="1" si="553"/>
        <v>0</v>
      </c>
      <c r="AA947" s="64">
        <f t="shared" ca="1" si="554"/>
        <v>0</v>
      </c>
      <c r="AB947" s="64">
        <f t="shared" ca="1" si="555"/>
        <v>0</v>
      </c>
      <c r="AF947" t="str">
        <f t="shared" ca="1" si="535"/>
        <v>31966</v>
      </c>
      <c r="AG947" s="126">
        <f t="shared" ca="1" si="536"/>
        <v>0</v>
      </c>
      <c r="AH947" s="126">
        <f t="shared" ca="1" si="537"/>
        <v>0</v>
      </c>
      <c r="AI947" s="126">
        <f t="shared" ca="1" si="538"/>
        <v>0</v>
      </c>
      <c r="AJ947" t="str">
        <f t="shared" ca="1" si="539"/>
        <v>52102</v>
      </c>
      <c r="AK947" s="126">
        <f t="shared" ca="1" si="556"/>
        <v>0</v>
      </c>
      <c r="AL947" s="126">
        <f t="shared" ca="1" si="557"/>
        <v>0</v>
      </c>
      <c r="AM947" s="126">
        <f t="shared" ca="1" si="570"/>
        <v>0</v>
      </c>
      <c r="AN947" s="753">
        <f t="shared" ca="1" si="571"/>
        <v>0</v>
      </c>
      <c r="AO947" s="750">
        <f t="shared" ca="1" si="558"/>
        <v>0</v>
      </c>
      <c r="AP947" s="126">
        <f t="shared" ca="1" si="559"/>
        <v>0</v>
      </c>
      <c r="AQ947" s="126">
        <f t="shared" ca="1" si="560"/>
        <v>0</v>
      </c>
      <c r="AR947" s="126">
        <f t="shared" ca="1" si="540"/>
        <v>10000</v>
      </c>
      <c r="AS947" s="750">
        <f t="shared" ca="1" si="541"/>
        <v>0</v>
      </c>
      <c r="AT947" s="750">
        <f t="shared" ca="1" si="542"/>
        <v>0</v>
      </c>
      <c r="AU947" s="126">
        <f t="shared" ca="1" si="561"/>
        <v>0</v>
      </c>
      <c r="AV947" s="126">
        <f t="shared" ca="1" si="562"/>
        <v>0</v>
      </c>
      <c r="AW947" s="126">
        <f t="shared" ca="1" si="543"/>
        <v>10000</v>
      </c>
      <c r="AX947" s="750">
        <f t="shared" ca="1" si="563"/>
        <v>0</v>
      </c>
      <c r="AY947" s="750">
        <f t="shared" ca="1" si="564"/>
        <v>0</v>
      </c>
      <c r="AZ947">
        <f t="shared" si="565"/>
        <v>5750</v>
      </c>
    </row>
    <row r="948" spans="4:52">
      <c r="D948">
        <v>941</v>
      </c>
      <c r="E948" s="6">
        <f t="shared" ca="1" si="544"/>
        <v>24139</v>
      </c>
      <c r="F948" s="7">
        <f t="shared" ca="1" si="545"/>
        <v>0</v>
      </c>
      <c r="G948" s="125">
        <f ca="1">IF('Simulador - 1º Pilar'!$E$99="Sí",IF('Aportaciones PPE'!$B$13&lt;'Aportaciones PPE'!E948,0,F948*$B$8/12),F948*$B$8/12)</f>
        <v>0</v>
      </c>
      <c r="H948" s="125">
        <f t="shared" ca="1" si="534"/>
        <v>0</v>
      </c>
      <c r="I948" s="125">
        <f t="shared" ca="1" si="546"/>
        <v>0</v>
      </c>
      <c r="J948" s="125">
        <f t="shared" ca="1" si="547"/>
        <v>0</v>
      </c>
      <c r="K948" s="125">
        <f t="shared" ca="1" si="548"/>
        <v>0</v>
      </c>
      <c r="L948" s="125">
        <f t="shared" ca="1" si="566"/>
        <v>0</v>
      </c>
      <c r="M948" s="125">
        <f t="shared" ca="1" si="549"/>
        <v>0</v>
      </c>
      <c r="N948" s="125">
        <f t="shared" ca="1" si="550"/>
        <v>0</v>
      </c>
      <c r="R948">
        <f t="shared" si="567"/>
        <v>941</v>
      </c>
      <c r="U948" s="55"/>
      <c r="V948">
        <f t="shared" si="568"/>
        <v>6</v>
      </c>
      <c r="W948">
        <f t="shared" ca="1" si="569"/>
        <v>2102</v>
      </c>
      <c r="X948" s="123">
        <f t="shared" ca="1" si="551"/>
        <v>73932</v>
      </c>
      <c r="Y948" s="64">
        <f t="shared" ca="1" si="552"/>
        <v>0</v>
      </c>
      <c r="Z948" s="64">
        <f t="shared" ca="1" si="553"/>
        <v>0</v>
      </c>
      <c r="AA948" s="64">
        <f t="shared" ca="1" si="554"/>
        <v>0</v>
      </c>
      <c r="AB948" s="64">
        <f t="shared" ca="1" si="555"/>
        <v>0</v>
      </c>
      <c r="AF948" t="str">
        <f t="shared" ca="1" si="535"/>
        <v>21966</v>
      </c>
      <c r="AG948" s="126">
        <f t="shared" ca="1" si="536"/>
        <v>0</v>
      </c>
      <c r="AH948" s="126">
        <f t="shared" ca="1" si="537"/>
        <v>0</v>
      </c>
      <c r="AI948" s="126">
        <f t="shared" ca="1" si="538"/>
        <v>0</v>
      </c>
      <c r="AJ948" t="str">
        <f t="shared" ca="1" si="539"/>
        <v>62102</v>
      </c>
      <c r="AK948" s="126">
        <f t="shared" ca="1" si="556"/>
        <v>0</v>
      </c>
      <c r="AL948" s="126">
        <f t="shared" ca="1" si="557"/>
        <v>0</v>
      </c>
      <c r="AM948" s="126">
        <f t="shared" ca="1" si="570"/>
        <v>0</v>
      </c>
      <c r="AN948" s="753">
        <f t="shared" ca="1" si="571"/>
        <v>0</v>
      </c>
      <c r="AO948" s="750">
        <f t="shared" ca="1" si="558"/>
        <v>0</v>
      </c>
      <c r="AP948" s="126">
        <f t="shared" ca="1" si="559"/>
        <v>0</v>
      </c>
      <c r="AQ948" s="126">
        <f t="shared" ca="1" si="560"/>
        <v>0</v>
      </c>
      <c r="AR948" s="126">
        <f t="shared" ca="1" si="540"/>
        <v>10000</v>
      </c>
      <c r="AS948" s="750">
        <f t="shared" ca="1" si="541"/>
        <v>0</v>
      </c>
      <c r="AT948" s="750">
        <f t="shared" ca="1" si="542"/>
        <v>0</v>
      </c>
      <c r="AU948" s="126">
        <f t="shared" ca="1" si="561"/>
        <v>0</v>
      </c>
      <c r="AV948" s="126">
        <f t="shared" ca="1" si="562"/>
        <v>0</v>
      </c>
      <c r="AW948" s="126">
        <f t="shared" ca="1" si="543"/>
        <v>10000</v>
      </c>
      <c r="AX948" s="750">
        <f t="shared" ca="1" si="563"/>
        <v>0</v>
      </c>
      <c r="AY948" s="750">
        <f t="shared" ca="1" si="564"/>
        <v>0</v>
      </c>
      <c r="AZ948">
        <f t="shared" si="565"/>
        <v>5750</v>
      </c>
    </row>
    <row r="949" spans="4:52">
      <c r="D949">
        <v>942</v>
      </c>
      <c r="E949" s="6">
        <f t="shared" ca="1" si="544"/>
        <v>24108</v>
      </c>
      <c r="F949" s="7">
        <f t="shared" ca="1" si="545"/>
        <v>0</v>
      </c>
      <c r="G949" s="125">
        <f ca="1">IF('Simulador - 1º Pilar'!$E$99="Sí",IF('Aportaciones PPE'!$B$13&lt;'Aportaciones PPE'!E949,0,F949*$B$8/12),F949*$B$8/12)</f>
        <v>0</v>
      </c>
      <c r="H949" s="125">
        <f t="shared" ca="1" si="534"/>
        <v>0</v>
      </c>
      <c r="I949" s="125">
        <f t="shared" ca="1" si="546"/>
        <v>0</v>
      </c>
      <c r="J949" s="125">
        <f t="shared" ca="1" si="547"/>
        <v>0</v>
      </c>
      <c r="K949" s="125">
        <f t="shared" ca="1" si="548"/>
        <v>0</v>
      </c>
      <c r="L949" s="125">
        <f t="shared" ca="1" si="566"/>
        <v>0</v>
      </c>
      <c r="M949" s="125">
        <f t="shared" ca="1" si="549"/>
        <v>0</v>
      </c>
      <c r="N949" s="125">
        <f t="shared" ca="1" si="550"/>
        <v>0</v>
      </c>
      <c r="R949">
        <f t="shared" si="567"/>
        <v>942</v>
      </c>
      <c r="U949" s="55"/>
      <c r="V949">
        <f t="shared" si="568"/>
        <v>7</v>
      </c>
      <c r="W949">
        <f t="shared" ca="1" si="569"/>
        <v>2102</v>
      </c>
      <c r="X949" s="123">
        <f t="shared" ca="1" si="551"/>
        <v>73962</v>
      </c>
      <c r="Y949" s="64">
        <f t="shared" ca="1" si="552"/>
        <v>0</v>
      </c>
      <c r="Z949" s="64">
        <f t="shared" ca="1" si="553"/>
        <v>0</v>
      </c>
      <c r="AA949" s="64">
        <f t="shared" ca="1" si="554"/>
        <v>0</v>
      </c>
      <c r="AB949" s="64">
        <f t="shared" ca="1" si="555"/>
        <v>0</v>
      </c>
      <c r="AF949" t="str">
        <f t="shared" ca="1" si="535"/>
        <v>11966</v>
      </c>
      <c r="AG949" s="126">
        <f t="shared" ca="1" si="536"/>
        <v>0</v>
      </c>
      <c r="AH949" s="126">
        <f t="shared" ca="1" si="537"/>
        <v>0</v>
      </c>
      <c r="AI949" s="126">
        <f t="shared" ca="1" si="538"/>
        <v>0</v>
      </c>
      <c r="AJ949" t="str">
        <f t="shared" ca="1" si="539"/>
        <v>72102</v>
      </c>
      <c r="AK949" s="126">
        <f t="shared" ca="1" si="556"/>
        <v>0</v>
      </c>
      <c r="AL949" s="126">
        <f t="shared" ca="1" si="557"/>
        <v>0</v>
      </c>
      <c r="AM949" s="126">
        <f t="shared" ca="1" si="570"/>
        <v>0</v>
      </c>
      <c r="AN949" s="753">
        <f t="shared" ca="1" si="571"/>
        <v>0</v>
      </c>
      <c r="AO949" s="750">
        <f t="shared" ca="1" si="558"/>
        <v>0</v>
      </c>
      <c r="AP949" s="126">
        <f t="shared" ca="1" si="559"/>
        <v>0</v>
      </c>
      <c r="AQ949" s="126">
        <f t="shared" ca="1" si="560"/>
        <v>0</v>
      </c>
      <c r="AR949" s="126">
        <f t="shared" ca="1" si="540"/>
        <v>10000</v>
      </c>
      <c r="AS949" s="750">
        <f t="shared" ca="1" si="541"/>
        <v>0</v>
      </c>
      <c r="AT949" s="750">
        <f t="shared" ca="1" si="542"/>
        <v>0</v>
      </c>
      <c r="AU949" s="126">
        <f t="shared" ca="1" si="561"/>
        <v>0</v>
      </c>
      <c r="AV949" s="126">
        <f t="shared" ca="1" si="562"/>
        <v>0</v>
      </c>
      <c r="AW949" s="126">
        <f t="shared" ca="1" si="543"/>
        <v>10000</v>
      </c>
      <c r="AX949" s="750">
        <f t="shared" ca="1" si="563"/>
        <v>0</v>
      </c>
      <c r="AY949" s="750">
        <f t="shared" ca="1" si="564"/>
        <v>0</v>
      </c>
      <c r="AZ949">
        <f t="shared" si="565"/>
        <v>5750</v>
      </c>
    </row>
    <row r="950" spans="4:52">
      <c r="D950">
        <v>943</v>
      </c>
      <c r="E950" s="6">
        <f t="shared" ca="1" si="544"/>
        <v>24077</v>
      </c>
      <c r="F950" s="7">
        <f t="shared" ca="1" si="545"/>
        <v>0</v>
      </c>
      <c r="G950" s="125">
        <f ca="1">IF('Simulador - 1º Pilar'!$E$99="Sí",IF('Aportaciones PPE'!$B$13&lt;'Aportaciones PPE'!E950,0,F950*$B$8/12),F950*$B$8/12)</f>
        <v>0</v>
      </c>
      <c r="H950" s="125">
        <f t="shared" ca="1" si="534"/>
        <v>0</v>
      </c>
      <c r="I950" s="125">
        <f t="shared" ca="1" si="546"/>
        <v>0</v>
      </c>
      <c r="J950" s="125">
        <f t="shared" ca="1" si="547"/>
        <v>0</v>
      </c>
      <c r="K950" s="125">
        <f t="shared" ca="1" si="548"/>
        <v>0</v>
      </c>
      <c r="L950" s="125">
        <f t="shared" ca="1" si="566"/>
        <v>0</v>
      </c>
      <c r="M950" s="125">
        <f t="shared" ca="1" si="549"/>
        <v>0</v>
      </c>
      <c r="N950" s="125">
        <f t="shared" ca="1" si="550"/>
        <v>0</v>
      </c>
      <c r="R950">
        <f t="shared" si="567"/>
        <v>943</v>
      </c>
      <c r="U950" s="55"/>
      <c r="V950">
        <f t="shared" si="568"/>
        <v>8</v>
      </c>
      <c r="W950">
        <f t="shared" ca="1" si="569"/>
        <v>2102</v>
      </c>
      <c r="X950" s="123">
        <f t="shared" ca="1" si="551"/>
        <v>73993</v>
      </c>
      <c r="Y950" s="64">
        <f t="shared" ca="1" si="552"/>
        <v>0</v>
      </c>
      <c r="Z950" s="64">
        <f t="shared" ca="1" si="553"/>
        <v>0</v>
      </c>
      <c r="AA950" s="64">
        <f t="shared" ca="1" si="554"/>
        <v>0</v>
      </c>
      <c r="AB950" s="64">
        <f t="shared" ca="1" si="555"/>
        <v>0</v>
      </c>
      <c r="AF950" t="str">
        <f t="shared" ca="1" si="535"/>
        <v>121965</v>
      </c>
      <c r="AG950" s="126">
        <f t="shared" ca="1" si="536"/>
        <v>0</v>
      </c>
      <c r="AH950" s="126">
        <f t="shared" ca="1" si="537"/>
        <v>0</v>
      </c>
      <c r="AI950" s="126">
        <f t="shared" ca="1" si="538"/>
        <v>0</v>
      </c>
      <c r="AJ950" t="str">
        <f t="shared" ca="1" si="539"/>
        <v>82102</v>
      </c>
      <c r="AK950" s="126">
        <f t="shared" ca="1" si="556"/>
        <v>0</v>
      </c>
      <c r="AL950" s="126">
        <f t="shared" ca="1" si="557"/>
        <v>0</v>
      </c>
      <c r="AM950" s="126">
        <f t="shared" ca="1" si="570"/>
        <v>0</v>
      </c>
      <c r="AN950" s="753">
        <f t="shared" ca="1" si="571"/>
        <v>0</v>
      </c>
      <c r="AO950" s="750">
        <f t="shared" ca="1" si="558"/>
        <v>0</v>
      </c>
      <c r="AP950" s="126">
        <f t="shared" ca="1" si="559"/>
        <v>0</v>
      </c>
      <c r="AQ950" s="126">
        <f t="shared" ca="1" si="560"/>
        <v>0</v>
      </c>
      <c r="AR950" s="126">
        <f t="shared" ca="1" si="540"/>
        <v>10000</v>
      </c>
      <c r="AS950" s="750">
        <f t="shared" ca="1" si="541"/>
        <v>0</v>
      </c>
      <c r="AT950" s="750">
        <f t="shared" ca="1" si="542"/>
        <v>0</v>
      </c>
      <c r="AU950" s="126">
        <f t="shared" ca="1" si="561"/>
        <v>0</v>
      </c>
      <c r="AV950" s="126">
        <f t="shared" ca="1" si="562"/>
        <v>0</v>
      </c>
      <c r="AW950" s="126">
        <f t="shared" ca="1" si="543"/>
        <v>10000</v>
      </c>
      <c r="AX950" s="750">
        <f t="shared" ca="1" si="563"/>
        <v>0</v>
      </c>
      <c r="AY950" s="750">
        <f t="shared" ca="1" si="564"/>
        <v>0</v>
      </c>
      <c r="AZ950">
        <f t="shared" si="565"/>
        <v>5750</v>
      </c>
    </row>
    <row r="951" spans="4:52">
      <c r="D951">
        <v>944</v>
      </c>
      <c r="E951" s="6">
        <f t="shared" ca="1" si="544"/>
        <v>24047</v>
      </c>
      <c r="F951" s="7">
        <f t="shared" ca="1" si="545"/>
        <v>0</v>
      </c>
      <c r="G951" s="125">
        <f ca="1">IF('Simulador - 1º Pilar'!$E$99="Sí",IF('Aportaciones PPE'!$B$13&lt;'Aportaciones PPE'!E951,0,F951*$B$8/12),F951*$B$8/12)</f>
        <v>0</v>
      </c>
      <c r="H951" s="125">
        <f t="shared" ca="1" si="534"/>
        <v>0</v>
      </c>
      <c r="I951" s="125">
        <f t="shared" ca="1" si="546"/>
        <v>0</v>
      </c>
      <c r="J951" s="125">
        <f t="shared" ca="1" si="547"/>
        <v>0</v>
      </c>
      <c r="K951" s="125">
        <f t="shared" ca="1" si="548"/>
        <v>0</v>
      </c>
      <c r="L951" s="125">
        <f t="shared" ca="1" si="566"/>
        <v>0</v>
      </c>
      <c r="M951" s="125">
        <f t="shared" ca="1" si="549"/>
        <v>0</v>
      </c>
      <c r="N951" s="125">
        <f t="shared" ca="1" si="550"/>
        <v>0</v>
      </c>
      <c r="R951">
        <f t="shared" si="567"/>
        <v>944</v>
      </c>
      <c r="U951" s="55"/>
      <c r="V951">
        <f t="shared" si="568"/>
        <v>9</v>
      </c>
      <c r="W951">
        <f t="shared" ca="1" si="569"/>
        <v>2102</v>
      </c>
      <c r="X951" s="123">
        <f t="shared" ca="1" si="551"/>
        <v>74024</v>
      </c>
      <c r="Y951" s="64">
        <f t="shared" ca="1" si="552"/>
        <v>0</v>
      </c>
      <c r="Z951" s="64">
        <f t="shared" ca="1" si="553"/>
        <v>0</v>
      </c>
      <c r="AA951" s="64">
        <f t="shared" ca="1" si="554"/>
        <v>0</v>
      </c>
      <c r="AB951" s="64">
        <f t="shared" ca="1" si="555"/>
        <v>0</v>
      </c>
      <c r="AF951" t="str">
        <f t="shared" ca="1" si="535"/>
        <v>111965</v>
      </c>
      <c r="AG951" s="126">
        <f t="shared" ca="1" si="536"/>
        <v>0</v>
      </c>
      <c r="AH951" s="126">
        <f t="shared" ca="1" si="537"/>
        <v>0</v>
      </c>
      <c r="AI951" s="126">
        <f t="shared" ca="1" si="538"/>
        <v>0</v>
      </c>
      <c r="AJ951" t="str">
        <f t="shared" ca="1" si="539"/>
        <v>92102</v>
      </c>
      <c r="AK951" s="126">
        <f t="shared" ca="1" si="556"/>
        <v>0</v>
      </c>
      <c r="AL951" s="126">
        <f t="shared" ca="1" si="557"/>
        <v>0</v>
      </c>
      <c r="AM951" s="126">
        <f t="shared" ca="1" si="570"/>
        <v>0</v>
      </c>
      <c r="AN951" s="753">
        <f t="shared" ca="1" si="571"/>
        <v>0</v>
      </c>
      <c r="AO951" s="750">
        <f t="shared" ca="1" si="558"/>
        <v>0</v>
      </c>
      <c r="AP951" s="126">
        <f t="shared" ca="1" si="559"/>
        <v>0</v>
      </c>
      <c r="AQ951" s="126">
        <f t="shared" ca="1" si="560"/>
        <v>0</v>
      </c>
      <c r="AR951" s="126">
        <f t="shared" ca="1" si="540"/>
        <v>10000</v>
      </c>
      <c r="AS951" s="750">
        <f t="shared" ca="1" si="541"/>
        <v>0</v>
      </c>
      <c r="AT951" s="750">
        <f t="shared" ca="1" si="542"/>
        <v>0</v>
      </c>
      <c r="AU951" s="126">
        <f t="shared" ca="1" si="561"/>
        <v>0</v>
      </c>
      <c r="AV951" s="126">
        <f t="shared" ca="1" si="562"/>
        <v>0</v>
      </c>
      <c r="AW951" s="126">
        <f t="shared" ca="1" si="543"/>
        <v>10000</v>
      </c>
      <c r="AX951" s="750">
        <f t="shared" ca="1" si="563"/>
        <v>0</v>
      </c>
      <c r="AY951" s="750">
        <f t="shared" ca="1" si="564"/>
        <v>0</v>
      </c>
      <c r="AZ951">
        <f t="shared" si="565"/>
        <v>5750</v>
      </c>
    </row>
    <row r="952" spans="4:52">
      <c r="D952">
        <v>945</v>
      </c>
      <c r="E952" s="6">
        <f t="shared" ca="1" si="544"/>
        <v>24016</v>
      </c>
      <c r="F952" s="7">
        <f t="shared" ca="1" si="545"/>
        <v>0</v>
      </c>
      <c r="G952" s="125">
        <f ca="1">IF('Simulador - 1º Pilar'!$E$99="Sí",IF('Aportaciones PPE'!$B$13&lt;'Aportaciones PPE'!E952,0,F952*$B$8/12),F952*$B$8/12)</f>
        <v>0</v>
      </c>
      <c r="H952" s="125">
        <f t="shared" ca="1" si="534"/>
        <v>0</v>
      </c>
      <c r="I952" s="125">
        <f t="shared" ca="1" si="546"/>
        <v>0</v>
      </c>
      <c r="J952" s="125">
        <f t="shared" ca="1" si="547"/>
        <v>0</v>
      </c>
      <c r="K952" s="125">
        <f t="shared" ca="1" si="548"/>
        <v>0</v>
      </c>
      <c r="L952" s="125">
        <f t="shared" ca="1" si="566"/>
        <v>0</v>
      </c>
      <c r="M952" s="125">
        <f t="shared" ca="1" si="549"/>
        <v>0</v>
      </c>
      <c r="N952" s="125">
        <f t="shared" ca="1" si="550"/>
        <v>0</v>
      </c>
      <c r="R952">
        <f t="shared" si="567"/>
        <v>945</v>
      </c>
      <c r="U952" s="55"/>
      <c r="V952">
        <f t="shared" si="568"/>
        <v>10</v>
      </c>
      <c r="W952">
        <f t="shared" ca="1" si="569"/>
        <v>2102</v>
      </c>
      <c r="X952" s="123">
        <f t="shared" ca="1" si="551"/>
        <v>74054</v>
      </c>
      <c r="Y952" s="64">
        <f t="shared" ca="1" si="552"/>
        <v>0</v>
      </c>
      <c r="Z952" s="64">
        <f t="shared" ca="1" si="553"/>
        <v>0</v>
      </c>
      <c r="AA952" s="64">
        <f t="shared" ca="1" si="554"/>
        <v>0</v>
      </c>
      <c r="AB952" s="64">
        <f t="shared" ca="1" si="555"/>
        <v>0</v>
      </c>
      <c r="AF952" t="str">
        <f t="shared" ca="1" si="535"/>
        <v>101965</v>
      </c>
      <c r="AG952" s="126">
        <f t="shared" ca="1" si="536"/>
        <v>0</v>
      </c>
      <c r="AH952" s="126">
        <f t="shared" ca="1" si="537"/>
        <v>0</v>
      </c>
      <c r="AI952" s="126">
        <f t="shared" ca="1" si="538"/>
        <v>0</v>
      </c>
      <c r="AJ952" t="str">
        <f t="shared" ca="1" si="539"/>
        <v>102102</v>
      </c>
      <c r="AK952" s="126">
        <f t="shared" ca="1" si="556"/>
        <v>0</v>
      </c>
      <c r="AL952" s="126">
        <f t="shared" ca="1" si="557"/>
        <v>0</v>
      </c>
      <c r="AM952" s="126">
        <f t="shared" ca="1" si="570"/>
        <v>0</v>
      </c>
      <c r="AN952" s="753">
        <f t="shared" ca="1" si="571"/>
        <v>0</v>
      </c>
      <c r="AO952" s="750">
        <f t="shared" ca="1" si="558"/>
        <v>0</v>
      </c>
      <c r="AP952" s="126">
        <f t="shared" ca="1" si="559"/>
        <v>0</v>
      </c>
      <c r="AQ952" s="126">
        <f t="shared" ca="1" si="560"/>
        <v>0</v>
      </c>
      <c r="AR952" s="126">
        <f t="shared" ca="1" si="540"/>
        <v>10000</v>
      </c>
      <c r="AS952" s="750">
        <f t="shared" ca="1" si="541"/>
        <v>0</v>
      </c>
      <c r="AT952" s="750">
        <f t="shared" ca="1" si="542"/>
        <v>0</v>
      </c>
      <c r="AU952" s="126">
        <f t="shared" ca="1" si="561"/>
        <v>0</v>
      </c>
      <c r="AV952" s="126">
        <f t="shared" ca="1" si="562"/>
        <v>0</v>
      </c>
      <c r="AW952" s="126">
        <f t="shared" ca="1" si="543"/>
        <v>10000</v>
      </c>
      <c r="AX952" s="750">
        <f t="shared" ca="1" si="563"/>
        <v>0</v>
      </c>
      <c r="AY952" s="750">
        <f t="shared" ca="1" si="564"/>
        <v>0</v>
      </c>
      <c r="AZ952">
        <f t="shared" si="565"/>
        <v>5750</v>
      </c>
    </row>
    <row r="953" spans="4:52">
      <c r="D953">
        <v>946</v>
      </c>
      <c r="E953" s="6">
        <f t="shared" ca="1" si="544"/>
        <v>23986</v>
      </c>
      <c r="F953" s="7">
        <f t="shared" ca="1" si="545"/>
        <v>0</v>
      </c>
      <c r="G953" s="125">
        <f ca="1">IF('Simulador - 1º Pilar'!$E$99="Sí",IF('Aportaciones PPE'!$B$13&lt;'Aportaciones PPE'!E953,0,F953*$B$8/12),F953*$B$8/12)</f>
        <v>0</v>
      </c>
      <c r="H953" s="125">
        <f t="shared" ca="1" si="534"/>
        <v>0</v>
      </c>
      <c r="I953" s="125">
        <f t="shared" ca="1" si="546"/>
        <v>0</v>
      </c>
      <c r="J953" s="125">
        <f t="shared" ca="1" si="547"/>
        <v>0</v>
      </c>
      <c r="K953" s="125">
        <f t="shared" ca="1" si="548"/>
        <v>0</v>
      </c>
      <c r="L953" s="125">
        <f t="shared" ca="1" si="566"/>
        <v>0</v>
      </c>
      <c r="M953" s="125">
        <f t="shared" ca="1" si="549"/>
        <v>0</v>
      </c>
      <c r="N953" s="125">
        <f t="shared" ca="1" si="550"/>
        <v>0</v>
      </c>
      <c r="R953">
        <f t="shared" si="567"/>
        <v>946</v>
      </c>
      <c r="U953" s="55"/>
      <c r="V953">
        <f t="shared" si="568"/>
        <v>11</v>
      </c>
      <c r="W953">
        <f t="shared" ca="1" si="569"/>
        <v>2102</v>
      </c>
      <c r="X953" s="123">
        <f t="shared" ca="1" si="551"/>
        <v>74085</v>
      </c>
      <c r="Y953" s="64">
        <f t="shared" ca="1" si="552"/>
        <v>0</v>
      </c>
      <c r="Z953" s="64">
        <f t="shared" ca="1" si="553"/>
        <v>0</v>
      </c>
      <c r="AA953" s="64">
        <f t="shared" ca="1" si="554"/>
        <v>0</v>
      </c>
      <c r="AB953" s="64">
        <f t="shared" ca="1" si="555"/>
        <v>0</v>
      </c>
      <c r="AF953" t="str">
        <f t="shared" ca="1" si="535"/>
        <v>91965</v>
      </c>
      <c r="AG953" s="126">
        <f t="shared" ca="1" si="536"/>
        <v>0</v>
      </c>
      <c r="AH953" s="126">
        <f t="shared" ca="1" si="537"/>
        <v>0</v>
      </c>
      <c r="AI953" s="126">
        <f t="shared" ca="1" si="538"/>
        <v>0</v>
      </c>
      <c r="AJ953" t="str">
        <f t="shared" ca="1" si="539"/>
        <v>112102</v>
      </c>
      <c r="AK953" s="126">
        <f t="shared" ca="1" si="556"/>
        <v>0</v>
      </c>
      <c r="AL953" s="126">
        <f t="shared" ca="1" si="557"/>
        <v>0</v>
      </c>
      <c r="AM953" s="126">
        <f t="shared" ca="1" si="570"/>
        <v>0</v>
      </c>
      <c r="AN953" s="753">
        <f t="shared" ca="1" si="571"/>
        <v>0</v>
      </c>
      <c r="AO953" s="750">
        <f t="shared" ca="1" si="558"/>
        <v>0</v>
      </c>
      <c r="AP953" s="126">
        <f t="shared" ca="1" si="559"/>
        <v>0</v>
      </c>
      <c r="AQ953" s="126">
        <f t="shared" ca="1" si="560"/>
        <v>0</v>
      </c>
      <c r="AR953" s="126">
        <f t="shared" ca="1" si="540"/>
        <v>10000</v>
      </c>
      <c r="AS953" s="750">
        <f t="shared" ca="1" si="541"/>
        <v>0</v>
      </c>
      <c r="AT953" s="750">
        <f t="shared" ca="1" si="542"/>
        <v>0</v>
      </c>
      <c r="AU953" s="126">
        <f t="shared" ca="1" si="561"/>
        <v>0</v>
      </c>
      <c r="AV953" s="126">
        <f t="shared" ca="1" si="562"/>
        <v>0</v>
      </c>
      <c r="AW953" s="126">
        <f t="shared" ca="1" si="543"/>
        <v>10000</v>
      </c>
      <c r="AX953" s="750">
        <f t="shared" ca="1" si="563"/>
        <v>0</v>
      </c>
      <c r="AY953" s="750">
        <f t="shared" ca="1" si="564"/>
        <v>0</v>
      </c>
      <c r="AZ953">
        <f t="shared" si="565"/>
        <v>5750</v>
      </c>
    </row>
    <row r="954" spans="4:52">
      <c r="D954">
        <v>947</v>
      </c>
      <c r="E954" s="6">
        <f t="shared" ca="1" si="544"/>
        <v>23955</v>
      </c>
      <c r="F954" s="7">
        <f t="shared" ca="1" si="545"/>
        <v>0</v>
      </c>
      <c r="G954" s="125">
        <f ca="1">IF('Simulador - 1º Pilar'!$E$99="Sí",IF('Aportaciones PPE'!$B$13&lt;'Aportaciones PPE'!E954,0,F954*$B$8/12),F954*$B$8/12)</f>
        <v>0</v>
      </c>
      <c r="H954" s="125">
        <f t="shared" ca="1" si="534"/>
        <v>0</v>
      </c>
      <c r="I954" s="125">
        <f t="shared" ca="1" si="546"/>
        <v>0</v>
      </c>
      <c r="J954" s="125">
        <f t="shared" ca="1" si="547"/>
        <v>0</v>
      </c>
      <c r="K954" s="125">
        <f t="shared" ca="1" si="548"/>
        <v>0</v>
      </c>
      <c r="L954" s="125">
        <f t="shared" ca="1" si="566"/>
        <v>0</v>
      </c>
      <c r="M954" s="125">
        <f t="shared" ca="1" si="549"/>
        <v>0</v>
      </c>
      <c r="N954" s="125">
        <f t="shared" ca="1" si="550"/>
        <v>0</v>
      </c>
      <c r="R954">
        <f t="shared" si="567"/>
        <v>947</v>
      </c>
      <c r="U954" s="55"/>
      <c r="V954">
        <f t="shared" si="568"/>
        <v>12</v>
      </c>
      <c r="W954">
        <f t="shared" ca="1" si="569"/>
        <v>2102</v>
      </c>
      <c r="X954" s="123">
        <f t="shared" ca="1" si="551"/>
        <v>74115</v>
      </c>
      <c r="Y954" s="64">
        <f t="shared" ca="1" si="552"/>
        <v>0</v>
      </c>
      <c r="Z954" s="64">
        <f t="shared" ca="1" si="553"/>
        <v>0</v>
      </c>
      <c r="AA954" s="64">
        <f t="shared" ca="1" si="554"/>
        <v>0</v>
      </c>
      <c r="AB954" s="64">
        <f t="shared" ca="1" si="555"/>
        <v>0</v>
      </c>
      <c r="AF954" t="str">
        <f t="shared" ca="1" si="535"/>
        <v>81965</v>
      </c>
      <c r="AG954" s="126">
        <f t="shared" ca="1" si="536"/>
        <v>0</v>
      </c>
      <c r="AH954" s="126">
        <f t="shared" ca="1" si="537"/>
        <v>0</v>
      </c>
      <c r="AI954" s="126">
        <f t="shared" ca="1" si="538"/>
        <v>0</v>
      </c>
      <c r="AJ954" t="str">
        <f t="shared" ca="1" si="539"/>
        <v>122102</v>
      </c>
      <c r="AK954" s="126">
        <f t="shared" ca="1" si="556"/>
        <v>0</v>
      </c>
      <c r="AL954" s="126">
        <f t="shared" ca="1" si="557"/>
        <v>0</v>
      </c>
      <c r="AM954" s="126">
        <f t="shared" ca="1" si="570"/>
        <v>0</v>
      </c>
      <c r="AN954" s="753">
        <f t="shared" ca="1" si="571"/>
        <v>0</v>
      </c>
      <c r="AO954" s="750">
        <f t="shared" ca="1" si="558"/>
        <v>0</v>
      </c>
      <c r="AP954" s="126">
        <f t="shared" ca="1" si="559"/>
        <v>0</v>
      </c>
      <c r="AQ954" s="126">
        <f t="shared" ca="1" si="560"/>
        <v>0</v>
      </c>
      <c r="AR954" s="126">
        <f t="shared" ca="1" si="540"/>
        <v>10000</v>
      </c>
      <c r="AS954" s="750">
        <f t="shared" ca="1" si="541"/>
        <v>0</v>
      </c>
      <c r="AT954" s="750">
        <f t="shared" ca="1" si="542"/>
        <v>0</v>
      </c>
      <c r="AU954" s="126">
        <f t="shared" ca="1" si="561"/>
        <v>0</v>
      </c>
      <c r="AV954" s="126">
        <f t="shared" ca="1" si="562"/>
        <v>0</v>
      </c>
      <c r="AW954" s="126">
        <f t="shared" ca="1" si="543"/>
        <v>10000</v>
      </c>
      <c r="AX954" s="750">
        <f t="shared" ca="1" si="563"/>
        <v>0</v>
      </c>
      <c r="AY954" s="750">
        <f t="shared" ca="1" si="564"/>
        <v>0</v>
      </c>
      <c r="AZ954">
        <f t="shared" si="565"/>
        <v>5750</v>
      </c>
    </row>
    <row r="955" spans="4:52">
      <c r="D955">
        <v>948</v>
      </c>
      <c r="E955" s="6">
        <f t="shared" ca="1" si="544"/>
        <v>23924</v>
      </c>
      <c r="F955" s="7">
        <f t="shared" ca="1" si="545"/>
        <v>0</v>
      </c>
      <c r="G955" s="125">
        <f ca="1">IF('Simulador - 1º Pilar'!$E$99="Sí",IF('Aportaciones PPE'!$B$13&lt;'Aportaciones PPE'!E955,0,F955*$B$8/12),F955*$B$8/12)</f>
        <v>0</v>
      </c>
      <c r="H955" s="125">
        <f t="shared" ca="1" si="534"/>
        <v>0</v>
      </c>
      <c r="I955" s="125">
        <f t="shared" ca="1" si="546"/>
        <v>0</v>
      </c>
      <c r="J955" s="125">
        <f t="shared" ca="1" si="547"/>
        <v>0</v>
      </c>
      <c r="K955" s="125">
        <f t="shared" ca="1" si="548"/>
        <v>0</v>
      </c>
      <c r="L955" s="125">
        <f t="shared" ca="1" si="566"/>
        <v>0</v>
      </c>
      <c r="M955" s="125">
        <f t="shared" ca="1" si="549"/>
        <v>0</v>
      </c>
      <c r="N955" s="125">
        <f t="shared" ca="1" si="550"/>
        <v>0</v>
      </c>
      <c r="R955">
        <f t="shared" si="567"/>
        <v>948</v>
      </c>
      <c r="U955" s="55"/>
      <c r="V955">
        <f t="shared" si="568"/>
        <v>1</v>
      </c>
      <c r="W955">
        <f t="shared" ca="1" si="569"/>
        <v>2103</v>
      </c>
      <c r="X955" s="123">
        <f t="shared" ca="1" si="551"/>
        <v>74146</v>
      </c>
      <c r="Y955" s="64">
        <f t="shared" ca="1" si="552"/>
        <v>0</v>
      </c>
      <c r="Z955" s="64">
        <f t="shared" ca="1" si="553"/>
        <v>0</v>
      </c>
      <c r="AA955" s="64">
        <f t="shared" ca="1" si="554"/>
        <v>0</v>
      </c>
      <c r="AB955" s="64">
        <f t="shared" ca="1" si="555"/>
        <v>0</v>
      </c>
      <c r="AF955" t="str">
        <f t="shared" ca="1" si="535"/>
        <v>71965</v>
      </c>
      <c r="AG955" s="126">
        <f t="shared" ca="1" si="536"/>
        <v>0</v>
      </c>
      <c r="AH955" s="126">
        <f t="shared" ca="1" si="537"/>
        <v>0</v>
      </c>
      <c r="AI955" s="126">
        <f t="shared" ca="1" si="538"/>
        <v>0</v>
      </c>
      <c r="AJ955" t="str">
        <f t="shared" ca="1" si="539"/>
        <v>12103</v>
      </c>
      <c r="AK955" s="126">
        <f t="shared" ca="1" si="556"/>
        <v>0</v>
      </c>
      <c r="AL955" s="126">
        <f t="shared" ca="1" si="557"/>
        <v>0</v>
      </c>
      <c r="AM955" s="126">
        <f t="shared" ca="1" si="570"/>
        <v>0</v>
      </c>
      <c r="AN955" s="753">
        <f t="shared" ca="1" si="571"/>
        <v>0</v>
      </c>
      <c r="AO955" s="750">
        <f t="shared" ca="1" si="558"/>
        <v>0</v>
      </c>
      <c r="AP955" s="126">
        <f t="shared" ca="1" si="559"/>
        <v>0</v>
      </c>
      <c r="AQ955" s="126">
        <f t="shared" ca="1" si="560"/>
        <v>0</v>
      </c>
      <c r="AR955" s="126">
        <f t="shared" ca="1" si="540"/>
        <v>10000</v>
      </c>
      <c r="AS955" s="750">
        <f t="shared" ca="1" si="541"/>
        <v>0</v>
      </c>
      <c r="AT955" s="750">
        <f t="shared" ca="1" si="542"/>
        <v>0</v>
      </c>
      <c r="AU955" s="126">
        <f t="shared" ca="1" si="561"/>
        <v>0</v>
      </c>
      <c r="AV955" s="126">
        <f t="shared" ca="1" si="562"/>
        <v>0</v>
      </c>
      <c r="AW955" s="126">
        <f t="shared" ca="1" si="543"/>
        <v>10000</v>
      </c>
      <c r="AX955" s="750">
        <f t="shared" ca="1" si="563"/>
        <v>0</v>
      </c>
      <c r="AY955" s="750">
        <f t="shared" ca="1" si="564"/>
        <v>0</v>
      </c>
      <c r="AZ955">
        <f t="shared" si="565"/>
        <v>5750</v>
      </c>
    </row>
    <row r="956" spans="4:52">
      <c r="D956">
        <v>949</v>
      </c>
      <c r="E956" s="6">
        <f t="shared" ca="1" si="544"/>
        <v>23894</v>
      </c>
      <c r="F956" s="7">
        <f t="shared" ca="1" si="545"/>
        <v>0</v>
      </c>
      <c r="G956" s="125">
        <f ca="1">IF('Simulador - 1º Pilar'!$E$99="Sí",IF('Aportaciones PPE'!$B$13&lt;'Aportaciones PPE'!E956,0,F956*$B$8/12),F956*$B$8/12)</f>
        <v>0</v>
      </c>
      <c r="H956" s="125">
        <f t="shared" ca="1" si="534"/>
        <v>0</v>
      </c>
      <c r="I956" s="125">
        <f t="shared" ca="1" si="546"/>
        <v>0</v>
      </c>
      <c r="J956" s="125">
        <f t="shared" ca="1" si="547"/>
        <v>0</v>
      </c>
      <c r="K956" s="125">
        <f t="shared" ca="1" si="548"/>
        <v>0</v>
      </c>
      <c r="L956" s="125">
        <f t="shared" ca="1" si="566"/>
        <v>0</v>
      </c>
      <c r="M956" s="125">
        <f t="shared" ca="1" si="549"/>
        <v>0</v>
      </c>
      <c r="N956" s="125">
        <f t="shared" ca="1" si="550"/>
        <v>0</v>
      </c>
      <c r="R956">
        <f t="shared" si="567"/>
        <v>949</v>
      </c>
      <c r="U956" s="55"/>
      <c r="V956">
        <f t="shared" si="568"/>
        <v>2</v>
      </c>
      <c r="W956">
        <f t="shared" ca="1" si="569"/>
        <v>2103</v>
      </c>
      <c r="X956" s="123">
        <f t="shared" ca="1" si="551"/>
        <v>74177</v>
      </c>
      <c r="Y956" s="64">
        <f t="shared" ca="1" si="552"/>
        <v>0</v>
      </c>
      <c r="Z956" s="64">
        <f t="shared" ca="1" si="553"/>
        <v>0</v>
      </c>
      <c r="AA956" s="64">
        <f t="shared" ca="1" si="554"/>
        <v>0</v>
      </c>
      <c r="AB956" s="64">
        <f t="shared" ca="1" si="555"/>
        <v>0</v>
      </c>
      <c r="AF956" t="str">
        <f t="shared" ca="1" si="535"/>
        <v>61965</v>
      </c>
      <c r="AG956" s="126">
        <f t="shared" ca="1" si="536"/>
        <v>0</v>
      </c>
      <c r="AH956" s="126">
        <f t="shared" ca="1" si="537"/>
        <v>0</v>
      </c>
      <c r="AI956" s="126">
        <f t="shared" ca="1" si="538"/>
        <v>0</v>
      </c>
      <c r="AJ956" t="str">
        <f t="shared" ca="1" si="539"/>
        <v>22103</v>
      </c>
      <c r="AK956" s="126">
        <f t="shared" ca="1" si="556"/>
        <v>0</v>
      </c>
      <c r="AL956" s="126">
        <f t="shared" ca="1" si="557"/>
        <v>0</v>
      </c>
      <c r="AM956" s="126">
        <f t="shared" ca="1" si="570"/>
        <v>0</v>
      </c>
      <c r="AN956" s="753">
        <f t="shared" ca="1" si="571"/>
        <v>0</v>
      </c>
      <c r="AO956" s="750">
        <f t="shared" ca="1" si="558"/>
        <v>0</v>
      </c>
      <c r="AP956" s="126">
        <f t="shared" ca="1" si="559"/>
        <v>0</v>
      </c>
      <c r="AQ956" s="126">
        <f t="shared" ca="1" si="560"/>
        <v>0</v>
      </c>
      <c r="AR956" s="126">
        <f t="shared" ca="1" si="540"/>
        <v>10000</v>
      </c>
      <c r="AS956" s="750">
        <f t="shared" ca="1" si="541"/>
        <v>0</v>
      </c>
      <c r="AT956" s="750">
        <f t="shared" ca="1" si="542"/>
        <v>0</v>
      </c>
      <c r="AU956" s="126">
        <f t="shared" ca="1" si="561"/>
        <v>0</v>
      </c>
      <c r="AV956" s="126">
        <f t="shared" ca="1" si="562"/>
        <v>0</v>
      </c>
      <c r="AW956" s="126">
        <f t="shared" ca="1" si="543"/>
        <v>10000</v>
      </c>
      <c r="AX956" s="750">
        <f t="shared" ca="1" si="563"/>
        <v>0</v>
      </c>
      <c r="AY956" s="750">
        <f t="shared" ca="1" si="564"/>
        <v>0</v>
      </c>
      <c r="AZ956">
        <f t="shared" si="565"/>
        <v>5750</v>
      </c>
    </row>
    <row r="957" spans="4:52">
      <c r="D957">
        <v>950</v>
      </c>
      <c r="E957" s="6">
        <f t="shared" ca="1" si="544"/>
        <v>23863</v>
      </c>
      <c r="F957" s="7">
        <f t="shared" ca="1" si="545"/>
        <v>0</v>
      </c>
      <c r="G957" s="125">
        <f ca="1">IF('Simulador - 1º Pilar'!$E$99="Sí",IF('Aportaciones PPE'!$B$13&lt;'Aportaciones PPE'!E957,0,F957*$B$8/12),F957*$B$8/12)</f>
        <v>0</v>
      </c>
      <c r="H957" s="125">
        <f t="shared" ca="1" si="534"/>
        <v>0</v>
      </c>
      <c r="I957" s="125">
        <f t="shared" ca="1" si="546"/>
        <v>0</v>
      </c>
      <c r="J957" s="125">
        <f t="shared" ca="1" si="547"/>
        <v>0</v>
      </c>
      <c r="K957" s="125">
        <f t="shared" ca="1" si="548"/>
        <v>0</v>
      </c>
      <c r="L957" s="125">
        <f t="shared" ca="1" si="566"/>
        <v>0</v>
      </c>
      <c r="M957" s="125">
        <f t="shared" ca="1" si="549"/>
        <v>0</v>
      </c>
      <c r="N957" s="125">
        <f t="shared" ca="1" si="550"/>
        <v>0</v>
      </c>
      <c r="R957">
        <f t="shared" si="567"/>
        <v>950</v>
      </c>
      <c r="U957" s="55"/>
      <c r="V957">
        <f t="shared" si="568"/>
        <v>3</v>
      </c>
      <c r="W957">
        <f t="shared" ca="1" si="569"/>
        <v>2103</v>
      </c>
      <c r="X957" s="123">
        <f t="shared" ca="1" si="551"/>
        <v>74205</v>
      </c>
      <c r="Y957" s="64">
        <f t="shared" ca="1" si="552"/>
        <v>0</v>
      </c>
      <c r="Z957" s="64">
        <f t="shared" ca="1" si="553"/>
        <v>0</v>
      </c>
      <c r="AA957" s="64">
        <f t="shared" ca="1" si="554"/>
        <v>0</v>
      </c>
      <c r="AB957" s="64">
        <f t="shared" ca="1" si="555"/>
        <v>0</v>
      </c>
      <c r="AF957" t="str">
        <f t="shared" ca="1" si="535"/>
        <v>51965</v>
      </c>
      <c r="AG957" s="126">
        <f t="shared" ca="1" si="536"/>
        <v>0</v>
      </c>
      <c r="AH957" s="126">
        <f t="shared" ca="1" si="537"/>
        <v>0</v>
      </c>
      <c r="AI957" s="126">
        <f t="shared" ca="1" si="538"/>
        <v>0</v>
      </c>
      <c r="AJ957" t="str">
        <f t="shared" ca="1" si="539"/>
        <v>32103</v>
      </c>
      <c r="AK957" s="126">
        <f t="shared" ca="1" si="556"/>
        <v>0</v>
      </c>
      <c r="AL957" s="126">
        <f t="shared" ca="1" si="557"/>
        <v>0</v>
      </c>
      <c r="AM957" s="126">
        <f t="shared" ca="1" si="570"/>
        <v>0</v>
      </c>
      <c r="AN957" s="753">
        <f t="shared" ca="1" si="571"/>
        <v>0</v>
      </c>
      <c r="AO957" s="750">
        <f t="shared" ca="1" si="558"/>
        <v>0</v>
      </c>
      <c r="AP957" s="126">
        <f t="shared" ca="1" si="559"/>
        <v>0</v>
      </c>
      <c r="AQ957" s="126">
        <f t="shared" ca="1" si="560"/>
        <v>0</v>
      </c>
      <c r="AR957" s="126">
        <f t="shared" ca="1" si="540"/>
        <v>10000</v>
      </c>
      <c r="AS957" s="750">
        <f t="shared" ca="1" si="541"/>
        <v>0</v>
      </c>
      <c r="AT957" s="750">
        <f t="shared" ca="1" si="542"/>
        <v>0</v>
      </c>
      <c r="AU957" s="126">
        <f t="shared" ca="1" si="561"/>
        <v>0</v>
      </c>
      <c r="AV957" s="126">
        <f t="shared" ca="1" si="562"/>
        <v>0</v>
      </c>
      <c r="AW957" s="126">
        <f t="shared" ca="1" si="543"/>
        <v>10000</v>
      </c>
      <c r="AX957" s="750">
        <f t="shared" ca="1" si="563"/>
        <v>0</v>
      </c>
      <c r="AY957" s="750">
        <f t="shared" ca="1" si="564"/>
        <v>0</v>
      </c>
      <c r="AZ957">
        <f t="shared" si="565"/>
        <v>5750</v>
      </c>
    </row>
    <row r="958" spans="4:52">
      <c r="D958">
        <v>951</v>
      </c>
      <c r="E958" s="6">
        <f t="shared" ca="1" si="544"/>
        <v>23833</v>
      </c>
      <c r="F958" s="7">
        <f t="shared" ca="1" si="545"/>
        <v>0</v>
      </c>
      <c r="G958" s="125">
        <f ca="1">IF('Simulador - 1º Pilar'!$E$99="Sí",IF('Aportaciones PPE'!$B$13&lt;'Aportaciones PPE'!E958,0,F958*$B$8/12),F958*$B$8/12)</f>
        <v>0</v>
      </c>
      <c r="H958" s="125">
        <f t="shared" ca="1" si="534"/>
        <v>0</v>
      </c>
      <c r="I958" s="125">
        <f t="shared" ca="1" si="546"/>
        <v>0</v>
      </c>
      <c r="J958" s="125">
        <f t="shared" ca="1" si="547"/>
        <v>0</v>
      </c>
      <c r="K958" s="125">
        <f t="shared" ca="1" si="548"/>
        <v>0</v>
      </c>
      <c r="L958" s="125">
        <f t="shared" ca="1" si="566"/>
        <v>0</v>
      </c>
      <c r="M958" s="125">
        <f t="shared" ca="1" si="549"/>
        <v>0</v>
      </c>
      <c r="N958" s="125">
        <f t="shared" ca="1" si="550"/>
        <v>0</v>
      </c>
      <c r="R958">
        <f t="shared" si="567"/>
        <v>951</v>
      </c>
      <c r="U958" s="55"/>
      <c r="V958">
        <f t="shared" si="568"/>
        <v>4</v>
      </c>
      <c r="W958">
        <f t="shared" ca="1" si="569"/>
        <v>2103</v>
      </c>
      <c r="X958" s="123">
        <f t="shared" ca="1" si="551"/>
        <v>74236</v>
      </c>
      <c r="Y958" s="64">
        <f t="shared" ca="1" si="552"/>
        <v>0</v>
      </c>
      <c r="Z958" s="64">
        <f t="shared" ca="1" si="553"/>
        <v>0</v>
      </c>
      <c r="AA958" s="64">
        <f t="shared" ca="1" si="554"/>
        <v>0</v>
      </c>
      <c r="AB958" s="64">
        <f t="shared" ca="1" si="555"/>
        <v>0</v>
      </c>
      <c r="AF958" t="str">
        <f t="shared" ca="1" si="535"/>
        <v>41965</v>
      </c>
      <c r="AG958" s="126">
        <f t="shared" ca="1" si="536"/>
        <v>0</v>
      </c>
      <c r="AH958" s="126">
        <f t="shared" ca="1" si="537"/>
        <v>0</v>
      </c>
      <c r="AI958" s="126">
        <f t="shared" ca="1" si="538"/>
        <v>0</v>
      </c>
      <c r="AJ958" t="str">
        <f t="shared" ca="1" si="539"/>
        <v>42103</v>
      </c>
      <c r="AK958" s="126">
        <f t="shared" ca="1" si="556"/>
        <v>0</v>
      </c>
      <c r="AL958" s="126">
        <f t="shared" ca="1" si="557"/>
        <v>0</v>
      </c>
      <c r="AM958" s="126">
        <f t="shared" ca="1" si="570"/>
        <v>0</v>
      </c>
      <c r="AN958" s="753">
        <f t="shared" ca="1" si="571"/>
        <v>0</v>
      </c>
      <c r="AO958" s="750">
        <f t="shared" ca="1" si="558"/>
        <v>0</v>
      </c>
      <c r="AP958" s="126">
        <f t="shared" ca="1" si="559"/>
        <v>0</v>
      </c>
      <c r="AQ958" s="126">
        <f t="shared" ca="1" si="560"/>
        <v>0</v>
      </c>
      <c r="AR958" s="126">
        <f t="shared" ca="1" si="540"/>
        <v>10000</v>
      </c>
      <c r="AS958" s="750">
        <f t="shared" ca="1" si="541"/>
        <v>0</v>
      </c>
      <c r="AT958" s="750">
        <f t="shared" ca="1" si="542"/>
        <v>0</v>
      </c>
      <c r="AU958" s="126">
        <f t="shared" ca="1" si="561"/>
        <v>0</v>
      </c>
      <c r="AV958" s="126">
        <f t="shared" ca="1" si="562"/>
        <v>0</v>
      </c>
      <c r="AW958" s="126">
        <f t="shared" ca="1" si="543"/>
        <v>10000</v>
      </c>
      <c r="AX958" s="750">
        <f t="shared" ca="1" si="563"/>
        <v>0</v>
      </c>
      <c r="AY958" s="750">
        <f t="shared" ca="1" si="564"/>
        <v>0</v>
      </c>
      <c r="AZ958">
        <f t="shared" si="565"/>
        <v>5750</v>
      </c>
    </row>
    <row r="959" spans="4:52">
      <c r="D959">
        <v>952</v>
      </c>
      <c r="E959" s="6">
        <f t="shared" ca="1" si="544"/>
        <v>23802</v>
      </c>
      <c r="F959" s="7">
        <f t="shared" ca="1" si="545"/>
        <v>0</v>
      </c>
      <c r="G959" s="125">
        <f ca="1">IF('Simulador - 1º Pilar'!$E$99="Sí",IF('Aportaciones PPE'!$B$13&lt;'Aportaciones PPE'!E959,0,F959*$B$8/12),F959*$B$8/12)</f>
        <v>0</v>
      </c>
      <c r="H959" s="125">
        <f t="shared" ca="1" si="534"/>
        <v>0</v>
      </c>
      <c r="I959" s="125">
        <f t="shared" ca="1" si="546"/>
        <v>0</v>
      </c>
      <c r="J959" s="125">
        <f t="shared" ca="1" si="547"/>
        <v>0</v>
      </c>
      <c r="K959" s="125">
        <f t="shared" ca="1" si="548"/>
        <v>0</v>
      </c>
      <c r="L959" s="125">
        <f t="shared" ca="1" si="566"/>
        <v>0</v>
      </c>
      <c r="M959" s="125">
        <f t="shared" ca="1" si="549"/>
        <v>0</v>
      </c>
      <c r="N959" s="125">
        <f t="shared" ca="1" si="550"/>
        <v>0</v>
      </c>
      <c r="R959">
        <f t="shared" si="567"/>
        <v>952</v>
      </c>
      <c r="U959" s="55"/>
      <c r="V959">
        <f t="shared" si="568"/>
        <v>5</v>
      </c>
      <c r="W959">
        <f t="shared" ca="1" si="569"/>
        <v>2103</v>
      </c>
      <c r="X959" s="123">
        <f t="shared" ca="1" si="551"/>
        <v>74266</v>
      </c>
      <c r="Y959" s="64">
        <f t="shared" ca="1" si="552"/>
        <v>0</v>
      </c>
      <c r="Z959" s="64">
        <f t="shared" ca="1" si="553"/>
        <v>0</v>
      </c>
      <c r="AA959" s="64">
        <f t="shared" ca="1" si="554"/>
        <v>0</v>
      </c>
      <c r="AB959" s="64">
        <f t="shared" ca="1" si="555"/>
        <v>0</v>
      </c>
      <c r="AF959" t="str">
        <f t="shared" ca="1" si="535"/>
        <v>31965</v>
      </c>
      <c r="AG959" s="126">
        <f t="shared" ca="1" si="536"/>
        <v>0</v>
      </c>
      <c r="AH959" s="126">
        <f t="shared" ca="1" si="537"/>
        <v>0</v>
      </c>
      <c r="AI959" s="126">
        <f t="shared" ca="1" si="538"/>
        <v>0</v>
      </c>
      <c r="AJ959" t="str">
        <f t="shared" ca="1" si="539"/>
        <v>52103</v>
      </c>
      <c r="AK959" s="126">
        <f t="shared" ca="1" si="556"/>
        <v>0</v>
      </c>
      <c r="AL959" s="126">
        <f t="shared" ca="1" si="557"/>
        <v>0</v>
      </c>
      <c r="AM959" s="126">
        <f t="shared" ca="1" si="570"/>
        <v>0</v>
      </c>
      <c r="AN959" s="753">
        <f t="shared" ca="1" si="571"/>
        <v>0</v>
      </c>
      <c r="AO959" s="750">
        <f t="shared" ca="1" si="558"/>
        <v>0</v>
      </c>
      <c r="AP959" s="126">
        <f t="shared" ca="1" si="559"/>
        <v>0</v>
      </c>
      <c r="AQ959" s="126">
        <f t="shared" ca="1" si="560"/>
        <v>0</v>
      </c>
      <c r="AR959" s="126">
        <f t="shared" ca="1" si="540"/>
        <v>10000</v>
      </c>
      <c r="AS959" s="750">
        <f t="shared" ca="1" si="541"/>
        <v>0</v>
      </c>
      <c r="AT959" s="750">
        <f t="shared" ca="1" si="542"/>
        <v>0</v>
      </c>
      <c r="AU959" s="126">
        <f t="shared" ca="1" si="561"/>
        <v>0</v>
      </c>
      <c r="AV959" s="126">
        <f t="shared" ca="1" si="562"/>
        <v>0</v>
      </c>
      <c r="AW959" s="126">
        <f t="shared" ca="1" si="543"/>
        <v>10000</v>
      </c>
      <c r="AX959" s="750">
        <f t="shared" ca="1" si="563"/>
        <v>0</v>
      </c>
      <c r="AY959" s="750">
        <f t="shared" ca="1" si="564"/>
        <v>0</v>
      </c>
      <c r="AZ959">
        <f t="shared" si="565"/>
        <v>5750</v>
      </c>
    </row>
    <row r="960" spans="4:52">
      <c r="D960">
        <v>953</v>
      </c>
      <c r="E960" s="6">
        <f t="shared" ca="1" si="544"/>
        <v>23774</v>
      </c>
      <c r="F960" s="7">
        <f t="shared" ca="1" si="545"/>
        <v>0</v>
      </c>
      <c r="G960" s="125">
        <f ca="1">IF('Simulador - 1º Pilar'!$E$99="Sí",IF('Aportaciones PPE'!$B$13&lt;'Aportaciones PPE'!E960,0,F960*$B$8/12),F960*$B$8/12)</f>
        <v>0</v>
      </c>
      <c r="H960" s="125">
        <f t="shared" ca="1" si="534"/>
        <v>0</v>
      </c>
      <c r="I960" s="125">
        <f t="shared" ca="1" si="546"/>
        <v>0</v>
      </c>
      <c r="J960" s="125">
        <f t="shared" ca="1" si="547"/>
        <v>0</v>
      </c>
      <c r="K960" s="125">
        <f t="shared" ca="1" si="548"/>
        <v>0</v>
      </c>
      <c r="L960" s="125">
        <f t="shared" ca="1" si="566"/>
        <v>0</v>
      </c>
      <c r="M960" s="125">
        <f t="shared" ca="1" si="549"/>
        <v>0</v>
      </c>
      <c r="N960" s="125">
        <f t="shared" ca="1" si="550"/>
        <v>0</v>
      </c>
      <c r="R960">
        <f t="shared" si="567"/>
        <v>953</v>
      </c>
      <c r="U960" s="55"/>
      <c r="V960">
        <f t="shared" si="568"/>
        <v>6</v>
      </c>
      <c r="W960">
        <f t="shared" ca="1" si="569"/>
        <v>2103</v>
      </c>
      <c r="X960" s="123">
        <f t="shared" ca="1" si="551"/>
        <v>74297</v>
      </c>
      <c r="Y960" s="64">
        <f t="shared" ca="1" si="552"/>
        <v>0</v>
      </c>
      <c r="Z960" s="64">
        <f t="shared" ca="1" si="553"/>
        <v>0</v>
      </c>
      <c r="AA960" s="64">
        <f t="shared" ca="1" si="554"/>
        <v>0</v>
      </c>
      <c r="AB960" s="64">
        <f t="shared" ca="1" si="555"/>
        <v>0</v>
      </c>
      <c r="AF960" t="str">
        <f t="shared" ca="1" si="535"/>
        <v>21965</v>
      </c>
      <c r="AG960" s="126">
        <f t="shared" ca="1" si="536"/>
        <v>0</v>
      </c>
      <c r="AH960" s="126">
        <f t="shared" ca="1" si="537"/>
        <v>0</v>
      </c>
      <c r="AI960" s="126">
        <f t="shared" ca="1" si="538"/>
        <v>0</v>
      </c>
      <c r="AJ960" t="str">
        <f t="shared" ca="1" si="539"/>
        <v>62103</v>
      </c>
      <c r="AK960" s="126">
        <f t="shared" ca="1" si="556"/>
        <v>0</v>
      </c>
      <c r="AL960" s="126">
        <f t="shared" ca="1" si="557"/>
        <v>0</v>
      </c>
      <c r="AM960" s="126">
        <f t="shared" ca="1" si="570"/>
        <v>0</v>
      </c>
      <c r="AN960" s="753">
        <f t="shared" ca="1" si="571"/>
        <v>0</v>
      </c>
      <c r="AO960" s="750">
        <f t="shared" ca="1" si="558"/>
        <v>0</v>
      </c>
      <c r="AP960" s="126">
        <f t="shared" ca="1" si="559"/>
        <v>0</v>
      </c>
      <c r="AQ960" s="126">
        <f t="shared" ca="1" si="560"/>
        <v>0</v>
      </c>
      <c r="AR960" s="126">
        <f t="shared" ca="1" si="540"/>
        <v>10000</v>
      </c>
      <c r="AS960" s="750">
        <f t="shared" ca="1" si="541"/>
        <v>0</v>
      </c>
      <c r="AT960" s="750">
        <f t="shared" ca="1" si="542"/>
        <v>0</v>
      </c>
      <c r="AU960" s="126">
        <f t="shared" ca="1" si="561"/>
        <v>0</v>
      </c>
      <c r="AV960" s="126">
        <f t="shared" ca="1" si="562"/>
        <v>0</v>
      </c>
      <c r="AW960" s="126">
        <f t="shared" ca="1" si="543"/>
        <v>10000</v>
      </c>
      <c r="AX960" s="750">
        <f t="shared" ca="1" si="563"/>
        <v>0</v>
      </c>
      <c r="AY960" s="750">
        <f t="shared" ca="1" si="564"/>
        <v>0</v>
      </c>
      <c r="AZ960">
        <f t="shared" si="565"/>
        <v>5750</v>
      </c>
    </row>
    <row r="961" spans="4:52">
      <c r="D961">
        <v>954</v>
      </c>
      <c r="E961" s="6">
        <f t="shared" ca="1" si="544"/>
        <v>23743</v>
      </c>
      <c r="F961" s="7">
        <f t="shared" ca="1" si="545"/>
        <v>0</v>
      </c>
      <c r="G961" s="125">
        <f ca="1">IF('Simulador - 1º Pilar'!$E$99="Sí",IF('Aportaciones PPE'!$B$13&lt;'Aportaciones PPE'!E961,0,F961*$B$8/12),F961*$B$8/12)</f>
        <v>0</v>
      </c>
      <c r="H961" s="125">
        <f t="shared" ca="1" si="534"/>
        <v>0</v>
      </c>
      <c r="I961" s="125">
        <f t="shared" ca="1" si="546"/>
        <v>0</v>
      </c>
      <c r="J961" s="125">
        <f t="shared" ca="1" si="547"/>
        <v>0</v>
      </c>
      <c r="K961" s="125">
        <f t="shared" ca="1" si="548"/>
        <v>0</v>
      </c>
      <c r="L961" s="125">
        <f t="shared" ca="1" si="566"/>
        <v>0</v>
      </c>
      <c r="M961" s="125">
        <f t="shared" ca="1" si="549"/>
        <v>0</v>
      </c>
      <c r="N961" s="125">
        <f t="shared" ca="1" si="550"/>
        <v>0</v>
      </c>
      <c r="R961">
        <f t="shared" si="567"/>
        <v>954</v>
      </c>
      <c r="U961" s="55"/>
      <c r="V961">
        <f t="shared" si="568"/>
        <v>7</v>
      </c>
      <c r="W961">
        <f t="shared" ca="1" si="569"/>
        <v>2103</v>
      </c>
      <c r="X961" s="123">
        <f t="shared" ca="1" si="551"/>
        <v>74327</v>
      </c>
      <c r="Y961" s="64">
        <f t="shared" ca="1" si="552"/>
        <v>0</v>
      </c>
      <c r="Z961" s="64">
        <f t="shared" ca="1" si="553"/>
        <v>0</v>
      </c>
      <c r="AA961" s="64">
        <f t="shared" ca="1" si="554"/>
        <v>0</v>
      </c>
      <c r="AB961" s="64">
        <f t="shared" ca="1" si="555"/>
        <v>0</v>
      </c>
      <c r="AF961" t="str">
        <f t="shared" ca="1" si="535"/>
        <v>11965</v>
      </c>
      <c r="AG961" s="126">
        <f t="shared" ca="1" si="536"/>
        <v>0</v>
      </c>
      <c r="AH961" s="126">
        <f t="shared" ca="1" si="537"/>
        <v>0</v>
      </c>
      <c r="AI961" s="126">
        <f t="shared" ca="1" si="538"/>
        <v>0</v>
      </c>
      <c r="AJ961" t="str">
        <f t="shared" ca="1" si="539"/>
        <v>72103</v>
      </c>
      <c r="AK961" s="126">
        <f t="shared" ca="1" si="556"/>
        <v>0</v>
      </c>
      <c r="AL961" s="126">
        <f t="shared" ca="1" si="557"/>
        <v>0</v>
      </c>
      <c r="AM961" s="126">
        <f t="shared" ca="1" si="570"/>
        <v>0</v>
      </c>
      <c r="AN961" s="753">
        <f t="shared" ca="1" si="571"/>
        <v>0</v>
      </c>
      <c r="AO961" s="750">
        <f t="shared" ca="1" si="558"/>
        <v>0</v>
      </c>
      <c r="AP961" s="126">
        <f t="shared" ca="1" si="559"/>
        <v>0</v>
      </c>
      <c r="AQ961" s="126">
        <f t="shared" ca="1" si="560"/>
        <v>0</v>
      </c>
      <c r="AR961" s="126">
        <f t="shared" ca="1" si="540"/>
        <v>10000</v>
      </c>
      <c r="AS961" s="750">
        <f t="shared" ca="1" si="541"/>
        <v>0</v>
      </c>
      <c r="AT961" s="750">
        <f t="shared" ca="1" si="542"/>
        <v>0</v>
      </c>
      <c r="AU961" s="126">
        <f t="shared" ca="1" si="561"/>
        <v>0</v>
      </c>
      <c r="AV961" s="126">
        <f t="shared" ca="1" si="562"/>
        <v>0</v>
      </c>
      <c r="AW961" s="126">
        <f t="shared" ca="1" si="543"/>
        <v>10000</v>
      </c>
      <c r="AX961" s="750">
        <f t="shared" ca="1" si="563"/>
        <v>0</v>
      </c>
      <c r="AY961" s="750">
        <f t="shared" ca="1" si="564"/>
        <v>0</v>
      </c>
      <c r="AZ961">
        <f t="shared" si="565"/>
        <v>5750</v>
      </c>
    </row>
    <row r="962" spans="4:52">
      <c r="D962">
        <v>955</v>
      </c>
      <c r="E962" s="6">
        <f t="shared" ca="1" si="544"/>
        <v>23712</v>
      </c>
      <c r="F962" s="7">
        <f t="shared" ca="1" si="545"/>
        <v>0</v>
      </c>
      <c r="G962" s="125">
        <f ca="1">IF('Simulador - 1º Pilar'!$E$99="Sí",IF('Aportaciones PPE'!$B$13&lt;'Aportaciones PPE'!E962,0,F962*$B$8/12),F962*$B$8/12)</f>
        <v>0</v>
      </c>
      <c r="H962" s="125">
        <f t="shared" ca="1" si="534"/>
        <v>0</v>
      </c>
      <c r="I962" s="125">
        <f t="shared" ca="1" si="546"/>
        <v>0</v>
      </c>
      <c r="J962" s="125">
        <f t="shared" ca="1" si="547"/>
        <v>0</v>
      </c>
      <c r="K962" s="125">
        <f t="shared" ca="1" si="548"/>
        <v>0</v>
      </c>
      <c r="L962" s="125">
        <f t="shared" ca="1" si="566"/>
        <v>0</v>
      </c>
      <c r="M962" s="125">
        <f t="shared" ca="1" si="549"/>
        <v>0</v>
      </c>
      <c r="N962" s="125">
        <f t="shared" ca="1" si="550"/>
        <v>0</v>
      </c>
      <c r="R962">
        <f t="shared" si="567"/>
        <v>955</v>
      </c>
      <c r="U962" s="55"/>
      <c r="V962">
        <f t="shared" si="568"/>
        <v>8</v>
      </c>
      <c r="W962">
        <f t="shared" ca="1" si="569"/>
        <v>2103</v>
      </c>
      <c r="X962" s="123">
        <f t="shared" ca="1" si="551"/>
        <v>74358</v>
      </c>
      <c r="Y962" s="64">
        <f t="shared" ca="1" si="552"/>
        <v>0</v>
      </c>
      <c r="Z962" s="64">
        <f t="shared" ca="1" si="553"/>
        <v>0</v>
      </c>
      <c r="AA962" s="64">
        <f t="shared" ca="1" si="554"/>
        <v>0</v>
      </c>
      <c r="AB962" s="64">
        <f t="shared" ca="1" si="555"/>
        <v>0</v>
      </c>
      <c r="AF962" t="str">
        <f t="shared" ca="1" si="535"/>
        <v>121964</v>
      </c>
      <c r="AG962" s="126">
        <f t="shared" ca="1" si="536"/>
        <v>0</v>
      </c>
      <c r="AH962" s="126">
        <f t="shared" ca="1" si="537"/>
        <v>0</v>
      </c>
      <c r="AI962" s="126">
        <f t="shared" ca="1" si="538"/>
        <v>0</v>
      </c>
      <c r="AJ962" t="str">
        <f t="shared" ca="1" si="539"/>
        <v>82103</v>
      </c>
      <c r="AK962" s="126">
        <f t="shared" ca="1" si="556"/>
        <v>0</v>
      </c>
      <c r="AL962" s="126">
        <f t="shared" ca="1" si="557"/>
        <v>0</v>
      </c>
      <c r="AM962" s="126">
        <f t="shared" ca="1" si="570"/>
        <v>0</v>
      </c>
      <c r="AN962" s="753">
        <f t="shared" ca="1" si="571"/>
        <v>0</v>
      </c>
      <c r="AO962" s="750">
        <f t="shared" ca="1" si="558"/>
        <v>0</v>
      </c>
      <c r="AP962" s="126">
        <f t="shared" ca="1" si="559"/>
        <v>0</v>
      </c>
      <c r="AQ962" s="126">
        <f t="shared" ca="1" si="560"/>
        <v>0</v>
      </c>
      <c r="AR962" s="126">
        <f t="shared" ca="1" si="540"/>
        <v>10000</v>
      </c>
      <c r="AS962" s="750">
        <f t="shared" ca="1" si="541"/>
        <v>0</v>
      </c>
      <c r="AT962" s="750">
        <f t="shared" ca="1" si="542"/>
        <v>0</v>
      </c>
      <c r="AU962" s="126">
        <f t="shared" ca="1" si="561"/>
        <v>0</v>
      </c>
      <c r="AV962" s="126">
        <f t="shared" ca="1" si="562"/>
        <v>0</v>
      </c>
      <c r="AW962" s="126">
        <f t="shared" ca="1" si="543"/>
        <v>10000</v>
      </c>
      <c r="AX962" s="750">
        <f t="shared" ca="1" si="563"/>
        <v>0</v>
      </c>
      <c r="AY962" s="750">
        <f t="shared" ca="1" si="564"/>
        <v>0</v>
      </c>
      <c r="AZ962">
        <f t="shared" si="565"/>
        <v>5750</v>
      </c>
    </row>
    <row r="963" spans="4:52">
      <c r="D963">
        <v>956</v>
      </c>
      <c r="E963" s="6">
        <f t="shared" ca="1" si="544"/>
        <v>23682</v>
      </c>
      <c r="F963" s="7">
        <f t="shared" ca="1" si="545"/>
        <v>0</v>
      </c>
      <c r="G963" s="125">
        <f ca="1">IF('Simulador - 1º Pilar'!$E$99="Sí",IF('Aportaciones PPE'!$B$13&lt;'Aportaciones PPE'!E963,0,F963*$B$8/12),F963*$B$8/12)</f>
        <v>0</v>
      </c>
      <c r="H963" s="125">
        <f t="shared" ca="1" si="534"/>
        <v>0</v>
      </c>
      <c r="I963" s="125">
        <f t="shared" ca="1" si="546"/>
        <v>0</v>
      </c>
      <c r="J963" s="125">
        <f t="shared" ca="1" si="547"/>
        <v>0</v>
      </c>
      <c r="K963" s="125">
        <f t="shared" ca="1" si="548"/>
        <v>0</v>
      </c>
      <c r="L963" s="125">
        <f t="shared" ca="1" si="566"/>
        <v>0</v>
      </c>
      <c r="M963" s="125">
        <f t="shared" ca="1" si="549"/>
        <v>0</v>
      </c>
      <c r="N963" s="125">
        <f t="shared" ca="1" si="550"/>
        <v>0</v>
      </c>
      <c r="R963">
        <f t="shared" si="567"/>
        <v>956</v>
      </c>
      <c r="U963" s="55"/>
      <c r="V963">
        <f t="shared" si="568"/>
        <v>9</v>
      </c>
      <c r="W963">
        <f t="shared" ca="1" si="569"/>
        <v>2103</v>
      </c>
      <c r="X963" s="123">
        <f t="shared" ca="1" si="551"/>
        <v>74389</v>
      </c>
      <c r="Y963" s="64">
        <f t="shared" ca="1" si="552"/>
        <v>0</v>
      </c>
      <c r="Z963" s="64">
        <f t="shared" ca="1" si="553"/>
        <v>0</v>
      </c>
      <c r="AA963" s="64">
        <f t="shared" ca="1" si="554"/>
        <v>0</v>
      </c>
      <c r="AB963" s="64">
        <f t="shared" ca="1" si="555"/>
        <v>0</v>
      </c>
      <c r="AF963" t="str">
        <f t="shared" ca="1" si="535"/>
        <v>111964</v>
      </c>
      <c r="AG963" s="126">
        <f t="shared" ca="1" si="536"/>
        <v>0</v>
      </c>
      <c r="AH963" s="126">
        <f t="shared" ca="1" si="537"/>
        <v>0</v>
      </c>
      <c r="AI963" s="126">
        <f t="shared" ca="1" si="538"/>
        <v>0</v>
      </c>
      <c r="AJ963" t="str">
        <f t="shared" ca="1" si="539"/>
        <v>92103</v>
      </c>
      <c r="AK963" s="126">
        <f t="shared" ca="1" si="556"/>
        <v>0</v>
      </c>
      <c r="AL963" s="126">
        <f t="shared" ca="1" si="557"/>
        <v>0</v>
      </c>
      <c r="AM963" s="126">
        <f t="shared" ca="1" si="570"/>
        <v>0</v>
      </c>
      <c r="AN963" s="753">
        <f t="shared" ca="1" si="571"/>
        <v>0</v>
      </c>
      <c r="AO963" s="750">
        <f t="shared" ca="1" si="558"/>
        <v>0</v>
      </c>
      <c r="AP963" s="126">
        <f t="shared" ca="1" si="559"/>
        <v>0</v>
      </c>
      <c r="AQ963" s="126">
        <f t="shared" ca="1" si="560"/>
        <v>0</v>
      </c>
      <c r="AR963" s="126">
        <f t="shared" ca="1" si="540"/>
        <v>10000</v>
      </c>
      <c r="AS963" s="750">
        <f t="shared" ca="1" si="541"/>
        <v>0</v>
      </c>
      <c r="AT963" s="750">
        <f t="shared" ca="1" si="542"/>
        <v>0</v>
      </c>
      <c r="AU963" s="126">
        <f t="shared" ca="1" si="561"/>
        <v>0</v>
      </c>
      <c r="AV963" s="126">
        <f t="shared" ca="1" si="562"/>
        <v>0</v>
      </c>
      <c r="AW963" s="126">
        <f t="shared" ca="1" si="543"/>
        <v>10000</v>
      </c>
      <c r="AX963" s="750">
        <f t="shared" ca="1" si="563"/>
        <v>0</v>
      </c>
      <c r="AY963" s="750">
        <f t="shared" ca="1" si="564"/>
        <v>0</v>
      </c>
      <c r="AZ963">
        <f t="shared" si="565"/>
        <v>5750</v>
      </c>
    </row>
    <row r="964" spans="4:52">
      <c r="D964">
        <v>957</v>
      </c>
      <c r="E964" s="6">
        <f t="shared" ca="1" si="544"/>
        <v>23651</v>
      </c>
      <c r="F964" s="7">
        <f t="shared" ca="1" si="545"/>
        <v>0</v>
      </c>
      <c r="G964" s="125">
        <f ca="1">IF('Simulador - 1º Pilar'!$E$99="Sí",IF('Aportaciones PPE'!$B$13&lt;'Aportaciones PPE'!E964,0,F964*$B$8/12),F964*$B$8/12)</f>
        <v>0</v>
      </c>
      <c r="H964" s="125">
        <f t="shared" ca="1" si="534"/>
        <v>0</v>
      </c>
      <c r="I964" s="125">
        <f t="shared" ca="1" si="546"/>
        <v>0</v>
      </c>
      <c r="J964" s="125">
        <f t="shared" ca="1" si="547"/>
        <v>0</v>
      </c>
      <c r="K964" s="125">
        <f t="shared" ca="1" si="548"/>
        <v>0</v>
      </c>
      <c r="L964" s="125">
        <f t="shared" ca="1" si="566"/>
        <v>0</v>
      </c>
      <c r="M964" s="125">
        <f t="shared" ca="1" si="549"/>
        <v>0</v>
      </c>
      <c r="N964" s="125">
        <f t="shared" ca="1" si="550"/>
        <v>0</v>
      </c>
      <c r="R964">
        <f t="shared" si="567"/>
        <v>957</v>
      </c>
      <c r="U964" s="55"/>
      <c r="V964">
        <f t="shared" si="568"/>
        <v>10</v>
      </c>
      <c r="W964">
        <f t="shared" ca="1" si="569"/>
        <v>2103</v>
      </c>
      <c r="X964" s="123">
        <f t="shared" ca="1" si="551"/>
        <v>74419</v>
      </c>
      <c r="Y964" s="64">
        <f t="shared" ca="1" si="552"/>
        <v>0</v>
      </c>
      <c r="Z964" s="64">
        <f t="shared" ca="1" si="553"/>
        <v>0</v>
      </c>
      <c r="AA964" s="64">
        <f t="shared" ca="1" si="554"/>
        <v>0</v>
      </c>
      <c r="AB964" s="64">
        <f t="shared" ca="1" si="555"/>
        <v>0</v>
      </c>
      <c r="AF964" t="str">
        <f t="shared" ca="1" si="535"/>
        <v>101964</v>
      </c>
      <c r="AG964" s="126">
        <f t="shared" ca="1" si="536"/>
        <v>0</v>
      </c>
      <c r="AH964" s="126">
        <f t="shared" ca="1" si="537"/>
        <v>0</v>
      </c>
      <c r="AI964" s="126">
        <f t="shared" ca="1" si="538"/>
        <v>0</v>
      </c>
      <c r="AJ964" t="str">
        <f t="shared" ca="1" si="539"/>
        <v>102103</v>
      </c>
      <c r="AK964" s="126">
        <f t="shared" ca="1" si="556"/>
        <v>0</v>
      </c>
      <c r="AL964" s="126">
        <f t="shared" ca="1" si="557"/>
        <v>0</v>
      </c>
      <c r="AM964" s="126">
        <f t="shared" ca="1" si="570"/>
        <v>0</v>
      </c>
      <c r="AN964" s="753">
        <f t="shared" ca="1" si="571"/>
        <v>0</v>
      </c>
      <c r="AO964" s="750">
        <f t="shared" ca="1" si="558"/>
        <v>0</v>
      </c>
      <c r="AP964" s="126">
        <f t="shared" ca="1" si="559"/>
        <v>0</v>
      </c>
      <c r="AQ964" s="126">
        <f t="shared" ca="1" si="560"/>
        <v>0</v>
      </c>
      <c r="AR964" s="126">
        <f t="shared" ca="1" si="540"/>
        <v>10000</v>
      </c>
      <c r="AS964" s="750">
        <f t="shared" ca="1" si="541"/>
        <v>0</v>
      </c>
      <c r="AT964" s="750">
        <f t="shared" ca="1" si="542"/>
        <v>0</v>
      </c>
      <c r="AU964" s="126">
        <f t="shared" ca="1" si="561"/>
        <v>0</v>
      </c>
      <c r="AV964" s="126">
        <f t="shared" ca="1" si="562"/>
        <v>0</v>
      </c>
      <c r="AW964" s="126">
        <f t="shared" ca="1" si="543"/>
        <v>10000</v>
      </c>
      <c r="AX964" s="750">
        <f t="shared" ca="1" si="563"/>
        <v>0</v>
      </c>
      <c r="AY964" s="750">
        <f t="shared" ca="1" si="564"/>
        <v>0</v>
      </c>
      <c r="AZ964">
        <f t="shared" si="565"/>
        <v>5750</v>
      </c>
    </row>
    <row r="965" spans="4:52">
      <c r="D965">
        <v>958</v>
      </c>
      <c r="E965" s="6">
        <f t="shared" ca="1" si="544"/>
        <v>23621</v>
      </c>
      <c r="F965" s="7">
        <f t="shared" ca="1" si="545"/>
        <v>0</v>
      </c>
      <c r="G965" s="125">
        <f ca="1">IF('Simulador - 1º Pilar'!$E$99="Sí",IF('Aportaciones PPE'!$B$13&lt;'Aportaciones PPE'!E965,0,F965*$B$8/12),F965*$B$8/12)</f>
        <v>0</v>
      </c>
      <c r="H965" s="125">
        <f t="shared" ca="1" si="534"/>
        <v>0</v>
      </c>
      <c r="I965" s="125">
        <f t="shared" ca="1" si="546"/>
        <v>0</v>
      </c>
      <c r="J965" s="125">
        <f t="shared" ca="1" si="547"/>
        <v>0</v>
      </c>
      <c r="K965" s="125">
        <f t="shared" ca="1" si="548"/>
        <v>0</v>
      </c>
      <c r="L965" s="125">
        <f t="shared" ca="1" si="566"/>
        <v>0</v>
      </c>
      <c r="M965" s="125">
        <f t="shared" ca="1" si="549"/>
        <v>0</v>
      </c>
      <c r="N965" s="125">
        <f t="shared" ca="1" si="550"/>
        <v>0</v>
      </c>
      <c r="R965">
        <f t="shared" si="567"/>
        <v>958</v>
      </c>
      <c r="U965" s="55"/>
      <c r="V965">
        <f t="shared" si="568"/>
        <v>11</v>
      </c>
      <c r="W965">
        <f t="shared" ca="1" si="569"/>
        <v>2103</v>
      </c>
      <c r="X965" s="123">
        <f t="shared" ca="1" si="551"/>
        <v>74450</v>
      </c>
      <c r="Y965" s="64">
        <f t="shared" ca="1" si="552"/>
        <v>0</v>
      </c>
      <c r="Z965" s="64">
        <f t="shared" ca="1" si="553"/>
        <v>0</v>
      </c>
      <c r="AA965" s="64">
        <f t="shared" ca="1" si="554"/>
        <v>0</v>
      </c>
      <c r="AB965" s="64">
        <f t="shared" ca="1" si="555"/>
        <v>0</v>
      </c>
      <c r="AF965" t="str">
        <f t="shared" ca="1" si="535"/>
        <v>91964</v>
      </c>
      <c r="AG965" s="126">
        <f t="shared" ca="1" si="536"/>
        <v>0</v>
      </c>
      <c r="AH965" s="126">
        <f t="shared" ca="1" si="537"/>
        <v>0</v>
      </c>
      <c r="AI965" s="126">
        <f t="shared" ca="1" si="538"/>
        <v>0</v>
      </c>
      <c r="AJ965" t="str">
        <f t="shared" ca="1" si="539"/>
        <v>112103</v>
      </c>
      <c r="AK965" s="126">
        <f t="shared" ca="1" si="556"/>
        <v>0</v>
      </c>
      <c r="AL965" s="126">
        <f t="shared" ca="1" si="557"/>
        <v>0</v>
      </c>
      <c r="AM965" s="126">
        <f t="shared" ca="1" si="570"/>
        <v>0</v>
      </c>
      <c r="AN965" s="753">
        <f t="shared" ca="1" si="571"/>
        <v>0</v>
      </c>
      <c r="AO965" s="750">
        <f t="shared" ca="1" si="558"/>
        <v>0</v>
      </c>
      <c r="AP965" s="126">
        <f t="shared" ca="1" si="559"/>
        <v>0</v>
      </c>
      <c r="AQ965" s="126">
        <f t="shared" ca="1" si="560"/>
        <v>0</v>
      </c>
      <c r="AR965" s="126">
        <f t="shared" ca="1" si="540"/>
        <v>10000</v>
      </c>
      <c r="AS965" s="750">
        <f t="shared" ca="1" si="541"/>
        <v>0</v>
      </c>
      <c r="AT965" s="750">
        <f t="shared" ca="1" si="542"/>
        <v>0</v>
      </c>
      <c r="AU965" s="126">
        <f t="shared" ca="1" si="561"/>
        <v>0</v>
      </c>
      <c r="AV965" s="126">
        <f t="shared" ca="1" si="562"/>
        <v>0</v>
      </c>
      <c r="AW965" s="126">
        <f t="shared" ca="1" si="543"/>
        <v>10000</v>
      </c>
      <c r="AX965" s="750">
        <f t="shared" ca="1" si="563"/>
        <v>0</v>
      </c>
      <c r="AY965" s="750">
        <f t="shared" ca="1" si="564"/>
        <v>0</v>
      </c>
      <c r="AZ965">
        <f t="shared" si="565"/>
        <v>5750</v>
      </c>
    </row>
    <row r="966" spans="4:52">
      <c r="D966">
        <v>959</v>
      </c>
      <c r="E966" s="6">
        <f t="shared" ca="1" si="544"/>
        <v>23590</v>
      </c>
      <c r="F966" s="7">
        <f t="shared" ca="1" si="545"/>
        <v>0</v>
      </c>
      <c r="G966" s="125">
        <f ca="1">IF('Simulador - 1º Pilar'!$E$99="Sí",IF('Aportaciones PPE'!$B$13&lt;'Aportaciones PPE'!E966,0,F966*$B$8/12),F966*$B$8/12)</f>
        <v>0</v>
      </c>
      <c r="H966" s="125">
        <f t="shared" ca="1" si="534"/>
        <v>0</v>
      </c>
      <c r="I966" s="125">
        <f t="shared" ca="1" si="546"/>
        <v>0</v>
      </c>
      <c r="J966" s="125">
        <f t="shared" ca="1" si="547"/>
        <v>0</v>
      </c>
      <c r="K966" s="125">
        <f t="shared" ca="1" si="548"/>
        <v>0</v>
      </c>
      <c r="L966" s="125">
        <f t="shared" ca="1" si="566"/>
        <v>0</v>
      </c>
      <c r="M966" s="125">
        <f t="shared" ca="1" si="549"/>
        <v>0</v>
      </c>
      <c r="N966" s="125">
        <f t="shared" ca="1" si="550"/>
        <v>0</v>
      </c>
      <c r="R966">
        <f t="shared" si="567"/>
        <v>959</v>
      </c>
      <c r="U966" s="55"/>
      <c r="V966">
        <f t="shared" si="568"/>
        <v>12</v>
      </c>
      <c r="W966">
        <f t="shared" ca="1" si="569"/>
        <v>2103</v>
      </c>
      <c r="X966" s="123">
        <f t="shared" ca="1" si="551"/>
        <v>74480</v>
      </c>
      <c r="Y966" s="64">
        <f t="shared" ca="1" si="552"/>
        <v>0</v>
      </c>
      <c r="Z966" s="64">
        <f t="shared" ca="1" si="553"/>
        <v>0</v>
      </c>
      <c r="AA966" s="64">
        <f t="shared" ca="1" si="554"/>
        <v>0</v>
      </c>
      <c r="AB966" s="64">
        <f t="shared" ca="1" si="555"/>
        <v>0</v>
      </c>
      <c r="AF966" t="str">
        <f t="shared" ca="1" si="535"/>
        <v>81964</v>
      </c>
      <c r="AG966" s="126">
        <f t="shared" ca="1" si="536"/>
        <v>0</v>
      </c>
      <c r="AH966" s="126">
        <f t="shared" ca="1" si="537"/>
        <v>0</v>
      </c>
      <c r="AI966" s="126">
        <f t="shared" ca="1" si="538"/>
        <v>0</v>
      </c>
      <c r="AJ966" t="str">
        <f t="shared" ca="1" si="539"/>
        <v>122103</v>
      </c>
      <c r="AK966" s="126">
        <f t="shared" ca="1" si="556"/>
        <v>0</v>
      </c>
      <c r="AL966" s="126">
        <f t="shared" ca="1" si="557"/>
        <v>0</v>
      </c>
      <c r="AM966" s="126">
        <f t="shared" ca="1" si="570"/>
        <v>0</v>
      </c>
      <c r="AN966" s="753">
        <f t="shared" ca="1" si="571"/>
        <v>0</v>
      </c>
      <c r="AO966" s="750">
        <f t="shared" ca="1" si="558"/>
        <v>0</v>
      </c>
      <c r="AP966" s="126">
        <f t="shared" ca="1" si="559"/>
        <v>0</v>
      </c>
      <c r="AQ966" s="126">
        <f t="shared" ca="1" si="560"/>
        <v>0</v>
      </c>
      <c r="AR966" s="126">
        <f t="shared" ca="1" si="540"/>
        <v>10000</v>
      </c>
      <c r="AS966" s="750">
        <f t="shared" ca="1" si="541"/>
        <v>0</v>
      </c>
      <c r="AT966" s="750">
        <f t="shared" ca="1" si="542"/>
        <v>0</v>
      </c>
      <c r="AU966" s="126">
        <f t="shared" ca="1" si="561"/>
        <v>0</v>
      </c>
      <c r="AV966" s="126">
        <f t="shared" ca="1" si="562"/>
        <v>0</v>
      </c>
      <c r="AW966" s="126">
        <f t="shared" ca="1" si="543"/>
        <v>10000</v>
      </c>
      <c r="AX966" s="750">
        <f t="shared" ca="1" si="563"/>
        <v>0</v>
      </c>
      <c r="AY966" s="750">
        <f t="shared" ca="1" si="564"/>
        <v>0</v>
      </c>
      <c r="AZ966">
        <f t="shared" si="565"/>
        <v>5750</v>
      </c>
    </row>
    <row r="967" spans="4:52">
      <c r="D967">
        <v>960</v>
      </c>
      <c r="E967" s="6">
        <f t="shared" ca="1" si="544"/>
        <v>23559</v>
      </c>
      <c r="F967" s="7">
        <f t="shared" ca="1" si="545"/>
        <v>0</v>
      </c>
      <c r="G967" s="125">
        <f ca="1">IF('Simulador - 1º Pilar'!$E$99="Sí",IF('Aportaciones PPE'!$B$13&lt;'Aportaciones PPE'!E967,0,F967*$B$8/12),F967*$B$8/12)</f>
        <v>0</v>
      </c>
      <c r="H967" s="125">
        <f t="shared" ref="H967:H1030" ca="1" si="572">$H$5*G967</f>
        <v>0</v>
      </c>
      <c r="I967" s="125">
        <f t="shared" ca="1" si="546"/>
        <v>0</v>
      </c>
      <c r="J967" s="125">
        <f t="shared" ca="1" si="547"/>
        <v>0</v>
      </c>
      <c r="K967" s="125">
        <f t="shared" ca="1" si="548"/>
        <v>0</v>
      </c>
      <c r="L967" s="125">
        <f t="shared" ca="1" si="566"/>
        <v>0</v>
      </c>
      <c r="M967" s="125">
        <f t="shared" ca="1" si="549"/>
        <v>0</v>
      </c>
      <c r="N967" s="125">
        <f t="shared" ca="1" si="550"/>
        <v>0</v>
      </c>
      <c r="R967">
        <f t="shared" si="567"/>
        <v>960</v>
      </c>
      <c r="U967" s="55"/>
      <c r="V967">
        <f t="shared" si="568"/>
        <v>1</v>
      </c>
      <c r="W967">
        <f t="shared" ca="1" si="569"/>
        <v>2104</v>
      </c>
      <c r="X967" s="123">
        <f t="shared" ca="1" si="551"/>
        <v>74511</v>
      </c>
      <c r="Y967" s="64">
        <f t="shared" ca="1" si="552"/>
        <v>0</v>
      </c>
      <c r="Z967" s="64">
        <f t="shared" ca="1" si="553"/>
        <v>0</v>
      </c>
      <c r="AA967" s="64">
        <f t="shared" ca="1" si="554"/>
        <v>0</v>
      </c>
      <c r="AB967" s="64">
        <f t="shared" ca="1" si="555"/>
        <v>0</v>
      </c>
      <c r="AF967" t="str">
        <f t="shared" ref="AF967:AF1030" ca="1" si="573">+MONTH(E967)&amp;YEAR(E967)</f>
        <v>71964</v>
      </c>
      <c r="AG967" s="126">
        <f t="shared" ref="AG967:AG1030" ca="1" si="574">+I967</f>
        <v>0</v>
      </c>
      <c r="AH967" s="126">
        <f t="shared" ref="AH967:AH1030" ca="1" si="575">+J967</f>
        <v>0</v>
      </c>
      <c r="AI967" s="126">
        <f t="shared" ref="AI967:AI1030" ca="1" si="576">+H967</f>
        <v>0</v>
      </c>
      <c r="AJ967" t="str">
        <f t="shared" ref="AJ967:AJ1030" ca="1" si="577">+V967&amp;W967</f>
        <v>12104</v>
      </c>
      <c r="AK967" s="126">
        <f t="shared" ca="1" si="556"/>
        <v>0</v>
      </c>
      <c r="AL967" s="126">
        <f t="shared" ca="1" si="557"/>
        <v>0</v>
      </c>
      <c r="AM967" s="126">
        <f t="shared" ca="1" si="570"/>
        <v>0</v>
      </c>
      <c r="AN967" s="753">
        <f t="shared" ca="1" si="571"/>
        <v>0</v>
      </c>
      <c r="AO967" s="750">
        <f t="shared" ca="1" si="558"/>
        <v>0</v>
      </c>
      <c r="AP967" s="126">
        <f t="shared" ca="1" si="559"/>
        <v>0</v>
      </c>
      <c r="AQ967" s="126">
        <f t="shared" ca="1" si="560"/>
        <v>0</v>
      </c>
      <c r="AR967" s="126">
        <f t="shared" ref="AR967:AR1030" ca="1" si="578">+MAX($AM$2-SUMIF($W$7:$W$1066,W967,$AN$7:$AN$1066),0)</f>
        <v>10000</v>
      </c>
      <c r="AS967" s="750">
        <f t="shared" ref="AS967:AS1030" ca="1" si="579">+MAX(IF(AQ967&gt;AR967,AR967-AQ966,AP967),0)</f>
        <v>0</v>
      </c>
      <c r="AT967" s="750">
        <f t="shared" ref="AT967:AT1030" ca="1" si="580">+AP967-AS967</f>
        <v>0</v>
      </c>
      <c r="AU967" s="126">
        <f t="shared" ca="1" si="561"/>
        <v>0</v>
      </c>
      <c r="AV967" s="126">
        <f t="shared" ca="1" si="562"/>
        <v>0</v>
      </c>
      <c r="AW967" s="126">
        <f t="shared" ref="AW967:AW1030" ca="1" si="581">+MAX($AM$2-SUMIF($W$7:$W$1066,W967,$AN$7:$AN$1066)-SUMIF($W$7:$W$1066,W967,$AS$7:$AS$1066),0)</f>
        <v>10000</v>
      </c>
      <c r="AX967" s="750">
        <f t="shared" ca="1" si="563"/>
        <v>0</v>
      </c>
      <c r="AY967" s="750">
        <f t="shared" ca="1" si="564"/>
        <v>0</v>
      </c>
      <c r="AZ967">
        <f t="shared" si="565"/>
        <v>5750</v>
      </c>
    </row>
    <row r="968" spans="4:52">
      <c r="D968">
        <v>961</v>
      </c>
      <c r="E968" s="6">
        <f t="shared" ref="E968:E1031" ca="1" si="582">+DATE(YEAR(E967),MONTH(E967)-1,DAY(E967))</f>
        <v>23529</v>
      </c>
      <c r="F968" s="7">
        <f t="shared" ref="F968:F1031" ca="1" si="583">IF(DATE(YEAR($B$6),MONTH($B$6)+1,DAY(1))=E968,1,IF(MONTH(E968)=1,F969*(1+$F$5),F969))</f>
        <v>0</v>
      </c>
      <c r="G968" s="125">
        <f ca="1">IF('Simulador - 1º Pilar'!$E$99="Sí",IF('Aportaciones PPE'!$B$13&lt;'Aportaciones PPE'!E968,0,F968*$B$8/12),F968*$B$8/12)</f>
        <v>0</v>
      </c>
      <c r="H968" s="125">
        <f t="shared" ca="1" si="572"/>
        <v>0</v>
      </c>
      <c r="I968" s="125">
        <f t="shared" ref="I968:I1031" ca="1" si="584">$I$5*G968</f>
        <v>0</v>
      </c>
      <c r="J968" s="125">
        <f t="shared" ref="J968:J1031" ca="1" si="585">+I968</f>
        <v>0</v>
      </c>
      <c r="K968" s="125">
        <f t="shared" ref="K968:K1031" ca="1" si="586">(1+$O$5)^(D968/12)*(H968+IF(AND(F968=1,F969=0),$S$4,0))</f>
        <v>0</v>
      </c>
      <c r="L968" s="125">
        <f t="shared" ca="1" si="566"/>
        <v>0</v>
      </c>
      <c r="M968" s="125">
        <f t="shared" ref="M968:M1031" ca="1" si="587">+L968</f>
        <v>0</v>
      </c>
      <c r="N968" s="125">
        <f t="shared" ref="N968:N1031" ca="1" si="588">L968+K968+M968</f>
        <v>0</v>
      </c>
      <c r="R968">
        <f t="shared" si="567"/>
        <v>961</v>
      </c>
      <c r="U968" s="55"/>
      <c r="V968">
        <f t="shared" si="568"/>
        <v>2</v>
      </c>
      <c r="W968">
        <f t="shared" ca="1" si="569"/>
        <v>2104</v>
      </c>
      <c r="X968" s="123">
        <f t="shared" ref="X968:X1031" ca="1" si="589">+DATE(W968,V968,1)</f>
        <v>74542</v>
      </c>
      <c r="Y968" s="64">
        <f t="shared" ref="Y968:Y1031" ca="1" si="590">+_xlfn.IFNA(AN968+AS968+AX968,0)</f>
        <v>0</v>
      </c>
      <c r="Z968" s="64">
        <f t="shared" ref="Z968:Z1031" ca="1" si="591">+_xlfn.IFNA(AO968+AT968+AY968,0)</f>
        <v>0</v>
      </c>
      <c r="AA968" s="64">
        <f t="shared" ref="AA968:AA1031" ca="1" si="592">Y968*(1+$O$5)^(($B$7-X968)/365.25)</f>
        <v>0</v>
      </c>
      <c r="AB968" s="64">
        <f t="shared" ref="AB968:AB1031" ca="1" si="593">Z968*(1+$O$5)^(($B$7-X968)/365.25)</f>
        <v>0</v>
      </c>
      <c r="AF968" t="str">
        <f t="shared" ca="1" si="573"/>
        <v>61964</v>
      </c>
      <c r="AG968" s="126">
        <f t="shared" ca="1" si="574"/>
        <v>0</v>
      </c>
      <c r="AH968" s="126">
        <f t="shared" ca="1" si="575"/>
        <v>0</v>
      </c>
      <c r="AI968" s="126">
        <f t="shared" ca="1" si="576"/>
        <v>0</v>
      </c>
      <c r="AJ968" t="str">
        <f t="shared" ca="1" si="577"/>
        <v>22104</v>
      </c>
      <c r="AK968" s="126">
        <f t="shared" ref="AK968:AK1031" ca="1" si="594">+_xlfn.IFNA(VLOOKUP(AJ968,$AF$7:$AG$1066,2,0),0)</f>
        <v>0</v>
      </c>
      <c r="AL968" s="126">
        <f t="shared" ref="AL968:AL1031" ca="1" si="595">+IF(W968&gt;W967,AK968,AL967+AK968)</f>
        <v>0</v>
      </c>
      <c r="AM968" s="126">
        <f t="shared" ca="1" si="570"/>
        <v>0</v>
      </c>
      <c r="AN968" s="753">
        <f t="shared" ca="1" si="571"/>
        <v>0</v>
      </c>
      <c r="AO968" s="750">
        <f t="shared" ref="AO968:AO1031" ca="1" si="596">+AK968-AN968</f>
        <v>0</v>
      </c>
      <c r="AP968" s="126">
        <f t="shared" ref="AP968:AP1031" ca="1" si="597">+_xlfn.IFNA(VLOOKUP(AJ968,$AF$7:$AI$1066,3,0),0)</f>
        <v>0</v>
      </c>
      <c r="AQ968" s="126">
        <f t="shared" ref="AQ968:AQ1031" ca="1" si="598">+IF(W968&gt;W967,AP968,AQ967+AP968)</f>
        <v>0</v>
      </c>
      <c r="AR968" s="126">
        <f t="shared" ca="1" si="578"/>
        <v>10000</v>
      </c>
      <c r="AS968" s="750">
        <f t="shared" ca="1" si="579"/>
        <v>0</v>
      </c>
      <c r="AT968" s="750">
        <f t="shared" ca="1" si="580"/>
        <v>0</v>
      </c>
      <c r="AU968" s="126">
        <f t="shared" ref="AU968:AU1031" ca="1" si="599">+_xlfn.IFNA(VLOOKUP(AJ968,$AF$7:$AI$1066,4,0),0)</f>
        <v>0</v>
      </c>
      <c r="AV968" s="126">
        <f t="shared" ref="AV968:AV1031" ca="1" si="600">+IF(W968&gt;W967,AU968,AV967+AU968)</f>
        <v>0</v>
      </c>
      <c r="AW968" s="126">
        <f t="shared" ca="1" si="581"/>
        <v>10000</v>
      </c>
      <c r="AX968" s="750">
        <f t="shared" ref="AX968:AX1031" ca="1" si="601">+MAX(IF(AV968&gt;AW968,AW968-AV967,AU968),0)</f>
        <v>0</v>
      </c>
      <c r="AY968" s="750">
        <f t="shared" ref="AY968:AY1031" ca="1" si="602">+AU968-AX968</f>
        <v>0</v>
      </c>
      <c r="AZ968">
        <f t="shared" ref="AZ968:AZ1031" si="603">+$AM$1+IF($AP$1&gt;$AP$2,$AM$3/2)</f>
        <v>5750</v>
      </c>
    </row>
    <row r="969" spans="4:52">
      <c r="D969">
        <v>962</v>
      </c>
      <c r="E969" s="6">
        <f t="shared" ca="1" si="582"/>
        <v>23498</v>
      </c>
      <c r="F969" s="7">
        <f t="shared" ca="1" si="583"/>
        <v>0</v>
      </c>
      <c r="G969" s="125">
        <f ca="1">IF('Simulador - 1º Pilar'!$E$99="Sí",IF('Aportaciones PPE'!$B$13&lt;'Aportaciones PPE'!E969,0,F969*$B$8/12),F969*$B$8/12)</f>
        <v>0</v>
      </c>
      <c r="H969" s="125">
        <f t="shared" ca="1" si="572"/>
        <v>0</v>
      </c>
      <c r="I969" s="125">
        <f t="shared" ca="1" si="584"/>
        <v>0</v>
      </c>
      <c r="J969" s="125">
        <f t="shared" ca="1" si="585"/>
        <v>0</v>
      </c>
      <c r="K969" s="125">
        <f t="shared" ca="1" si="586"/>
        <v>0</v>
      </c>
      <c r="L969" s="125">
        <f t="shared" ref="L969:L1032" ca="1" si="604">(1+$O$5)^(D969/12)*(I969+IF(AND(F969=1,F970=0),0))</f>
        <v>0</v>
      </c>
      <c r="M969" s="125">
        <f t="shared" ca="1" si="587"/>
        <v>0</v>
      </c>
      <c r="N969" s="125">
        <f t="shared" ca="1" si="588"/>
        <v>0</v>
      </c>
      <c r="R969">
        <f t="shared" ref="R969:R1032" si="605">D969</f>
        <v>962</v>
      </c>
      <c r="U969" s="55"/>
      <c r="V969">
        <f t="shared" ref="V969:V1032" si="606">+IF(V968=11,12,IF(V968=12,1,V968+1))</f>
        <v>3</v>
      </c>
      <c r="W969">
        <f t="shared" ref="W969:W1032" ca="1" si="607">+W968+IF(V968=12,1,0)</f>
        <v>2104</v>
      </c>
      <c r="X969" s="123">
        <f t="shared" ca="1" si="589"/>
        <v>74571</v>
      </c>
      <c r="Y969" s="64">
        <f t="shared" ca="1" si="590"/>
        <v>0</v>
      </c>
      <c r="Z969" s="64">
        <f t="shared" ca="1" si="591"/>
        <v>0</v>
      </c>
      <c r="AA969" s="64">
        <f t="shared" ca="1" si="592"/>
        <v>0</v>
      </c>
      <c r="AB969" s="64">
        <f t="shared" ca="1" si="593"/>
        <v>0</v>
      </c>
      <c r="AF969" t="str">
        <f t="shared" ca="1" si="573"/>
        <v>51964</v>
      </c>
      <c r="AG969" s="126">
        <f t="shared" ca="1" si="574"/>
        <v>0</v>
      </c>
      <c r="AH969" s="126">
        <f t="shared" ca="1" si="575"/>
        <v>0</v>
      </c>
      <c r="AI969" s="126">
        <f t="shared" ca="1" si="576"/>
        <v>0</v>
      </c>
      <c r="AJ969" t="str">
        <f t="shared" ca="1" si="577"/>
        <v>32104</v>
      </c>
      <c r="AK969" s="126">
        <f t="shared" ca="1" si="594"/>
        <v>0</v>
      </c>
      <c r="AL969" s="126">
        <f t="shared" ca="1" si="595"/>
        <v>0</v>
      </c>
      <c r="AM969" s="126">
        <f t="shared" ref="AM969:AM1032" ca="1" si="608">IF(W969&gt;W968,IF(AL969&gt;=$AZ$8,$AZ$8,AL969),IF(OR(AM968=$AZ$8,AM968=0),0,IF(AL969&gt;=$AZ$8,$AZ$8,AL969)))</f>
        <v>0</v>
      </c>
      <c r="AN969" s="753">
        <f t="shared" ref="AN969:AN1032" ca="1" si="609">+IF(OR(AM969&gt;AZ968,AM969=0),0,IF(AM969=AL969,AK969,$AZ$7-AL968))</f>
        <v>0</v>
      </c>
      <c r="AO969" s="750">
        <f t="shared" ca="1" si="596"/>
        <v>0</v>
      </c>
      <c r="AP969" s="126">
        <f t="shared" ca="1" si="597"/>
        <v>0</v>
      </c>
      <c r="AQ969" s="126">
        <f t="shared" ca="1" si="598"/>
        <v>0</v>
      </c>
      <c r="AR969" s="126">
        <f t="shared" ca="1" si="578"/>
        <v>10000</v>
      </c>
      <c r="AS969" s="750">
        <f t="shared" ca="1" si="579"/>
        <v>0</v>
      </c>
      <c r="AT969" s="750">
        <f t="shared" ca="1" si="580"/>
        <v>0</v>
      </c>
      <c r="AU969" s="126">
        <f t="shared" ca="1" si="599"/>
        <v>0</v>
      </c>
      <c r="AV969" s="126">
        <f t="shared" ca="1" si="600"/>
        <v>0</v>
      </c>
      <c r="AW969" s="126">
        <f t="shared" ca="1" si="581"/>
        <v>10000</v>
      </c>
      <c r="AX969" s="750">
        <f t="shared" ca="1" si="601"/>
        <v>0</v>
      </c>
      <c r="AY969" s="750">
        <f t="shared" ca="1" si="602"/>
        <v>0</v>
      </c>
      <c r="AZ969">
        <f t="shared" si="603"/>
        <v>5750</v>
      </c>
    </row>
    <row r="970" spans="4:52">
      <c r="D970">
        <v>963</v>
      </c>
      <c r="E970" s="6">
        <f t="shared" ca="1" si="582"/>
        <v>23468</v>
      </c>
      <c r="F970" s="7">
        <f t="shared" ca="1" si="583"/>
        <v>0</v>
      </c>
      <c r="G970" s="125">
        <f ca="1">IF('Simulador - 1º Pilar'!$E$99="Sí",IF('Aportaciones PPE'!$B$13&lt;'Aportaciones PPE'!E970,0,F970*$B$8/12),F970*$B$8/12)</f>
        <v>0</v>
      </c>
      <c r="H970" s="125">
        <f t="shared" ca="1" si="572"/>
        <v>0</v>
      </c>
      <c r="I970" s="125">
        <f t="shared" ca="1" si="584"/>
        <v>0</v>
      </c>
      <c r="J970" s="125">
        <f t="shared" ca="1" si="585"/>
        <v>0</v>
      </c>
      <c r="K970" s="125">
        <f t="shared" ca="1" si="586"/>
        <v>0</v>
      </c>
      <c r="L970" s="125">
        <f t="shared" ca="1" si="604"/>
        <v>0</v>
      </c>
      <c r="M970" s="125">
        <f t="shared" ca="1" si="587"/>
        <v>0</v>
      </c>
      <c r="N970" s="125">
        <f t="shared" ca="1" si="588"/>
        <v>0</v>
      </c>
      <c r="R970">
        <f t="shared" si="605"/>
        <v>963</v>
      </c>
      <c r="U970" s="55"/>
      <c r="V970">
        <f t="shared" si="606"/>
        <v>4</v>
      </c>
      <c r="W970">
        <f t="shared" ca="1" si="607"/>
        <v>2104</v>
      </c>
      <c r="X970" s="123">
        <f t="shared" ca="1" si="589"/>
        <v>74602</v>
      </c>
      <c r="Y970" s="64">
        <f t="shared" ca="1" si="590"/>
        <v>0</v>
      </c>
      <c r="Z970" s="64">
        <f t="shared" ca="1" si="591"/>
        <v>0</v>
      </c>
      <c r="AA970" s="64">
        <f t="shared" ca="1" si="592"/>
        <v>0</v>
      </c>
      <c r="AB970" s="64">
        <f t="shared" ca="1" si="593"/>
        <v>0</v>
      </c>
      <c r="AF970" t="str">
        <f t="shared" ca="1" si="573"/>
        <v>41964</v>
      </c>
      <c r="AG970" s="126">
        <f t="shared" ca="1" si="574"/>
        <v>0</v>
      </c>
      <c r="AH970" s="126">
        <f t="shared" ca="1" si="575"/>
        <v>0</v>
      </c>
      <c r="AI970" s="126">
        <f t="shared" ca="1" si="576"/>
        <v>0</v>
      </c>
      <c r="AJ970" t="str">
        <f t="shared" ca="1" si="577"/>
        <v>42104</v>
      </c>
      <c r="AK970" s="126">
        <f t="shared" ca="1" si="594"/>
        <v>0</v>
      </c>
      <c r="AL970" s="126">
        <f t="shared" ca="1" si="595"/>
        <v>0</v>
      </c>
      <c r="AM970" s="126">
        <f t="shared" ca="1" si="608"/>
        <v>0</v>
      </c>
      <c r="AN970" s="753">
        <f t="shared" ca="1" si="609"/>
        <v>0</v>
      </c>
      <c r="AO970" s="750">
        <f t="shared" ca="1" si="596"/>
        <v>0</v>
      </c>
      <c r="AP970" s="126">
        <f t="shared" ca="1" si="597"/>
        <v>0</v>
      </c>
      <c r="AQ970" s="126">
        <f t="shared" ca="1" si="598"/>
        <v>0</v>
      </c>
      <c r="AR970" s="126">
        <f t="shared" ca="1" si="578"/>
        <v>10000</v>
      </c>
      <c r="AS970" s="750">
        <f t="shared" ca="1" si="579"/>
        <v>0</v>
      </c>
      <c r="AT970" s="750">
        <f t="shared" ca="1" si="580"/>
        <v>0</v>
      </c>
      <c r="AU970" s="126">
        <f t="shared" ca="1" si="599"/>
        <v>0</v>
      </c>
      <c r="AV970" s="126">
        <f t="shared" ca="1" si="600"/>
        <v>0</v>
      </c>
      <c r="AW970" s="126">
        <f t="shared" ca="1" si="581"/>
        <v>10000</v>
      </c>
      <c r="AX970" s="750">
        <f t="shared" ca="1" si="601"/>
        <v>0</v>
      </c>
      <c r="AY970" s="750">
        <f t="shared" ca="1" si="602"/>
        <v>0</v>
      </c>
      <c r="AZ970">
        <f t="shared" si="603"/>
        <v>5750</v>
      </c>
    </row>
    <row r="971" spans="4:52">
      <c r="D971">
        <v>964</v>
      </c>
      <c r="E971" s="6">
        <f t="shared" ca="1" si="582"/>
        <v>23437</v>
      </c>
      <c r="F971" s="7">
        <f t="shared" ca="1" si="583"/>
        <v>0</v>
      </c>
      <c r="G971" s="125">
        <f ca="1">IF('Simulador - 1º Pilar'!$E$99="Sí",IF('Aportaciones PPE'!$B$13&lt;'Aportaciones PPE'!E971,0,F971*$B$8/12),F971*$B$8/12)</f>
        <v>0</v>
      </c>
      <c r="H971" s="125">
        <f t="shared" ca="1" si="572"/>
        <v>0</v>
      </c>
      <c r="I971" s="125">
        <f t="shared" ca="1" si="584"/>
        <v>0</v>
      </c>
      <c r="J971" s="125">
        <f t="shared" ca="1" si="585"/>
        <v>0</v>
      </c>
      <c r="K971" s="125">
        <f t="shared" ca="1" si="586"/>
        <v>0</v>
      </c>
      <c r="L971" s="125">
        <f t="shared" ca="1" si="604"/>
        <v>0</v>
      </c>
      <c r="M971" s="125">
        <f t="shared" ca="1" si="587"/>
        <v>0</v>
      </c>
      <c r="N971" s="125">
        <f t="shared" ca="1" si="588"/>
        <v>0</v>
      </c>
      <c r="R971">
        <f t="shared" si="605"/>
        <v>964</v>
      </c>
      <c r="U971" s="55"/>
      <c r="V971">
        <f t="shared" si="606"/>
        <v>5</v>
      </c>
      <c r="W971">
        <f t="shared" ca="1" si="607"/>
        <v>2104</v>
      </c>
      <c r="X971" s="123">
        <f t="shared" ca="1" si="589"/>
        <v>74632</v>
      </c>
      <c r="Y971" s="64">
        <f t="shared" ca="1" si="590"/>
        <v>0</v>
      </c>
      <c r="Z971" s="64">
        <f t="shared" ca="1" si="591"/>
        <v>0</v>
      </c>
      <c r="AA971" s="64">
        <f t="shared" ca="1" si="592"/>
        <v>0</v>
      </c>
      <c r="AB971" s="64">
        <f t="shared" ca="1" si="593"/>
        <v>0</v>
      </c>
      <c r="AF971" t="str">
        <f t="shared" ca="1" si="573"/>
        <v>31964</v>
      </c>
      <c r="AG971" s="126">
        <f t="shared" ca="1" si="574"/>
        <v>0</v>
      </c>
      <c r="AH971" s="126">
        <f t="shared" ca="1" si="575"/>
        <v>0</v>
      </c>
      <c r="AI971" s="126">
        <f t="shared" ca="1" si="576"/>
        <v>0</v>
      </c>
      <c r="AJ971" t="str">
        <f t="shared" ca="1" si="577"/>
        <v>52104</v>
      </c>
      <c r="AK971" s="126">
        <f t="shared" ca="1" si="594"/>
        <v>0</v>
      </c>
      <c r="AL971" s="126">
        <f t="shared" ca="1" si="595"/>
        <v>0</v>
      </c>
      <c r="AM971" s="126">
        <f t="shared" ca="1" si="608"/>
        <v>0</v>
      </c>
      <c r="AN971" s="753">
        <f t="shared" ca="1" si="609"/>
        <v>0</v>
      </c>
      <c r="AO971" s="750">
        <f t="shared" ca="1" si="596"/>
        <v>0</v>
      </c>
      <c r="AP971" s="126">
        <f t="shared" ca="1" si="597"/>
        <v>0</v>
      </c>
      <c r="AQ971" s="126">
        <f t="shared" ca="1" si="598"/>
        <v>0</v>
      </c>
      <c r="AR971" s="126">
        <f t="shared" ca="1" si="578"/>
        <v>10000</v>
      </c>
      <c r="AS971" s="750">
        <f t="shared" ca="1" si="579"/>
        <v>0</v>
      </c>
      <c r="AT971" s="750">
        <f t="shared" ca="1" si="580"/>
        <v>0</v>
      </c>
      <c r="AU971" s="126">
        <f t="shared" ca="1" si="599"/>
        <v>0</v>
      </c>
      <c r="AV971" s="126">
        <f t="shared" ca="1" si="600"/>
        <v>0</v>
      </c>
      <c r="AW971" s="126">
        <f t="shared" ca="1" si="581"/>
        <v>10000</v>
      </c>
      <c r="AX971" s="750">
        <f t="shared" ca="1" si="601"/>
        <v>0</v>
      </c>
      <c r="AY971" s="750">
        <f t="shared" ca="1" si="602"/>
        <v>0</v>
      </c>
      <c r="AZ971">
        <f t="shared" si="603"/>
        <v>5750</v>
      </c>
    </row>
    <row r="972" spans="4:52">
      <c r="D972">
        <v>965</v>
      </c>
      <c r="E972" s="6">
        <f t="shared" ca="1" si="582"/>
        <v>23408</v>
      </c>
      <c r="F972" s="7">
        <f t="shared" ca="1" si="583"/>
        <v>0</v>
      </c>
      <c r="G972" s="125">
        <f ca="1">IF('Simulador - 1º Pilar'!$E$99="Sí",IF('Aportaciones PPE'!$B$13&lt;'Aportaciones PPE'!E972,0,F972*$B$8/12),F972*$B$8/12)</f>
        <v>0</v>
      </c>
      <c r="H972" s="125">
        <f t="shared" ca="1" si="572"/>
        <v>0</v>
      </c>
      <c r="I972" s="125">
        <f t="shared" ca="1" si="584"/>
        <v>0</v>
      </c>
      <c r="J972" s="125">
        <f t="shared" ca="1" si="585"/>
        <v>0</v>
      </c>
      <c r="K972" s="125">
        <f t="shared" ca="1" si="586"/>
        <v>0</v>
      </c>
      <c r="L972" s="125">
        <f t="shared" ca="1" si="604"/>
        <v>0</v>
      </c>
      <c r="M972" s="125">
        <f t="shared" ca="1" si="587"/>
        <v>0</v>
      </c>
      <c r="N972" s="125">
        <f t="shared" ca="1" si="588"/>
        <v>0</v>
      </c>
      <c r="R972">
        <f t="shared" si="605"/>
        <v>965</v>
      </c>
      <c r="U972" s="55"/>
      <c r="V972">
        <f t="shared" si="606"/>
        <v>6</v>
      </c>
      <c r="W972">
        <f t="shared" ca="1" si="607"/>
        <v>2104</v>
      </c>
      <c r="X972" s="123">
        <f t="shared" ca="1" si="589"/>
        <v>74663</v>
      </c>
      <c r="Y972" s="64">
        <f t="shared" ca="1" si="590"/>
        <v>0</v>
      </c>
      <c r="Z972" s="64">
        <f t="shared" ca="1" si="591"/>
        <v>0</v>
      </c>
      <c r="AA972" s="64">
        <f t="shared" ca="1" si="592"/>
        <v>0</v>
      </c>
      <c r="AB972" s="64">
        <f t="shared" ca="1" si="593"/>
        <v>0</v>
      </c>
      <c r="AF972" t="str">
        <f t="shared" ca="1" si="573"/>
        <v>21964</v>
      </c>
      <c r="AG972" s="126">
        <f t="shared" ca="1" si="574"/>
        <v>0</v>
      </c>
      <c r="AH972" s="126">
        <f t="shared" ca="1" si="575"/>
        <v>0</v>
      </c>
      <c r="AI972" s="126">
        <f t="shared" ca="1" si="576"/>
        <v>0</v>
      </c>
      <c r="AJ972" t="str">
        <f t="shared" ca="1" si="577"/>
        <v>62104</v>
      </c>
      <c r="AK972" s="126">
        <f t="shared" ca="1" si="594"/>
        <v>0</v>
      </c>
      <c r="AL972" s="126">
        <f t="shared" ca="1" si="595"/>
        <v>0</v>
      </c>
      <c r="AM972" s="126">
        <f t="shared" ca="1" si="608"/>
        <v>0</v>
      </c>
      <c r="AN972" s="753">
        <f t="shared" ca="1" si="609"/>
        <v>0</v>
      </c>
      <c r="AO972" s="750">
        <f t="shared" ca="1" si="596"/>
        <v>0</v>
      </c>
      <c r="AP972" s="126">
        <f t="shared" ca="1" si="597"/>
        <v>0</v>
      </c>
      <c r="AQ972" s="126">
        <f t="shared" ca="1" si="598"/>
        <v>0</v>
      </c>
      <c r="AR972" s="126">
        <f t="shared" ca="1" si="578"/>
        <v>10000</v>
      </c>
      <c r="AS972" s="750">
        <f t="shared" ca="1" si="579"/>
        <v>0</v>
      </c>
      <c r="AT972" s="750">
        <f t="shared" ca="1" si="580"/>
        <v>0</v>
      </c>
      <c r="AU972" s="126">
        <f t="shared" ca="1" si="599"/>
        <v>0</v>
      </c>
      <c r="AV972" s="126">
        <f t="shared" ca="1" si="600"/>
        <v>0</v>
      </c>
      <c r="AW972" s="126">
        <f t="shared" ca="1" si="581"/>
        <v>10000</v>
      </c>
      <c r="AX972" s="750">
        <f t="shared" ca="1" si="601"/>
        <v>0</v>
      </c>
      <c r="AY972" s="750">
        <f t="shared" ca="1" si="602"/>
        <v>0</v>
      </c>
      <c r="AZ972">
        <f t="shared" si="603"/>
        <v>5750</v>
      </c>
    </row>
    <row r="973" spans="4:52">
      <c r="D973">
        <v>966</v>
      </c>
      <c r="E973" s="6">
        <f t="shared" ca="1" si="582"/>
        <v>23377</v>
      </c>
      <c r="F973" s="7">
        <f t="shared" ca="1" si="583"/>
        <v>0</v>
      </c>
      <c r="G973" s="125">
        <f ca="1">IF('Simulador - 1º Pilar'!$E$99="Sí",IF('Aportaciones PPE'!$B$13&lt;'Aportaciones PPE'!E973,0,F973*$B$8/12),F973*$B$8/12)</f>
        <v>0</v>
      </c>
      <c r="H973" s="125">
        <f t="shared" ca="1" si="572"/>
        <v>0</v>
      </c>
      <c r="I973" s="125">
        <f t="shared" ca="1" si="584"/>
        <v>0</v>
      </c>
      <c r="J973" s="125">
        <f t="shared" ca="1" si="585"/>
        <v>0</v>
      </c>
      <c r="K973" s="125">
        <f t="shared" ca="1" si="586"/>
        <v>0</v>
      </c>
      <c r="L973" s="125">
        <f t="shared" ca="1" si="604"/>
        <v>0</v>
      </c>
      <c r="M973" s="125">
        <f t="shared" ca="1" si="587"/>
        <v>0</v>
      </c>
      <c r="N973" s="125">
        <f t="shared" ca="1" si="588"/>
        <v>0</v>
      </c>
      <c r="R973">
        <f t="shared" si="605"/>
        <v>966</v>
      </c>
      <c r="U973" s="55"/>
      <c r="V973">
        <f t="shared" si="606"/>
        <v>7</v>
      </c>
      <c r="W973">
        <f t="shared" ca="1" si="607"/>
        <v>2104</v>
      </c>
      <c r="X973" s="123">
        <f t="shared" ca="1" si="589"/>
        <v>74693</v>
      </c>
      <c r="Y973" s="64">
        <f t="shared" ca="1" si="590"/>
        <v>0</v>
      </c>
      <c r="Z973" s="64">
        <f t="shared" ca="1" si="591"/>
        <v>0</v>
      </c>
      <c r="AA973" s="64">
        <f t="shared" ca="1" si="592"/>
        <v>0</v>
      </c>
      <c r="AB973" s="64">
        <f t="shared" ca="1" si="593"/>
        <v>0</v>
      </c>
      <c r="AF973" t="str">
        <f t="shared" ca="1" si="573"/>
        <v>11964</v>
      </c>
      <c r="AG973" s="126">
        <f t="shared" ca="1" si="574"/>
        <v>0</v>
      </c>
      <c r="AH973" s="126">
        <f t="shared" ca="1" si="575"/>
        <v>0</v>
      </c>
      <c r="AI973" s="126">
        <f t="shared" ca="1" si="576"/>
        <v>0</v>
      </c>
      <c r="AJ973" t="str">
        <f t="shared" ca="1" si="577"/>
        <v>72104</v>
      </c>
      <c r="AK973" s="126">
        <f t="shared" ca="1" si="594"/>
        <v>0</v>
      </c>
      <c r="AL973" s="126">
        <f t="shared" ca="1" si="595"/>
        <v>0</v>
      </c>
      <c r="AM973" s="126">
        <f t="shared" ca="1" si="608"/>
        <v>0</v>
      </c>
      <c r="AN973" s="753">
        <f t="shared" ca="1" si="609"/>
        <v>0</v>
      </c>
      <c r="AO973" s="750">
        <f t="shared" ca="1" si="596"/>
        <v>0</v>
      </c>
      <c r="AP973" s="126">
        <f t="shared" ca="1" si="597"/>
        <v>0</v>
      </c>
      <c r="AQ973" s="126">
        <f t="shared" ca="1" si="598"/>
        <v>0</v>
      </c>
      <c r="AR973" s="126">
        <f t="shared" ca="1" si="578"/>
        <v>10000</v>
      </c>
      <c r="AS973" s="750">
        <f t="shared" ca="1" si="579"/>
        <v>0</v>
      </c>
      <c r="AT973" s="750">
        <f t="shared" ca="1" si="580"/>
        <v>0</v>
      </c>
      <c r="AU973" s="126">
        <f t="shared" ca="1" si="599"/>
        <v>0</v>
      </c>
      <c r="AV973" s="126">
        <f t="shared" ca="1" si="600"/>
        <v>0</v>
      </c>
      <c r="AW973" s="126">
        <f t="shared" ca="1" si="581"/>
        <v>10000</v>
      </c>
      <c r="AX973" s="750">
        <f t="shared" ca="1" si="601"/>
        <v>0</v>
      </c>
      <c r="AY973" s="750">
        <f t="shared" ca="1" si="602"/>
        <v>0</v>
      </c>
      <c r="AZ973">
        <f t="shared" si="603"/>
        <v>5750</v>
      </c>
    </row>
    <row r="974" spans="4:52">
      <c r="D974">
        <v>967</v>
      </c>
      <c r="E974" s="6">
        <f t="shared" ca="1" si="582"/>
        <v>23346</v>
      </c>
      <c r="F974" s="7">
        <f t="shared" ca="1" si="583"/>
        <v>0</v>
      </c>
      <c r="G974" s="125">
        <f ca="1">IF('Simulador - 1º Pilar'!$E$99="Sí",IF('Aportaciones PPE'!$B$13&lt;'Aportaciones PPE'!E974,0,F974*$B$8/12),F974*$B$8/12)</f>
        <v>0</v>
      </c>
      <c r="H974" s="125">
        <f t="shared" ca="1" si="572"/>
        <v>0</v>
      </c>
      <c r="I974" s="125">
        <f t="shared" ca="1" si="584"/>
        <v>0</v>
      </c>
      <c r="J974" s="125">
        <f t="shared" ca="1" si="585"/>
        <v>0</v>
      </c>
      <c r="K974" s="125">
        <f t="shared" ca="1" si="586"/>
        <v>0</v>
      </c>
      <c r="L974" s="125">
        <f t="shared" ca="1" si="604"/>
        <v>0</v>
      </c>
      <c r="M974" s="125">
        <f t="shared" ca="1" si="587"/>
        <v>0</v>
      </c>
      <c r="N974" s="125">
        <f t="shared" ca="1" si="588"/>
        <v>0</v>
      </c>
      <c r="R974">
        <f t="shared" si="605"/>
        <v>967</v>
      </c>
      <c r="U974" s="55"/>
      <c r="V974">
        <f t="shared" si="606"/>
        <v>8</v>
      </c>
      <c r="W974">
        <f t="shared" ca="1" si="607"/>
        <v>2104</v>
      </c>
      <c r="X974" s="123">
        <f t="shared" ca="1" si="589"/>
        <v>74724</v>
      </c>
      <c r="Y974" s="64">
        <f t="shared" ca="1" si="590"/>
        <v>0</v>
      </c>
      <c r="Z974" s="64">
        <f t="shared" ca="1" si="591"/>
        <v>0</v>
      </c>
      <c r="AA974" s="64">
        <f t="shared" ca="1" si="592"/>
        <v>0</v>
      </c>
      <c r="AB974" s="64">
        <f t="shared" ca="1" si="593"/>
        <v>0</v>
      </c>
      <c r="AF974" t="str">
        <f t="shared" ca="1" si="573"/>
        <v>121963</v>
      </c>
      <c r="AG974" s="126">
        <f t="shared" ca="1" si="574"/>
        <v>0</v>
      </c>
      <c r="AH974" s="126">
        <f t="shared" ca="1" si="575"/>
        <v>0</v>
      </c>
      <c r="AI974" s="126">
        <f t="shared" ca="1" si="576"/>
        <v>0</v>
      </c>
      <c r="AJ974" t="str">
        <f t="shared" ca="1" si="577"/>
        <v>82104</v>
      </c>
      <c r="AK974" s="126">
        <f t="shared" ca="1" si="594"/>
        <v>0</v>
      </c>
      <c r="AL974" s="126">
        <f t="shared" ca="1" si="595"/>
        <v>0</v>
      </c>
      <c r="AM974" s="126">
        <f t="shared" ca="1" si="608"/>
        <v>0</v>
      </c>
      <c r="AN974" s="753">
        <f t="shared" ca="1" si="609"/>
        <v>0</v>
      </c>
      <c r="AO974" s="750">
        <f t="shared" ca="1" si="596"/>
        <v>0</v>
      </c>
      <c r="AP974" s="126">
        <f t="shared" ca="1" si="597"/>
        <v>0</v>
      </c>
      <c r="AQ974" s="126">
        <f t="shared" ca="1" si="598"/>
        <v>0</v>
      </c>
      <c r="AR974" s="126">
        <f t="shared" ca="1" si="578"/>
        <v>10000</v>
      </c>
      <c r="AS974" s="750">
        <f t="shared" ca="1" si="579"/>
        <v>0</v>
      </c>
      <c r="AT974" s="750">
        <f t="shared" ca="1" si="580"/>
        <v>0</v>
      </c>
      <c r="AU974" s="126">
        <f t="shared" ca="1" si="599"/>
        <v>0</v>
      </c>
      <c r="AV974" s="126">
        <f t="shared" ca="1" si="600"/>
        <v>0</v>
      </c>
      <c r="AW974" s="126">
        <f t="shared" ca="1" si="581"/>
        <v>10000</v>
      </c>
      <c r="AX974" s="750">
        <f t="shared" ca="1" si="601"/>
        <v>0</v>
      </c>
      <c r="AY974" s="750">
        <f t="shared" ca="1" si="602"/>
        <v>0</v>
      </c>
      <c r="AZ974">
        <f t="shared" si="603"/>
        <v>5750</v>
      </c>
    </row>
    <row r="975" spans="4:52">
      <c r="D975">
        <v>968</v>
      </c>
      <c r="E975" s="6">
        <f t="shared" ca="1" si="582"/>
        <v>23316</v>
      </c>
      <c r="F975" s="7">
        <f t="shared" ca="1" si="583"/>
        <v>0</v>
      </c>
      <c r="G975" s="125">
        <f ca="1">IF('Simulador - 1º Pilar'!$E$99="Sí",IF('Aportaciones PPE'!$B$13&lt;'Aportaciones PPE'!E975,0,F975*$B$8/12),F975*$B$8/12)</f>
        <v>0</v>
      </c>
      <c r="H975" s="125">
        <f t="shared" ca="1" si="572"/>
        <v>0</v>
      </c>
      <c r="I975" s="125">
        <f t="shared" ca="1" si="584"/>
        <v>0</v>
      </c>
      <c r="J975" s="125">
        <f t="shared" ca="1" si="585"/>
        <v>0</v>
      </c>
      <c r="K975" s="125">
        <f t="shared" ca="1" si="586"/>
        <v>0</v>
      </c>
      <c r="L975" s="125">
        <f t="shared" ca="1" si="604"/>
        <v>0</v>
      </c>
      <c r="M975" s="125">
        <f t="shared" ca="1" si="587"/>
        <v>0</v>
      </c>
      <c r="N975" s="125">
        <f t="shared" ca="1" si="588"/>
        <v>0</v>
      </c>
      <c r="R975">
        <f t="shared" si="605"/>
        <v>968</v>
      </c>
      <c r="U975" s="55"/>
      <c r="V975">
        <f t="shared" si="606"/>
        <v>9</v>
      </c>
      <c r="W975">
        <f t="shared" ca="1" si="607"/>
        <v>2104</v>
      </c>
      <c r="X975" s="123">
        <f t="shared" ca="1" si="589"/>
        <v>74755</v>
      </c>
      <c r="Y975" s="64">
        <f t="shared" ca="1" si="590"/>
        <v>0</v>
      </c>
      <c r="Z975" s="64">
        <f t="shared" ca="1" si="591"/>
        <v>0</v>
      </c>
      <c r="AA975" s="64">
        <f t="shared" ca="1" si="592"/>
        <v>0</v>
      </c>
      <c r="AB975" s="64">
        <f t="shared" ca="1" si="593"/>
        <v>0</v>
      </c>
      <c r="AF975" t="str">
        <f t="shared" ca="1" si="573"/>
        <v>111963</v>
      </c>
      <c r="AG975" s="126">
        <f t="shared" ca="1" si="574"/>
        <v>0</v>
      </c>
      <c r="AH975" s="126">
        <f t="shared" ca="1" si="575"/>
        <v>0</v>
      </c>
      <c r="AI975" s="126">
        <f t="shared" ca="1" si="576"/>
        <v>0</v>
      </c>
      <c r="AJ975" t="str">
        <f t="shared" ca="1" si="577"/>
        <v>92104</v>
      </c>
      <c r="AK975" s="126">
        <f t="shared" ca="1" si="594"/>
        <v>0</v>
      </c>
      <c r="AL975" s="126">
        <f t="shared" ca="1" si="595"/>
        <v>0</v>
      </c>
      <c r="AM975" s="126">
        <f t="shared" ca="1" si="608"/>
        <v>0</v>
      </c>
      <c r="AN975" s="753">
        <f t="shared" ca="1" si="609"/>
        <v>0</v>
      </c>
      <c r="AO975" s="750">
        <f t="shared" ca="1" si="596"/>
        <v>0</v>
      </c>
      <c r="AP975" s="126">
        <f t="shared" ca="1" si="597"/>
        <v>0</v>
      </c>
      <c r="AQ975" s="126">
        <f t="shared" ca="1" si="598"/>
        <v>0</v>
      </c>
      <c r="AR975" s="126">
        <f t="shared" ca="1" si="578"/>
        <v>10000</v>
      </c>
      <c r="AS975" s="750">
        <f t="shared" ca="1" si="579"/>
        <v>0</v>
      </c>
      <c r="AT975" s="750">
        <f t="shared" ca="1" si="580"/>
        <v>0</v>
      </c>
      <c r="AU975" s="126">
        <f t="shared" ca="1" si="599"/>
        <v>0</v>
      </c>
      <c r="AV975" s="126">
        <f t="shared" ca="1" si="600"/>
        <v>0</v>
      </c>
      <c r="AW975" s="126">
        <f t="shared" ca="1" si="581"/>
        <v>10000</v>
      </c>
      <c r="AX975" s="750">
        <f t="shared" ca="1" si="601"/>
        <v>0</v>
      </c>
      <c r="AY975" s="750">
        <f t="shared" ca="1" si="602"/>
        <v>0</v>
      </c>
      <c r="AZ975">
        <f t="shared" si="603"/>
        <v>5750</v>
      </c>
    </row>
    <row r="976" spans="4:52">
      <c r="D976">
        <v>969</v>
      </c>
      <c r="E976" s="6">
        <f t="shared" ca="1" si="582"/>
        <v>23285</v>
      </c>
      <c r="F976" s="7">
        <f t="shared" ca="1" si="583"/>
        <v>0</v>
      </c>
      <c r="G976" s="125">
        <f ca="1">IF('Simulador - 1º Pilar'!$E$99="Sí",IF('Aportaciones PPE'!$B$13&lt;'Aportaciones PPE'!E976,0,F976*$B$8/12),F976*$B$8/12)</f>
        <v>0</v>
      </c>
      <c r="H976" s="125">
        <f t="shared" ca="1" si="572"/>
        <v>0</v>
      </c>
      <c r="I976" s="125">
        <f t="shared" ca="1" si="584"/>
        <v>0</v>
      </c>
      <c r="J976" s="125">
        <f t="shared" ca="1" si="585"/>
        <v>0</v>
      </c>
      <c r="K976" s="125">
        <f t="shared" ca="1" si="586"/>
        <v>0</v>
      </c>
      <c r="L976" s="125">
        <f t="shared" ca="1" si="604"/>
        <v>0</v>
      </c>
      <c r="M976" s="125">
        <f t="shared" ca="1" si="587"/>
        <v>0</v>
      </c>
      <c r="N976" s="125">
        <f t="shared" ca="1" si="588"/>
        <v>0</v>
      </c>
      <c r="R976">
        <f t="shared" si="605"/>
        <v>969</v>
      </c>
      <c r="U976" s="55"/>
      <c r="V976">
        <f t="shared" si="606"/>
        <v>10</v>
      </c>
      <c r="W976">
        <f t="shared" ca="1" si="607"/>
        <v>2104</v>
      </c>
      <c r="X976" s="123">
        <f t="shared" ca="1" si="589"/>
        <v>74785</v>
      </c>
      <c r="Y976" s="64">
        <f t="shared" ca="1" si="590"/>
        <v>0</v>
      </c>
      <c r="Z976" s="64">
        <f t="shared" ca="1" si="591"/>
        <v>0</v>
      </c>
      <c r="AA976" s="64">
        <f t="shared" ca="1" si="592"/>
        <v>0</v>
      </c>
      <c r="AB976" s="64">
        <f t="shared" ca="1" si="593"/>
        <v>0</v>
      </c>
      <c r="AF976" t="str">
        <f t="shared" ca="1" si="573"/>
        <v>101963</v>
      </c>
      <c r="AG976" s="126">
        <f t="shared" ca="1" si="574"/>
        <v>0</v>
      </c>
      <c r="AH976" s="126">
        <f t="shared" ca="1" si="575"/>
        <v>0</v>
      </c>
      <c r="AI976" s="126">
        <f t="shared" ca="1" si="576"/>
        <v>0</v>
      </c>
      <c r="AJ976" t="str">
        <f t="shared" ca="1" si="577"/>
        <v>102104</v>
      </c>
      <c r="AK976" s="126">
        <f t="shared" ca="1" si="594"/>
        <v>0</v>
      </c>
      <c r="AL976" s="126">
        <f t="shared" ca="1" si="595"/>
        <v>0</v>
      </c>
      <c r="AM976" s="126">
        <f t="shared" ca="1" si="608"/>
        <v>0</v>
      </c>
      <c r="AN976" s="753">
        <f t="shared" ca="1" si="609"/>
        <v>0</v>
      </c>
      <c r="AO976" s="750">
        <f t="shared" ca="1" si="596"/>
        <v>0</v>
      </c>
      <c r="AP976" s="126">
        <f t="shared" ca="1" si="597"/>
        <v>0</v>
      </c>
      <c r="AQ976" s="126">
        <f t="shared" ca="1" si="598"/>
        <v>0</v>
      </c>
      <c r="AR976" s="126">
        <f t="shared" ca="1" si="578"/>
        <v>10000</v>
      </c>
      <c r="AS976" s="750">
        <f t="shared" ca="1" si="579"/>
        <v>0</v>
      </c>
      <c r="AT976" s="750">
        <f t="shared" ca="1" si="580"/>
        <v>0</v>
      </c>
      <c r="AU976" s="126">
        <f t="shared" ca="1" si="599"/>
        <v>0</v>
      </c>
      <c r="AV976" s="126">
        <f t="shared" ca="1" si="600"/>
        <v>0</v>
      </c>
      <c r="AW976" s="126">
        <f t="shared" ca="1" si="581"/>
        <v>10000</v>
      </c>
      <c r="AX976" s="750">
        <f t="shared" ca="1" si="601"/>
        <v>0</v>
      </c>
      <c r="AY976" s="750">
        <f t="shared" ca="1" si="602"/>
        <v>0</v>
      </c>
      <c r="AZ976">
        <f t="shared" si="603"/>
        <v>5750</v>
      </c>
    </row>
    <row r="977" spans="4:52">
      <c r="D977">
        <v>970</v>
      </c>
      <c r="E977" s="6">
        <f t="shared" ca="1" si="582"/>
        <v>23255</v>
      </c>
      <c r="F977" s="7">
        <f t="shared" ca="1" si="583"/>
        <v>0</v>
      </c>
      <c r="G977" s="125">
        <f ca="1">IF('Simulador - 1º Pilar'!$E$99="Sí",IF('Aportaciones PPE'!$B$13&lt;'Aportaciones PPE'!E977,0,F977*$B$8/12),F977*$B$8/12)</f>
        <v>0</v>
      </c>
      <c r="H977" s="125">
        <f t="shared" ca="1" si="572"/>
        <v>0</v>
      </c>
      <c r="I977" s="125">
        <f t="shared" ca="1" si="584"/>
        <v>0</v>
      </c>
      <c r="J977" s="125">
        <f t="shared" ca="1" si="585"/>
        <v>0</v>
      </c>
      <c r="K977" s="125">
        <f t="shared" ca="1" si="586"/>
        <v>0</v>
      </c>
      <c r="L977" s="125">
        <f t="shared" ca="1" si="604"/>
        <v>0</v>
      </c>
      <c r="M977" s="125">
        <f t="shared" ca="1" si="587"/>
        <v>0</v>
      </c>
      <c r="N977" s="125">
        <f t="shared" ca="1" si="588"/>
        <v>0</v>
      </c>
      <c r="R977">
        <f t="shared" si="605"/>
        <v>970</v>
      </c>
      <c r="U977" s="55"/>
      <c r="V977">
        <f t="shared" si="606"/>
        <v>11</v>
      </c>
      <c r="W977">
        <f t="shared" ca="1" si="607"/>
        <v>2104</v>
      </c>
      <c r="X977" s="123">
        <f t="shared" ca="1" si="589"/>
        <v>74816</v>
      </c>
      <c r="Y977" s="64">
        <f t="shared" ca="1" si="590"/>
        <v>0</v>
      </c>
      <c r="Z977" s="64">
        <f t="shared" ca="1" si="591"/>
        <v>0</v>
      </c>
      <c r="AA977" s="64">
        <f t="shared" ca="1" si="592"/>
        <v>0</v>
      </c>
      <c r="AB977" s="64">
        <f t="shared" ca="1" si="593"/>
        <v>0</v>
      </c>
      <c r="AF977" t="str">
        <f t="shared" ca="1" si="573"/>
        <v>91963</v>
      </c>
      <c r="AG977" s="126">
        <f t="shared" ca="1" si="574"/>
        <v>0</v>
      </c>
      <c r="AH977" s="126">
        <f t="shared" ca="1" si="575"/>
        <v>0</v>
      </c>
      <c r="AI977" s="126">
        <f t="shared" ca="1" si="576"/>
        <v>0</v>
      </c>
      <c r="AJ977" t="str">
        <f t="shared" ca="1" si="577"/>
        <v>112104</v>
      </c>
      <c r="AK977" s="126">
        <f t="shared" ca="1" si="594"/>
        <v>0</v>
      </c>
      <c r="AL977" s="126">
        <f t="shared" ca="1" si="595"/>
        <v>0</v>
      </c>
      <c r="AM977" s="126">
        <f t="shared" ca="1" si="608"/>
        <v>0</v>
      </c>
      <c r="AN977" s="753">
        <f t="shared" ca="1" si="609"/>
        <v>0</v>
      </c>
      <c r="AO977" s="750">
        <f t="shared" ca="1" si="596"/>
        <v>0</v>
      </c>
      <c r="AP977" s="126">
        <f t="shared" ca="1" si="597"/>
        <v>0</v>
      </c>
      <c r="AQ977" s="126">
        <f t="shared" ca="1" si="598"/>
        <v>0</v>
      </c>
      <c r="AR977" s="126">
        <f t="shared" ca="1" si="578"/>
        <v>10000</v>
      </c>
      <c r="AS977" s="750">
        <f t="shared" ca="1" si="579"/>
        <v>0</v>
      </c>
      <c r="AT977" s="750">
        <f t="shared" ca="1" si="580"/>
        <v>0</v>
      </c>
      <c r="AU977" s="126">
        <f t="shared" ca="1" si="599"/>
        <v>0</v>
      </c>
      <c r="AV977" s="126">
        <f t="shared" ca="1" si="600"/>
        <v>0</v>
      </c>
      <c r="AW977" s="126">
        <f t="shared" ca="1" si="581"/>
        <v>10000</v>
      </c>
      <c r="AX977" s="750">
        <f t="shared" ca="1" si="601"/>
        <v>0</v>
      </c>
      <c r="AY977" s="750">
        <f t="shared" ca="1" si="602"/>
        <v>0</v>
      </c>
      <c r="AZ977">
        <f t="shared" si="603"/>
        <v>5750</v>
      </c>
    </row>
    <row r="978" spans="4:52">
      <c r="D978">
        <v>971</v>
      </c>
      <c r="E978" s="6">
        <f t="shared" ca="1" si="582"/>
        <v>23224</v>
      </c>
      <c r="F978" s="7">
        <f t="shared" ca="1" si="583"/>
        <v>0</v>
      </c>
      <c r="G978" s="125">
        <f ca="1">IF('Simulador - 1º Pilar'!$E$99="Sí",IF('Aportaciones PPE'!$B$13&lt;'Aportaciones PPE'!E978,0,F978*$B$8/12),F978*$B$8/12)</f>
        <v>0</v>
      </c>
      <c r="H978" s="125">
        <f t="shared" ca="1" si="572"/>
        <v>0</v>
      </c>
      <c r="I978" s="125">
        <f t="shared" ca="1" si="584"/>
        <v>0</v>
      </c>
      <c r="J978" s="125">
        <f t="shared" ca="1" si="585"/>
        <v>0</v>
      </c>
      <c r="K978" s="125">
        <f t="shared" ca="1" si="586"/>
        <v>0</v>
      </c>
      <c r="L978" s="125">
        <f t="shared" ca="1" si="604"/>
        <v>0</v>
      </c>
      <c r="M978" s="125">
        <f t="shared" ca="1" si="587"/>
        <v>0</v>
      </c>
      <c r="N978" s="125">
        <f t="shared" ca="1" si="588"/>
        <v>0</v>
      </c>
      <c r="R978">
        <f t="shared" si="605"/>
        <v>971</v>
      </c>
      <c r="U978" s="55"/>
      <c r="V978">
        <f t="shared" si="606"/>
        <v>12</v>
      </c>
      <c r="W978">
        <f t="shared" ca="1" si="607"/>
        <v>2104</v>
      </c>
      <c r="X978" s="123">
        <f t="shared" ca="1" si="589"/>
        <v>74846</v>
      </c>
      <c r="Y978" s="64">
        <f t="shared" ca="1" si="590"/>
        <v>0</v>
      </c>
      <c r="Z978" s="64">
        <f t="shared" ca="1" si="591"/>
        <v>0</v>
      </c>
      <c r="AA978" s="64">
        <f t="shared" ca="1" si="592"/>
        <v>0</v>
      </c>
      <c r="AB978" s="64">
        <f t="shared" ca="1" si="593"/>
        <v>0</v>
      </c>
      <c r="AF978" t="str">
        <f t="shared" ca="1" si="573"/>
        <v>81963</v>
      </c>
      <c r="AG978" s="126">
        <f t="shared" ca="1" si="574"/>
        <v>0</v>
      </c>
      <c r="AH978" s="126">
        <f t="shared" ca="1" si="575"/>
        <v>0</v>
      </c>
      <c r="AI978" s="126">
        <f t="shared" ca="1" si="576"/>
        <v>0</v>
      </c>
      <c r="AJ978" t="str">
        <f t="shared" ca="1" si="577"/>
        <v>122104</v>
      </c>
      <c r="AK978" s="126">
        <f t="shared" ca="1" si="594"/>
        <v>0</v>
      </c>
      <c r="AL978" s="126">
        <f t="shared" ca="1" si="595"/>
        <v>0</v>
      </c>
      <c r="AM978" s="126">
        <f t="shared" ca="1" si="608"/>
        <v>0</v>
      </c>
      <c r="AN978" s="753">
        <f t="shared" ca="1" si="609"/>
        <v>0</v>
      </c>
      <c r="AO978" s="750">
        <f t="shared" ca="1" si="596"/>
        <v>0</v>
      </c>
      <c r="AP978" s="126">
        <f t="shared" ca="1" si="597"/>
        <v>0</v>
      </c>
      <c r="AQ978" s="126">
        <f t="shared" ca="1" si="598"/>
        <v>0</v>
      </c>
      <c r="AR978" s="126">
        <f t="shared" ca="1" si="578"/>
        <v>10000</v>
      </c>
      <c r="AS978" s="750">
        <f t="shared" ca="1" si="579"/>
        <v>0</v>
      </c>
      <c r="AT978" s="750">
        <f t="shared" ca="1" si="580"/>
        <v>0</v>
      </c>
      <c r="AU978" s="126">
        <f t="shared" ca="1" si="599"/>
        <v>0</v>
      </c>
      <c r="AV978" s="126">
        <f t="shared" ca="1" si="600"/>
        <v>0</v>
      </c>
      <c r="AW978" s="126">
        <f t="shared" ca="1" si="581"/>
        <v>10000</v>
      </c>
      <c r="AX978" s="750">
        <f t="shared" ca="1" si="601"/>
        <v>0</v>
      </c>
      <c r="AY978" s="750">
        <f t="shared" ca="1" si="602"/>
        <v>0</v>
      </c>
      <c r="AZ978">
        <f t="shared" si="603"/>
        <v>5750</v>
      </c>
    </row>
    <row r="979" spans="4:52">
      <c r="D979">
        <v>972</v>
      </c>
      <c r="E979" s="6">
        <f t="shared" ca="1" si="582"/>
        <v>23193</v>
      </c>
      <c r="F979" s="7">
        <f t="shared" ca="1" si="583"/>
        <v>0</v>
      </c>
      <c r="G979" s="125">
        <f ca="1">IF('Simulador - 1º Pilar'!$E$99="Sí",IF('Aportaciones PPE'!$B$13&lt;'Aportaciones PPE'!E979,0,F979*$B$8/12),F979*$B$8/12)</f>
        <v>0</v>
      </c>
      <c r="H979" s="125">
        <f t="shared" ca="1" si="572"/>
        <v>0</v>
      </c>
      <c r="I979" s="125">
        <f t="shared" ca="1" si="584"/>
        <v>0</v>
      </c>
      <c r="J979" s="125">
        <f t="shared" ca="1" si="585"/>
        <v>0</v>
      </c>
      <c r="K979" s="125">
        <f t="shared" ca="1" si="586"/>
        <v>0</v>
      </c>
      <c r="L979" s="125">
        <f t="shared" ca="1" si="604"/>
        <v>0</v>
      </c>
      <c r="M979" s="125">
        <f t="shared" ca="1" si="587"/>
        <v>0</v>
      </c>
      <c r="N979" s="125">
        <f t="shared" ca="1" si="588"/>
        <v>0</v>
      </c>
      <c r="R979">
        <f t="shared" si="605"/>
        <v>972</v>
      </c>
      <c r="U979" s="55"/>
      <c r="V979">
        <f t="shared" si="606"/>
        <v>1</v>
      </c>
      <c r="W979">
        <f t="shared" ca="1" si="607"/>
        <v>2105</v>
      </c>
      <c r="X979" s="123">
        <f t="shared" ca="1" si="589"/>
        <v>74877</v>
      </c>
      <c r="Y979" s="64">
        <f t="shared" ca="1" si="590"/>
        <v>0</v>
      </c>
      <c r="Z979" s="64">
        <f t="shared" ca="1" si="591"/>
        <v>0</v>
      </c>
      <c r="AA979" s="64">
        <f t="shared" ca="1" si="592"/>
        <v>0</v>
      </c>
      <c r="AB979" s="64">
        <f t="shared" ca="1" si="593"/>
        <v>0</v>
      </c>
      <c r="AF979" t="str">
        <f t="shared" ca="1" si="573"/>
        <v>71963</v>
      </c>
      <c r="AG979" s="126">
        <f t="shared" ca="1" si="574"/>
        <v>0</v>
      </c>
      <c r="AH979" s="126">
        <f t="shared" ca="1" si="575"/>
        <v>0</v>
      </c>
      <c r="AI979" s="126">
        <f t="shared" ca="1" si="576"/>
        <v>0</v>
      </c>
      <c r="AJ979" t="str">
        <f t="shared" ca="1" si="577"/>
        <v>12105</v>
      </c>
      <c r="AK979" s="126">
        <f t="shared" ca="1" si="594"/>
        <v>0</v>
      </c>
      <c r="AL979" s="126">
        <f t="shared" ca="1" si="595"/>
        <v>0</v>
      </c>
      <c r="AM979" s="126">
        <f t="shared" ca="1" si="608"/>
        <v>0</v>
      </c>
      <c r="AN979" s="753">
        <f t="shared" ca="1" si="609"/>
        <v>0</v>
      </c>
      <c r="AO979" s="750">
        <f t="shared" ca="1" si="596"/>
        <v>0</v>
      </c>
      <c r="AP979" s="126">
        <f t="shared" ca="1" si="597"/>
        <v>0</v>
      </c>
      <c r="AQ979" s="126">
        <f t="shared" ca="1" si="598"/>
        <v>0</v>
      </c>
      <c r="AR979" s="126">
        <f t="shared" ca="1" si="578"/>
        <v>10000</v>
      </c>
      <c r="AS979" s="750">
        <f t="shared" ca="1" si="579"/>
        <v>0</v>
      </c>
      <c r="AT979" s="750">
        <f t="shared" ca="1" si="580"/>
        <v>0</v>
      </c>
      <c r="AU979" s="126">
        <f t="shared" ca="1" si="599"/>
        <v>0</v>
      </c>
      <c r="AV979" s="126">
        <f t="shared" ca="1" si="600"/>
        <v>0</v>
      </c>
      <c r="AW979" s="126">
        <f t="shared" ca="1" si="581"/>
        <v>10000</v>
      </c>
      <c r="AX979" s="750">
        <f t="shared" ca="1" si="601"/>
        <v>0</v>
      </c>
      <c r="AY979" s="750">
        <f t="shared" ca="1" si="602"/>
        <v>0</v>
      </c>
      <c r="AZ979">
        <f t="shared" si="603"/>
        <v>5750</v>
      </c>
    </row>
    <row r="980" spans="4:52">
      <c r="D980">
        <v>973</v>
      </c>
      <c r="E980" s="6">
        <f t="shared" ca="1" si="582"/>
        <v>23163</v>
      </c>
      <c r="F980" s="7">
        <f t="shared" ca="1" si="583"/>
        <v>0</v>
      </c>
      <c r="G980" s="125">
        <f ca="1">IF('Simulador - 1º Pilar'!$E$99="Sí",IF('Aportaciones PPE'!$B$13&lt;'Aportaciones PPE'!E980,0,F980*$B$8/12),F980*$B$8/12)</f>
        <v>0</v>
      </c>
      <c r="H980" s="125">
        <f t="shared" ca="1" si="572"/>
        <v>0</v>
      </c>
      <c r="I980" s="125">
        <f t="shared" ca="1" si="584"/>
        <v>0</v>
      </c>
      <c r="J980" s="125">
        <f t="shared" ca="1" si="585"/>
        <v>0</v>
      </c>
      <c r="K980" s="125">
        <f t="shared" ca="1" si="586"/>
        <v>0</v>
      </c>
      <c r="L980" s="125">
        <f t="shared" ca="1" si="604"/>
        <v>0</v>
      </c>
      <c r="M980" s="125">
        <f t="shared" ca="1" si="587"/>
        <v>0</v>
      </c>
      <c r="N980" s="125">
        <f t="shared" ca="1" si="588"/>
        <v>0</v>
      </c>
      <c r="R980">
        <f t="shared" si="605"/>
        <v>973</v>
      </c>
      <c r="U980" s="55"/>
      <c r="V980">
        <f t="shared" si="606"/>
        <v>2</v>
      </c>
      <c r="W980">
        <f t="shared" ca="1" si="607"/>
        <v>2105</v>
      </c>
      <c r="X980" s="123">
        <f t="shared" ca="1" si="589"/>
        <v>74908</v>
      </c>
      <c r="Y980" s="64">
        <f t="shared" ca="1" si="590"/>
        <v>0</v>
      </c>
      <c r="Z980" s="64">
        <f t="shared" ca="1" si="591"/>
        <v>0</v>
      </c>
      <c r="AA980" s="64">
        <f t="shared" ca="1" si="592"/>
        <v>0</v>
      </c>
      <c r="AB980" s="64">
        <f t="shared" ca="1" si="593"/>
        <v>0</v>
      </c>
      <c r="AF980" t="str">
        <f t="shared" ca="1" si="573"/>
        <v>61963</v>
      </c>
      <c r="AG980" s="126">
        <f t="shared" ca="1" si="574"/>
        <v>0</v>
      </c>
      <c r="AH980" s="126">
        <f t="shared" ca="1" si="575"/>
        <v>0</v>
      </c>
      <c r="AI980" s="126">
        <f t="shared" ca="1" si="576"/>
        <v>0</v>
      </c>
      <c r="AJ980" t="str">
        <f t="shared" ca="1" si="577"/>
        <v>22105</v>
      </c>
      <c r="AK980" s="126">
        <f t="shared" ca="1" si="594"/>
        <v>0</v>
      </c>
      <c r="AL980" s="126">
        <f t="shared" ca="1" si="595"/>
        <v>0</v>
      </c>
      <c r="AM980" s="126">
        <f t="shared" ca="1" si="608"/>
        <v>0</v>
      </c>
      <c r="AN980" s="753">
        <f t="shared" ca="1" si="609"/>
        <v>0</v>
      </c>
      <c r="AO980" s="750">
        <f t="shared" ca="1" si="596"/>
        <v>0</v>
      </c>
      <c r="AP980" s="126">
        <f t="shared" ca="1" si="597"/>
        <v>0</v>
      </c>
      <c r="AQ980" s="126">
        <f t="shared" ca="1" si="598"/>
        <v>0</v>
      </c>
      <c r="AR980" s="126">
        <f t="shared" ca="1" si="578"/>
        <v>10000</v>
      </c>
      <c r="AS980" s="750">
        <f t="shared" ca="1" si="579"/>
        <v>0</v>
      </c>
      <c r="AT980" s="750">
        <f t="shared" ca="1" si="580"/>
        <v>0</v>
      </c>
      <c r="AU980" s="126">
        <f t="shared" ca="1" si="599"/>
        <v>0</v>
      </c>
      <c r="AV980" s="126">
        <f t="shared" ca="1" si="600"/>
        <v>0</v>
      </c>
      <c r="AW980" s="126">
        <f t="shared" ca="1" si="581"/>
        <v>10000</v>
      </c>
      <c r="AX980" s="750">
        <f t="shared" ca="1" si="601"/>
        <v>0</v>
      </c>
      <c r="AY980" s="750">
        <f t="shared" ca="1" si="602"/>
        <v>0</v>
      </c>
      <c r="AZ980">
        <f t="shared" si="603"/>
        <v>5750</v>
      </c>
    </row>
    <row r="981" spans="4:52">
      <c r="D981">
        <v>974</v>
      </c>
      <c r="E981" s="6">
        <f t="shared" ca="1" si="582"/>
        <v>23132</v>
      </c>
      <c r="F981" s="7">
        <f t="shared" ca="1" si="583"/>
        <v>0</v>
      </c>
      <c r="G981" s="125">
        <f ca="1">IF('Simulador - 1º Pilar'!$E$99="Sí",IF('Aportaciones PPE'!$B$13&lt;'Aportaciones PPE'!E981,0,F981*$B$8/12),F981*$B$8/12)</f>
        <v>0</v>
      </c>
      <c r="H981" s="125">
        <f t="shared" ca="1" si="572"/>
        <v>0</v>
      </c>
      <c r="I981" s="125">
        <f t="shared" ca="1" si="584"/>
        <v>0</v>
      </c>
      <c r="J981" s="125">
        <f t="shared" ca="1" si="585"/>
        <v>0</v>
      </c>
      <c r="K981" s="125">
        <f t="shared" ca="1" si="586"/>
        <v>0</v>
      </c>
      <c r="L981" s="125">
        <f t="shared" ca="1" si="604"/>
        <v>0</v>
      </c>
      <c r="M981" s="125">
        <f t="shared" ca="1" si="587"/>
        <v>0</v>
      </c>
      <c r="N981" s="125">
        <f t="shared" ca="1" si="588"/>
        <v>0</v>
      </c>
      <c r="R981">
        <f t="shared" si="605"/>
        <v>974</v>
      </c>
      <c r="U981" s="55"/>
      <c r="V981">
        <f t="shared" si="606"/>
        <v>3</v>
      </c>
      <c r="W981">
        <f t="shared" ca="1" si="607"/>
        <v>2105</v>
      </c>
      <c r="X981" s="123">
        <f t="shared" ca="1" si="589"/>
        <v>74936</v>
      </c>
      <c r="Y981" s="64">
        <f t="shared" ca="1" si="590"/>
        <v>0</v>
      </c>
      <c r="Z981" s="64">
        <f t="shared" ca="1" si="591"/>
        <v>0</v>
      </c>
      <c r="AA981" s="64">
        <f t="shared" ca="1" si="592"/>
        <v>0</v>
      </c>
      <c r="AB981" s="64">
        <f t="shared" ca="1" si="593"/>
        <v>0</v>
      </c>
      <c r="AF981" t="str">
        <f t="shared" ca="1" si="573"/>
        <v>51963</v>
      </c>
      <c r="AG981" s="126">
        <f t="shared" ca="1" si="574"/>
        <v>0</v>
      </c>
      <c r="AH981" s="126">
        <f t="shared" ca="1" si="575"/>
        <v>0</v>
      </c>
      <c r="AI981" s="126">
        <f t="shared" ca="1" si="576"/>
        <v>0</v>
      </c>
      <c r="AJ981" t="str">
        <f t="shared" ca="1" si="577"/>
        <v>32105</v>
      </c>
      <c r="AK981" s="126">
        <f t="shared" ca="1" si="594"/>
        <v>0</v>
      </c>
      <c r="AL981" s="126">
        <f t="shared" ca="1" si="595"/>
        <v>0</v>
      </c>
      <c r="AM981" s="126">
        <f t="shared" ca="1" si="608"/>
        <v>0</v>
      </c>
      <c r="AN981" s="753">
        <f t="shared" ca="1" si="609"/>
        <v>0</v>
      </c>
      <c r="AO981" s="750">
        <f t="shared" ca="1" si="596"/>
        <v>0</v>
      </c>
      <c r="AP981" s="126">
        <f t="shared" ca="1" si="597"/>
        <v>0</v>
      </c>
      <c r="AQ981" s="126">
        <f t="shared" ca="1" si="598"/>
        <v>0</v>
      </c>
      <c r="AR981" s="126">
        <f t="shared" ca="1" si="578"/>
        <v>10000</v>
      </c>
      <c r="AS981" s="750">
        <f t="shared" ca="1" si="579"/>
        <v>0</v>
      </c>
      <c r="AT981" s="750">
        <f t="shared" ca="1" si="580"/>
        <v>0</v>
      </c>
      <c r="AU981" s="126">
        <f t="shared" ca="1" si="599"/>
        <v>0</v>
      </c>
      <c r="AV981" s="126">
        <f t="shared" ca="1" si="600"/>
        <v>0</v>
      </c>
      <c r="AW981" s="126">
        <f t="shared" ca="1" si="581"/>
        <v>10000</v>
      </c>
      <c r="AX981" s="750">
        <f t="shared" ca="1" si="601"/>
        <v>0</v>
      </c>
      <c r="AY981" s="750">
        <f t="shared" ca="1" si="602"/>
        <v>0</v>
      </c>
      <c r="AZ981">
        <f t="shared" si="603"/>
        <v>5750</v>
      </c>
    </row>
    <row r="982" spans="4:52">
      <c r="D982">
        <v>975</v>
      </c>
      <c r="E982" s="6">
        <f t="shared" ca="1" si="582"/>
        <v>23102</v>
      </c>
      <c r="F982" s="7">
        <f t="shared" ca="1" si="583"/>
        <v>0</v>
      </c>
      <c r="G982" s="125">
        <f ca="1">IF('Simulador - 1º Pilar'!$E$99="Sí",IF('Aportaciones PPE'!$B$13&lt;'Aportaciones PPE'!E982,0,F982*$B$8/12),F982*$B$8/12)</f>
        <v>0</v>
      </c>
      <c r="H982" s="125">
        <f t="shared" ca="1" si="572"/>
        <v>0</v>
      </c>
      <c r="I982" s="125">
        <f t="shared" ca="1" si="584"/>
        <v>0</v>
      </c>
      <c r="J982" s="125">
        <f t="shared" ca="1" si="585"/>
        <v>0</v>
      </c>
      <c r="K982" s="125">
        <f t="shared" ca="1" si="586"/>
        <v>0</v>
      </c>
      <c r="L982" s="125">
        <f t="shared" ca="1" si="604"/>
        <v>0</v>
      </c>
      <c r="M982" s="125">
        <f t="shared" ca="1" si="587"/>
        <v>0</v>
      </c>
      <c r="N982" s="125">
        <f t="shared" ca="1" si="588"/>
        <v>0</v>
      </c>
      <c r="R982">
        <f t="shared" si="605"/>
        <v>975</v>
      </c>
      <c r="U982" s="55"/>
      <c r="V982">
        <f t="shared" si="606"/>
        <v>4</v>
      </c>
      <c r="W982">
        <f t="shared" ca="1" si="607"/>
        <v>2105</v>
      </c>
      <c r="X982" s="123">
        <f t="shared" ca="1" si="589"/>
        <v>74967</v>
      </c>
      <c r="Y982" s="64">
        <f t="shared" ca="1" si="590"/>
        <v>0</v>
      </c>
      <c r="Z982" s="64">
        <f t="shared" ca="1" si="591"/>
        <v>0</v>
      </c>
      <c r="AA982" s="64">
        <f t="shared" ca="1" si="592"/>
        <v>0</v>
      </c>
      <c r="AB982" s="64">
        <f t="shared" ca="1" si="593"/>
        <v>0</v>
      </c>
      <c r="AF982" t="str">
        <f t="shared" ca="1" si="573"/>
        <v>41963</v>
      </c>
      <c r="AG982" s="126">
        <f t="shared" ca="1" si="574"/>
        <v>0</v>
      </c>
      <c r="AH982" s="126">
        <f t="shared" ca="1" si="575"/>
        <v>0</v>
      </c>
      <c r="AI982" s="126">
        <f t="shared" ca="1" si="576"/>
        <v>0</v>
      </c>
      <c r="AJ982" t="str">
        <f t="shared" ca="1" si="577"/>
        <v>42105</v>
      </c>
      <c r="AK982" s="126">
        <f t="shared" ca="1" si="594"/>
        <v>0</v>
      </c>
      <c r="AL982" s="126">
        <f t="shared" ca="1" si="595"/>
        <v>0</v>
      </c>
      <c r="AM982" s="126">
        <f t="shared" ca="1" si="608"/>
        <v>0</v>
      </c>
      <c r="AN982" s="753">
        <f t="shared" ca="1" si="609"/>
        <v>0</v>
      </c>
      <c r="AO982" s="750">
        <f t="shared" ca="1" si="596"/>
        <v>0</v>
      </c>
      <c r="AP982" s="126">
        <f t="shared" ca="1" si="597"/>
        <v>0</v>
      </c>
      <c r="AQ982" s="126">
        <f t="shared" ca="1" si="598"/>
        <v>0</v>
      </c>
      <c r="AR982" s="126">
        <f t="shared" ca="1" si="578"/>
        <v>10000</v>
      </c>
      <c r="AS982" s="750">
        <f t="shared" ca="1" si="579"/>
        <v>0</v>
      </c>
      <c r="AT982" s="750">
        <f t="shared" ca="1" si="580"/>
        <v>0</v>
      </c>
      <c r="AU982" s="126">
        <f t="shared" ca="1" si="599"/>
        <v>0</v>
      </c>
      <c r="AV982" s="126">
        <f t="shared" ca="1" si="600"/>
        <v>0</v>
      </c>
      <c r="AW982" s="126">
        <f t="shared" ca="1" si="581"/>
        <v>10000</v>
      </c>
      <c r="AX982" s="750">
        <f t="shared" ca="1" si="601"/>
        <v>0</v>
      </c>
      <c r="AY982" s="750">
        <f t="shared" ca="1" si="602"/>
        <v>0</v>
      </c>
      <c r="AZ982">
        <f t="shared" si="603"/>
        <v>5750</v>
      </c>
    </row>
    <row r="983" spans="4:52">
      <c r="D983">
        <v>976</v>
      </c>
      <c r="E983" s="6">
        <f t="shared" ca="1" si="582"/>
        <v>23071</v>
      </c>
      <c r="F983" s="7">
        <f t="shared" ca="1" si="583"/>
        <v>0</v>
      </c>
      <c r="G983" s="125">
        <f ca="1">IF('Simulador - 1º Pilar'!$E$99="Sí",IF('Aportaciones PPE'!$B$13&lt;'Aportaciones PPE'!E983,0,F983*$B$8/12),F983*$B$8/12)</f>
        <v>0</v>
      </c>
      <c r="H983" s="125">
        <f t="shared" ca="1" si="572"/>
        <v>0</v>
      </c>
      <c r="I983" s="125">
        <f t="shared" ca="1" si="584"/>
        <v>0</v>
      </c>
      <c r="J983" s="125">
        <f t="shared" ca="1" si="585"/>
        <v>0</v>
      </c>
      <c r="K983" s="125">
        <f t="shared" ca="1" si="586"/>
        <v>0</v>
      </c>
      <c r="L983" s="125">
        <f t="shared" ca="1" si="604"/>
        <v>0</v>
      </c>
      <c r="M983" s="125">
        <f t="shared" ca="1" si="587"/>
        <v>0</v>
      </c>
      <c r="N983" s="125">
        <f t="shared" ca="1" si="588"/>
        <v>0</v>
      </c>
      <c r="R983">
        <f t="shared" si="605"/>
        <v>976</v>
      </c>
      <c r="U983" s="55"/>
      <c r="V983">
        <f t="shared" si="606"/>
        <v>5</v>
      </c>
      <c r="W983">
        <f t="shared" ca="1" si="607"/>
        <v>2105</v>
      </c>
      <c r="X983" s="123">
        <f t="shared" ca="1" si="589"/>
        <v>74997</v>
      </c>
      <c r="Y983" s="64">
        <f t="shared" ca="1" si="590"/>
        <v>0</v>
      </c>
      <c r="Z983" s="64">
        <f t="shared" ca="1" si="591"/>
        <v>0</v>
      </c>
      <c r="AA983" s="64">
        <f t="shared" ca="1" si="592"/>
        <v>0</v>
      </c>
      <c r="AB983" s="64">
        <f t="shared" ca="1" si="593"/>
        <v>0</v>
      </c>
      <c r="AF983" t="str">
        <f t="shared" ca="1" si="573"/>
        <v>31963</v>
      </c>
      <c r="AG983" s="126">
        <f t="shared" ca="1" si="574"/>
        <v>0</v>
      </c>
      <c r="AH983" s="126">
        <f t="shared" ca="1" si="575"/>
        <v>0</v>
      </c>
      <c r="AI983" s="126">
        <f t="shared" ca="1" si="576"/>
        <v>0</v>
      </c>
      <c r="AJ983" t="str">
        <f t="shared" ca="1" si="577"/>
        <v>52105</v>
      </c>
      <c r="AK983" s="126">
        <f t="shared" ca="1" si="594"/>
        <v>0</v>
      </c>
      <c r="AL983" s="126">
        <f t="shared" ca="1" si="595"/>
        <v>0</v>
      </c>
      <c r="AM983" s="126">
        <f t="shared" ca="1" si="608"/>
        <v>0</v>
      </c>
      <c r="AN983" s="753">
        <f t="shared" ca="1" si="609"/>
        <v>0</v>
      </c>
      <c r="AO983" s="750">
        <f t="shared" ca="1" si="596"/>
        <v>0</v>
      </c>
      <c r="AP983" s="126">
        <f t="shared" ca="1" si="597"/>
        <v>0</v>
      </c>
      <c r="AQ983" s="126">
        <f t="shared" ca="1" si="598"/>
        <v>0</v>
      </c>
      <c r="AR983" s="126">
        <f t="shared" ca="1" si="578"/>
        <v>10000</v>
      </c>
      <c r="AS983" s="750">
        <f t="shared" ca="1" si="579"/>
        <v>0</v>
      </c>
      <c r="AT983" s="750">
        <f t="shared" ca="1" si="580"/>
        <v>0</v>
      </c>
      <c r="AU983" s="126">
        <f t="shared" ca="1" si="599"/>
        <v>0</v>
      </c>
      <c r="AV983" s="126">
        <f t="shared" ca="1" si="600"/>
        <v>0</v>
      </c>
      <c r="AW983" s="126">
        <f t="shared" ca="1" si="581"/>
        <v>10000</v>
      </c>
      <c r="AX983" s="750">
        <f t="shared" ca="1" si="601"/>
        <v>0</v>
      </c>
      <c r="AY983" s="750">
        <f t="shared" ca="1" si="602"/>
        <v>0</v>
      </c>
      <c r="AZ983">
        <f t="shared" si="603"/>
        <v>5750</v>
      </c>
    </row>
    <row r="984" spans="4:52">
      <c r="D984">
        <v>977</v>
      </c>
      <c r="E984" s="6">
        <f t="shared" ca="1" si="582"/>
        <v>23043</v>
      </c>
      <c r="F984" s="7">
        <f t="shared" ca="1" si="583"/>
        <v>0</v>
      </c>
      <c r="G984" s="125">
        <f ca="1">IF('Simulador - 1º Pilar'!$E$99="Sí",IF('Aportaciones PPE'!$B$13&lt;'Aportaciones PPE'!E984,0,F984*$B$8/12),F984*$B$8/12)</f>
        <v>0</v>
      </c>
      <c r="H984" s="125">
        <f t="shared" ca="1" si="572"/>
        <v>0</v>
      </c>
      <c r="I984" s="125">
        <f t="shared" ca="1" si="584"/>
        <v>0</v>
      </c>
      <c r="J984" s="125">
        <f t="shared" ca="1" si="585"/>
        <v>0</v>
      </c>
      <c r="K984" s="125">
        <f t="shared" ca="1" si="586"/>
        <v>0</v>
      </c>
      <c r="L984" s="125">
        <f t="shared" ca="1" si="604"/>
        <v>0</v>
      </c>
      <c r="M984" s="125">
        <f t="shared" ca="1" si="587"/>
        <v>0</v>
      </c>
      <c r="N984" s="125">
        <f t="shared" ca="1" si="588"/>
        <v>0</v>
      </c>
      <c r="R984">
        <f t="shared" si="605"/>
        <v>977</v>
      </c>
      <c r="U984" s="55"/>
      <c r="V984">
        <f t="shared" si="606"/>
        <v>6</v>
      </c>
      <c r="W984">
        <f t="shared" ca="1" si="607"/>
        <v>2105</v>
      </c>
      <c r="X984" s="123">
        <f t="shared" ca="1" si="589"/>
        <v>75028</v>
      </c>
      <c r="Y984" s="64">
        <f t="shared" ca="1" si="590"/>
        <v>0</v>
      </c>
      <c r="Z984" s="64">
        <f t="shared" ca="1" si="591"/>
        <v>0</v>
      </c>
      <c r="AA984" s="64">
        <f t="shared" ca="1" si="592"/>
        <v>0</v>
      </c>
      <c r="AB984" s="64">
        <f t="shared" ca="1" si="593"/>
        <v>0</v>
      </c>
      <c r="AF984" t="str">
        <f t="shared" ca="1" si="573"/>
        <v>21963</v>
      </c>
      <c r="AG984" s="126">
        <f t="shared" ca="1" si="574"/>
        <v>0</v>
      </c>
      <c r="AH984" s="126">
        <f t="shared" ca="1" si="575"/>
        <v>0</v>
      </c>
      <c r="AI984" s="126">
        <f t="shared" ca="1" si="576"/>
        <v>0</v>
      </c>
      <c r="AJ984" t="str">
        <f t="shared" ca="1" si="577"/>
        <v>62105</v>
      </c>
      <c r="AK984" s="126">
        <f t="shared" ca="1" si="594"/>
        <v>0</v>
      </c>
      <c r="AL984" s="126">
        <f t="shared" ca="1" si="595"/>
        <v>0</v>
      </c>
      <c r="AM984" s="126">
        <f t="shared" ca="1" si="608"/>
        <v>0</v>
      </c>
      <c r="AN984" s="753">
        <f t="shared" ca="1" si="609"/>
        <v>0</v>
      </c>
      <c r="AO984" s="750">
        <f t="shared" ca="1" si="596"/>
        <v>0</v>
      </c>
      <c r="AP984" s="126">
        <f t="shared" ca="1" si="597"/>
        <v>0</v>
      </c>
      <c r="AQ984" s="126">
        <f t="shared" ca="1" si="598"/>
        <v>0</v>
      </c>
      <c r="AR984" s="126">
        <f t="shared" ca="1" si="578"/>
        <v>10000</v>
      </c>
      <c r="AS984" s="750">
        <f t="shared" ca="1" si="579"/>
        <v>0</v>
      </c>
      <c r="AT984" s="750">
        <f t="shared" ca="1" si="580"/>
        <v>0</v>
      </c>
      <c r="AU984" s="126">
        <f t="shared" ca="1" si="599"/>
        <v>0</v>
      </c>
      <c r="AV984" s="126">
        <f t="shared" ca="1" si="600"/>
        <v>0</v>
      </c>
      <c r="AW984" s="126">
        <f t="shared" ca="1" si="581"/>
        <v>10000</v>
      </c>
      <c r="AX984" s="750">
        <f t="shared" ca="1" si="601"/>
        <v>0</v>
      </c>
      <c r="AY984" s="750">
        <f t="shared" ca="1" si="602"/>
        <v>0</v>
      </c>
      <c r="AZ984">
        <f t="shared" si="603"/>
        <v>5750</v>
      </c>
    </row>
    <row r="985" spans="4:52">
      <c r="D985">
        <v>978</v>
      </c>
      <c r="E985" s="6">
        <f t="shared" ca="1" si="582"/>
        <v>23012</v>
      </c>
      <c r="F985" s="7">
        <f t="shared" ca="1" si="583"/>
        <v>0</v>
      </c>
      <c r="G985" s="125">
        <f ca="1">IF('Simulador - 1º Pilar'!$E$99="Sí",IF('Aportaciones PPE'!$B$13&lt;'Aportaciones PPE'!E985,0,F985*$B$8/12),F985*$B$8/12)</f>
        <v>0</v>
      </c>
      <c r="H985" s="125">
        <f t="shared" ca="1" si="572"/>
        <v>0</v>
      </c>
      <c r="I985" s="125">
        <f t="shared" ca="1" si="584"/>
        <v>0</v>
      </c>
      <c r="J985" s="125">
        <f t="shared" ca="1" si="585"/>
        <v>0</v>
      </c>
      <c r="K985" s="125">
        <f t="shared" ca="1" si="586"/>
        <v>0</v>
      </c>
      <c r="L985" s="125">
        <f t="shared" ca="1" si="604"/>
        <v>0</v>
      </c>
      <c r="M985" s="125">
        <f t="shared" ca="1" si="587"/>
        <v>0</v>
      </c>
      <c r="N985" s="125">
        <f t="shared" ca="1" si="588"/>
        <v>0</v>
      </c>
      <c r="R985">
        <f t="shared" si="605"/>
        <v>978</v>
      </c>
      <c r="U985" s="55"/>
      <c r="V985">
        <f t="shared" si="606"/>
        <v>7</v>
      </c>
      <c r="W985">
        <f t="shared" ca="1" si="607"/>
        <v>2105</v>
      </c>
      <c r="X985" s="123">
        <f t="shared" ca="1" si="589"/>
        <v>75058</v>
      </c>
      <c r="Y985" s="64">
        <f t="shared" ca="1" si="590"/>
        <v>0</v>
      </c>
      <c r="Z985" s="64">
        <f t="shared" ca="1" si="591"/>
        <v>0</v>
      </c>
      <c r="AA985" s="64">
        <f t="shared" ca="1" si="592"/>
        <v>0</v>
      </c>
      <c r="AB985" s="64">
        <f t="shared" ca="1" si="593"/>
        <v>0</v>
      </c>
      <c r="AF985" t="str">
        <f t="shared" ca="1" si="573"/>
        <v>11963</v>
      </c>
      <c r="AG985" s="126">
        <f t="shared" ca="1" si="574"/>
        <v>0</v>
      </c>
      <c r="AH985" s="126">
        <f t="shared" ca="1" si="575"/>
        <v>0</v>
      </c>
      <c r="AI985" s="126">
        <f t="shared" ca="1" si="576"/>
        <v>0</v>
      </c>
      <c r="AJ985" t="str">
        <f t="shared" ca="1" si="577"/>
        <v>72105</v>
      </c>
      <c r="AK985" s="126">
        <f t="shared" ca="1" si="594"/>
        <v>0</v>
      </c>
      <c r="AL985" s="126">
        <f t="shared" ca="1" si="595"/>
        <v>0</v>
      </c>
      <c r="AM985" s="126">
        <f t="shared" ca="1" si="608"/>
        <v>0</v>
      </c>
      <c r="AN985" s="753">
        <f t="shared" ca="1" si="609"/>
        <v>0</v>
      </c>
      <c r="AO985" s="750">
        <f t="shared" ca="1" si="596"/>
        <v>0</v>
      </c>
      <c r="AP985" s="126">
        <f t="shared" ca="1" si="597"/>
        <v>0</v>
      </c>
      <c r="AQ985" s="126">
        <f t="shared" ca="1" si="598"/>
        <v>0</v>
      </c>
      <c r="AR985" s="126">
        <f t="shared" ca="1" si="578"/>
        <v>10000</v>
      </c>
      <c r="AS985" s="750">
        <f t="shared" ca="1" si="579"/>
        <v>0</v>
      </c>
      <c r="AT985" s="750">
        <f t="shared" ca="1" si="580"/>
        <v>0</v>
      </c>
      <c r="AU985" s="126">
        <f t="shared" ca="1" si="599"/>
        <v>0</v>
      </c>
      <c r="AV985" s="126">
        <f t="shared" ca="1" si="600"/>
        <v>0</v>
      </c>
      <c r="AW985" s="126">
        <f t="shared" ca="1" si="581"/>
        <v>10000</v>
      </c>
      <c r="AX985" s="750">
        <f t="shared" ca="1" si="601"/>
        <v>0</v>
      </c>
      <c r="AY985" s="750">
        <f t="shared" ca="1" si="602"/>
        <v>0</v>
      </c>
      <c r="AZ985">
        <f t="shared" si="603"/>
        <v>5750</v>
      </c>
    </row>
    <row r="986" spans="4:52">
      <c r="D986">
        <v>979</v>
      </c>
      <c r="E986" s="6">
        <f t="shared" ca="1" si="582"/>
        <v>22981</v>
      </c>
      <c r="F986" s="7">
        <f t="shared" ca="1" si="583"/>
        <v>0</v>
      </c>
      <c r="G986" s="125">
        <f ca="1">IF('Simulador - 1º Pilar'!$E$99="Sí",IF('Aportaciones PPE'!$B$13&lt;'Aportaciones PPE'!E986,0,F986*$B$8/12),F986*$B$8/12)</f>
        <v>0</v>
      </c>
      <c r="H986" s="125">
        <f t="shared" ca="1" si="572"/>
        <v>0</v>
      </c>
      <c r="I986" s="125">
        <f t="shared" ca="1" si="584"/>
        <v>0</v>
      </c>
      <c r="J986" s="125">
        <f t="shared" ca="1" si="585"/>
        <v>0</v>
      </c>
      <c r="K986" s="125">
        <f t="shared" ca="1" si="586"/>
        <v>0</v>
      </c>
      <c r="L986" s="125">
        <f t="shared" ca="1" si="604"/>
        <v>0</v>
      </c>
      <c r="M986" s="125">
        <f t="shared" ca="1" si="587"/>
        <v>0</v>
      </c>
      <c r="N986" s="125">
        <f t="shared" ca="1" si="588"/>
        <v>0</v>
      </c>
      <c r="R986">
        <f t="shared" si="605"/>
        <v>979</v>
      </c>
      <c r="U986" s="55"/>
      <c r="V986">
        <f t="shared" si="606"/>
        <v>8</v>
      </c>
      <c r="W986">
        <f t="shared" ca="1" si="607"/>
        <v>2105</v>
      </c>
      <c r="X986" s="123">
        <f t="shared" ca="1" si="589"/>
        <v>75089</v>
      </c>
      <c r="Y986" s="64">
        <f t="shared" ca="1" si="590"/>
        <v>0</v>
      </c>
      <c r="Z986" s="64">
        <f t="shared" ca="1" si="591"/>
        <v>0</v>
      </c>
      <c r="AA986" s="64">
        <f t="shared" ca="1" si="592"/>
        <v>0</v>
      </c>
      <c r="AB986" s="64">
        <f t="shared" ca="1" si="593"/>
        <v>0</v>
      </c>
      <c r="AF986" t="str">
        <f t="shared" ca="1" si="573"/>
        <v>121962</v>
      </c>
      <c r="AG986" s="126">
        <f t="shared" ca="1" si="574"/>
        <v>0</v>
      </c>
      <c r="AH986" s="126">
        <f t="shared" ca="1" si="575"/>
        <v>0</v>
      </c>
      <c r="AI986" s="126">
        <f t="shared" ca="1" si="576"/>
        <v>0</v>
      </c>
      <c r="AJ986" t="str">
        <f t="shared" ca="1" si="577"/>
        <v>82105</v>
      </c>
      <c r="AK986" s="126">
        <f t="shared" ca="1" si="594"/>
        <v>0</v>
      </c>
      <c r="AL986" s="126">
        <f t="shared" ca="1" si="595"/>
        <v>0</v>
      </c>
      <c r="AM986" s="126">
        <f t="shared" ca="1" si="608"/>
        <v>0</v>
      </c>
      <c r="AN986" s="753">
        <f t="shared" ca="1" si="609"/>
        <v>0</v>
      </c>
      <c r="AO986" s="750">
        <f t="shared" ca="1" si="596"/>
        <v>0</v>
      </c>
      <c r="AP986" s="126">
        <f t="shared" ca="1" si="597"/>
        <v>0</v>
      </c>
      <c r="AQ986" s="126">
        <f t="shared" ca="1" si="598"/>
        <v>0</v>
      </c>
      <c r="AR986" s="126">
        <f t="shared" ca="1" si="578"/>
        <v>10000</v>
      </c>
      <c r="AS986" s="750">
        <f t="shared" ca="1" si="579"/>
        <v>0</v>
      </c>
      <c r="AT986" s="750">
        <f t="shared" ca="1" si="580"/>
        <v>0</v>
      </c>
      <c r="AU986" s="126">
        <f t="shared" ca="1" si="599"/>
        <v>0</v>
      </c>
      <c r="AV986" s="126">
        <f t="shared" ca="1" si="600"/>
        <v>0</v>
      </c>
      <c r="AW986" s="126">
        <f t="shared" ca="1" si="581"/>
        <v>10000</v>
      </c>
      <c r="AX986" s="750">
        <f t="shared" ca="1" si="601"/>
        <v>0</v>
      </c>
      <c r="AY986" s="750">
        <f t="shared" ca="1" si="602"/>
        <v>0</v>
      </c>
      <c r="AZ986">
        <f t="shared" si="603"/>
        <v>5750</v>
      </c>
    </row>
    <row r="987" spans="4:52">
      <c r="D987">
        <v>980</v>
      </c>
      <c r="E987" s="6">
        <f t="shared" ca="1" si="582"/>
        <v>22951</v>
      </c>
      <c r="F987" s="7">
        <f t="shared" ca="1" si="583"/>
        <v>0</v>
      </c>
      <c r="G987" s="125">
        <f ca="1">IF('Simulador - 1º Pilar'!$E$99="Sí",IF('Aportaciones PPE'!$B$13&lt;'Aportaciones PPE'!E987,0,F987*$B$8/12),F987*$B$8/12)</f>
        <v>0</v>
      </c>
      <c r="H987" s="125">
        <f t="shared" ca="1" si="572"/>
        <v>0</v>
      </c>
      <c r="I987" s="125">
        <f t="shared" ca="1" si="584"/>
        <v>0</v>
      </c>
      <c r="J987" s="125">
        <f t="shared" ca="1" si="585"/>
        <v>0</v>
      </c>
      <c r="K987" s="125">
        <f t="shared" ca="1" si="586"/>
        <v>0</v>
      </c>
      <c r="L987" s="125">
        <f t="shared" ca="1" si="604"/>
        <v>0</v>
      </c>
      <c r="M987" s="125">
        <f t="shared" ca="1" si="587"/>
        <v>0</v>
      </c>
      <c r="N987" s="125">
        <f t="shared" ca="1" si="588"/>
        <v>0</v>
      </c>
      <c r="R987">
        <f t="shared" si="605"/>
        <v>980</v>
      </c>
      <c r="U987" s="55"/>
      <c r="V987">
        <f t="shared" si="606"/>
        <v>9</v>
      </c>
      <c r="W987">
        <f t="shared" ca="1" si="607"/>
        <v>2105</v>
      </c>
      <c r="X987" s="123">
        <f t="shared" ca="1" si="589"/>
        <v>75120</v>
      </c>
      <c r="Y987" s="64">
        <f t="shared" ca="1" si="590"/>
        <v>0</v>
      </c>
      <c r="Z987" s="64">
        <f t="shared" ca="1" si="591"/>
        <v>0</v>
      </c>
      <c r="AA987" s="64">
        <f t="shared" ca="1" si="592"/>
        <v>0</v>
      </c>
      <c r="AB987" s="64">
        <f t="shared" ca="1" si="593"/>
        <v>0</v>
      </c>
      <c r="AF987" t="str">
        <f t="shared" ca="1" si="573"/>
        <v>111962</v>
      </c>
      <c r="AG987" s="126">
        <f t="shared" ca="1" si="574"/>
        <v>0</v>
      </c>
      <c r="AH987" s="126">
        <f t="shared" ca="1" si="575"/>
        <v>0</v>
      </c>
      <c r="AI987" s="126">
        <f t="shared" ca="1" si="576"/>
        <v>0</v>
      </c>
      <c r="AJ987" t="str">
        <f t="shared" ca="1" si="577"/>
        <v>92105</v>
      </c>
      <c r="AK987" s="126">
        <f t="shared" ca="1" si="594"/>
        <v>0</v>
      </c>
      <c r="AL987" s="126">
        <f t="shared" ca="1" si="595"/>
        <v>0</v>
      </c>
      <c r="AM987" s="126">
        <f t="shared" ca="1" si="608"/>
        <v>0</v>
      </c>
      <c r="AN987" s="753">
        <f t="shared" ca="1" si="609"/>
        <v>0</v>
      </c>
      <c r="AO987" s="750">
        <f t="shared" ca="1" si="596"/>
        <v>0</v>
      </c>
      <c r="AP987" s="126">
        <f t="shared" ca="1" si="597"/>
        <v>0</v>
      </c>
      <c r="AQ987" s="126">
        <f t="shared" ca="1" si="598"/>
        <v>0</v>
      </c>
      <c r="AR987" s="126">
        <f t="shared" ca="1" si="578"/>
        <v>10000</v>
      </c>
      <c r="AS987" s="750">
        <f t="shared" ca="1" si="579"/>
        <v>0</v>
      </c>
      <c r="AT987" s="750">
        <f t="shared" ca="1" si="580"/>
        <v>0</v>
      </c>
      <c r="AU987" s="126">
        <f t="shared" ca="1" si="599"/>
        <v>0</v>
      </c>
      <c r="AV987" s="126">
        <f t="shared" ca="1" si="600"/>
        <v>0</v>
      </c>
      <c r="AW987" s="126">
        <f t="shared" ca="1" si="581"/>
        <v>10000</v>
      </c>
      <c r="AX987" s="750">
        <f t="shared" ca="1" si="601"/>
        <v>0</v>
      </c>
      <c r="AY987" s="750">
        <f t="shared" ca="1" si="602"/>
        <v>0</v>
      </c>
      <c r="AZ987">
        <f t="shared" si="603"/>
        <v>5750</v>
      </c>
    </row>
    <row r="988" spans="4:52">
      <c r="D988">
        <v>981</v>
      </c>
      <c r="E988" s="6">
        <f t="shared" ca="1" si="582"/>
        <v>22920</v>
      </c>
      <c r="F988" s="7">
        <f t="shared" ca="1" si="583"/>
        <v>0</v>
      </c>
      <c r="G988" s="125">
        <f ca="1">IF('Simulador - 1º Pilar'!$E$99="Sí",IF('Aportaciones PPE'!$B$13&lt;'Aportaciones PPE'!E988,0,F988*$B$8/12),F988*$B$8/12)</f>
        <v>0</v>
      </c>
      <c r="H988" s="125">
        <f t="shared" ca="1" si="572"/>
        <v>0</v>
      </c>
      <c r="I988" s="125">
        <f t="shared" ca="1" si="584"/>
        <v>0</v>
      </c>
      <c r="J988" s="125">
        <f t="shared" ca="1" si="585"/>
        <v>0</v>
      </c>
      <c r="K988" s="125">
        <f t="shared" ca="1" si="586"/>
        <v>0</v>
      </c>
      <c r="L988" s="125">
        <f t="shared" ca="1" si="604"/>
        <v>0</v>
      </c>
      <c r="M988" s="125">
        <f t="shared" ca="1" si="587"/>
        <v>0</v>
      </c>
      <c r="N988" s="125">
        <f t="shared" ca="1" si="588"/>
        <v>0</v>
      </c>
      <c r="R988">
        <f t="shared" si="605"/>
        <v>981</v>
      </c>
      <c r="U988" s="55"/>
      <c r="V988">
        <f t="shared" si="606"/>
        <v>10</v>
      </c>
      <c r="W988">
        <f t="shared" ca="1" si="607"/>
        <v>2105</v>
      </c>
      <c r="X988" s="123">
        <f t="shared" ca="1" si="589"/>
        <v>75150</v>
      </c>
      <c r="Y988" s="64">
        <f t="shared" ca="1" si="590"/>
        <v>0</v>
      </c>
      <c r="Z988" s="64">
        <f t="shared" ca="1" si="591"/>
        <v>0</v>
      </c>
      <c r="AA988" s="64">
        <f t="shared" ca="1" si="592"/>
        <v>0</v>
      </c>
      <c r="AB988" s="64">
        <f t="shared" ca="1" si="593"/>
        <v>0</v>
      </c>
      <c r="AF988" t="str">
        <f t="shared" ca="1" si="573"/>
        <v>101962</v>
      </c>
      <c r="AG988" s="126">
        <f t="shared" ca="1" si="574"/>
        <v>0</v>
      </c>
      <c r="AH988" s="126">
        <f t="shared" ca="1" si="575"/>
        <v>0</v>
      </c>
      <c r="AI988" s="126">
        <f t="shared" ca="1" si="576"/>
        <v>0</v>
      </c>
      <c r="AJ988" t="str">
        <f t="shared" ca="1" si="577"/>
        <v>102105</v>
      </c>
      <c r="AK988" s="126">
        <f t="shared" ca="1" si="594"/>
        <v>0</v>
      </c>
      <c r="AL988" s="126">
        <f t="shared" ca="1" si="595"/>
        <v>0</v>
      </c>
      <c r="AM988" s="126">
        <f t="shared" ca="1" si="608"/>
        <v>0</v>
      </c>
      <c r="AN988" s="753">
        <f t="shared" ca="1" si="609"/>
        <v>0</v>
      </c>
      <c r="AO988" s="750">
        <f t="shared" ca="1" si="596"/>
        <v>0</v>
      </c>
      <c r="AP988" s="126">
        <f t="shared" ca="1" si="597"/>
        <v>0</v>
      </c>
      <c r="AQ988" s="126">
        <f t="shared" ca="1" si="598"/>
        <v>0</v>
      </c>
      <c r="AR988" s="126">
        <f t="shared" ca="1" si="578"/>
        <v>10000</v>
      </c>
      <c r="AS988" s="750">
        <f t="shared" ca="1" si="579"/>
        <v>0</v>
      </c>
      <c r="AT988" s="750">
        <f t="shared" ca="1" si="580"/>
        <v>0</v>
      </c>
      <c r="AU988" s="126">
        <f t="shared" ca="1" si="599"/>
        <v>0</v>
      </c>
      <c r="AV988" s="126">
        <f t="shared" ca="1" si="600"/>
        <v>0</v>
      </c>
      <c r="AW988" s="126">
        <f t="shared" ca="1" si="581"/>
        <v>10000</v>
      </c>
      <c r="AX988" s="750">
        <f t="shared" ca="1" si="601"/>
        <v>0</v>
      </c>
      <c r="AY988" s="750">
        <f t="shared" ca="1" si="602"/>
        <v>0</v>
      </c>
      <c r="AZ988">
        <f t="shared" si="603"/>
        <v>5750</v>
      </c>
    </row>
    <row r="989" spans="4:52">
      <c r="D989">
        <v>982</v>
      </c>
      <c r="E989" s="6">
        <f t="shared" ca="1" si="582"/>
        <v>22890</v>
      </c>
      <c r="F989" s="7">
        <f t="shared" ca="1" si="583"/>
        <v>0</v>
      </c>
      <c r="G989" s="125">
        <f ca="1">IF('Simulador - 1º Pilar'!$E$99="Sí",IF('Aportaciones PPE'!$B$13&lt;'Aportaciones PPE'!E989,0,F989*$B$8/12),F989*$B$8/12)</f>
        <v>0</v>
      </c>
      <c r="H989" s="125">
        <f t="shared" ca="1" si="572"/>
        <v>0</v>
      </c>
      <c r="I989" s="125">
        <f t="shared" ca="1" si="584"/>
        <v>0</v>
      </c>
      <c r="J989" s="125">
        <f t="shared" ca="1" si="585"/>
        <v>0</v>
      </c>
      <c r="K989" s="125">
        <f t="shared" ca="1" si="586"/>
        <v>0</v>
      </c>
      <c r="L989" s="125">
        <f t="shared" ca="1" si="604"/>
        <v>0</v>
      </c>
      <c r="M989" s="125">
        <f t="shared" ca="1" si="587"/>
        <v>0</v>
      </c>
      <c r="N989" s="125">
        <f t="shared" ca="1" si="588"/>
        <v>0</v>
      </c>
      <c r="R989">
        <f t="shared" si="605"/>
        <v>982</v>
      </c>
      <c r="U989" s="55"/>
      <c r="V989">
        <f t="shared" si="606"/>
        <v>11</v>
      </c>
      <c r="W989">
        <f t="shared" ca="1" si="607"/>
        <v>2105</v>
      </c>
      <c r="X989" s="123">
        <f t="shared" ca="1" si="589"/>
        <v>75181</v>
      </c>
      <c r="Y989" s="64">
        <f t="shared" ca="1" si="590"/>
        <v>0</v>
      </c>
      <c r="Z989" s="64">
        <f t="shared" ca="1" si="591"/>
        <v>0</v>
      </c>
      <c r="AA989" s="64">
        <f t="shared" ca="1" si="592"/>
        <v>0</v>
      </c>
      <c r="AB989" s="64">
        <f t="shared" ca="1" si="593"/>
        <v>0</v>
      </c>
      <c r="AF989" t="str">
        <f t="shared" ca="1" si="573"/>
        <v>91962</v>
      </c>
      <c r="AG989" s="126">
        <f t="shared" ca="1" si="574"/>
        <v>0</v>
      </c>
      <c r="AH989" s="126">
        <f t="shared" ca="1" si="575"/>
        <v>0</v>
      </c>
      <c r="AI989" s="126">
        <f t="shared" ca="1" si="576"/>
        <v>0</v>
      </c>
      <c r="AJ989" t="str">
        <f t="shared" ca="1" si="577"/>
        <v>112105</v>
      </c>
      <c r="AK989" s="126">
        <f t="shared" ca="1" si="594"/>
        <v>0</v>
      </c>
      <c r="AL989" s="126">
        <f t="shared" ca="1" si="595"/>
        <v>0</v>
      </c>
      <c r="AM989" s="126">
        <f t="shared" ca="1" si="608"/>
        <v>0</v>
      </c>
      <c r="AN989" s="753">
        <f t="shared" ca="1" si="609"/>
        <v>0</v>
      </c>
      <c r="AO989" s="750">
        <f t="shared" ca="1" si="596"/>
        <v>0</v>
      </c>
      <c r="AP989" s="126">
        <f t="shared" ca="1" si="597"/>
        <v>0</v>
      </c>
      <c r="AQ989" s="126">
        <f t="shared" ca="1" si="598"/>
        <v>0</v>
      </c>
      <c r="AR989" s="126">
        <f t="shared" ca="1" si="578"/>
        <v>10000</v>
      </c>
      <c r="AS989" s="750">
        <f t="shared" ca="1" si="579"/>
        <v>0</v>
      </c>
      <c r="AT989" s="750">
        <f t="shared" ca="1" si="580"/>
        <v>0</v>
      </c>
      <c r="AU989" s="126">
        <f t="shared" ca="1" si="599"/>
        <v>0</v>
      </c>
      <c r="AV989" s="126">
        <f t="shared" ca="1" si="600"/>
        <v>0</v>
      </c>
      <c r="AW989" s="126">
        <f t="shared" ca="1" si="581"/>
        <v>10000</v>
      </c>
      <c r="AX989" s="750">
        <f t="shared" ca="1" si="601"/>
        <v>0</v>
      </c>
      <c r="AY989" s="750">
        <f t="shared" ca="1" si="602"/>
        <v>0</v>
      </c>
      <c r="AZ989">
        <f t="shared" si="603"/>
        <v>5750</v>
      </c>
    </row>
    <row r="990" spans="4:52">
      <c r="D990">
        <v>983</v>
      </c>
      <c r="E990" s="6">
        <f t="shared" ca="1" si="582"/>
        <v>22859</v>
      </c>
      <c r="F990" s="7">
        <f t="shared" ca="1" si="583"/>
        <v>0</v>
      </c>
      <c r="G990" s="125">
        <f ca="1">IF('Simulador - 1º Pilar'!$E$99="Sí",IF('Aportaciones PPE'!$B$13&lt;'Aportaciones PPE'!E990,0,F990*$B$8/12),F990*$B$8/12)</f>
        <v>0</v>
      </c>
      <c r="H990" s="125">
        <f t="shared" ca="1" si="572"/>
        <v>0</v>
      </c>
      <c r="I990" s="125">
        <f t="shared" ca="1" si="584"/>
        <v>0</v>
      </c>
      <c r="J990" s="125">
        <f t="shared" ca="1" si="585"/>
        <v>0</v>
      </c>
      <c r="K990" s="125">
        <f t="shared" ca="1" si="586"/>
        <v>0</v>
      </c>
      <c r="L990" s="125">
        <f t="shared" ca="1" si="604"/>
        <v>0</v>
      </c>
      <c r="M990" s="125">
        <f t="shared" ca="1" si="587"/>
        <v>0</v>
      </c>
      <c r="N990" s="125">
        <f t="shared" ca="1" si="588"/>
        <v>0</v>
      </c>
      <c r="R990">
        <f t="shared" si="605"/>
        <v>983</v>
      </c>
      <c r="U990" s="55"/>
      <c r="V990">
        <f t="shared" si="606"/>
        <v>12</v>
      </c>
      <c r="W990">
        <f t="shared" ca="1" si="607"/>
        <v>2105</v>
      </c>
      <c r="X990" s="123">
        <f t="shared" ca="1" si="589"/>
        <v>75211</v>
      </c>
      <c r="Y990" s="64">
        <f t="shared" ca="1" si="590"/>
        <v>0</v>
      </c>
      <c r="Z990" s="64">
        <f t="shared" ca="1" si="591"/>
        <v>0</v>
      </c>
      <c r="AA990" s="64">
        <f t="shared" ca="1" si="592"/>
        <v>0</v>
      </c>
      <c r="AB990" s="64">
        <f t="shared" ca="1" si="593"/>
        <v>0</v>
      </c>
      <c r="AF990" t="str">
        <f t="shared" ca="1" si="573"/>
        <v>81962</v>
      </c>
      <c r="AG990" s="126">
        <f t="shared" ca="1" si="574"/>
        <v>0</v>
      </c>
      <c r="AH990" s="126">
        <f t="shared" ca="1" si="575"/>
        <v>0</v>
      </c>
      <c r="AI990" s="126">
        <f t="shared" ca="1" si="576"/>
        <v>0</v>
      </c>
      <c r="AJ990" t="str">
        <f t="shared" ca="1" si="577"/>
        <v>122105</v>
      </c>
      <c r="AK990" s="126">
        <f t="shared" ca="1" si="594"/>
        <v>0</v>
      </c>
      <c r="AL990" s="126">
        <f t="shared" ca="1" si="595"/>
        <v>0</v>
      </c>
      <c r="AM990" s="126">
        <f t="shared" ca="1" si="608"/>
        <v>0</v>
      </c>
      <c r="AN990" s="753">
        <f t="shared" ca="1" si="609"/>
        <v>0</v>
      </c>
      <c r="AO990" s="750">
        <f t="shared" ca="1" si="596"/>
        <v>0</v>
      </c>
      <c r="AP990" s="126">
        <f t="shared" ca="1" si="597"/>
        <v>0</v>
      </c>
      <c r="AQ990" s="126">
        <f t="shared" ca="1" si="598"/>
        <v>0</v>
      </c>
      <c r="AR990" s="126">
        <f t="shared" ca="1" si="578"/>
        <v>10000</v>
      </c>
      <c r="AS990" s="750">
        <f t="shared" ca="1" si="579"/>
        <v>0</v>
      </c>
      <c r="AT990" s="750">
        <f t="shared" ca="1" si="580"/>
        <v>0</v>
      </c>
      <c r="AU990" s="126">
        <f t="shared" ca="1" si="599"/>
        <v>0</v>
      </c>
      <c r="AV990" s="126">
        <f t="shared" ca="1" si="600"/>
        <v>0</v>
      </c>
      <c r="AW990" s="126">
        <f t="shared" ca="1" si="581"/>
        <v>10000</v>
      </c>
      <c r="AX990" s="750">
        <f t="shared" ca="1" si="601"/>
        <v>0</v>
      </c>
      <c r="AY990" s="750">
        <f t="shared" ca="1" si="602"/>
        <v>0</v>
      </c>
      <c r="AZ990">
        <f t="shared" si="603"/>
        <v>5750</v>
      </c>
    </row>
    <row r="991" spans="4:52">
      <c r="D991">
        <v>984</v>
      </c>
      <c r="E991" s="6">
        <f t="shared" ca="1" si="582"/>
        <v>22828</v>
      </c>
      <c r="F991" s="7">
        <f t="shared" ca="1" si="583"/>
        <v>0</v>
      </c>
      <c r="G991" s="125">
        <f ca="1">IF('Simulador - 1º Pilar'!$E$99="Sí",IF('Aportaciones PPE'!$B$13&lt;'Aportaciones PPE'!E991,0,F991*$B$8/12),F991*$B$8/12)</f>
        <v>0</v>
      </c>
      <c r="H991" s="125">
        <f t="shared" ca="1" si="572"/>
        <v>0</v>
      </c>
      <c r="I991" s="125">
        <f t="shared" ca="1" si="584"/>
        <v>0</v>
      </c>
      <c r="J991" s="125">
        <f t="shared" ca="1" si="585"/>
        <v>0</v>
      </c>
      <c r="K991" s="125">
        <f t="shared" ca="1" si="586"/>
        <v>0</v>
      </c>
      <c r="L991" s="125">
        <f t="shared" ca="1" si="604"/>
        <v>0</v>
      </c>
      <c r="M991" s="125">
        <f t="shared" ca="1" si="587"/>
        <v>0</v>
      </c>
      <c r="N991" s="125">
        <f t="shared" ca="1" si="588"/>
        <v>0</v>
      </c>
      <c r="R991">
        <f t="shared" si="605"/>
        <v>984</v>
      </c>
      <c r="U991" s="55"/>
      <c r="V991">
        <f t="shared" si="606"/>
        <v>1</v>
      </c>
      <c r="W991">
        <f t="shared" ca="1" si="607"/>
        <v>2106</v>
      </c>
      <c r="X991" s="123">
        <f t="shared" ca="1" si="589"/>
        <v>75242</v>
      </c>
      <c r="Y991" s="64">
        <f t="shared" ca="1" si="590"/>
        <v>0</v>
      </c>
      <c r="Z991" s="64">
        <f t="shared" ca="1" si="591"/>
        <v>0</v>
      </c>
      <c r="AA991" s="64">
        <f t="shared" ca="1" si="592"/>
        <v>0</v>
      </c>
      <c r="AB991" s="64">
        <f t="shared" ca="1" si="593"/>
        <v>0</v>
      </c>
      <c r="AF991" t="str">
        <f t="shared" ca="1" si="573"/>
        <v>71962</v>
      </c>
      <c r="AG991" s="126">
        <f t="shared" ca="1" si="574"/>
        <v>0</v>
      </c>
      <c r="AH991" s="126">
        <f t="shared" ca="1" si="575"/>
        <v>0</v>
      </c>
      <c r="AI991" s="126">
        <f t="shared" ca="1" si="576"/>
        <v>0</v>
      </c>
      <c r="AJ991" t="str">
        <f t="shared" ca="1" si="577"/>
        <v>12106</v>
      </c>
      <c r="AK991" s="126">
        <f t="shared" ca="1" si="594"/>
        <v>0</v>
      </c>
      <c r="AL991" s="126">
        <f t="shared" ca="1" si="595"/>
        <v>0</v>
      </c>
      <c r="AM991" s="126">
        <f t="shared" ca="1" si="608"/>
        <v>0</v>
      </c>
      <c r="AN991" s="753">
        <f t="shared" ca="1" si="609"/>
        <v>0</v>
      </c>
      <c r="AO991" s="750">
        <f t="shared" ca="1" si="596"/>
        <v>0</v>
      </c>
      <c r="AP991" s="126">
        <f t="shared" ca="1" si="597"/>
        <v>0</v>
      </c>
      <c r="AQ991" s="126">
        <f t="shared" ca="1" si="598"/>
        <v>0</v>
      </c>
      <c r="AR991" s="126">
        <f t="shared" ca="1" si="578"/>
        <v>10000</v>
      </c>
      <c r="AS991" s="750">
        <f t="shared" ca="1" si="579"/>
        <v>0</v>
      </c>
      <c r="AT991" s="750">
        <f t="shared" ca="1" si="580"/>
        <v>0</v>
      </c>
      <c r="AU991" s="126">
        <f t="shared" ca="1" si="599"/>
        <v>0</v>
      </c>
      <c r="AV991" s="126">
        <f t="shared" ca="1" si="600"/>
        <v>0</v>
      </c>
      <c r="AW991" s="126">
        <f t="shared" ca="1" si="581"/>
        <v>10000</v>
      </c>
      <c r="AX991" s="750">
        <f t="shared" ca="1" si="601"/>
        <v>0</v>
      </c>
      <c r="AY991" s="750">
        <f t="shared" ca="1" si="602"/>
        <v>0</v>
      </c>
      <c r="AZ991">
        <f t="shared" si="603"/>
        <v>5750</v>
      </c>
    </row>
    <row r="992" spans="4:52">
      <c r="D992">
        <v>985</v>
      </c>
      <c r="E992" s="6">
        <f t="shared" ca="1" si="582"/>
        <v>22798</v>
      </c>
      <c r="F992" s="7">
        <f t="shared" ca="1" si="583"/>
        <v>0</v>
      </c>
      <c r="G992" s="125">
        <f ca="1">IF('Simulador - 1º Pilar'!$E$99="Sí",IF('Aportaciones PPE'!$B$13&lt;'Aportaciones PPE'!E992,0,F992*$B$8/12),F992*$B$8/12)</f>
        <v>0</v>
      </c>
      <c r="H992" s="125">
        <f t="shared" ca="1" si="572"/>
        <v>0</v>
      </c>
      <c r="I992" s="125">
        <f t="shared" ca="1" si="584"/>
        <v>0</v>
      </c>
      <c r="J992" s="125">
        <f t="shared" ca="1" si="585"/>
        <v>0</v>
      </c>
      <c r="K992" s="125">
        <f t="shared" ca="1" si="586"/>
        <v>0</v>
      </c>
      <c r="L992" s="125">
        <f t="shared" ca="1" si="604"/>
        <v>0</v>
      </c>
      <c r="M992" s="125">
        <f t="shared" ca="1" si="587"/>
        <v>0</v>
      </c>
      <c r="N992" s="125">
        <f t="shared" ca="1" si="588"/>
        <v>0</v>
      </c>
      <c r="R992">
        <f t="shared" si="605"/>
        <v>985</v>
      </c>
      <c r="U992" s="55"/>
      <c r="V992">
        <f t="shared" si="606"/>
        <v>2</v>
      </c>
      <c r="W992">
        <f t="shared" ca="1" si="607"/>
        <v>2106</v>
      </c>
      <c r="X992" s="123">
        <f t="shared" ca="1" si="589"/>
        <v>75273</v>
      </c>
      <c r="Y992" s="64">
        <f t="shared" ca="1" si="590"/>
        <v>0</v>
      </c>
      <c r="Z992" s="64">
        <f t="shared" ca="1" si="591"/>
        <v>0</v>
      </c>
      <c r="AA992" s="64">
        <f t="shared" ca="1" si="592"/>
        <v>0</v>
      </c>
      <c r="AB992" s="64">
        <f t="shared" ca="1" si="593"/>
        <v>0</v>
      </c>
      <c r="AF992" t="str">
        <f t="shared" ca="1" si="573"/>
        <v>61962</v>
      </c>
      <c r="AG992" s="126">
        <f t="shared" ca="1" si="574"/>
        <v>0</v>
      </c>
      <c r="AH992" s="126">
        <f t="shared" ca="1" si="575"/>
        <v>0</v>
      </c>
      <c r="AI992" s="126">
        <f t="shared" ca="1" si="576"/>
        <v>0</v>
      </c>
      <c r="AJ992" t="str">
        <f t="shared" ca="1" si="577"/>
        <v>22106</v>
      </c>
      <c r="AK992" s="126">
        <f t="shared" ca="1" si="594"/>
        <v>0</v>
      </c>
      <c r="AL992" s="126">
        <f t="shared" ca="1" si="595"/>
        <v>0</v>
      </c>
      <c r="AM992" s="126">
        <f t="shared" ca="1" si="608"/>
        <v>0</v>
      </c>
      <c r="AN992" s="753">
        <f t="shared" ca="1" si="609"/>
        <v>0</v>
      </c>
      <c r="AO992" s="750">
        <f t="shared" ca="1" si="596"/>
        <v>0</v>
      </c>
      <c r="AP992" s="126">
        <f t="shared" ca="1" si="597"/>
        <v>0</v>
      </c>
      <c r="AQ992" s="126">
        <f t="shared" ca="1" si="598"/>
        <v>0</v>
      </c>
      <c r="AR992" s="126">
        <f t="shared" ca="1" si="578"/>
        <v>10000</v>
      </c>
      <c r="AS992" s="750">
        <f t="shared" ca="1" si="579"/>
        <v>0</v>
      </c>
      <c r="AT992" s="750">
        <f t="shared" ca="1" si="580"/>
        <v>0</v>
      </c>
      <c r="AU992" s="126">
        <f t="shared" ca="1" si="599"/>
        <v>0</v>
      </c>
      <c r="AV992" s="126">
        <f t="shared" ca="1" si="600"/>
        <v>0</v>
      </c>
      <c r="AW992" s="126">
        <f t="shared" ca="1" si="581"/>
        <v>10000</v>
      </c>
      <c r="AX992" s="750">
        <f t="shared" ca="1" si="601"/>
        <v>0</v>
      </c>
      <c r="AY992" s="750">
        <f t="shared" ca="1" si="602"/>
        <v>0</v>
      </c>
      <c r="AZ992">
        <f t="shared" si="603"/>
        <v>5750</v>
      </c>
    </row>
    <row r="993" spans="4:52">
      <c r="D993">
        <v>986</v>
      </c>
      <c r="E993" s="6">
        <f t="shared" ca="1" si="582"/>
        <v>22767</v>
      </c>
      <c r="F993" s="7">
        <f t="shared" ca="1" si="583"/>
        <v>0</v>
      </c>
      <c r="G993" s="125">
        <f ca="1">IF('Simulador - 1º Pilar'!$E$99="Sí",IF('Aportaciones PPE'!$B$13&lt;'Aportaciones PPE'!E993,0,F993*$B$8/12),F993*$B$8/12)</f>
        <v>0</v>
      </c>
      <c r="H993" s="125">
        <f t="shared" ca="1" si="572"/>
        <v>0</v>
      </c>
      <c r="I993" s="125">
        <f t="shared" ca="1" si="584"/>
        <v>0</v>
      </c>
      <c r="J993" s="125">
        <f t="shared" ca="1" si="585"/>
        <v>0</v>
      </c>
      <c r="K993" s="125">
        <f t="shared" ca="1" si="586"/>
        <v>0</v>
      </c>
      <c r="L993" s="125">
        <f t="shared" ca="1" si="604"/>
        <v>0</v>
      </c>
      <c r="M993" s="125">
        <f t="shared" ca="1" si="587"/>
        <v>0</v>
      </c>
      <c r="N993" s="125">
        <f t="shared" ca="1" si="588"/>
        <v>0</v>
      </c>
      <c r="R993">
        <f t="shared" si="605"/>
        <v>986</v>
      </c>
      <c r="U993" s="55"/>
      <c r="V993">
        <f t="shared" si="606"/>
        <v>3</v>
      </c>
      <c r="W993">
        <f t="shared" ca="1" si="607"/>
        <v>2106</v>
      </c>
      <c r="X993" s="123">
        <f t="shared" ca="1" si="589"/>
        <v>75301</v>
      </c>
      <c r="Y993" s="64">
        <f t="shared" ca="1" si="590"/>
        <v>0</v>
      </c>
      <c r="Z993" s="64">
        <f t="shared" ca="1" si="591"/>
        <v>0</v>
      </c>
      <c r="AA993" s="64">
        <f t="shared" ca="1" si="592"/>
        <v>0</v>
      </c>
      <c r="AB993" s="64">
        <f t="shared" ca="1" si="593"/>
        <v>0</v>
      </c>
      <c r="AF993" t="str">
        <f t="shared" ca="1" si="573"/>
        <v>51962</v>
      </c>
      <c r="AG993" s="126">
        <f t="shared" ca="1" si="574"/>
        <v>0</v>
      </c>
      <c r="AH993" s="126">
        <f t="shared" ca="1" si="575"/>
        <v>0</v>
      </c>
      <c r="AI993" s="126">
        <f t="shared" ca="1" si="576"/>
        <v>0</v>
      </c>
      <c r="AJ993" t="str">
        <f t="shared" ca="1" si="577"/>
        <v>32106</v>
      </c>
      <c r="AK993" s="126">
        <f t="shared" ca="1" si="594"/>
        <v>0</v>
      </c>
      <c r="AL993" s="126">
        <f t="shared" ca="1" si="595"/>
        <v>0</v>
      </c>
      <c r="AM993" s="126">
        <f t="shared" ca="1" si="608"/>
        <v>0</v>
      </c>
      <c r="AN993" s="753">
        <f t="shared" ca="1" si="609"/>
        <v>0</v>
      </c>
      <c r="AO993" s="750">
        <f t="shared" ca="1" si="596"/>
        <v>0</v>
      </c>
      <c r="AP993" s="126">
        <f t="shared" ca="1" si="597"/>
        <v>0</v>
      </c>
      <c r="AQ993" s="126">
        <f t="shared" ca="1" si="598"/>
        <v>0</v>
      </c>
      <c r="AR993" s="126">
        <f t="shared" ca="1" si="578"/>
        <v>10000</v>
      </c>
      <c r="AS993" s="750">
        <f t="shared" ca="1" si="579"/>
        <v>0</v>
      </c>
      <c r="AT993" s="750">
        <f t="shared" ca="1" si="580"/>
        <v>0</v>
      </c>
      <c r="AU993" s="126">
        <f t="shared" ca="1" si="599"/>
        <v>0</v>
      </c>
      <c r="AV993" s="126">
        <f t="shared" ca="1" si="600"/>
        <v>0</v>
      </c>
      <c r="AW993" s="126">
        <f t="shared" ca="1" si="581"/>
        <v>10000</v>
      </c>
      <c r="AX993" s="750">
        <f t="shared" ca="1" si="601"/>
        <v>0</v>
      </c>
      <c r="AY993" s="750">
        <f t="shared" ca="1" si="602"/>
        <v>0</v>
      </c>
      <c r="AZ993">
        <f t="shared" si="603"/>
        <v>5750</v>
      </c>
    </row>
    <row r="994" spans="4:52">
      <c r="D994">
        <v>987</v>
      </c>
      <c r="E994" s="6">
        <f t="shared" ca="1" si="582"/>
        <v>22737</v>
      </c>
      <c r="F994" s="7">
        <f t="shared" ca="1" si="583"/>
        <v>0</v>
      </c>
      <c r="G994" s="125">
        <f ca="1">IF('Simulador - 1º Pilar'!$E$99="Sí",IF('Aportaciones PPE'!$B$13&lt;'Aportaciones PPE'!E994,0,F994*$B$8/12),F994*$B$8/12)</f>
        <v>0</v>
      </c>
      <c r="H994" s="125">
        <f t="shared" ca="1" si="572"/>
        <v>0</v>
      </c>
      <c r="I994" s="125">
        <f t="shared" ca="1" si="584"/>
        <v>0</v>
      </c>
      <c r="J994" s="125">
        <f t="shared" ca="1" si="585"/>
        <v>0</v>
      </c>
      <c r="K994" s="125">
        <f t="shared" ca="1" si="586"/>
        <v>0</v>
      </c>
      <c r="L994" s="125">
        <f t="shared" ca="1" si="604"/>
        <v>0</v>
      </c>
      <c r="M994" s="125">
        <f t="shared" ca="1" si="587"/>
        <v>0</v>
      </c>
      <c r="N994" s="125">
        <f t="shared" ca="1" si="588"/>
        <v>0</v>
      </c>
      <c r="R994">
        <f t="shared" si="605"/>
        <v>987</v>
      </c>
      <c r="U994" s="55"/>
      <c r="V994">
        <f t="shared" si="606"/>
        <v>4</v>
      </c>
      <c r="W994">
        <f t="shared" ca="1" si="607"/>
        <v>2106</v>
      </c>
      <c r="X994" s="123">
        <f t="shared" ca="1" si="589"/>
        <v>75332</v>
      </c>
      <c r="Y994" s="64">
        <f t="shared" ca="1" si="590"/>
        <v>0</v>
      </c>
      <c r="Z994" s="64">
        <f t="shared" ca="1" si="591"/>
        <v>0</v>
      </c>
      <c r="AA994" s="64">
        <f t="shared" ca="1" si="592"/>
        <v>0</v>
      </c>
      <c r="AB994" s="64">
        <f t="shared" ca="1" si="593"/>
        <v>0</v>
      </c>
      <c r="AF994" t="str">
        <f t="shared" ca="1" si="573"/>
        <v>41962</v>
      </c>
      <c r="AG994" s="126">
        <f t="shared" ca="1" si="574"/>
        <v>0</v>
      </c>
      <c r="AH994" s="126">
        <f t="shared" ca="1" si="575"/>
        <v>0</v>
      </c>
      <c r="AI994" s="126">
        <f t="shared" ca="1" si="576"/>
        <v>0</v>
      </c>
      <c r="AJ994" t="str">
        <f t="shared" ca="1" si="577"/>
        <v>42106</v>
      </c>
      <c r="AK994" s="126">
        <f t="shared" ca="1" si="594"/>
        <v>0</v>
      </c>
      <c r="AL994" s="126">
        <f t="shared" ca="1" si="595"/>
        <v>0</v>
      </c>
      <c r="AM994" s="126">
        <f t="shared" ca="1" si="608"/>
        <v>0</v>
      </c>
      <c r="AN994" s="753">
        <f t="shared" ca="1" si="609"/>
        <v>0</v>
      </c>
      <c r="AO994" s="750">
        <f t="shared" ca="1" si="596"/>
        <v>0</v>
      </c>
      <c r="AP994" s="126">
        <f t="shared" ca="1" si="597"/>
        <v>0</v>
      </c>
      <c r="AQ994" s="126">
        <f t="shared" ca="1" si="598"/>
        <v>0</v>
      </c>
      <c r="AR994" s="126">
        <f t="shared" ca="1" si="578"/>
        <v>10000</v>
      </c>
      <c r="AS994" s="750">
        <f t="shared" ca="1" si="579"/>
        <v>0</v>
      </c>
      <c r="AT994" s="750">
        <f t="shared" ca="1" si="580"/>
        <v>0</v>
      </c>
      <c r="AU994" s="126">
        <f t="shared" ca="1" si="599"/>
        <v>0</v>
      </c>
      <c r="AV994" s="126">
        <f t="shared" ca="1" si="600"/>
        <v>0</v>
      </c>
      <c r="AW994" s="126">
        <f t="shared" ca="1" si="581"/>
        <v>10000</v>
      </c>
      <c r="AX994" s="750">
        <f t="shared" ca="1" si="601"/>
        <v>0</v>
      </c>
      <c r="AY994" s="750">
        <f t="shared" ca="1" si="602"/>
        <v>0</v>
      </c>
      <c r="AZ994">
        <f t="shared" si="603"/>
        <v>5750</v>
      </c>
    </row>
    <row r="995" spans="4:52">
      <c r="D995">
        <v>988</v>
      </c>
      <c r="E995" s="6">
        <f t="shared" ca="1" si="582"/>
        <v>22706</v>
      </c>
      <c r="F995" s="7">
        <f t="shared" ca="1" si="583"/>
        <v>0</v>
      </c>
      <c r="G995" s="125">
        <f ca="1">IF('Simulador - 1º Pilar'!$E$99="Sí",IF('Aportaciones PPE'!$B$13&lt;'Aportaciones PPE'!E995,0,F995*$B$8/12),F995*$B$8/12)</f>
        <v>0</v>
      </c>
      <c r="H995" s="125">
        <f t="shared" ca="1" si="572"/>
        <v>0</v>
      </c>
      <c r="I995" s="125">
        <f t="shared" ca="1" si="584"/>
        <v>0</v>
      </c>
      <c r="J995" s="125">
        <f t="shared" ca="1" si="585"/>
        <v>0</v>
      </c>
      <c r="K995" s="125">
        <f t="shared" ca="1" si="586"/>
        <v>0</v>
      </c>
      <c r="L995" s="125">
        <f t="shared" ca="1" si="604"/>
        <v>0</v>
      </c>
      <c r="M995" s="125">
        <f t="shared" ca="1" si="587"/>
        <v>0</v>
      </c>
      <c r="N995" s="125">
        <f t="shared" ca="1" si="588"/>
        <v>0</v>
      </c>
      <c r="R995">
        <f t="shared" si="605"/>
        <v>988</v>
      </c>
      <c r="U995" s="55"/>
      <c r="V995">
        <f t="shared" si="606"/>
        <v>5</v>
      </c>
      <c r="W995">
        <f t="shared" ca="1" si="607"/>
        <v>2106</v>
      </c>
      <c r="X995" s="123">
        <f t="shared" ca="1" si="589"/>
        <v>75362</v>
      </c>
      <c r="Y995" s="64">
        <f t="shared" ca="1" si="590"/>
        <v>0</v>
      </c>
      <c r="Z995" s="64">
        <f t="shared" ca="1" si="591"/>
        <v>0</v>
      </c>
      <c r="AA995" s="64">
        <f t="shared" ca="1" si="592"/>
        <v>0</v>
      </c>
      <c r="AB995" s="64">
        <f t="shared" ca="1" si="593"/>
        <v>0</v>
      </c>
      <c r="AF995" t="str">
        <f t="shared" ca="1" si="573"/>
        <v>31962</v>
      </c>
      <c r="AG995" s="126">
        <f t="shared" ca="1" si="574"/>
        <v>0</v>
      </c>
      <c r="AH995" s="126">
        <f t="shared" ca="1" si="575"/>
        <v>0</v>
      </c>
      <c r="AI995" s="126">
        <f t="shared" ca="1" si="576"/>
        <v>0</v>
      </c>
      <c r="AJ995" t="str">
        <f t="shared" ca="1" si="577"/>
        <v>52106</v>
      </c>
      <c r="AK995" s="126">
        <f t="shared" ca="1" si="594"/>
        <v>0</v>
      </c>
      <c r="AL995" s="126">
        <f t="shared" ca="1" si="595"/>
        <v>0</v>
      </c>
      <c r="AM995" s="126">
        <f t="shared" ca="1" si="608"/>
        <v>0</v>
      </c>
      <c r="AN995" s="753">
        <f t="shared" ca="1" si="609"/>
        <v>0</v>
      </c>
      <c r="AO995" s="750">
        <f t="shared" ca="1" si="596"/>
        <v>0</v>
      </c>
      <c r="AP995" s="126">
        <f t="shared" ca="1" si="597"/>
        <v>0</v>
      </c>
      <c r="AQ995" s="126">
        <f t="shared" ca="1" si="598"/>
        <v>0</v>
      </c>
      <c r="AR995" s="126">
        <f t="shared" ca="1" si="578"/>
        <v>10000</v>
      </c>
      <c r="AS995" s="750">
        <f t="shared" ca="1" si="579"/>
        <v>0</v>
      </c>
      <c r="AT995" s="750">
        <f t="shared" ca="1" si="580"/>
        <v>0</v>
      </c>
      <c r="AU995" s="126">
        <f t="shared" ca="1" si="599"/>
        <v>0</v>
      </c>
      <c r="AV995" s="126">
        <f t="shared" ca="1" si="600"/>
        <v>0</v>
      </c>
      <c r="AW995" s="126">
        <f t="shared" ca="1" si="581"/>
        <v>10000</v>
      </c>
      <c r="AX995" s="750">
        <f t="shared" ca="1" si="601"/>
        <v>0</v>
      </c>
      <c r="AY995" s="750">
        <f t="shared" ca="1" si="602"/>
        <v>0</v>
      </c>
      <c r="AZ995">
        <f t="shared" si="603"/>
        <v>5750</v>
      </c>
    </row>
    <row r="996" spans="4:52">
      <c r="D996">
        <v>989</v>
      </c>
      <c r="E996" s="6">
        <f t="shared" ca="1" si="582"/>
        <v>22678</v>
      </c>
      <c r="F996" s="7">
        <f t="shared" ca="1" si="583"/>
        <v>0</v>
      </c>
      <c r="G996" s="125">
        <f ca="1">IF('Simulador - 1º Pilar'!$E$99="Sí",IF('Aportaciones PPE'!$B$13&lt;'Aportaciones PPE'!E996,0,F996*$B$8/12),F996*$B$8/12)</f>
        <v>0</v>
      </c>
      <c r="H996" s="125">
        <f t="shared" ca="1" si="572"/>
        <v>0</v>
      </c>
      <c r="I996" s="125">
        <f t="shared" ca="1" si="584"/>
        <v>0</v>
      </c>
      <c r="J996" s="125">
        <f t="shared" ca="1" si="585"/>
        <v>0</v>
      </c>
      <c r="K996" s="125">
        <f t="shared" ca="1" si="586"/>
        <v>0</v>
      </c>
      <c r="L996" s="125">
        <f t="shared" ca="1" si="604"/>
        <v>0</v>
      </c>
      <c r="M996" s="125">
        <f t="shared" ca="1" si="587"/>
        <v>0</v>
      </c>
      <c r="N996" s="125">
        <f t="shared" ca="1" si="588"/>
        <v>0</v>
      </c>
      <c r="R996">
        <f t="shared" si="605"/>
        <v>989</v>
      </c>
      <c r="U996" s="55"/>
      <c r="V996">
        <f t="shared" si="606"/>
        <v>6</v>
      </c>
      <c r="W996">
        <f t="shared" ca="1" si="607"/>
        <v>2106</v>
      </c>
      <c r="X996" s="123">
        <f t="shared" ca="1" si="589"/>
        <v>75393</v>
      </c>
      <c r="Y996" s="64">
        <f t="shared" ca="1" si="590"/>
        <v>0</v>
      </c>
      <c r="Z996" s="64">
        <f t="shared" ca="1" si="591"/>
        <v>0</v>
      </c>
      <c r="AA996" s="64">
        <f t="shared" ca="1" si="592"/>
        <v>0</v>
      </c>
      <c r="AB996" s="64">
        <f t="shared" ca="1" si="593"/>
        <v>0</v>
      </c>
      <c r="AF996" t="str">
        <f t="shared" ca="1" si="573"/>
        <v>21962</v>
      </c>
      <c r="AG996" s="126">
        <f t="shared" ca="1" si="574"/>
        <v>0</v>
      </c>
      <c r="AH996" s="126">
        <f t="shared" ca="1" si="575"/>
        <v>0</v>
      </c>
      <c r="AI996" s="126">
        <f t="shared" ca="1" si="576"/>
        <v>0</v>
      </c>
      <c r="AJ996" t="str">
        <f t="shared" ca="1" si="577"/>
        <v>62106</v>
      </c>
      <c r="AK996" s="126">
        <f t="shared" ca="1" si="594"/>
        <v>0</v>
      </c>
      <c r="AL996" s="126">
        <f t="shared" ca="1" si="595"/>
        <v>0</v>
      </c>
      <c r="AM996" s="126">
        <f t="shared" ca="1" si="608"/>
        <v>0</v>
      </c>
      <c r="AN996" s="753">
        <f t="shared" ca="1" si="609"/>
        <v>0</v>
      </c>
      <c r="AO996" s="750">
        <f t="shared" ca="1" si="596"/>
        <v>0</v>
      </c>
      <c r="AP996" s="126">
        <f t="shared" ca="1" si="597"/>
        <v>0</v>
      </c>
      <c r="AQ996" s="126">
        <f t="shared" ca="1" si="598"/>
        <v>0</v>
      </c>
      <c r="AR996" s="126">
        <f t="shared" ca="1" si="578"/>
        <v>10000</v>
      </c>
      <c r="AS996" s="750">
        <f t="shared" ca="1" si="579"/>
        <v>0</v>
      </c>
      <c r="AT996" s="750">
        <f t="shared" ca="1" si="580"/>
        <v>0</v>
      </c>
      <c r="AU996" s="126">
        <f t="shared" ca="1" si="599"/>
        <v>0</v>
      </c>
      <c r="AV996" s="126">
        <f t="shared" ca="1" si="600"/>
        <v>0</v>
      </c>
      <c r="AW996" s="126">
        <f t="shared" ca="1" si="581"/>
        <v>10000</v>
      </c>
      <c r="AX996" s="750">
        <f t="shared" ca="1" si="601"/>
        <v>0</v>
      </c>
      <c r="AY996" s="750">
        <f t="shared" ca="1" si="602"/>
        <v>0</v>
      </c>
      <c r="AZ996">
        <f t="shared" si="603"/>
        <v>5750</v>
      </c>
    </row>
    <row r="997" spans="4:52">
      <c r="D997">
        <v>990</v>
      </c>
      <c r="E997" s="6">
        <f t="shared" ca="1" si="582"/>
        <v>22647</v>
      </c>
      <c r="F997" s="7">
        <f t="shared" ca="1" si="583"/>
        <v>0</v>
      </c>
      <c r="G997" s="125">
        <f ca="1">IF('Simulador - 1º Pilar'!$E$99="Sí",IF('Aportaciones PPE'!$B$13&lt;'Aportaciones PPE'!E997,0,F997*$B$8/12),F997*$B$8/12)</f>
        <v>0</v>
      </c>
      <c r="H997" s="125">
        <f t="shared" ca="1" si="572"/>
        <v>0</v>
      </c>
      <c r="I997" s="125">
        <f t="shared" ca="1" si="584"/>
        <v>0</v>
      </c>
      <c r="J997" s="125">
        <f t="shared" ca="1" si="585"/>
        <v>0</v>
      </c>
      <c r="K997" s="125">
        <f t="shared" ca="1" si="586"/>
        <v>0</v>
      </c>
      <c r="L997" s="125">
        <f t="shared" ca="1" si="604"/>
        <v>0</v>
      </c>
      <c r="M997" s="125">
        <f t="shared" ca="1" si="587"/>
        <v>0</v>
      </c>
      <c r="N997" s="125">
        <f t="shared" ca="1" si="588"/>
        <v>0</v>
      </c>
      <c r="R997">
        <f t="shared" si="605"/>
        <v>990</v>
      </c>
      <c r="U997" s="55"/>
      <c r="V997">
        <f t="shared" si="606"/>
        <v>7</v>
      </c>
      <c r="W997">
        <f t="shared" ca="1" si="607"/>
        <v>2106</v>
      </c>
      <c r="X997" s="123">
        <f t="shared" ca="1" si="589"/>
        <v>75423</v>
      </c>
      <c r="Y997" s="64">
        <f t="shared" ca="1" si="590"/>
        <v>0</v>
      </c>
      <c r="Z997" s="64">
        <f t="shared" ca="1" si="591"/>
        <v>0</v>
      </c>
      <c r="AA997" s="64">
        <f t="shared" ca="1" si="592"/>
        <v>0</v>
      </c>
      <c r="AB997" s="64">
        <f t="shared" ca="1" si="593"/>
        <v>0</v>
      </c>
      <c r="AF997" t="str">
        <f t="shared" ca="1" si="573"/>
        <v>11962</v>
      </c>
      <c r="AG997" s="126">
        <f t="shared" ca="1" si="574"/>
        <v>0</v>
      </c>
      <c r="AH997" s="126">
        <f t="shared" ca="1" si="575"/>
        <v>0</v>
      </c>
      <c r="AI997" s="126">
        <f t="shared" ca="1" si="576"/>
        <v>0</v>
      </c>
      <c r="AJ997" t="str">
        <f t="shared" ca="1" si="577"/>
        <v>72106</v>
      </c>
      <c r="AK997" s="126">
        <f t="shared" ca="1" si="594"/>
        <v>0</v>
      </c>
      <c r="AL997" s="126">
        <f t="shared" ca="1" si="595"/>
        <v>0</v>
      </c>
      <c r="AM997" s="126">
        <f t="shared" ca="1" si="608"/>
        <v>0</v>
      </c>
      <c r="AN997" s="753">
        <f t="shared" ca="1" si="609"/>
        <v>0</v>
      </c>
      <c r="AO997" s="750">
        <f t="shared" ca="1" si="596"/>
        <v>0</v>
      </c>
      <c r="AP997" s="126">
        <f t="shared" ca="1" si="597"/>
        <v>0</v>
      </c>
      <c r="AQ997" s="126">
        <f t="shared" ca="1" si="598"/>
        <v>0</v>
      </c>
      <c r="AR997" s="126">
        <f t="shared" ca="1" si="578"/>
        <v>10000</v>
      </c>
      <c r="AS997" s="750">
        <f t="shared" ca="1" si="579"/>
        <v>0</v>
      </c>
      <c r="AT997" s="750">
        <f t="shared" ca="1" si="580"/>
        <v>0</v>
      </c>
      <c r="AU997" s="126">
        <f t="shared" ca="1" si="599"/>
        <v>0</v>
      </c>
      <c r="AV997" s="126">
        <f t="shared" ca="1" si="600"/>
        <v>0</v>
      </c>
      <c r="AW997" s="126">
        <f t="shared" ca="1" si="581"/>
        <v>10000</v>
      </c>
      <c r="AX997" s="750">
        <f t="shared" ca="1" si="601"/>
        <v>0</v>
      </c>
      <c r="AY997" s="750">
        <f t="shared" ca="1" si="602"/>
        <v>0</v>
      </c>
      <c r="AZ997">
        <f t="shared" si="603"/>
        <v>5750</v>
      </c>
    </row>
    <row r="998" spans="4:52">
      <c r="D998">
        <v>991</v>
      </c>
      <c r="E998" s="6">
        <f t="shared" ca="1" si="582"/>
        <v>22616</v>
      </c>
      <c r="F998" s="7">
        <f t="shared" ca="1" si="583"/>
        <v>0</v>
      </c>
      <c r="G998" s="125">
        <f ca="1">IF('Simulador - 1º Pilar'!$E$99="Sí",IF('Aportaciones PPE'!$B$13&lt;'Aportaciones PPE'!E998,0,F998*$B$8/12),F998*$B$8/12)</f>
        <v>0</v>
      </c>
      <c r="H998" s="125">
        <f t="shared" ca="1" si="572"/>
        <v>0</v>
      </c>
      <c r="I998" s="125">
        <f t="shared" ca="1" si="584"/>
        <v>0</v>
      </c>
      <c r="J998" s="125">
        <f t="shared" ca="1" si="585"/>
        <v>0</v>
      </c>
      <c r="K998" s="125">
        <f t="shared" ca="1" si="586"/>
        <v>0</v>
      </c>
      <c r="L998" s="125">
        <f t="shared" ca="1" si="604"/>
        <v>0</v>
      </c>
      <c r="M998" s="125">
        <f t="shared" ca="1" si="587"/>
        <v>0</v>
      </c>
      <c r="N998" s="125">
        <f t="shared" ca="1" si="588"/>
        <v>0</v>
      </c>
      <c r="R998">
        <f t="shared" si="605"/>
        <v>991</v>
      </c>
      <c r="U998" s="55"/>
      <c r="V998">
        <f t="shared" si="606"/>
        <v>8</v>
      </c>
      <c r="W998">
        <f t="shared" ca="1" si="607"/>
        <v>2106</v>
      </c>
      <c r="X998" s="123">
        <f t="shared" ca="1" si="589"/>
        <v>75454</v>
      </c>
      <c r="Y998" s="64">
        <f t="shared" ca="1" si="590"/>
        <v>0</v>
      </c>
      <c r="Z998" s="64">
        <f t="shared" ca="1" si="591"/>
        <v>0</v>
      </c>
      <c r="AA998" s="64">
        <f t="shared" ca="1" si="592"/>
        <v>0</v>
      </c>
      <c r="AB998" s="64">
        <f t="shared" ca="1" si="593"/>
        <v>0</v>
      </c>
      <c r="AF998" t="str">
        <f t="shared" ca="1" si="573"/>
        <v>121961</v>
      </c>
      <c r="AG998" s="126">
        <f t="shared" ca="1" si="574"/>
        <v>0</v>
      </c>
      <c r="AH998" s="126">
        <f t="shared" ca="1" si="575"/>
        <v>0</v>
      </c>
      <c r="AI998" s="126">
        <f t="shared" ca="1" si="576"/>
        <v>0</v>
      </c>
      <c r="AJ998" t="str">
        <f t="shared" ca="1" si="577"/>
        <v>82106</v>
      </c>
      <c r="AK998" s="126">
        <f t="shared" ca="1" si="594"/>
        <v>0</v>
      </c>
      <c r="AL998" s="126">
        <f t="shared" ca="1" si="595"/>
        <v>0</v>
      </c>
      <c r="AM998" s="126">
        <f t="shared" ca="1" si="608"/>
        <v>0</v>
      </c>
      <c r="AN998" s="753">
        <f t="shared" ca="1" si="609"/>
        <v>0</v>
      </c>
      <c r="AO998" s="750">
        <f t="shared" ca="1" si="596"/>
        <v>0</v>
      </c>
      <c r="AP998" s="126">
        <f t="shared" ca="1" si="597"/>
        <v>0</v>
      </c>
      <c r="AQ998" s="126">
        <f t="shared" ca="1" si="598"/>
        <v>0</v>
      </c>
      <c r="AR998" s="126">
        <f t="shared" ca="1" si="578"/>
        <v>10000</v>
      </c>
      <c r="AS998" s="750">
        <f t="shared" ca="1" si="579"/>
        <v>0</v>
      </c>
      <c r="AT998" s="750">
        <f t="shared" ca="1" si="580"/>
        <v>0</v>
      </c>
      <c r="AU998" s="126">
        <f t="shared" ca="1" si="599"/>
        <v>0</v>
      </c>
      <c r="AV998" s="126">
        <f t="shared" ca="1" si="600"/>
        <v>0</v>
      </c>
      <c r="AW998" s="126">
        <f t="shared" ca="1" si="581"/>
        <v>10000</v>
      </c>
      <c r="AX998" s="750">
        <f t="shared" ca="1" si="601"/>
        <v>0</v>
      </c>
      <c r="AY998" s="750">
        <f t="shared" ca="1" si="602"/>
        <v>0</v>
      </c>
      <c r="AZ998">
        <f t="shared" si="603"/>
        <v>5750</v>
      </c>
    </row>
    <row r="999" spans="4:52">
      <c r="D999">
        <v>992</v>
      </c>
      <c r="E999" s="6">
        <f t="shared" ca="1" si="582"/>
        <v>22586</v>
      </c>
      <c r="F999" s="7">
        <f t="shared" ca="1" si="583"/>
        <v>0</v>
      </c>
      <c r="G999" s="125">
        <f ca="1">IF('Simulador - 1º Pilar'!$E$99="Sí",IF('Aportaciones PPE'!$B$13&lt;'Aportaciones PPE'!E999,0,F999*$B$8/12),F999*$B$8/12)</f>
        <v>0</v>
      </c>
      <c r="H999" s="125">
        <f t="shared" ca="1" si="572"/>
        <v>0</v>
      </c>
      <c r="I999" s="125">
        <f t="shared" ca="1" si="584"/>
        <v>0</v>
      </c>
      <c r="J999" s="125">
        <f t="shared" ca="1" si="585"/>
        <v>0</v>
      </c>
      <c r="K999" s="125">
        <f t="shared" ca="1" si="586"/>
        <v>0</v>
      </c>
      <c r="L999" s="125">
        <f t="shared" ca="1" si="604"/>
        <v>0</v>
      </c>
      <c r="M999" s="125">
        <f t="shared" ca="1" si="587"/>
        <v>0</v>
      </c>
      <c r="N999" s="125">
        <f t="shared" ca="1" si="588"/>
        <v>0</v>
      </c>
      <c r="R999">
        <f t="shared" si="605"/>
        <v>992</v>
      </c>
      <c r="U999" s="55"/>
      <c r="V999">
        <f t="shared" si="606"/>
        <v>9</v>
      </c>
      <c r="W999">
        <f t="shared" ca="1" si="607"/>
        <v>2106</v>
      </c>
      <c r="X999" s="123">
        <f t="shared" ca="1" si="589"/>
        <v>75485</v>
      </c>
      <c r="Y999" s="64">
        <f t="shared" ca="1" si="590"/>
        <v>0</v>
      </c>
      <c r="Z999" s="64">
        <f t="shared" ca="1" si="591"/>
        <v>0</v>
      </c>
      <c r="AA999" s="64">
        <f t="shared" ca="1" si="592"/>
        <v>0</v>
      </c>
      <c r="AB999" s="64">
        <f t="shared" ca="1" si="593"/>
        <v>0</v>
      </c>
      <c r="AF999" t="str">
        <f t="shared" ca="1" si="573"/>
        <v>111961</v>
      </c>
      <c r="AG999" s="126">
        <f t="shared" ca="1" si="574"/>
        <v>0</v>
      </c>
      <c r="AH999" s="126">
        <f t="shared" ca="1" si="575"/>
        <v>0</v>
      </c>
      <c r="AI999" s="126">
        <f t="shared" ca="1" si="576"/>
        <v>0</v>
      </c>
      <c r="AJ999" t="str">
        <f t="shared" ca="1" si="577"/>
        <v>92106</v>
      </c>
      <c r="AK999" s="126">
        <f t="shared" ca="1" si="594"/>
        <v>0</v>
      </c>
      <c r="AL999" s="126">
        <f t="shared" ca="1" si="595"/>
        <v>0</v>
      </c>
      <c r="AM999" s="126">
        <f t="shared" ca="1" si="608"/>
        <v>0</v>
      </c>
      <c r="AN999" s="753">
        <f t="shared" ca="1" si="609"/>
        <v>0</v>
      </c>
      <c r="AO999" s="750">
        <f t="shared" ca="1" si="596"/>
        <v>0</v>
      </c>
      <c r="AP999" s="126">
        <f t="shared" ca="1" si="597"/>
        <v>0</v>
      </c>
      <c r="AQ999" s="126">
        <f t="shared" ca="1" si="598"/>
        <v>0</v>
      </c>
      <c r="AR999" s="126">
        <f t="shared" ca="1" si="578"/>
        <v>10000</v>
      </c>
      <c r="AS999" s="750">
        <f t="shared" ca="1" si="579"/>
        <v>0</v>
      </c>
      <c r="AT999" s="750">
        <f t="shared" ca="1" si="580"/>
        <v>0</v>
      </c>
      <c r="AU999" s="126">
        <f t="shared" ca="1" si="599"/>
        <v>0</v>
      </c>
      <c r="AV999" s="126">
        <f t="shared" ca="1" si="600"/>
        <v>0</v>
      </c>
      <c r="AW999" s="126">
        <f t="shared" ca="1" si="581"/>
        <v>10000</v>
      </c>
      <c r="AX999" s="750">
        <f t="shared" ca="1" si="601"/>
        <v>0</v>
      </c>
      <c r="AY999" s="750">
        <f t="shared" ca="1" si="602"/>
        <v>0</v>
      </c>
      <c r="AZ999">
        <f t="shared" si="603"/>
        <v>5750</v>
      </c>
    </row>
    <row r="1000" spans="4:52">
      <c r="D1000">
        <v>993</v>
      </c>
      <c r="E1000" s="6">
        <f t="shared" ca="1" si="582"/>
        <v>22555</v>
      </c>
      <c r="F1000" s="7">
        <f t="shared" ca="1" si="583"/>
        <v>0</v>
      </c>
      <c r="G1000" s="125">
        <f ca="1">IF('Simulador - 1º Pilar'!$E$99="Sí",IF('Aportaciones PPE'!$B$13&lt;'Aportaciones PPE'!E1000,0,F1000*$B$8/12),F1000*$B$8/12)</f>
        <v>0</v>
      </c>
      <c r="H1000" s="125">
        <f t="shared" ca="1" si="572"/>
        <v>0</v>
      </c>
      <c r="I1000" s="125">
        <f t="shared" ca="1" si="584"/>
        <v>0</v>
      </c>
      <c r="J1000" s="125">
        <f t="shared" ca="1" si="585"/>
        <v>0</v>
      </c>
      <c r="K1000" s="125">
        <f t="shared" ca="1" si="586"/>
        <v>0</v>
      </c>
      <c r="L1000" s="125">
        <f t="shared" ca="1" si="604"/>
        <v>0</v>
      </c>
      <c r="M1000" s="125">
        <f t="shared" ca="1" si="587"/>
        <v>0</v>
      </c>
      <c r="N1000" s="125">
        <f t="shared" ca="1" si="588"/>
        <v>0</v>
      </c>
      <c r="R1000">
        <f t="shared" si="605"/>
        <v>993</v>
      </c>
      <c r="U1000" s="55"/>
      <c r="V1000">
        <f t="shared" si="606"/>
        <v>10</v>
      </c>
      <c r="W1000">
        <f t="shared" ca="1" si="607"/>
        <v>2106</v>
      </c>
      <c r="X1000" s="123">
        <f t="shared" ca="1" si="589"/>
        <v>75515</v>
      </c>
      <c r="Y1000" s="64">
        <f t="shared" ca="1" si="590"/>
        <v>0</v>
      </c>
      <c r="Z1000" s="64">
        <f t="shared" ca="1" si="591"/>
        <v>0</v>
      </c>
      <c r="AA1000" s="64">
        <f t="shared" ca="1" si="592"/>
        <v>0</v>
      </c>
      <c r="AB1000" s="64">
        <f t="shared" ca="1" si="593"/>
        <v>0</v>
      </c>
      <c r="AF1000" t="str">
        <f t="shared" ca="1" si="573"/>
        <v>101961</v>
      </c>
      <c r="AG1000" s="126">
        <f t="shared" ca="1" si="574"/>
        <v>0</v>
      </c>
      <c r="AH1000" s="126">
        <f t="shared" ca="1" si="575"/>
        <v>0</v>
      </c>
      <c r="AI1000" s="126">
        <f t="shared" ca="1" si="576"/>
        <v>0</v>
      </c>
      <c r="AJ1000" t="str">
        <f t="shared" ca="1" si="577"/>
        <v>102106</v>
      </c>
      <c r="AK1000" s="126">
        <f t="shared" ca="1" si="594"/>
        <v>0</v>
      </c>
      <c r="AL1000" s="126">
        <f t="shared" ca="1" si="595"/>
        <v>0</v>
      </c>
      <c r="AM1000" s="126">
        <f t="shared" ca="1" si="608"/>
        <v>0</v>
      </c>
      <c r="AN1000" s="753">
        <f t="shared" ca="1" si="609"/>
        <v>0</v>
      </c>
      <c r="AO1000" s="750">
        <f t="shared" ca="1" si="596"/>
        <v>0</v>
      </c>
      <c r="AP1000" s="126">
        <f t="shared" ca="1" si="597"/>
        <v>0</v>
      </c>
      <c r="AQ1000" s="126">
        <f t="shared" ca="1" si="598"/>
        <v>0</v>
      </c>
      <c r="AR1000" s="126">
        <f t="shared" ca="1" si="578"/>
        <v>10000</v>
      </c>
      <c r="AS1000" s="750">
        <f t="shared" ca="1" si="579"/>
        <v>0</v>
      </c>
      <c r="AT1000" s="750">
        <f t="shared" ca="1" si="580"/>
        <v>0</v>
      </c>
      <c r="AU1000" s="126">
        <f t="shared" ca="1" si="599"/>
        <v>0</v>
      </c>
      <c r="AV1000" s="126">
        <f t="shared" ca="1" si="600"/>
        <v>0</v>
      </c>
      <c r="AW1000" s="126">
        <f t="shared" ca="1" si="581"/>
        <v>10000</v>
      </c>
      <c r="AX1000" s="750">
        <f t="shared" ca="1" si="601"/>
        <v>0</v>
      </c>
      <c r="AY1000" s="750">
        <f t="shared" ca="1" si="602"/>
        <v>0</v>
      </c>
      <c r="AZ1000">
        <f t="shared" si="603"/>
        <v>5750</v>
      </c>
    </row>
    <row r="1001" spans="4:52">
      <c r="D1001">
        <v>994</v>
      </c>
      <c r="E1001" s="6">
        <f t="shared" ca="1" si="582"/>
        <v>22525</v>
      </c>
      <c r="F1001" s="7">
        <f t="shared" ca="1" si="583"/>
        <v>0</v>
      </c>
      <c r="G1001" s="125">
        <f ca="1">IF('Simulador - 1º Pilar'!$E$99="Sí",IF('Aportaciones PPE'!$B$13&lt;'Aportaciones PPE'!E1001,0,F1001*$B$8/12),F1001*$B$8/12)</f>
        <v>0</v>
      </c>
      <c r="H1001" s="125">
        <f t="shared" ca="1" si="572"/>
        <v>0</v>
      </c>
      <c r="I1001" s="125">
        <f t="shared" ca="1" si="584"/>
        <v>0</v>
      </c>
      <c r="J1001" s="125">
        <f t="shared" ca="1" si="585"/>
        <v>0</v>
      </c>
      <c r="K1001" s="125">
        <f t="shared" ca="1" si="586"/>
        <v>0</v>
      </c>
      <c r="L1001" s="125">
        <f t="shared" ca="1" si="604"/>
        <v>0</v>
      </c>
      <c r="M1001" s="125">
        <f t="shared" ca="1" si="587"/>
        <v>0</v>
      </c>
      <c r="N1001" s="125">
        <f t="shared" ca="1" si="588"/>
        <v>0</v>
      </c>
      <c r="R1001">
        <f t="shared" si="605"/>
        <v>994</v>
      </c>
      <c r="U1001" s="55"/>
      <c r="V1001">
        <f t="shared" si="606"/>
        <v>11</v>
      </c>
      <c r="W1001">
        <f t="shared" ca="1" si="607"/>
        <v>2106</v>
      </c>
      <c r="X1001" s="123">
        <f t="shared" ca="1" si="589"/>
        <v>75546</v>
      </c>
      <c r="Y1001" s="64">
        <f t="shared" ca="1" si="590"/>
        <v>0</v>
      </c>
      <c r="Z1001" s="64">
        <f t="shared" ca="1" si="591"/>
        <v>0</v>
      </c>
      <c r="AA1001" s="64">
        <f t="shared" ca="1" si="592"/>
        <v>0</v>
      </c>
      <c r="AB1001" s="64">
        <f t="shared" ca="1" si="593"/>
        <v>0</v>
      </c>
      <c r="AF1001" t="str">
        <f t="shared" ca="1" si="573"/>
        <v>91961</v>
      </c>
      <c r="AG1001" s="126">
        <f t="shared" ca="1" si="574"/>
        <v>0</v>
      </c>
      <c r="AH1001" s="126">
        <f t="shared" ca="1" si="575"/>
        <v>0</v>
      </c>
      <c r="AI1001" s="126">
        <f t="shared" ca="1" si="576"/>
        <v>0</v>
      </c>
      <c r="AJ1001" t="str">
        <f t="shared" ca="1" si="577"/>
        <v>112106</v>
      </c>
      <c r="AK1001" s="126">
        <f t="shared" ca="1" si="594"/>
        <v>0</v>
      </c>
      <c r="AL1001" s="126">
        <f t="shared" ca="1" si="595"/>
        <v>0</v>
      </c>
      <c r="AM1001" s="126">
        <f t="shared" ca="1" si="608"/>
        <v>0</v>
      </c>
      <c r="AN1001" s="753">
        <f t="shared" ca="1" si="609"/>
        <v>0</v>
      </c>
      <c r="AO1001" s="750">
        <f t="shared" ca="1" si="596"/>
        <v>0</v>
      </c>
      <c r="AP1001" s="126">
        <f t="shared" ca="1" si="597"/>
        <v>0</v>
      </c>
      <c r="AQ1001" s="126">
        <f t="shared" ca="1" si="598"/>
        <v>0</v>
      </c>
      <c r="AR1001" s="126">
        <f t="shared" ca="1" si="578"/>
        <v>10000</v>
      </c>
      <c r="AS1001" s="750">
        <f t="shared" ca="1" si="579"/>
        <v>0</v>
      </c>
      <c r="AT1001" s="750">
        <f t="shared" ca="1" si="580"/>
        <v>0</v>
      </c>
      <c r="AU1001" s="126">
        <f t="shared" ca="1" si="599"/>
        <v>0</v>
      </c>
      <c r="AV1001" s="126">
        <f t="shared" ca="1" si="600"/>
        <v>0</v>
      </c>
      <c r="AW1001" s="126">
        <f t="shared" ca="1" si="581"/>
        <v>10000</v>
      </c>
      <c r="AX1001" s="750">
        <f t="shared" ca="1" si="601"/>
        <v>0</v>
      </c>
      <c r="AY1001" s="750">
        <f t="shared" ca="1" si="602"/>
        <v>0</v>
      </c>
      <c r="AZ1001">
        <f t="shared" si="603"/>
        <v>5750</v>
      </c>
    </row>
    <row r="1002" spans="4:52">
      <c r="D1002">
        <v>995</v>
      </c>
      <c r="E1002" s="6">
        <f t="shared" ca="1" si="582"/>
        <v>22494</v>
      </c>
      <c r="F1002" s="7">
        <f t="shared" ca="1" si="583"/>
        <v>0</v>
      </c>
      <c r="G1002" s="125">
        <f ca="1">IF('Simulador - 1º Pilar'!$E$99="Sí",IF('Aportaciones PPE'!$B$13&lt;'Aportaciones PPE'!E1002,0,F1002*$B$8/12),F1002*$B$8/12)</f>
        <v>0</v>
      </c>
      <c r="H1002" s="125">
        <f t="shared" ca="1" si="572"/>
        <v>0</v>
      </c>
      <c r="I1002" s="125">
        <f t="shared" ca="1" si="584"/>
        <v>0</v>
      </c>
      <c r="J1002" s="125">
        <f t="shared" ca="1" si="585"/>
        <v>0</v>
      </c>
      <c r="K1002" s="125">
        <f t="shared" ca="1" si="586"/>
        <v>0</v>
      </c>
      <c r="L1002" s="125">
        <f t="shared" ca="1" si="604"/>
        <v>0</v>
      </c>
      <c r="M1002" s="125">
        <f t="shared" ca="1" si="587"/>
        <v>0</v>
      </c>
      <c r="N1002" s="125">
        <f t="shared" ca="1" si="588"/>
        <v>0</v>
      </c>
      <c r="R1002">
        <f t="shared" si="605"/>
        <v>995</v>
      </c>
      <c r="U1002" s="55"/>
      <c r="V1002">
        <f t="shared" si="606"/>
        <v>12</v>
      </c>
      <c r="W1002">
        <f t="shared" ca="1" si="607"/>
        <v>2106</v>
      </c>
      <c r="X1002" s="123">
        <f t="shared" ca="1" si="589"/>
        <v>75576</v>
      </c>
      <c r="Y1002" s="64">
        <f t="shared" ca="1" si="590"/>
        <v>0</v>
      </c>
      <c r="Z1002" s="64">
        <f t="shared" ca="1" si="591"/>
        <v>0</v>
      </c>
      <c r="AA1002" s="64">
        <f t="shared" ca="1" si="592"/>
        <v>0</v>
      </c>
      <c r="AB1002" s="64">
        <f t="shared" ca="1" si="593"/>
        <v>0</v>
      </c>
      <c r="AF1002" t="str">
        <f t="shared" ca="1" si="573"/>
        <v>81961</v>
      </c>
      <c r="AG1002" s="126">
        <f t="shared" ca="1" si="574"/>
        <v>0</v>
      </c>
      <c r="AH1002" s="126">
        <f t="shared" ca="1" si="575"/>
        <v>0</v>
      </c>
      <c r="AI1002" s="126">
        <f t="shared" ca="1" si="576"/>
        <v>0</v>
      </c>
      <c r="AJ1002" t="str">
        <f t="shared" ca="1" si="577"/>
        <v>122106</v>
      </c>
      <c r="AK1002" s="126">
        <f t="shared" ca="1" si="594"/>
        <v>0</v>
      </c>
      <c r="AL1002" s="126">
        <f t="shared" ca="1" si="595"/>
        <v>0</v>
      </c>
      <c r="AM1002" s="126">
        <f t="shared" ca="1" si="608"/>
        <v>0</v>
      </c>
      <c r="AN1002" s="753">
        <f t="shared" ca="1" si="609"/>
        <v>0</v>
      </c>
      <c r="AO1002" s="750">
        <f t="shared" ca="1" si="596"/>
        <v>0</v>
      </c>
      <c r="AP1002" s="126">
        <f t="shared" ca="1" si="597"/>
        <v>0</v>
      </c>
      <c r="AQ1002" s="126">
        <f t="shared" ca="1" si="598"/>
        <v>0</v>
      </c>
      <c r="AR1002" s="126">
        <f t="shared" ca="1" si="578"/>
        <v>10000</v>
      </c>
      <c r="AS1002" s="750">
        <f t="shared" ca="1" si="579"/>
        <v>0</v>
      </c>
      <c r="AT1002" s="750">
        <f t="shared" ca="1" si="580"/>
        <v>0</v>
      </c>
      <c r="AU1002" s="126">
        <f t="shared" ca="1" si="599"/>
        <v>0</v>
      </c>
      <c r="AV1002" s="126">
        <f t="shared" ca="1" si="600"/>
        <v>0</v>
      </c>
      <c r="AW1002" s="126">
        <f t="shared" ca="1" si="581"/>
        <v>10000</v>
      </c>
      <c r="AX1002" s="750">
        <f t="shared" ca="1" si="601"/>
        <v>0</v>
      </c>
      <c r="AY1002" s="750">
        <f t="shared" ca="1" si="602"/>
        <v>0</v>
      </c>
      <c r="AZ1002">
        <f t="shared" si="603"/>
        <v>5750</v>
      </c>
    </row>
    <row r="1003" spans="4:52">
      <c r="D1003">
        <v>996</v>
      </c>
      <c r="E1003" s="6">
        <f t="shared" ca="1" si="582"/>
        <v>22463</v>
      </c>
      <c r="F1003" s="7">
        <f t="shared" ca="1" si="583"/>
        <v>0</v>
      </c>
      <c r="G1003" s="125">
        <f ca="1">IF('Simulador - 1º Pilar'!$E$99="Sí",IF('Aportaciones PPE'!$B$13&lt;'Aportaciones PPE'!E1003,0,F1003*$B$8/12),F1003*$B$8/12)</f>
        <v>0</v>
      </c>
      <c r="H1003" s="125">
        <f t="shared" ca="1" si="572"/>
        <v>0</v>
      </c>
      <c r="I1003" s="125">
        <f t="shared" ca="1" si="584"/>
        <v>0</v>
      </c>
      <c r="J1003" s="125">
        <f t="shared" ca="1" si="585"/>
        <v>0</v>
      </c>
      <c r="K1003" s="125">
        <f t="shared" ca="1" si="586"/>
        <v>0</v>
      </c>
      <c r="L1003" s="125">
        <f t="shared" ca="1" si="604"/>
        <v>0</v>
      </c>
      <c r="M1003" s="125">
        <f t="shared" ca="1" si="587"/>
        <v>0</v>
      </c>
      <c r="N1003" s="125">
        <f t="shared" ca="1" si="588"/>
        <v>0</v>
      </c>
      <c r="R1003">
        <f t="shared" si="605"/>
        <v>996</v>
      </c>
      <c r="U1003" s="55"/>
      <c r="V1003">
        <f t="shared" si="606"/>
        <v>1</v>
      </c>
      <c r="W1003">
        <f t="shared" ca="1" si="607"/>
        <v>2107</v>
      </c>
      <c r="X1003" s="123">
        <f t="shared" ca="1" si="589"/>
        <v>75607</v>
      </c>
      <c r="Y1003" s="64">
        <f t="shared" ca="1" si="590"/>
        <v>0</v>
      </c>
      <c r="Z1003" s="64">
        <f t="shared" ca="1" si="591"/>
        <v>0</v>
      </c>
      <c r="AA1003" s="64">
        <f t="shared" ca="1" si="592"/>
        <v>0</v>
      </c>
      <c r="AB1003" s="64">
        <f t="shared" ca="1" si="593"/>
        <v>0</v>
      </c>
      <c r="AF1003" t="str">
        <f t="shared" ca="1" si="573"/>
        <v>71961</v>
      </c>
      <c r="AG1003" s="126">
        <f t="shared" ca="1" si="574"/>
        <v>0</v>
      </c>
      <c r="AH1003" s="126">
        <f t="shared" ca="1" si="575"/>
        <v>0</v>
      </c>
      <c r="AI1003" s="126">
        <f t="shared" ca="1" si="576"/>
        <v>0</v>
      </c>
      <c r="AJ1003" t="str">
        <f t="shared" ca="1" si="577"/>
        <v>12107</v>
      </c>
      <c r="AK1003" s="126">
        <f t="shared" ca="1" si="594"/>
        <v>0</v>
      </c>
      <c r="AL1003" s="126">
        <f t="shared" ca="1" si="595"/>
        <v>0</v>
      </c>
      <c r="AM1003" s="126">
        <f t="shared" ca="1" si="608"/>
        <v>0</v>
      </c>
      <c r="AN1003" s="753">
        <f t="shared" ca="1" si="609"/>
        <v>0</v>
      </c>
      <c r="AO1003" s="750">
        <f t="shared" ca="1" si="596"/>
        <v>0</v>
      </c>
      <c r="AP1003" s="126">
        <f t="shared" ca="1" si="597"/>
        <v>0</v>
      </c>
      <c r="AQ1003" s="126">
        <f t="shared" ca="1" si="598"/>
        <v>0</v>
      </c>
      <c r="AR1003" s="126">
        <f t="shared" ca="1" si="578"/>
        <v>10000</v>
      </c>
      <c r="AS1003" s="750">
        <f t="shared" ca="1" si="579"/>
        <v>0</v>
      </c>
      <c r="AT1003" s="750">
        <f t="shared" ca="1" si="580"/>
        <v>0</v>
      </c>
      <c r="AU1003" s="126">
        <f t="shared" ca="1" si="599"/>
        <v>0</v>
      </c>
      <c r="AV1003" s="126">
        <f t="shared" ca="1" si="600"/>
        <v>0</v>
      </c>
      <c r="AW1003" s="126">
        <f t="shared" ca="1" si="581"/>
        <v>10000</v>
      </c>
      <c r="AX1003" s="750">
        <f t="shared" ca="1" si="601"/>
        <v>0</v>
      </c>
      <c r="AY1003" s="750">
        <f t="shared" ca="1" si="602"/>
        <v>0</v>
      </c>
      <c r="AZ1003">
        <f t="shared" si="603"/>
        <v>5750</v>
      </c>
    </row>
    <row r="1004" spans="4:52">
      <c r="D1004">
        <v>997</v>
      </c>
      <c r="E1004" s="6">
        <f t="shared" ca="1" si="582"/>
        <v>22433</v>
      </c>
      <c r="F1004" s="7">
        <f t="shared" ca="1" si="583"/>
        <v>0</v>
      </c>
      <c r="G1004" s="125">
        <f ca="1">IF('Simulador - 1º Pilar'!$E$99="Sí",IF('Aportaciones PPE'!$B$13&lt;'Aportaciones PPE'!E1004,0,F1004*$B$8/12),F1004*$B$8/12)</f>
        <v>0</v>
      </c>
      <c r="H1004" s="125">
        <f t="shared" ca="1" si="572"/>
        <v>0</v>
      </c>
      <c r="I1004" s="125">
        <f t="shared" ca="1" si="584"/>
        <v>0</v>
      </c>
      <c r="J1004" s="125">
        <f t="shared" ca="1" si="585"/>
        <v>0</v>
      </c>
      <c r="K1004" s="125">
        <f t="shared" ca="1" si="586"/>
        <v>0</v>
      </c>
      <c r="L1004" s="125">
        <f t="shared" ca="1" si="604"/>
        <v>0</v>
      </c>
      <c r="M1004" s="125">
        <f t="shared" ca="1" si="587"/>
        <v>0</v>
      </c>
      <c r="N1004" s="125">
        <f t="shared" ca="1" si="588"/>
        <v>0</v>
      </c>
      <c r="R1004">
        <f t="shared" si="605"/>
        <v>997</v>
      </c>
      <c r="U1004" s="55"/>
      <c r="V1004">
        <f t="shared" si="606"/>
        <v>2</v>
      </c>
      <c r="W1004">
        <f t="shared" ca="1" si="607"/>
        <v>2107</v>
      </c>
      <c r="X1004" s="123">
        <f t="shared" ca="1" si="589"/>
        <v>75638</v>
      </c>
      <c r="Y1004" s="64">
        <f t="shared" ca="1" si="590"/>
        <v>0</v>
      </c>
      <c r="Z1004" s="64">
        <f t="shared" ca="1" si="591"/>
        <v>0</v>
      </c>
      <c r="AA1004" s="64">
        <f t="shared" ca="1" si="592"/>
        <v>0</v>
      </c>
      <c r="AB1004" s="64">
        <f t="shared" ca="1" si="593"/>
        <v>0</v>
      </c>
      <c r="AF1004" t="str">
        <f t="shared" ca="1" si="573"/>
        <v>61961</v>
      </c>
      <c r="AG1004" s="126">
        <f t="shared" ca="1" si="574"/>
        <v>0</v>
      </c>
      <c r="AH1004" s="126">
        <f t="shared" ca="1" si="575"/>
        <v>0</v>
      </c>
      <c r="AI1004" s="126">
        <f t="shared" ca="1" si="576"/>
        <v>0</v>
      </c>
      <c r="AJ1004" t="str">
        <f t="shared" ca="1" si="577"/>
        <v>22107</v>
      </c>
      <c r="AK1004" s="126">
        <f t="shared" ca="1" si="594"/>
        <v>0</v>
      </c>
      <c r="AL1004" s="126">
        <f t="shared" ca="1" si="595"/>
        <v>0</v>
      </c>
      <c r="AM1004" s="126">
        <f t="shared" ca="1" si="608"/>
        <v>0</v>
      </c>
      <c r="AN1004" s="753">
        <f t="shared" ca="1" si="609"/>
        <v>0</v>
      </c>
      <c r="AO1004" s="750">
        <f t="shared" ca="1" si="596"/>
        <v>0</v>
      </c>
      <c r="AP1004" s="126">
        <f t="shared" ca="1" si="597"/>
        <v>0</v>
      </c>
      <c r="AQ1004" s="126">
        <f t="shared" ca="1" si="598"/>
        <v>0</v>
      </c>
      <c r="AR1004" s="126">
        <f t="shared" ca="1" si="578"/>
        <v>10000</v>
      </c>
      <c r="AS1004" s="750">
        <f t="shared" ca="1" si="579"/>
        <v>0</v>
      </c>
      <c r="AT1004" s="750">
        <f t="shared" ca="1" si="580"/>
        <v>0</v>
      </c>
      <c r="AU1004" s="126">
        <f t="shared" ca="1" si="599"/>
        <v>0</v>
      </c>
      <c r="AV1004" s="126">
        <f t="shared" ca="1" si="600"/>
        <v>0</v>
      </c>
      <c r="AW1004" s="126">
        <f t="shared" ca="1" si="581"/>
        <v>10000</v>
      </c>
      <c r="AX1004" s="750">
        <f t="shared" ca="1" si="601"/>
        <v>0</v>
      </c>
      <c r="AY1004" s="750">
        <f t="shared" ca="1" si="602"/>
        <v>0</v>
      </c>
      <c r="AZ1004">
        <f t="shared" si="603"/>
        <v>5750</v>
      </c>
    </row>
    <row r="1005" spans="4:52">
      <c r="D1005">
        <v>998</v>
      </c>
      <c r="E1005" s="6">
        <f t="shared" ca="1" si="582"/>
        <v>22402</v>
      </c>
      <c r="F1005" s="7">
        <f t="shared" ca="1" si="583"/>
        <v>0</v>
      </c>
      <c r="G1005" s="125">
        <f ca="1">IF('Simulador - 1º Pilar'!$E$99="Sí",IF('Aportaciones PPE'!$B$13&lt;'Aportaciones PPE'!E1005,0,F1005*$B$8/12),F1005*$B$8/12)</f>
        <v>0</v>
      </c>
      <c r="H1005" s="125">
        <f t="shared" ca="1" si="572"/>
        <v>0</v>
      </c>
      <c r="I1005" s="125">
        <f t="shared" ca="1" si="584"/>
        <v>0</v>
      </c>
      <c r="J1005" s="125">
        <f t="shared" ca="1" si="585"/>
        <v>0</v>
      </c>
      <c r="K1005" s="125">
        <f t="shared" ca="1" si="586"/>
        <v>0</v>
      </c>
      <c r="L1005" s="125">
        <f t="shared" ca="1" si="604"/>
        <v>0</v>
      </c>
      <c r="M1005" s="125">
        <f t="shared" ca="1" si="587"/>
        <v>0</v>
      </c>
      <c r="N1005" s="125">
        <f t="shared" ca="1" si="588"/>
        <v>0</v>
      </c>
      <c r="R1005">
        <f t="shared" si="605"/>
        <v>998</v>
      </c>
      <c r="U1005" s="55"/>
      <c r="V1005">
        <f t="shared" si="606"/>
        <v>3</v>
      </c>
      <c r="W1005">
        <f t="shared" ca="1" si="607"/>
        <v>2107</v>
      </c>
      <c r="X1005" s="123">
        <f t="shared" ca="1" si="589"/>
        <v>75666</v>
      </c>
      <c r="Y1005" s="64">
        <f t="shared" ca="1" si="590"/>
        <v>0</v>
      </c>
      <c r="Z1005" s="64">
        <f t="shared" ca="1" si="591"/>
        <v>0</v>
      </c>
      <c r="AA1005" s="64">
        <f t="shared" ca="1" si="592"/>
        <v>0</v>
      </c>
      <c r="AB1005" s="64">
        <f t="shared" ca="1" si="593"/>
        <v>0</v>
      </c>
      <c r="AF1005" t="str">
        <f t="shared" ca="1" si="573"/>
        <v>51961</v>
      </c>
      <c r="AG1005" s="126">
        <f t="shared" ca="1" si="574"/>
        <v>0</v>
      </c>
      <c r="AH1005" s="126">
        <f t="shared" ca="1" si="575"/>
        <v>0</v>
      </c>
      <c r="AI1005" s="126">
        <f t="shared" ca="1" si="576"/>
        <v>0</v>
      </c>
      <c r="AJ1005" t="str">
        <f t="shared" ca="1" si="577"/>
        <v>32107</v>
      </c>
      <c r="AK1005" s="126">
        <f t="shared" ca="1" si="594"/>
        <v>0</v>
      </c>
      <c r="AL1005" s="126">
        <f t="shared" ca="1" si="595"/>
        <v>0</v>
      </c>
      <c r="AM1005" s="126">
        <f t="shared" ca="1" si="608"/>
        <v>0</v>
      </c>
      <c r="AN1005" s="753">
        <f t="shared" ca="1" si="609"/>
        <v>0</v>
      </c>
      <c r="AO1005" s="750">
        <f t="shared" ca="1" si="596"/>
        <v>0</v>
      </c>
      <c r="AP1005" s="126">
        <f t="shared" ca="1" si="597"/>
        <v>0</v>
      </c>
      <c r="AQ1005" s="126">
        <f t="shared" ca="1" si="598"/>
        <v>0</v>
      </c>
      <c r="AR1005" s="126">
        <f t="shared" ca="1" si="578"/>
        <v>10000</v>
      </c>
      <c r="AS1005" s="750">
        <f t="shared" ca="1" si="579"/>
        <v>0</v>
      </c>
      <c r="AT1005" s="750">
        <f t="shared" ca="1" si="580"/>
        <v>0</v>
      </c>
      <c r="AU1005" s="126">
        <f t="shared" ca="1" si="599"/>
        <v>0</v>
      </c>
      <c r="AV1005" s="126">
        <f t="shared" ca="1" si="600"/>
        <v>0</v>
      </c>
      <c r="AW1005" s="126">
        <f t="shared" ca="1" si="581"/>
        <v>10000</v>
      </c>
      <c r="AX1005" s="750">
        <f t="shared" ca="1" si="601"/>
        <v>0</v>
      </c>
      <c r="AY1005" s="750">
        <f t="shared" ca="1" si="602"/>
        <v>0</v>
      </c>
      <c r="AZ1005">
        <f t="shared" si="603"/>
        <v>5750</v>
      </c>
    </row>
    <row r="1006" spans="4:52">
      <c r="D1006">
        <v>999</v>
      </c>
      <c r="E1006" s="6">
        <f t="shared" ca="1" si="582"/>
        <v>22372</v>
      </c>
      <c r="F1006" s="7">
        <f t="shared" ca="1" si="583"/>
        <v>0</v>
      </c>
      <c r="G1006" s="125">
        <f ca="1">IF('Simulador - 1º Pilar'!$E$99="Sí",IF('Aportaciones PPE'!$B$13&lt;'Aportaciones PPE'!E1006,0,F1006*$B$8/12),F1006*$B$8/12)</f>
        <v>0</v>
      </c>
      <c r="H1006" s="125">
        <f t="shared" ca="1" si="572"/>
        <v>0</v>
      </c>
      <c r="I1006" s="125">
        <f t="shared" ca="1" si="584"/>
        <v>0</v>
      </c>
      <c r="J1006" s="125">
        <f t="shared" ca="1" si="585"/>
        <v>0</v>
      </c>
      <c r="K1006" s="125">
        <f t="shared" ca="1" si="586"/>
        <v>0</v>
      </c>
      <c r="L1006" s="125">
        <f t="shared" ca="1" si="604"/>
        <v>0</v>
      </c>
      <c r="M1006" s="125">
        <f t="shared" ca="1" si="587"/>
        <v>0</v>
      </c>
      <c r="N1006" s="125">
        <f t="shared" ca="1" si="588"/>
        <v>0</v>
      </c>
      <c r="R1006">
        <f t="shared" si="605"/>
        <v>999</v>
      </c>
      <c r="U1006" s="55"/>
      <c r="V1006">
        <f t="shared" si="606"/>
        <v>4</v>
      </c>
      <c r="W1006">
        <f t="shared" ca="1" si="607"/>
        <v>2107</v>
      </c>
      <c r="X1006" s="123">
        <f t="shared" ca="1" si="589"/>
        <v>75697</v>
      </c>
      <c r="Y1006" s="64">
        <f t="shared" ca="1" si="590"/>
        <v>0</v>
      </c>
      <c r="Z1006" s="64">
        <f t="shared" ca="1" si="591"/>
        <v>0</v>
      </c>
      <c r="AA1006" s="64">
        <f t="shared" ca="1" si="592"/>
        <v>0</v>
      </c>
      <c r="AB1006" s="64">
        <f t="shared" ca="1" si="593"/>
        <v>0</v>
      </c>
      <c r="AF1006" t="str">
        <f t="shared" ca="1" si="573"/>
        <v>41961</v>
      </c>
      <c r="AG1006" s="126">
        <f t="shared" ca="1" si="574"/>
        <v>0</v>
      </c>
      <c r="AH1006" s="126">
        <f t="shared" ca="1" si="575"/>
        <v>0</v>
      </c>
      <c r="AI1006" s="126">
        <f t="shared" ca="1" si="576"/>
        <v>0</v>
      </c>
      <c r="AJ1006" t="str">
        <f t="shared" ca="1" si="577"/>
        <v>42107</v>
      </c>
      <c r="AK1006" s="126">
        <f t="shared" ca="1" si="594"/>
        <v>0</v>
      </c>
      <c r="AL1006" s="126">
        <f t="shared" ca="1" si="595"/>
        <v>0</v>
      </c>
      <c r="AM1006" s="126">
        <f t="shared" ca="1" si="608"/>
        <v>0</v>
      </c>
      <c r="AN1006" s="753">
        <f t="shared" ca="1" si="609"/>
        <v>0</v>
      </c>
      <c r="AO1006" s="750">
        <f t="shared" ca="1" si="596"/>
        <v>0</v>
      </c>
      <c r="AP1006" s="126">
        <f t="shared" ca="1" si="597"/>
        <v>0</v>
      </c>
      <c r="AQ1006" s="126">
        <f t="shared" ca="1" si="598"/>
        <v>0</v>
      </c>
      <c r="AR1006" s="126">
        <f t="shared" ca="1" si="578"/>
        <v>10000</v>
      </c>
      <c r="AS1006" s="750">
        <f t="shared" ca="1" si="579"/>
        <v>0</v>
      </c>
      <c r="AT1006" s="750">
        <f t="shared" ca="1" si="580"/>
        <v>0</v>
      </c>
      <c r="AU1006" s="126">
        <f t="shared" ca="1" si="599"/>
        <v>0</v>
      </c>
      <c r="AV1006" s="126">
        <f t="shared" ca="1" si="600"/>
        <v>0</v>
      </c>
      <c r="AW1006" s="126">
        <f t="shared" ca="1" si="581"/>
        <v>10000</v>
      </c>
      <c r="AX1006" s="750">
        <f t="shared" ca="1" si="601"/>
        <v>0</v>
      </c>
      <c r="AY1006" s="750">
        <f t="shared" ca="1" si="602"/>
        <v>0</v>
      </c>
      <c r="AZ1006">
        <f t="shared" si="603"/>
        <v>5750</v>
      </c>
    </row>
    <row r="1007" spans="4:52">
      <c r="D1007">
        <v>1000</v>
      </c>
      <c r="E1007" s="6">
        <f t="shared" ca="1" si="582"/>
        <v>22341</v>
      </c>
      <c r="F1007" s="7">
        <f t="shared" ca="1" si="583"/>
        <v>0</v>
      </c>
      <c r="G1007" s="125">
        <f ca="1">IF('Simulador - 1º Pilar'!$E$99="Sí",IF('Aportaciones PPE'!$B$13&lt;'Aportaciones PPE'!E1007,0,F1007*$B$8/12),F1007*$B$8/12)</f>
        <v>0</v>
      </c>
      <c r="H1007" s="125">
        <f t="shared" ca="1" si="572"/>
        <v>0</v>
      </c>
      <c r="I1007" s="125">
        <f t="shared" ca="1" si="584"/>
        <v>0</v>
      </c>
      <c r="J1007" s="125">
        <f t="shared" ca="1" si="585"/>
        <v>0</v>
      </c>
      <c r="K1007" s="125">
        <f t="shared" ca="1" si="586"/>
        <v>0</v>
      </c>
      <c r="L1007" s="125">
        <f t="shared" ca="1" si="604"/>
        <v>0</v>
      </c>
      <c r="M1007" s="125">
        <f t="shared" ca="1" si="587"/>
        <v>0</v>
      </c>
      <c r="N1007" s="125">
        <f t="shared" ca="1" si="588"/>
        <v>0</v>
      </c>
      <c r="R1007">
        <f t="shared" si="605"/>
        <v>1000</v>
      </c>
      <c r="U1007" s="55"/>
      <c r="V1007">
        <f t="shared" si="606"/>
        <v>5</v>
      </c>
      <c r="W1007">
        <f t="shared" ca="1" si="607"/>
        <v>2107</v>
      </c>
      <c r="X1007" s="123">
        <f t="shared" ca="1" si="589"/>
        <v>75727</v>
      </c>
      <c r="Y1007" s="64">
        <f t="shared" ca="1" si="590"/>
        <v>0</v>
      </c>
      <c r="Z1007" s="64">
        <f t="shared" ca="1" si="591"/>
        <v>0</v>
      </c>
      <c r="AA1007" s="64">
        <f t="shared" ca="1" si="592"/>
        <v>0</v>
      </c>
      <c r="AB1007" s="64">
        <f t="shared" ca="1" si="593"/>
        <v>0</v>
      </c>
      <c r="AF1007" t="str">
        <f t="shared" ca="1" si="573"/>
        <v>31961</v>
      </c>
      <c r="AG1007" s="126">
        <f t="shared" ca="1" si="574"/>
        <v>0</v>
      </c>
      <c r="AH1007" s="126">
        <f t="shared" ca="1" si="575"/>
        <v>0</v>
      </c>
      <c r="AI1007" s="126">
        <f t="shared" ca="1" si="576"/>
        <v>0</v>
      </c>
      <c r="AJ1007" t="str">
        <f t="shared" ca="1" si="577"/>
        <v>52107</v>
      </c>
      <c r="AK1007" s="126">
        <f t="shared" ca="1" si="594"/>
        <v>0</v>
      </c>
      <c r="AL1007" s="126">
        <f t="shared" ca="1" si="595"/>
        <v>0</v>
      </c>
      <c r="AM1007" s="126">
        <f t="shared" ca="1" si="608"/>
        <v>0</v>
      </c>
      <c r="AN1007" s="753">
        <f t="shared" ca="1" si="609"/>
        <v>0</v>
      </c>
      <c r="AO1007" s="750">
        <f t="shared" ca="1" si="596"/>
        <v>0</v>
      </c>
      <c r="AP1007" s="126">
        <f t="shared" ca="1" si="597"/>
        <v>0</v>
      </c>
      <c r="AQ1007" s="126">
        <f t="shared" ca="1" si="598"/>
        <v>0</v>
      </c>
      <c r="AR1007" s="126">
        <f t="shared" ca="1" si="578"/>
        <v>10000</v>
      </c>
      <c r="AS1007" s="750">
        <f t="shared" ca="1" si="579"/>
        <v>0</v>
      </c>
      <c r="AT1007" s="750">
        <f t="shared" ca="1" si="580"/>
        <v>0</v>
      </c>
      <c r="AU1007" s="126">
        <f t="shared" ca="1" si="599"/>
        <v>0</v>
      </c>
      <c r="AV1007" s="126">
        <f t="shared" ca="1" si="600"/>
        <v>0</v>
      </c>
      <c r="AW1007" s="126">
        <f t="shared" ca="1" si="581"/>
        <v>10000</v>
      </c>
      <c r="AX1007" s="750">
        <f t="shared" ca="1" si="601"/>
        <v>0</v>
      </c>
      <c r="AY1007" s="750">
        <f t="shared" ca="1" si="602"/>
        <v>0</v>
      </c>
      <c r="AZ1007">
        <f t="shared" si="603"/>
        <v>5750</v>
      </c>
    </row>
    <row r="1008" spans="4:52">
      <c r="D1008">
        <v>1001</v>
      </c>
      <c r="E1008" s="6">
        <f t="shared" ca="1" si="582"/>
        <v>22313</v>
      </c>
      <c r="F1008" s="7">
        <f t="shared" ca="1" si="583"/>
        <v>0</v>
      </c>
      <c r="G1008" s="125">
        <f ca="1">IF('Simulador - 1º Pilar'!$E$99="Sí",IF('Aportaciones PPE'!$B$13&lt;'Aportaciones PPE'!E1008,0,F1008*$B$8/12),F1008*$B$8/12)</f>
        <v>0</v>
      </c>
      <c r="H1008" s="125">
        <f t="shared" ca="1" si="572"/>
        <v>0</v>
      </c>
      <c r="I1008" s="125">
        <f t="shared" ca="1" si="584"/>
        <v>0</v>
      </c>
      <c r="J1008" s="125">
        <f t="shared" ca="1" si="585"/>
        <v>0</v>
      </c>
      <c r="K1008" s="125">
        <f t="shared" ca="1" si="586"/>
        <v>0</v>
      </c>
      <c r="L1008" s="125">
        <f t="shared" ca="1" si="604"/>
        <v>0</v>
      </c>
      <c r="M1008" s="125">
        <f t="shared" ca="1" si="587"/>
        <v>0</v>
      </c>
      <c r="N1008" s="125">
        <f t="shared" ca="1" si="588"/>
        <v>0</v>
      </c>
      <c r="R1008">
        <f t="shared" si="605"/>
        <v>1001</v>
      </c>
      <c r="U1008" s="55"/>
      <c r="V1008">
        <f t="shared" si="606"/>
        <v>6</v>
      </c>
      <c r="W1008">
        <f t="shared" ca="1" si="607"/>
        <v>2107</v>
      </c>
      <c r="X1008" s="123">
        <f t="shared" ca="1" si="589"/>
        <v>75758</v>
      </c>
      <c r="Y1008" s="64">
        <f t="shared" ca="1" si="590"/>
        <v>0</v>
      </c>
      <c r="Z1008" s="64">
        <f t="shared" ca="1" si="591"/>
        <v>0</v>
      </c>
      <c r="AA1008" s="64">
        <f t="shared" ca="1" si="592"/>
        <v>0</v>
      </c>
      <c r="AB1008" s="64">
        <f t="shared" ca="1" si="593"/>
        <v>0</v>
      </c>
      <c r="AF1008" t="str">
        <f t="shared" ca="1" si="573"/>
        <v>21961</v>
      </c>
      <c r="AG1008" s="126">
        <f t="shared" ca="1" si="574"/>
        <v>0</v>
      </c>
      <c r="AH1008" s="126">
        <f t="shared" ca="1" si="575"/>
        <v>0</v>
      </c>
      <c r="AI1008" s="126">
        <f t="shared" ca="1" si="576"/>
        <v>0</v>
      </c>
      <c r="AJ1008" t="str">
        <f t="shared" ca="1" si="577"/>
        <v>62107</v>
      </c>
      <c r="AK1008" s="126">
        <f t="shared" ca="1" si="594"/>
        <v>0</v>
      </c>
      <c r="AL1008" s="126">
        <f t="shared" ca="1" si="595"/>
        <v>0</v>
      </c>
      <c r="AM1008" s="126">
        <f t="shared" ca="1" si="608"/>
        <v>0</v>
      </c>
      <c r="AN1008" s="753">
        <f t="shared" ca="1" si="609"/>
        <v>0</v>
      </c>
      <c r="AO1008" s="750">
        <f t="shared" ca="1" si="596"/>
        <v>0</v>
      </c>
      <c r="AP1008" s="126">
        <f t="shared" ca="1" si="597"/>
        <v>0</v>
      </c>
      <c r="AQ1008" s="126">
        <f t="shared" ca="1" si="598"/>
        <v>0</v>
      </c>
      <c r="AR1008" s="126">
        <f t="shared" ca="1" si="578"/>
        <v>10000</v>
      </c>
      <c r="AS1008" s="750">
        <f t="shared" ca="1" si="579"/>
        <v>0</v>
      </c>
      <c r="AT1008" s="750">
        <f t="shared" ca="1" si="580"/>
        <v>0</v>
      </c>
      <c r="AU1008" s="126">
        <f t="shared" ca="1" si="599"/>
        <v>0</v>
      </c>
      <c r="AV1008" s="126">
        <f t="shared" ca="1" si="600"/>
        <v>0</v>
      </c>
      <c r="AW1008" s="126">
        <f t="shared" ca="1" si="581"/>
        <v>10000</v>
      </c>
      <c r="AX1008" s="750">
        <f t="shared" ca="1" si="601"/>
        <v>0</v>
      </c>
      <c r="AY1008" s="750">
        <f t="shared" ca="1" si="602"/>
        <v>0</v>
      </c>
      <c r="AZ1008">
        <f t="shared" si="603"/>
        <v>5750</v>
      </c>
    </row>
    <row r="1009" spans="4:52">
      <c r="D1009">
        <v>1002</v>
      </c>
      <c r="E1009" s="6">
        <f t="shared" ca="1" si="582"/>
        <v>22282</v>
      </c>
      <c r="F1009" s="7">
        <f t="shared" ca="1" si="583"/>
        <v>0</v>
      </c>
      <c r="G1009" s="125">
        <f ca="1">IF('Simulador - 1º Pilar'!$E$99="Sí",IF('Aportaciones PPE'!$B$13&lt;'Aportaciones PPE'!E1009,0,F1009*$B$8/12),F1009*$B$8/12)</f>
        <v>0</v>
      </c>
      <c r="H1009" s="125">
        <f t="shared" ca="1" si="572"/>
        <v>0</v>
      </c>
      <c r="I1009" s="125">
        <f t="shared" ca="1" si="584"/>
        <v>0</v>
      </c>
      <c r="J1009" s="125">
        <f t="shared" ca="1" si="585"/>
        <v>0</v>
      </c>
      <c r="K1009" s="125">
        <f t="shared" ca="1" si="586"/>
        <v>0</v>
      </c>
      <c r="L1009" s="125">
        <f t="shared" ca="1" si="604"/>
        <v>0</v>
      </c>
      <c r="M1009" s="125">
        <f t="shared" ca="1" si="587"/>
        <v>0</v>
      </c>
      <c r="N1009" s="125">
        <f t="shared" ca="1" si="588"/>
        <v>0</v>
      </c>
      <c r="R1009">
        <f t="shared" si="605"/>
        <v>1002</v>
      </c>
      <c r="U1009" s="55"/>
      <c r="V1009">
        <f t="shared" si="606"/>
        <v>7</v>
      </c>
      <c r="W1009">
        <f t="shared" ca="1" si="607"/>
        <v>2107</v>
      </c>
      <c r="X1009" s="123">
        <f t="shared" ca="1" si="589"/>
        <v>75788</v>
      </c>
      <c r="Y1009" s="64">
        <f t="shared" ca="1" si="590"/>
        <v>0</v>
      </c>
      <c r="Z1009" s="64">
        <f t="shared" ca="1" si="591"/>
        <v>0</v>
      </c>
      <c r="AA1009" s="64">
        <f t="shared" ca="1" si="592"/>
        <v>0</v>
      </c>
      <c r="AB1009" s="64">
        <f t="shared" ca="1" si="593"/>
        <v>0</v>
      </c>
      <c r="AF1009" t="str">
        <f t="shared" ca="1" si="573"/>
        <v>11961</v>
      </c>
      <c r="AG1009" s="126">
        <f t="shared" ca="1" si="574"/>
        <v>0</v>
      </c>
      <c r="AH1009" s="126">
        <f t="shared" ca="1" si="575"/>
        <v>0</v>
      </c>
      <c r="AI1009" s="126">
        <f t="shared" ca="1" si="576"/>
        <v>0</v>
      </c>
      <c r="AJ1009" t="str">
        <f t="shared" ca="1" si="577"/>
        <v>72107</v>
      </c>
      <c r="AK1009" s="126">
        <f t="shared" ca="1" si="594"/>
        <v>0</v>
      </c>
      <c r="AL1009" s="126">
        <f t="shared" ca="1" si="595"/>
        <v>0</v>
      </c>
      <c r="AM1009" s="126">
        <f t="shared" ca="1" si="608"/>
        <v>0</v>
      </c>
      <c r="AN1009" s="753">
        <f t="shared" ca="1" si="609"/>
        <v>0</v>
      </c>
      <c r="AO1009" s="750">
        <f t="shared" ca="1" si="596"/>
        <v>0</v>
      </c>
      <c r="AP1009" s="126">
        <f t="shared" ca="1" si="597"/>
        <v>0</v>
      </c>
      <c r="AQ1009" s="126">
        <f t="shared" ca="1" si="598"/>
        <v>0</v>
      </c>
      <c r="AR1009" s="126">
        <f t="shared" ca="1" si="578"/>
        <v>10000</v>
      </c>
      <c r="AS1009" s="750">
        <f t="shared" ca="1" si="579"/>
        <v>0</v>
      </c>
      <c r="AT1009" s="750">
        <f t="shared" ca="1" si="580"/>
        <v>0</v>
      </c>
      <c r="AU1009" s="126">
        <f t="shared" ca="1" si="599"/>
        <v>0</v>
      </c>
      <c r="AV1009" s="126">
        <f t="shared" ca="1" si="600"/>
        <v>0</v>
      </c>
      <c r="AW1009" s="126">
        <f t="shared" ca="1" si="581"/>
        <v>10000</v>
      </c>
      <c r="AX1009" s="750">
        <f t="shared" ca="1" si="601"/>
        <v>0</v>
      </c>
      <c r="AY1009" s="750">
        <f t="shared" ca="1" si="602"/>
        <v>0</v>
      </c>
      <c r="AZ1009">
        <f t="shared" si="603"/>
        <v>5750</v>
      </c>
    </row>
    <row r="1010" spans="4:52">
      <c r="D1010">
        <v>1003</v>
      </c>
      <c r="E1010" s="6">
        <f t="shared" ca="1" si="582"/>
        <v>22251</v>
      </c>
      <c r="F1010" s="7">
        <f t="shared" ca="1" si="583"/>
        <v>0</v>
      </c>
      <c r="G1010" s="125">
        <f ca="1">IF('Simulador - 1º Pilar'!$E$99="Sí",IF('Aportaciones PPE'!$B$13&lt;'Aportaciones PPE'!E1010,0,F1010*$B$8/12),F1010*$B$8/12)</f>
        <v>0</v>
      </c>
      <c r="H1010" s="125">
        <f t="shared" ca="1" si="572"/>
        <v>0</v>
      </c>
      <c r="I1010" s="125">
        <f t="shared" ca="1" si="584"/>
        <v>0</v>
      </c>
      <c r="J1010" s="125">
        <f t="shared" ca="1" si="585"/>
        <v>0</v>
      </c>
      <c r="K1010" s="125">
        <f t="shared" ca="1" si="586"/>
        <v>0</v>
      </c>
      <c r="L1010" s="125">
        <f t="shared" ca="1" si="604"/>
        <v>0</v>
      </c>
      <c r="M1010" s="125">
        <f t="shared" ca="1" si="587"/>
        <v>0</v>
      </c>
      <c r="N1010" s="125">
        <f t="shared" ca="1" si="588"/>
        <v>0</v>
      </c>
      <c r="R1010">
        <f t="shared" si="605"/>
        <v>1003</v>
      </c>
      <c r="U1010" s="55"/>
      <c r="V1010">
        <f t="shared" si="606"/>
        <v>8</v>
      </c>
      <c r="W1010">
        <f t="shared" ca="1" si="607"/>
        <v>2107</v>
      </c>
      <c r="X1010" s="123">
        <f t="shared" ca="1" si="589"/>
        <v>75819</v>
      </c>
      <c r="Y1010" s="64">
        <f t="shared" ca="1" si="590"/>
        <v>0</v>
      </c>
      <c r="Z1010" s="64">
        <f t="shared" ca="1" si="591"/>
        <v>0</v>
      </c>
      <c r="AA1010" s="64">
        <f t="shared" ca="1" si="592"/>
        <v>0</v>
      </c>
      <c r="AB1010" s="64">
        <f t="shared" ca="1" si="593"/>
        <v>0</v>
      </c>
      <c r="AF1010" t="str">
        <f t="shared" ca="1" si="573"/>
        <v>121960</v>
      </c>
      <c r="AG1010" s="126">
        <f t="shared" ca="1" si="574"/>
        <v>0</v>
      </c>
      <c r="AH1010" s="126">
        <f t="shared" ca="1" si="575"/>
        <v>0</v>
      </c>
      <c r="AI1010" s="126">
        <f t="shared" ca="1" si="576"/>
        <v>0</v>
      </c>
      <c r="AJ1010" t="str">
        <f t="shared" ca="1" si="577"/>
        <v>82107</v>
      </c>
      <c r="AK1010" s="126">
        <f t="shared" ca="1" si="594"/>
        <v>0</v>
      </c>
      <c r="AL1010" s="126">
        <f t="shared" ca="1" si="595"/>
        <v>0</v>
      </c>
      <c r="AM1010" s="126">
        <f t="shared" ca="1" si="608"/>
        <v>0</v>
      </c>
      <c r="AN1010" s="753">
        <f t="shared" ca="1" si="609"/>
        <v>0</v>
      </c>
      <c r="AO1010" s="750">
        <f t="shared" ca="1" si="596"/>
        <v>0</v>
      </c>
      <c r="AP1010" s="126">
        <f t="shared" ca="1" si="597"/>
        <v>0</v>
      </c>
      <c r="AQ1010" s="126">
        <f t="shared" ca="1" si="598"/>
        <v>0</v>
      </c>
      <c r="AR1010" s="126">
        <f t="shared" ca="1" si="578"/>
        <v>10000</v>
      </c>
      <c r="AS1010" s="750">
        <f t="shared" ca="1" si="579"/>
        <v>0</v>
      </c>
      <c r="AT1010" s="750">
        <f t="shared" ca="1" si="580"/>
        <v>0</v>
      </c>
      <c r="AU1010" s="126">
        <f t="shared" ca="1" si="599"/>
        <v>0</v>
      </c>
      <c r="AV1010" s="126">
        <f t="shared" ca="1" si="600"/>
        <v>0</v>
      </c>
      <c r="AW1010" s="126">
        <f t="shared" ca="1" si="581"/>
        <v>10000</v>
      </c>
      <c r="AX1010" s="750">
        <f t="shared" ca="1" si="601"/>
        <v>0</v>
      </c>
      <c r="AY1010" s="750">
        <f t="shared" ca="1" si="602"/>
        <v>0</v>
      </c>
      <c r="AZ1010">
        <f t="shared" si="603"/>
        <v>5750</v>
      </c>
    </row>
    <row r="1011" spans="4:52">
      <c r="D1011">
        <v>1004</v>
      </c>
      <c r="E1011" s="6">
        <f t="shared" ca="1" si="582"/>
        <v>22221</v>
      </c>
      <c r="F1011" s="7">
        <f t="shared" ca="1" si="583"/>
        <v>0</v>
      </c>
      <c r="G1011" s="125">
        <f ca="1">IF('Simulador - 1º Pilar'!$E$99="Sí",IF('Aportaciones PPE'!$B$13&lt;'Aportaciones PPE'!E1011,0,F1011*$B$8/12),F1011*$B$8/12)</f>
        <v>0</v>
      </c>
      <c r="H1011" s="125">
        <f t="shared" ca="1" si="572"/>
        <v>0</v>
      </c>
      <c r="I1011" s="125">
        <f t="shared" ca="1" si="584"/>
        <v>0</v>
      </c>
      <c r="J1011" s="125">
        <f t="shared" ca="1" si="585"/>
        <v>0</v>
      </c>
      <c r="K1011" s="125">
        <f t="shared" ca="1" si="586"/>
        <v>0</v>
      </c>
      <c r="L1011" s="125">
        <f t="shared" ca="1" si="604"/>
        <v>0</v>
      </c>
      <c r="M1011" s="125">
        <f t="shared" ca="1" si="587"/>
        <v>0</v>
      </c>
      <c r="N1011" s="125">
        <f t="shared" ca="1" si="588"/>
        <v>0</v>
      </c>
      <c r="R1011">
        <f t="shared" si="605"/>
        <v>1004</v>
      </c>
      <c r="U1011" s="55"/>
      <c r="V1011">
        <f t="shared" si="606"/>
        <v>9</v>
      </c>
      <c r="W1011">
        <f t="shared" ca="1" si="607"/>
        <v>2107</v>
      </c>
      <c r="X1011" s="123">
        <f t="shared" ca="1" si="589"/>
        <v>75850</v>
      </c>
      <c r="Y1011" s="64">
        <f t="shared" ca="1" si="590"/>
        <v>0</v>
      </c>
      <c r="Z1011" s="64">
        <f t="shared" ca="1" si="591"/>
        <v>0</v>
      </c>
      <c r="AA1011" s="64">
        <f t="shared" ca="1" si="592"/>
        <v>0</v>
      </c>
      <c r="AB1011" s="64">
        <f t="shared" ca="1" si="593"/>
        <v>0</v>
      </c>
      <c r="AF1011" t="str">
        <f t="shared" ca="1" si="573"/>
        <v>111960</v>
      </c>
      <c r="AG1011" s="126">
        <f t="shared" ca="1" si="574"/>
        <v>0</v>
      </c>
      <c r="AH1011" s="126">
        <f t="shared" ca="1" si="575"/>
        <v>0</v>
      </c>
      <c r="AI1011" s="126">
        <f t="shared" ca="1" si="576"/>
        <v>0</v>
      </c>
      <c r="AJ1011" t="str">
        <f t="shared" ca="1" si="577"/>
        <v>92107</v>
      </c>
      <c r="AK1011" s="126">
        <f t="shared" ca="1" si="594"/>
        <v>0</v>
      </c>
      <c r="AL1011" s="126">
        <f t="shared" ca="1" si="595"/>
        <v>0</v>
      </c>
      <c r="AM1011" s="126">
        <f t="shared" ca="1" si="608"/>
        <v>0</v>
      </c>
      <c r="AN1011" s="753">
        <f t="shared" ca="1" si="609"/>
        <v>0</v>
      </c>
      <c r="AO1011" s="750">
        <f t="shared" ca="1" si="596"/>
        <v>0</v>
      </c>
      <c r="AP1011" s="126">
        <f t="shared" ca="1" si="597"/>
        <v>0</v>
      </c>
      <c r="AQ1011" s="126">
        <f t="shared" ca="1" si="598"/>
        <v>0</v>
      </c>
      <c r="AR1011" s="126">
        <f t="shared" ca="1" si="578"/>
        <v>10000</v>
      </c>
      <c r="AS1011" s="750">
        <f t="shared" ca="1" si="579"/>
        <v>0</v>
      </c>
      <c r="AT1011" s="750">
        <f t="shared" ca="1" si="580"/>
        <v>0</v>
      </c>
      <c r="AU1011" s="126">
        <f t="shared" ca="1" si="599"/>
        <v>0</v>
      </c>
      <c r="AV1011" s="126">
        <f t="shared" ca="1" si="600"/>
        <v>0</v>
      </c>
      <c r="AW1011" s="126">
        <f t="shared" ca="1" si="581"/>
        <v>10000</v>
      </c>
      <c r="AX1011" s="750">
        <f t="shared" ca="1" si="601"/>
        <v>0</v>
      </c>
      <c r="AY1011" s="750">
        <f t="shared" ca="1" si="602"/>
        <v>0</v>
      </c>
      <c r="AZ1011">
        <f t="shared" si="603"/>
        <v>5750</v>
      </c>
    </row>
    <row r="1012" spans="4:52">
      <c r="D1012">
        <v>1005</v>
      </c>
      <c r="E1012" s="6">
        <f t="shared" ca="1" si="582"/>
        <v>22190</v>
      </c>
      <c r="F1012" s="7">
        <f t="shared" ca="1" si="583"/>
        <v>0</v>
      </c>
      <c r="G1012" s="125">
        <f ca="1">IF('Simulador - 1º Pilar'!$E$99="Sí",IF('Aportaciones PPE'!$B$13&lt;'Aportaciones PPE'!E1012,0,F1012*$B$8/12),F1012*$B$8/12)</f>
        <v>0</v>
      </c>
      <c r="H1012" s="125">
        <f t="shared" ca="1" si="572"/>
        <v>0</v>
      </c>
      <c r="I1012" s="125">
        <f t="shared" ca="1" si="584"/>
        <v>0</v>
      </c>
      <c r="J1012" s="125">
        <f t="shared" ca="1" si="585"/>
        <v>0</v>
      </c>
      <c r="K1012" s="125">
        <f t="shared" ca="1" si="586"/>
        <v>0</v>
      </c>
      <c r="L1012" s="125">
        <f t="shared" ca="1" si="604"/>
        <v>0</v>
      </c>
      <c r="M1012" s="125">
        <f t="shared" ca="1" si="587"/>
        <v>0</v>
      </c>
      <c r="N1012" s="125">
        <f t="shared" ca="1" si="588"/>
        <v>0</v>
      </c>
      <c r="R1012">
        <f t="shared" si="605"/>
        <v>1005</v>
      </c>
      <c r="U1012" s="55"/>
      <c r="V1012">
        <f t="shared" si="606"/>
        <v>10</v>
      </c>
      <c r="W1012">
        <f t="shared" ca="1" si="607"/>
        <v>2107</v>
      </c>
      <c r="X1012" s="123">
        <f t="shared" ca="1" si="589"/>
        <v>75880</v>
      </c>
      <c r="Y1012" s="64">
        <f t="shared" ca="1" si="590"/>
        <v>0</v>
      </c>
      <c r="Z1012" s="64">
        <f t="shared" ca="1" si="591"/>
        <v>0</v>
      </c>
      <c r="AA1012" s="64">
        <f t="shared" ca="1" si="592"/>
        <v>0</v>
      </c>
      <c r="AB1012" s="64">
        <f t="shared" ca="1" si="593"/>
        <v>0</v>
      </c>
      <c r="AF1012" t="str">
        <f t="shared" ca="1" si="573"/>
        <v>101960</v>
      </c>
      <c r="AG1012" s="126">
        <f t="shared" ca="1" si="574"/>
        <v>0</v>
      </c>
      <c r="AH1012" s="126">
        <f t="shared" ca="1" si="575"/>
        <v>0</v>
      </c>
      <c r="AI1012" s="126">
        <f t="shared" ca="1" si="576"/>
        <v>0</v>
      </c>
      <c r="AJ1012" t="str">
        <f t="shared" ca="1" si="577"/>
        <v>102107</v>
      </c>
      <c r="AK1012" s="126">
        <f t="shared" ca="1" si="594"/>
        <v>0</v>
      </c>
      <c r="AL1012" s="126">
        <f t="shared" ca="1" si="595"/>
        <v>0</v>
      </c>
      <c r="AM1012" s="126">
        <f t="shared" ca="1" si="608"/>
        <v>0</v>
      </c>
      <c r="AN1012" s="753">
        <f t="shared" ca="1" si="609"/>
        <v>0</v>
      </c>
      <c r="AO1012" s="750">
        <f t="shared" ca="1" si="596"/>
        <v>0</v>
      </c>
      <c r="AP1012" s="126">
        <f t="shared" ca="1" si="597"/>
        <v>0</v>
      </c>
      <c r="AQ1012" s="126">
        <f t="shared" ca="1" si="598"/>
        <v>0</v>
      </c>
      <c r="AR1012" s="126">
        <f t="shared" ca="1" si="578"/>
        <v>10000</v>
      </c>
      <c r="AS1012" s="750">
        <f t="shared" ca="1" si="579"/>
        <v>0</v>
      </c>
      <c r="AT1012" s="750">
        <f t="shared" ca="1" si="580"/>
        <v>0</v>
      </c>
      <c r="AU1012" s="126">
        <f t="shared" ca="1" si="599"/>
        <v>0</v>
      </c>
      <c r="AV1012" s="126">
        <f t="shared" ca="1" si="600"/>
        <v>0</v>
      </c>
      <c r="AW1012" s="126">
        <f t="shared" ca="1" si="581"/>
        <v>10000</v>
      </c>
      <c r="AX1012" s="750">
        <f t="shared" ca="1" si="601"/>
        <v>0</v>
      </c>
      <c r="AY1012" s="750">
        <f t="shared" ca="1" si="602"/>
        <v>0</v>
      </c>
      <c r="AZ1012">
        <f t="shared" si="603"/>
        <v>5750</v>
      </c>
    </row>
    <row r="1013" spans="4:52">
      <c r="D1013">
        <v>1006</v>
      </c>
      <c r="E1013" s="6">
        <f t="shared" ca="1" si="582"/>
        <v>22160</v>
      </c>
      <c r="F1013" s="7">
        <f t="shared" ca="1" si="583"/>
        <v>0</v>
      </c>
      <c r="G1013" s="125">
        <f ca="1">IF('Simulador - 1º Pilar'!$E$99="Sí",IF('Aportaciones PPE'!$B$13&lt;'Aportaciones PPE'!E1013,0,F1013*$B$8/12),F1013*$B$8/12)</f>
        <v>0</v>
      </c>
      <c r="H1013" s="125">
        <f t="shared" ca="1" si="572"/>
        <v>0</v>
      </c>
      <c r="I1013" s="125">
        <f t="shared" ca="1" si="584"/>
        <v>0</v>
      </c>
      <c r="J1013" s="125">
        <f t="shared" ca="1" si="585"/>
        <v>0</v>
      </c>
      <c r="K1013" s="125">
        <f t="shared" ca="1" si="586"/>
        <v>0</v>
      </c>
      <c r="L1013" s="125">
        <f t="shared" ca="1" si="604"/>
        <v>0</v>
      </c>
      <c r="M1013" s="125">
        <f t="shared" ca="1" si="587"/>
        <v>0</v>
      </c>
      <c r="N1013" s="125">
        <f t="shared" ca="1" si="588"/>
        <v>0</v>
      </c>
      <c r="R1013">
        <f t="shared" si="605"/>
        <v>1006</v>
      </c>
      <c r="U1013" s="55"/>
      <c r="V1013">
        <f t="shared" si="606"/>
        <v>11</v>
      </c>
      <c r="W1013">
        <f t="shared" ca="1" si="607"/>
        <v>2107</v>
      </c>
      <c r="X1013" s="123">
        <f t="shared" ca="1" si="589"/>
        <v>75911</v>
      </c>
      <c r="Y1013" s="64">
        <f t="shared" ca="1" si="590"/>
        <v>0</v>
      </c>
      <c r="Z1013" s="64">
        <f t="shared" ca="1" si="591"/>
        <v>0</v>
      </c>
      <c r="AA1013" s="64">
        <f t="shared" ca="1" si="592"/>
        <v>0</v>
      </c>
      <c r="AB1013" s="64">
        <f t="shared" ca="1" si="593"/>
        <v>0</v>
      </c>
      <c r="AF1013" t="str">
        <f t="shared" ca="1" si="573"/>
        <v>91960</v>
      </c>
      <c r="AG1013" s="126">
        <f t="shared" ca="1" si="574"/>
        <v>0</v>
      </c>
      <c r="AH1013" s="126">
        <f t="shared" ca="1" si="575"/>
        <v>0</v>
      </c>
      <c r="AI1013" s="126">
        <f t="shared" ca="1" si="576"/>
        <v>0</v>
      </c>
      <c r="AJ1013" t="str">
        <f t="shared" ca="1" si="577"/>
        <v>112107</v>
      </c>
      <c r="AK1013" s="126">
        <f t="shared" ca="1" si="594"/>
        <v>0</v>
      </c>
      <c r="AL1013" s="126">
        <f t="shared" ca="1" si="595"/>
        <v>0</v>
      </c>
      <c r="AM1013" s="126">
        <f t="shared" ca="1" si="608"/>
        <v>0</v>
      </c>
      <c r="AN1013" s="753">
        <f t="shared" ca="1" si="609"/>
        <v>0</v>
      </c>
      <c r="AO1013" s="750">
        <f t="shared" ca="1" si="596"/>
        <v>0</v>
      </c>
      <c r="AP1013" s="126">
        <f t="shared" ca="1" si="597"/>
        <v>0</v>
      </c>
      <c r="AQ1013" s="126">
        <f t="shared" ca="1" si="598"/>
        <v>0</v>
      </c>
      <c r="AR1013" s="126">
        <f t="shared" ca="1" si="578"/>
        <v>10000</v>
      </c>
      <c r="AS1013" s="750">
        <f t="shared" ca="1" si="579"/>
        <v>0</v>
      </c>
      <c r="AT1013" s="750">
        <f t="shared" ca="1" si="580"/>
        <v>0</v>
      </c>
      <c r="AU1013" s="126">
        <f t="shared" ca="1" si="599"/>
        <v>0</v>
      </c>
      <c r="AV1013" s="126">
        <f t="shared" ca="1" si="600"/>
        <v>0</v>
      </c>
      <c r="AW1013" s="126">
        <f t="shared" ca="1" si="581"/>
        <v>10000</v>
      </c>
      <c r="AX1013" s="750">
        <f t="shared" ca="1" si="601"/>
        <v>0</v>
      </c>
      <c r="AY1013" s="750">
        <f t="shared" ca="1" si="602"/>
        <v>0</v>
      </c>
      <c r="AZ1013">
        <f t="shared" si="603"/>
        <v>5750</v>
      </c>
    </row>
    <row r="1014" spans="4:52">
      <c r="D1014">
        <v>1007</v>
      </c>
      <c r="E1014" s="6">
        <f t="shared" ca="1" si="582"/>
        <v>22129</v>
      </c>
      <c r="F1014" s="7">
        <f t="shared" ca="1" si="583"/>
        <v>0</v>
      </c>
      <c r="G1014" s="125">
        <f ca="1">IF('Simulador - 1º Pilar'!$E$99="Sí",IF('Aportaciones PPE'!$B$13&lt;'Aportaciones PPE'!E1014,0,F1014*$B$8/12),F1014*$B$8/12)</f>
        <v>0</v>
      </c>
      <c r="H1014" s="125">
        <f t="shared" ca="1" si="572"/>
        <v>0</v>
      </c>
      <c r="I1014" s="125">
        <f t="shared" ca="1" si="584"/>
        <v>0</v>
      </c>
      <c r="J1014" s="125">
        <f t="shared" ca="1" si="585"/>
        <v>0</v>
      </c>
      <c r="K1014" s="125">
        <f t="shared" ca="1" si="586"/>
        <v>0</v>
      </c>
      <c r="L1014" s="125">
        <f t="shared" ca="1" si="604"/>
        <v>0</v>
      </c>
      <c r="M1014" s="125">
        <f t="shared" ca="1" si="587"/>
        <v>0</v>
      </c>
      <c r="N1014" s="125">
        <f t="shared" ca="1" si="588"/>
        <v>0</v>
      </c>
      <c r="R1014">
        <f t="shared" si="605"/>
        <v>1007</v>
      </c>
      <c r="U1014" s="55"/>
      <c r="V1014">
        <f t="shared" si="606"/>
        <v>12</v>
      </c>
      <c r="W1014">
        <f t="shared" ca="1" si="607"/>
        <v>2107</v>
      </c>
      <c r="X1014" s="123">
        <f t="shared" ca="1" si="589"/>
        <v>75941</v>
      </c>
      <c r="Y1014" s="64">
        <f t="shared" ca="1" si="590"/>
        <v>0</v>
      </c>
      <c r="Z1014" s="64">
        <f t="shared" ca="1" si="591"/>
        <v>0</v>
      </c>
      <c r="AA1014" s="64">
        <f t="shared" ca="1" si="592"/>
        <v>0</v>
      </c>
      <c r="AB1014" s="64">
        <f t="shared" ca="1" si="593"/>
        <v>0</v>
      </c>
      <c r="AF1014" t="str">
        <f t="shared" ca="1" si="573"/>
        <v>81960</v>
      </c>
      <c r="AG1014" s="126">
        <f t="shared" ca="1" si="574"/>
        <v>0</v>
      </c>
      <c r="AH1014" s="126">
        <f t="shared" ca="1" si="575"/>
        <v>0</v>
      </c>
      <c r="AI1014" s="126">
        <f t="shared" ca="1" si="576"/>
        <v>0</v>
      </c>
      <c r="AJ1014" t="str">
        <f t="shared" ca="1" si="577"/>
        <v>122107</v>
      </c>
      <c r="AK1014" s="126">
        <f t="shared" ca="1" si="594"/>
        <v>0</v>
      </c>
      <c r="AL1014" s="126">
        <f t="shared" ca="1" si="595"/>
        <v>0</v>
      </c>
      <c r="AM1014" s="126">
        <f t="shared" ca="1" si="608"/>
        <v>0</v>
      </c>
      <c r="AN1014" s="753">
        <f t="shared" ca="1" si="609"/>
        <v>0</v>
      </c>
      <c r="AO1014" s="750">
        <f t="shared" ca="1" si="596"/>
        <v>0</v>
      </c>
      <c r="AP1014" s="126">
        <f t="shared" ca="1" si="597"/>
        <v>0</v>
      </c>
      <c r="AQ1014" s="126">
        <f t="shared" ca="1" si="598"/>
        <v>0</v>
      </c>
      <c r="AR1014" s="126">
        <f t="shared" ca="1" si="578"/>
        <v>10000</v>
      </c>
      <c r="AS1014" s="750">
        <f t="shared" ca="1" si="579"/>
        <v>0</v>
      </c>
      <c r="AT1014" s="750">
        <f t="shared" ca="1" si="580"/>
        <v>0</v>
      </c>
      <c r="AU1014" s="126">
        <f t="shared" ca="1" si="599"/>
        <v>0</v>
      </c>
      <c r="AV1014" s="126">
        <f t="shared" ca="1" si="600"/>
        <v>0</v>
      </c>
      <c r="AW1014" s="126">
        <f t="shared" ca="1" si="581"/>
        <v>10000</v>
      </c>
      <c r="AX1014" s="750">
        <f t="shared" ca="1" si="601"/>
        <v>0</v>
      </c>
      <c r="AY1014" s="750">
        <f t="shared" ca="1" si="602"/>
        <v>0</v>
      </c>
      <c r="AZ1014">
        <f t="shared" si="603"/>
        <v>5750</v>
      </c>
    </row>
    <row r="1015" spans="4:52">
      <c r="D1015">
        <v>1008</v>
      </c>
      <c r="E1015" s="6">
        <f t="shared" ca="1" si="582"/>
        <v>22098</v>
      </c>
      <c r="F1015" s="7">
        <f t="shared" ca="1" si="583"/>
        <v>0</v>
      </c>
      <c r="G1015" s="125">
        <f ca="1">IF('Simulador - 1º Pilar'!$E$99="Sí",IF('Aportaciones PPE'!$B$13&lt;'Aportaciones PPE'!E1015,0,F1015*$B$8/12),F1015*$B$8/12)</f>
        <v>0</v>
      </c>
      <c r="H1015" s="125">
        <f t="shared" ca="1" si="572"/>
        <v>0</v>
      </c>
      <c r="I1015" s="125">
        <f t="shared" ca="1" si="584"/>
        <v>0</v>
      </c>
      <c r="J1015" s="125">
        <f t="shared" ca="1" si="585"/>
        <v>0</v>
      </c>
      <c r="K1015" s="125">
        <f t="shared" ca="1" si="586"/>
        <v>0</v>
      </c>
      <c r="L1015" s="125">
        <f t="shared" ca="1" si="604"/>
        <v>0</v>
      </c>
      <c r="M1015" s="125">
        <f t="shared" ca="1" si="587"/>
        <v>0</v>
      </c>
      <c r="N1015" s="125">
        <f t="shared" ca="1" si="588"/>
        <v>0</v>
      </c>
      <c r="R1015">
        <f t="shared" si="605"/>
        <v>1008</v>
      </c>
      <c r="U1015" s="55"/>
      <c r="V1015">
        <f t="shared" si="606"/>
        <v>1</v>
      </c>
      <c r="W1015">
        <f t="shared" ca="1" si="607"/>
        <v>2108</v>
      </c>
      <c r="X1015" s="123">
        <f t="shared" ca="1" si="589"/>
        <v>75972</v>
      </c>
      <c r="Y1015" s="64">
        <f t="shared" ca="1" si="590"/>
        <v>0</v>
      </c>
      <c r="Z1015" s="64">
        <f t="shared" ca="1" si="591"/>
        <v>0</v>
      </c>
      <c r="AA1015" s="64">
        <f t="shared" ca="1" si="592"/>
        <v>0</v>
      </c>
      <c r="AB1015" s="64">
        <f t="shared" ca="1" si="593"/>
        <v>0</v>
      </c>
      <c r="AF1015" t="str">
        <f t="shared" ca="1" si="573"/>
        <v>71960</v>
      </c>
      <c r="AG1015" s="126">
        <f t="shared" ca="1" si="574"/>
        <v>0</v>
      </c>
      <c r="AH1015" s="126">
        <f t="shared" ca="1" si="575"/>
        <v>0</v>
      </c>
      <c r="AI1015" s="126">
        <f t="shared" ca="1" si="576"/>
        <v>0</v>
      </c>
      <c r="AJ1015" t="str">
        <f t="shared" ca="1" si="577"/>
        <v>12108</v>
      </c>
      <c r="AK1015" s="126">
        <f t="shared" ca="1" si="594"/>
        <v>0</v>
      </c>
      <c r="AL1015" s="126">
        <f t="shared" ca="1" si="595"/>
        <v>0</v>
      </c>
      <c r="AM1015" s="126">
        <f t="shared" ca="1" si="608"/>
        <v>0</v>
      </c>
      <c r="AN1015" s="753">
        <f t="shared" ca="1" si="609"/>
        <v>0</v>
      </c>
      <c r="AO1015" s="750">
        <f t="shared" ca="1" si="596"/>
        <v>0</v>
      </c>
      <c r="AP1015" s="126">
        <f t="shared" ca="1" si="597"/>
        <v>0</v>
      </c>
      <c r="AQ1015" s="126">
        <f t="shared" ca="1" si="598"/>
        <v>0</v>
      </c>
      <c r="AR1015" s="126">
        <f t="shared" ca="1" si="578"/>
        <v>10000</v>
      </c>
      <c r="AS1015" s="750">
        <f t="shared" ca="1" si="579"/>
        <v>0</v>
      </c>
      <c r="AT1015" s="750">
        <f t="shared" ca="1" si="580"/>
        <v>0</v>
      </c>
      <c r="AU1015" s="126">
        <f t="shared" ca="1" si="599"/>
        <v>0</v>
      </c>
      <c r="AV1015" s="126">
        <f t="shared" ca="1" si="600"/>
        <v>0</v>
      </c>
      <c r="AW1015" s="126">
        <f t="shared" ca="1" si="581"/>
        <v>10000</v>
      </c>
      <c r="AX1015" s="750">
        <f t="shared" ca="1" si="601"/>
        <v>0</v>
      </c>
      <c r="AY1015" s="750">
        <f t="shared" ca="1" si="602"/>
        <v>0</v>
      </c>
      <c r="AZ1015">
        <f t="shared" si="603"/>
        <v>5750</v>
      </c>
    </row>
    <row r="1016" spans="4:52">
      <c r="D1016">
        <v>1009</v>
      </c>
      <c r="E1016" s="6">
        <f t="shared" ca="1" si="582"/>
        <v>22068</v>
      </c>
      <c r="F1016" s="7">
        <f t="shared" ca="1" si="583"/>
        <v>0</v>
      </c>
      <c r="G1016" s="125">
        <f ca="1">IF('Simulador - 1º Pilar'!$E$99="Sí",IF('Aportaciones PPE'!$B$13&lt;'Aportaciones PPE'!E1016,0,F1016*$B$8/12),F1016*$B$8/12)</f>
        <v>0</v>
      </c>
      <c r="H1016" s="125">
        <f t="shared" ca="1" si="572"/>
        <v>0</v>
      </c>
      <c r="I1016" s="125">
        <f t="shared" ca="1" si="584"/>
        <v>0</v>
      </c>
      <c r="J1016" s="125">
        <f t="shared" ca="1" si="585"/>
        <v>0</v>
      </c>
      <c r="K1016" s="125">
        <f t="shared" ca="1" si="586"/>
        <v>0</v>
      </c>
      <c r="L1016" s="125">
        <f t="shared" ca="1" si="604"/>
        <v>0</v>
      </c>
      <c r="M1016" s="125">
        <f t="shared" ca="1" si="587"/>
        <v>0</v>
      </c>
      <c r="N1016" s="125">
        <f t="shared" ca="1" si="588"/>
        <v>0</v>
      </c>
      <c r="R1016">
        <f t="shared" si="605"/>
        <v>1009</v>
      </c>
      <c r="U1016" s="55"/>
      <c r="V1016">
        <f t="shared" si="606"/>
        <v>2</v>
      </c>
      <c r="W1016">
        <f t="shared" ca="1" si="607"/>
        <v>2108</v>
      </c>
      <c r="X1016" s="123">
        <f t="shared" ca="1" si="589"/>
        <v>76003</v>
      </c>
      <c r="Y1016" s="64">
        <f t="shared" ca="1" si="590"/>
        <v>0</v>
      </c>
      <c r="Z1016" s="64">
        <f t="shared" ca="1" si="591"/>
        <v>0</v>
      </c>
      <c r="AA1016" s="64">
        <f t="shared" ca="1" si="592"/>
        <v>0</v>
      </c>
      <c r="AB1016" s="64">
        <f t="shared" ca="1" si="593"/>
        <v>0</v>
      </c>
      <c r="AF1016" t="str">
        <f t="shared" ca="1" si="573"/>
        <v>61960</v>
      </c>
      <c r="AG1016" s="126">
        <f t="shared" ca="1" si="574"/>
        <v>0</v>
      </c>
      <c r="AH1016" s="126">
        <f t="shared" ca="1" si="575"/>
        <v>0</v>
      </c>
      <c r="AI1016" s="126">
        <f t="shared" ca="1" si="576"/>
        <v>0</v>
      </c>
      <c r="AJ1016" t="str">
        <f t="shared" ca="1" si="577"/>
        <v>22108</v>
      </c>
      <c r="AK1016" s="126">
        <f t="shared" ca="1" si="594"/>
        <v>0</v>
      </c>
      <c r="AL1016" s="126">
        <f t="shared" ca="1" si="595"/>
        <v>0</v>
      </c>
      <c r="AM1016" s="126">
        <f t="shared" ca="1" si="608"/>
        <v>0</v>
      </c>
      <c r="AN1016" s="753">
        <f t="shared" ca="1" si="609"/>
        <v>0</v>
      </c>
      <c r="AO1016" s="750">
        <f t="shared" ca="1" si="596"/>
        <v>0</v>
      </c>
      <c r="AP1016" s="126">
        <f t="shared" ca="1" si="597"/>
        <v>0</v>
      </c>
      <c r="AQ1016" s="126">
        <f t="shared" ca="1" si="598"/>
        <v>0</v>
      </c>
      <c r="AR1016" s="126">
        <f t="shared" ca="1" si="578"/>
        <v>10000</v>
      </c>
      <c r="AS1016" s="750">
        <f t="shared" ca="1" si="579"/>
        <v>0</v>
      </c>
      <c r="AT1016" s="750">
        <f t="shared" ca="1" si="580"/>
        <v>0</v>
      </c>
      <c r="AU1016" s="126">
        <f t="shared" ca="1" si="599"/>
        <v>0</v>
      </c>
      <c r="AV1016" s="126">
        <f t="shared" ca="1" si="600"/>
        <v>0</v>
      </c>
      <c r="AW1016" s="126">
        <f t="shared" ca="1" si="581"/>
        <v>10000</v>
      </c>
      <c r="AX1016" s="750">
        <f t="shared" ca="1" si="601"/>
        <v>0</v>
      </c>
      <c r="AY1016" s="750">
        <f t="shared" ca="1" si="602"/>
        <v>0</v>
      </c>
      <c r="AZ1016">
        <f t="shared" si="603"/>
        <v>5750</v>
      </c>
    </row>
    <row r="1017" spans="4:52">
      <c r="D1017">
        <v>1010</v>
      </c>
      <c r="E1017" s="6">
        <f t="shared" ca="1" si="582"/>
        <v>22037</v>
      </c>
      <c r="F1017" s="7">
        <f t="shared" ca="1" si="583"/>
        <v>0</v>
      </c>
      <c r="G1017" s="125">
        <f ca="1">IF('Simulador - 1º Pilar'!$E$99="Sí",IF('Aportaciones PPE'!$B$13&lt;'Aportaciones PPE'!E1017,0,F1017*$B$8/12),F1017*$B$8/12)</f>
        <v>0</v>
      </c>
      <c r="H1017" s="125">
        <f t="shared" ca="1" si="572"/>
        <v>0</v>
      </c>
      <c r="I1017" s="125">
        <f t="shared" ca="1" si="584"/>
        <v>0</v>
      </c>
      <c r="J1017" s="125">
        <f t="shared" ca="1" si="585"/>
        <v>0</v>
      </c>
      <c r="K1017" s="125">
        <f t="shared" ca="1" si="586"/>
        <v>0</v>
      </c>
      <c r="L1017" s="125">
        <f t="shared" ca="1" si="604"/>
        <v>0</v>
      </c>
      <c r="M1017" s="125">
        <f t="shared" ca="1" si="587"/>
        <v>0</v>
      </c>
      <c r="N1017" s="125">
        <f t="shared" ca="1" si="588"/>
        <v>0</v>
      </c>
      <c r="R1017">
        <f t="shared" si="605"/>
        <v>1010</v>
      </c>
      <c r="U1017" s="55"/>
      <c r="V1017">
        <f t="shared" si="606"/>
        <v>3</v>
      </c>
      <c r="W1017">
        <f t="shared" ca="1" si="607"/>
        <v>2108</v>
      </c>
      <c r="X1017" s="123">
        <f t="shared" ca="1" si="589"/>
        <v>76032</v>
      </c>
      <c r="Y1017" s="64">
        <f t="shared" ca="1" si="590"/>
        <v>0</v>
      </c>
      <c r="Z1017" s="64">
        <f t="shared" ca="1" si="591"/>
        <v>0</v>
      </c>
      <c r="AA1017" s="64">
        <f t="shared" ca="1" si="592"/>
        <v>0</v>
      </c>
      <c r="AB1017" s="64">
        <f t="shared" ca="1" si="593"/>
        <v>0</v>
      </c>
      <c r="AF1017" t="str">
        <f t="shared" ca="1" si="573"/>
        <v>51960</v>
      </c>
      <c r="AG1017" s="126">
        <f t="shared" ca="1" si="574"/>
        <v>0</v>
      </c>
      <c r="AH1017" s="126">
        <f t="shared" ca="1" si="575"/>
        <v>0</v>
      </c>
      <c r="AI1017" s="126">
        <f t="shared" ca="1" si="576"/>
        <v>0</v>
      </c>
      <c r="AJ1017" t="str">
        <f t="shared" ca="1" si="577"/>
        <v>32108</v>
      </c>
      <c r="AK1017" s="126">
        <f t="shared" ca="1" si="594"/>
        <v>0</v>
      </c>
      <c r="AL1017" s="126">
        <f t="shared" ca="1" si="595"/>
        <v>0</v>
      </c>
      <c r="AM1017" s="126">
        <f t="shared" ca="1" si="608"/>
        <v>0</v>
      </c>
      <c r="AN1017" s="753">
        <f t="shared" ca="1" si="609"/>
        <v>0</v>
      </c>
      <c r="AO1017" s="750">
        <f t="shared" ca="1" si="596"/>
        <v>0</v>
      </c>
      <c r="AP1017" s="126">
        <f t="shared" ca="1" si="597"/>
        <v>0</v>
      </c>
      <c r="AQ1017" s="126">
        <f t="shared" ca="1" si="598"/>
        <v>0</v>
      </c>
      <c r="AR1017" s="126">
        <f t="shared" ca="1" si="578"/>
        <v>10000</v>
      </c>
      <c r="AS1017" s="750">
        <f t="shared" ca="1" si="579"/>
        <v>0</v>
      </c>
      <c r="AT1017" s="750">
        <f t="shared" ca="1" si="580"/>
        <v>0</v>
      </c>
      <c r="AU1017" s="126">
        <f t="shared" ca="1" si="599"/>
        <v>0</v>
      </c>
      <c r="AV1017" s="126">
        <f t="shared" ca="1" si="600"/>
        <v>0</v>
      </c>
      <c r="AW1017" s="126">
        <f t="shared" ca="1" si="581"/>
        <v>10000</v>
      </c>
      <c r="AX1017" s="750">
        <f t="shared" ca="1" si="601"/>
        <v>0</v>
      </c>
      <c r="AY1017" s="750">
        <f t="shared" ca="1" si="602"/>
        <v>0</v>
      </c>
      <c r="AZ1017">
        <f t="shared" si="603"/>
        <v>5750</v>
      </c>
    </row>
    <row r="1018" spans="4:52">
      <c r="D1018">
        <v>1011</v>
      </c>
      <c r="E1018" s="6">
        <f t="shared" ca="1" si="582"/>
        <v>22007</v>
      </c>
      <c r="F1018" s="7">
        <f t="shared" ca="1" si="583"/>
        <v>0</v>
      </c>
      <c r="G1018" s="125">
        <f ca="1">IF('Simulador - 1º Pilar'!$E$99="Sí",IF('Aportaciones PPE'!$B$13&lt;'Aportaciones PPE'!E1018,0,F1018*$B$8/12),F1018*$B$8/12)</f>
        <v>0</v>
      </c>
      <c r="H1018" s="125">
        <f t="shared" ca="1" si="572"/>
        <v>0</v>
      </c>
      <c r="I1018" s="125">
        <f t="shared" ca="1" si="584"/>
        <v>0</v>
      </c>
      <c r="J1018" s="125">
        <f t="shared" ca="1" si="585"/>
        <v>0</v>
      </c>
      <c r="K1018" s="125">
        <f t="shared" ca="1" si="586"/>
        <v>0</v>
      </c>
      <c r="L1018" s="125">
        <f t="shared" ca="1" si="604"/>
        <v>0</v>
      </c>
      <c r="M1018" s="125">
        <f t="shared" ca="1" si="587"/>
        <v>0</v>
      </c>
      <c r="N1018" s="125">
        <f t="shared" ca="1" si="588"/>
        <v>0</v>
      </c>
      <c r="R1018">
        <f t="shared" si="605"/>
        <v>1011</v>
      </c>
      <c r="U1018" s="55"/>
      <c r="V1018">
        <f t="shared" si="606"/>
        <v>4</v>
      </c>
      <c r="W1018">
        <f t="shared" ca="1" si="607"/>
        <v>2108</v>
      </c>
      <c r="X1018" s="123">
        <f t="shared" ca="1" si="589"/>
        <v>76063</v>
      </c>
      <c r="Y1018" s="64">
        <f t="shared" ca="1" si="590"/>
        <v>0</v>
      </c>
      <c r="Z1018" s="64">
        <f t="shared" ca="1" si="591"/>
        <v>0</v>
      </c>
      <c r="AA1018" s="64">
        <f t="shared" ca="1" si="592"/>
        <v>0</v>
      </c>
      <c r="AB1018" s="64">
        <f t="shared" ca="1" si="593"/>
        <v>0</v>
      </c>
      <c r="AF1018" t="str">
        <f t="shared" ca="1" si="573"/>
        <v>41960</v>
      </c>
      <c r="AG1018" s="126">
        <f t="shared" ca="1" si="574"/>
        <v>0</v>
      </c>
      <c r="AH1018" s="126">
        <f t="shared" ca="1" si="575"/>
        <v>0</v>
      </c>
      <c r="AI1018" s="126">
        <f t="shared" ca="1" si="576"/>
        <v>0</v>
      </c>
      <c r="AJ1018" t="str">
        <f t="shared" ca="1" si="577"/>
        <v>42108</v>
      </c>
      <c r="AK1018" s="126">
        <f t="shared" ca="1" si="594"/>
        <v>0</v>
      </c>
      <c r="AL1018" s="126">
        <f t="shared" ca="1" si="595"/>
        <v>0</v>
      </c>
      <c r="AM1018" s="126">
        <f t="shared" ca="1" si="608"/>
        <v>0</v>
      </c>
      <c r="AN1018" s="753">
        <f t="shared" ca="1" si="609"/>
        <v>0</v>
      </c>
      <c r="AO1018" s="750">
        <f t="shared" ca="1" si="596"/>
        <v>0</v>
      </c>
      <c r="AP1018" s="126">
        <f t="shared" ca="1" si="597"/>
        <v>0</v>
      </c>
      <c r="AQ1018" s="126">
        <f t="shared" ca="1" si="598"/>
        <v>0</v>
      </c>
      <c r="AR1018" s="126">
        <f t="shared" ca="1" si="578"/>
        <v>10000</v>
      </c>
      <c r="AS1018" s="750">
        <f t="shared" ca="1" si="579"/>
        <v>0</v>
      </c>
      <c r="AT1018" s="750">
        <f t="shared" ca="1" si="580"/>
        <v>0</v>
      </c>
      <c r="AU1018" s="126">
        <f t="shared" ca="1" si="599"/>
        <v>0</v>
      </c>
      <c r="AV1018" s="126">
        <f t="shared" ca="1" si="600"/>
        <v>0</v>
      </c>
      <c r="AW1018" s="126">
        <f t="shared" ca="1" si="581"/>
        <v>10000</v>
      </c>
      <c r="AX1018" s="750">
        <f t="shared" ca="1" si="601"/>
        <v>0</v>
      </c>
      <c r="AY1018" s="750">
        <f t="shared" ca="1" si="602"/>
        <v>0</v>
      </c>
      <c r="AZ1018">
        <f t="shared" si="603"/>
        <v>5750</v>
      </c>
    </row>
    <row r="1019" spans="4:52">
      <c r="D1019">
        <v>1012</v>
      </c>
      <c r="E1019" s="6">
        <f t="shared" ca="1" si="582"/>
        <v>21976</v>
      </c>
      <c r="F1019" s="7">
        <f t="shared" ca="1" si="583"/>
        <v>0</v>
      </c>
      <c r="G1019" s="125">
        <f ca="1">IF('Simulador - 1º Pilar'!$E$99="Sí",IF('Aportaciones PPE'!$B$13&lt;'Aportaciones PPE'!E1019,0,F1019*$B$8/12),F1019*$B$8/12)</f>
        <v>0</v>
      </c>
      <c r="H1019" s="125">
        <f t="shared" ca="1" si="572"/>
        <v>0</v>
      </c>
      <c r="I1019" s="125">
        <f t="shared" ca="1" si="584"/>
        <v>0</v>
      </c>
      <c r="J1019" s="125">
        <f t="shared" ca="1" si="585"/>
        <v>0</v>
      </c>
      <c r="K1019" s="125">
        <f t="shared" ca="1" si="586"/>
        <v>0</v>
      </c>
      <c r="L1019" s="125">
        <f t="shared" ca="1" si="604"/>
        <v>0</v>
      </c>
      <c r="M1019" s="125">
        <f t="shared" ca="1" si="587"/>
        <v>0</v>
      </c>
      <c r="N1019" s="125">
        <f t="shared" ca="1" si="588"/>
        <v>0</v>
      </c>
      <c r="R1019">
        <f t="shared" si="605"/>
        <v>1012</v>
      </c>
      <c r="U1019" s="55"/>
      <c r="V1019">
        <f t="shared" si="606"/>
        <v>5</v>
      </c>
      <c r="W1019">
        <f t="shared" ca="1" si="607"/>
        <v>2108</v>
      </c>
      <c r="X1019" s="123">
        <f t="shared" ca="1" si="589"/>
        <v>76093</v>
      </c>
      <c r="Y1019" s="64">
        <f t="shared" ca="1" si="590"/>
        <v>0</v>
      </c>
      <c r="Z1019" s="64">
        <f t="shared" ca="1" si="591"/>
        <v>0</v>
      </c>
      <c r="AA1019" s="64">
        <f t="shared" ca="1" si="592"/>
        <v>0</v>
      </c>
      <c r="AB1019" s="64">
        <f t="shared" ca="1" si="593"/>
        <v>0</v>
      </c>
      <c r="AF1019" t="str">
        <f t="shared" ca="1" si="573"/>
        <v>31960</v>
      </c>
      <c r="AG1019" s="126">
        <f t="shared" ca="1" si="574"/>
        <v>0</v>
      </c>
      <c r="AH1019" s="126">
        <f t="shared" ca="1" si="575"/>
        <v>0</v>
      </c>
      <c r="AI1019" s="126">
        <f t="shared" ca="1" si="576"/>
        <v>0</v>
      </c>
      <c r="AJ1019" t="str">
        <f t="shared" ca="1" si="577"/>
        <v>52108</v>
      </c>
      <c r="AK1019" s="126">
        <f t="shared" ca="1" si="594"/>
        <v>0</v>
      </c>
      <c r="AL1019" s="126">
        <f t="shared" ca="1" si="595"/>
        <v>0</v>
      </c>
      <c r="AM1019" s="126">
        <f t="shared" ca="1" si="608"/>
        <v>0</v>
      </c>
      <c r="AN1019" s="753">
        <f t="shared" ca="1" si="609"/>
        <v>0</v>
      </c>
      <c r="AO1019" s="750">
        <f t="shared" ca="1" si="596"/>
        <v>0</v>
      </c>
      <c r="AP1019" s="126">
        <f t="shared" ca="1" si="597"/>
        <v>0</v>
      </c>
      <c r="AQ1019" s="126">
        <f t="shared" ca="1" si="598"/>
        <v>0</v>
      </c>
      <c r="AR1019" s="126">
        <f t="shared" ca="1" si="578"/>
        <v>10000</v>
      </c>
      <c r="AS1019" s="750">
        <f t="shared" ca="1" si="579"/>
        <v>0</v>
      </c>
      <c r="AT1019" s="750">
        <f t="shared" ca="1" si="580"/>
        <v>0</v>
      </c>
      <c r="AU1019" s="126">
        <f t="shared" ca="1" si="599"/>
        <v>0</v>
      </c>
      <c r="AV1019" s="126">
        <f t="shared" ca="1" si="600"/>
        <v>0</v>
      </c>
      <c r="AW1019" s="126">
        <f t="shared" ca="1" si="581"/>
        <v>10000</v>
      </c>
      <c r="AX1019" s="750">
        <f t="shared" ca="1" si="601"/>
        <v>0</v>
      </c>
      <c r="AY1019" s="750">
        <f t="shared" ca="1" si="602"/>
        <v>0</v>
      </c>
      <c r="AZ1019">
        <f t="shared" si="603"/>
        <v>5750</v>
      </c>
    </row>
    <row r="1020" spans="4:52">
      <c r="D1020">
        <v>1013</v>
      </c>
      <c r="E1020" s="6">
        <f t="shared" ca="1" si="582"/>
        <v>21947</v>
      </c>
      <c r="F1020" s="7">
        <f t="shared" ca="1" si="583"/>
        <v>0</v>
      </c>
      <c r="G1020" s="125">
        <f ca="1">IF('Simulador - 1º Pilar'!$E$99="Sí",IF('Aportaciones PPE'!$B$13&lt;'Aportaciones PPE'!E1020,0,F1020*$B$8/12),F1020*$B$8/12)</f>
        <v>0</v>
      </c>
      <c r="H1020" s="125">
        <f t="shared" ca="1" si="572"/>
        <v>0</v>
      </c>
      <c r="I1020" s="125">
        <f t="shared" ca="1" si="584"/>
        <v>0</v>
      </c>
      <c r="J1020" s="125">
        <f t="shared" ca="1" si="585"/>
        <v>0</v>
      </c>
      <c r="K1020" s="125">
        <f t="shared" ca="1" si="586"/>
        <v>0</v>
      </c>
      <c r="L1020" s="125">
        <f t="shared" ca="1" si="604"/>
        <v>0</v>
      </c>
      <c r="M1020" s="125">
        <f t="shared" ca="1" si="587"/>
        <v>0</v>
      </c>
      <c r="N1020" s="125">
        <f t="shared" ca="1" si="588"/>
        <v>0</v>
      </c>
      <c r="R1020">
        <f t="shared" si="605"/>
        <v>1013</v>
      </c>
      <c r="U1020" s="55"/>
      <c r="V1020">
        <f t="shared" si="606"/>
        <v>6</v>
      </c>
      <c r="W1020">
        <f t="shared" ca="1" si="607"/>
        <v>2108</v>
      </c>
      <c r="X1020" s="123">
        <f t="shared" ca="1" si="589"/>
        <v>76124</v>
      </c>
      <c r="Y1020" s="64">
        <f t="shared" ca="1" si="590"/>
        <v>0</v>
      </c>
      <c r="Z1020" s="64">
        <f t="shared" ca="1" si="591"/>
        <v>0</v>
      </c>
      <c r="AA1020" s="64">
        <f t="shared" ca="1" si="592"/>
        <v>0</v>
      </c>
      <c r="AB1020" s="64">
        <f t="shared" ca="1" si="593"/>
        <v>0</v>
      </c>
      <c r="AF1020" t="str">
        <f t="shared" ca="1" si="573"/>
        <v>21960</v>
      </c>
      <c r="AG1020" s="126">
        <f t="shared" ca="1" si="574"/>
        <v>0</v>
      </c>
      <c r="AH1020" s="126">
        <f t="shared" ca="1" si="575"/>
        <v>0</v>
      </c>
      <c r="AI1020" s="126">
        <f t="shared" ca="1" si="576"/>
        <v>0</v>
      </c>
      <c r="AJ1020" t="str">
        <f t="shared" ca="1" si="577"/>
        <v>62108</v>
      </c>
      <c r="AK1020" s="126">
        <f t="shared" ca="1" si="594"/>
        <v>0</v>
      </c>
      <c r="AL1020" s="126">
        <f t="shared" ca="1" si="595"/>
        <v>0</v>
      </c>
      <c r="AM1020" s="126">
        <f t="shared" ca="1" si="608"/>
        <v>0</v>
      </c>
      <c r="AN1020" s="753">
        <f t="shared" ca="1" si="609"/>
        <v>0</v>
      </c>
      <c r="AO1020" s="750">
        <f t="shared" ca="1" si="596"/>
        <v>0</v>
      </c>
      <c r="AP1020" s="126">
        <f t="shared" ca="1" si="597"/>
        <v>0</v>
      </c>
      <c r="AQ1020" s="126">
        <f t="shared" ca="1" si="598"/>
        <v>0</v>
      </c>
      <c r="AR1020" s="126">
        <f t="shared" ca="1" si="578"/>
        <v>10000</v>
      </c>
      <c r="AS1020" s="750">
        <f t="shared" ca="1" si="579"/>
        <v>0</v>
      </c>
      <c r="AT1020" s="750">
        <f t="shared" ca="1" si="580"/>
        <v>0</v>
      </c>
      <c r="AU1020" s="126">
        <f t="shared" ca="1" si="599"/>
        <v>0</v>
      </c>
      <c r="AV1020" s="126">
        <f t="shared" ca="1" si="600"/>
        <v>0</v>
      </c>
      <c r="AW1020" s="126">
        <f t="shared" ca="1" si="581"/>
        <v>10000</v>
      </c>
      <c r="AX1020" s="750">
        <f t="shared" ca="1" si="601"/>
        <v>0</v>
      </c>
      <c r="AY1020" s="750">
        <f t="shared" ca="1" si="602"/>
        <v>0</v>
      </c>
      <c r="AZ1020">
        <f t="shared" si="603"/>
        <v>5750</v>
      </c>
    </row>
    <row r="1021" spans="4:52">
      <c r="D1021">
        <v>1014</v>
      </c>
      <c r="E1021" s="6">
        <f t="shared" ca="1" si="582"/>
        <v>21916</v>
      </c>
      <c r="F1021" s="7">
        <f t="shared" ca="1" si="583"/>
        <v>0</v>
      </c>
      <c r="G1021" s="125">
        <f ca="1">IF('Simulador - 1º Pilar'!$E$99="Sí",IF('Aportaciones PPE'!$B$13&lt;'Aportaciones PPE'!E1021,0,F1021*$B$8/12),F1021*$B$8/12)</f>
        <v>0</v>
      </c>
      <c r="H1021" s="125">
        <f t="shared" ca="1" si="572"/>
        <v>0</v>
      </c>
      <c r="I1021" s="125">
        <f t="shared" ca="1" si="584"/>
        <v>0</v>
      </c>
      <c r="J1021" s="125">
        <f t="shared" ca="1" si="585"/>
        <v>0</v>
      </c>
      <c r="K1021" s="125">
        <f t="shared" ca="1" si="586"/>
        <v>0</v>
      </c>
      <c r="L1021" s="125">
        <f t="shared" ca="1" si="604"/>
        <v>0</v>
      </c>
      <c r="M1021" s="125">
        <f t="shared" ca="1" si="587"/>
        <v>0</v>
      </c>
      <c r="N1021" s="125">
        <f t="shared" ca="1" si="588"/>
        <v>0</v>
      </c>
      <c r="R1021">
        <f t="shared" si="605"/>
        <v>1014</v>
      </c>
      <c r="U1021" s="55"/>
      <c r="V1021">
        <f t="shared" si="606"/>
        <v>7</v>
      </c>
      <c r="W1021">
        <f t="shared" ca="1" si="607"/>
        <v>2108</v>
      </c>
      <c r="X1021" s="123">
        <f t="shared" ca="1" si="589"/>
        <v>76154</v>
      </c>
      <c r="Y1021" s="64">
        <f t="shared" ca="1" si="590"/>
        <v>0</v>
      </c>
      <c r="Z1021" s="64">
        <f t="shared" ca="1" si="591"/>
        <v>0</v>
      </c>
      <c r="AA1021" s="64">
        <f t="shared" ca="1" si="592"/>
        <v>0</v>
      </c>
      <c r="AB1021" s="64">
        <f t="shared" ca="1" si="593"/>
        <v>0</v>
      </c>
      <c r="AF1021" t="str">
        <f t="shared" ca="1" si="573"/>
        <v>11960</v>
      </c>
      <c r="AG1021" s="126">
        <f t="shared" ca="1" si="574"/>
        <v>0</v>
      </c>
      <c r="AH1021" s="126">
        <f t="shared" ca="1" si="575"/>
        <v>0</v>
      </c>
      <c r="AI1021" s="126">
        <f t="shared" ca="1" si="576"/>
        <v>0</v>
      </c>
      <c r="AJ1021" t="str">
        <f t="shared" ca="1" si="577"/>
        <v>72108</v>
      </c>
      <c r="AK1021" s="126">
        <f t="shared" ca="1" si="594"/>
        <v>0</v>
      </c>
      <c r="AL1021" s="126">
        <f t="shared" ca="1" si="595"/>
        <v>0</v>
      </c>
      <c r="AM1021" s="126">
        <f t="shared" ca="1" si="608"/>
        <v>0</v>
      </c>
      <c r="AN1021" s="753">
        <f t="shared" ca="1" si="609"/>
        <v>0</v>
      </c>
      <c r="AO1021" s="750">
        <f t="shared" ca="1" si="596"/>
        <v>0</v>
      </c>
      <c r="AP1021" s="126">
        <f t="shared" ca="1" si="597"/>
        <v>0</v>
      </c>
      <c r="AQ1021" s="126">
        <f t="shared" ca="1" si="598"/>
        <v>0</v>
      </c>
      <c r="AR1021" s="126">
        <f t="shared" ca="1" si="578"/>
        <v>10000</v>
      </c>
      <c r="AS1021" s="750">
        <f t="shared" ca="1" si="579"/>
        <v>0</v>
      </c>
      <c r="AT1021" s="750">
        <f t="shared" ca="1" si="580"/>
        <v>0</v>
      </c>
      <c r="AU1021" s="126">
        <f t="shared" ca="1" si="599"/>
        <v>0</v>
      </c>
      <c r="AV1021" s="126">
        <f t="shared" ca="1" si="600"/>
        <v>0</v>
      </c>
      <c r="AW1021" s="126">
        <f t="shared" ca="1" si="581"/>
        <v>10000</v>
      </c>
      <c r="AX1021" s="750">
        <f t="shared" ca="1" si="601"/>
        <v>0</v>
      </c>
      <c r="AY1021" s="750">
        <f t="shared" ca="1" si="602"/>
        <v>0</v>
      </c>
      <c r="AZ1021">
        <f t="shared" si="603"/>
        <v>5750</v>
      </c>
    </row>
    <row r="1022" spans="4:52">
      <c r="D1022">
        <v>1015</v>
      </c>
      <c r="E1022" s="6">
        <f t="shared" ca="1" si="582"/>
        <v>21885</v>
      </c>
      <c r="F1022" s="7">
        <f t="shared" ca="1" si="583"/>
        <v>0</v>
      </c>
      <c r="G1022" s="125">
        <f ca="1">IF('Simulador - 1º Pilar'!$E$99="Sí",IF('Aportaciones PPE'!$B$13&lt;'Aportaciones PPE'!E1022,0,F1022*$B$8/12),F1022*$B$8/12)</f>
        <v>0</v>
      </c>
      <c r="H1022" s="125">
        <f t="shared" ca="1" si="572"/>
        <v>0</v>
      </c>
      <c r="I1022" s="125">
        <f t="shared" ca="1" si="584"/>
        <v>0</v>
      </c>
      <c r="J1022" s="125">
        <f t="shared" ca="1" si="585"/>
        <v>0</v>
      </c>
      <c r="K1022" s="125">
        <f t="shared" ca="1" si="586"/>
        <v>0</v>
      </c>
      <c r="L1022" s="125">
        <f t="shared" ca="1" si="604"/>
        <v>0</v>
      </c>
      <c r="M1022" s="125">
        <f t="shared" ca="1" si="587"/>
        <v>0</v>
      </c>
      <c r="N1022" s="125">
        <f t="shared" ca="1" si="588"/>
        <v>0</v>
      </c>
      <c r="R1022">
        <f t="shared" si="605"/>
        <v>1015</v>
      </c>
      <c r="U1022" s="55"/>
      <c r="V1022">
        <f t="shared" si="606"/>
        <v>8</v>
      </c>
      <c r="W1022">
        <f t="shared" ca="1" si="607"/>
        <v>2108</v>
      </c>
      <c r="X1022" s="123">
        <f t="shared" ca="1" si="589"/>
        <v>76185</v>
      </c>
      <c r="Y1022" s="64">
        <f t="shared" ca="1" si="590"/>
        <v>0</v>
      </c>
      <c r="Z1022" s="64">
        <f t="shared" ca="1" si="591"/>
        <v>0</v>
      </c>
      <c r="AA1022" s="64">
        <f t="shared" ca="1" si="592"/>
        <v>0</v>
      </c>
      <c r="AB1022" s="64">
        <f t="shared" ca="1" si="593"/>
        <v>0</v>
      </c>
      <c r="AF1022" t="str">
        <f t="shared" ca="1" si="573"/>
        <v>121959</v>
      </c>
      <c r="AG1022" s="126">
        <f t="shared" ca="1" si="574"/>
        <v>0</v>
      </c>
      <c r="AH1022" s="126">
        <f t="shared" ca="1" si="575"/>
        <v>0</v>
      </c>
      <c r="AI1022" s="126">
        <f t="shared" ca="1" si="576"/>
        <v>0</v>
      </c>
      <c r="AJ1022" t="str">
        <f t="shared" ca="1" si="577"/>
        <v>82108</v>
      </c>
      <c r="AK1022" s="126">
        <f t="shared" ca="1" si="594"/>
        <v>0</v>
      </c>
      <c r="AL1022" s="126">
        <f t="shared" ca="1" si="595"/>
        <v>0</v>
      </c>
      <c r="AM1022" s="126">
        <f t="shared" ca="1" si="608"/>
        <v>0</v>
      </c>
      <c r="AN1022" s="753">
        <f t="shared" ca="1" si="609"/>
        <v>0</v>
      </c>
      <c r="AO1022" s="750">
        <f t="shared" ca="1" si="596"/>
        <v>0</v>
      </c>
      <c r="AP1022" s="126">
        <f t="shared" ca="1" si="597"/>
        <v>0</v>
      </c>
      <c r="AQ1022" s="126">
        <f t="shared" ca="1" si="598"/>
        <v>0</v>
      </c>
      <c r="AR1022" s="126">
        <f t="shared" ca="1" si="578"/>
        <v>10000</v>
      </c>
      <c r="AS1022" s="750">
        <f t="shared" ca="1" si="579"/>
        <v>0</v>
      </c>
      <c r="AT1022" s="750">
        <f t="shared" ca="1" si="580"/>
        <v>0</v>
      </c>
      <c r="AU1022" s="126">
        <f t="shared" ca="1" si="599"/>
        <v>0</v>
      </c>
      <c r="AV1022" s="126">
        <f t="shared" ca="1" si="600"/>
        <v>0</v>
      </c>
      <c r="AW1022" s="126">
        <f t="shared" ca="1" si="581"/>
        <v>10000</v>
      </c>
      <c r="AX1022" s="750">
        <f t="shared" ca="1" si="601"/>
        <v>0</v>
      </c>
      <c r="AY1022" s="750">
        <f t="shared" ca="1" si="602"/>
        <v>0</v>
      </c>
      <c r="AZ1022">
        <f t="shared" si="603"/>
        <v>5750</v>
      </c>
    </row>
    <row r="1023" spans="4:52">
      <c r="D1023">
        <v>1016</v>
      </c>
      <c r="E1023" s="6">
        <f t="shared" ca="1" si="582"/>
        <v>21855</v>
      </c>
      <c r="F1023" s="7">
        <f t="shared" ca="1" si="583"/>
        <v>0</v>
      </c>
      <c r="G1023" s="125">
        <f ca="1">IF('Simulador - 1º Pilar'!$E$99="Sí",IF('Aportaciones PPE'!$B$13&lt;'Aportaciones PPE'!E1023,0,F1023*$B$8/12),F1023*$B$8/12)</f>
        <v>0</v>
      </c>
      <c r="H1023" s="125">
        <f t="shared" ca="1" si="572"/>
        <v>0</v>
      </c>
      <c r="I1023" s="125">
        <f t="shared" ca="1" si="584"/>
        <v>0</v>
      </c>
      <c r="J1023" s="125">
        <f t="shared" ca="1" si="585"/>
        <v>0</v>
      </c>
      <c r="K1023" s="125">
        <f t="shared" ca="1" si="586"/>
        <v>0</v>
      </c>
      <c r="L1023" s="125">
        <f t="shared" ca="1" si="604"/>
        <v>0</v>
      </c>
      <c r="M1023" s="125">
        <f t="shared" ca="1" si="587"/>
        <v>0</v>
      </c>
      <c r="N1023" s="125">
        <f t="shared" ca="1" si="588"/>
        <v>0</v>
      </c>
      <c r="R1023">
        <f t="shared" si="605"/>
        <v>1016</v>
      </c>
      <c r="U1023" s="55"/>
      <c r="V1023">
        <f t="shared" si="606"/>
        <v>9</v>
      </c>
      <c r="W1023">
        <f t="shared" ca="1" si="607"/>
        <v>2108</v>
      </c>
      <c r="X1023" s="123">
        <f t="shared" ca="1" si="589"/>
        <v>76216</v>
      </c>
      <c r="Y1023" s="64">
        <f t="shared" ca="1" si="590"/>
        <v>0</v>
      </c>
      <c r="Z1023" s="64">
        <f t="shared" ca="1" si="591"/>
        <v>0</v>
      </c>
      <c r="AA1023" s="64">
        <f t="shared" ca="1" si="592"/>
        <v>0</v>
      </c>
      <c r="AB1023" s="64">
        <f t="shared" ca="1" si="593"/>
        <v>0</v>
      </c>
      <c r="AF1023" t="str">
        <f t="shared" ca="1" si="573"/>
        <v>111959</v>
      </c>
      <c r="AG1023" s="126">
        <f t="shared" ca="1" si="574"/>
        <v>0</v>
      </c>
      <c r="AH1023" s="126">
        <f t="shared" ca="1" si="575"/>
        <v>0</v>
      </c>
      <c r="AI1023" s="126">
        <f t="shared" ca="1" si="576"/>
        <v>0</v>
      </c>
      <c r="AJ1023" t="str">
        <f t="shared" ca="1" si="577"/>
        <v>92108</v>
      </c>
      <c r="AK1023" s="126">
        <f t="shared" ca="1" si="594"/>
        <v>0</v>
      </c>
      <c r="AL1023" s="126">
        <f t="shared" ca="1" si="595"/>
        <v>0</v>
      </c>
      <c r="AM1023" s="126">
        <f t="shared" ca="1" si="608"/>
        <v>0</v>
      </c>
      <c r="AN1023" s="753">
        <f t="shared" ca="1" si="609"/>
        <v>0</v>
      </c>
      <c r="AO1023" s="750">
        <f t="shared" ca="1" si="596"/>
        <v>0</v>
      </c>
      <c r="AP1023" s="126">
        <f t="shared" ca="1" si="597"/>
        <v>0</v>
      </c>
      <c r="AQ1023" s="126">
        <f t="shared" ca="1" si="598"/>
        <v>0</v>
      </c>
      <c r="AR1023" s="126">
        <f t="shared" ca="1" si="578"/>
        <v>10000</v>
      </c>
      <c r="AS1023" s="750">
        <f t="shared" ca="1" si="579"/>
        <v>0</v>
      </c>
      <c r="AT1023" s="750">
        <f t="shared" ca="1" si="580"/>
        <v>0</v>
      </c>
      <c r="AU1023" s="126">
        <f t="shared" ca="1" si="599"/>
        <v>0</v>
      </c>
      <c r="AV1023" s="126">
        <f t="shared" ca="1" si="600"/>
        <v>0</v>
      </c>
      <c r="AW1023" s="126">
        <f t="shared" ca="1" si="581"/>
        <v>10000</v>
      </c>
      <c r="AX1023" s="750">
        <f t="shared" ca="1" si="601"/>
        <v>0</v>
      </c>
      <c r="AY1023" s="750">
        <f t="shared" ca="1" si="602"/>
        <v>0</v>
      </c>
      <c r="AZ1023">
        <f t="shared" si="603"/>
        <v>5750</v>
      </c>
    </row>
    <row r="1024" spans="4:52">
      <c r="D1024">
        <v>1017</v>
      </c>
      <c r="E1024" s="6">
        <f t="shared" ca="1" si="582"/>
        <v>21824</v>
      </c>
      <c r="F1024" s="7">
        <f t="shared" ca="1" si="583"/>
        <v>0</v>
      </c>
      <c r="G1024" s="125">
        <f ca="1">IF('Simulador - 1º Pilar'!$E$99="Sí",IF('Aportaciones PPE'!$B$13&lt;'Aportaciones PPE'!E1024,0,F1024*$B$8/12),F1024*$B$8/12)</f>
        <v>0</v>
      </c>
      <c r="H1024" s="125">
        <f t="shared" ca="1" si="572"/>
        <v>0</v>
      </c>
      <c r="I1024" s="125">
        <f t="shared" ca="1" si="584"/>
        <v>0</v>
      </c>
      <c r="J1024" s="125">
        <f t="shared" ca="1" si="585"/>
        <v>0</v>
      </c>
      <c r="K1024" s="125">
        <f t="shared" ca="1" si="586"/>
        <v>0</v>
      </c>
      <c r="L1024" s="125">
        <f t="shared" ca="1" si="604"/>
        <v>0</v>
      </c>
      <c r="M1024" s="125">
        <f t="shared" ca="1" si="587"/>
        <v>0</v>
      </c>
      <c r="N1024" s="125">
        <f t="shared" ca="1" si="588"/>
        <v>0</v>
      </c>
      <c r="R1024">
        <f t="shared" si="605"/>
        <v>1017</v>
      </c>
      <c r="U1024" s="55"/>
      <c r="V1024">
        <f t="shared" si="606"/>
        <v>10</v>
      </c>
      <c r="W1024">
        <f t="shared" ca="1" si="607"/>
        <v>2108</v>
      </c>
      <c r="X1024" s="123">
        <f t="shared" ca="1" si="589"/>
        <v>76246</v>
      </c>
      <c r="Y1024" s="64">
        <f t="shared" ca="1" si="590"/>
        <v>0</v>
      </c>
      <c r="Z1024" s="64">
        <f t="shared" ca="1" si="591"/>
        <v>0</v>
      </c>
      <c r="AA1024" s="64">
        <f t="shared" ca="1" si="592"/>
        <v>0</v>
      </c>
      <c r="AB1024" s="64">
        <f t="shared" ca="1" si="593"/>
        <v>0</v>
      </c>
      <c r="AF1024" t="str">
        <f t="shared" ca="1" si="573"/>
        <v>101959</v>
      </c>
      <c r="AG1024" s="126">
        <f t="shared" ca="1" si="574"/>
        <v>0</v>
      </c>
      <c r="AH1024" s="126">
        <f t="shared" ca="1" si="575"/>
        <v>0</v>
      </c>
      <c r="AI1024" s="126">
        <f t="shared" ca="1" si="576"/>
        <v>0</v>
      </c>
      <c r="AJ1024" t="str">
        <f t="shared" ca="1" si="577"/>
        <v>102108</v>
      </c>
      <c r="AK1024" s="126">
        <f t="shared" ca="1" si="594"/>
        <v>0</v>
      </c>
      <c r="AL1024" s="126">
        <f t="shared" ca="1" si="595"/>
        <v>0</v>
      </c>
      <c r="AM1024" s="126">
        <f t="shared" ca="1" si="608"/>
        <v>0</v>
      </c>
      <c r="AN1024" s="753">
        <f t="shared" ca="1" si="609"/>
        <v>0</v>
      </c>
      <c r="AO1024" s="750">
        <f t="shared" ca="1" si="596"/>
        <v>0</v>
      </c>
      <c r="AP1024" s="126">
        <f t="shared" ca="1" si="597"/>
        <v>0</v>
      </c>
      <c r="AQ1024" s="126">
        <f t="shared" ca="1" si="598"/>
        <v>0</v>
      </c>
      <c r="AR1024" s="126">
        <f t="shared" ca="1" si="578"/>
        <v>10000</v>
      </c>
      <c r="AS1024" s="750">
        <f t="shared" ca="1" si="579"/>
        <v>0</v>
      </c>
      <c r="AT1024" s="750">
        <f t="shared" ca="1" si="580"/>
        <v>0</v>
      </c>
      <c r="AU1024" s="126">
        <f t="shared" ca="1" si="599"/>
        <v>0</v>
      </c>
      <c r="AV1024" s="126">
        <f t="shared" ca="1" si="600"/>
        <v>0</v>
      </c>
      <c r="AW1024" s="126">
        <f t="shared" ca="1" si="581"/>
        <v>10000</v>
      </c>
      <c r="AX1024" s="750">
        <f t="shared" ca="1" si="601"/>
        <v>0</v>
      </c>
      <c r="AY1024" s="750">
        <f t="shared" ca="1" si="602"/>
        <v>0</v>
      </c>
      <c r="AZ1024">
        <f t="shared" si="603"/>
        <v>5750</v>
      </c>
    </row>
    <row r="1025" spans="4:52">
      <c r="D1025">
        <v>1018</v>
      </c>
      <c r="E1025" s="6">
        <f t="shared" ca="1" si="582"/>
        <v>21794</v>
      </c>
      <c r="F1025" s="7">
        <f t="shared" ca="1" si="583"/>
        <v>0</v>
      </c>
      <c r="G1025" s="125">
        <f ca="1">IF('Simulador - 1º Pilar'!$E$99="Sí",IF('Aportaciones PPE'!$B$13&lt;'Aportaciones PPE'!E1025,0,F1025*$B$8/12),F1025*$B$8/12)</f>
        <v>0</v>
      </c>
      <c r="H1025" s="125">
        <f t="shared" ca="1" si="572"/>
        <v>0</v>
      </c>
      <c r="I1025" s="125">
        <f t="shared" ca="1" si="584"/>
        <v>0</v>
      </c>
      <c r="J1025" s="125">
        <f t="shared" ca="1" si="585"/>
        <v>0</v>
      </c>
      <c r="K1025" s="125">
        <f t="shared" ca="1" si="586"/>
        <v>0</v>
      </c>
      <c r="L1025" s="125">
        <f t="shared" ca="1" si="604"/>
        <v>0</v>
      </c>
      <c r="M1025" s="125">
        <f t="shared" ca="1" si="587"/>
        <v>0</v>
      </c>
      <c r="N1025" s="125">
        <f t="shared" ca="1" si="588"/>
        <v>0</v>
      </c>
      <c r="R1025">
        <f t="shared" si="605"/>
        <v>1018</v>
      </c>
      <c r="U1025" s="55"/>
      <c r="V1025">
        <f t="shared" si="606"/>
        <v>11</v>
      </c>
      <c r="W1025">
        <f t="shared" ca="1" si="607"/>
        <v>2108</v>
      </c>
      <c r="X1025" s="123">
        <f t="shared" ca="1" si="589"/>
        <v>76277</v>
      </c>
      <c r="Y1025" s="64">
        <f t="shared" ca="1" si="590"/>
        <v>0</v>
      </c>
      <c r="Z1025" s="64">
        <f t="shared" ca="1" si="591"/>
        <v>0</v>
      </c>
      <c r="AA1025" s="64">
        <f t="shared" ca="1" si="592"/>
        <v>0</v>
      </c>
      <c r="AB1025" s="64">
        <f t="shared" ca="1" si="593"/>
        <v>0</v>
      </c>
      <c r="AF1025" t="str">
        <f t="shared" ca="1" si="573"/>
        <v>91959</v>
      </c>
      <c r="AG1025" s="126">
        <f t="shared" ca="1" si="574"/>
        <v>0</v>
      </c>
      <c r="AH1025" s="126">
        <f t="shared" ca="1" si="575"/>
        <v>0</v>
      </c>
      <c r="AI1025" s="126">
        <f t="shared" ca="1" si="576"/>
        <v>0</v>
      </c>
      <c r="AJ1025" t="str">
        <f t="shared" ca="1" si="577"/>
        <v>112108</v>
      </c>
      <c r="AK1025" s="126">
        <f t="shared" ca="1" si="594"/>
        <v>0</v>
      </c>
      <c r="AL1025" s="126">
        <f t="shared" ca="1" si="595"/>
        <v>0</v>
      </c>
      <c r="AM1025" s="126">
        <f t="shared" ca="1" si="608"/>
        <v>0</v>
      </c>
      <c r="AN1025" s="753">
        <f t="shared" ca="1" si="609"/>
        <v>0</v>
      </c>
      <c r="AO1025" s="750">
        <f t="shared" ca="1" si="596"/>
        <v>0</v>
      </c>
      <c r="AP1025" s="126">
        <f t="shared" ca="1" si="597"/>
        <v>0</v>
      </c>
      <c r="AQ1025" s="126">
        <f t="shared" ca="1" si="598"/>
        <v>0</v>
      </c>
      <c r="AR1025" s="126">
        <f t="shared" ca="1" si="578"/>
        <v>10000</v>
      </c>
      <c r="AS1025" s="750">
        <f t="shared" ca="1" si="579"/>
        <v>0</v>
      </c>
      <c r="AT1025" s="750">
        <f t="shared" ca="1" si="580"/>
        <v>0</v>
      </c>
      <c r="AU1025" s="126">
        <f t="shared" ca="1" si="599"/>
        <v>0</v>
      </c>
      <c r="AV1025" s="126">
        <f t="shared" ca="1" si="600"/>
        <v>0</v>
      </c>
      <c r="AW1025" s="126">
        <f t="shared" ca="1" si="581"/>
        <v>10000</v>
      </c>
      <c r="AX1025" s="750">
        <f t="shared" ca="1" si="601"/>
        <v>0</v>
      </c>
      <c r="AY1025" s="750">
        <f t="shared" ca="1" si="602"/>
        <v>0</v>
      </c>
      <c r="AZ1025">
        <f t="shared" si="603"/>
        <v>5750</v>
      </c>
    </row>
    <row r="1026" spans="4:52">
      <c r="D1026">
        <v>1019</v>
      </c>
      <c r="E1026" s="6">
        <f t="shared" ca="1" si="582"/>
        <v>21763</v>
      </c>
      <c r="F1026" s="7">
        <f t="shared" ca="1" si="583"/>
        <v>0</v>
      </c>
      <c r="G1026" s="125">
        <f ca="1">IF('Simulador - 1º Pilar'!$E$99="Sí",IF('Aportaciones PPE'!$B$13&lt;'Aportaciones PPE'!E1026,0,F1026*$B$8/12),F1026*$B$8/12)</f>
        <v>0</v>
      </c>
      <c r="H1026" s="125">
        <f t="shared" ca="1" si="572"/>
        <v>0</v>
      </c>
      <c r="I1026" s="125">
        <f t="shared" ca="1" si="584"/>
        <v>0</v>
      </c>
      <c r="J1026" s="125">
        <f t="shared" ca="1" si="585"/>
        <v>0</v>
      </c>
      <c r="K1026" s="125">
        <f t="shared" ca="1" si="586"/>
        <v>0</v>
      </c>
      <c r="L1026" s="125">
        <f t="shared" ca="1" si="604"/>
        <v>0</v>
      </c>
      <c r="M1026" s="125">
        <f t="shared" ca="1" si="587"/>
        <v>0</v>
      </c>
      <c r="N1026" s="125">
        <f t="shared" ca="1" si="588"/>
        <v>0</v>
      </c>
      <c r="R1026">
        <f t="shared" si="605"/>
        <v>1019</v>
      </c>
      <c r="U1026" s="55"/>
      <c r="V1026">
        <f t="shared" si="606"/>
        <v>12</v>
      </c>
      <c r="W1026">
        <f t="shared" ca="1" si="607"/>
        <v>2108</v>
      </c>
      <c r="X1026" s="123">
        <f t="shared" ca="1" si="589"/>
        <v>76307</v>
      </c>
      <c r="Y1026" s="64">
        <f t="shared" ca="1" si="590"/>
        <v>0</v>
      </c>
      <c r="Z1026" s="64">
        <f t="shared" ca="1" si="591"/>
        <v>0</v>
      </c>
      <c r="AA1026" s="64">
        <f t="shared" ca="1" si="592"/>
        <v>0</v>
      </c>
      <c r="AB1026" s="64">
        <f t="shared" ca="1" si="593"/>
        <v>0</v>
      </c>
      <c r="AF1026" t="str">
        <f t="shared" ca="1" si="573"/>
        <v>81959</v>
      </c>
      <c r="AG1026" s="126">
        <f t="shared" ca="1" si="574"/>
        <v>0</v>
      </c>
      <c r="AH1026" s="126">
        <f t="shared" ca="1" si="575"/>
        <v>0</v>
      </c>
      <c r="AI1026" s="126">
        <f t="shared" ca="1" si="576"/>
        <v>0</v>
      </c>
      <c r="AJ1026" t="str">
        <f t="shared" ca="1" si="577"/>
        <v>122108</v>
      </c>
      <c r="AK1026" s="126">
        <f t="shared" ca="1" si="594"/>
        <v>0</v>
      </c>
      <c r="AL1026" s="126">
        <f t="shared" ca="1" si="595"/>
        <v>0</v>
      </c>
      <c r="AM1026" s="126">
        <f t="shared" ca="1" si="608"/>
        <v>0</v>
      </c>
      <c r="AN1026" s="753">
        <f t="shared" ca="1" si="609"/>
        <v>0</v>
      </c>
      <c r="AO1026" s="750">
        <f t="shared" ca="1" si="596"/>
        <v>0</v>
      </c>
      <c r="AP1026" s="126">
        <f t="shared" ca="1" si="597"/>
        <v>0</v>
      </c>
      <c r="AQ1026" s="126">
        <f t="shared" ca="1" si="598"/>
        <v>0</v>
      </c>
      <c r="AR1026" s="126">
        <f t="shared" ca="1" si="578"/>
        <v>10000</v>
      </c>
      <c r="AS1026" s="750">
        <f t="shared" ca="1" si="579"/>
        <v>0</v>
      </c>
      <c r="AT1026" s="750">
        <f t="shared" ca="1" si="580"/>
        <v>0</v>
      </c>
      <c r="AU1026" s="126">
        <f t="shared" ca="1" si="599"/>
        <v>0</v>
      </c>
      <c r="AV1026" s="126">
        <f t="shared" ca="1" si="600"/>
        <v>0</v>
      </c>
      <c r="AW1026" s="126">
        <f t="shared" ca="1" si="581"/>
        <v>10000</v>
      </c>
      <c r="AX1026" s="750">
        <f t="shared" ca="1" si="601"/>
        <v>0</v>
      </c>
      <c r="AY1026" s="750">
        <f t="shared" ca="1" si="602"/>
        <v>0</v>
      </c>
      <c r="AZ1026">
        <f t="shared" si="603"/>
        <v>5750</v>
      </c>
    </row>
    <row r="1027" spans="4:52">
      <c r="D1027">
        <v>1020</v>
      </c>
      <c r="E1027" s="6">
        <f t="shared" ca="1" si="582"/>
        <v>21732</v>
      </c>
      <c r="F1027" s="7">
        <f t="shared" ca="1" si="583"/>
        <v>0</v>
      </c>
      <c r="G1027" s="125">
        <f ca="1">IF('Simulador - 1º Pilar'!$E$99="Sí",IF('Aportaciones PPE'!$B$13&lt;'Aportaciones PPE'!E1027,0,F1027*$B$8/12),F1027*$B$8/12)</f>
        <v>0</v>
      </c>
      <c r="H1027" s="125">
        <f t="shared" ca="1" si="572"/>
        <v>0</v>
      </c>
      <c r="I1027" s="125">
        <f t="shared" ca="1" si="584"/>
        <v>0</v>
      </c>
      <c r="J1027" s="125">
        <f t="shared" ca="1" si="585"/>
        <v>0</v>
      </c>
      <c r="K1027" s="125">
        <f t="shared" ca="1" si="586"/>
        <v>0</v>
      </c>
      <c r="L1027" s="125">
        <f t="shared" ca="1" si="604"/>
        <v>0</v>
      </c>
      <c r="M1027" s="125">
        <f t="shared" ca="1" si="587"/>
        <v>0</v>
      </c>
      <c r="N1027" s="125">
        <f t="shared" ca="1" si="588"/>
        <v>0</v>
      </c>
      <c r="R1027">
        <f t="shared" si="605"/>
        <v>1020</v>
      </c>
      <c r="U1027" s="55"/>
      <c r="V1027">
        <f t="shared" si="606"/>
        <v>1</v>
      </c>
      <c r="W1027">
        <f t="shared" ca="1" si="607"/>
        <v>2109</v>
      </c>
      <c r="X1027" s="123">
        <f t="shared" ca="1" si="589"/>
        <v>76338</v>
      </c>
      <c r="Y1027" s="64">
        <f t="shared" ca="1" si="590"/>
        <v>0</v>
      </c>
      <c r="Z1027" s="64">
        <f t="shared" ca="1" si="591"/>
        <v>0</v>
      </c>
      <c r="AA1027" s="64">
        <f t="shared" ca="1" si="592"/>
        <v>0</v>
      </c>
      <c r="AB1027" s="64">
        <f t="shared" ca="1" si="593"/>
        <v>0</v>
      </c>
      <c r="AF1027" t="str">
        <f t="shared" ca="1" si="573"/>
        <v>71959</v>
      </c>
      <c r="AG1027" s="126">
        <f t="shared" ca="1" si="574"/>
        <v>0</v>
      </c>
      <c r="AH1027" s="126">
        <f t="shared" ca="1" si="575"/>
        <v>0</v>
      </c>
      <c r="AI1027" s="126">
        <f t="shared" ca="1" si="576"/>
        <v>0</v>
      </c>
      <c r="AJ1027" t="str">
        <f t="shared" ca="1" si="577"/>
        <v>12109</v>
      </c>
      <c r="AK1027" s="126">
        <f t="shared" ca="1" si="594"/>
        <v>0</v>
      </c>
      <c r="AL1027" s="126">
        <f t="shared" ca="1" si="595"/>
        <v>0</v>
      </c>
      <c r="AM1027" s="126">
        <f t="shared" ca="1" si="608"/>
        <v>0</v>
      </c>
      <c r="AN1027" s="753">
        <f t="shared" ca="1" si="609"/>
        <v>0</v>
      </c>
      <c r="AO1027" s="750">
        <f t="shared" ca="1" si="596"/>
        <v>0</v>
      </c>
      <c r="AP1027" s="126">
        <f t="shared" ca="1" si="597"/>
        <v>0</v>
      </c>
      <c r="AQ1027" s="126">
        <f t="shared" ca="1" si="598"/>
        <v>0</v>
      </c>
      <c r="AR1027" s="126">
        <f t="shared" ca="1" si="578"/>
        <v>10000</v>
      </c>
      <c r="AS1027" s="750">
        <f t="shared" ca="1" si="579"/>
        <v>0</v>
      </c>
      <c r="AT1027" s="750">
        <f t="shared" ca="1" si="580"/>
        <v>0</v>
      </c>
      <c r="AU1027" s="126">
        <f t="shared" ca="1" si="599"/>
        <v>0</v>
      </c>
      <c r="AV1027" s="126">
        <f t="shared" ca="1" si="600"/>
        <v>0</v>
      </c>
      <c r="AW1027" s="126">
        <f t="shared" ca="1" si="581"/>
        <v>10000</v>
      </c>
      <c r="AX1027" s="750">
        <f t="shared" ca="1" si="601"/>
        <v>0</v>
      </c>
      <c r="AY1027" s="750">
        <f t="shared" ca="1" si="602"/>
        <v>0</v>
      </c>
      <c r="AZ1027">
        <f t="shared" si="603"/>
        <v>5750</v>
      </c>
    </row>
    <row r="1028" spans="4:52">
      <c r="D1028">
        <v>1021</v>
      </c>
      <c r="E1028" s="6">
        <f t="shared" ca="1" si="582"/>
        <v>21702</v>
      </c>
      <c r="F1028" s="7">
        <f t="shared" ca="1" si="583"/>
        <v>0</v>
      </c>
      <c r="G1028" s="125">
        <f ca="1">IF('Simulador - 1º Pilar'!$E$99="Sí",IF('Aportaciones PPE'!$B$13&lt;'Aportaciones PPE'!E1028,0,F1028*$B$8/12),F1028*$B$8/12)</f>
        <v>0</v>
      </c>
      <c r="H1028" s="125">
        <f t="shared" ca="1" si="572"/>
        <v>0</v>
      </c>
      <c r="I1028" s="125">
        <f t="shared" ca="1" si="584"/>
        <v>0</v>
      </c>
      <c r="J1028" s="125">
        <f t="shared" ca="1" si="585"/>
        <v>0</v>
      </c>
      <c r="K1028" s="125">
        <f t="shared" ca="1" si="586"/>
        <v>0</v>
      </c>
      <c r="L1028" s="125">
        <f t="shared" ca="1" si="604"/>
        <v>0</v>
      </c>
      <c r="M1028" s="125">
        <f t="shared" ca="1" si="587"/>
        <v>0</v>
      </c>
      <c r="N1028" s="125">
        <f t="shared" ca="1" si="588"/>
        <v>0</v>
      </c>
      <c r="R1028">
        <f t="shared" si="605"/>
        <v>1021</v>
      </c>
      <c r="U1028" s="55"/>
      <c r="V1028">
        <f t="shared" si="606"/>
        <v>2</v>
      </c>
      <c r="W1028">
        <f t="shared" ca="1" si="607"/>
        <v>2109</v>
      </c>
      <c r="X1028" s="123">
        <f t="shared" ca="1" si="589"/>
        <v>76369</v>
      </c>
      <c r="Y1028" s="64">
        <f t="shared" ca="1" si="590"/>
        <v>0</v>
      </c>
      <c r="Z1028" s="64">
        <f t="shared" ca="1" si="591"/>
        <v>0</v>
      </c>
      <c r="AA1028" s="64">
        <f t="shared" ca="1" si="592"/>
        <v>0</v>
      </c>
      <c r="AB1028" s="64">
        <f t="shared" ca="1" si="593"/>
        <v>0</v>
      </c>
      <c r="AF1028" t="str">
        <f t="shared" ca="1" si="573"/>
        <v>61959</v>
      </c>
      <c r="AG1028" s="126">
        <f t="shared" ca="1" si="574"/>
        <v>0</v>
      </c>
      <c r="AH1028" s="126">
        <f t="shared" ca="1" si="575"/>
        <v>0</v>
      </c>
      <c r="AI1028" s="126">
        <f t="shared" ca="1" si="576"/>
        <v>0</v>
      </c>
      <c r="AJ1028" t="str">
        <f t="shared" ca="1" si="577"/>
        <v>22109</v>
      </c>
      <c r="AK1028" s="126">
        <f t="shared" ca="1" si="594"/>
        <v>0</v>
      </c>
      <c r="AL1028" s="126">
        <f t="shared" ca="1" si="595"/>
        <v>0</v>
      </c>
      <c r="AM1028" s="126">
        <f t="shared" ca="1" si="608"/>
        <v>0</v>
      </c>
      <c r="AN1028" s="753">
        <f t="shared" ca="1" si="609"/>
        <v>0</v>
      </c>
      <c r="AO1028" s="750">
        <f t="shared" ca="1" si="596"/>
        <v>0</v>
      </c>
      <c r="AP1028" s="126">
        <f t="shared" ca="1" si="597"/>
        <v>0</v>
      </c>
      <c r="AQ1028" s="126">
        <f t="shared" ca="1" si="598"/>
        <v>0</v>
      </c>
      <c r="AR1028" s="126">
        <f t="shared" ca="1" si="578"/>
        <v>10000</v>
      </c>
      <c r="AS1028" s="750">
        <f t="shared" ca="1" si="579"/>
        <v>0</v>
      </c>
      <c r="AT1028" s="750">
        <f t="shared" ca="1" si="580"/>
        <v>0</v>
      </c>
      <c r="AU1028" s="126">
        <f t="shared" ca="1" si="599"/>
        <v>0</v>
      </c>
      <c r="AV1028" s="126">
        <f t="shared" ca="1" si="600"/>
        <v>0</v>
      </c>
      <c r="AW1028" s="126">
        <f t="shared" ca="1" si="581"/>
        <v>10000</v>
      </c>
      <c r="AX1028" s="750">
        <f t="shared" ca="1" si="601"/>
        <v>0</v>
      </c>
      <c r="AY1028" s="750">
        <f t="shared" ca="1" si="602"/>
        <v>0</v>
      </c>
      <c r="AZ1028">
        <f t="shared" si="603"/>
        <v>5750</v>
      </c>
    </row>
    <row r="1029" spans="4:52">
      <c r="D1029">
        <v>1022</v>
      </c>
      <c r="E1029" s="6">
        <f t="shared" ca="1" si="582"/>
        <v>21671</v>
      </c>
      <c r="F1029" s="7">
        <f t="shared" ca="1" si="583"/>
        <v>0</v>
      </c>
      <c r="G1029" s="125">
        <f ca="1">IF('Simulador - 1º Pilar'!$E$99="Sí",IF('Aportaciones PPE'!$B$13&lt;'Aportaciones PPE'!E1029,0,F1029*$B$8/12),F1029*$B$8/12)</f>
        <v>0</v>
      </c>
      <c r="H1029" s="125">
        <f t="shared" ca="1" si="572"/>
        <v>0</v>
      </c>
      <c r="I1029" s="125">
        <f t="shared" ca="1" si="584"/>
        <v>0</v>
      </c>
      <c r="J1029" s="125">
        <f t="shared" ca="1" si="585"/>
        <v>0</v>
      </c>
      <c r="K1029" s="125">
        <f t="shared" ca="1" si="586"/>
        <v>0</v>
      </c>
      <c r="L1029" s="125">
        <f t="shared" ca="1" si="604"/>
        <v>0</v>
      </c>
      <c r="M1029" s="125">
        <f t="shared" ca="1" si="587"/>
        <v>0</v>
      </c>
      <c r="N1029" s="125">
        <f t="shared" ca="1" si="588"/>
        <v>0</v>
      </c>
      <c r="R1029">
        <f t="shared" si="605"/>
        <v>1022</v>
      </c>
      <c r="U1029" s="55"/>
      <c r="V1029">
        <f t="shared" si="606"/>
        <v>3</v>
      </c>
      <c r="W1029">
        <f t="shared" ca="1" si="607"/>
        <v>2109</v>
      </c>
      <c r="X1029" s="123">
        <f t="shared" ca="1" si="589"/>
        <v>76397</v>
      </c>
      <c r="Y1029" s="64">
        <f t="shared" ca="1" si="590"/>
        <v>0</v>
      </c>
      <c r="Z1029" s="64">
        <f t="shared" ca="1" si="591"/>
        <v>0</v>
      </c>
      <c r="AA1029" s="64">
        <f t="shared" ca="1" si="592"/>
        <v>0</v>
      </c>
      <c r="AB1029" s="64">
        <f t="shared" ca="1" si="593"/>
        <v>0</v>
      </c>
      <c r="AF1029" t="str">
        <f t="shared" ca="1" si="573"/>
        <v>51959</v>
      </c>
      <c r="AG1029" s="126">
        <f t="shared" ca="1" si="574"/>
        <v>0</v>
      </c>
      <c r="AH1029" s="126">
        <f t="shared" ca="1" si="575"/>
        <v>0</v>
      </c>
      <c r="AI1029" s="126">
        <f t="shared" ca="1" si="576"/>
        <v>0</v>
      </c>
      <c r="AJ1029" t="str">
        <f t="shared" ca="1" si="577"/>
        <v>32109</v>
      </c>
      <c r="AK1029" s="126">
        <f t="shared" ca="1" si="594"/>
        <v>0</v>
      </c>
      <c r="AL1029" s="126">
        <f t="shared" ca="1" si="595"/>
        <v>0</v>
      </c>
      <c r="AM1029" s="126">
        <f t="shared" ca="1" si="608"/>
        <v>0</v>
      </c>
      <c r="AN1029" s="753">
        <f t="shared" ca="1" si="609"/>
        <v>0</v>
      </c>
      <c r="AO1029" s="750">
        <f t="shared" ca="1" si="596"/>
        <v>0</v>
      </c>
      <c r="AP1029" s="126">
        <f t="shared" ca="1" si="597"/>
        <v>0</v>
      </c>
      <c r="AQ1029" s="126">
        <f t="shared" ca="1" si="598"/>
        <v>0</v>
      </c>
      <c r="AR1029" s="126">
        <f t="shared" ca="1" si="578"/>
        <v>10000</v>
      </c>
      <c r="AS1029" s="750">
        <f t="shared" ca="1" si="579"/>
        <v>0</v>
      </c>
      <c r="AT1029" s="750">
        <f t="shared" ca="1" si="580"/>
        <v>0</v>
      </c>
      <c r="AU1029" s="126">
        <f t="shared" ca="1" si="599"/>
        <v>0</v>
      </c>
      <c r="AV1029" s="126">
        <f t="shared" ca="1" si="600"/>
        <v>0</v>
      </c>
      <c r="AW1029" s="126">
        <f t="shared" ca="1" si="581"/>
        <v>10000</v>
      </c>
      <c r="AX1029" s="750">
        <f t="shared" ca="1" si="601"/>
        <v>0</v>
      </c>
      <c r="AY1029" s="750">
        <f t="shared" ca="1" si="602"/>
        <v>0</v>
      </c>
      <c r="AZ1029">
        <f t="shared" si="603"/>
        <v>5750</v>
      </c>
    </row>
    <row r="1030" spans="4:52">
      <c r="D1030">
        <v>1023</v>
      </c>
      <c r="E1030" s="6">
        <f t="shared" ca="1" si="582"/>
        <v>21641</v>
      </c>
      <c r="F1030" s="7">
        <f t="shared" ca="1" si="583"/>
        <v>0</v>
      </c>
      <c r="G1030" s="125">
        <f ca="1">IF('Simulador - 1º Pilar'!$E$99="Sí",IF('Aportaciones PPE'!$B$13&lt;'Aportaciones PPE'!E1030,0,F1030*$B$8/12),F1030*$B$8/12)</f>
        <v>0</v>
      </c>
      <c r="H1030" s="125">
        <f t="shared" ca="1" si="572"/>
        <v>0</v>
      </c>
      <c r="I1030" s="125">
        <f t="shared" ca="1" si="584"/>
        <v>0</v>
      </c>
      <c r="J1030" s="125">
        <f t="shared" ca="1" si="585"/>
        <v>0</v>
      </c>
      <c r="K1030" s="125">
        <f t="shared" ca="1" si="586"/>
        <v>0</v>
      </c>
      <c r="L1030" s="125">
        <f t="shared" ca="1" si="604"/>
        <v>0</v>
      </c>
      <c r="M1030" s="125">
        <f t="shared" ca="1" si="587"/>
        <v>0</v>
      </c>
      <c r="N1030" s="125">
        <f t="shared" ca="1" si="588"/>
        <v>0</v>
      </c>
      <c r="R1030">
        <f t="shared" si="605"/>
        <v>1023</v>
      </c>
      <c r="U1030" s="55"/>
      <c r="V1030">
        <f t="shared" si="606"/>
        <v>4</v>
      </c>
      <c r="W1030">
        <f t="shared" ca="1" si="607"/>
        <v>2109</v>
      </c>
      <c r="X1030" s="123">
        <f t="shared" ca="1" si="589"/>
        <v>76428</v>
      </c>
      <c r="Y1030" s="64">
        <f t="shared" ca="1" si="590"/>
        <v>0</v>
      </c>
      <c r="Z1030" s="64">
        <f t="shared" ca="1" si="591"/>
        <v>0</v>
      </c>
      <c r="AA1030" s="64">
        <f t="shared" ca="1" si="592"/>
        <v>0</v>
      </c>
      <c r="AB1030" s="64">
        <f t="shared" ca="1" si="593"/>
        <v>0</v>
      </c>
      <c r="AF1030" t="str">
        <f t="shared" ca="1" si="573"/>
        <v>41959</v>
      </c>
      <c r="AG1030" s="126">
        <f t="shared" ca="1" si="574"/>
        <v>0</v>
      </c>
      <c r="AH1030" s="126">
        <f t="shared" ca="1" si="575"/>
        <v>0</v>
      </c>
      <c r="AI1030" s="126">
        <f t="shared" ca="1" si="576"/>
        <v>0</v>
      </c>
      <c r="AJ1030" t="str">
        <f t="shared" ca="1" si="577"/>
        <v>42109</v>
      </c>
      <c r="AK1030" s="126">
        <f t="shared" ca="1" si="594"/>
        <v>0</v>
      </c>
      <c r="AL1030" s="126">
        <f t="shared" ca="1" si="595"/>
        <v>0</v>
      </c>
      <c r="AM1030" s="126">
        <f t="shared" ca="1" si="608"/>
        <v>0</v>
      </c>
      <c r="AN1030" s="753">
        <f t="shared" ca="1" si="609"/>
        <v>0</v>
      </c>
      <c r="AO1030" s="750">
        <f t="shared" ca="1" si="596"/>
        <v>0</v>
      </c>
      <c r="AP1030" s="126">
        <f t="shared" ca="1" si="597"/>
        <v>0</v>
      </c>
      <c r="AQ1030" s="126">
        <f t="shared" ca="1" si="598"/>
        <v>0</v>
      </c>
      <c r="AR1030" s="126">
        <f t="shared" ca="1" si="578"/>
        <v>10000</v>
      </c>
      <c r="AS1030" s="750">
        <f t="shared" ca="1" si="579"/>
        <v>0</v>
      </c>
      <c r="AT1030" s="750">
        <f t="shared" ca="1" si="580"/>
        <v>0</v>
      </c>
      <c r="AU1030" s="126">
        <f t="shared" ca="1" si="599"/>
        <v>0</v>
      </c>
      <c r="AV1030" s="126">
        <f t="shared" ca="1" si="600"/>
        <v>0</v>
      </c>
      <c r="AW1030" s="126">
        <f t="shared" ca="1" si="581"/>
        <v>10000</v>
      </c>
      <c r="AX1030" s="750">
        <f t="shared" ca="1" si="601"/>
        <v>0</v>
      </c>
      <c r="AY1030" s="750">
        <f t="shared" ca="1" si="602"/>
        <v>0</v>
      </c>
      <c r="AZ1030">
        <f t="shared" si="603"/>
        <v>5750</v>
      </c>
    </row>
    <row r="1031" spans="4:52">
      <c r="D1031">
        <v>1024</v>
      </c>
      <c r="E1031" s="6">
        <f t="shared" ca="1" si="582"/>
        <v>21610</v>
      </c>
      <c r="F1031" s="7">
        <f t="shared" ca="1" si="583"/>
        <v>0</v>
      </c>
      <c r="G1031" s="125">
        <f ca="1">IF('Simulador - 1º Pilar'!$E$99="Sí",IF('Aportaciones PPE'!$B$13&lt;'Aportaciones PPE'!E1031,0,F1031*$B$8/12),F1031*$B$8/12)</f>
        <v>0</v>
      </c>
      <c r="H1031" s="125">
        <f t="shared" ref="H1031:H1066" ca="1" si="610">$H$5*G1031</f>
        <v>0</v>
      </c>
      <c r="I1031" s="125">
        <f t="shared" ca="1" si="584"/>
        <v>0</v>
      </c>
      <c r="J1031" s="125">
        <f t="shared" ca="1" si="585"/>
        <v>0</v>
      </c>
      <c r="K1031" s="125">
        <f t="shared" ca="1" si="586"/>
        <v>0</v>
      </c>
      <c r="L1031" s="125">
        <f t="shared" ca="1" si="604"/>
        <v>0</v>
      </c>
      <c r="M1031" s="125">
        <f t="shared" ca="1" si="587"/>
        <v>0</v>
      </c>
      <c r="N1031" s="125">
        <f t="shared" ca="1" si="588"/>
        <v>0</v>
      </c>
      <c r="R1031">
        <f t="shared" si="605"/>
        <v>1024</v>
      </c>
      <c r="U1031" s="55"/>
      <c r="V1031">
        <f t="shared" si="606"/>
        <v>5</v>
      </c>
      <c r="W1031">
        <f t="shared" ca="1" si="607"/>
        <v>2109</v>
      </c>
      <c r="X1031" s="123">
        <f t="shared" ca="1" si="589"/>
        <v>76458</v>
      </c>
      <c r="Y1031" s="64">
        <f t="shared" ca="1" si="590"/>
        <v>0</v>
      </c>
      <c r="Z1031" s="64">
        <f t="shared" ca="1" si="591"/>
        <v>0</v>
      </c>
      <c r="AA1031" s="64">
        <f t="shared" ca="1" si="592"/>
        <v>0</v>
      </c>
      <c r="AB1031" s="64">
        <f t="shared" ca="1" si="593"/>
        <v>0</v>
      </c>
      <c r="AF1031" t="str">
        <f t="shared" ref="AF1031:AF1066" ca="1" si="611">+MONTH(E1031)&amp;YEAR(E1031)</f>
        <v>31959</v>
      </c>
      <c r="AG1031" s="126">
        <f t="shared" ref="AG1031:AG1066" ca="1" si="612">+I1031</f>
        <v>0</v>
      </c>
      <c r="AH1031" s="126">
        <f t="shared" ref="AH1031:AH1066" ca="1" si="613">+J1031</f>
        <v>0</v>
      </c>
      <c r="AI1031" s="126">
        <f t="shared" ref="AI1031:AI1066" ca="1" si="614">+H1031</f>
        <v>0</v>
      </c>
      <c r="AJ1031" t="str">
        <f t="shared" ref="AJ1031:AJ1066" ca="1" si="615">+V1031&amp;W1031</f>
        <v>52109</v>
      </c>
      <c r="AK1031" s="126">
        <f t="shared" ca="1" si="594"/>
        <v>0</v>
      </c>
      <c r="AL1031" s="126">
        <f t="shared" ca="1" si="595"/>
        <v>0</v>
      </c>
      <c r="AM1031" s="126">
        <f t="shared" ca="1" si="608"/>
        <v>0</v>
      </c>
      <c r="AN1031" s="753">
        <f t="shared" ca="1" si="609"/>
        <v>0</v>
      </c>
      <c r="AO1031" s="750">
        <f t="shared" ca="1" si="596"/>
        <v>0</v>
      </c>
      <c r="AP1031" s="126">
        <f t="shared" ca="1" si="597"/>
        <v>0</v>
      </c>
      <c r="AQ1031" s="126">
        <f t="shared" ca="1" si="598"/>
        <v>0</v>
      </c>
      <c r="AR1031" s="126">
        <f t="shared" ref="AR1031:AR1066" ca="1" si="616">+MAX($AM$2-SUMIF($W$7:$W$1066,W1031,$AN$7:$AN$1066),0)</f>
        <v>10000</v>
      </c>
      <c r="AS1031" s="750">
        <f t="shared" ref="AS1031:AS1066" ca="1" si="617">+MAX(IF(AQ1031&gt;AR1031,AR1031-AQ1030,AP1031),0)</f>
        <v>0</v>
      </c>
      <c r="AT1031" s="750">
        <f t="shared" ref="AT1031:AT1066" ca="1" si="618">+AP1031-AS1031</f>
        <v>0</v>
      </c>
      <c r="AU1031" s="126">
        <f t="shared" ca="1" si="599"/>
        <v>0</v>
      </c>
      <c r="AV1031" s="126">
        <f t="shared" ca="1" si="600"/>
        <v>0</v>
      </c>
      <c r="AW1031" s="126">
        <f t="shared" ref="AW1031:AW1066" ca="1" si="619">+MAX($AM$2-SUMIF($W$7:$W$1066,W1031,$AN$7:$AN$1066)-SUMIF($W$7:$W$1066,W1031,$AS$7:$AS$1066),0)</f>
        <v>10000</v>
      </c>
      <c r="AX1031" s="750">
        <f t="shared" ca="1" si="601"/>
        <v>0</v>
      </c>
      <c r="AY1031" s="750">
        <f t="shared" ca="1" si="602"/>
        <v>0</v>
      </c>
      <c r="AZ1031">
        <f t="shared" si="603"/>
        <v>5750</v>
      </c>
    </row>
    <row r="1032" spans="4:52">
      <c r="D1032">
        <v>1025</v>
      </c>
      <c r="E1032" s="6">
        <f t="shared" ref="E1032:E1066" ca="1" si="620">+DATE(YEAR(E1031),MONTH(E1031)-1,DAY(E1031))</f>
        <v>21582</v>
      </c>
      <c r="F1032" s="7">
        <f t="shared" ref="F1032:F1066" ca="1" si="621">IF(DATE(YEAR($B$6),MONTH($B$6)+1,DAY(1))=E1032,1,IF(MONTH(E1032)=1,F1033*(1+$F$5),F1033))</f>
        <v>0</v>
      </c>
      <c r="G1032" s="125">
        <f ca="1">IF('Simulador - 1º Pilar'!$E$99="Sí",IF('Aportaciones PPE'!$B$13&lt;'Aportaciones PPE'!E1032,0,F1032*$B$8/12),F1032*$B$8/12)</f>
        <v>0</v>
      </c>
      <c r="H1032" s="125">
        <f t="shared" ca="1" si="610"/>
        <v>0</v>
      </c>
      <c r="I1032" s="125">
        <f t="shared" ref="I1032:I1066" ca="1" si="622">$I$5*G1032</f>
        <v>0</v>
      </c>
      <c r="J1032" s="125">
        <f t="shared" ref="J1032:J1066" ca="1" si="623">+I1032</f>
        <v>0</v>
      </c>
      <c r="K1032" s="125">
        <f t="shared" ref="K1032:K1066" ca="1" si="624">(1+$O$5)^(D1032/12)*(H1032+IF(AND(F1032=1,F1033=0),$S$4,0))</f>
        <v>0</v>
      </c>
      <c r="L1032" s="125">
        <f t="shared" ca="1" si="604"/>
        <v>0</v>
      </c>
      <c r="M1032" s="125">
        <f t="shared" ref="M1032:M1066" ca="1" si="625">+L1032</f>
        <v>0</v>
      </c>
      <c r="N1032" s="125">
        <f t="shared" ref="N1032:N1066" ca="1" si="626">L1032+K1032+M1032</f>
        <v>0</v>
      </c>
      <c r="R1032">
        <f t="shared" si="605"/>
        <v>1025</v>
      </c>
      <c r="U1032" s="55"/>
      <c r="V1032">
        <f t="shared" si="606"/>
        <v>6</v>
      </c>
      <c r="W1032">
        <f t="shared" ca="1" si="607"/>
        <v>2109</v>
      </c>
      <c r="X1032" s="123">
        <f t="shared" ref="X1032:X1066" ca="1" si="627">+DATE(W1032,V1032,1)</f>
        <v>76489</v>
      </c>
      <c r="Y1032" s="64">
        <f t="shared" ref="Y1032:Y1066" ca="1" si="628">+_xlfn.IFNA(AN1032+AS1032+AX1032,0)</f>
        <v>0</v>
      </c>
      <c r="Z1032" s="64">
        <f t="shared" ref="Z1032:Z1066" ca="1" si="629">+_xlfn.IFNA(AO1032+AT1032+AY1032,0)</f>
        <v>0</v>
      </c>
      <c r="AA1032" s="64">
        <f t="shared" ref="AA1032:AA1066" ca="1" si="630">Y1032*(1+$O$5)^(($B$7-X1032)/365.25)</f>
        <v>0</v>
      </c>
      <c r="AB1032" s="64">
        <f t="shared" ref="AB1032:AB1066" ca="1" si="631">Z1032*(1+$O$5)^(($B$7-X1032)/365.25)</f>
        <v>0</v>
      </c>
      <c r="AF1032" t="str">
        <f t="shared" ca="1" si="611"/>
        <v>21959</v>
      </c>
      <c r="AG1032" s="126">
        <f t="shared" ca="1" si="612"/>
        <v>0</v>
      </c>
      <c r="AH1032" s="126">
        <f t="shared" ca="1" si="613"/>
        <v>0</v>
      </c>
      <c r="AI1032" s="126">
        <f t="shared" ca="1" si="614"/>
        <v>0</v>
      </c>
      <c r="AJ1032" t="str">
        <f t="shared" ca="1" si="615"/>
        <v>62109</v>
      </c>
      <c r="AK1032" s="126">
        <f t="shared" ref="AK1032:AK1066" ca="1" si="632">+_xlfn.IFNA(VLOOKUP(AJ1032,$AF$7:$AG$1066,2,0),0)</f>
        <v>0</v>
      </c>
      <c r="AL1032" s="126">
        <f t="shared" ref="AL1032:AL1066" ca="1" si="633">+IF(W1032&gt;W1031,AK1032,AL1031+AK1032)</f>
        <v>0</v>
      </c>
      <c r="AM1032" s="126">
        <f t="shared" ca="1" si="608"/>
        <v>0</v>
      </c>
      <c r="AN1032" s="753">
        <f t="shared" ca="1" si="609"/>
        <v>0</v>
      </c>
      <c r="AO1032" s="750">
        <f t="shared" ref="AO1032:AO1066" ca="1" si="634">+AK1032-AN1032</f>
        <v>0</v>
      </c>
      <c r="AP1032" s="126">
        <f t="shared" ref="AP1032:AP1066" ca="1" si="635">+_xlfn.IFNA(VLOOKUP(AJ1032,$AF$7:$AI$1066,3,0),0)</f>
        <v>0</v>
      </c>
      <c r="AQ1032" s="126">
        <f t="shared" ref="AQ1032:AQ1066" ca="1" si="636">+IF(W1032&gt;W1031,AP1032,AQ1031+AP1032)</f>
        <v>0</v>
      </c>
      <c r="AR1032" s="126">
        <f t="shared" ca="1" si="616"/>
        <v>10000</v>
      </c>
      <c r="AS1032" s="750">
        <f t="shared" ca="1" si="617"/>
        <v>0</v>
      </c>
      <c r="AT1032" s="750">
        <f t="shared" ca="1" si="618"/>
        <v>0</v>
      </c>
      <c r="AU1032" s="126">
        <f t="shared" ref="AU1032:AU1066" ca="1" si="637">+_xlfn.IFNA(VLOOKUP(AJ1032,$AF$7:$AI$1066,4,0),0)</f>
        <v>0</v>
      </c>
      <c r="AV1032" s="126">
        <f t="shared" ref="AV1032:AV1066" ca="1" si="638">+IF(W1032&gt;W1031,AU1032,AV1031+AU1032)</f>
        <v>0</v>
      </c>
      <c r="AW1032" s="126">
        <f t="shared" ca="1" si="619"/>
        <v>10000</v>
      </c>
      <c r="AX1032" s="750">
        <f t="shared" ref="AX1032:AX1066" ca="1" si="639">+MAX(IF(AV1032&gt;AW1032,AW1032-AV1031,AU1032),0)</f>
        <v>0</v>
      </c>
      <c r="AY1032" s="750">
        <f t="shared" ref="AY1032:AY1066" ca="1" si="640">+AU1032-AX1032</f>
        <v>0</v>
      </c>
      <c r="AZ1032">
        <f t="shared" ref="AZ1032:AZ1066" si="641">+$AM$1+IF($AP$1&gt;$AP$2,$AM$3/2)</f>
        <v>5750</v>
      </c>
    </row>
    <row r="1033" spans="4:52">
      <c r="D1033">
        <v>1026</v>
      </c>
      <c r="E1033" s="6">
        <f t="shared" ca="1" si="620"/>
        <v>21551</v>
      </c>
      <c r="F1033" s="7">
        <f t="shared" ca="1" si="621"/>
        <v>0</v>
      </c>
      <c r="G1033" s="125">
        <f ca="1">IF('Simulador - 1º Pilar'!$E$99="Sí",IF('Aportaciones PPE'!$B$13&lt;'Aportaciones PPE'!E1033,0,F1033*$B$8/12),F1033*$B$8/12)</f>
        <v>0</v>
      </c>
      <c r="H1033" s="125">
        <f t="shared" ca="1" si="610"/>
        <v>0</v>
      </c>
      <c r="I1033" s="125">
        <f t="shared" ca="1" si="622"/>
        <v>0</v>
      </c>
      <c r="J1033" s="125">
        <f t="shared" ca="1" si="623"/>
        <v>0</v>
      </c>
      <c r="K1033" s="125">
        <f t="shared" ca="1" si="624"/>
        <v>0</v>
      </c>
      <c r="L1033" s="125">
        <f t="shared" ref="L1033:L1066" ca="1" si="642">(1+$O$5)^(D1033/12)*(I1033+IF(AND(F1033=1,F1034=0),0))</f>
        <v>0</v>
      </c>
      <c r="M1033" s="125">
        <f t="shared" ca="1" si="625"/>
        <v>0</v>
      </c>
      <c r="N1033" s="125">
        <f t="shared" ca="1" si="626"/>
        <v>0</v>
      </c>
      <c r="R1033">
        <f t="shared" ref="R1033:R1066" si="643">D1033</f>
        <v>1026</v>
      </c>
      <c r="U1033" s="55"/>
      <c r="V1033">
        <f t="shared" ref="V1033:V1066" si="644">+IF(V1032=11,12,IF(V1032=12,1,V1032+1))</f>
        <v>7</v>
      </c>
      <c r="W1033">
        <f t="shared" ref="W1033:W1066" ca="1" si="645">+W1032+IF(V1032=12,1,0)</f>
        <v>2109</v>
      </c>
      <c r="X1033" s="123">
        <f t="shared" ca="1" si="627"/>
        <v>76519</v>
      </c>
      <c r="Y1033" s="64">
        <f t="shared" ca="1" si="628"/>
        <v>0</v>
      </c>
      <c r="Z1033" s="64">
        <f t="shared" ca="1" si="629"/>
        <v>0</v>
      </c>
      <c r="AA1033" s="64">
        <f t="shared" ca="1" si="630"/>
        <v>0</v>
      </c>
      <c r="AB1033" s="64">
        <f t="shared" ca="1" si="631"/>
        <v>0</v>
      </c>
      <c r="AF1033" t="str">
        <f t="shared" ca="1" si="611"/>
        <v>11959</v>
      </c>
      <c r="AG1033" s="126">
        <f t="shared" ca="1" si="612"/>
        <v>0</v>
      </c>
      <c r="AH1033" s="126">
        <f t="shared" ca="1" si="613"/>
        <v>0</v>
      </c>
      <c r="AI1033" s="126">
        <f t="shared" ca="1" si="614"/>
        <v>0</v>
      </c>
      <c r="AJ1033" t="str">
        <f t="shared" ca="1" si="615"/>
        <v>72109</v>
      </c>
      <c r="AK1033" s="126">
        <f t="shared" ca="1" si="632"/>
        <v>0</v>
      </c>
      <c r="AL1033" s="126">
        <f t="shared" ca="1" si="633"/>
        <v>0</v>
      </c>
      <c r="AM1033" s="126">
        <f t="shared" ref="AM1033:AM1066" ca="1" si="646">IF(W1033&gt;W1032,IF(AL1033&gt;=$AZ$8,$AZ$8,AL1033),IF(OR(AM1032=$AZ$8,AM1032=0),0,IF(AL1033&gt;=$AZ$8,$AZ$8,AL1033)))</f>
        <v>0</v>
      </c>
      <c r="AN1033" s="753">
        <f t="shared" ref="AN1033:AN1066" ca="1" si="647">+IF(OR(AM1033&gt;AZ1032,AM1033=0),0,IF(AM1033=AL1033,AK1033,$AZ$7-AL1032))</f>
        <v>0</v>
      </c>
      <c r="AO1033" s="750">
        <f t="shared" ca="1" si="634"/>
        <v>0</v>
      </c>
      <c r="AP1033" s="126">
        <f t="shared" ca="1" si="635"/>
        <v>0</v>
      </c>
      <c r="AQ1033" s="126">
        <f t="shared" ca="1" si="636"/>
        <v>0</v>
      </c>
      <c r="AR1033" s="126">
        <f t="shared" ca="1" si="616"/>
        <v>10000</v>
      </c>
      <c r="AS1033" s="750">
        <f t="shared" ca="1" si="617"/>
        <v>0</v>
      </c>
      <c r="AT1033" s="750">
        <f t="shared" ca="1" si="618"/>
        <v>0</v>
      </c>
      <c r="AU1033" s="126">
        <f t="shared" ca="1" si="637"/>
        <v>0</v>
      </c>
      <c r="AV1033" s="126">
        <f t="shared" ca="1" si="638"/>
        <v>0</v>
      </c>
      <c r="AW1033" s="126">
        <f t="shared" ca="1" si="619"/>
        <v>10000</v>
      </c>
      <c r="AX1033" s="750">
        <f t="shared" ca="1" si="639"/>
        <v>0</v>
      </c>
      <c r="AY1033" s="750">
        <f t="shared" ca="1" si="640"/>
        <v>0</v>
      </c>
      <c r="AZ1033">
        <f t="shared" si="641"/>
        <v>5750</v>
      </c>
    </row>
    <row r="1034" spans="4:52">
      <c r="D1034">
        <v>1027</v>
      </c>
      <c r="E1034" s="6">
        <f t="shared" ca="1" si="620"/>
        <v>21520</v>
      </c>
      <c r="F1034" s="7">
        <f t="shared" ca="1" si="621"/>
        <v>0</v>
      </c>
      <c r="G1034" s="125">
        <f ca="1">IF('Simulador - 1º Pilar'!$E$99="Sí",IF('Aportaciones PPE'!$B$13&lt;'Aportaciones PPE'!E1034,0,F1034*$B$8/12),F1034*$B$8/12)</f>
        <v>0</v>
      </c>
      <c r="H1034" s="125">
        <f t="shared" ca="1" si="610"/>
        <v>0</v>
      </c>
      <c r="I1034" s="125">
        <f t="shared" ca="1" si="622"/>
        <v>0</v>
      </c>
      <c r="J1034" s="125">
        <f t="shared" ca="1" si="623"/>
        <v>0</v>
      </c>
      <c r="K1034" s="125">
        <f t="shared" ca="1" si="624"/>
        <v>0</v>
      </c>
      <c r="L1034" s="125">
        <f t="shared" ca="1" si="642"/>
        <v>0</v>
      </c>
      <c r="M1034" s="125">
        <f t="shared" ca="1" si="625"/>
        <v>0</v>
      </c>
      <c r="N1034" s="125">
        <f t="shared" ca="1" si="626"/>
        <v>0</v>
      </c>
      <c r="R1034">
        <f t="shared" si="643"/>
        <v>1027</v>
      </c>
      <c r="U1034" s="55"/>
      <c r="V1034">
        <f t="shared" si="644"/>
        <v>8</v>
      </c>
      <c r="W1034">
        <f t="shared" ca="1" si="645"/>
        <v>2109</v>
      </c>
      <c r="X1034" s="123">
        <f t="shared" ca="1" si="627"/>
        <v>76550</v>
      </c>
      <c r="Y1034" s="64">
        <f t="shared" ca="1" si="628"/>
        <v>0</v>
      </c>
      <c r="Z1034" s="64">
        <f t="shared" ca="1" si="629"/>
        <v>0</v>
      </c>
      <c r="AA1034" s="64">
        <f t="shared" ca="1" si="630"/>
        <v>0</v>
      </c>
      <c r="AB1034" s="64">
        <f t="shared" ca="1" si="631"/>
        <v>0</v>
      </c>
      <c r="AF1034" t="str">
        <f t="shared" ca="1" si="611"/>
        <v>121958</v>
      </c>
      <c r="AG1034" s="126">
        <f t="shared" ca="1" si="612"/>
        <v>0</v>
      </c>
      <c r="AH1034" s="126">
        <f t="shared" ca="1" si="613"/>
        <v>0</v>
      </c>
      <c r="AI1034" s="126">
        <f t="shared" ca="1" si="614"/>
        <v>0</v>
      </c>
      <c r="AJ1034" t="str">
        <f t="shared" ca="1" si="615"/>
        <v>82109</v>
      </c>
      <c r="AK1034" s="126">
        <f t="shared" ca="1" si="632"/>
        <v>0</v>
      </c>
      <c r="AL1034" s="126">
        <f t="shared" ca="1" si="633"/>
        <v>0</v>
      </c>
      <c r="AM1034" s="126">
        <f t="shared" ca="1" si="646"/>
        <v>0</v>
      </c>
      <c r="AN1034" s="753">
        <f t="shared" ca="1" si="647"/>
        <v>0</v>
      </c>
      <c r="AO1034" s="750">
        <f t="shared" ca="1" si="634"/>
        <v>0</v>
      </c>
      <c r="AP1034" s="126">
        <f t="shared" ca="1" si="635"/>
        <v>0</v>
      </c>
      <c r="AQ1034" s="126">
        <f t="shared" ca="1" si="636"/>
        <v>0</v>
      </c>
      <c r="AR1034" s="126">
        <f t="shared" ca="1" si="616"/>
        <v>10000</v>
      </c>
      <c r="AS1034" s="750">
        <f t="shared" ca="1" si="617"/>
        <v>0</v>
      </c>
      <c r="AT1034" s="750">
        <f t="shared" ca="1" si="618"/>
        <v>0</v>
      </c>
      <c r="AU1034" s="126">
        <f t="shared" ca="1" si="637"/>
        <v>0</v>
      </c>
      <c r="AV1034" s="126">
        <f t="shared" ca="1" si="638"/>
        <v>0</v>
      </c>
      <c r="AW1034" s="126">
        <f t="shared" ca="1" si="619"/>
        <v>10000</v>
      </c>
      <c r="AX1034" s="750">
        <f t="shared" ca="1" si="639"/>
        <v>0</v>
      </c>
      <c r="AY1034" s="750">
        <f t="shared" ca="1" si="640"/>
        <v>0</v>
      </c>
      <c r="AZ1034">
        <f t="shared" si="641"/>
        <v>5750</v>
      </c>
    </row>
    <row r="1035" spans="4:52">
      <c r="D1035">
        <v>1028</v>
      </c>
      <c r="E1035" s="6">
        <f t="shared" ca="1" si="620"/>
        <v>21490</v>
      </c>
      <c r="F1035" s="7">
        <f t="shared" ca="1" si="621"/>
        <v>0</v>
      </c>
      <c r="G1035" s="125">
        <f ca="1">IF('Simulador - 1º Pilar'!$E$99="Sí",IF('Aportaciones PPE'!$B$13&lt;'Aportaciones PPE'!E1035,0,F1035*$B$8/12),F1035*$B$8/12)</f>
        <v>0</v>
      </c>
      <c r="H1035" s="125">
        <f t="shared" ca="1" si="610"/>
        <v>0</v>
      </c>
      <c r="I1035" s="125">
        <f t="shared" ca="1" si="622"/>
        <v>0</v>
      </c>
      <c r="J1035" s="125">
        <f t="shared" ca="1" si="623"/>
        <v>0</v>
      </c>
      <c r="K1035" s="125">
        <f t="shared" ca="1" si="624"/>
        <v>0</v>
      </c>
      <c r="L1035" s="125">
        <f t="shared" ca="1" si="642"/>
        <v>0</v>
      </c>
      <c r="M1035" s="125">
        <f t="shared" ca="1" si="625"/>
        <v>0</v>
      </c>
      <c r="N1035" s="125">
        <f t="shared" ca="1" si="626"/>
        <v>0</v>
      </c>
      <c r="R1035">
        <f t="shared" si="643"/>
        <v>1028</v>
      </c>
      <c r="U1035" s="55"/>
      <c r="V1035">
        <f t="shared" si="644"/>
        <v>9</v>
      </c>
      <c r="W1035">
        <f t="shared" ca="1" si="645"/>
        <v>2109</v>
      </c>
      <c r="X1035" s="123">
        <f t="shared" ca="1" si="627"/>
        <v>76581</v>
      </c>
      <c r="Y1035" s="64">
        <f t="shared" ca="1" si="628"/>
        <v>0</v>
      </c>
      <c r="Z1035" s="64">
        <f t="shared" ca="1" si="629"/>
        <v>0</v>
      </c>
      <c r="AA1035" s="64">
        <f t="shared" ca="1" si="630"/>
        <v>0</v>
      </c>
      <c r="AB1035" s="64">
        <f t="shared" ca="1" si="631"/>
        <v>0</v>
      </c>
      <c r="AF1035" t="str">
        <f t="shared" ca="1" si="611"/>
        <v>111958</v>
      </c>
      <c r="AG1035" s="126">
        <f t="shared" ca="1" si="612"/>
        <v>0</v>
      </c>
      <c r="AH1035" s="126">
        <f t="shared" ca="1" si="613"/>
        <v>0</v>
      </c>
      <c r="AI1035" s="126">
        <f t="shared" ca="1" si="614"/>
        <v>0</v>
      </c>
      <c r="AJ1035" t="str">
        <f t="shared" ca="1" si="615"/>
        <v>92109</v>
      </c>
      <c r="AK1035" s="126">
        <f t="shared" ca="1" si="632"/>
        <v>0</v>
      </c>
      <c r="AL1035" s="126">
        <f t="shared" ca="1" si="633"/>
        <v>0</v>
      </c>
      <c r="AM1035" s="126">
        <f t="shared" ca="1" si="646"/>
        <v>0</v>
      </c>
      <c r="AN1035" s="753">
        <f t="shared" ca="1" si="647"/>
        <v>0</v>
      </c>
      <c r="AO1035" s="750">
        <f t="shared" ca="1" si="634"/>
        <v>0</v>
      </c>
      <c r="AP1035" s="126">
        <f t="shared" ca="1" si="635"/>
        <v>0</v>
      </c>
      <c r="AQ1035" s="126">
        <f t="shared" ca="1" si="636"/>
        <v>0</v>
      </c>
      <c r="AR1035" s="126">
        <f t="shared" ca="1" si="616"/>
        <v>10000</v>
      </c>
      <c r="AS1035" s="750">
        <f t="shared" ca="1" si="617"/>
        <v>0</v>
      </c>
      <c r="AT1035" s="750">
        <f t="shared" ca="1" si="618"/>
        <v>0</v>
      </c>
      <c r="AU1035" s="126">
        <f t="shared" ca="1" si="637"/>
        <v>0</v>
      </c>
      <c r="AV1035" s="126">
        <f t="shared" ca="1" si="638"/>
        <v>0</v>
      </c>
      <c r="AW1035" s="126">
        <f t="shared" ca="1" si="619"/>
        <v>10000</v>
      </c>
      <c r="AX1035" s="750">
        <f t="shared" ca="1" si="639"/>
        <v>0</v>
      </c>
      <c r="AY1035" s="750">
        <f t="shared" ca="1" si="640"/>
        <v>0</v>
      </c>
      <c r="AZ1035">
        <f t="shared" si="641"/>
        <v>5750</v>
      </c>
    </row>
    <row r="1036" spans="4:52">
      <c r="D1036">
        <v>1029</v>
      </c>
      <c r="E1036" s="6">
        <f t="shared" ca="1" si="620"/>
        <v>21459</v>
      </c>
      <c r="F1036" s="7">
        <f t="shared" ca="1" si="621"/>
        <v>0</v>
      </c>
      <c r="G1036" s="125">
        <f ca="1">IF('Simulador - 1º Pilar'!$E$99="Sí",IF('Aportaciones PPE'!$B$13&lt;'Aportaciones PPE'!E1036,0,F1036*$B$8/12),F1036*$B$8/12)</f>
        <v>0</v>
      </c>
      <c r="H1036" s="125">
        <f t="shared" ca="1" si="610"/>
        <v>0</v>
      </c>
      <c r="I1036" s="125">
        <f t="shared" ca="1" si="622"/>
        <v>0</v>
      </c>
      <c r="J1036" s="125">
        <f t="shared" ca="1" si="623"/>
        <v>0</v>
      </c>
      <c r="K1036" s="125">
        <f t="shared" ca="1" si="624"/>
        <v>0</v>
      </c>
      <c r="L1036" s="125">
        <f t="shared" ca="1" si="642"/>
        <v>0</v>
      </c>
      <c r="M1036" s="125">
        <f t="shared" ca="1" si="625"/>
        <v>0</v>
      </c>
      <c r="N1036" s="125">
        <f t="shared" ca="1" si="626"/>
        <v>0</v>
      </c>
      <c r="R1036">
        <f t="shared" si="643"/>
        <v>1029</v>
      </c>
      <c r="U1036" s="55"/>
      <c r="V1036">
        <f t="shared" si="644"/>
        <v>10</v>
      </c>
      <c r="W1036">
        <f t="shared" ca="1" si="645"/>
        <v>2109</v>
      </c>
      <c r="X1036" s="123">
        <f t="shared" ca="1" si="627"/>
        <v>76611</v>
      </c>
      <c r="Y1036" s="64">
        <f t="shared" ca="1" si="628"/>
        <v>0</v>
      </c>
      <c r="Z1036" s="64">
        <f t="shared" ca="1" si="629"/>
        <v>0</v>
      </c>
      <c r="AA1036" s="64">
        <f t="shared" ca="1" si="630"/>
        <v>0</v>
      </c>
      <c r="AB1036" s="64">
        <f t="shared" ca="1" si="631"/>
        <v>0</v>
      </c>
      <c r="AF1036" t="str">
        <f t="shared" ca="1" si="611"/>
        <v>101958</v>
      </c>
      <c r="AG1036" s="126">
        <f t="shared" ca="1" si="612"/>
        <v>0</v>
      </c>
      <c r="AH1036" s="126">
        <f t="shared" ca="1" si="613"/>
        <v>0</v>
      </c>
      <c r="AI1036" s="126">
        <f t="shared" ca="1" si="614"/>
        <v>0</v>
      </c>
      <c r="AJ1036" t="str">
        <f t="shared" ca="1" si="615"/>
        <v>102109</v>
      </c>
      <c r="AK1036" s="126">
        <f t="shared" ca="1" si="632"/>
        <v>0</v>
      </c>
      <c r="AL1036" s="126">
        <f t="shared" ca="1" si="633"/>
        <v>0</v>
      </c>
      <c r="AM1036" s="126">
        <f t="shared" ca="1" si="646"/>
        <v>0</v>
      </c>
      <c r="AN1036" s="753">
        <f t="shared" ca="1" si="647"/>
        <v>0</v>
      </c>
      <c r="AO1036" s="750">
        <f t="shared" ca="1" si="634"/>
        <v>0</v>
      </c>
      <c r="AP1036" s="126">
        <f t="shared" ca="1" si="635"/>
        <v>0</v>
      </c>
      <c r="AQ1036" s="126">
        <f t="shared" ca="1" si="636"/>
        <v>0</v>
      </c>
      <c r="AR1036" s="126">
        <f t="shared" ca="1" si="616"/>
        <v>10000</v>
      </c>
      <c r="AS1036" s="750">
        <f t="shared" ca="1" si="617"/>
        <v>0</v>
      </c>
      <c r="AT1036" s="750">
        <f t="shared" ca="1" si="618"/>
        <v>0</v>
      </c>
      <c r="AU1036" s="126">
        <f t="shared" ca="1" si="637"/>
        <v>0</v>
      </c>
      <c r="AV1036" s="126">
        <f t="shared" ca="1" si="638"/>
        <v>0</v>
      </c>
      <c r="AW1036" s="126">
        <f t="shared" ca="1" si="619"/>
        <v>10000</v>
      </c>
      <c r="AX1036" s="750">
        <f t="shared" ca="1" si="639"/>
        <v>0</v>
      </c>
      <c r="AY1036" s="750">
        <f t="shared" ca="1" si="640"/>
        <v>0</v>
      </c>
      <c r="AZ1036">
        <f t="shared" si="641"/>
        <v>5750</v>
      </c>
    </row>
    <row r="1037" spans="4:52">
      <c r="D1037">
        <v>1030</v>
      </c>
      <c r="E1037" s="6">
        <f t="shared" ca="1" si="620"/>
        <v>21429</v>
      </c>
      <c r="F1037" s="7">
        <f t="shared" ca="1" si="621"/>
        <v>0</v>
      </c>
      <c r="G1037" s="125">
        <f ca="1">IF('Simulador - 1º Pilar'!$E$99="Sí",IF('Aportaciones PPE'!$B$13&lt;'Aportaciones PPE'!E1037,0,F1037*$B$8/12),F1037*$B$8/12)</f>
        <v>0</v>
      </c>
      <c r="H1037" s="125">
        <f t="shared" ca="1" si="610"/>
        <v>0</v>
      </c>
      <c r="I1037" s="125">
        <f t="shared" ca="1" si="622"/>
        <v>0</v>
      </c>
      <c r="J1037" s="125">
        <f t="shared" ca="1" si="623"/>
        <v>0</v>
      </c>
      <c r="K1037" s="125">
        <f t="shared" ca="1" si="624"/>
        <v>0</v>
      </c>
      <c r="L1037" s="125">
        <f t="shared" ca="1" si="642"/>
        <v>0</v>
      </c>
      <c r="M1037" s="125">
        <f t="shared" ca="1" si="625"/>
        <v>0</v>
      </c>
      <c r="N1037" s="125">
        <f t="shared" ca="1" si="626"/>
        <v>0</v>
      </c>
      <c r="R1037">
        <f t="shared" si="643"/>
        <v>1030</v>
      </c>
      <c r="U1037" s="55"/>
      <c r="V1037">
        <f t="shared" si="644"/>
        <v>11</v>
      </c>
      <c r="W1037">
        <f t="shared" ca="1" si="645"/>
        <v>2109</v>
      </c>
      <c r="X1037" s="123">
        <f t="shared" ca="1" si="627"/>
        <v>76642</v>
      </c>
      <c r="Y1037" s="64">
        <f t="shared" ca="1" si="628"/>
        <v>0</v>
      </c>
      <c r="Z1037" s="64">
        <f t="shared" ca="1" si="629"/>
        <v>0</v>
      </c>
      <c r="AA1037" s="64">
        <f t="shared" ca="1" si="630"/>
        <v>0</v>
      </c>
      <c r="AB1037" s="64">
        <f t="shared" ca="1" si="631"/>
        <v>0</v>
      </c>
      <c r="AF1037" t="str">
        <f t="shared" ca="1" si="611"/>
        <v>91958</v>
      </c>
      <c r="AG1037" s="126">
        <f t="shared" ca="1" si="612"/>
        <v>0</v>
      </c>
      <c r="AH1037" s="126">
        <f t="shared" ca="1" si="613"/>
        <v>0</v>
      </c>
      <c r="AI1037" s="126">
        <f t="shared" ca="1" si="614"/>
        <v>0</v>
      </c>
      <c r="AJ1037" t="str">
        <f t="shared" ca="1" si="615"/>
        <v>112109</v>
      </c>
      <c r="AK1037" s="126">
        <f t="shared" ca="1" si="632"/>
        <v>0</v>
      </c>
      <c r="AL1037" s="126">
        <f t="shared" ca="1" si="633"/>
        <v>0</v>
      </c>
      <c r="AM1037" s="126">
        <f t="shared" ca="1" si="646"/>
        <v>0</v>
      </c>
      <c r="AN1037" s="753">
        <f t="shared" ca="1" si="647"/>
        <v>0</v>
      </c>
      <c r="AO1037" s="750">
        <f t="shared" ca="1" si="634"/>
        <v>0</v>
      </c>
      <c r="AP1037" s="126">
        <f t="shared" ca="1" si="635"/>
        <v>0</v>
      </c>
      <c r="AQ1037" s="126">
        <f t="shared" ca="1" si="636"/>
        <v>0</v>
      </c>
      <c r="AR1037" s="126">
        <f t="shared" ca="1" si="616"/>
        <v>10000</v>
      </c>
      <c r="AS1037" s="750">
        <f t="shared" ca="1" si="617"/>
        <v>0</v>
      </c>
      <c r="AT1037" s="750">
        <f t="shared" ca="1" si="618"/>
        <v>0</v>
      </c>
      <c r="AU1037" s="126">
        <f t="shared" ca="1" si="637"/>
        <v>0</v>
      </c>
      <c r="AV1037" s="126">
        <f t="shared" ca="1" si="638"/>
        <v>0</v>
      </c>
      <c r="AW1037" s="126">
        <f t="shared" ca="1" si="619"/>
        <v>10000</v>
      </c>
      <c r="AX1037" s="750">
        <f t="shared" ca="1" si="639"/>
        <v>0</v>
      </c>
      <c r="AY1037" s="750">
        <f t="shared" ca="1" si="640"/>
        <v>0</v>
      </c>
      <c r="AZ1037">
        <f t="shared" si="641"/>
        <v>5750</v>
      </c>
    </row>
    <row r="1038" spans="4:52">
      <c r="D1038">
        <v>1031</v>
      </c>
      <c r="E1038" s="6">
        <f t="shared" ca="1" si="620"/>
        <v>21398</v>
      </c>
      <c r="F1038" s="7">
        <f t="shared" ca="1" si="621"/>
        <v>0</v>
      </c>
      <c r="G1038" s="125">
        <f ca="1">IF('Simulador - 1º Pilar'!$E$99="Sí",IF('Aportaciones PPE'!$B$13&lt;'Aportaciones PPE'!E1038,0,F1038*$B$8/12),F1038*$B$8/12)</f>
        <v>0</v>
      </c>
      <c r="H1038" s="125">
        <f t="shared" ca="1" si="610"/>
        <v>0</v>
      </c>
      <c r="I1038" s="125">
        <f t="shared" ca="1" si="622"/>
        <v>0</v>
      </c>
      <c r="J1038" s="125">
        <f t="shared" ca="1" si="623"/>
        <v>0</v>
      </c>
      <c r="K1038" s="125">
        <f t="shared" ca="1" si="624"/>
        <v>0</v>
      </c>
      <c r="L1038" s="125">
        <f t="shared" ca="1" si="642"/>
        <v>0</v>
      </c>
      <c r="M1038" s="125">
        <f t="shared" ca="1" si="625"/>
        <v>0</v>
      </c>
      <c r="N1038" s="125">
        <f t="shared" ca="1" si="626"/>
        <v>0</v>
      </c>
      <c r="R1038">
        <f t="shared" si="643"/>
        <v>1031</v>
      </c>
      <c r="U1038" s="55"/>
      <c r="V1038">
        <f t="shared" si="644"/>
        <v>12</v>
      </c>
      <c r="W1038">
        <f t="shared" ca="1" si="645"/>
        <v>2109</v>
      </c>
      <c r="X1038" s="123">
        <f t="shared" ca="1" si="627"/>
        <v>76672</v>
      </c>
      <c r="Y1038" s="64">
        <f t="shared" ca="1" si="628"/>
        <v>0</v>
      </c>
      <c r="Z1038" s="64">
        <f t="shared" ca="1" si="629"/>
        <v>0</v>
      </c>
      <c r="AA1038" s="64">
        <f t="shared" ca="1" si="630"/>
        <v>0</v>
      </c>
      <c r="AB1038" s="64">
        <f t="shared" ca="1" si="631"/>
        <v>0</v>
      </c>
      <c r="AF1038" t="str">
        <f t="shared" ca="1" si="611"/>
        <v>81958</v>
      </c>
      <c r="AG1038" s="126">
        <f t="shared" ca="1" si="612"/>
        <v>0</v>
      </c>
      <c r="AH1038" s="126">
        <f t="shared" ca="1" si="613"/>
        <v>0</v>
      </c>
      <c r="AI1038" s="126">
        <f t="shared" ca="1" si="614"/>
        <v>0</v>
      </c>
      <c r="AJ1038" t="str">
        <f t="shared" ca="1" si="615"/>
        <v>122109</v>
      </c>
      <c r="AK1038" s="126">
        <f t="shared" ca="1" si="632"/>
        <v>0</v>
      </c>
      <c r="AL1038" s="126">
        <f t="shared" ca="1" si="633"/>
        <v>0</v>
      </c>
      <c r="AM1038" s="126">
        <f t="shared" ca="1" si="646"/>
        <v>0</v>
      </c>
      <c r="AN1038" s="753">
        <f t="shared" ca="1" si="647"/>
        <v>0</v>
      </c>
      <c r="AO1038" s="750">
        <f t="shared" ca="1" si="634"/>
        <v>0</v>
      </c>
      <c r="AP1038" s="126">
        <f t="shared" ca="1" si="635"/>
        <v>0</v>
      </c>
      <c r="AQ1038" s="126">
        <f t="shared" ca="1" si="636"/>
        <v>0</v>
      </c>
      <c r="AR1038" s="126">
        <f t="shared" ca="1" si="616"/>
        <v>10000</v>
      </c>
      <c r="AS1038" s="750">
        <f t="shared" ca="1" si="617"/>
        <v>0</v>
      </c>
      <c r="AT1038" s="750">
        <f t="shared" ca="1" si="618"/>
        <v>0</v>
      </c>
      <c r="AU1038" s="126">
        <f t="shared" ca="1" si="637"/>
        <v>0</v>
      </c>
      <c r="AV1038" s="126">
        <f t="shared" ca="1" si="638"/>
        <v>0</v>
      </c>
      <c r="AW1038" s="126">
        <f t="shared" ca="1" si="619"/>
        <v>10000</v>
      </c>
      <c r="AX1038" s="750">
        <f t="shared" ca="1" si="639"/>
        <v>0</v>
      </c>
      <c r="AY1038" s="750">
        <f t="shared" ca="1" si="640"/>
        <v>0</v>
      </c>
      <c r="AZ1038">
        <f t="shared" si="641"/>
        <v>5750</v>
      </c>
    </row>
    <row r="1039" spans="4:52">
      <c r="D1039">
        <v>1032</v>
      </c>
      <c r="E1039" s="6">
        <f t="shared" ca="1" si="620"/>
        <v>21367</v>
      </c>
      <c r="F1039" s="7">
        <f t="shared" ca="1" si="621"/>
        <v>0</v>
      </c>
      <c r="G1039" s="125">
        <f ca="1">IF('Simulador - 1º Pilar'!$E$99="Sí",IF('Aportaciones PPE'!$B$13&lt;'Aportaciones PPE'!E1039,0,F1039*$B$8/12),F1039*$B$8/12)</f>
        <v>0</v>
      </c>
      <c r="H1039" s="125">
        <f t="shared" ca="1" si="610"/>
        <v>0</v>
      </c>
      <c r="I1039" s="125">
        <f t="shared" ca="1" si="622"/>
        <v>0</v>
      </c>
      <c r="J1039" s="125">
        <f t="shared" ca="1" si="623"/>
        <v>0</v>
      </c>
      <c r="K1039" s="125">
        <f t="shared" ca="1" si="624"/>
        <v>0</v>
      </c>
      <c r="L1039" s="125">
        <f t="shared" ca="1" si="642"/>
        <v>0</v>
      </c>
      <c r="M1039" s="125">
        <f t="shared" ca="1" si="625"/>
        <v>0</v>
      </c>
      <c r="N1039" s="125">
        <f t="shared" ca="1" si="626"/>
        <v>0</v>
      </c>
      <c r="R1039">
        <f t="shared" si="643"/>
        <v>1032</v>
      </c>
      <c r="U1039" s="55"/>
      <c r="V1039">
        <f t="shared" si="644"/>
        <v>1</v>
      </c>
      <c r="W1039">
        <f t="shared" ca="1" si="645"/>
        <v>2110</v>
      </c>
      <c r="X1039" s="123">
        <f t="shared" ca="1" si="627"/>
        <v>76703</v>
      </c>
      <c r="Y1039" s="64">
        <f t="shared" ca="1" si="628"/>
        <v>0</v>
      </c>
      <c r="Z1039" s="64">
        <f t="shared" ca="1" si="629"/>
        <v>0</v>
      </c>
      <c r="AA1039" s="64">
        <f t="shared" ca="1" si="630"/>
        <v>0</v>
      </c>
      <c r="AB1039" s="64">
        <f t="shared" ca="1" si="631"/>
        <v>0</v>
      </c>
      <c r="AF1039" t="str">
        <f t="shared" ca="1" si="611"/>
        <v>71958</v>
      </c>
      <c r="AG1039" s="126">
        <f t="shared" ca="1" si="612"/>
        <v>0</v>
      </c>
      <c r="AH1039" s="126">
        <f t="shared" ca="1" si="613"/>
        <v>0</v>
      </c>
      <c r="AI1039" s="126">
        <f t="shared" ca="1" si="614"/>
        <v>0</v>
      </c>
      <c r="AJ1039" t="str">
        <f t="shared" ca="1" si="615"/>
        <v>12110</v>
      </c>
      <c r="AK1039" s="126">
        <f t="shared" ca="1" si="632"/>
        <v>0</v>
      </c>
      <c r="AL1039" s="126">
        <f t="shared" ca="1" si="633"/>
        <v>0</v>
      </c>
      <c r="AM1039" s="126">
        <f t="shared" ca="1" si="646"/>
        <v>0</v>
      </c>
      <c r="AN1039" s="753">
        <f t="shared" ca="1" si="647"/>
        <v>0</v>
      </c>
      <c r="AO1039" s="750">
        <f t="shared" ca="1" si="634"/>
        <v>0</v>
      </c>
      <c r="AP1039" s="126">
        <f t="shared" ca="1" si="635"/>
        <v>0</v>
      </c>
      <c r="AQ1039" s="126">
        <f t="shared" ca="1" si="636"/>
        <v>0</v>
      </c>
      <c r="AR1039" s="126">
        <f t="shared" ca="1" si="616"/>
        <v>10000</v>
      </c>
      <c r="AS1039" s="750">
        <f t="shared" ca="1" si="617"/>
        <v>0</v>
      </c>
      <c r="AT1039" s="750">
        <f t="shared" ca="1" si="618"/>
        <v>0</v>
      </c>
      <c r="AU1039" s="126">
        <f t="shared" ca="1" si="637"/>
        <v>0</v>
      </c>
      <c r="AV1039" s="126">
        <f t="shared" ca="1" si="638"/>
        <v>0</v>
      </c>
      <c r="AW1039" s="126">
        <f t="shared" ca="1" si="619"/>
        <v>10000</v>
      </c>
      <c r="AX1039" s="750">
        <f t="shared" ca="1" si="639"/>
        <v>0</v>
      </c>
      <c r="AY1039" s="750">
        <f t="shared" ca="1" si="640"/>
        <v>0</v>
      </c>
      <c r="AZ1039">
        <f t="shared" si="641"/>
        <v>5750</v>
      </c>
    </row>
    <row r="1040" spans="4:52">
      <c r="D1040">
        <v>1033</v>
      </c>
      <c r="E1040" s="6">
        <f t="shared" ca="1" si="620"/>
        <v>21337</v>
      </c>
      <c r="F1040" s="7">
        <f t="shared" ca="1" si="621"/>
        <v>0</v>
      </c>
      <c r="G1040" s="125">
        <f ca="1">IF('Simulador - 1º Pilar'!$E$99="Sí",IF('Aportaciones PPE'!$B$13&lt;'Aportaciones PPE'!E1040,0,F1040*$B$8/12),F1040*$B$8/12)</f>
        <v>0</v>
      </c>
      <c r="H1040" s="125">
        <f t="shared" ca="1" si="610"/>
        <v>0</v>
      </c>
      <c r="I1040" s="125">
        <f t="shared" ca="1" si="622"/>
        <v>0</v>
      </c>
      <c r="J1040" s="125">
        <f t="shared" ca="1" si="623"/>
        <v>0</v>
      </c>
      <c r="K1040" s="125">
        <f t="shared" ca="1" si="624"/>
        <v>0</v>
      </c>
      <c r="L1040" s="125">
        <f t="shared" ca="1" si="642"/>
        <v>0</v>
      </c>
      <c r="M1040" s="125">
        <f t="shared" ca="1" si="625"/>
        <v>0</v>
      </c>
      <c r="N1040" s="125">
        <f t="shared" ca="1" si="626"/>
        <v>0</v>
      </c>
      <c r="R1040">
        <f t="shared" si="643"/>
        <v>1033</v>
      </c>
      <c r="U1040" s="55"/>
      <c r="V1040">
        <f t="shared" si="644"/>
        <v>2</v>
      </c>
      <c r="W1040">
        <f t="shared" ca="1" si="645"/>
        <v>2110</v>
      </c>
      <c r="X1040" s="123">
        <f t="shared" ca="1" si="627"/>
        <v>76734</v>
      </c>
      <c r="Y1040" s="64">
        <f t="shared" ca="1" si="628"/>
        <v>0</v>
      </c>
      <c r="Z1040" s="64">
        <f t="shared" ca="1" si="629"/>
        <v>0</v>
      </c>
      <c r="AA1040" s="64">
        <f t="shared" ca="1" si="630"/>
        <v>0</v>
      </c>
      <c r="AB1040" s="64">
        <f t="shared" ca="1" si="631"/>
        <v>0</v>
      </c>
      <c r="AF1040" t="str">
        <f t="shared" ca="1" si="611"/>
        <v>61958</v>
      </c>
      <c r="AG1040" s="126">
        <f t="shared" ca="1" si="612"/>
        <v>0</v>
      </c>
      <c r="AH1040" s="126">
        <f t="shared" ca="1" si="613"/>
        <v>0</v>
      </c>
      <c r="AI1040" s="126">
        <f t="shared" ca="1" si="614"/>
        <v>0</v>
      </c>
      <c r="AJ1040" t="str">
        <f t="shared" ca="1" si="615"/>
        <v>22110</v>
      </c>
      <c r="AK1040" s="126">
        <f t="shared" ca="1" si="632"/>
        <v>0</v>
      </c>
      <c r="AL1040" s="126">
        <f t="shared" ca="1" si="633"/>
        <v>0</v>
      </c>
      <c r="AM1040" s="126">
        <f t="shared" ca="1" si="646"/>
        <v>0</v>
      </c>
      <c r="AN1040" s="753">
        <f t="shared" ca="1" si="647"/>
        <v>0</v>
      </c>
      <c r="AO1040" s="750">
        <f t="shared" ca="1" si="634"/>
        <v>0</v>
      </c>
      <c r="AP1040" s="126">
        <f t="shared" ca="1" si="635"/>
        <v>0</v>
      </c>
      <c r="AQ1040" s="126">
        <f t="shared" ca="1" si="636"/>
        <v>0</v>
      </c>
      <c r="AR1040" s="126">
        <f t="shared" ca="1" si="616"/>
        <v>10000</v>
      </c>
      <c r="AS1040" s="750">
        <f t="shared" ca="1" si="617"/>
        <v>0</v>
      </c>
      <c r="AT1040" s="750">
        <f t="shared" ca="1" si="618"/>
        <v>0</v>
      </c>
      <c r="AU1040" s="126">
        <f t="shared" ca="1" si="637"/>
        <v>0</v>
      </c>
      <c r="AV1040" s="126">
        <f t="shared" ca="1" si="638"/>
        <v>0</v>
      </c>
      <c r="AW1040" s="126">
        <f t="shared" ca="1" si="619"/>
        <v>10000</v>
      </c>
      <c r="AX1040" s="750">
        <f t="shared" ca="1" si="639"/>
        <v>0</v>
      </c>
      <c r="AY1040" s="750">
        <f t="shared" ca="1" si="640"/>
        <v>0</v>
      </c>
      <c r="AZ1040">
        <f t="shared" si="641"/>
        <v>5750</v>
      </c>
    </row>
    <row r="1041" spans="4:52">
      <c r="D1041">
        <v>1034</v>
      </c>
      <c r="E1041" s="6">
        <f t="shared" ca="1" si="620"/>
        <v>21306</v>
      </c>
      <c r="F1041" s="7">
        <f t="shared" ca="1" si="621"/>
        <v>0</v>
      </c>
      <c r="G1041" s="125">
        <f ca="1">IF('Simulador - 1º Pilar'!$E$99="Sí",IF('Aportaciones PPE'!$B$13&lt;'Aportaciones PPE'!E1041,0,F1041*$B$8/12),F1041*$B$8/12)</f>
        <v>0</v>
      </c>
      <c r="H1041" s="125">
        <f t="shared" ca="1" si="610"/>
        <v>0</v>
      </c>
      <c r="I1041" s="125">
        <f t="shared" ca="1" si="622"/>
        <v>0</v>
      </c>
      <c r="J1041" s="125">
        <f t="shared" ca="1" si="623"/>
        <v>0</v>
      </c>
      <c r="K1041" s="125">
        <f t="shared" ca="1" si="624"/>
        <v>0</v>
      </c>
      <c r="L1041" s="125">
        <f t="shared" ca="1" si="642"/>
        <v>0</v>
      </c>
      <c r="M1041" s="125">
        <f t="shared" ca="1" si="625"/>
        <v>0</v>
      </c>
      <c r="N1041" s="125">
        <f t="shared" ca="1" si="626"/>
        <v>0</v>
      </c>
      <c r="R1041">
        <f t="shared" si="643"/>
        <v>1034</v>
      </c>
      <c r="U1041" s="55"/>
      <c r="V1041">
        <f t="shared" si="644"/>
        <v>3</v>
      </c>
      <c r="W1041">
        <f t="shared" ca="1" si="645"/>
        <v>2110</v>
      </c>
      <c r="X1041" s="123">
        <f t="shared" ca="1" si="627"/>
        <v>76762</v>
      </c>
      <c r="Y1041" s="64">
        <f t="shared" ca="1" si="628"/>
        <v>0</v>
      </c>
      <c r="Z1041" s="64">
        <f t="shared" ca="1" si="629"/>
        <v>0</v>
      </c>
      <c r="AA1041" s="64">
        <f t="shared" ca="1" si="630"/>
        <v>0</v>
      </c>
      <c r="AB1041" s="64">
        <f t="shared" ca="1" si="631"/>
        <v>0</v>
      </c>
      <c r="AF1041" t="str">
        <f t="shared" ca="1" si="611"/>
        <v>51958</v>
      </c>
      <c r="AG1041" s="126">
        <f t="shared" ca="1" si="612"/>
        <v>0</v>
      </c>
      <c r="AH1041" s="126">
        <f t="shared" ca="1" si="613"/>
        <v>0</v>
      </c>
      <c r="AI1041" s="126">
        <f t="shared" ca="1" si="614"/>
        <v>0</v>
      </c>
      <c r="AJ1041" t="str">
        <f t="shared" ca="1" si="615"/>
        <v>32110</v>
      </c>
      <c r="AK1041" s="126">
        <f t="shared" ca="1" si="632"/>
        <v>0</v>
      </c>
      <c r="AL1041" s="126">
        <f t="shared" ca="1" si="633"/>
        <v>0</v>
      </c>
      <c r="AM1041" s="126">
        <f t="shared" ca="1" si="646"/>
        <v>0</v>
      </c>
      <c r="AN1041" s="753">
        <f t="shared" ca="1" si="647"/>
        <v>0</v>
      </c>
      <c r="AO1041" s="750">
        <f t="shared" ca="1" si="634"/>
        <v>0</v>
      </c>
      <c r="AP1041" s="126">
        <f t="shared" ca="1" si="635"/>
        <v>0</v>
      </c>
      <c r="AQ1041" s="126">
        <f t="shared" ca="1" si="636"/>
        <v>0</v>
      </c>
      <c r="AR1041" s="126">
        <f t="shared" ca="1" si="616"/>
        <v>10000</v>
      </c>
      <c r="AS1041" s="750">
        <f t="shared" ca="1" si="617"/>
        <v>0</v>
      </c>
      <c r="AT1041" s="750">
        <f t="shared" ca="1" si="618"/>
        <v>0</v>
      </c>
      <c r="AU1041" s="126">
        <f t="shared" ca="1" si="637"/>
        <v>0</v>
      </c>
      <c r="AV1041" s="126">
        <f t="shared" ca="1" si="638"/>
        <v>0</v>
      </c>
      <c r="AW1041" s="126">
        <f t="shared" ca="1" si="619"/>
        <v>10000</v>
      </c>
      <c r="AX1041" s="750">
        <f t="shared" ca="1" si="639"/>
        <v>0</v>
      </c>
      <c r="AY1041" s="750">
        <f t="shared" ca="1" si="640"/>
        <v>0</v>
      </c>
      <c r="AZ1041">
        <f t="shared" si="641"/>
        <v>5750</v>
      </c>
    </row>
    <row r="1042" spans="4:52">
      <c r="D1042">
        <v>1035</v>
      </c>
      <c r="E1042" s="6">
        <f t="shared" ca="1" si="620"/>
        <v>21276</v>
      </c>
      <c r="F1042" s="7">
        <f t="shared" ca="1" si="621"/>
        <v>0</v>
      </c>
      <c r="G1042" s="125">
        <f ca="1">IF('Simulador - 1º Pilar'!$E$99="Sí",IF('Aportaciones PPE'!$B$13&lt;'Aportaciones PPE'!E1042,0,F1042*$B$8/12),F1042*$B$8/12)</f>
        <v>0</v>
      </c>
      <c r="H1042" s="125">
        <f t="shared" ca="1" si="610"/>
        <v>0</v>
      </c>
      <c r="I1042" s="125">
        <f t="shared" ca="1" si="622"/>
        <v>0</v>
      </c>
      <c r="J1042" s="125">
        <f t="shared" ca="1" si="623"/>
        <v>0</v>
      </c>
      <c r="K1042" s="125">
        <f t="shared" ca="1" si="624"/>
        <v>0</v>
      </c>
      <c r="L1042" s="125">
        <f t="shared" ca="1" si="642"/>
        <v>0</v>
      </c>
      <c r="M1042" s="125">
        <f t="shared" ca="1" si="625"/>
        <v>0</v>
      </c>
      <c r="N1042" s="125">
        <f t="shared" ca="1" si="626"/>
        <v>0</v>
      </c>
      <c r="R1042">
        <f t="shared" si="643"/>
        <v>1035</v>
      </c>
      <c r="U1042" s="55"/>
      <c r="V1042">
        <f t="shared" si="644"/>
        <v>4</v>
      </c>
      <c r="W1042">
        <f t="shared" ca="1" si="645"/>
        <v>2110</v>
      </c>
      <c r="X1042" s="123">
        <f t="shared" ca="1" si="627"/>
        <v>76793</v>
      </c>
      <c r="Y1042" s="64">
        <f t="shared" ca="1" si="628"/>
        <v>0</v>
      </c>
      <c r="Z1042" s="64">
        <f t="shared" ca="1" si="629"/>
        <v>0</v>
      </c>
      <c r="AA1042" s="64">
        <f t="shared" ca="1" si="630"/>
        <v>0</v>
      </c>
      <c r="AB1042" s="64">
        <f t="shared" ca="1" si="631"/>
        <v>0</v>
      </c>
      <c r="AF1042" t="str">
        <f t="shared" ca="1" si="611"/>
        <v>41958</v>
      </c>
      <c r="AG1042" s="126">
        <f t="shared" ca="1" si="612"/>
        <v>0</v>
      </c>
      <c r="AH1042" s="126">
        <f t="shared" ca="1" si="613"/>
        <v>0</v>
      </c>
      <c r="AI1042" s="126">
        <f t="shared" ca="1" si="614"/>
        <v>0</v>
      </c>
      <c r="AJ1042" t="str">
        <f t="shared" ca="1" si="615"/>
        <v>42110</v>
      </c>
      <c r="AK1042" s="126">
        <f t="shared" ca="1" si="632"/>
        <v>0</v>
      </c>
      <c r="AL1042" s="126">
        <f t="shared" ca="1" si="633"/>
        <v>0</v>
      </c>
      <c r="AM1042" s="126">
        <f t="shared" ca="1" si="646"/>
        <v>0</v>
      </c>
      <c r="AN1042" s="753">
        <f t="shared" ca="1" si="647"/>
        <v>0</v>
      </c>
      <c r="AO1042" s="750">
        <f t="shared" ca="1" si="634"/>
        <v>0</v>
      </c>
      <c r="AP1042" s="126">
        <f t="shared" ca="1" si="635"/>
        <v>0</v>
      </c>
      <c r="AQ1042" s="126">
        <f t="shared" ca="1" si="636"/>
        <v>0</v>
      </c>
      <c r="AR1042" s="126">
        <f t="shared" ca="1" si="616"/>
        <v>10000</v>
      </c>
      <c r="AS1042" s="750">
        <f t="shared" ca="1" si="617"/>
        <v>0</v>
      </c>
      <c r="AT1042" s="750">
        <f t="shared" ca="1" si="618"/>
        <v>0</v>
      </c>
      <c r="AU1042" s="126">
        <f t="shared" ca="1" si="637"/>
        <v>0</v>
      </c>
      <c r="AV1042" s="126">
        <f t="shared" ca="1" si="638"/>
        <v>0</v>
      </c>
      <c r="AW1042" s="126">
        <f t="shared" ca="1" si="619"/>
        <v>10000</v>
      </c>
      <c r="AX1042" s="750">
        <f t="shared" ca="1" si="639"/>
        <v>0</v>
      </c>
      <c r="AY1042" s="750">
        <f t="shared" ca="1" si="640"/>
        <v>0</v>
      </c>
      <c r="AZ1042">
        <f t="shared" si="641"/>
        <v>5750</v>
      </c>
    </row>
    <row r="1043" spans="4:52">
      <c r="D1043">
        <v>1036</v>
      </c>
      <c r="E1043" s="6">
        <f t="shared" ca="1" si="620"/>
        <v>21245</v>
      </c>
      <c r="F1043" s="7">
        <f t="shared" ca="1" si="621"/>
        <v>0</v>
      </c>
      <c r="G1043" s="125">
        <f ca="1">IF('Simulador - 1º Pilar'!$E$99="Sí",IF('Aportaciones PPE'!$B$13&lt;'Aportaciones PPE'!E1043,0,F1043*$B$8/12),F1043*$B$8/12)</f>
        <v>0</v>
      </c>
      <c r="H1043" s="125">
        <f t="shared" ca="1" si="610"/>
        <v>0</v>
      </c>
      <c r="I1043" s="125">
        <f t="shared" ca="1" si="622"/>
        <v>0</v>
      </c>
      <c r="J1043" s="125">
        <f t="shared" ca="1" si="623"/>
        <v>0</v>
      </c>
      <c r="K1043" s="125">
        <f t="shared" ca="1" si="624"/>
        <v>0</v>
      </c>
      <c r="L1043" s="125">
        <f t="shared" ca="1" si="642"/>
        <v>0</v>
      </c>
      <c r="M1043" s="125">
        <f t="shared" ca="1" si="625"/>
        <v>0</v>
      </c>
      <c r="N1043" s="125">
        <f t="shared" ca="1" si="626"/>
        <v>0</v>
      </c>
      <c r="R1043">
        <f t="shared" si="643"/>
        <v>1036</v>
      </c>
      <c r="U1043" s="55"/>
      <c r="V1043">
        <f t="shared" si="644"/>
        <v>5</v>
      </c>
      <c r="W1043">
        <f t="shared" ca="1" si="645"/>
        <v>2110</v>
      </c>
      <c r="X1043" s="123">
        <f t="shared" ca="1" si="627"/>
        <v>76823</v>
      </c>
      <c r="Y1043" s="64">
        <f t="shared" ca="1" si="628"/>
        <v>0</v>
      </c>
      <c r="Z1043" s="64">
        <f t="shared" ca="1" si="629"/>
        <v>0</v>
      </c>
      <c r="AA1043" s="64">
        <f t="shared" ca="1" si="630"/>
        <v>0</v>
      </c>
      <c r="AB1043" s="64">
        <f t="shared" ca="1" si="631"/>
        <v>0</v>
      </c>
      <c r="AF1043" t="str">
        <f t="shared" ca="1" si="611"/>
        <v>31958</v>
      </c>
      <c r="AG1043" s="126">
        <f t="shared" ca="1" si="612"/>
        <v>0</v>
      </c>
      <c r="AH1043" s="126">
        <f t="shared" ca="1" si="613"/>
        <v>0</v>
      </c>
      <c r="AI1043" s="126">
        <f t="shared" ca="1" si="614"/>
        <v>0</v>
      </c>
      <c r="AJ1043" t="str">
        <f t="shared" ca="1" si="615"/>
        <v>52110</v>
      </c>
      <c r="AK1043" s="126">
        <f t="shared" ca="1" si="632"/>
        <v>0</v>
      </c>
      <c r="AL1043" s="126">
        <f t="shared" ca="1" si="633"/>
        <v>0</v>
      </c>
      <c r="AM1043" s="126">
        <f t="shared" ca="1" si="646"/>
        <v>0</v>
      </c>
      <c r="AN1043" s="753">
        <f t="shared" ca="1" si="647"/>
        <v>0</v>
      </c>
      <c r="AO1043" s="750">
        <f t="shared" ca="1" si="634"/>
        <v>0</v>
      </c>
      <c r="AP1043" s="126">
        <f t="shared" ca="1" si="635"/>
        <v>0</v>
      </c>
      <c r="AQ1043" s="126">
        <f t="shared" ca="1" si="636"/>
        <v>0</v>
      </c>
      <c r="AR1043" s="126">
        <f t="shared" ca="1" si="616"/>
        <v>10000</v>
      </c>
      <c r="AS1043" s="750">
        <f t="shared" ca="1" si="617"/>
        <v>0</v>
      </c>
      <c r="AT1043" s="750">
        <f t="shared" ca="1" si="618"/>
        <v>0</v>
      </c>
      <c r="AU1043" s="126">
        <f t="shared" ca="1" si="637"/>
        <v>0</v>
      </c>
      <c r="AV1043" s="126">
        <f t="shared" ca="1" si="638"/>
        <v>0</v>
      </c>
      <c r="AW1043" s="126">
        <f t="shared" ca="1" si="619"/>
        <v>10000</v>
      </c>
      <c r="AX1043" s="750">
        <f t="shared" ca="1" si="639"/>
        <v>0</v>
      </c>
      <c r="AY1043" s="750">
        <f t="shared" ca="1" si="640"/>
        <v>0</v>
      </c>
      <c r="AZ1043">
        <f t="shared" si="641"/>
        <v>5750</v>
      </c>
    </row>
    <row r="1044" spans="4:52">
      <c r="D1044">
        <v>1037</v>
      </c>
      <c r="E1044" s="6">
        <f t="shared" ca="1" si="620"/>
        <v>21217</v>
      </c>
      <c r="F1044" s="7">
        <f t="shared" ca="1" si="621"/>
        <v>0</v>
      </c>
      <c r="G1044" s="125">
        <f ca="1">IF('Simulador - 1º Pilar'!$E$99="Sí",IF('Aportaciones PPE'!$B$13&lt;'Aportaciones PPE'!E1044,0,F1044*$B$8/12),F1044*$B$8/12)</f>
        <v>0</v>
      </c>
      <c r="H1044" s="125">
        <f t="shared" ca="1" si="610"/>
        <v>0</v>
      </c>
      <c r="I1044" s="125">
        <f t="shared" ca="1" si="622"/>
        <v>0</v>
      </c>
      <c r="J1044" s="125">
        <f t="shared" ca="1" si="623"/>
        <v>0</v>
      </c>
      <c r="K1044" s="125">
        <f t="shared" ca="1" si="624"/>
        <v>0</v>
      </c>
      <c r="L1044" s="125">
        <f t="shared" ca="1" si="642"/>
        <v>0</v>
      </c>
      <c r="M1044" s="125">
        <f t="shared" ca="1" si="625"/>
        <v>0</v>
      </c>
      <c r="N1044" s="125">
        <f t="shared" ca="1" si="626"/>
        <v>0</v>
      </c>
      <c r="R1044">
        <f t="shared" si="643"/>
        <v>1037</v>
      </c>
      <c r="U1044" s="55"/>
      <c r="V1044">
        <f t="shared" si="644"/>
        <v>6</v>
      </c>
      <c r="W1044">
        <f t="shared" ca="1" si="645"/>
        <v>2110</v>
      </c>
      <c r="X1044" s="123">
        <f t="shared" ca="1" si="627"/>
        <v>76854</v>
      </c>
      <c r="Y1044" s="64">
        <f t="shared" ca="1" si="628"/>
        <v>0</v>
      </c>
      <c r="Z1044" s="64">
        <f t="shared" ca="1" si="629"/>
        <v>0</v>
      </c>
      <c r="AA1044" s="64">
        <f t="shared" ca="1" si="630"/>
        <v>0</v>
      </c>
      <c r="AB1044" s="64">
        <f t="shared" ca="1" si="631"/>
        <v>0</v>
      </c>
      <c r="AF1044" t="str">
        <f t="shared" ca="1" si="611"/>
        <v>21958</v>
      </c>
      <c r="AG1044" s="126">
        <f t="shared" ca="1" si="612"/>
        <v>0</v>
      </c>
      <c r="AH1044" s="126">
        <f t="shared" ca="1" si="613"/>
        <v>0</v>
      </c>
      <c r="AI1044" s="126">
        <f t="shared" ca="1" si="614"/>
        <v>0</v>
      </c>
      <c r="AJ1044" t="str">
        <f t="shared" ca="1" si="615"/>
        <v>62110</v>
      </c>
      <c r="AK1044" s="126">
        <f t="shared" ca="1" si="632"/>
        <v>0</v>
      </c>
      <c r="AL1044" s="126">
        <f t="shared" ca="1" si="633"/>
        <v>0</v>
      </c>
      <c r="AM1044" s="126">
        <f t="shared" ca="1" si="646"/>
        <v>0</v>
      </c>
      <c r="AN1044" s="753">
        <f t="shared" ca="1" si="647"/>
        <v>0</v>
      </c>
      <c r="AO1044" s="750">
        <f t="shared" ca="1" si="634"/>
        <v>0</v>
      </c>
      <c r="AP1044" s="126">
        <f t="shared" ca="1" si="635"/>
        <v>0</v>
      </c>
      <c r="AQ1044" s="126">
        <f t="shared" ca="1" si="636"/>
        <v>0</v>
      </c>
      <c r="AR1044" s="126">
        <f t="shared" ca="1" si="616"/>
        <v>10000</v>
      </c>
      <c r="AS1044" s="750">
        <f t="shared" ca="1" si="617"/>
        <v>0</v>
      </c>
      <c r="AT1044" s="750">
        <f t="shared" ca="1" si="618"/>
        <v>0</v>
      </c>
      <c r="AU1044" s="126">
        <f t="shared" ca="1" si="637"/>
        <v>0</v>
      </c>
      <c r="AV1044" s="126">
        <f t="shared" ca="1" si="638"/>
        <v>0</v>
      </c>
      <c r="AW1044" s="126">
        <f t="shared" ca="1" si="619"/>
        <v>10000</v>
      </c>
      <c r="AX1044" s="750">
        <f t="shared" ca="1" si="639"/>
        <v>0</v>
      </c>
      <c r="AY1044" s="750">
        <f t="shared" ca="1" si="640"/>
        <v>0</v>
      </c>
      <c r="AZ1044">
        <f t="shared" si="641"/>
        <v>5750</v>
      </c>
    </row>
    <row r="1045" spans="4:52">
      <c r="D1045">
        <v>1038</v>
      </c>
      <c r="E1045" s="6">
        <f t="shared" ca="1" si="620"/>
        <v>21186</v>
      </c>
      <c r="F1045" s="7">
        <f t="shared" ca="1" si="621"/>
        <v>0</v>
      </c>
      <c r="G1045" s="125">
        <f ca="1">IF('Simulador - 1º Pilar'!$E$99="Sí",IF('Aportaciones PPE'!$B$13&lt;'Aportaciones PPE'!E1045,0,F1045*$B$8/12),F1045*$B$8/12)</f>
        <v>0</v>
      </c>
      <c r="H1045" s="125">
        <f t="shared" ca="1" si="610"/>
        <v>0</v>
      </c>
      <c r="I1045" s="125">
        <f t="shared" ca="1" si="622"/>
        <v>0</v>
      </c>
      <c r="J1045" s="125">
        <f t="shared" ca="1" si="623"/>
        <v>0</v>
      </c>
      <c r="K1045" s="125">
        <f t="shared" ca="1" si="624"/>
        <v>0</v>
      </c>
      <c r="L1045" s="125">
        <f t="shared" ca="1" si="642"/>
        <v>0</v>
      </c>
      <c r="M1045" s="125">
        <f t="shared" ca="1" si="625"/>
        <v>0</v>
      </c>
      <c r="N1045" s="125">
        <f t="shared" ca="1" si="626"/>
        <v>0</v>
      </c>
      <c r="R1045">
        <f t="shared" si="643"/>
        <v>1038</v>
      </c>
      <c r="U1045" s="55"/>
      <c r="V1045">
        <f t="shared" si="644"/>
        <v>7</v>
      </c>
      <c r="W1045">
        <f t="shared" ca="1" si="645"/>
        <v>2110</v>
      </c>
      <c r="X1045" s="123">
        <f t="shared" ca="1" si="627"/>
        <v>76884</v>
      </c>
      <c r="Y1045" s="64">
        <f t="shared" ca="1" si="628"/>
        <v>0</v>
      </c>
      <c r="Z1045" s="64">
        <f t="shared" ca="1" si="629"/>
        <v>0</v>
      </c>
      <c r="AA1045" s="64">
        <f t="shared" ca="1" si="630"/>
        <v>0</v>
      </c>
      <c r="AB1045" s="64">
        <f t="shared" ca="1" si="631"/>
        <v>0</v>
      </c>
      <c r="AF1045" t="str">
        <f t="shared" ca="1" si="611"/>
        <v>11958</v>
      </c>
      <c r="AG1045" s="126">
        <f t="shared" ca="1" si="612"/>
        <v>0</v>
      </c>
      <c r="AH1045" s="126">
        <f t="shared" ca="1" si="613"/>
        <v>0</v>
      </c>
      <c r="AI1045" s="126">
        <f t="shared" ca="1" si="614"/>
        <v>0</v>
      </c>
      <c r="AJ1045" t="str">
        <f t="shared" ca="1" si="615"/>
        <v>72110</v>
      </c>
      <c r="AK1045" s="126">
        <f t="shared" ca="1" si="632"/>
        <v>0</v>
      </c>
      <c r="AL1045" s="126">
        <f t="shared" ca="1" si="633"/>
        <v>0</v>
      </c>
      <c r="AM1045" s="126">
        <f t="shared" ca="1" si="646"/>
        <v>0</v>
      </c>
      <c r="AN1045" s="753">
        <f t="shared" ca="1" si="647"/>
        <v>0</v>
      </c>
      <c r="AO1045" s="750">
        <f t="shared" ca="1" si="634"/>
        <v>0</v>
      </c>
      <c r="AP1045" s="126">
        <f t="shared" ca="1" si="635"/>
        <v>0</v>
      </c>
      <c r="AQ1045" s="126">
        <f t="shared" ca="1" si="636"/>
        <v>0</v>
      </c>
      <c r="AR1045" s="126">
        <f t="shared" ca="1" si="616"/>
        <v>10000</v>
      </c>
      <c r="AS1045" s="750">
        <f t="shared" ca="1" si="617"/>
        <v>0</v>
      </c>
      <c r="AT1045" s="750">
        <f t="shared" ca="1" si="618"/>
        <v>0</v>
      </c>
      <c r="AU1045" s="126">
        <f t="shared" ca="1" si="637"/>
        <v>0</v>
      </c>
      <c r="AV1045" s="126">
        <f t="shared" ca="1" si="638"/>
        <v>0</v>
      </c>
      <c r="AW1045" s="126">
        <f t="shared" ca="1" si="619"/>
        <v>10000</v>
      </c>
      <c r="AX1045" s="750">
        <f t="shared" ca="1" si="639"/>
        <v>0</v>
      </c>
      <c r="AY1045" s="750">
        <f t="shared" ca="1" si="640"/>
        <v>0</v>
      </c>
      <c r="AZ1045">
        <f t="shared" si="641"/>
        <v>5750</v>
      </c>
    </row>
    <row r="1046" spans="4:52">
      <c r="D1046">
        <v>1039</v>
      </c>
      <c r="E1046" s="6">
        <f t="shared" ca="1" si="620"/>
        <v>21155</v>
      </c>
      <c r="F1046" s="7">
        <f t="shared" ca="1" si="621"/>
        <v>0</v>
      </c>
      <c r="G1046" s="125">
        <f ca="1">IF('Simulador - 1º Pilar'!$E$99="Sí",IF('Aportaciones PPE'!$B$13&lt;'Aportaciones PPE'!E1046,0,F1046*$B$8/12),F1046*$B$8/12)</f>
        <v>0</v>
      </c>
      <c r="H1046" s="125">
        <f t="shared" ca="1" si="610"/>
        <v>0</v>
      </c>
      <c r="I1046" s="125">
        <f t="shared" ca="1" si="622"/>
        <v>0</v>
      </c>
      <c r="J1046" s="125">
        <f t="shared" ca="1" si="623"/>
        <v>0</v>
      </c>
      <c r="K1046" s="125">
        <f t="shared" ca="1" si="624"/>
        <v>0</v>
      </c>
      <c r="L1046" s="125">
        <f t="shared" ca="1" si="642"/>
        <v>0</v>
      </c>
      <c r="M1046" s="125">
        <f t="shared" ca="1" si="625"/>
        <v>0</v>
      </c>
      <c r="N1046" s="125">
        <f t="shared" ca="1" si="626"/>
        <v>0</v>
      </c>
      <c r="R1046">
        <f t="shared" si="643"/>
        <v>1039</v>
      </c>
      <c r="U1046" s="55"/>
      <c r="V1046">
        <f t="shared" si="644"/>
        <v>8</v>
      </c>
      <c r="W1046">
        <f t="shared" ca="1" si="645"/>
        <v>2110</v>
      </c>
      <c r="X1046" s="123">
        <f t="shared" ca="1" si="627"/>
        <v>76915</v>
      </c>
      <c r="Y1046" s="64">
        <f t="shared" ca="1" si="628"/>
        <v>0</v>
      </c>
      <c r="Z1046" s="64">
        <f t="shared" ca="1" si="629"/>
        <v>0</v>
      </c>
      <c r="AA1046" s="64">
        <f t="shared" ca="1" si="630"/>
        <v>0</v>
      </c>
      <c r="AB1046" s="64">
        <f t="shared" ca="1" si="631"/>
        <v>0</v>
      </c>
      <c r="AF1046" t="str">
        <f t="shared" ca="1" si="611"/>
        <v>121957</v>
      </c>
      <c r="AG1046" s="126">
        <f t="shared" ca="1" si="612"/>
        <v>0</v>
      </c>
      <c r="AH1046" s="126">
        <f t="shared" ca="1" si="613"/>
        <v>0</v>
      </c>
      <c r="AI1046" s="126">
        <f t="shared" ca="1" si="614"/>
        <v>0</v>
      </c>
      <c r="AJ1046" t="str">
        <f t="shared" ca="1" si="615"/>
        <v>82110</v>
      </c>
      <c r="AK1046" s="126">
        <f t="shared" ca="1" si="632"/>
        <v>0</v>
      </c>
      <c r="AL1046" s="126">
        <f t="shared" ca="1" si="633"/>
        <v>0</v>
      </c>
      <c r="AM1046" s="126">
        <f t="shared" ca="1" si="646"/>
        <v>0</v>
      </c>
      <c r="AN1046" s="753">
        <f t="shared" ca="1" si="647"/>
        <v>0</v>
      </c>
      <c r="AO1046" s="750">
        <f t="shared" ca="1" si="634"/>
        <v>0</v>
      </c>
      <c r="AP1046" s="126">
        <f t="shared" ca="1" si="635"/>
        <v>0</v>
      </c>
      <c r="AQ1046" s="126">
        <f t="shared" ca="1" si="636"/>
        <v>0</v>
      </c>
      <c r="AR1046" s="126">
        <f t="shared" ca="1" si="616"/>
        <v>10000</v>
      </c>
      <c r="AS1046" s="750">
        <f t="shared" ca="1" si="617"/>
        <v>0</v>
      </c>
      <c r="AT1046" s="750">
        <f t="shared" ca="1" si="618"/>
        <v>0</v>
      </c>
      <c r="AU1046" s="126">
        <f t="shared" ca="1" si="637"/>
        <v>0</v>
      </c>
      <c r="AV1046" s="126">
        <f t="shared" ca="1" si="638"/>
        <v>0</v>
      </c>
      <c r="AW1046" s="126">
        <f t="shared" ca="1" si="619"/>
        <v>10000</v>
      </c>
      <c r="AX1046" s="750">
        <f t="shared" ca="1" si="639"/>
        <v>0</v>
      </c>
      <c r="AY1046" s="750">
        <f t="shared" ca="1" si="640"/>
        <v>0</v>
      </c>
      <c r="AZ1046">
        <f t="shared" si="641"/>
        <v>5750</v>
      </c>
    </row>
    <row r="1047" spans="4:52">
      <c r="D1047">
        <v>1040</v>
      </c>
      <c r="E1047" s="6">
        <f t="shared" ca="1" si="620"/>
        <v>21125</v>
      </c>
      <c r="F1047" s="7">
        <f t="shared" ca="1" si="621"/>
        <v>0</v>
      </c>
      <c r="G1047" s="125">
        <f ca="1">IF('Simulador - 1º Pilar'!$E$99="Sí",IF('Aportaciones PPE'!$B$13&lt;'Aportaciones PPE'!E1047,0,F1047*$B$8/12),F1047*$B$8/12)</f>
        <v>0</v>
      </c>
      <c r="H1047" s="125">
        <f t="shared" ca="1" si="610"/>
        <v>0</v>
      </c>
      <c r="I1047" s="125">
        <f t="shared" ca="1" si="622"/>
        <v>0</v>
      </c>
      <c r="J1047" s="125">
        <f t="shared" ca="1" si="623"/>
        <v>0</v>
      </c>
      <c r="K1047" s="125">
        <f t="shared" ca="1" si="624"/>
        <v>0</v>
      </c>
      <c r="L1047" s="125">
        <f t="shared" ca="1" si="642"/>
        <v>0</v>
      </c>
      <c r="M1047" s="125">
        <f t="shared" ca="1" si="625"/>
        <v>0</v>
      </c>
      <c r="N1047" s="125">
        <f t="shared" ca="1" si="626"/>
        <v>0</v>
      </c>
      <c r="R1047">
        <f t="shared" si="643"/>
        <v>1040</v>
      </c>
      <c r="U1047" s="55"/>
      <c r="V1047">
        <f t="shared" si="644"/>
        <v>9</v>
      </c>
      <c r="W1047">
        <f t="shared" ca="1" si="645"/>
        <v>2110</v>
      </c>
      <c r="X1047" s="123">
        <f t="shared" ca="1" si="627"/>
        <v>76946</v>
      </c>
      <c r="Y1047" s="64">
        <f t="shared" ca="1" si="628"/>
        <v>0</v>
      </c>
      <c r="Z1047" s="64">
        <f t="shared" ca="1" si="629"/>
        <v>0</v>
      </c>
      <c r="AA1047" s="64">
        <f t="shared" ca="1" si="630"/>
        <v>0</v>
      </c>
      <c r="AB1047" s="64">
        <f t="shared" ca="1" si="631"/>
        <v>0</v>
      </c>
      <c r="AF1047" t="str">
        <f t="shared" ca="1" si="611"/>
        <v>111957</v>
      </c>
      <c r="AG1047" s="126">
        <f t="shared" ca="1" si="612"/>
        <v>0</v>
      </c>
      <c r="AH1047" s="126">
        <f t="shared" ca="1" si="613"/>
        <v>0</v>
      </c>
      <c r="AI1047" s="126">
        <f t="shared" ca="1" si="614"/>
        <v>0</v>
      </c>
      <c r="AJ1047" t="str">
        <f t="shared" ca="1" si="615"/>
        <v>92110</v>
      </c>
      <c r="AK1047" s="126">
        <f t="shared" ca="1" si="632"/>
        <v>0</v>
      </c>
      <c r="AL1047" s="126">
        <f t="shared" ca="1" si="633"/>
        <v>0</v>
      </c>
      <c r="AM1047" s="126">
        <f t="shared" ca="1" si="646"/>
        <v>0</v>
      </c>
      <c r="AN1047" s="753">
        <f t="shared" ca="1" si="647"/>
        <v>0</v>
      </c>
      <c r="AO1047" s="750">
        <f t="shared" ca="1" si="634"/>
        <v>0</v>
      </c>
      <c r="AP1047" s="126">
        <f t="shared" ca="1" si="635"/>
        <v>0</v>
      </c>
      <c r="AQ1047" s="126">
        <f t="shared" ca="1" si="636"/>
        <v>0</v>
      </c>
      <c r="AR1047" s="126">
        <f t="shared" ca="1" si="616"/>
        <v>10000</v>
      </c>
      <c r="AS1047" s="750">
        <f t="shared" ca="1" si="617"/>
        <v>0</v>
      </c>
      <c r="AT1047" s="750">
        <f t="shared" ca="1" si="618"/>
        <v>0</v>
      </c>
      <c r="AU1047" s="126">
        <f t="shared" ca="1" si="637"/>
        <v>0</v>
      </c>
      <c r="AV1047" s="126">
        <f t="shared" ca="1" si="638"/>
        <v>0</v>
      </c>
      <c r="AW1047" s="126">
        <f t="shared" ca="1" si="619"/>
        <v>10000</v>
      </c>
      <c r="AX1047" s="750">
        <f t="shared" ca="1" si="639"/>
        <v>0</v>
      </c>
      <c r="AY1047" s="750">
        <f t="shared" ca="1" si="640"/>
        <v>0</v>
      </c>
      <c r="AZ1047">
        <f t="shared" si="641"/>
        <v>5750</v>
      </c>
    </row>
    <row r="1048" spans="4:52">
      <c r="D1048">
        <v>1041</v>
      </c>
      <c r="E1048" s="6">
        <f t="shared" ca="1" si="620"/>
        <v>21094</v>
      </c>
      <c r="F1048" s="7">
        <f t="shared" ca="1" si="621"/>
        <v>0</v>
      </c>
      <c r="G1048" s="125">
        <f ca="1">IF('Simulador - 1º Pilar'!$E$99="Sí",IF('Aportaciones PPE'!$B$13&lt;'Aportaciones PPE'!E1048,0,F1048*$B$8/12),F1048*$B$8/12)</f>
        <v>0</v>
      </c>
      <c r="H1048" s="125">
        <f t="shared" ca="1" si="610"/>
        <v>0</v>
      </c>
      <c r="I1048" s="125">
        <f t="shared" ca="1" si="622"/>
        <v>0</v>
      </c>
      <c r="J1048" s="125">
        <f t="shared" ca="1" si="623"/>
        <v>0</v>
      </c>
      <c r="K1048" s="125">
        <f t="shared" ca="1" si="624"/>
        <v>0</v>
      </c>
      <c r="L1048" s="125">
        <f t="shared" ca="1" si="642"/>
        <v>0</v>
      </c>
      <c r="M1048" s="125">
        <f t="shared" ca="1" si="625"/>
        <v>0</v>
      </c>
      <c r="N1048" s="125">
        <f t="shared" ca="1" si="626"/>
        <v>0</v>
      </c>
      <c r="R1048">
        <f t="shared" si="643"/>
        <v>1041</v>
      </c>
      <c r="U1048" s="55"/>
      <c r="V1048">
        <f t="shared" si="644"/>
        <v>10</v>
      </c>
      <c r="W1048">
        <f t="shared" ca="1" si="645"/>
        <v>2110</v>
      </c>
      <c r="X1048" s="123">
        <f t="shared" ca="1" si="627"/>
        <v>76976</v>
      </c>
      <c r="Y1048" s="64">
        <f t="shared" ca="1" si="628"/>
        <v>0</v>
      </c>
      <c r="Z1048" s="64">
        <f t="shared" ca="1" si="629"/>
        <v>0</v>
      </c>
      <c r="AA1048" s="64">
        <f t="shared" ca="1" si="630"/>
        <v>0</v>
      </c>
      <c r="AB1048" s="64">
        <f t="shared" ca="1" si="631"/>
        <v>0</v>
      </c>
      <c r="AF1048" t="str">
        <f t="shared" ca="1" si="611"/>
        <v>101957</v>
      </c>
      <c r="AG1048" s="126">
        <f t="shared" ca="1" si="612"/>
        <v>0</v>
      </c>
      <c r="AH1048" s="126">
        <f t="shared" ca="1" si="613"/>
        <v>0</v>
      </c>
      <c r="AI1048" s="126">
        <f t="shared" ca="1" si="614"/>
        <v>0</v>
      </c>
      <c r="AJ1048" t="str">
        <f t="shared" ca="1" si="615"/>
        <v>102110</v>
      </c>
      <c r="AK1048" s="126">
        <f t="shared" ca="1" si="632"/>
        <v>0</v>
      </c>
      <c r="AL1048" s="126">
        <f t="shared" ca="1" si="633"/>
        <v>0</v>
      </c>
      <c r="AM1048" s="126">
        <f t="shared" ca="1" si="646"/>
        <v>0</v>
      </c>
      <c r="AN1048" s="753">
        <f t="shared" ca="1" si="647"/>
        <v>0</v>
      </c>
      <c r="AO1048" s="750">
        <f t="shared" ca="1" si="634"/>
        <v>0</v>
      </c>
      <c r="AP1048" s="126">
        <f t="shared" ca="1" si="635"/>
        <v>0</v>
      </c>
      <c r="AQ1048" s="126">
        <f t="shared" ca="1" si="636"/>
        <v>0</v>
      </c>
      <c r="AR1048" s="126">
        <f t="shared" ca="1" si="616"/>
        <v>10000</v>
      </c>
      <c r="AS1048" s="750">
        <f t="shared" ca="1" si="617"/>
        <v>0</v>
      </c>
      <c r="AT1048" s="750">
        <f t="shared" ca="1" si="618"/>
        <v>0</v>
      </c>
      <c r="AU1048" s="126">
        <f t="shared" ca="1" si="637"/>
        <v>0</v>
      </c>
      <c r="AV1048" s="126">
        <f t="shared" ca="1" si="638"/>
        <v>0</v>
      </c>
      <c r="AW1048" s="126">
        <f t="shared" ca="1" si="619"/>
        <v>10000</v>
      </c>
      <c r="AX1048" s="750">
        <f t="shared" ca="1" si="639"/>
        <v>0</v>
      </c>
      <c r="AY1048" s="750">
        <f t="shared" ca="1" si="640"/>
        <v>0</v>
      </c>
      <c r="AZ1048">
        <f t="shared" si="641"/>
        <v>5750</v>
      </c>
    </row>
    <row r="1049" spans="4:52">
      <c r="D1049">
        <v>1042</v>
      </c>
      <c r="E1049" s="6">
        <f t="shared" ca="1" si="620"/>
        <v>21064</v>
      </c>
      <c r="F1049" s="7">
        <f t="shared" ca="1" si="621"/>
        <v>0</v>
      </c>
      <c r="G1049" s="125">
        <f ca="1">IF('Simulador - 1º Pilar'!$E$99="Sí",IF('Aportaciones PPE'!$B$13&lt;'Aportaciones PPE'!E1049,0,F1049*$B$8/12),F1049*$B$8/12)</f>
        <v>0</v>
      </c>
      <c r="H1049" s="125">
        <f t="shared" ca="1" si="610"/>
        <v>0</v>
      </c>
      <c r="I1049" s="125">
        <f t="shared" ca="1" si="622"/>
        <v>0</v>
      </c>
      <c r="J1049" s="125">
        <f t="shared" ca="1" si="623"/>
        <v>0</v>
      </c>
      <c r="K1049" s="125">
        <f t="shared" ca="1" si="624"/>
        <v>0</v>
      </c>
      <c r="L1049" s="125">
        <f t="shared" ca="1" si="642"/>
        <v>0</v>
      </c>
      <c r="M1049" s="125">
        <f t="shared" ca="1" si="625"/>
        <v>0</v>
      </c>
      <c r="N1049" s="125">
        <f t="shared" ca="1" si="626"/>
        <v>0</v>
      </c>
      <c r="R1049">
        <f t="shared" si="643"/>
        <v>1042</v>
      </c>
      <c r="U1049" s="55"/>
      <c r="V1049">
        <f t="shared" si="644"/>
        <v>11</v>
      </c>
      <c r="W1049">
        <f t="shared" ca="1" si="645"/>
        <v>2110</v>
      </c>
      <c r="X1049" s="123">
        <f t="shared" ca="1" si="627"/>
        <v>77007</v>
      </c>
      <c r="Y1049" s="64">
        <f t="shared" ca="1" si="628"/>
        <v>0</v>
      </c>
      <c r="Z1049" s="64">
        <f t="shared" ca="1" si="629"/>
        <v>0</v>
      </c>
      <c r="AA1049" s="64">
        <f t="shared" ca="1" si="630"/>
        <v>0</v>
      </c>
      <c r="AB1049" s="64">
        <f t="shared" ca="1" si="631"/>
        <v>0</v>
      </c>
      <c r="AF1049" t="str">
        <f t="shared" ca="1" si="611"/>
        <v>91957</v>
      </c>
      <c r="AG1049" s="126">
        <f t="shared" ca="1" si="612"/>
        <v>0</v>
      </c>
      <c r="AH1049" s="126">
        <f t="shared" ca="1" si="613"/>
        <v>0</v>
      </c>
      <c r="AI1049" s="126">
        <f t="shared" ca="1" si="614"/>
        <v>0</v>
      </c>
      <c r="AJ1049" t="str">
        <f t="shared" ca="1" si="615"/>
        <v>112110</v>
      </c>
      <c r="AK1049" s="126">
        <f t="shared" ca="1" si="632"/>
        <v>0</v>
      </c>
      <c r="AL1049" s="126">
        <f t="shared" ca="1" si="633"/>
        <v>0</v>
      </c>
      <c r="AM1049" s="126">
        <f t="shared" ca="1" si="646"/>
        <v>0</v>
      </c>
      <c r="AN1049" s="753">
        <f t="shared" ca="1" si="647"/>
        <v>0</v>
      </c>
      <c r="AO1049" s="750">
        <f t="shared" ca="1" si="634"/>
        <v>0</v>
      </c>
      <c r="AP1049" s="126">
        <f t="shared" ca="1" si="635"/>
        <v>0</v>
      </c>
      <c r="AQ1049" s="126">
        <f t="shared" ca="1" si="636"/>
        <v>0</v>
      </c>
      <c r="AR1049" s="126">
        <f t="shared" ca="1" si="616"/>
        <v>10000</v>
      </c>
      <c r="AS1049" s="750">
        <f t="shared" ca="1" si="617"/>
        <v>0</v>
      </c>
      <c r="AT1049" s="750">
        <f t="shared" ca="1" si="618"/>
        <v>0</v>
      </c>
      <c r="AU1049" s="126">
        <f t="shared" ca="1" si="637"/>
        <v>0</v>
      </c>
      <c r="AV1049" s="126">
        <f t="shared" ca="1" si="638"/>
        <v>0</v>
      </c>
      <c r="AW1049" s="126">
        <f t="shared" ca="1" si="619"/>
        <v>10000</v>
      </c>
      <c r="AX1049" s="750">
        <f t="shared" ca="1" si="639"/>
        <v>0</v>
      </c>
      <c r="AY1049" s="750">
        <f t="shared" ca="1" si="640"/>
        <v>0</v>
      </c>
      <c r="AZ1049">
        <f t="shared" si="641"/>
        <v>5750</v>
      </c>
    </row>
    <row r="1050" spans="4:52">
      <c r="D1050">
        <v>1043</v>
      </c>
      <c r="E1050" s="6">
        <f t="shared" ca="1" si="620"/>
        <v>21033</v>
      </c>
      <c r="F1050" s="7">
        <f t="shared" ca="1" si="621"/>
        <v>0</v>
      </c>
      <c r="G1050" s="125">
        <f ca="1">IF('Simulador - 1º Pilar'!$E$99="Sí",IF('Aportaciones PPE'!$B$13&lt;'Aportaciones PPE'!E1050,0,F1050*$B$8/12),F1050*$B$8/12)</f>
        <v>0</v>
      </c>
      <c r="H1050" s="125">
        <f t="shared" ca="1" si="610"/>
        <v>0</v>
      </c>
      <c r="I1050" s="125">
        <f t="shared" ca="1" si="622"/>
        <v>0</v>
      </c>
      <c r="J1050" s="125">
        <f t="shared" ca="1" si="623"/>
        <v>0</v>
      </c>
      <c r="K1050" s="125">
        <f t="shared" ca="1" si="624"/>
        <v>0</v>
      </c>
      <c r="L1050" s="125">
        <f t="shared" ca="1" si="642"/>
        <v>0</v>
      </c>
      <c r="M1050" s="125">
        <f t="shared" ca="1" si="625"/>
        <v>0</v>
      </c>
      <c r="N1050" s="125">
        <f t="shared" ca="1" si="626"/>
        <v>0</v>
      </c>
      <c r="R1050">
        <f t="shared" si="643"/>
        <v>1043</v>
      </c>
      <c r="U1050" s="55"/>
      <c r="V1050">
        <f t="shared" si="644"/>
        <v>12</v>
      </c>
      <c r="W1050">
        <f t="shared" ca="1" si="645"/>
        <v>2110</v>
      </c>
      <c r="X1050" s="123">
        <f t="shared" ca="1" si="627"/>
        <v>77037</v>
      </c>
      <c r="Y1050" s="64">
        <f t="shared" ca="1" si="628"/>
        <v>0</v>
      </c>
      <c r="Z1050" s="64">
        <f t="shared" ca="1" si="629"/>
        <v>0</v>
      </c>
      <c r="AA1050" s="64">
        <f t="shared" ca="1" si="630"/>
        <v>0</v>
      </c>
      <c r="AB1050" s="64">
        <f t="shared" ca="1" si="631"/>
        <v>0</v>
      </c>
      <c r="AF1050" t="str">
        <f t="shared" ca="1" si="611"/>
        <v>81957</v>
      </c>
      <c r="AG1050" s="126">
        <f t="shared" ca="1" si="612"/>
        <v>0</v>
      </c>
      <c r="AH1050" s="126">
        <f t="shared" ca="1" si="613"/>
        <v>0</v>
      </c>
      <c r="AI1050" s="126">
        <f t="shared" ca="1" si="614"/>
        <v>0</v>
      </c>
      <c r="AJ1050" t="str">
        <f t="shared" ca="1" si="615"/>
        <v>122110</v>
      </c>
      <c r="AK1050" s="126">
        <f t="shared" ca="1" si="632"/>
        <v>0</v>
      </c>
      <c r="AL1050" s="126">
        <f t="shared" ca="1" si="633"/>
        <v>0</v>
      </c>
      <c r="AM1050" s="126">
        <f t="shared" ca="1" si="646"/>
        <v>0</v>
      </c>
      <c r="AN1050" s="753">
        <f t="shared" ca="1" si="647"/>
        <v>0</v>
      </c>
      <c r="AO1050" s="750">
        <f t="shared" ca="1" si="634"/>
        <v>0</v>
      </c>
      <c r="AP1050" s="126">
        <f t="shared" ca="1" si="635"/>
        <v>0</v>
      </c>
      <c r="AQ1050" s="126">
        <f t="shared" ca="1" si="636"/>
        <v>0</v>
      </c>
      <c r="AR1050" s="126">
        <f t="shared" ca="1" si="616"/>
        <v>10000</v>
      </c>
      <c r="AS1050" s="750">
        <f t="shared" ca="1" si="617"/>
        <v>0</v>
      </c>
      <c r="AT1050" s="750">
        <f t="shared" ca="1" si="618"/>
        <v>0</v>
      </c>
      <c r="AU1050" s="126">
        <f t="shared" ca="1" si="637"/>
        <v>0</v>
      </c>
      <c r="AV1050" s="126">
        <f t="shared" ca="1" si="638"/>
        <v>0</v>
      </c>
      <c r="AW1050" s="126">
        <f t="shared" ca="1" si="619"/>
        <v>10000</v>
      </c>
      <c r="AX1050" s="750">
        <f t="shared" ca="1" si="639"/>
        <v>0</v>
      </c>
      <c r="AY1050" s="750">
        <f t="shared" ca="1" si="640"/>
        <v>0</v>
      </c>
      <c r="AZ1050">
        <f t="shared" si="641"/>
        <v>5750</v>
      </c>
    </row>
    <row r="1051" spans="4:52">
      <c r="D1051">
        <v>1044</v>
      </c>
      <c r="E1051" s="6">
        <f t="shared" ca="1" si="620"/>
        <v>21002</v>
      </c>
      <c r="F1051" s="7">
        <f t="shared" ca="1" si="621"/>
        <v>0</v>
      </c>
      <c r="G1051" s="125">
        <f ca="1">IF('Simulador - 1º Pilar'!$E$99="Sí",IF('Aportaciones PPE'!$B$13&lt;'Aportaciones PPE'!E1051,0,F1051*$B$8/12),F1051*$B$8/12)</f>
        <v>0</v>
      </c>
      <c r="H1051" s="125">
        <f t="shared" ca="1" si="610"/>
        <v>0</v>
      </c>
      <c r="I1051" s="125">
        <f t="shared" ca="1" si="622"/>
        <v>0</v>
      </c>
      <c r="J1051" s="125">
        <f t="shared" ca="1" si="623"/>
        <v>0</v>
      </c>
      <c r="K1051" s="125">
        <f t="shared" ca="1" si="624"/>
        <v>0</v>
      </c>
      <c r="L1051" s="125">
        <f t="shared" ca="1" si="642"/>
        <v>0</v>
      </c>
      <c r="M1051" s="125">
        <f t="shared" ca="1" si="625"/>
        <v>0</v>
      </c>
      <c r="N1051" s="125">
        <f t="shared" ca="1" si="626"/>
        <v>0</v>
      </c>
      <c r="R1051">
        <f t="shared" si="643"/>
        <v>1044</v>
      </c>
      <c r="U1051" s="55"/>
      <c r="V1051">
        <f t="shared" si="644"/>
        <v>1</v>
      </c>
      <c r="W1051">
        <f t="shared" ca="1" si="645"/>
        <v>2111</v>
      </c>
      <c r="X1051" s="123">
        <f t="shared" ca="1" si="627"/>
        <v>77068</v>
      </c>
      <c r="Y1051" s="64">
        <f t="shared" ca="1" si="628"/>
        <v>0</v>
      </c>
      <c r="Z1051" s="64">
        <f t="shared" ca="1" si="629"/>
        <v>0</v>
      </c>
      <c r="AA1051" s="64">
        <f t="shared" ca="1" si="630"/>
        <v>0</v>
      </c>
      <c r="AB1051" s="64">
        <f t="shared" ca="1" si="631"/>
        <v>0</v>
      </c>
      <c r="AF1051" t="str">
        <f t="shared" ca="1" si="611"/>
        <v>71957</v>
      </c>
      <c r="AG1051" s="126">
        <f t="shared" ca="1" si="612"/>
        <v>0</v>
      </c>
      <c r="AH1051" s="126">
        <f t="shared" ca="1" si="613"/>
        <v>0</v>
      </c>
      <c r="AI1051" s="126">
        <f t="shared" ca="1" si="614"/>
        <v>0</v>
      </c>
      <c r="AJ1051" t="str">
        <f t="shared" ca="1" si="615"/>
        <v>12111</v>
      </c>
      <c r="AK1051" s="126">
        <f t="shared" ca="1" si="632"/>
        <v>0</v>
      </c>
      <c r="AL1051" s="126">
        <f t="shared" ca="1" si="633"/>
        <v>0</v>
      </c>
      <c r="AM1051" s="126">
        <f t="shared" ca="1" si="646"/>
        <v>0</v>
      </c>
      <c r="AN1051" s="753">
        <f t="shared" ca="1" si="647"/>
        <v>0</v>
      </c>
      <c r="AO1051" s="750">
        <f t="shared" ca="1" si="634"/>
        <v>0</v>
      </c>
      <c r="AP1051" s="126">
        <f t="shared" ca="1" si="635"/>
        <v>0</v>
      </c>
      <c r="AQ1051" s="126">
        <f t="shared" ca="1" si="636"/>
        <v>0</v>
      </c>
      <c r="AR1051" s="126">
        <f t="shared" ca="1" si="616"/>
        <v>10000</v>
      </c>
      <c r="AS1051" s="750">
        <f t="shared" ca="1" si="617"/>
        <v>0</v>
      </c>
      <c r="AT1051" s="750">
        <f t="shared" ca="1" si="618"/>
        <v>0</v>
      </c>
      <c r="AU1051" s="126">
        <f t="shared" ca="1" si="637"/>
        <v>0</v>
      </c>
      <c r="AV1051" s="126">
        <f t="shared" ca="1" si="638"/>
        <v>0</v>
      </c>
      <c r="AW1051" s="126">
        <f t="shared" ca="1" si="619"/>
        <v>10000</v>
      </c>
      <c r="AX1051" s="750">
        <f t="shared" ca="1" si="639"/>
        <v>0</v>
      </c>
      <c r="AY1051" s="750">
        <f t="shared" ca="1" si="640"/>
        <v>0</v>
      </c>
      <c r="AZ1051">
        <f t="shared" si="641"/>
        <v>5750</v>
      </c>
    </row>
    <row r="1052" spans="4:52">
      <c r="D1052">
        <v>1045</v>
      </c>
      <c r="E1052" s="6">
        <f t="shared" ca="1" si="620"/>
        <v>20972</v>
      </c>
      <c r="F1052" s="7">
        <f t="shared" ca="1" si="621"/>
        <v>0</v>
      </c>
      <c r="G1052" s="125">
        <f ca="1">IF('Simulador - 1º Pilar'!$E$99="Sí",IF('Aportaciones PPE'!$B$13&lt;'Aportaciones PPE'!E1052,0,F1052*$B$8/12),F1052*$B$8/12)</f>
        <v>0</v>
      </c>
      <c r="H1052" s="125">
        <f t="shared" ca="1" si="610"/>
        <v>0</v>
      </c>
      <c r="I1052" s="125">
        <f t="shared" ca="1" si="622"/>
        <v>0</v>
      </c>
      <c r="J1052" s="125">
        <f t="shared" ca="1" si="623"/>
        <v>0</v>
      </c>
      <c r="K1052" s="125">
        <f t="shared" ca="1" si="624"/>
        <v>0</v>
      </c>
      <c r="L1052" s="125">
        <f t="shared" ca="1" si="642"/>
        <v>0</v>
      </c>
      <c r="M1052" s="125">
        <f t="shared" ca="1" si="625"/>
        <v>0</v>
      </c>
      <c r="N1052" s="125">
        <f t="shared" ca="1" si="626"/>
        <v>0</v>
      </c>
      <c r="R1052">
        <f t="shared" si="643"/>
        <v>1045</v>
      </c>
      <c r="U1052" s="55"/>
      <c r="V1052">
        <f t="shared" si="644"/>
        <v>2</v>
      </c>
      <c r="W1052">
        <f t="shared" ca="1" si="645"/>
        <v>2111</v>
      </c>
      <c r="X1052" s="123">
        <f t="shared" ca="1" si="627"/>
        <v>77099</v>
      </c>
      <c r="Y1052" s="64">
        <f t="shared" ca="1" si="628"/>
        <v>0</v>
      </c>
      <c r="Z1052" s="64">
        <f t="shared" ca="1" si="629"/>
        <v>0</v>
      </c>
      <c r="AA1052" s="64">
        <f t="shared" ca="1" si="630"/>
        <v>0</v>
      </c>
      <c r="AB1052" s="64">
        <f t="shared" ca="1" si="631"/>
        <v>0</v>
      </c>
      <c r="AF1052" t="str">
        <f t="shared" ca="1" si="611"/>
        <v>61957</v>
      </c>
      <c r="AG1052" s="126">
        <f t="shared" ca="1" si="612"/>
        <v>0</v>
      </c>
      <c r="AH1052" s="126">
        <f t="shared" ca="1" si="613"/>
        <v>0</v>
      </c>
      <c r="AI1052" s="126">
        <f t="shared" ca="1" si="614"/>
        <v>0</v>
      </c>
      <c r="AJ1052" t="str">
        <f t="shared" ca="1" si="615"/>
        <v>22111</v>
      </c>
      <c r="AK1052" s="126">
        <f t="shared" ca="1" si="632"/>
        <v>0</v>
      </c>
      <c r="AL1052" s="126">
        <f t="shared" ca="1" si="633"/>
        <v>0</v>
      </c>
      <c r="AM1052" s="126">
        <f t="shared" ca="1" si="646"/>
        <v>0</v>
      </c>
      <c r="AN1052" s="753">
        <f t="shared" ca="1" si="647"/>
        <v>0</v>
      </c>
      <c r="AO1052" s="750">
        <f t="shared" ca="1" si="634"/>
        <v>0</v>
      </c>
      <c r="AP1052" s="126">
        <f t="shared" ca="1" si="635"/>
        <v>0</v>
      </c>
      <c r="AQ1052" s="126">
        <f t="shared" ca="1" si="636"/>
        <v>0</v>
      </c>
      <c r="AR1052" s="126">
        <f t="shared" ca="1" si="616"/>
        <v>10000</v>
      </c>
      <c r="AS1052" s="750">
        <f t="shared" ca="1" si="617"/>
        <v>0</v>
      </c>
      <c r="AT1052" s="750">
        <f t="shared" ca="1" si="618"/>
        <v>0</v>
      </c>
      <c r="AU1052" s="126">
        <f t="shared" ca="1" si="637"/>
        <v>0</v>
      </c>
      <c r="AV1052" s="126">
        <f t="shared" ca="1" si="638"/>
        <v>0</v>
      </c>
      <c r="AW1052" s="126">
        <f t="shared" ca="1" si="619"/>
        <v>10000</v>
      </c>
      <c r="AX1052" s="750">
        <f t="shared" ca="1" si="639"/>
        <v>0</v>
      </c>
      <c r="AY1052" s="750">
        <f t="shared" ca="1" si="640"/>
        <v>0</v>
      </c>
      <c r="AZ1052">
        <f t="shared" si="641"/>
        <v>5750</v>
      </c>
    </row>
    <row r="1053" spans="4:52">
      <c r="D1053">
        <v>1046</v>
      </c>
      <c r="E1053" s="6">
        <f t="shared" ca="1" si="620"/>
        <v>20941</v>
      </c>
      <c r="F1053" s="7">
        <f t="shared" ca="1" si="621"/>
        <v>0</v>
      </c>
      <c r="G1053" s="125">
        <f ca="1">IF('Simulador - 1º Pilar'!$E$99="Sí",IF('Aportaciones PPE'!$B$13&lt;'Aportaciones PPE'!E1053,0,F1053*$B$8/12),F1053*$B$8/12)</f>
        <v>0</v>
      </c>
      <c r="H1053" s="125">
        <f t="shared" ca="1" si="610"/>
        <v>0</v>
      </c>
      <c r="I1053" s="125">
        <f t="shared" ca="1" si="622"/>
        <v>0</v>
      </c>
      <c r="J1053" s="125">
        <f t="shared" ca="1" si="623"/>
        <v>0</v>
      </c>
      <c r="K1053" s="125">
        <f t="shared" ca="1" si="624"/>
        <v>0</v>
      </c>
      <c r="L1053" s="125">
        <f t="shared" ca="1" si="642"/>
        <v>0</v>
      </c>
      <c r="M1053" s="125">
        <f t="shared" ca="1" si="625"/>
        <v>0</v>
      </c>
      <c r="N1053" s="125">
        <f t="shared" ca="1" si="626"/>
        <v>0</v>
      </c>
      <c r="R1053">
        <f t="shared" si="643"/>
        <v>1046</v>
      </c>
      <c r="U1053" s="55"/>
      <c r="V1053">
        <f t="shared" si="644"/>
        <v>3</v>
      </c>
      <c r="W1053">
        <f t="shared" ca="1" si="645"/>
        <v>2111</v>
      </c>
      <c r="X1053" s="123">
        <f t="shared" ca="1" si="627"/>
        <v>77127</v>
      </c>
      <c r="Y1053" s="64">
        <f t="shared" ca="1" si="628"/>
        <v>0</v>
      </c>
      <c r="Z1053" s="64">
        <f t="shared" ca="1" si="629"/>
        <v>0</v>
      </c>
      <c r="AA1053" s="64">
        <f t="shared" ca="1" si="630"/>
        <v>0</v>
      </c>
      <c r="AB1053" s="64">
        <f t="shared" ca="1" si="631"/>
        <v>0</v>
      </c>
      <c r="AF1053" t="str">
        <f t="shared" ca="1" si="611"/>
        <v>51957</v>
      </c>
      <c r="AG1053" s="126">
        <f t="shared" ca="1" si="612"/>
        <v>0</v>
      </c>
      <c r="AH1053" s="126">
        <f t="shared" ca="1" si="613"/>
        <v>0</v>
      </c>
      <c r="AI1053" s="126">
        <f t="shared" ca="1" si="614"/>
        <v>0</v>
      </c>
      <c r="AJ1053" t="str">
        <f t="shared" ca="1" si="615"/>
        <v>32111</v>
      </c>
      <c r="AK1053" s="126">
        <f t="shared" ca="1" si="632"/>
        <v>0</v>
      </c>
      <c r="AL1053" s="126">
        <f t="shared" ca="1" si="633"/>
        <v>0</v>
      </c>
      <c r="AM1053" s="126">
        <f t="shared" ca="1" si="646"/>
        <v>0</v>
      </c>
      <c r="AN1053" s="753">
        <f t="shared" ca="1" si="647"/>
        <v>0</v>
      </c>
      <c r="AO1053" s="750">
        <f t="shared" ca="1" si="634"/>
        <v>0</v>
      </c>
      <c r="AP1053" s="126">
        <f t="shared" ca="1" si="635"/>
        <v>0</v>
      </c>
      <c r="AQ1053" s="126">
        <f t="shared" ca="1" si="636"/>
        <v>0</v>
      </c>
      <c r="AR1053" s="126">
        <f t="shared" ca="1" si="616"/>
        <v>10000</v>
      </c>
      <c r="AS1053" s="750">
        <f t="shared" ca="1" si="617"/>
        <v>0</v>
      </c>
      <c r="AT1053" s="750">
        <f t="shared" ca="1" si="618"/>
        <v>0</v>
      </c>
      <c r="AU1053" s="126">
        <f t="shared" ca="1" si="637"/>
        <v>0</v>
      </c>
      <c r="AV1053" s="126">
        <f t="shared" ca="1" si="638"/>
        <v>0</v>
      </c>
      <c r="AW1053" s="126">
        <f t="shared" ca="1" si="619"/>
        <v>10000</v>
      </c>
      <c r="AX1053" s="750">
        <f t="shared" ca="1" si="639"/>
        <v>0</v>
      </c>
      <c r="AY1053" s="750">
        <f t="shared" ca="1" si="640"/>
        <v>0</v>
      </c>
      <c r="AZ1053">
        <f t="shared" si="641"/>
        <v>5750</v>
      </c>
    </row>
    <row r="1054" spans="4:52">
      <c r="D1054">
        <v>1047</v>
      </c>
      <c r="E1054" s="6">
        <f t="shared" ca="1" si="620"/>
        <v>20911</v>
      </c>
      <c r="F1054" s="7">
        <f t="shared" ca="1" si="621"/>
        <v>0</v>
      </c>
      <c r="G1054" s="125">
        <f ca="1">IF('Simulador - 1º Pilar'!$E$99="Sí",IF('Aportaciones PPE'!$B$13&lt;'Aportaciones PPE'!E1054,0,F1054*$B$8/12),F1054*$B$8/12)</f>
        <v>0</v>
      </c>
      <c r="H1054" s="125">
        <f t="shared" ca="1" si="610"/>
        <v>0</v>
      </c>
      <c r="I1054" s="125">
        <f t="shared" ca="1" si="622"/>
        <v>0</v>
      </c>
      <c r="J1054" s="125">
        <f t="shared" ca="1" si="623"/>
        <v>0</v>
      </c>
      <c r="K1054" s="125">
        <f t="shared" ca="1" si="624"/>
        <v>0</v>
      </c>
      <c r="L1054" s="125">
        <f t="shared" ca="1" si="642"/>
        <v>0</v>
      </c>
      <c r="M1054" s="125">
        <f t="shared" ca="1" si="625"/>
        <v>0</v>
      </c>
      <c r="N1054" s="125">
        <f t="shared" ca="1" si="626"/>
        <v>0</v>
      </c>
      <c r="R1054">
        <f t="shared" si="643"/>
        <v>1047</v>
      </c>
      <c r="U1054" s="55"/>
      <c r="V1054">
        <f t="shared" si="644"/>
        <v>4</v>
      </c>
      <c r="W1054">
        <f t="shared" ca="1" si="645"/>
        <v>2111</v>
      </c>
      <c r="X1054" s="123">
        <f t="shared" ca="1" si="627"/>
        <v>77158</v>
      </c>
      <c r="Y1054" s="64">
        <f t="shared" ca="1" si="628"/>
        <v>0</v>
      </c>
      <c r="Z1054" s="64">
        <f t="shared" ca="1" si="629"/>
        <v>0</v>
      </c>
      <c r="AA1054" s="64">
        <f t="shared" ca="1" si="630"/>
        <v>0</v>
      </c>
      <c r="AB1054" s="64">
        <f t="shared" ca="1" si="631"/>
        <v>0</v>
      </c>
      <c r="AF1054" t="str">
        <f t="shared" ca="1" si="611"/>
        <v>41957</v>
      </c>
      <c r="AG1054" s="126">
        <f t="shared" ca="1" si="612"/>
        <v>0</v>
      </c>
      <c r="AH1054" s="126">
        <f t="shared" ca="1" si="613"/>
        <v>0</v>
      </c>
      <c r="AI1054" s="126">
        <f t="shared" ca="1" si="614"/>
        <v>0</v>
      </c>
      <c r="AJ1054" t="str">
        <f t="shared" ca="1" si="615"/>
        <v>42111</v>
      </c>
      <c r="AK1054" s="126">
        <f t="shared" ca="1" si="632"/>
        <v>0</v>
      </c>
      <c r="AL1054" s="126">
        <f t="shared" ca="1" si="633"/>
        <v>0</v>
      </c>
      <c r="AM1054" s="126">
        <f t="shared" ca="1" si="646"/>
        <v>0</v>
      </c>
      <c r="AN1054" s="753">
        <f t="shared" ca="1" si="647"/>
        <v>0</v>
      </c>
      <c r="AO1054" s="750">
        <f t="shared" ca="1" si="634"/>
        <v>0</v>
      </c>
      <c r="AP1054" s="126">
        <f t="shared" ca="1" si="635"/>
        <v>0</v>
      </c>
      <c r="AQ1054" s="126">
        <f t="shared" ca="1" si="636"/>
        <v>0</v>
      </c>
      <c r="AR1054" s="126">
        <f t="shared" ca="1" si="616"/>
        <v>10000</v>
      </c>
      <c r="AS1054" s="750">
        <f t="shared" ca="1" si="617"/>
        <v>0</v>
      </c>
      <c r="AT1054" s="750">
        <f t="shared" ca="1" si="618"/>
        <v>0</v>
      </c>
      <c r="AU1054" s="126">
        <f t="shared" ca="1" si="637"/>
        <v>0</v>
      </c>
      <c r="AV1054" s="126">
        <f t="shared" ca="1" si="638"/>
        <v>0</v>
      </c>
      <c r="AW1054" s="126">
        <f t="shared" ca="1" si="619"/>
        <v>10000</v>
      </c>
      <c r="AX1054" s="750">
        <f t="shared" ca="1" si="639"/>
        <v>0</v>
      </c>
      <c r="AY1054" s="750">
        <f t="shared" ca="1" si="640"/>
        <v>0</v>
      </c>
      <c r="AZ1054">
        <f t="shared" si="641"/>
        <v>5750</v>
      </c>
    </row>
    <row r="1055" spans="4:52">
      <c r="D1055">
        <v>1048</v>
      </c>
      <c r="E1055" s="6">
        <f t="shared" ca="1" si="620"/>
        <v>20880</v>
      </c>
      <c r="F1055" s="7">
        <f t="shared" ca="1" si="621"/>
        <v>0</v>
      </c>
      <c r="G1055" s="125">
        <f ca="1">IF('Simulador - 1º Pilar'!$E$99="Sí",IF('Aportaciones PPE'!$B$13&lt;'Aportaciones PPE'!E1055,0,F1055*$B$8/12),F1055*$B$8/12)</f>
        <v>0</v>
      </c>
      <c r="H1055" s="125">
        <f t="shared" ca="1" si="610"/>
        <v>0</v>
      </c>
      <c r="I1055" s="125">
        <f t="shared" ca="1" si="622"/>
        <v>0</v>
      </c>
      <c r="J1055" s="125">
        <f t="shared" ca="1" si="623"/>
        <v>0</v>
      </c>
      <c r="K1055" s="125">
        <f t="shared" ca="1" si="624"/>
        <v>0</v>
      </c>
      <c r="L1055" s="125">
        <f t="shared" ca="1" si="642"/>
        <v>0</v>
      </c>
      <c r="M1055" s="125">
        <f t="shared" ca="1" si="625"/>
        <v>0</v>
      </c>
      <c r="N1055" s="125">
        <f t="shared" ca="1" si="626"/>
        <v>0</v>
      </c>
      <c r="R1055">
        <f t="shared" si="643"/>
        <v>1048</v>
      </c>
      <c r="U1055" s="55"/>
      <c r="V1055">
        <f t="shared" si="644"/>
        <v>5</v>
      </c>
      <c r="W1055">
        <f t="shared" ca="1" si="645"/>
        <v>2111</v>
      </c>
      <c r="X1055" s="123">
        <f t="shared" ca="1" si="627"/>
        <v>77188</v>
      </c>
      <c r="Y1055" s="64">
        <f t="shared" ca="1" si="628"/>
        <v>0</v>
      </c>
      <c r="Z1055" s="64">
        <f t="shared" ca="1" si="629"/>
        <v>0</v>
      </c>
      <c r="AA1055" s="64">
        <f t="shared" ca="1" si="630"/>
        <v>0</v>
      </c>
      <c r="AB1055" s="64">
        <f t="shared" ca="1" si="631"/>
        <v>0</v>
      </c>
      <c r="AF1055" t="str">
        <f t="shared" ca="1" si="611"/>
        <v>31957</v>
      </c>
      <c r="AG1055" s="126">
        <f t="shared" ca="1" si="612"/>
        <v>0</v>
      </c>
      <c r="AH1055" s="126">
        <f t="shared" ca="1" si="613"/>
        <v>0</v>
      </c>
      <c r="AI1055" s="126">
        <f t="shared" ca="1" si="614"/>
        <v>0</v>
      </c>
      <c r="AJ1055" t="str">
        <f t="shared" ca="1" si="615"/>
        <v>52111</v>
      </c>
      <c r="AK1055" s="126">
        <f t="shared" ca="1" si="632"/>
        <v>0</v>
      </c>
      <c r="AL1055" s="126">
        <f t="shared" ca="1" si="633"/>
        <v>0</v>
      </c>
      <c r="AM1055" s="126">
        <f t="shared" ca="1" si="646"/>
        <v>0</v>
      </c>
      <c r="AN1055" s="753">
        <f t="shared" ca="1" si="647"/>
        <v>0</v>
      </c>
      <c r="AO1055" s="750">
        <f t="shared" ca="1" si="634"/>
        <v>0</v>
      </c>
      <c r="AP1055" s="126">
        <f t="shared" ca="1" si="635"/>
        <v>0</v>
      </c>
      <c r="AQ1055" s="126">
        <f t="shared" ca="1" si="636"/>
        <v>0</v>
      </c>
      <c r="AR1055" s="126">
        <f t="shared" ca="1" si="616"/>
        <v>10000</v>
      </c>
      <c r="AS1055" s="750">
        <f t="shared" ca="1" si="617"/>
        <v>0</v>
      </c>
      <c r="AT1055" s="750">
        <f t="shared" ca="1" si="618"/>
        <v>0</v>
      </c>
      <c r="AU1055" s="126">
        <f t="shared" ca="1" si="637"/>
        <v>0</v>
      </c>
      <c r="AV1055" s="126">
        <f t="shared" ca="1" si="638"/>
        <v>0</v>
      </c>
      <c r="AW1055" s="126">
        <f t="shared" ca="1" si="619"/>
        <v>10000</v>
      </c>
      <c r="AX1055" s="750">
        <f t="shared" ca="1" si="639"/>
        <v>0</v>
      </c>
      <c r="AY1055" s="750">
        <f t="shared" ca="1" si="640"/>
        <v>0</v>
      </c>
      <c r="AZ1055">
        <f t="shared" si="641"/>
        <v>5750</v>
      </c>
    </row>
    <row r="1056" spans="4:52">
      <c r="D1056">
        <v>1049</v>
      </c>
      <c r="E1056" s="6">
        <f t="shared" ca="1" si="620"/>
        <v>20852</v>
      </c>
      <c r="F1056" s="7">
        <f t="shared" ca="1" si="621"/>
        <v>0</v>
      </c>
      <c r="G1056" s="125">
        <f ca="1">IF('Simulador - 1º Pilar'!$E$99="Sí",IF('Aportaciones PPE'!$B$13&lt;'Aportaciones PPE'!E1056,0,F1056*$B$8/12),F1056*$B$8/12)</f>
        <v>0</v>
      </c>
      <c r="H1056" s="125">
        <f t="shared" ca="1" si="610"/>
        <v>0</v>
      </c>
      <c r="I1056" s="125">
        <f t="shared" ca="1" si="622"/>
        <v>0</v>
      </c>
      <c r="J1056" s="125">
        <f t="shared" ca="1" si="623"/>
        <v>0</v>
      </c>
      <c r="K1056" s="125">
        <f t="shared" ca="1" si="624"/>
        <v>0</v>
      </c>
      <c r="L1056" s="125">
        <f t="shared" ca="1" si="642"/>
        <v>0</v>
      </c>
      <c r="M1056" s="125">
        <f t="shared" ca="1" si="625"/>
        <v>0</v>
      </c>
      <c r="N1056" s="125">
        <f t="shared" ca="1" si="626"/>
        <v>0</v>
      </c>
      <c r="R1056">
        <f t="shared" si="643"/>
        <v>1049</v>
      </c>
      <c r="U1056" s="55"/>
      <c r="V1056">
        <f t="shared" si="644"/>
        <v>6</v>
      </c>
      <c r="W1056">
        <f t="shared" ca="1" si="645"/>
        <v>2111</v>
      </c>
      <c r="X1056" s="123">
        <f t="shared" ca="1" si="627"/>
        <v>77219</v>
      </c>
      <c r="Y1056" s="64">
        <f t="shared" ca="1" si="628"/>
        <v>0</v>
      </c>
      <c r="Z1056" s="64">
        <f t="shared" ca="1" si="629"/>
        <v>0</v>
      </c>
      <c r="AA1056" s="64">
        <f t="shared" ca="1" si="630"/>
        <v>0</v>
      </c>
      <c r="AB1056" s="64">
        <f t="shared" ca="1" si="631"/>
        <v>0</v>
      </c>
      <c r="AF1056" t="str">
        <f t="shared" ca="1" si="611"/>
        <v>21957</v>
      </c>
      <c r="AG1056" s="126">
        <f t="shared" ca="1" si="612"/>
        <v>0</v>
      </c>
      <c r="AH1056" s="126">
        <f t="shared" ca="1" si="613"/>
        <v>0</v>
      </c>
      <c r="AI1056" s="126">
        <f t="shared" ca="1" si="614"/>
        <v>0</v>
      </c>
      <c r="AJ1056" t="str">
        <f t="shared" ca="1" si="615"/>
        <v>62111</v>
      </c>
      <c r="AK1056" s="126">
        <f t="shared" ca="1" si="632"/>
        <v>0</v>
      </c>
      <c r="AL1056" s="126">
        <f t="shared" ca="1" si="633"/>
        <v>0</v>
      </c>
      <c r="AM1056" s="126">
        <f t="shared" ca="1" si="646"/>
        <v>0</v>
      </c>
      <c r="AN1056" s="753">
        <f t="shared" ca="1" si="647"/>
        <v>0</v>
      </c>
      <c r="AO1056" s="750">
        <f t="shared" ca="1" si="634"/>
        <v>0</v>
      </c>
      <c r="AP1056" s="126">
        <f t="shared" ca="1" si="635"/>
        <v>0</v>
      </c>
      <c r="AQ1056" s="126">
        <f t="shared" ca="1" si="636"/>
        <v>0</v>
      </c>
      <c r="AR1056" s="126">
        <f t="shared" ca="1" si="616"/>
        <v>10000</v>
      </c>
      <c r="AS1056" s="750">
        <f t="shared" ca="1" si="617"/>
        <v>0</v>
      </c>
      <c r="AT1056" s="750">
        <f t="shared" ca="1" si="618"/>
        <v>0</v>
      </c>
      <c r="AU1056" s="126">
        <f t="shared" ca="1" si="637"/>
        <v>0</v>
      </c>
      <c r="AV1056" s="126">
        <f t="shared" ca="1" si="638"/>
        <v>0</v>
      </c>
      <c r="AW1056" s="126">
        <f t="shared" ca="1" si="619"/>
        <v>10000</v>
      </c>
      <c r="AX1056" s="750">
        <f t="shared" ca="1" si="639"/>
        <v>0</v>
      </c>
      <c r="AY1056" s="750">
        <f t="shared" ca="1" si="640"/>
        <v>0</v>
      </c>
      <c r="AZ1056">
        <f t="shared" si="641"/>
        <v>5750</v>
      </c>
    </row>
    <row r="1057" spans="4:52">
      <c r="D1057">
        <v>1050</v>
      </c>
      <c r="E1057" s="6">
        <f t="shared" ca="1" si="620"/>
        <v>20821</v>
      </c>
      <c r="F1057" s="7">
        <f t="shared" ca="1" si="621"/>
        <v>0</v>
      </c>
      <c r="G1057" s="125">
        <f ca="1">IF('Simulador - 1º Pilar'!$E$99="Sí",IF('Aportaciones PPE'!$B$13&lt;'Aportaciones PPE'!E1057,0,F1057*$B$8/12),F1057*$B$8/12)</f>
        <v>0</v>
      </c>
      <c r="H1057" s="125">
        <f t="shared" ca="1" si="610"/>
        <v>0</v>
      </c>
      <c r="I1057" s="125">
        <f t="shared" ca="1" si="622"/>
        <v>0</v>
      </c>
      <c r="J1057" s="125">
        <f t="shared" ca="1" si="623"/>
        <v>0</v>
      </c>
      <c r="K1057" s="125">
        <f t="shared" ca="1" si="624"/>
        <v>0</v>
      </c>
      <c r="L1057" s="125">
        <f t="shared" ca="1" si="642"/>
        <v>0</v>
      </c>
      <c r="M1057" s="125">
        <f t="shared" ca="1" si="625"/>
        <v>0</v>
      </c>
      <c r="N1057" s="125">
        <f t="shared" ca="1" si="626"/>
        <v>0</v>
      </c>
      <c r="R1057">
        <f t="shared" si="643"/>
        <v>1050</v>
      </c>
      <c r="U1057" s="55"/>
      <c r="V1057">
        <f t="shared" si="644"/>
        <v>7</v>
      </c>
      <c r="W1057">
        <f t="shared" ca="1" si="645"/>
        <v>2111</v>
      </c>
      <c r="X1057" s="123">
        <f t="shared" ca="1" si="627"/>
        <v>77249</v>
      </c>
      <c r="Y1057" s="64">
        <f t="shared" ca="1" si="628"/>
        <v>0</v>
      </c>
      <c r="Z1057" s="64">
        <f t="shared" ca="1" si="629"/>
        <v>0</v>
      </c>
      <c r="AA1057" s="64">
        <f t="shared" ca="1" si="630"/>
        <v>0</v>
      </c>
      <c r="AB1057" s="64">
        <f t="shared" ca="1" si="631"/>
        <v>0</v>
      </c>
      <c r="AF1057" t="str">
        <f t="shared" ca="1" si="611"/>
        <v>11957</v>
      </c>
      <c r="AG1057" s="126">
        <f t="shared" ca="1" si="612"/>
        <v>0</v>
      </c>
      <c r="AH1057" s="126">
        <f t="shared" ca="1" si="613"/>
        <v>0</v>
      </c>
      <c r="AI1057" s="126">
        <f t="shared" ca="1" si="614"/>
        <v>0</v>
      </c>
      <c r="AJ1057" t="str">
        <f t="shared" ca="1" si="615"/>
        <v>72111</v>
      </c>
      <c r="AK1057" s="126">
        <f t="shared" ca="1" si="632"/>
        <v>0</v>
      </c>
      <c r="AL1057" s="126">
        <f t="shared" ca="1" si="633"/>
        <v>0</v>
      </c>
      <c r="AM1057" s="126">
        <f t="shared" ca="1" si="646"/>
        <v>0</v>
      </c>
      <c r="AN1057" s="753">
        <f t="shared" ca="1" si="647"/>
        <v>0</v>
      </c>
      <c r="AO1057" s="750">
        <f t="shared" ca="1" si="634"/>
        <v>0</v>
      </c>
      <c r="AP1057" s="126">
        <f t="shared" ca="1" si="635"/>
        <v>0</v>
      </c>
      <c r="AQ1057" s="126">
        <f t="shared" ca="1" si="636"/>
        <v>0</v>
      </c>
      <c r="AR1057" s="126">
        <f t="shared" ca="1" si="616"/>
        <v>10000</v>
      </c>
      <c r="AS1057" s="750">
        <f t="shared" ca="1" si="617"/>
        <v>0</v>
      </c>
      <c r="AT1057" s="750">
        <f t="shared" ca="1" si="618"/>
        <v>0</v>
      </c>
      <c r="AU1057" s="126">
        <f t="shared" ca="1" si="637"/>
        <v>0</v>
      </c>
      <c r="AV1057" s="126">
        <f t="shared" ca="1" si="638"/>
        <v>0</v>
      </c>
      <c r="AW1057" s="126">
        <f t="shared" ca="1" si="619"/>
        <v>10000</v>
      </c>
      <c r="AX1057" s="750">
        <f t="shared" ca="1" si="639"/>
        <v>0</v>
      </c>
      <c r="AY1057" s="750">
        <f t="shared" ca="1" si="640"/>
        <v>0</v>
      </c>
      <c r="AZ1057">
        <f t="shared" si="641"/>
        <v>5750</v>
      </c>
    </row>
    <row r="1058" spans="4:52">
      <c r="D1058">
        <v>1051</v>
      </c>
      <c r="E1058" s="6">
        <f t="shared" ca="1" si="620"/>
        <v>20790</v>
      </c>
      <c r="F1058" s="7">
        <f t="shared" ca="1" si="621"/>
        <v>0</v>
      </c>
      <c r="G1058" s="125">
        <f ca="1">IF('Simulador - 1º Pilar'!$E$99="Sí",IF('Aportaciones PPE'!$B$13&lt;'Aportaciones PPE'!E1058,0,F1058*$B$8/12),F1058*$B$8/12)</f>
        <v>0</v>
      </c>
      <c r="H1058" s="125">
        <f t="shared" ca="1" si="610"/>
        <v>0</v>
      </c>
      <c r="I1058" s="125">
        <f t="shared" ca="1" si="622"/>
        <v>0</v>
      </c>
      <c r="J1058" s="125">
        <f t="shared" ca="1" si="623"/>
        <v>0</v>
      </c>
      <c r="K1058" s="125">
        <f t="shared" ca="1" si="624"/>
        <v>0</v>
      </c>
      <c r="L1058" s="125">
        <f t="shared" ca="1" si="642"/>
        <v>0</v>
      </c>
      <c r="M1058" s="125">
        <f t="shared" ca="1" si="625"/>
        <v>0</v>
      </c>
      <c r="N1058" s="125">
        <f t="shared" ca="1" si="626"/>
        <v>0</v>
      </c>
      <c r="R1058">
        <f t="shared" si="643"/>
        <v>1051</v>
      </c>
      <c r="U1058" s="55"/>
      <c r="V1058">
        <f t="shared" si="644"/>
        <v>8</v>
      </c>
      <c r="W1058">
        <f t="shared" ca="1" si="645"/>
        <v>2111</v>
      </c>
      <c r="X1058" s="123">
        <f t="shared" ca="1" si="627"/>
        <v>77280</v>
      </c>
      <c r="Y1058" s="64">
        <f t="shared" ca="1" si="628"/>
        <v>0</v>
      </c>
      <c r="Z1058" s="64">
        <f t="shared" ca="1" si="629"/>
        <v>0</v>
      </c>
      <c r="AA1058" s="64">
        <f t="shared" ca="1" si="630"/>
        <v>0</v>
      </c>
      <c r="AB1058" s="64">
        <f t="shared" ca="1" si="631"/>
        <v>0</v>
      </c>
      <c r="AF1058" t="str">
        <f t="shared" ca="1" si="611"/>
        <v>121956</v>
      </c>
      <c r="AG1058" s="126">
        <f t="shared" ca="1" si="612"/>
        <v>0</v>
      </c>
      <c r="AH1058" s="126">
        <f t="shared" ca="1" si="613"/>
        <v>0</v>
      </c>
      <c r="AI1058" s="126">
        <f t="shared" ca="1" si="614"/>
        <v>0</v>
      </c>
      <c r="AJ1058" t="str">
        <f t="shared" ca="1" si="615"/>
        <v>82111</v>
      </c>
      <c r="AK1058" s="126">
        <f t="shared" ca="1" si="632"/>
        <v>0</v>
      </c>
      <c r="AL1058" s="126">
        <f t="shared" ca="1" si="633"/>
        <v>0</v>
      </c>
      <c r="AM1058" s="126">
        <f t="shared" ca="1" si="646"/>
        <v>0</v>
      </c>
      <c r="AN1058" s="753">
        <f t="shared" ca="1" si="647"/>
        <v>0</v>
      </c>
      <c r="AO1058" s="750">
        <f t="shared" ca="1" si="634"/>
        <v>0</v>
      </c>
      <c r="AP1058" s="126">
        <f t="shared" ca="1" si="635"/>
        <v>0</v>
      </c>
      <c r="AQ1058" s="126">
        <f t="shared" ca="1" si="636"/>
        <v>0</v>
      </c>
      <c r="AR1058" s="126">
        <f t="shared" ca="1" si="616"/>
        <v>10000</v>
      </c>
      <c r="AS1058" s="750">
        <f t="shared" ca="1" si="617"/>
        <v>0</v>
      </c>
      <c r="AT1058" s="750">
        <f t="shared" ca="1" si="618"/>
        <v>0</v>
      </c>
      <c r="AU1058" s="126">
        <f t="shared" ca="1" si="637"/>
        <v>0</v>
      </c>
      <c r="AV1058" s="126">
        <f t="shared" ca="1" si="638"/>
        <v>0</v>
      </c>
      <c r="AW1058" s="126">
        <f t="shared" ca="1" si="619"/>
        <v>10000</v>
      </c>
      <c r="AX1058" s="750">
        <f t="shared" ca="1" si="639"/>
        <v>0</v>
      </c>
      <c r="AY1058" s="750">
        <f t="shared" ca="1" si="640"/>
        <v>0</v>
      </c>
      <c r="AZ1058">
        <f t="shared" si="641"/>
        <v>5750</v>
      </c>
    </row>
    <row r="1059" spans="4:52">
      <c r="D1059">
        <v>1052</v>
      </c>
      <c r="E1059" s="6">
        <f t="shared" ca="1" si="620"/>
        <v>20760</v>
      </c>
      <c r="F1059" s="7">
        <f t="shared" ca="1" si="621"/>
        <v>0</v>
      </c>
      <c r="G1059" s="125">
        <f ca="1">IF('Simulador - 1º Pilar'!$E$99="Sí",IF('Aportaciones PPE'!$B$13&lt;'Aportaciones PPE'!E1059,0,F1059*$B$8/12),F1059*$B$8/12)</f>
        <v>0</v>
      </c>
      <c r="H1059" s="125">
        <f t="shared" ca="1" si="610"/>
        <v>0</v>
      </c>
      <c r="I1059" s="125">
        <f t="shared" ca="1" si="622"/>
        <v>0</v>
      </c>
      <c r="J1059" s="125">
        <f t="shared" ca="1" si="623"/>
        <v>0</v>
      </c>
      <c r="K1059" s="125">
        <f t="shared" ca="1" si="624"/>
        <v>0</v>
      </c>
      <c r="L1059" s="125">
        <f t="shared" ca="1" si="642"/>
        <v>0</v>
      </c>
      <c r="M1059" s="125">
        <f t="shared" ca="1" si="625"/>
        <v>0</v>
      </c>
      <c r="N1059" s="125">
        <f t="shared" ca="1" si="626"/>
        <v>0</v>
      </c>
      <c r="R1059">
        <f t="shared" si="643"/>
        <v>1052</v>
      </c>
      <c r="U1059" s="55"/>
      <c r="V1059">
        <f t="shared" si="644"/>
        <v>9</v>
      </c>
      <c r="W1059">
        <f t="shared" ca="1" si="645"/>
        <v>2111</v>
      </c>
      <c r="X1059" s="123">
        <f t="shared" ca="1" si="627"/>
        <v>77311</v>
      </c>
      <c r="Y1059" s="64">
        <f t="shared" ca="1" si="628"/>
        <v>0</v>
      </c>
      <c r="Z1059" s="64">
        <f t="shared" ca="1" si="629"/>
        <v>0</v>
      </c>
      <c r="AA1059" s="64">
        <f t="shared" ca="1" si="630"/>
        <v>0</v>
      </c>
      <c r="AB1059" s="64">
        <f t="shared" ca="1" si="631"/>
        <v>0</v>
      </c>
      <c r="AF1059" t="str">
        <f t="shared" ca="1" si="611"/>
        <v>111956</v>
      </c>
      <c r="AG1059" s="126">
        <f t="shared" ca="1" si="612"/>
        <v>0</v>
      </c>
      <c r="AH1059" s="126">
        <f t="shared" ca="1" si="613"/>
        <v>0</v>
      </c>
      <c r="AI1059" s="126">
        <f t="shared" ca="1" si="614"/>
        <v>0</v>
      </c>
      <c r="AJ1059" t="str">
        <f t="shared" ca="1" si="615"/>
        <v>92111</v>
      </c>
      <c r="AK1059" s="126">
        <f t="shared" ca="1" si="632"/>
        <v>0</v>
      </c>
      <c r="AL1059" s="126">
        <f t="shared" ca="1" si="633"/>
        <v>0</v>
      </c>
      <c r="AM1059" s="126">
        <f t="shared" ca="1" si="646"/>
        <v>0</v>
      </c>
      <c r="AN1059" s="753">
        <f t="shared" ca="1" si="647"/>
        <v>0</v>
      </c>
      <c r="AO1059" s="750">
        <f t="shared" ca="1" si="634"/>
        <v>0</v>
      </c>
      <c r="AP1059" s="126">
        <f t="shared" ca="1" si="635"/>
        <v>0</v>
      </c>
      <c r="AQ1059" s="126">
        <f t="shared" ca="1" si="636"/>
        <v>0</v>
      </c>
      <c r="AR1059" s="126">
        <f t="shared" ca="1" si="616"/>
        <v>10000</v>
      </c>
      <c r="AS1059" s="750">
        <f t="shared" ca="1" si="617"/>
        <v>0</v>
      </c>
      <c r="AT1059" s="750">
        <f t="shared" ca="1" si="618"/>
        <v>0</v>
      </c>
      <c r="AU1059" s="126">
        <f t="shared" ca="1" si="637"/>
        <v>0</v>
      </c>
      <c r="AV1059" s="126">
        <f t="shared" ca="1" si="638"/>
        <v>0</v>
      </c>
      <c r="AW1059" s="126">
        <f t="shared" ca="1" si="619"/>
        <v>10000</v>
      </c>
      <c r="AX1059" s="750">
        <f t="shared" ca="1" si="639"/>
        <v>0</v>
      </c>
      <c r="AY1059" s="750">
        <f t="shared" ca="1" si="640"/>
        <v>0</v>
      </c>
      <c r="AZ1059">
        <f t="shared" si="641"/>
        <v>5750</v>
      </c>
    </row>
    <row r="1060" spans="4:52">
      <c r="D1060">
        <v>1053</v>
      </c>
      <c r="E1060" s="6">
        <f t="shared" ca="1" si="620"/>
        <v>20729</v>
      </c>
      <c r="F1060" s="7">
        <f t="shared" ca="1" si="621"/>
        <v>0</v>
      </c>
      <c r="G1060" s="125">
        <f ca="1">IF('Simulador - 1º Pilar'!$E$99="Sí",IF('Aportaciones PPE'!$B$13&lt;'Aportaciones PPE'!E1060,0,F1060*$B$8/12),F1060*$B$8/12)</f>
        <v>0</v>
      </c>
      <c r="H1060" s="125">
        <f t="shared" ca="1" si="610"/>
        <v>0</v>
      </c>
      <c r="I1060" s="125">
        <f t="shared" ca="1" si="622"/>
        <v>0</v>
      </c>
      <c r="J1060" s="125">
        <f t="shared" ca="1" si="623"/>
        <v>0</v>
      </c>
      <c r="K1060" s="125">
        <f t="shared" ca="1" si="624"/>
        <v>0</v>
      </c>
      <c r="L1060" s="125">
        <f t="shared" ca="1" si="642"/>
        <v>0</v>
      </c>
      <c r="M1060" s="125">
        <f t="shared" ca="1" si="625"/>
        <v>0</v>
      </c>
      <c r="N1060" s="125">
        <f t="shared" ca="1" si="626"/>
        <v>0</v>
      </c>
      <c r="R1060">
        <f t="shared" si="643"/>
        <v>1053</v>
      </c>
      <c r="U1060" s="55"/>
      <c r="V1060">
        <f t="shared" si="644"/>
        <v>10</v>
      </c>
      <c r="W1060">
        <f t="shared" ca="1" si="645"/>
        <v>2111</v>
      </c>
      <c r="X1060" s="123">
        <f t="shared" ca="1" si="627"/>
        <v>77341</v>
      </c>
      <c r="Y1060" s="64">
        <f t="shared" ca="1" si="628"/>
        <v>0</v>
      </c>
      <c r="Z1060" s="64">
        <f t="shared" ca="1" si="629"/>
        <v>0</v>
      </c>
      <c r="AA1060" s="64">
        <f t="shared" ca="1" si="630"/>
        <v>0</v>
      </c>
      <c r="AB1060" s="64">
        <f t="shared" ca="1" si="631"/>
        <v>0</v>
      </c>
      <c r="AF1060" t="str">
        <f t="shared" ca="1" si="611"/>
        <v>101956</v>
      </c>
      <c r="AG1060" s="126">
        <f t="shared" ca="1" si="612"/>
        <v>0</v>
      </c>
      <c r="AH1060" s="126">
        <f t="shared" ca="1" si="613"/>
        <v>0</v>
      </c>
      <c r="AI1060" s="126">
        <f t="shared" ca="1" si="614"/>
        <v>0</v>
      </c>
      <c r="AJ1060" t="str">
        <f t="shared" ca="1" si="615"/>
        <v>102111</v>
      </c>
      <c r="AK1060" s="126">
        <f t="shared" ca="1" si="632"/>
        <v>0</v>
      </c>
      <c r="AL1060" s="126">
        <f t="shared" ca="1" si="633"/>
        <v>0</v>
      </c>
      <c r="AM1060" s="126">
        <f t="shared" ca="1" si="646"/>
        <v>0</v>
      </c>
      <c r="AN1060" s="753">
        <f t="shared" ca="1" si="647"/>
        <v>0</v>
      </c>
      <c r="AO1060" s="750">
        <f t="shared" ca="1" si="634"/>
        <v>0</v>
      </c>
      <c r="AP1060" s="126">
        <f t="shared" ca="1" si="635"/>
        <v>0</v>
      </c>
      <c r="AQ1060" s="126">
        <f t="shared" ca="1" si="636"/>
        <v>0</v>
      </c>
      <c r="AR1060" s="126">
        <f t="shared" ca="1" si="616"/>
        <v>10000</v>
      </c>
      <c r="AS1060" s="750">
        <f t="shared" ca="1" si="617"/>
        <v>0</v>
      </c>
      <c r="AT1060" s="750">
        <f t="shared" ca="1" si="618"/>
        <v>0</v>
      </c>
      <c r="AU1060" s="126">
        <f t="shared" ca="1" si="637"/>
        <v>0</v>
      </c>
      <c r="AV1060" s="126">
        <f t="shared" ca="1" si="638"/>
        <v>0</v>
      </c>
      <c r="AW1060" s="126">
        <f t="shared" ca="1" si="619"/>
        <v>10000</v>
      </c>
      <c r="AX1060" s="750">
        <f t="shared" ca="1" si="639"/>
        <v>0</v>
      </c>
      <c r="AY1060" s="750">
        <f t="shared" ca="1" si="640"/>
        <v>0</v>
      </c>
      <c r="AZ1060">
        <f t="shared" si="641"/>
        <v>5750</v>
      </c>
    </row>
    <row r="1061" spans="4:52">
      <c r="D1061">
        <v>1054</v>
      </c>
      <c r="E1061" s="6">
        <f t="shared" ca="1" si="620"/>
        <v>20699</v>
      </c>
      <c r="F1061" s="7">
        <f t="shared" ca="1" si="621"/>
        <v>0</v>
      </c>
      <c r="G1061" s="125">
        <f ca="1">IF('Simulador - 1º Pilar'!$E$99="Sí",IF('Aportaciones PPE'!$B$13&lt;'Aportaciones PPE'!E1061,0,F1061*$B$8/12),F1061*$B$8/12)</f>
        <v>0</v>
      </c>
      <c r="H1061" s="125">
        <f t="shared" ca="1" si="610"/>
        <v>0</v>
      </c>
      <c r="I1061" s="125">
        <f t="shared" ca="1" si="622"/>
        <v>0</v>
      </c>
      <c r="J1061" s="125">
        <f t="shared" ca="1" si="623"/>
        <v>0</v>
      </c>
      <c r="K1061" s="125">
        <f t="shared" ca="1" si="624"/>
        <v>0</v>
      </c>
      <c r="L1061" s="125">
        <f t="shared" ca="1" si="642"/>
        <v>0</v>
      </c>
      <c r="M1061" s="125">
        <f t="shared" ca="1" si="625"/>
        <v>0</v>
      </c>
      <c r="N1061" s="125">
        <f t="shared" ca="1" si="626"/>
        <v>0</v>
      </c>
      <c r="R1061">
        <f t="shared" si="643"/>
        <v>1054</v>
      </c>
      <c r="U1061" s="55"/>
      <c r="V1061">
        <f t="shared" si="644"/>
        <v>11</v>
      </c>
      <c r="W1061">
        <f t="shared" ca="1" si="645"/>
        <v>2111</v>
      </c>
      <c r="X1061" s="123">
        <f t="shared" ca="1" si="627"/>
        <v>77372</v>
      </c>
      <c r="Y1061" s="64">
        <f t="shared" ca="1" si="628"/>
        <v>0</v>
      </c>
      <c r="Z1061" s="64">
        <f t="shared" ca="1" si="629"/>
        <v>0</v>
      </c>
      <c r="AA1061" s="64">
        <f t="shared" ca="1" si="630"/>
        <v>0</v>
      </c>
      <c r="AB1061" s="64">
        <f t="shared" ca="1" si="631"/>
        <v>0</v>
      </c>
      <c r="AF1061" t="str">
        <f t="shared" ca="1" si="611"/>
        <v>91956</v>
      </c>
      <c r="AG1061" s="126">
        <f t="shared" ca="1" si="612"/>
        <v>0</v>
      </c>
      <c r="AH1061" s="126">
        <f t="shared" ca="1" si="613"/>
        <v>0</v>
      </c>
      <c r="AI1061" s="126">
        <f t="shared" ca="1" si="614"/>
        <v>0</v>
      </c>
      <c r="AJ1061" t="str">
        <f t="shared" ca="1" si="615"/>
        <v>112111</v>
      </c>
      <c r="AK1061" s="126">
        <f t="shared" ca="1" si="632"/>
        <v>0</v>
      </c>
      <c r="AL1061" s="126">
        <f t="shared" ca="1" si="633"/>
        <v>0</v>
      </c>
      <c r="AM1061" s="126">
        <f t="shared" ca="1" si="646"/>
        <v>0</v>
      </c>
      <c r="AN1061" s="753">
        <f t="shared" ca="1" si="647"/>
        <v>0</v>
      </c>
      <c r="AO1061" s="750">
        <f t="shared" ca="1" si="634"/>
        <v>0</v>
      </c>
      <c r="AP1061" s="126">
        <f t="shared" ca="1" si="635"/>
        <v>0</v>
      </c>
      <c r="AQ1061" s="126">
        <f t="shared" ca="1" si="636"/>
        <v>0</v>
      </c>
      <c r="AR1061" s="126">
        <f t="shared" ca="1" si="616"/>
        <v>10000</v>
      </c>
      <c r="AS1061" s="750">
        <f t="shared" ca="1" si="617"/>
        <v>0</v>
      </c>
      <c r="AT1061" s="750">
        <f t="shared" ca="1" si="618"/>
        <v>0</v>
      </c>
      <c r="AU1061" s="126">
        <f t="shared" ca="1" si="637"/>
        <v>0</v>
      </c>
      <c r="AV1061" s="126">
        <f t="shared" ca="1" si="638"/>
        <v>0</v>
      </c>
      <c r="AW1061" s="126">
        <f t="shared" ca="1" si="619"/>
        <v>10000</v>
      </c>
      <c r="AX1061" s="750">
        <f t="shared" ca="1" si="639"/>
        <v>0</v>
      </c>
      <c r="AY1061" s="750">
        <f t="shared" ca="1" si="640"/>
        <v>0</v>
      </c>
      <c r="AZ1061">
        <f t="shared" si="641"/>
        <v>5750</v>
      </c>
    </row>
    <row r="1062" spans="4:52">
      <c r="D1062">
        <v>1055</v>
      </c>
      <c r="E1062" s="6">
        <f t="shared" ca="1" si="620"/>
        <v>20668</v>
      </c>
      <c r="F1062" s="7">
        <f t="shared" ca="1" si="621"/>
        <v>0</v>
      </c>
      <c r="G1062" s="125">
        <f ca="1">IF('Simulador - 1º Pilar'!$E$99="Sí",IF('Aportaciones PPE'!$B$13&lt;'Aportaciones PPE'!E1062,0,F1062*$B$8/12),F1062*$B$8/12)</f>
        <v>0</v>
      </c>
      <c r="H1062" s="125">
        <f t="shared" ca="1" si="610"/>
        <v>0</v>
      </c>
      <c r="I1062" s="125">
        <f t="shared" ca="1" si="622"/>
        <v>0</v>
      </c>
      <c r="J1062" s="125">
        <f t="shared" ca="1" si="623"/>
        <v>0</v>
      </c>
      <c r="K1062" s="125">
        <f t="shared" ca="1" si="624"/>
        <v>0</v>
      </c>
      <c r="L1062" s="125">
        <f t="shared" ca="1" si="642"/>
        <v>0</v>
      </c>
      <c r="M1062" s="125">
        <f t="shared" ca="1" si="625"/>
        <v>0</v>
      </c>
      <c r="N1062" s="125">
        <f t="shared" ca="1" si="626"/>
        <v>0</v>
      </c>
      <c r="R1062">
        <f t="shared" si="643"/>
        <v>1055</v>
      </c>
      <c r="U1062" s="55"/>
      <c r="V1062">
        <f t="shared" si="644"/>
        <v>12</v>
      </c>
      <c r="W1062">
        <f t="shared" ca="1" si="645"/>
        <v>2111</v>
      </c>
      <c r="X1062" s="123">
        <f t="shared" ca="1" si="627"/>
        <v>77402</v>
      </c>
      <c r="Y1062" s="64">
        <f t="shared" ca="1" si="628"/>
        <v>0</v>
      </c>
      <c r="Z1062" s="64">
        <f t="shared" ca="1" si="629"/>
        <v>0</v>
      </c>
      <c r="AA1062" s="64">
        <f t="shared" ca="1" si="630"/>
        <v>0</v>
      </c>
      <c r="AB1062" s="64">
        <f t="shared" ca="1" si="631"/>
        <v>0</v>
      </c>
      <c r="AF1062" t="str">
        <f t="shared" ca="1" si="611"/>
        <v>81956</v>
      </c>
      <c r="AG1062" s="126">
        <f t="shared" ca="1" si="612"/>
        <v>0</v>
      </c>
      <c r="AH1062" s="126">
        <f t="shared" ca="1" si="613"/>
        <v>0</v>
      </c>
      <c r="AI1062" s="126">
        <f t="shared" ca="1" si="614"/>
        <v>0</v>
      </c>
      <c r="AJ1062" t="str">
        <f t="shared" ca="1" si="615"/>
        <v>122111</v>
      </c>
      <c r="AK1062" s="126">
        <f t="shared" ca="1" si="632"/>
        <v>0</v>
      </c>
      <c r="AL1062" s="126">
        <f t="shared" ca="1" si="633"/>
        <v>0</v>
      </c>
      <c r="AM1062" s="126">
        <f t="shared" ca="1" si="646"/>
        <v>0</v>
      </c>
      <c r="AN1062" s="753">
        <f t="shared" ca="1" si="647"/>
        <v>0</v>
      </c>
      <c r="AO1062" s="750">
        <f t="shared" ca="1" si="634"/>
        <v>0</v>
      </c>
      <c r="AP1062" s="126">
        <f t="shared" ca="1" si="635"/>
        <v>0</v>
      </c>
      <c r="AQ1062" s="126">
        <f t="shared" ca="1" si="636"/>
        <v>0</v>
      </c>
      <c r="AR1062" s="126">
        <f t="shared" ca="1" si="616"/>
        <v>10000</v>
      </c>
      <c r="AS1062" s="750">
        <f t="shared" ca="1" si="617"/>
        <v>0</v>
      </c>
      <c r="AT1062" s="750">
        <f t="shared" ca="1" si="618"/>
        <v>0</v>
      </c>
      <c r="AU1062" s="126">
        <f t="shared" ca="1" si="637"/>
        <v>0</v>
      </c>
      <c r="AV1062" s="126">
        <f t="shared" ca="1" si="638"/>
        <v>0</v>
      </c>
      <c r="AW1062" s="126">
        <f t="shared" ca="1" si="619"/>
        <v>10000</v>
      </c>
      <c r="AX1062" s="750">
        <f t="shared" ca="1" si="639"/>
        <v>0</v>
      </c>
      <c r="AY1062" s="750">
        <f t="shared" ca="1" si="640"/>
        <v>0</v>
      </c>
      <c r="AZ1062">
        <f t="shared" si="641"/>
        <v>5750</v>
      </c>
    </row>
    <row r="1063" spans="4:52">
      <c r="D1063">
        <v>1056</v>
      </c>
      <c r="E1063" s="6">
        <f t="shared" ca="1" si="620"/>
        <v>20637</v>
      </c>
      <c r="F1063" s="7">
        <f t="shared" ca="1" si="621"/>
        <v>0</v>
      </c>
      <c r="G1063" s="125">
        <f ca="1">IF('Simulador - 1º Pilar'!$E$99="Sí",IF('Aportaciones PPE'!$B$13&lt;'Aportaciones PPE'!E1063,0,F1063*$B$8/12),F1063*$B$8/12)</f>
        <v>0</v>
      </c>
      <c r="H1063" s="125">
        <f t="shared" ca="1" si="610"/>
        <v>0</v>
      </c>
      <c r="I1063" s="125">
        <f t="shared" ca="1" si="622"/>
        <v>0</v>
      </c>
      <c r="J1063" s="125">
        <f t="shared" ca="1" si="623"/>
        <v>0</v>
      </c>
      <c r="K1063" s="125">
        <f t="shared" ca="1" si="624"/>
        <v>0</v>
      </c>
      <c r="L1063" s="125">
        <f t="shared" ca="1" si="642"/>
        <v>0</v>
      </c>
      <c r="M1063" s="125">
        <f t="shared" ca="1" si="625"/>
        <v>0</v>
      </c>
      <c r="N1063" s="125">
        <f t="shared" ca="1" si="626"/>
        <v>0</v>
      </c>
      <c r="R1063">
        <f t="shared" si="643"/>
        <v>1056</v>
      </c>
      <c r="U1063" s="55"/>
      <c r="V1063">
        <f t="shared" si="644"/>
        <v>1</v>
      </c>
      <c r="W1063">
        <f t="shared" ca="1" si="645"/>
        <v>2112</v>
      </c>
      <c r="X1063" s="123">
        <f t="shared" ca="1" si="627"/>
        <v>77433</v>
      </c>
      <c r="Y1063" s="64">
        <f t="shared" ca="1" si="628"/>
        <v>0</v>
      </c>
      <c r="Z1063" s="64">
        <f t="shared" ca="1" si="629"/>
        <v>0</v>
      </c>
      <c r="AA1063" s="64">
        <f t="shared" ca="1" si="630"/>
        <v>0</v>
      </c>
      <c r="AB1063" s="64">
        <f t="shared" ca="1" si="631"/>
        <v>0</v>
      </c>
      <c r="AF1063" t="str">
        <f t="shared" ca="1" si="611"/>
        <v>71956</v>
      </c>
      <c r="AG1063" s="126">
        <f t="shared" ca="1" si="612"/>
        <v>0</v>
      </c>
      <c r="AH1063" s="126">
        <f t="shared" ca="1" si="613"/>
        <v>0</v>
      </c>
      <c r="AI1063" s="126">
        <f t="shared" ca="1" si="614"/>
        <v>0</v>
      </c>
      <c r="AJ1063" t="str">
        <f t="shared" ca="1" si="615"/>
        <v>12112</v>
      </c>
      <c r="AK1063" s="126">
        <f t="shared" ca="1" si="632"/>
        <v>0</v>
      </c>
      <c r="AL1063" s="126">
        <f t="shared" ca="1" si="633"/>
        <v>0</v>
      </c>
      <c r="AM1063" s="126">
        <f t="shared" ca="1" si="646"/>
        <v>0</v>
      </c>
      <c r="AN1063" s="753">
        <f t="shared" ca="1" si="647"/>
        <v>0</v>
      </c>
      <c r="AO1063" s="750">
        <f t="shared" ca="1" si="634"/>
        <v>0</v>
      </c>
      <c r="AP1063" s="126">
        <f t="shared" ca="1" si="635"/>
        <v>0</v>
      </c>
      <c r="AQ1063" s="126">
        <f t="shared" ca="1" si="636"/>
        <v>0</v>
      </c>
      <c r="AR1063" s="126">
        <f t="shared" ca="1" si="616"/>
        <v>10000</v>
      </c>
      <c r="AS1063" s="750">
        <f t="shared" ca="1" si="617"/>
        <v>0</v>
      </c>
      <c r="AT1063" s="750">
        <f t="shared" ca="1" si="618"/>
        <v>0</v>
      </c>
      <c r="AU1063" s="126">
        <f t="shared" ca="1" si="637"/>
        <v>0</v>
      </c>
      <c r="AV1063" s="126">
        <f t="shared" ca="1" si="638"/>
        <v>0</v>
      </c>
      <c r="AW1063" s="126">
        <f t="shared" ca="1" si="619"/>
        <v>10000</v>
      </c>
      <c r="AX1063" s="750">
        <f t="shared" ca="1" si="639"/>
        <v>0</v>
      </c>
      <c r="AY1063" s="750">
        <f t="shared" ca="1" si="640"/>
        <v>0</v>
      </c>
      <c r="AZ1063">
        <f t="shared" si="641"/>
        <v>5750</v>
      </c>
    </row>
    <row r="1064" spans="4:52">
      <c r="D1064">
        <v>1057</v>
      </c>
      <c r="E1064" s="6">
        <f t="shared" ca="1" si="620"/>
        <v>20607</v>
      </c>
      <c r="F1064" s="7">
        <f t="shared" ca="1" si="621"/>
        <v>0</v>
      </c>
      <c r="G1064" s="125">
        <f ca="1">IF('Simulador - 1º Pilar'!$E$99="Sí",IF('Aportaciones PPE'!$B$13&lt;'Aportaciones PPE'!E1064,0,F1064*$B$8/12),F1064*$B$8/12)</f>
        <v>0</v>
      </c>
      <c r="H1064" s="125">
        <f t="shared" ca="1" si="610"/>
        <v>0</v>
      </c>
      <c r="I1064" s="125">
        <f t="shared" ca="1" si="622"/>
        <v>0</v>
      </c>
      <c r="J1064" s="125">
        <f t="shared" ca="1" si="623"/>
        <v>0</v>
      </c>
      <c r="K1064" s="125">
        <f t="shared" ca="1" si="624"/>
        <v>0</v>
      </c>
      <c r="L1064" s="125">
        <f t="shared" ca="1" si="642"/>
        <v>0</v>
      </c>
      <c r="M1064" s="125">
        <f t="shared" ca="1" si="625"/>
        <v>0</v>
      </c>
      <c r="N1064" s="125">
        <f t="shared" ca="1" si="626"/>
        <v>0</v>
      </c>
      <c r="R1064">
        <f t="shared" si="643"/>
        <v>1057</v>
      </c>
      <c r="U1064" s="55"/>
      <c r="V1064">
        <f t="shared" si="644"/>
        <v>2</v>
      </c>
      <c r="W1064">
        <f t="shared" ca="1" si="645"/>
        <v>2112</v>
      </c>
      <c r="X1064" s="123">
        <f t="shared" ca="1" si="627"/>
        <v>77464</v>
      </c>
      <c r="Y1064" s="64">
        <f t="shared" ca="1" si="628"/>
        <v>0</v>
      </c>
      <c r="Z1064" s="64">
        <f t="shared" ca="1" si="629"/>
        <v>0</v>
      </c>
      <c r="AA1064" s="64">
        <f t="shared" ca="1" si="630"/>
        <v>0</v>
      </c>
      <c r="AB1064" s="64">
        <f t="shared" ca="1" si="631"/>
        <v>0</v>
      </c>
      <c r="AF1064" t="str">
        <f t="shared" ca="1" si="611"/>
        <v>61956</v>
      </c>
      <c r="AG1064" s="126">
        <f t="shared" ca="1" si="612"/>
        <v>0</v>
      </c>
      <c r="AH1064" s="126">
        <f t="shared" ca="1" si="613"/>
        <v>0</v>
      </c>
      <c r="AI1064" s="126">
        <f t="shared" ca="1" si="614"/>
        <v>0</v>
      </c>
      <c r="AJ1064" t="str">
        <f t="shared" ca="1" si="615"/>
        <v>22112</v>
      </c>
      <c r="AK1064" s="126">
        <f t="shared" ca="1" si="632"/>
        <v>0</v>
      </c>
      <c r="AL1064" s="126">
        <f t="shared" ca="1" si="633"/>
        <v>0</v>
      </c>
      <c r="AM1064" s="126">
        <f t="shared" ca="1" si="646"/>
        <v>0</v>
      </c>
      <c r="AN1064" s="753">
        <f t="shared" ca="1" si="647"/>
        <v>0</v>
      </c>
      <c r="AO1064" s="750">
        <f t="shared" ca="1" si="634"/>
        <v>0</v>
      </c>
      <c r="AP1064" s="126">
        <f t="shared" ca="1" si="635"/>
        <v>0</v>
      </c>
      <c r="AQ1064" s="126">
        <f t="shared" ca="1" si="636"/>
        <v>0</v>
      </c>
      <c r="AR1064" s="126">
        <f t="shared" ca="1" si="616"/>
        <v>10000</v>
      </c>
      <c r="AS1064" s="750">
        <f t="shared" ca="1" si="617"/>
        <v>0</v>
      </c>
      <c r="AT1064" s="750">
        <f t="shared" ca="1" si="618"/>
        <v>0</v>
      </c>
      <c r="AU1064" s="126">
        <f t="shared" ca="1" si="637"/>
        <v>0</v>
      </c>
      <c r="AV1064" s="126">
        <f t="shared" ca="1" si="638"/>
        <v>0</v>
      </c>
      <c r="AW1064" s="126">
        <f t="shared" ca="1" si="619"/>
        <v>10000</v>
      </c>
      <c r="AX1064" s="750">
        <f t="shared" ca="1" si="639"/>
        <v>0</v>
      </c>
      <c r="AY1064" s="750">
        <f t="shared" ca="1" si="640"/>
        <v>0</v>
      </c>
      <c r="AZ1064">
        <f t="shared" si="641"/>
        <v>5750</v>
      </c>
    </row>
    <row r="1065" spans="4:52">
      <c r="D1065">
        <v>1058</v>
      </c>
      <c r="E1065" s="6">
        <f t="shared" ca="1" si="620"/>
        <v>20576</v>
      </c>
      <c r="F1065" s="7">
        <f t="shared" ca="1" si="621"/>
        <v>0</v>
      </c>
      <c r="G1065" s="125">
        <f ca="1">IF('Simulador - 1º Pilar'!$E$99="Sí",IF('Aportaciones PPE'!$B$13&lt;'Aportaciones PPE'!E1065,0,F1065*$B$8/12),F1065*$B$8/12)</f>
        <v>0</v>
      </c>
      <c r="H1065" s="125">
        <f t="shared" ca="1" si="610"/>
        <v>0</v>
      </c>
      <c r="I1065" s="125">
        <f t="shared" ca="1" si="622"/>
        <v>0</v>
      </c>
      <c r="J1065" s="125">
        <f t="shared" ca="1" si="623"/>
        <v>0</v>
      </c>
      <c r="K1065" s="125">
        <f t="shared" ca="1" si="624"/>
        <v>0</v>
      </c>
      <c r="L1065" s="125">
        <f t="shared" ca="1" si="642"/>
        <v>0</v>
      </c>
      <c r="M1065" s="125">
        <f t="shared" ca="1" si="625"/>
        <v>0</v>
      </c>
      <c r="N1065" s="125">
        <f t="shared" ca="1" si="626"/>
        <v>0</v>
      </c>
      <c r="R1065">
        <f t="shared" si="643"/>
        <v>1058</v>
      </c>
      <c r="U1065" s="55"/>
      <c r="V1065">
        <f t="shared" si="644"/>
        <v>3</v>
      </c>
      <c r="W1065">
        <f t="shared" ca="1" si="645"/>
        <v>2112</v>
      </c>
      <c r="X1065" s="123">
        <f t="shared" ca="1" si="627"/>
        <v>77493</v>
      </c>
      <c r="Y1065" s="64">
        <f t="shared" ca="1" si="628"/>
        <v>0</v>
      </c>
      <c r="Z1065" s="64">
        <f t="shared" ca="1" si="629"/>
        <v>0</v>
      </c>
      <c r="AA1065" s="64">
        <f t="shared" ca="1" si="630"/>
        <v>0</v>
      </c>
      <c r="AB1065" s="64">
        <f t="shared" ca="1" si="631"/>
        <v>0</v>
      </c>
      <c r="AF1065" t="str">
        <f t="shared" ca="1" si="611"/>
        <v>51956</v>
      </c>
      <c r="AG1065" s="126">
        <f t="shared" ca="1" si="612"/>
        <v>0</v>
      </c>
      <c r="AH1065" s="126">
        <f t="shared" ca="1" si="613"/>
        <v>0</v>
      </c>
      <c r="AI1065" s="126">
        <f t="shared" ca="1" si="614"/>
        <v>0</v>
      </c>
      <c r="AJ1065" t="str">
        <f t="shared" ca="1" si="615"/>
        <v>32112</v>
      </c>
      <c r="AK1065" s="126">
        <f t="shared" ca="1" si="632"/>
        <v>0</v>
      </c>
      <c r="AL1065" s="126">
        <f t="shared" ca="1" si="633"/>
        <v>0</v>
      </c>
      <c r="AM1065" s="126">
        <f t="shared" ca="1" si="646"/>
        <v>0</v>
      </c>
      <c r="AN1065" s="753">
        <f t="shared" ca="1" si="647"/>
        <v>0</v>
      </c>
      <c r="AO1065" s="750">
        <f t="shared" ca="1" si="634"/>
        <v>0</v>
      </c>
      <c r="AP1065" s="126">
        <f t="shared" ca="1" si="635"/>
        <v>0</v>
      </c>
      <c r="AQ1065" s="126">
        <f t="shared" ca="1" si="636"/>
        <v>0</v>
      </c>
      <c r="AR1065" s="126">
        <f t="shared" ca="1" si="616"/>
        <v>10000</v>
      </c>
      <c r="AS1065" s="750">
        <f t="shared" ca="1" si="617"/>
        <v>0</v>
      </c>
      <c r="AT1065" s="750">
        <f t="shared" ca="1" si="618"/>
        <v>0</v>
      </c>
      <c r="AU1065" s="126">
        <f t="shared" ca="1" si="637"/>
        <v>0</v>
      </c>
      <c r="AV1065" s="126">
        <f t="shared" ca="1" si="638"/>
        <v>0</v>
      </c>
      <c r="AW1065" s="126">
        <f t="shared" ca="1" si="619"/>
        <v>10000</v>
      </c>
      <c r="AX1065" s="750">
        <f t="shared" ca="1" si="639"/>
        <v>0</v>
      </c>
      <c r="AY1065" s="750">
        <f t="shared" ca="1" si="640"/>
        <v>0</v>
      </c>
      <c r="AZ1065">
        <f t="shared" si="641"/>
        <v>5750</v>
      </c>
    </row>
    <row r="1066" spans="4:52">
      <c r="D1066">
        <v>1059</v>
      </c>
      <c r="E1066" s="6">
        <f t="shared" ca="1" si="620"/>
        <v>20546</v>
      </c>
      <c r="F1066" s="7">
        <f t="shared" ca="1" si="621"/>
        <v>0</v>
      </c>
      <c r="G1066" s="125">
        <f ca="1">IF('Simulador - 1º Pilar'!$E$99="Sí",IF('Aportaciones PPE'!$B$13&lt;'Aportaciones PPE'!E1066,0,F1066*$B$8/12),F1066*$B$8/12)</f>
        <v>0</v>
      </c>
      <c r="H1066" s="125">
        <f t="shared" ca="1" si="610"/>
        <v>0</v>
      </c>
      <c r="I1066" s="125">
        <f t="shared" ca="1" si="622"/>
        <v>0</v>
      </c>
      <c r="J1066" s="125">
        <f t="shared" ca="1" si="623"/>
        <v>0</v>
      </c>
      <c r="K1066" s="125">
        <f t="shared" ca="1" si="624"/>
        <v>0</v>
      </c>
      <c r="L1066" s="125">
        <f t="shared" ca="1" si="642"/>
        <v>0</v>
      </c>
      <c r="M1066" s="125">
        <f t="shared" ca="1" si="625"/>
        <v>0</v>
      </c>
      <c r="N1066" s="125">
        <f t="shared" ca="1" si="626"/>
        <v>0</v>
      </c>
      <c r="R1066">
        <f t="shared" si="643"/>
        <v>1059</v>
      </c>
      <c r="U1066" s="55"/>
      <c r="V1066">
        <f t="shared" si="644"/>
        <v>4</v>
      </c>
      <c r="W1066">
        <f t="shared" ca="1" si="645"/>
        <v>2112</v>
      </c>
      <c r="X1066" s="123">
        <f t="shared" ca="1" si="627"/>
        <v>77524</v>
      </c>
      <c r="Y1066" s="64">
        <f t="shared" ca="1" si="628"/>
        <v>0</v>
      </c>
      <c r="Z1066" s="64">
        <f t="shared" ca="1" si="629"/>
        <v>0</v>
      </c>
      <c r="AA1066" s="64">
        <f t="shared" ca="1" si="630"/>
        <v>0</v>
      </c>
      <c r="AB1066" s="64">
        <f t="shared" ca="1" si="631"/>
        <v>0</v>
      </c>
      <c r="AF1066" t="str">
        <f t="shared" ca="1" si="611"/>
        <v>41956</v>
      </c>
      <c r="AG1066" s="126">
        <f t="shared" ca="1" si="612"/>
        <v>0</v>
      </c>
      <c r="AH1066" s="126">
        <f t="shared" ca="1" si="613"/>
        <v>0</v>
      </c>
      <c r="AI1066" s="126">
        <f t="shared" ca="1" si="614"/>
        <v>0</v>
      </c>
      <c r="AJ1066" t="str">
        <f t="shared" ca="1" si="615"/>
        <v>42112</v>
      </c>
      <c r="AK1066" s="126">
        <f t="shared" ca="1" si="632"/>
        <v>0</v>
      </c>
      <c r="AL1066" s="126">
        <f t="shared" ca="1" si="633"/>
        <v>0</v>
      </c>
      <c r="AM1066" s="126">
        <f t="shared" ca="1" si="646"/>
        <v>0</v>
      </c>
      <c r="AN1066" s="753">
        <f t="shared" ca="1" si="647"/>
        <v>0</v>
      </c>
      <c r="AO1066" s="750">
        <f t="shared" ca="1" si="634"/>
        <v>0</v>
      </c>
      <c r="AP1066" s="126">
        <f t="shared" ca="1" si="635"/>
        <v>0</v>
      </c>
      <c r="AQ1066" s="126">
        <f t="shared" ca="1" si="636"/>
        <v>0</v>
      </c>
      <c r="AR1066" s="126">
        <f t="shared" ca="1" si="616"/>
        <v>10000</v>
      </c>
      <c r="AS1066" s="750">
        <f t="shared" ca="1" si="617"/>
        <v>0</v>
      </c>
      <c r="AT1066" s="750">
        <f t="shared" ca="1" si="618"/>
        <v>0</v>
      </c>
      <c r="AU1066" s="126">
        <f t="shared" ca="1" si="637"/>
        <v>0</v>
      </c>
      <c r="AV1066" s="126">
        <f t="shared" ca="1" si="638"/>
        <v>0</v>
      </c>
      <c r="AW1066" s="126">
        <f t="shared" ca="1" si="619"/>
        <v>10000</v>
      </c>
      <c r="AX1066" s="750">
        <f t="shared" ca="1" si="639"/>
        <v>0</v>
      </c>
      <c r="AY1066" s="750">
        <f t="shared" ca="1" si="640"/>
        <v>0</v>
      </c>
      <c r="AZ1066">
        <f t="shared" si="641"/>
        <v>5750</v>
      </c>
    </row>
  </sheetData>
  <mergeCells count="4">
    <mergeCell ref="I4:J4"/>
    <mergeCell ref="AK5:AO5"/>
    <mergeCell ref="AP5:AT5"/>
    <mergeCell ref="AU5:AY5"/>
  </mergeCell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3:Q1066"/>
  <sheetViews>
    <sheetView topLeftCell="B1" zoomScaleNormal="100" workbookViewId="0">
      <pane ySplit="14" topLeftCell="A147" activePane="bottomLeft" state="frozen"/>
      <selection pane="bottomLeft" activeCell="L7" sqref="L7"/>
    </sheetView>
  </sheetViews>
  <sheetFormatPr defaultColWidth="14.88671875" defaultRowHeight="14.4"/>
  <cols>
    <col min="1" max="1" width="21.33203125" bestFit="1" customWidth="1"/>
    <col min="5" max="5" width="14.109375" customWidth="1"/>
    <col min="6" max="6" width="17.88671875" customWidth="1"/>
    <col min="10" max="10" width="19" bestFit="1" customWidth="1"/>
    <col min="11" max="11" width="19.33203125" bestFit="1" customWidth="1"/>
    <col min="12" max="12" width="17.5546875" bestFit="1" customWidth="1"/>
    <col min="16" max="16" width="15.88671875" bestFit="1" customWidth="1"/>
  </cols>
  <sheetData>
    <row r="3" spans="1:17">
      <c r="A3" s="145" t="s">
        <v>218</v>
      </c>
      <c r="B3" s="145"/>
      <c r="H3" t="str">
        <f>H4&amp;"% del salario pensionable"</f>
        <v>0% del salario pensionable</v>
      </c>
      <c r="L3" s="126"/>
    </row>
    <row r="4" spans="1:17">
      <c r="F4" s="127" t="s">
        <v>163</v>
      </c>
      <c r="H4">
        <f>H5*100</f>
        <v>0</v>
      </c>
      <c r="I4" t="s">
        <v>381</v>
      </c>
      <c r="L4" s="152" t="s">
        <v>167</v>
      </c>
      <c r="M4" s="127" t="s">
        <v>166</v>
      </c>
      <c r="P4" s="197" t="s">
        <v>216</v>
      </c>
      <c r="Q4" s="4">
        <f>VLOOKUP('Simulador - Datos personales'!E5,BBDD!$C$5:$GF$34,8,0)</f>
        <v>0</v>
      </c>
    </row>
    <row r="5" spans="1:17">
      <c r="F5" s="146">
        <f>Hipótesis!E7</f>
        <v>2.5000000000000001E-2</v>
      </c>
      <c r="H5" s="150">
        <f>VLOOKUP('Simulador - Datos personales'!E5,BBDD!$C$5:$GF$34,10,0)</f>
        <v>0</v>
      </c>
      <c r="I5" s="148">
        <v>0</v>
      </c>
      <c r="J5" s="151"/>
      <c r="K5" s="151"/>
      <c r="L5" s="199">
        <f ca="1">IF('Simulador - 1º Pilar'!$E$99="Sí",SUM(L7:L1066)*(1+$M$5)^(C14/12),SUM(L7:L1066))</f>
        <v>0</v>
      </c>
      <c r="M5" s="146">
        <f>Hipótesis!E15</f>
        <v>0.02</v>
      </c>
    </row>
    <row r="6" spans="1:17">
      <c r="A6" s="4" t="s">
        <v>175</v>
      </c>
      <c r="B6" s="244">
        <f>+'Aportaciones PPE'!B6</f>
        <v>44561</v>
      </c>
      <c r="E6" s="197" t="s">
        <v>161</v>
      </c>
      <c r="F6" s="197" t="s">
        <v>164</v>
      </c>
      <c r="G6" s="197" t="s">
        <v>165</v>
      </c>
      <c r="H6" s="152" t="s">
        <v>271</v>
      </c>
      <c r="I6" s="152" t="s">
        <v>230</v>
      </c>
      <c r="J6" s="152" t="s">
        <v>232</v>
      </c>
      <c r="K6" s="152" t="s">
        <v>233</v>
      </c>
      <c r="L6" s="152" t="s">
        <v>231</v>
      </c>
      <c r="M6" s="197" t="s">
        <v>162</v>
      </c>
    </row>
    <row r="7" spans="1:17">
      <c r="A7" s="4" t="s">
        <v>176</v>
      </c>
      <c r="B7" s="6">
        <f ca="1">DATE(YEAR('Simulador - 1º Pilar'!G20),MONTH('Simulador - 1º Pilar'!G20),DAY(1))</f>
        <v>52779</v>
      </c>
      <c r="E7" s="6">
        <f ca="1">DATE(YEAR($B$7),MONTH($B$7)-1,DAY($B$7))</f>
        <v>52749</v>
      </c>
      <c r="F7" s="7">
        <f ca="1">MAX(IF(DATE(YEAR($B$6),MONTH($B$6)+1,DAY(1))=E7,1,IF(MONTH(E7)=1,F8*(1+$F$5),F8)),1)</f>
        <v>1.721571397580095</v>
      </c>
      <c r="G7" s="125">
        <f ca="1">IF('Simulador - 1º Pilar'!$E$99="Sí",IF('Aportaciones Poliza'!$B$13&lt;'Aportaciones Poliza'!E7,0,F7*$B$8/12),F7*$B$8/12)</f>
        <v>30127.499457651662</v>
      </c>
      <c r="H7" s="125">
        <f t="shared" ref="H7:H70" ca="1" si="0">$H$5*G7</f>
        <v>0</v>
      </c>
      <c r="I7" s="125"/>
      <c r="J7" s="125">
        <f ca="1">H7+IF(AND(F7=1,F8=0),$Q$4,0)</f>
        <v>0</v>
      </c>
      <c r="K7" s="125">
        <f>I7</f>
        <v>0</v>
      </c>
      <c r="L7" s="125">
        <f ca="1">K7+J7</f>
        <v>0</v>
      </c>
      <c r="M7" s="124">
        <f>IF('Simulador - Datos personales'!G58="Si",0.06,0.04)</f>
        <v>0.04</v>
      </c>
      <c r="N7" s="6">
        <v>2958282</v>
      </c>
    </row>
    <row r="8" spans="1:17">
      <c r="A8" s="4" t="s">
        <v>4</v>
      </c>
      <c r="B8" s="4">
        <f>'Simulador - Datos personales'!E15</f>
        <v>210000</v>
      </c>
      <c r="C8" s="7">
        <f>B8/12</f>
        <v>17500</v>
      </c>
      <c r="D8">
        <v>1</v>
      </c>
      <c r="E8" s="6">
        <f ca="1">+DATE(YEAR(E7),MONTH(E7)-1,DAY(E7))</f>
        <v>52718</v>
      </c>
      <c r="F8" s="7">
        <f t="shared" ref="F8:F71" ca="1" si="1">IF(DATE(YEAR($B$6),MONTH($B$6)+1,DAY(1))=E8,1,IF(MONTH(E8)=1,F9*(1+$F$5),F9))</f>
        <v>1.721571397580095</v>
      </c>
      <c r="G8" s="125">
        <f ca="1">IF('Simulador - 1º Pilar'!$E$99="Sí",IF('Aportaciones Poliza'!$B$13&lt;'Aportaciones Poliza'!E8,0,F8*$B$8/12),F8*$B$8/12)</f>
        <v>30127.499457651662</v>
      </c>
      <c r="H8" s="125">
        <f t="shared" ca="1" si="0"/>
        <v>0</v>
      </c>
      <c r="I8" s="125"/>
      <c r="J8" s="125">
        <f ca="1">(1+$M$5)^(D8/12)*(H8+IF(AND(F8=1,F9=0),$Q$4,0))</f>
        <v>0</v>
      </c>
      <c r="K8" s="125">
        <f t="shared" ref="K8:K71" si="2">(1+$M$5)^(D8/12)*(I8)</f>
        <v>0</v>
      </c>
      <c r="L8" s="125">
        <f t="shared" ref="L8:L71" ca="1" si="3">K8+J8</f>
        <v>0</v>
      </c>
      <c r="M8" s="124">
        <v>0.02</v>
      </c>
      <c r="N8" s="6">
        <v>47300</v>
      </c>
      <c r="P8">
        <f>D8</f>
        <v>1</v>
      </c>
    </row>
    <row r="9" spans="1:17">
      <c r="D9">
        <v>2</v>
      </c>
      <c r="E9" s="6">
        <f t="shared" ref="E9:E72" ca="1" si="4">+DATE(YEAR(E8),MONTH(E8)-1,DAY(E8))</f>
        <v>52688</v>
      </c>
      <c r="F9" s="7">
        <f t="shared" ca="1" si="1"/>
        <v>1.721571397580095</v>
      </c>
      <c r="G9" s="125">
        <f ca="1">IF('Simulador - 1º Pilar'!$E$99="Sí",IF('Aportaciones Poliza'!$B$13&lt;'Aportaciones Poliza'!E9,0,F9*$B$8/12),F9*$B$8/12)</f>
        <v>30127.499457651662</v>
      </c>
      <c r="H9" s="125">
        <f t="shared" ca="1" si="0"/>
        <v>0</v>
      </c>
      <c r="I9" s="125"/>
      <c r="J9" s="125">
        <f t="shared" ref="J9:J71" ca="1" si="5">(1+$M$5)^(D9/12)*(H9+IF(AND(F9=1,F10=0),$Q$4,0))</f>
        <v>0</v>
      </c>
      <c r="K9" s="125">
        <f t="shared" si="2"/>
        <v>0</v>
      </c>
      <c r="L9" s="125">
        <f t="shared" ca="1" si="3"/>
        <v>0</v>
      </c>
      <c r="M9" s="124">
        <v>0.03</v>
      </c>
      <c r="P9">
        <f t="shared" ref="P9:P72" si="6">D9</f>
        <v>2</v>
      </c>
    </row>
    <row r="10" spans="1:17">
      <c r="A10" s="4" t="s">
        <v>226</v>
      </c>
      <c r="B10" s="4">
        <f>'Simulador - Datos personales'!E13</f>
        <v>220000</v>
      </c>
      <c r="D10">
        <v>3</v>
      </c>
      <c r="E10" s="6">
        <f t="shared" ca="1" si="4"/>
        <v>52657</v>
      </c>
      <c r="F10" s="7">
        <f t="shared" ca="1" si="1"/>
        <v>1.721571397580095</v>
      </c>
      <c r="G10" s="125">
        <f ca="1">IF('Simulador - 1º Pilar'!$E$99="Sí",IF('Aportaciones Poliza'!$B$13&lt;'Aportaciones Poliza'!E10,0,F10*$B$8/12),F10*$B$8/12)</f>
        <v>30127.499457651662</v>
      </c>
      <c r="H10" s="125">
        <f t="shared" ca="1" si="0"/>
        <v>0</v>
      </c>
      <c r="I10" s="125"/>
      <c r="J10" s="125">
        <f t="shared" ca="1" si="5"/>
        <v>0</v>
      </c>
      <c r="K10" s="125">
        <f t="shared" si="2"/>
        <v>0</v>
      </c>
      <c r="L10" s="125">
        <f t="shared" ca="1" si="3"/>
        <v>0</v>
      </c>
      <c r="P10">
        <f t="shared" si="6"/>
        <v>3</v>
      </c>
    </row>
    <row r="11" spans="1:17">
      <c r="A11" s="9" t="s">
        <v>227</v>
      </c>
      <c r="B11" s="147">
        <f ca="1">IF(F7=0,C11*B10/12,F7*B10/12)</f>
        <v>31562.142288968407</v>
      </c>
      <c r="C11" s="7">
        <f ca="1">_xlfn.IFNA(VLOOKUP(B14,$E$7:$G$1066,2,0),1)</f>
        <v>1</v>
      </c>
      <c r="D11">
        <v>4</v>
      </c>
      <c r="E11" s="6">
        <f t="shared" ca="1" si="4"/>
        <v>52628</v>
      </c>
      <c r="F11" s="7">
        <f t="shared" ca="1" si="1"/>
        <v>1.721571397580095</v>
      </c>
      <c r="G11" s="125">
        <f ca="1">IF('Simulador - 1º Pilar'!$E$99="Sí",IF('Aportaciones Poliza'!$B$13&lt;'Aportaciones Poliza'!E11,0,F11*$B$8/12),F11*$B$8/12)</f>
        <v>30127.499457651662</v>
      </c>
      <c r="H11" s="125">
        <f t="shared" ca="1" si="0"/>
        <v>0</v>
      </c>
      <c r="I11" s="125"/>
      <c r="J11" s="125">
        <f t="shared" ca="1" si="5"/>
        <v>0</v>
      </c>
      <c r="K11" s="125">
        <f t="shared" si="2"/>
        <v>0</v>
      </c>
      <c r="L11" s="125">
        <f t="shared" ca="1" si="3"/>
        <v>0</v>
      </c>
      <c r="P11">
        <f t="shared" si="6"/>
        <v>4</v>
      </c>
    </row>
    <row r="12" spans="1:17">
      <c r="D12">
        <v>5</v>
      </c>
      <c r="E12" s="6">
        <f t="shared" ca="1" si="4"/>
        <v>52597</v>
      </c>
      <c r="F12" s="7">
        <f t="shared" ca="1" si="1"/>
        <v>1.721571397580095</v>
      </c>
      <c r="G12" s="125">
        <f ca="1">IF('Simulador - 1º Pilar'!$E$99="Sí",IF('Aportaciones Poliza'!$B$13&lt;'Aportaciones Poliza'!E12,0,F12*$B$8/12),F12*$B$8/12)</f>
        <v>30127.499457651662</v>
      </c>
      <c r="H12" s="125">
        <f t="shared" ca="1" si="0"/>
        <v>0</v>
      </c>
      <c r="I12" s="125"/>
      <c r="J12" s="125">
        <f t="shared" ca="1" si="5"/>
        <v>0</v>
      </c>
      <c r="K12" s="125">
        <f t="shared" si="2"/>
        <v>0</v>
      </c>
      <c r="L12" s="125">
        <f t="shared" ca="1" si="3"/>
        <v>0</v>
      </c>
      <c r="P12">
        <f t="shared" si="6"/>
        <v>5</v>
      </c>
    </row>
    <row r="13" spans="1:17">
      <c r="A13" s="4" t="s">
        <v>270</v>
      </c>
      <c r="B13" s="6">
        <f>'Simulador - 1º Pilar'!G16</f>
        <v>0</v>
      </c>
      <c r="D13">
        <v>6</v>
      </c>
      <c r="E13" s="6">
        <f t="shared" ca="1" si="4"/>
        <v>52566</v>
      </c>
      <c r="F13" s="7">
        <f t="shared" ca="1" si="1"/>
        <v>1.6795818512976539</v>
      </c>
      <c r="G13" s="125">
        <f ca="1">IF('Simulador - 1º Pilar'!$E$99="Sí",IF('Aportaciones Poliza'!$B$13&lt;'Aportaciones Poliza'!E13,0,F13*$B$8/12),F13*$B$8/12)</f>
        <v>29392.682397708941</v>
      </c>
      <c r="H13" s="125">
        <f t="shared" ca="1" si="0"/>
        <v>0</v>
      </c>
      <c r="I13" s="125"/>
      <c r="J13" s="125">
        <f t="shared" ca="1" si="5"/>
        <v>0</v>
      </c>
      <c r="K13" s="125">
        <f t="shared" si="2"/>
        <v>0</v>
      </c>
      <c r="L13" s="125">
        <f t="shared" ca="1" si="3"/>
        <v>0</v>
      </c>
      <c r="P13">
        <f t="shared" si="6"/>
        <v>6</v>
      </c>
    </row>
    <row r="14" spans="1:17">
      <c r="B14" s="123">
        <f>DATE(YEAR(B13),MONTH(B13),DAY(1))</f>
        <v>1</v>
      </c>
      <c r="C14" t="e">
        <f ca="1">VLOOKUP(B14,E7:P1066,12,0)</f>
        <v>#N/A</v>
      </c>
      <c r="D14">
        <v>7</v>
      </c>
      <c r="E14" s="6">
        <f t="shared" ca="1" si="4"/>
        <v>52536</v>
      </c>
      <c r="F14" s="7">
        <f t="shared" ca="1" si="1"/>
        <v>1.6795818512976539</v>
      </c>
      <c r="G14" s="125">
        <f ca="1">IF('Simulador - 1º Pilar'!$E$99="Sí",IF('Aportaciones Poliza'!$B$13&lt;'Aportaciones Poliza'!E14,0,F14*$B$8/12),F14*$B$8/12)</f>
        <v>29392.682397708941</v>
      </c>
      <c r="H14" s="125">
        <f t="shared" ca="1" si="0"/>
        <v>0</v>
      </c>
      <c r="I14" s="125"/>
      <c r="J14" s="125">
        <f t="shared" ca="1" si="5"/>
        <v>0</v>
      </c>
      <c r="K14" s="125">
        <f t="shared" si="2"/>
        <v>0</v>
      </c>
      <c r="L14" s="125">
        <f t="shared" ca="1" si="3"/>
        <v>0</v>
      </c>
      <c r="P14">
        <f t="shared" si="6"/>
        <v>7</v>
      </c>
    </row>
    <row r="15" spans="1:17">
      <c r="D15">
        <v>8</v>
      </c>
      <c r="E15" s="6">
        <f t="shared" ca="1" si="4"/>
        <v>52505</v>
      </c>
      <c r="F15" s="7">
        <f t="shared" ca="1" si="1"/>
        <v>1.6795818512976539</v>
      </c>
      <c r="G15" s="125">
        <f ca="1">IF('Simulador - 1º Pilar'!$E$99="Sí",IF('Aportaciones Poliza'!$B$13&lt;'Aportaciones Poliza'!E15,0,F15*$B$8/12),F15*$B$8/12)</f>
        <v>29392.682397708941</v>
      </c>
      <c r="H15" s="125">
        <f t="shared" ca="1" si="0"/>
        <v>0</v>
      </c>
      <c r="I15" s="125"/>
      <c r="J15" s="125">
        <f t="shared" ca="1" si="5"/>
        <v>0</v>
      </c>
      <c r="K15" s="125">
        <f t="shared" si="2"/>
        <v>0</v>
      </c>
      <c r="L15" s="125">
        <f t="shared" ca="1" si="3"/>
        <v>0</v>
      </c>
      <c r="P15">
        <f t="shared" si="6"/>
        <v>8</v>
      </c>
    </row>
    <row r="16" spans="1:17">
      <c r="D16">
        <v>9</v>
      </c>
      <c r="E16" s="6">
        <f t="shared" ca="1" si="4"/>
        <v>52475</v>
      </c>
      <c r="F16" s="7">
        <f t="shared" ca="1" si="1"/>
        <v>1.6795818512976539</v>
      </c>
      <c r="G16" s="125">
        <f ca="1">IF('Simulador - 1º Pilar'!$E$99="Sí",IF('Aportaciones Poliza'!$B$13&lt;'Aportaciones Poliza'!E16,0,F16*$B$8/12),F16*$B$8/12)</f>
        <v>29392.682397708941</v>
      </c>
      <c r="H16" s="125">
        <f t="shared" ca="1" si="0"/>
        <v>0</v>
      </c>
      <c r="I16" s="125"/>
      <c r="J16" s="125">
        <f t="shared" ca="1" si="5"/>
        <v>0</v>
      </c>
      <c r="K16" s="125">
        <f t="shared" si="2"/>
        <v>0</v>
      </c>
      <c r="L16" s="125">
        <f t="shared" ca="1" si="3"/>
        <v>0</v>
      </c>
      <c r="P16">
        <f t="shared" si="6"/>
        <v>9</v>
      </c>
    </row>
    <row r="17" spans="4:16">
      <c r="D17">
        <v>10</v>
      </c>
      <c r="E17" s="6">
        <f t="shared" ca="1" si="4"/>
        <v>52444</v>
      </c>
      <c r="F17" s="7">
        <f t="shared" ca="1" si="1"/>
        <v>1.6795818512976539</v>
      </c>
      <c r="G17" s="125">
        <f ca="1">IF('Simulador - 1º Pilar'!$E$99="Sí",IF('Aportaciones Poliza'!$B$13&lt;'Aportaciones Poliza'!E17,0,F17*$B$8/12),F17*$B$8/12)</f>
        <v>29392.682397708941</v>
      </c>
      <c r="H17" s="125">
        <f t="shared" ca="1" si="0"/>
        <v>0</v>
      </c>
      <c r="I17" s="125"/>
      <c r="J17" s="125">
        <f t="shared" ca="1" si="5"/>
        <v>0</v>
      </c>
      <c r="K17" s="125">
        <f t="shared" si="2"/>
        <v>0</v>
      </c>
      <c r="L17" s="125">
        <f t="shared" ca="1" si="3"/>
        <v>0</v>
      </c>
      <c r="P17">
        <f t="shared" si="6"/>
        <v>10</v>
      </c>
    </row>
    <row r="18" spans="4:16">
      <c r="D18">
        <v>11</v>
      </c>
      <c r="E18" s="6">
        <f t="shared" ca="1" si="4"/>
        <v>52413</v>
      </c>
      <c r="F18" s="7">
        <f t="shared" ca="1" si="1"/>
        <v>1.6795818512976539</v>
      </c>
      <c r="G18" s="125">
        <f ca="1">IF('Simulador - 1º Pilar'!$E$99="Sí",IF('Aportaciones Poliza'!$B$13&lt;'Aportaciones Poliza'!E18,0,F18*$B$8/12),F18*$B$8/12)</f>
        <v>29392.682397708941</v>
      </c>
      <c r="H18" s="125">
        <f t="shared" ca="1" si="0"/>
        <v>0</v>
      </c>
      <c r="I18" s="125"/>
      <c r="J18" s="125">
        <f t="shared" ca="1" si="5"/>
        <v>0</v>
      </c>
      <c r="K18" s="125">
        <f t="shared" si="2"/>
        <v>0</v>
      </c>
      <c r="L18" s="125">
        <f t="shared" ca="1" si="3"/>
        <v>0</v>
      </c>
      <c r="P18">
        <f t="shared" si="6"/>
        <v>11</v>
      </c>
    </row>
    <row r="19" spans="4:16">
      <c r="D19">
        <v>12</v>
      </c>
      <c r="E19" s="6">
        <f t="shared" ca="1" si="4"/>
        <v>52383</v>
      </c>
      <c r="F19" s="7">
        <f t="shared" ca="1" si="1"/>
        <v>1.6795818512976539</v>
      </c>
      <c r="G19" s="125">
        <f ca="1">IF('Simulador - 1º Pilar'!$E$99="Sí",IF('Aportaciones Poliza'!$B$13&lt;'Aportaciones Poliza'!E19,0,F19*$B$8/12),F19*$B$8/12)</f>
        <v>29392.682397708941</v>
      </c>
      <c r="H19" s="125">
        <f t="shared" ca="1" si="0"/>
        <v>0</v>
      </c>
      <c r="I19" s="125"/>
      <c r="J19" s="125">
        <f t="shared" ca="1" si="5"/>
        <v>0</v>
      </c>
      <c r="K19" s="125">
        <f t="shared" si="2"/>
        <v>0</v>
      </c>
      <c r="L19" s="125">
        <f t="shared" ca="1" si="3"/>
        <v>0</v>
      </c>
      <c r="M19" s="126"/>
      <c r="P19">
        <f t="shared" si="6"/>
        <v>12</v>
      </c>
    </row>
    <row r="20" spans="4:16">
      <c r="D20">
        <v>13</v>
      </c>
      <c r="E20" s="6">
        <f t="shared" ca="1" si="4"/>
        <v>52352</v>
      </c>
      <c r="F20" s="7">
        <f t="shared" ca="1" si="1"/>
        <v>1.6795818512976539</v>
      </c>
      <c r="G20" s="125">
        <f ca="1">IF('Simulador - 1º Pilar'!$E$99="Sí",IF('Aportaciones Poliza'!$B$13&lt;'Aportaciones Poliza'!E20,0,F20*$B$8/12),F20*$B$8/12)</f>
        <v>29392.682397708941</v>
      </c>
      <c r="H20" s="125">
        <f t="shared" ca="1" si="0"/>
        <v>0</v>
      </c>
      <c r="I20" s="125"/>
      <c r="J20" s="125">
        <f t="shared" ca="1" si="5"/>
        <v>0</v>
      </c>
      <c r="K20" s="125">
        <f t="shared" si="2"/>
        <v>0</v>
      </c>
      <c r="L20" s="125">
        <f t="shared" ca="1" si="3"/>
        <v>0</v>
      </c>
      <c r="P20">
        <f t="shared" si="6"/>
        <v>13</v>
      </c>
    </row>
    <row r="21" spans="4:16">
      <c r="D21">
        <v>14</v>
      </c>
      <c r="E21" s="6">
        <f t="shared" ca="1" si="4"/>
        <v>52322</v>
      </c>
      <c r="F21" s="7">
        <f t="shared" ca="1" si="1"/>
        <v>1.6795818512976539</v>
      </c>
      <c r="G21" s="125">
        <f ca="1">IF('Simulador - 1º Pilar'!$E$99="Sí",IF('Aportaciones Poliza'!$B$13&lt;'Aportaciones Poliza'!E21,0,F21*$B$8/12),F21*$B$8/12)</f>
        <v>29392.682397708941</v>
      </c>
      <c r="H21" s="125">
        <f t="shared" ca="1" si="0"/>
        <v>0</v>
      </c>
      <c r="I21" s="125"/>
      <c r="J21" s="125">
        <f t="shared" ca="1" si="5"/>
        <v>0</v>
      </c>
      <c r="K21" s="125">
        <f t="shared" si="2"/>
        <v>0</v>
      </c>
      <c r="L21" s="125">
        <f t="shared" ca="1" si="3"/>
        <v>0</v>
      </c>
      <c r="P21">
        <f t="shared" si="6"/>
        <v>14</v>
      </c>
    </row>
    <row r="22" spans="4:16">
      <c r="D22">
        <v>15</v>
      </c>
      <c r="E22" s="6">
        <f t="shared" ca="1" si="4"/>
        <v>52291</v>
      </c>
      <c r="F22" s="7">
        <f t="shared" ca="1" si="1"/>
        <v>1.6795818512976539</v>
      </c>
      <c r="G22" s="125">
        <f ca="1">IF('Simulador - 1º Pilar'!$E$99="Sí",IF('Aportaciones Poliza'!$B$13&lt;'Aportaciones Poliza'!E22,0,F22*$B$8/12),F22*$B$8/12)</f>
        <v>29392.682397708941</v>
      </c>
      <c r="H22" s="125">
        <f t="shared" ca="1" si="0"/>
        <v>0</v>
      </c>
      <c r="I22" s="125"/>
      <c r="J22" s="125">
        <f t="shared" ca="1" si="5"/>
        <v>0</v>
      </c>
      <c r="K22" s="125">
        <f t="shared" si="2"/>
        <v>0</v>
      </c>
      <c r="L22" s="125">
        <f t="shared" ca="1" si="3"/>
        <v>0</v>
      </c>
      <c r="P22">
        <f t="shared" si="6"/>
        <v>15</v>
      </c>
    </row>
    <row r="23" spans="4:16">
      <c r="D23">
        <v>16</v>
      </c>
      <c r="E23" s="6">
        <f t="shared" ca="1" si="4"/>
        <v>52263</v>
      </c>
      <c r="F23" s="7">
        <f t="shared" ca="1" si="1"/>
        <v>1.6795818512976539</v>
      </c>
      <c r="G23" s="125">
        <f ca="1">IF('Simulador - 1º Pilar'!$E$99="Sí",IF('Aportaciones Poliza'!$B$13&lt;'Aportaciones Poliza'!E23,0,F23*$B$8/12),F23*$B$8/12)</f>
        <v>29392.682397708941</v>
      </c>
      <c r="H23" s="125">
        <f t="shared" ca="1" si="0"/>
        <v>0</v>
      </c>
      <c r="I23" s="125"/>
      <c r="J23" s="125">
        <f t="shared" ca="1" si="5"/>
        <v>0</v>
      </c>
      <c r="K23" s="125">
        <f t="shared" si="2"/>
        <v>0</v>
      </c>
      <c r="L23" s="125">
        <f t="shared" ca="1" si="3"/>
        <v>0</v>
      </c>
      <c r="P23">
        <f t="shared" si="6"/>
        <v>16</v>
      </c>
    </row>
    <row r="24" spans="4:16">
      <c r="D24">
        <v>17</v>
      </c>
      <c r="E24" s="6">
        <f t="shared" ca="1" si="4"/>
        <v>52232</v>
      </c>
      <c r="F24" s="7">
        <f t="shared" ca="1" si="1"/>
        <v>1.6795818512976539</v>
      </c>
      <c r="G24" s="125">
        <f ca="1">IF('Simulador - 1º Pilar'!$E$99="Sí",IF('Aportaciones Poliza'!$B$13&lt;'Aportaciones Poliza'!E24,0,F24*$B$8/12),F24*$B$8/12)</f>
        <v>29392.682397708941</v>
      </c>
      <c r="H24" s="125">
        <f t="shared" ca="1" si="0"/>
        <v>0</v>
      </c>
      <c r="I24" s="125"/>
      <c r="J24" s="125">
        <f t="shared" ca="1" si="5"/>
        <v>0</v>
      </c>
      <c r="K24" s="125">
        <f t="shared" si="2"/>
        <v>0</v>
      </c>
      <c r="L24" s="125">
        <f t="shared" ca="1" si="3"/>
        <v>0</v>
      </c>
      <c r="P24">
        <f t="shared" si="6"/>
        <v>17</v>
      </c>
    </row>
    <row r="25" spans="4:16">
      <c r="D25">
        <v>18</v>
      </c>
      <c r="E25" s="6">
        <f t="shared" ca="1" si="4"/>
        <v>52201</v>
      </c>
      <c r="F25" s="7">
        <f t="shared" ca="1" si="1"/>
        <v>1.6386164402903942</v>
      </c>
      <c r="G25" s="125">
        <f ca="1">IF('Simulador - 1º Pilar'!$E$99="Sí",IF('Aportaciones Poliza'!$B$13&lt;'Aportaciones Poliza'!E25,0,F25*$B$8/12),F25*$B$8/12)</f>
        <v>28675.787705081897</v>
      </c>
      <c r="H25" s="125">
        <f t="shared" ca="1" si="0"/>
        <v>0</v>
      </c>
      <c r="I25" s="125"/>
      <c r="J25" s="125">
        <f t="shared" ca="1" si="5"/>
        <v>0</v>
      </c>
      <c r="K25" s="125">
        <f t="shared" si="2"/>
        <v>0</v>
      </c>
      <c r="L25" s="125">
        <f t="shared" ca="1" si="3"/>
        <v>0</v>
      </c>
      <c r="P25">
        <f t="shared" si="6"/>
        <v>18</v>
      </c>
    </row>
    <row r="26" spans="4:16">
      <c r="D26">
        <v>19</v>
      </c>
      <c r="E26" s="6">
        <f t="shared" ca="1" si="4"/>
        <v>52171</v>
      </c>
      <c r="F26" s="7">
        <f t="shared" ca="1" si="1"/>
        <v>1.6386164402903942</v>
      </c>
      <c r="G26" s="125">
        <f ca="1">IF('Simulador - 1º Pilar'!$E$99="Sí",IF('Aportaciones Poliza'!$B$13&lt;'Aportaciones Poliza'!E26,0,F26*$B$8/12),F26*$B$8/12)</f>
        <v>28675.787705081897</v>
      </c>
      <c r="H26" s="125">
        <f t="shared" ca="1" si="0"/>
        <v>0</v>
      </c>
      <c r="I26" s="125"/>
      <c r="J26" s="125">
        <f t="shared" ca="1" si="5"/>
        <v>0</v>
      </c>
      <c r="K26" s="125">
        <f t="shared" si="2"/>
        <v>0</v>
      </c>
      <c r="L26" s="125">
        <f t="shared" ca="1" si="3"/>
        <v>0</v>
      </c>
      <c r="P26">
        <f t="shared" si="6"/>
        <v>19</v>
      </c>
    </row>
    <row r="27" spans="4:16">
      <c r="D27">
        <v>20</v>
      </c>
      <c r="E27" s="6">
        <f t="shared" ca="1" si="4"/>
        <v>52140</v>
      </c>
      <c r="F27" s="7">
        <f t="shared" ca="1" si="1"/>
        <v>1.6386164402903942</v>
      </c>
      <c r="G27" s="125">
        <f ca="1">IF('Simulador - 1º Pilar'!$E$99="Sí",IF('Aportaciones Poliza'!$B$13&lt;'Aportaciones Poliza'!E27,0,F27*$B$8/12),F27*$B$8/12)</f>
        <v>28675.787705081897</v>
      </c>
      <c r="H27" s="125">
        <f t="shared" ca="1" si="0"/>
        <v>0</v>
      </c>
      <c r="I27" s="125"/>
      <c r="J27" s="125">
        <f t="shared" ca="1" si="5"/>
        <v>0</v>
      </c>
      <c r="K27" s="125">
        <f t="shared" si="2"/>
        <v>0</v>
      </c>
      <c r="L27" s="125">
        <f t="shared" ca="1" si="3"/>
        <v>0</v>
      </c>
      <c r="P27">
        <f t="shared" si="6"/>
        <v>20</v>
      </c>
    </row>
    <row r="28" spans="4:16">
      <c r="D28">
        <v>21</v>
      </c>
      <c r="E28" s="6">
        <f t="shared" ca="1" si="4"/>
        <v>52110</v>
      </c>
      <c r="F28" s="7">
        <f t="shared" ca="1" si="1"/>
        <v>1.6386164402903942</v>
      </c>
      <c r="G28" s="125">
        <f ca="1">IF('Simulador - 1º Pilar'!$E$99="Sí",IF('Aportaciones Poliza'!$B$13&lt;'Aportaciones Poliza'!E28,0,F28*$B$8/12),F28*$B$8/12)</f>
        <v>28675.787705081897</v>
      </c>
      <c r="H28" s="125">
        <f t="shared" ca="1" si="0"/>
        <v>0</v>
      </c>
      <c r="I28" s="125"/>
      <c r="J28" s="125">
        <f t="shared" ca="1" si="5"/>
        <v>0</v>
      </c>
      <c r="K28" s="125">
        <f t="shared" si="2"/>
        <v>0</v>
      </c>
      <c r="L28" s="125">
        <f t="shared" ca="1" si="3"/>
        <v>0</v>
      </c>
      <c r="P28">
        <f t="shared" si="6"/>
        <v>21</v>
      </c>
    </row>
    <row r="29" spans="4:16">
      <c r="D29">
        <v>22</v>
      </c>
      <c r="E29" s="6">
        <f t="shared" ca="1" si="4"/>
        <v>52079</v>
      </c>
      <c r="F29" s="7">
        <f t="shared" ca="1" si="1"/>
        <v>1.6386164402903942</v>
      </c>
      <c r="G29" s="125">
        <f ca="1">IF('Simulador - 1º Pilar'!$E$99="Sí",IF('Aportaciones Poliza'!$B$13&lt;'Aportaciones Poliza'!E29,0,F29*$B$8/12),F29*$B$8/12)</f>
        <v>28675.787705081897</v>
      </c>
      <c r="H29" s="125">
        <f t="shared" ca="1" si="0"/>
        <v>0</v>
      </c>
      <c r="I29" s="125"/>
      <c r="J29" s="125">
        <f t="shared" ca="1" si="5"/>
        <v>0</v>
      </c>
      <c r="K29" s="125">
        <f t="shared" si="2"/>
        <v>0</v>
      </c>
      <c r="L29" s="125">
        <f t="shared" ca="1" si="3"/>
        <v>0</v>
      </c>
      <c r="P29">
        <f t="shared" si="6"/>
        <v>22</v>
      </c>
    </row>
    <row r="30" spans="4:16">
      <c r="D30">
        <v>23</v>
      </c>
      <c r="E30" s="6">
        <f t="shared" ca="1" si="4"/>
        <v>52048</v>
      </c>
      <c r="F30" s="7">
        <f t="shared" ca="1" si="1"/>
        <v>1.6386164402903942</v>
      </c>
      <c r="G30" s="125">
        <f ca="1">IF('Simulador - 1º Pilar'!$E$99="Sí",IF('Aportaciones Poliza'!$B$13&lt;'Aportaciones Poliza'!E30,0,F30*$B$8/12),F30*$B$8/12)</f>
        <v>28675.787705081897</v>
      </c>
      <c r="H30" s="125">
        <f t="shared" ca="1" si="0"/>
        <v>0</v>
      </c>
      <c r="I30" s="125"/>
      <c r="J30" s="125">
        <f t="shared" ca="1" si="5"/>
        <v>0</v>
      </c>
      <c r="K30" s="125">
        <f t="shared" si="2"/>
        <v>0</v>
      </c>
      <c r="L30" s="125">
        <f t="shared" ca="1" si="3"/>
        <v>0</v>
      </c>
      <c r="P30">
        <f t="shared" si="6"/>
        <v>23</v>
      </c>
    </row>
    <row r="31" spans="4:16">
      <c r="D31">
        <v>24</v>
      </c>
      <c r="E31" s="6">
        <f t="shared" ca="1" si="4"/>
        <v>52018</v>
      </c>
      <c r="F31" s="7">
        <f t="shared" ca="1" si="1"/>
        <v>1.6386164402903942</v>
      </c>
      <c r="G31" s="125">
        <f ca="1">IF('Simulador - 1º Pilar'!$E$99="Sí",IF('Aportaciones Poliza'!$B$13&lt;'Aportaciones Poliza'!E31,0,F31*$B$8/12),F31*$B$8/12)</f>
        <v>28675.787705081897</v>
      </c>
      <c r="H31" s="125">
        <f t="shared" ca="1" si="0"/>
        <v>0</v>
      </c>
      <c r="I31" s="125"/>
      <c r="J31" s="125">
        <f t="shared" ca="1" si="5"/>
        <v>0</v>
      </c>
      <c r="K31" s="125">
        <f t="shared" si="2"/>
        <v>0</v>
      </c>
      <c r="L31" s="125">
        <f t="shared" ca="1" si="3"/>
        <v>0</v>
      </c>
      <c r="P31">
        <f t="shared" si="6"/>
        <v>24</v>
      </c>
    </row>
    <row r="32" spans="4:16">
      <c r="D32">
        <v>25</v>
      </c>
      <c r="E32" s="6">
        <f t="shared" ca="1" si="4"/>
        <v>51987</v>
      </c>
      <c r="F32" s="7">
        <f t="shared" ca="1" si="1"/>
        <v>1.6386164402903942</v>
      </c>
      <c r="G32" s="125">
        <f ca="1">IF('Simulador - 1º Pilar'!$E$99="Sí",IF('Aportaciones Poliza'!$B$13&lt;'Aportaciones Poliza'!E32,0,F32*$B$8/12),F32*$B$8/12)</f>
        <v>28675.787705081897</v>
      </c>
      <c r="H32" s="125">
        <f t="shared" ca="1" si="0"/>
        <v>0</v>
      </c>
      <c r="I32" s="125"/>
      <c r="J32" s="125">
        <f t="shared" ca="1" si="5"/>
        <v>0</v>
      </c>
      <c r="K32" s="125">
        <f t="shared" si="2"/>
        <v>0</v>
      </c>
      <c r="L32" s="125">
        <f t="shared" ca="1" si="3"/>
        <v>0</v>
      </c>
      <c r="P32">
        <f t="shared" si="6"/>
        <v>25</v>
      </c>
    </row>
    <row r="33" spans="4:16">
      <c r="D33">
        <v>26</v>
      </c>
      <c r="E33" s="6">
        <f t="shared" ca="1" si="4"/>
        <v>51957</v>
      </c>
      <c r="F33" s="7">
        <f t="shared" ca="1" si="1"/>
        <v>1.6386164402903942</v>
      </c>
      <c r="G33" s="125">
        <f ca="1">IF('Simulador - 1º Pilar'!$E$99="Sí",IF('Aportaciones Poliza'!$B$13&lt;'Aportaciones Poliza'!E33,0,F33*$B$8/12),F33*$B$8/12)</f>
        <v>28675.787705081897</v>
      </c>
      <c r="H33" s="125">
        <f t="shared" ca="1" si="0"/>
        <v>0</v>
      </c>
      <c r="I33" s="125"/>
      <c r="J33" s="125">
        <f t="shared" ca="1" si="5"/>
        <v>0</v>
      </c>
      <c r="K33" s="125">
        <f t="shared" si="2"/>
        <v>0</v>
      </c>
      <c r="L33" s="125">
        <f t="shared" ca="1" si="3"/>
        <v>0</v>
      </c>
      <c r="P33">
        <f t="shared" si="6"/>
        <v>26</v>
      </c>
    </row>
    <row r="34" spans="4:16">
      <c r="D34">
        <v>27</v>
      </c>
      <c r="E34" s="6">
        <f t="shared" ca="1" si="4"/>
        <v>51926</v>
      </c>
      <c r="F34" s="7">
        <f t="shared" ca="1" si="1"/>
        <v>1.6386164402903942</v>
      </c>
      <c r="G34" s="125">
        <f ca="1">IF('Simulador - 1º Pilar'!$E$99="Sí",IF('Aportaciones Poliza'!$B$13&lt;'Aportaciones Poliza'!E34,0,F34*$B$8/12),F34*$B$8/12)</f>
        <v>28675.787705081897</v>
      </c>
      <c r="H34" s="125">
        <f t="shared" ca="1" si="0"/>
        <v>0</v>
      </c>
      <c r="I34" s="125"/>
      <c r="J34" s="125">
        <f t="shared" ca="1" si="5"/>
        <v>0</v>
      </c>
      <c r="K34" s="125">
        <f t="shared" si="2"/>
        <v>0</v>
      </c>
      <c r="L34" s="125">
        <f t="shared" ca="1" si="3"/>
        <v>0</v>
      </c>
      <c r="P34">
        <f t="shared" si="6"/>
        <v>27</v>
      </c>
    </row>
    <row r="35" spans="4:16">
      <c r="D35">
        <v>28</v>
      </c>
      <c r="E35" s="6">
        <f t="shared" ca="1" si="4"/>
        <v>51898</v>
      </c>
      <c r="F35" s="7">
        <f t="shared" ca="1" si="1"/>
        <v>1.6386164402903942</v>
      </c>
      <c r="G35" s="125">
        <f ca="1">IF('Simulador - 1º Pilar'!$E$99="Sí",IF('Aportaciones Poliza'!$B$13&lt;'Aportaciones Poliza'!E35,0,F35*$B$8/12),F35*$B$8/12)</f>
        <v>28675.787705081897</v>
      </c>
      <c r="H35" s="125">
        <f t="shared" ca="1" si="0"/>
        <v>0</v>
      </c>
      <c r="I35" s="125"/>
      <c r="J35" s="125">
        <f t="shared" ca="1" si="5"/>
        <v>0</v>
      </c>
      <c r="K35" s="125">
        <f t="shared" si="2"/>
        <v>0</v>
      </c>
      <c r="L35" s="125">
        <f t="shared" ca="1" si="3"/>
        <v>0</v>
      </c>
      <c r="P35">
        <f t="shared" si="6"/>
        <v>28</v>
      </c>
    </row>
    <row r="36" spans="4:16">
      <c r="D36">
        <v>29</v>
      </c>
      <c r="E36" s="6">
        <f t="shared" ca="1" si="4"/>
        <v>51867</v>
      </c>
      <c r="F36" s="7">
        <f t="shared" ca="1" si="1"/>
        <v>1.6386164402903942</v>
      </c>
      <c r="G36" s="125">
        <f ca="1">IF('Simulador - 1º Pilar'!$E$99="Sí",IF('Aportaciones Poliza'!$B$13&lt;'Aportaciones Poliza'!E36,0,F36*$B$8/12),F36*$B$8/12)</f>
        <v>28675.787705081897</v>
      </c>
      <c r="H36" s="125">
        <f t="shared" ca="1" si="0"/>
        <v>0</v>
      </c>
      <c r="I36" s="125"/>
      <c r="J36" s="125">
        <f t="shared" ca="1" si="5"/>
        <v>0</v>
      </c>
      <c r="K36" s="125">
        <f t="shared" si="2"/>
        <v>0</v>
      </c>
      <c r="L36" s="125">
        <f t="shared" ca="1" si="3"/>
        <v>0</v>
      </c>
      <c r="P36">
        <f t="shared" si="6"/>
        <v>29</v>
      </c>
    </row>
    <row r="37" spans="4:16">
      <c r="D37">
        <v>30</v>
      </c>
      <c r="E37" s="6">
        <f t="shared" ca="1" si="4"/>
        <v>51836</v>
      </c>
      <c r="F37" s="7">
        <f t="shared" ca="1" si="1"/>
        <v>1.5986501856491653</v>
      </c>
      <c r="G37" s="125">
        <f ca="1">IF('Simulador - 1º Pilar'!$E$99="Sí",IF('Aportaciones Poliza'!$B$13&lt;'Aportaciones Poliza'!E37,0,F37*$B$8/12),F37*$B$8/12)</f>
        <v>27976.37824886039</v>
      </c>
      <c r="H37" s="125">
        <f t="shared" ca="1" si="0"/>
        <v>0</v>
      </c>
      <c r="I37" s="125"/>
      <c r="J37" s="125">
        <f t="shared" ca="1" si="5"/>
        <v>0</v>
      </c>
      <c r="K37" s="125">
        <f t="shared" si="2"/>
        <v>0</v>
      </c>
      <c r="L37" s="125">
        <f t="shared" ca="1" si="3"/>
        <v>0</v>
      </c>
      <c r="P37">
        <f t="shared" si="6"/>
        <v>30</v>
      </c>
    </row>
    <row r="38" spans="4:16">
      <c r="D38">
        <v>31</v>
      </c>
      <c r="E38" s="6">
        <f t="shared" ca="1" si="4"/>
        <v>51806</v>
      </c>
      <c r="F38" s="7">
        <f t="shared" ca="1" si="1"/>
        <v>1.5986501856491653</v>
      </c>
      <c r="G38" s="125">
        <f ca="1">IF('Simulador - 1º Pilar'!$E$99="Sí",IF('Aportaciones Poliza'!$B$13&lt;'Aportaciones Poliza'!E38,0,F38*$B$8/12),F38*$B$8/12)</f>
        <v>27976.37824886039</v>
      </c>
      <c r="H38" s="125">
        <f t="shared" ca="1" si="0"/>
        <v>0</v>
      </c>
      <c r="I38" s="125"/>
      <c r="J38" s="125">
        <f t="shared" ca="1" si="5"/>
        <v>0</v>
      </c>
      <c r="K38" s="125">
        <f t="shared" si="2"/>
        <v>0</v>
      </c>
      <c r="L38" s="125">
        <f t="shared" ca="1" si="3"/>
        <v>0</v>
      </c>
      <c r="P38">
        <f t="shared" si="6"/>
        <v>31</v>
      </c>
    </row>
    <row r="39" spans="4:16">
      <c r="D39">
        <v>32</v>
      </c>
      <c r="E39" s="6">
        <f t="shared" ca="1" si="4"/>
        <v>51775</v>
      </c>
      <c r="F39" s="7">
        <f t="shared" ca="1" si="1"/>
        <v>1.5986501856491653</v>
      </c>
      <c r="G39" s="125">
        <f ca="1">IF('Simulador - 1º Pilar'!$E$99="Sí",IF('Aportaciones Poliza'!$B$13&lt;'Aportaciones Poliza'!E39,0,F39*$B$8/12),F39*$B$8/12)</f>
        <v>27976.37824886039</v>
      </c>
      <c r="H39" s="125">
        <f t="shared" ca="1" si="0"/>
        <v>0</v>
      </c>
      <c r="I39" s="125"/>
      <c r="J39" s="125">
        <f t="shared" ca="1" si="5"/>
        <v>0</v>
      </c>
      <c r="K39" s="125">
        <f t="shared" si="2"/>
        <v>0</v>
      </c>
      <c r="L39" s="125">
        <f t="shared" ca="1" si="3"/>
        <v>0</v>
      </c>
      <c r="P39">
        <f t="shared" si="6"/>
        <v>32</v>
      </c>
    </row>
    <row r="40" spans="4:16">
      <c r="D40">
        <v>33</v>
      </c>
      <c r="E40" s="6">
        <f t="shared" ca="1" si="4"/>
        <v>51745</v>
      </c>
      <c r="F40" s="7">
        <f t="shared" ca="1" si="1"/>
        <v>1.5986501856491653</v>
      </c>
      <c r="G40" s="125">
        <f ca="1">IF('Simulador - 1º Pilar'!$E$99="Sí",IF('Aportaciones Poliza'!$B$13&lt;'Aportaciones Poliza'!E40,0,F40*$B$8/12),F40*$B$8/12)</f>
        <v>27976.37824886039</v>
      </c>
      <c r="H40" s="125">
        <f t="shared" ca="1" si="0"/>
        <v>0</v>
      </c>
      <c r="I40" s="125"/>
      <c r="J40" s="125">
        <f t="shared" ca="1" si="5"/>
        <v>0</v>
      </c>
      <c r="K40" s="125">
        <f t="shared" si="2"/>
        <v>0</v>
      </c>
      <c r="L40" s="125">
        <f t="shared" ca="1" si="3"/>
        <v>0</v>
      </c>
      <c r="P40">
        <f t="shared" si="6"/>
        <v>33</v>
      </c>
    </row>
    <row r="41" spans="4:16">
      <c r="D41">
        <v>34</v>
      </c>
      <c r="E41" s="6">
        <f t="shared" ca="1" si="4"/>
        <v>51714</v>
      </c>
      <c r="F41" s="7">
        <f t="shared" ca="1" si="1"/>
        <v>1.5986501856491653</v>
      </c>
      <c r="G41" s="125">
        <f ca="1">IF('Simulador - 1º Pilar'!$E$99="Sí",IF('Aportaciones Poliza'!$B$13&lt;'Aportaciones Poliza'!E41,0,F41*$B$8/12),F41*$B$8/12)</f>
        <v>27976.37824886039</v>
      </c>
      <c r="H41" s="125">
        <f t="shared" ca="1" si="0"/>
        <v>0</v>
      </c>
      <c r="I41" s="125"/>
      <c r="J41" s="125">
        <f t="shared" ca="1" si="5"/>
        <v>0</v>
      </c>
      <c r="K41" s="125">
        <f t="shared" si="2"/>
        <v>0</v>
      </c>
      <c r="L41" s="125">
        <f t="shared" ca="1" si="3"/>
        <v>0</v>
      </c>
      <c r="P41">
        <f t="shared" si="6"/>
        <v>34</v>
      </c>
    </row>
    <row r="42" spans="4:16">
      <c r="D42">
        <v>35</v>
      </c>
      <c r="E42" s="6">
        <f t="shared" ca="1" si="4"/>
        <v>51683</v>
      </c>
      <c r="F42" s="7">
        <f t="shared" ca="1" si="1"/>
        <v>1.5986501856491653</v>
      </c>
      <c r="G42" s="125">
        <f ca="1">IF('Simulador - 1º Pilar'!$E$99="Sí",IF('Aportaciones Poliza'!$B$13&lt;'Aportaciones Poliza'!E42,0,F42*$B$8/12),F42*$B$8/12)</f>
        <v>27976.37824886039</v>
      </c>
      <c r="H42" s="125">
        <f t="shared" ca="1" si="0"/>
        <v>0</v>
      </c>
      <c r="I42" s="125"/>
      <c r="J42" s="125">
        <f t="shared" ca="1" si="5"/>
        <v>0</v>
      </c>
      <c r="K42" s="125">
        <f t="shared" si="2"/>
        <v>0</v>
      </c>
      <c r="L42" s="125">
        <f t="shared" ca="1" si="3"/>
        <v>0</v>
      </c>
      <c r="P42">
        <f t="shared" si="6"/>
        <v>35</v>
      </c>
    </row>
    <row r="43" spans="4:16">
      <c r="D43">
        <v>36</v>
      </c>
      <c r="E43" s="6">
        <f t="shared" ca="1" si="4"/>
        <v>51653</v>
      </c>
      <c r="F43" s="7">
        <f t="shared" ca="1" si="1"/>
        <v>1.5986501856491653</v>
      </c>
      <c r="G43" s="125">
        <f ca="1">IF('Simulador - 1º Pilar'!$E$99="Sí",IF('Aportaciones Poliza'!$B$13&lt;'Aportaciones Poliza'!E43,0,F43*$B$8/12),F43*$B$8/12)</f>
        <v>27976.37824886039</v>
      </c>
      <c r="H43" s="125">
        <f t="shared" ca="1" si="0"/>
        <v>0</v>
      </c>
      <c r="I43" s="125"/>
      <c r="J43" s="125">
        <f t="shared" ca="1" si="5"/>
        <v>0</v>
      </c>
      <c r="K43" s="125">
        <f t="shared" si="2"/>
        <v>0</v>
      </c>
      <c r="L43" s="125">
        <f t="shared" ca="1" si="3"/>
        <v>0</v>
      </c>
      <c r="P43">
        <f t="shared" si="6"/>
        <v>36</v>
      </c>
    </row>
    <row r="44" spans="4:16">
      <c r="D44">
        <v>37</v>
      </c>
      <c r="E44" s="6">
        <f t="shared" ca="1" si="4"/>
        <v>51622</v>
      </c>
      <c r="F44" s="7">
        <f t="shared" ca="1" si="1"/>
        <v>1.5986501856491653</v>
      </c>
      <c r="G44" s="125">
        <f ca="1">IF('Simulador - 1º Pilar'!$E$99="Sí",IF('Aportaciones Poliza'!$B$13&lt;'Aportaciones Poliza'!E44,0,F44*$B$8/12),F44*$B$8/12)</f>
        <v>27976.37824886039</v>
      </c>
      <c r="H44" s="125">
        <f t="shared" ca="1" si="0"/>
        <v>0</v>
      </c>
      <c r="I44" s="125"/>
      <c r="J44" s="125">
        <f t="shared" ca="1" si="5"/>
        <v>0</v>
      </c>
      <c r="K44" s="125">
        <f t="shared" si="2"/>
        <v>0</v>
      </c>
      <c r="L44" s="125">
        <f t="shared" ca="1" si="3"/>
        <v>0</v>
      </c>
      <c r="P44">
        <f t="shared" si="6"/>
        <v>37</v>
      </c>
    </row>
    <row r="45" spans="4:16">
      <c r="D45">
        <v>38</v>
      </c>
      <c r="E45" s="6">
        <f t="shared" ca="1" si="4"/>
        <v>51592</v>
      </c>
      <c r="F45" s="7">
        <f t="shared" ca="1" si="1"/>
        <v>1.5986501856491653</v>
      </c>
      <c r="G45" s="125">
        <f ca="1">IF('Simulador - 1º Pilar'!$E$99="Sí",IF('Aportaciones Poliza'!$B$13&lt;'Aportaciones Poliza'!E45,0,F45*$B$8/12),F45*$B$8/12)</f>
        <v>27976.37824886039</v>
      </c>
      <c r="H45" s="125">
        <f t="shared" ca="1" si="0"/>
        <v>0</v>
      </c>
      <c r="I45" s="125"/>
      <c r="J45" s="125">
        <f t="shared" ca="1" si="5"/>
        <v>0</v>
      </c>
      <c r="K45" s="125">
        <f t="shared" si="2"/>
        <v>0</v>
      </c>
      <c r="L45" s="125">
        <f t="shared" ca="1" si="3"/>
        <v>0</v>
      </c>
      <c r="P45">
        <f t="shared" si="6"/>
        <v>38</v>
      </c>
    </row>
    <row r="46" spans="4:16">
      <c r="D46">
        <v>39</v>
      </c>
      <c r="E46" s="6">
        <f t="shared" ca="1" si="4"/>
        <v>51561</v>
      </c>
      <c r="F46" s="7">
        <f t="shared" ca="1" si="1"/>
        <v>1.5986501856491653</v>
      </c>
      <c r="G46" s="125">
        <f ca="1">IF('Simulador - 1º Pilar'!$E$99="Sí",IF('Aportaciones Poliza'!$B$13&lt;'Aportaciones Poliza'!E46,0,F46*$B$8/12),F46*$B$8/12)</f>
        <v>27976.37824886039</v>
      </c>
      <c r="H46" s="125">
        <f t="shared" ca="1" si="0"/>
        <v>0</v>
      </c>
      <c r="I46" s="125"/>
      <c r="J46" s="125">
        <f t="shared" ca="1" si="5"/>
        <v>0</v>
      </c>
      <c r="K46" s="125">
        <f t="shared" si="2"/>
        <v>0</v>
      </c>
      <c r="L46" s="125">
        <f t="shared" ca="1" si="3"/>
        <v>0</v>
      </c>
      <c r="P46">
        <f t="shared" si="6"/>
        <v>39</v>
      </c>
    </row>
    <row r="47" spans="4:16">
      <c r="D47">
        <v>40</v>
      </c>
      <c r="E47" s="6">
        <f t="shared" ca="1" si="4"/>
        <v>51533</v>
      </c>
      <c r="F47" s="7">
        <f t="shared" ca="1" si="1"/>
        <v>1.5986501856491653</v>
      </c>
      <c r="G47" s="125">
        <f ca="1">IF('Simulador - 1º Pilar'!$E$99="Sí",IF('Aportaciones Poliza'!$B$13&lt;'Aportaciones Poliza'!E47,0,F47*$B$8/12),F47*$B$8/12)</f>
        <v>27976.37824886039</v>
      </c>
      <c r="H47" s="125">
        <f t="shared" ca="1" si="0"/>
        <v>0</v>
      </c>
      <c r="I47" s="125"/>
      <c r="J47" s="125">
        <f t="shared" ca="1" si="5"/>
        <v>0</v>
      </c>
      <c r="K47" s="125">
        <f t="shared" si="2"/>
        <v>0</v>
      </c>
      <c r="L47" s="125">
        <f t="shared" ca="1" si="3"/>
        <v>0</v>
      </c>
      <c r="P47">
        <f t="shared" si="6"/>
        <v>40</v>
      </c>
    </row>
    <row r="48" spans="4:16">
      <c r="D48">
        <v>41</v>
      </c>
      <c r="E48" s="6">
        <f t="shared" ca="1" si="4"/>
        <v>51502</v>
      </c>
      <c r="F48" s="7">
        <f t="shared" ca="1" si="1"/>
        <v>1.5986501856491653</v>
      </c>
      <c r="G48" s="125">
        <f ca="1">IF('Simulador - 1º Pilar'!$E$99="Sí",IF('Aportaciones Poliza'!$B$13&lt;'Aportaciones Poliza'!E48,0,F48*$B$8/12),F48*$B$8/12)</f>
        <v>27976.37824886039</v>
      </c>
      <c r="H48" s="125">
        <f t="shared" ca="1" si="0"/>
        <v>0</v>
      </c>
      <c r="I48" s="125"/>
      <c r="J48" s="125">
        <f t="shared" ca="1" si="5"/>
        <v>0</v>
      </c>
      <c r="K48" s="125">
        <f t="shared" si="2"/>
        <v>0</v>
      </c>
      <c r="L48" s="125">
        <f t="shared" ca="1" si="3"/>
        <v>0</v>
      </c>
      <c r="P48">
        <f t="shared" si="6"/>
        <v>41</v>
      </c>
    </row>
    <row r="49" spans="4:16">
      <c r="D49">
        <v>42</v>
      </c>
      <c r="E49" s="6">
        <f t="shared" ca="1" si="4"/>
        <v>51471</v>
      </c>
      <c r="F49" s="7">
        <f t="shared" ca="1" si="1"/>
        <v>1.5596587177065029</v>
      </c>
      <c r="G49" s="125">
        <f ca="1">IF('Simulador - 1º Pilar'!$E$99="Sí",IF('Aportaciones Poliza'!$B$13&lt;'Aportaciones Poliza'!E49,0,F49*$B$8/12),F49*$B$8/12)</f>
        <v>27294.0275598638</v>
      </c>
      <c r="H49" s="125">
        <f t="shared" ca="1" si="0"/>
        <v>0</v>
      </c>
      <c r="I49" s="125"/>
      <c r="J49" s="125">
        <f t="shared" ca="1" si="5"/>
        <v>0</v>
      </c>
      <c r="K49" s="125">
        <f t="shared" si="2"/>
        <v>0</v>
      </c>
      <c r="L49" s="125">
        <f t="shared" ca="1" si="3"/>
        <v>0</v>
      </c>
      <c r="P49">
        <f t="shared" si="6"/>
        <v>42</v>
      </c>
    </row>
    <row r="50" spans="4:16">
      <c r="D50">
        <v>43</v>
      </c>
      <c r="E50" s="6">
        <f t="shared" ca="1" si="4"/>
        <v>51441</v>
      </c>
      <c r="F50" s="7">
        <f t="shared" ca="1" si="1"/>
        <v>1.5596587177065029</v>
      </c>
      <c r="G50" s="125">
        <f ca="1">IF('Simulador - 1º Pilar'!$E$99="Sí",IF('Aportaciones Poliza'!$B$13&lt;'Aportaciones Poliza'!E50,0,F50*$B$8/12),F50*$B$8/12)</f>
        <v>27294.0275598638</v>
      </c>
      <c r="H50" s="125">
        <f t="shared" ca="1" si="0"/>
        <v>0</v>
      </c>
      <c r="I50" s="125"/>
      <c r="J50" s="125">
        <f t="shared" ca="1" si="5"/>
        <v>0</v>
      </c>
      <c r="K50" s="125">
        <f t="shared" si="2"/>
        <v>0</v>
      </c>
      <c r="L50" s="125">
        <f t="shared" ca="1" si="3"/>
        <v>0</v>
      </c>
      <c r="P50">
        <f t="shared" si="6"/>
        <v>43</v>
      </c>
    </row>
    <row r="51" spans="4:16">
      <c r="D51">
        <v>44</v>
      </c>
      <c r="E51" s="6">
        <f t="shared" ca="1" si="4"/>
        <v>51410</v>
      </c>
      <c r="F51" s="7">
        <f t="shared" ca="1" si="1"/>
        <v>1.5596587177065029</v>
      </c>
      <c r="G51" s="125">
        <f ca="1">IF('Simulador - 1º Pilar'!$E$99="Sí",IF('Aportaciones Poliza'!$B$13&lt;'Aportaciones Poliza'!E51,0,F51*$B$8/12),F51*$B$8/12)</f>
        <v>27294.0275598638</v>
      </c>
      <c r="H51" s="125">
        <f t="shared" ca="1" si="0"/>
        <v>0</v>
      </c>
      <c r="I51" s="125"/>
      <c r="J51" s="125">
        <f t="shared" ca="1" si="5"/>
        <v>0</v>
      </c>
      <c r="K51" s="125">
        <f t="shared" si="2"/>
        <v>0</v>
      </c>
      <c r="L51" s="125">
        <f t="shared" ca="1" si="3"/>
        <v>0</v>
      </c>
      <c r="P51">
        <f t="shared" si="6"/>
        <v>44</v>
      </c>
    </row>
    <row r="52" spans="4:16">
      <c r="D52">
        <v>45</v>
      </c>
      <c r="E52" s="6">
        <f t="shared" ca="1" si="4"/>
        <v>51380</v>
      </c>
      <c r="F52" s="7">
        <f t="shared" ca="1" si="1"/>
        <v>1.5596587177065029</v>
      </c>
      <c r="G52" s="125">
        <f ca="1">IF('Simulador - 1º Pilar'!$E$99="Sí",IF('Aportaciones Poliza'!$B$13&lt;'Aportaciones Poliza'!E52,0,F52*$B$8/12),F52*$B$8/12)</f>
        <v>27294.0275598638</v>
      </c>
      <c r="H52" s="125">
        <f t="shared" ca="1" si="0"/>
        <v>0</v>
      </c>
      <c r="I52" s="125"/>
      <c r="J52" s="125">
        <f t="shared" ca="1" si="5"/>
        <v>0</v>
      </c>
      <c r="K52" s="125">
        <f t="shared" si="2"/>
        <v>0</v>
      </c>
      <c r="L52" s="125">
        <f t="shared" ca="1" si="3"/>
        <v>0</v>
      </c>
      <c r="P52">
        <f t="shared" si="6"/>
        <v>45</v>
      </c>
    </row>
    <row r="53" spans="4:16">
      <c r="D53">
        <v>46</v>
      </c>
      <c r="E53" s="6">
        <f t="shared" ca="1" si="4"/>
        <v>51349</v>
      </c>
      <c r="F53" s="7">
        <f t="shared" ca="1" si="1"/>
        <v>1.5596587177065029</v>
      </c>
      <c r="G53" s="125">
        <f ca="1">IF('Simulador - 1º Pilar'!$E$99="Sí",IF('Aportaciones Poliza'!$B$13&lt;'Aportaciones Poliza'!E53,0,F53*$B$8/12),F53*$B$8/12)</f>
        <v>27294.0275598638</v>
      </c>
      <c r="H53" s="125">
        <f t="shared" ca="1" si="0"/>
        <v>0</v>
      </c>
      <c r="I53" s="125"/>
      <c r="J53" s="125">
        <f t="shared" ca="1" si="5"/>
        <v>0</v>
      </c>
      <c r="K53" s="125">
        <f t="shared" si="2"/>
        <v>0</v>
      </c>
      <c r="L53" s="125">
        <f t="shared" ca="1" si="3"/>
        <v>0</v>
      </c>
      <c r="P53">
        <f t="shared" si="6"/>
        <v>46</v>
      </c>
    </row>
    <row r="54" spans="4:16">
      <c r="D54">
        <v>47</v>
      </c>
      <c r="E54" s="6">
        <f t="shared" ca="1" si="4"/>
        <v>51318</v>
      </c>
      <c r="F54" s="7">
        <f t="shared" ca="1" si="1"/>
        <v>1.5596587177065029</v>
      </c>
      <c r="G54" s="125">
        <f ca="1">IF('Simulador - 1º Pilar'!$E$99="Sí",IF('Aportaciones Poliza'!$B$13&lt;'Aportaciones Poliza'!E54,0,F54*$B$8/12),F54*$B$8/12)</f>
        <v>27294.0275598638</v>
      </c>
      <c r="H54" s="125">
        <f t="shared" ca="1" si="0"/>
        <v>0</v>
      </c>
      <c r="I54" s="125"/>
      <c r="J54" s="125">
        <f t="shared" ca="1" si="5"/>
        <v>0</v>
      </c>
      <c r="K54" s="125">
        <f t="shared" si="2"/>
        <v>0</v>
      </c>
      <c r="L54" s="125">
        <f t="shared" ca="1" si="3"/>
        <v>0</v>
      </c>
      <c r="P54">
        <f t="shared" si="6"/>
        <v>47</v>
      </c>
    </row>
    <row r="55" spans="4:16">
      <c r="D55">
        <v>48</v>
      </c>
      <c r="E55" s="6">
        <f t="shared" ca="1" si="4"/>
        <v>51288</v>
      </c>
      <c r="F55" s="7">
        <f t="shared" ca="1" si="1"/>
        <v>1.5596587177065029</v>
      </c>
      <c r="G55" s="125">
        <f ca="1">IF('Simulador - 1º Pilar'!$E$99="Sí",IF('Aportaciones Poliza'!$B$13&lt;'Aportaciones Poliza'!E55,0,F55*$B$8/12),F55*$B$8/12)</f>
        <v>27294.0275598638</v>
      </c>
      <c r="H55" s="125">
        <f t="shared" ca="1" si="0"/>
        <v>0</v>
      </c>
      <c r="I55" s="125"/>
      <c r="J55" s="125">
        <f t="shared" ca="1" si="5"/>
        <v>0</v>
      </c>
      <c r="K55" s="125">
        <f t="shared" si="2"/>
        <v>0</v>
      </c>
      <c r="L55" s="125">
        <f t="shared" ca="1" si="3"/>
        <v>0</v>
      </c>
      <c r="P55">
        <f t="shared" si="6"/>
        <v>48</v>
      </c>
    </row>
    <row r="56" spans="4:16">
      <c r="D56">
        <v>49</v>
      </c>
      <c r="E56" s="6">
        <f t="shared" ca="1" si="4"/>
        <v>51257</v>
      </c>
      <c r="F56" s="7">
        <f t="shared" ca="1" si="1"/>
        <v>1.5596587177065029</v>
      </c>
      <c r="G56" s="125">
        <f ca="1">IF('Simulador - 1º Pilar'!$E$99="Sí",IF('Aportaciones Poliza'!$B$13&lt;'Aportaciones Poliza'!E56,0,F56*$B$8/12),F56*$B$8/12)</f>
        <v>27294.0275598638</v>
      </c>
      <c r="H56" s="125">
        <f t="shared" ca="1" si="0"/>
        <v>0</v>
      </c>
      <c r="I56" s="125"/>
      <c r="J56" s="125">
        <f t="shared" ca="1" si="5"/>
        <v>0</v>
      </c>
      <c r="K56" s="125">
        <f t="shared" si="2"/>
        <v>0</v>
      </c>
      <c r="L56" s="125">
        <f t="shared" ca="1" si="3"/>
        <v>0</v>
      </c>
      <c r="P56">
        <f t="shared" si="6"/>
        <v>49</v>
      </c>
    </row>
    <row r="57" spans="4:16">
      <c r="D57">
        <v>50</v>
      </c>
      <c r="E57" s="6">
        <f t="shared" ca="1" si="4"/>
        <v>51227</v>
      </c>
      <c r="F57" s="7">
        <f t="shared" ca="1" si="1"/>
        <v>1.5596587177065029</v>
      </c>
      <c r="G57" s="125">
        <f ca="1">IF('Simulador - 1º Pilar'!$E$99="Sí",IF('Aportaciones Poliza'!$B$13&lt;'Aportaciones Poliza'!E57,0,F57*$B$8/12),F57*$B$8/12)</f>
        <v>27294.0275598638</v>
      </c>
      <c r="H57" s="125">
        <f t="shared" ca="1" si="0"/>
        <v>0</v>
      </c>
      <c r="I57" s="125"/>
      <c r="J57" s="125">
        <f t="shared" ca="1" si="5"/>
        <v>0</v>
      </c>
      <c r="K57" s="125">
        <f t="shared" si="2"/>
        <v>0</v>
      </c>
      <c r="L57" s="125">
        <f t="shared" ca="1" si="3"/>
        <v>0</v>
      </c>
      <c r="P57">
        <f t="shared" si="6"/>
        <v>50</v>
      </c>
    </row>
    <row r="58" spans="4:16">
      <c r="D58">
        <v>51</v>
      </c>
      <c r="E58" s="6">
        <f t="shared" ca="1" si="4"/>
        <v>51196</v>
      </c>
      <c r="F58" s="7">
        <f t="shared" ca="1" si="1"/>
        <v>1.5596587177065029</v>
      </c>
      <c r="G58" s="125">
        <f ca="1">IF('Simulador - 1º Pilar'!$E$99="Sí",IF('Aportaciones Poliza'!$B$13&lt;'Aportaciones Poliza'!E58,0,F58*$B$8/12),F58*$B$8/12)</f>
        <v>27294.0275598638</v>
      </c>
      <c r="H58" s="125">
        <f t="shared" ca="1" si="0"/>
        <v>0</v>
      </c>
      <c r="I58" s="125"/>
      <c r="J58" s="125">
        <f t="shared" ca="1" si="5"/>
        <v>0</v>
      </c>
      <c r="K58" s="125">
        <f t="shared" si="2"/>
        <v>0</v>
      </c>
      <c r="L58" s="125">
        <f t="shared" ca="1" si="3"/>
        <v>0</v>
      </c>
      <c r="P58">
        <f t="shared" si="6"/>
        <v>51</v>
      </c>
    </row>
    <row r="59" spans="4:16">
      <c r="D59">
        <v>52</v>
      </c>
      <c r="E59" s="6">
        <f t="shared" ca="1" si="4"/>
        <v>51167</v>
      </c>
      <c r="F59" s="7">
        <f t="shared" ca="1" si="1"/>
        <v>1.5596587177065029</v>
      </c>
      <c r="G59" s="125">
        <f ca="1">IF('Simulador - 1º Pilar'!$E$99="Sí",IF('Aportaciones Poliza'!$B$13&lt;'Aportaciones Poliza'!E59,0,F59*$B$8/12),F59*$B$8/12)</f>
        <v>27294.0275598638</v>
      </c>
      <c r="H59" s="125">
        <f t="shared" ca="1" si="0"/>
        <v>0</v>
      </c>
      <c r="I59" s="125"/>
      <c r="J59" s="125">
        <f t="shared" ca="1" si="5"/>
        <v>0</v>
      </c>
      <c r="K59" s="125">
        <f t="shared" si="2"/>
        <v>0</v>
      </c>
      <c r="L59" s="125">
        <f t="shared" ca="1" si="3"/>
        <v>0</v>
      </c>
      <c r="P59">
        <f t="shared" si="6"/>
        <v>52</v>
      </c>
    </row>
    <row r="60" spans="4:16">
      <c r="D60">
        <v>53</v>
      </c>
      <c r="E60" s="6">
        <f t="shared" ca="1" si="4"/>
        <v>51136</v>
      </c>
      <c r="F60" s="7">
        <f t="shared" ca="1" si="1"/>
        <v>1.5596587177065029</v>
      </c>
      <c r="G60" s="125">
        <f ca="1">IF('Simulador - 1º Pilar'!$E$99="Sí",IF('Aportaciones Poliza'!$B$13&lt;'Aportaciones Poliza'!E60,0,F60*$B$8/12),F60*$B$8/12)</f>
        <v>27294.0275598638</v>
      </c>
      <c r="H60" s="125">
        <f t="shared" ca="1" si="0"/>
        <v>0</v>
      </c>
      <c r="I60" s="125"/>
      <c r="J60" s="125">
        <f t="shared" ca="1" si="5"/>
        <v>0</v>
      </c>
      <c r="K60" s="125">
        <f t="shared" si="2"/>
        <v>0</v>
      </c>
      <c r="L60" s="125">
        <f t="shared" ca="1" si="3"/>
        <v>0</v>
      </c>
      <c r="P60">
        <f t="shared" si="6"/>
        <v>53</v>
      </c>
    </row>
    <row r="61" spans="4:16">
      <c r="D61">
        <v>54</v>
      </c>
      <c r="E61" s="6">
        <f t="shared" ca="1" si="4"/>
        <v>51105</v>
      </c>
      <c r="F61" s="7">
        <f t="shared" ca="1" si="1"/>
        <v>1.5216182611770761</v>
      </c>
      <c r="G61" s="125">
        <f ca="1">IF('Simulador - 1º Pilar'!$E$99="Sí",IF('Aportaciones Poliza'!$B$13&lt;'Aportaciones Poliza'!E61,0,F61*$B$8/12),F61*$B$8/12)</f>
        <v>26628.319570598833</v>
      </c>
      <c r="H61" s="125">
        <f t="shared" ca="1" si="0"/>
        <v>0</v>
      </c>
      <c r="I61" s="125"/>
      <c r="J61" s="125">
        <f t="shared" ca="1" si="5"/>
        <v>0</v>
      </c>
      <c r="K61" s="125">
        <f t="shared" si="2"/>
        <v>0</v>
      </c>
      <c r="L61" s="125">
        <f t="shared" ca="1" si="3"/>
        <v>0</v>
      </c>
      <c r="P61">
        <f t="shared" si="6"/>
        <v>54</v>
      </c>
    </row>
    <row r="62" spans="4:16">
      <c r="D62">
        <v>55</v>
      </c>
      <c r="E62" s="6">
        <f t="shared" ca="1" si="4"/>
        <v>51075</v>
      </c>
      <c r="F62" s="7">
        <f t="shared" ca="1" si="1"/>
        <v>1.5216182611770761</v>
      </c>
      <c r="G62" s="125">
        <f ca="1">IF('Simulador - 1º Pilar'!$E$99="Sí",IF('Aportaciones Poliza'!$B$13&lt;'Aportaciones Poliza'!E62,0,F62*$B$8/12),F62*$B$8/12)</f>
        <v>26628.319570598833</v>
      </c>
      <c r="H62" s="125">
        <f t="shared" ca="1" si="0"/>
        <v>0</v>
      </c>
      <c r="I62" s="125"/>
      <c r="J62" s="125">
        <f t="shared" ca="1" si="5"/>
        <v>0</v>
      </c>
      <c r="K62" s="125">
        <f t="shared" si="2"/>
        <v>0</v>
      </c>
      <c r="L62" s="125">
        <f t="shared" ca="1" si="3"/>
        <v>0</v>
      </c>
      <c r="P62">
        <f t="shared" si="6"/>
        <v>55</v>
      </c>
    </row>
    <row r="63" spans="4:16">
      <c r="D63">
        <v>56</v>
      </c>
      <c r="E63" s="6">
        <f t="shared" ca="1" si="4"/>
        <v>51044</v>
      </c>
      <c r="F63" s="7">
        <f t="shared" ca="1" si="1"/>
        <v>1.5216182611770761</v>
      </c>
      <c r="G63" s="125">
        <f ca="1">IF('Simulador - 1º Pilar'!$E$99="Sí",IF('Aportaciones Poliza'!$B$13&lt;'Aportaciones Poliza'!E63,0,F63*$B$8/12),F63*$B$8/12)</f>
        <v>26628.319570598833</v>
      </c>
      <c r="H63" s="125">
        <f t="shared" ca="1" si="0"/>
        <v>0</v>
      </c>
      <c r="I63" s="125"/>
      <c r="J63" s="125">
        <f t="shared" ca="1" si="5"/>
        <v>0</v>
      </c>
      <c r="K63" s="125">
        <f t="shared" si="2"/>
        <v>0</v>
      </c>
      <c r="L63" s="125">
        <f t="shared" ca="1" si="3"/>
        <v>0</v>
      </c>
      <c r="P63">
        <f t="shared" si="6"/>
        <v>56</v>
      </c>
    </row>
    <row r="64" spans="4:16">
      <c r="D64">
        <v>57</v>
      </c>
      <c r="E64" s="6">
        <f t="shared" ca="1" si="4"/>
        <v>51014</v>
      </c>
      <c r="F64" s="7">
        <f t="shared" ca="1" si="1"/>
        <v>1.5216182611770761</v>
      </c>
      <c r="G64" s="125">
        <f ca="1">IF('Simulador - 1º Pilar'!$E$99="Sí",IF('Aportaciones Poliza'!$B$13&lt;'Aportaciones Poliza'!E64,0,F64*$B$8/12),F64*$B$8/12)</f>
        <v>26628.319570598833</v>
      </c>
      <c r="H64" s="125">
        <f t="shared" ca="1" si="0"/>
        <v>0</v>
      </c>
      <c r="I64" s="125"/>
      <c r="J64" s="125">
        <f t="shared" ca="1" si="5"/>
        <v>0</v>
      </c>
      <c r="K64" s="125">
        <f t="shared" si="2"/>
        <v>0</v>
      </c>
      <c r="L64" s="125">
        <f t="shared" ca="1" si="3"/>
        <v>0</v>
      </c>
      <c r="P64">
        <f t="shared" si="6"/>
        <v>57</v>
      </c>
    </row>
    <row r="65" spans="4:16">
      <c r="D65">
        <v>58</v>
      </c>
      <c r="E65" s="6">
        <f t="shared" ca="1" si="4"/>
        <v>50983</v>
      </c>
      <c r="F65" s="7">
        <f t="shared" ca="1" si="1"/>
        <v>1.5216182611770761</v>
      </c>
      <c r="G65" s="125">
        <f ca="1">IF('Simulador - 1º Pilar'!$E$99="Sí",IF('Aportaciones Poliza'!$B$13&lt;'Aportaciones Poliza'!E65,0,F65*$B$8/12),F65*$B$8/12)</f>
        <v>26628.319570598833</v>
      </c>
      <c r="H65" s="125">
        <f t="shared" ca="1" si="0"/>
        <v>0</v>
      </c>
      <c r="I65" s="125"/>
      <c r="J65" s="125">
        <f t="shared" ca="1" si="5"/>
        <v>0</v>
      </c>
      <c r="K65" s="125">
        <f t="shared" si="2"/>
        <v>0</v>
      </c>
      <c r="L65" s="125">
        <f t="shared" ca="1" si="3"/>
        <v>0</v>
      </c>
      <c r="P65">
        <f t="shared" si="6"/>
        <v>58</v>
      </c>
    </row>
    <row r="66" spans="4:16">
      <c r="D66">
        <v>59</v>
      </c>
      <c r="E66" s="6">
        <f t="shared" ca="1" si="4"/>
        <v>50952</v>
      </c>
      <c r="F66" s="7">
        <f t="shared" ca="1" si="1"/>
        <v>1.5216182611770761</v>
      </c>
      <c r="G66" s="125">
        <f ca="1">IF('Simulador - 1º Pilar'!$E$99="Sí",IF('Aportaciones Poliza'!$B$13&lt;'Aportaciones Poliza'!E66,0,F66*$B$8/12),F66*$B$8/12)</f>
        <v>26628.319570598833</v>
      </c>
      <c r="H66" s="125">
        <f t="shared" ca="1" si="0"/>
        <v>0</v>
      </c>
      <c r="I66" s="125"/>
      <c r="J66" s="125">
        <f t="shared" ca="1" si="5"/>
        <v>0</v>
      </c>
      <c r="K66" s="125">
        <f t="shared" si="2"/>
        <v>0</v>
      </c>
      <c r="L66" s="125">
        <f t="shared" ca="1" si="3"/>
        <v>0</v>
      </c>
      <c r="P66">
        <f t="shared" si="6"/>
        <v>59</v>
      </c>
    </row>
    <row r="67" spans="4:16">
      <c r="D67">
        <v>60</v>
      </c>
      <c r="E67" s="6">
        <f t="shared" ca="1" si="4"/>
        <v>50922</v>
      </c>
      <c r="F67" s="7">
        <f t="shared" ca="1" si="1"/>
        <v>1.5216182611770761</v>
      </c>
      <c r="G67" s="125">
        <f ca="1">IF('Simulador - 1º Pilar'!$E$99="Sí",IF('Aportaciones Poliza'!$B$13&lt;'Aportaciones Poliza'!E67,0,F67*$B$8/12),F67*$B$8/12)</f>
        <v>26628.319570598833</v>
      </c>
      <c r="H67" s="125">
        <f t="shared" ca="1" si="0"/>
        <v>0</v>
      </c>
      <c r="I67" s="125"/>
      <c r="J67" s="125">
        <f t="shared" ca="1" si="5"/>
        <v>0</v>
      </c>
      <c r="K67" s="125">
        <f t="shared" si="2"/>
        <v>0</v>
      </c>
      <c r="L67" s="125">
        <f t="shared" ca="1" si="3"/>
        <v>0</v>
      </c>
      <c r="P67">
        <f t="shared" si="6"/>
        <v>60</v>
      </c>
    </row>
    <row r="68" spans="4:16">
      <c r="D68">
        <v>61</v>
      </c>
      <c r="E68" s="6">
        <f t="shared" ca="1" si="4"/>
        <v>50891</v>
      </c>
      <c r="F68" s="7">
        <f t="shared" ca="1" si="1"/>
        <v>1.5216182611770761</v>
      </c>
      <c r="G68" s="125">
        <f ca="1">IF('Simulador - 1º Pilar'!$E$99="Sí",IF('Aportaciones Poliza'!$B$13&lt;'Aportaciones Poliza'!E68,0,F68*$B$8/12),F68*$B$8/12)</f>
        <v>26628.319570598833</v>
      </c>
      <c r="H68" s="125">
        <f t="shared" ca="1" si="0"/>
        <v>0</v>
      </c>
      <c r="I68" s="125"/>
      <c r="J68" s="125">
        <f t="shared" ca="1" si="5"/>
        <v>0</v>
      </c>
      <c r="K68" s="125">
        <f t="shared" si="2"/>
        <v>0</v>
      </c>
      <c r="L68" s="125">
        <f t="shared" ca="1" si="3"/>
        <v>0</v>
      </c>
      <c r="P68">
        <f t="shared" si="6"/>
        <v>61</v>
      </c>
    </row>
    <row r="69" spans="4:16">
      <c r="D69">
        <v>62</v>
      </c>
      <c r="E69" s="6">
        <f t="shared" ca="1" si="4"/>
        <v>50861</v>
      </c>
      <c r="F69" s="7">
        <f t="shared" ca="1" si="1"/>
        <v>1.5216182611770761</v>
      </c>
      <c r="G69" s="125">
        <f ca="1">IF('Simulador - 1º Pilar'!$E$99="Sí",IF('Aportaciones Poliza'!$B$13&lt;'Aportaciones Poliza'!E69,0,F69*$B$8/12),F69*$B$8/12)</f>
        <v>26628.319570598833</v>
      </c>
      <c r="H69" s="125">
        <f t="shared" ca="1" si="0"/>
        <v>0</v>
      </c>
      <c r="I69" s="125"/>
      <c r="J69" s="125">
        <f t="shared" ca="1" si="5"/>
        <v>0</v>
      </c>
      <c r="K69" s="125">
        <f t="shared" si="2"/>
        <v>0</v>
      </c>
      <c r="L69" s="125">
        <f t="shared" ca="1" si="3"/>
        <v>0</v>
      </c>
      <c r="P69">
        <f t="shared" si="6"/>
        <v>62</v>
      </c>
    </row>
    <row r="70" spans="4:16">
      <c r="D70">
        <v>63</v>
      </c>
      <c r="E70" s="6">
        <f t="shared" ca="1" si="4"/>
        <v>50830</v>
      </c>
      <c r="F70" s="7">
        <f t="shared" ca="1" si="1"/>
        <v>1.5216182611770761</v>
      </c>
      <c r="G70" s="125">
        <f ca="1">IF('Simulador - 1º Pilar'!$E$99="Sí",IF('Aportaciones Poliza'!$B$13&lt;'Aportaciones Poliza'!E70,0,F70*$B$8/12),F70*$B$8/12)</f>
        <v>26628.319570598833</v>
      </c>
      <c r="H70" s="125">
        <f t="shared" ca="1" si="0"/>
        <v>0</v>
      </c>
      <c r="I70" s="125"/>
      <c r="J70" s="125">
        <f t="shared" ca="1" si="5"/>
        <v>0</v>
      </c>
      <c r="K70" s="125">
        <f t="shared" si="2"/>
        <v>0</v>
      </c>
      <c r="L70" s="125">
        <f t="shared" ca="1" si="3"/>
        <v>0</v>
      </c>
      <c r="P70">
        <f t="shared" si="6"/>
        <v>63</v>
      </c>
    </row>
    <row r="71" spans="4:16">
      <c r="D71">
        <v>64</v>
      </c>
      <c r="E71" s="6">
        <f t="shared" ca="1" si="4"/>
        <v>50802</v>
      </c>
      <c r="F71" s="7">
        <f t="shared" ca="1" si="1"/>
        <v>1.5216182611770761</v>
      </c>
      <c r="G71" s="125">
        <f ca="1">IF('Simulador - 1º Pilar'!$E$99="Sí",IF('Aportaciones Poliza'!$B$13&lt;'Aportaciones Poliza'!E71,0,F71*$B$8/12),F71*$B$8/12)</f>
        <v>26628.319570598833</v>
      </c>
      <c r="H71" s="125">
        <f t="shared" ref="H71:H134" ca="1" si="7">$H$5*G71</f>
        <v>0</v>
      </c>
      <c r="I71" s="125"/>
      <c r="J71" s="125">
        <f t="shared" ca="1" si="5"/>
        <v>0</v>
      </c>
      <c r="K71" s="125">
        <f t="shared" si="2"/>
        <v>0</v>
      </c>
      <c r="L71" s="125">
        <f t="shared" ca="1" si="3"/>
        <v>0</v>
      </c>
      <c r="P71">
        <f t="shared" si="6"/>
        <v>64</v>
      </c>
    </row>
    <row r="72" spans="4:16">
      <c r="D72">
        <v>65</v>
      </c>
      <c r="E72" s="6">
        <f t="shared" ca="1" si="4"/>
        <v>50771</v>
      </c>
      <c r="F72" s="7">
        <f t="shared" ref="F72:F135" ca="1" si="8">IF(DATE(YEAR($B$6),MONTH($B$6)+1,DAY(1))=E72,1,IF(MONTH(E72)=1,F73*(1+$F$5),F73))</f>
        <v>1.5216182611770761</v>
      </c>
      <c r="G72" s="125">
        <f ca="1">IF('Simulador - 1º Pilar'!$E$99="Sí",IF('Aportaciones Poliza'!$B$13&lt;'Aportaciones Poliza'!E72,0,F72*$B$8/12),F72*$B$8/12)</f>
        <v>26628.319570598833</v>
      </c>
      <c r="H72" s="125">
        <f t="shared" ca="1" si="7"/>
        <v>0</v>
      </c>
      <c r="I72" s="125"/>
      <c r="J72" s="125">
        <f t="shared" ref="J72:J135" ca="1" si="9">(1+$M$5)^(D72/12)*(H72+IF(AND(F72=1,F73=0),$Q$4,0))</f>
        <v>0</v>
      </c>
      <c r="K72" s="125">
        <f t="shared" ref="K72:K135" si="10">(1+$M$5)^(D72/12)*(I72)</f>
        <v>0</v>
      </c>
      <c r="L72" s="125">
        <f t="shared" ref="L72:L135" ca="1" si="11">K72+J72</f>
        <v>0</v>
      </c>
      <c r="P72">
        <f t="shared" si="6"/>
        <v>65</v>
      </c>
    </row>
    <row r="73" spans="4:16">
      <c r="D73">
        <v>66</v>
      </c>
      <c r="E73" s="6">
        <f t="shared" ref="E73:E136" ca="1" si="12">+DATE(YEAR(E72),MONTH(E72)-1,DAY(E72))</f>
        <v>50740</v>
      </c>
      <c r="F73" s="7">
        <f t="shared" ca="1" si="8"/>
        <v>1.4845056206605622</v>
      </c>
      <c r="G73" s="125">
        <f ca="1">IF('Simulador - 1º Pilar'!$E$99="Sí",IF('Aportaciones Poliza'!$B$13&lt;'Aportaciones Poliza'!E73,0,F73*$B$8/12),F73*$B$8/12)</f>
        <v>25978.848361559838</v>
      </c>
      <c r="H73" s="125">
        <f t="shared" ca="1" si="7"/>
        <v>0</v>
      </c>
      <c r="I73" s="125"/>
      <c r="J73" s="125">
        <f t="shared" ca="1" si="9"/>
        <v>0</v>
      </c>
      <c r="K73" s="125">
        <f t="shared" si="10"/>
        <v>0</v>
      </c>
      <c r="L73" s="125">
        <f t="shared" ca="1" si="11"/>
        <v>0</v>
      </c>
      <c r="P73">
        <f t="shared" ref="P73:P136" si="13">D73</f>
        <v>66</v>
      </c>
    </row>
    <row r="74" spans="4:16">
      <c r="D74">
        <v>67</v>
      </c>
      <c r="E74" s="6">
        <f t="shared" ca="1" si="12"/>
        <v>50710</v>
      </c>
      <c r="F74" s="7">
        <f t="shared" ca="1" si="8"/>
        <v>1.4845056206605622</v>
      </c>
      <c r="G74" s="125">
        <f ca="1">IF('Simulador - 1º Pilar'!$E$99="Sí",IF('Aportaciones Poliza'!$B$13&lt;'Aportaciones Poliza'!E74,0,F74*$B$8/12),F74*$B$8/12)</f>
        <v>25978.848361559838</v>
      </c>
      <c r="H74" s="125">
        <f t="shared" ca="1" si="7"/>
        <v>0</v>
      </c>
      <c r="I74" s="125"/>
      <c r="J74" s="125">
        <f t="shared" ca="1" si="9"/>
        <v>0</v>
      </c>
      <c r="K74" s="125">
        <f t="shared" si="10"/>
        <v>0</v>
      </c>
      <c r="L74" s="125">
        <f t="shared" ca="1" si="11"/>
        <v>0</v>
      </c>
      <c r="P74">
        <f t="shared" si="13"/>
        <v>67</v>
      </c>
    </row>
    <row r="75" spans="4:16">
      <c r="D75">
        <v>68</v>
      </c>
      <c r="E75" s="6">
        <f t="shared" ca="1" si="12"/>
        <v>50679</v>
      </c>
      <c r="F75" s="7">
        <f t="shared" ca="1" si="8"/>
        <v>1.4845056206605622</v>
      </c>
      <c r="G75" s="125">
        <f ca="1">IF('Simulador - 1º Pilar'!$E$99="Sí",IF('Aportaciones Poliza'!$B$13&lt;'Aportaciones Poliza'!E75,0,F75*$B$8/12),F75*$B$8/12)</f>
        <v>25978.848361559838</v>
      </c>
      <c r="H75" s="125">
        <f t="shared" ca="1" si="7"/>
        <v>0</v>
      </c>
      <c r="I75" s="125"/>
      <c r="J75" s="125">
        <f t="shared" ca="1" si="9"/>
        <v>0</v>
      </c>
      <c r="K75" s="125">
        <f t="shared" si="10"/>
        <v>0</v>
      </c>
      <c r="L75" s="125">
        <f t="shared" ca="1" si="11"/>
        <v>0</v>
      </c>
      <c r="P75">
        <f t="shared" si="13"/>
        <v>68</v>
      </c>
    </row>
    <row r="76" spans="4:16">
      <c r="D76">
        <v>69</v>
      </c>
      <c r="E76" s="6">
        <f t="shared" ca="1" si="12"/>
        <v>50649</v>
      </c>
      <c r="F76" s="7">
        <f t="shared" ca="1" si="8"/>
        <v>1.4845056206605622</v>
      </c>
      <c r="G76" s="125">
        <f ca="1">IF('Simulador - 1º Pilar'!$E$99="Sí",IF('Aportaciones Poliza'!$B$13&lt;'Aportaciones Poliza'!E76,0,F76*$B$8/12),F76*$B$8/12)</f>
        <v>25978.848361559838</v>
      </c>
      <c r="H76" s="125">
        <f t="shared" ca="1" si="7"/>
        <v>0</v>
      </c>
      <c r="I76" s="125"/>
      <c r="J76" s="125">
        <f t="shared" ca="1" si="9"/>
        <v>0</v>
      </c>
      <c r="K76" s="125">
        <f t="shared" si="10"/>
        <v>0</v>
      </c>
      <c r="L76" s="125">
        <f t="shared" ca="1" si="11"/>
        <v>0</v>
      </c>
      <c r="P76">
        <f t="shared" si="13"/>
        <v>69</v>
      </c>
    </row>
    <row r="77" spans="4:16">
      <c r="D77">
        <v>70</v>
      </c>
      <c r="E77" s="6">
        <f t="shared" ca="1" si="12"/>
        <v>50618</v>
      </c>
      <c r="F77" s="7">
        <f t="shared" ca="1" si="8"/>
        <v>1.4845056206605622</v>
      </c>
      <c r="G77" s="125">
        <f ca="1">IF('Simulador - 1º Pilar'!$E$99="Sí",IF('Aportaciones Poliza'!$B$13&lt;'Aportaciones Poliza'!E77,0,F77*$B$8/12),F77*$B$8/12)</f>
        <v>25978.848361559838</v>
      </c>
      <c r="H77" s="125">
        <f t="shared" ca="1" si="7"/>
        <v>0</v>
      </c>
      <c r="I77" s="125"/>
      <c r="J77" s="125">
        <f t="shared" ca="1" si="9"/>
        <v>0</v>
      </c>
      <c r="K77" s="125">
        <f t="shared" si="10"/>
        <v>0</v>
      </c>
      <c r="L77" s="125">
        <f t="shared" ca="1" si="11"/>
        <v>0</v>
      </c>
      <c r="P77">
        <f t="shared" si="13"/>
        <v>70</v>
      </c>
    </row>
    <row r="78" spans="4:16">
      <c r="D78">
        <v>71</v>
      </c>
      <c r="E78" s="6">
        <f t="shared" ca="1" si="12"/>
        <v>50587</v>
      </c>
      <c r="F78" s="7">
        <f t="shared" ca="1" si="8"/>
        <v>1.4845056206605622</v>
      </c>
      <c r="G78" s="125">
        <f ca="1">IF('Simulador - 1º Pilar'!$E$99="Sí",IF('Aportaciones Poliza'!$B$13&lt;'Aportaciones Poliza'!E78,0,F78*$B$8/12),F78*$B$8/12)</f>
        <v>25978.848361559838</v>
      </c>
      <c r="H78" s="125">
        <f t="shared" ca="1" si="7"/>
        <v>0</v>
      </c>
      <c r="I78" s="125"/>
      <c r="J78" s="125">
        <f t="shared" ca="1" si="9"/>
        <v>0</v>
      </c>
      <c r="K78" s="125">
        <f t="shared" si="10"/>
        <v>0</v>
      </c>
      <c r="L78" s="125">
        <f t="shared" ca="1" si="11"/>
        <v>0</v>
      </c>
      <c r="P78">
        <f t="shared" si="13"/>
        <v>71</v>
      </c>
    </row>
    <row r="79" spans="4:16">
      <c r="D79">
        <v>72</v>
      </c>
      <c r="E79" s="6">
        <f t="shared" ca="1" si="12"/>
        <v>50557</v>
      </c>
      <c r="F79" s="7">
        <f t="shared" ca="1" si="8"/>
        <v>1.4845056206605622</v>
      </c>
      <c r="G79" s="125">
        <f ca="1">IF('Simulador - 1º Pilar'!$E$99="Sí",IF('Aportaciones Poliza'!$B$13&lt;'Aportaciones Poliza'!E79,0,F79*$B$8/12),F79*$B$8/12)</f>
        <v>25978.848361559838</v>
      </c>
      <c r="H79" s="125">
        <f t="shared" ca="1" si="7"/>
        <v>0</v>
      </c>
      <c r="I79" s="125"/>
      <c r="J79" s="125">
        <f t="shared" ca="1" si="9"/>
        <v>0</v>
      </c>
      <c r="K79" s="125">
        <f t="shared" si="10"/>
        <v>0</v>
      </c>
      <c r="L79" s="125">
        <f t="shared" ca="1" si="11"/>
        <v>0</v>
      </c>
      <c r="P79">
        <f t="shared" si="13"/>
        <v>72</v>
      </c>
    </row>
    <row r="80" spans="4:16">
      <c r="D80">
        <v>73</v>
      </c>
      <c r="E80" s="6">
        <f t="shared" ca="1" si="12"/>
        <v>50526</v>
      </c>
      <c r="F80" s="7">
        <f t="shared" ca="1" si="8"/>
        <v>1.4845056206605622</v>
      </c>
      <c r="G80" s="125">
        <f ca="1">IF('Simulador - 1º Pilar'!$E$99="Sí",IF('Aportaciones Poliza'!$B$13&lt;'Aportaciones Poliza'!E80,0,F80*$B$8/12),F80*$B$8/12)</f>
        <v>25978.848361559838</v>
      </c>
      <c r="H80" s="125">
        <f t="shared" ca="1" si="7"/>
        <v>0</v>
      </c>
      <c r="I80" s="125"/>
      <c r="J80" s="125">
        <f t="shared" ca="1" si="9"/>
        <v>0</v>
      </c>
      <c r="K80" s="125">
        <f t="shared" si="10"/>
        <v>0</v>
      </c>
      <c r="L80" s="125">
        <f t="shared" ca="1" si="11"/>
        <v>0</v>
      </c>
      <c r="P80">
        <f t="shared" si="13"/>
        <v>73</v>
      </c>
    </row>
    <row r="81" spans="4:16">
      <c r="D81">
        <v>74</v>
      </c>
      <c r="E81" s="6">
        <f t="shared" ca="1" si="12"/>
        <v>50496</v>
      </c>
      <c r="F81" s="7">
        <f t="shared" ca="1" si="8"/>
        <v>1.4845056206605622</v>
      </c>
      <c r="G81" s="125">
        <f ca="1">IF('Simulador - 1º Pilar'!$E$99="Sí",IF('Aportaciones Poliza'!$B$13&lt;'Aportaciones Poliza'!E81,0,F81*$B$8/12),F81*$B$8/12)</f>
        <v>25978.848361559838</v>
      </c>
      <c r="H81" s="125">
        <f t="shared" ca="1" si="7"/>
        <v>0</v>
      </c>
      <c r="I81" s="125"/>
      <c r="J81" s="125">
        <f t="shared" ca="1" si="9"/>
        <v>0</v>
      </c>
      <c r="K81" s="125">
        <f t="shared" si="10"/>
        <v>0</v>
      </c>
      <c r="L81" s="125">
        <f t="shared" ca="1" si="11"/>
        <v>0</v>
      </c>
      <c r="P81">
        <f t="shared" si="13"/>
        <v>74</v>
      </c>
    </row>
    <row r="82" spans="4:16">
      <c r="D82">
        <v>75</v>
      </c>
      <c r="E82" s="6">
        <f t="shared" ca="1" si="12"/>
        <v>50465</v>
      </c>
      <c r="F82" s="7">
        <f t="shared" ca="1" si="8"/>
        <v>1.4845056206605622</v>
      </c>
      <c r="G82" s="125">
        <f ca="1">IF('Simulador - 1º Pilar'!$E$99="Sí",IF('Aportaciones Poliza'!$B$13&lt;'Aportaciones Poliza'!E82,0,F82*$B$8/12),F82*$B$8/12)</f>
        <v>25978.848361559838</v>
      </c>
      <c r="H82" s="125">
        <f t="shared" ca="1" si="7"/>
        <v>0</v>
      </c>
      <c r="I82" s="125"/>
      <c r="J82" s="125">
        <f t="shared" ca="1" si="9"/>
        <v>0</v>
      </c>
      <c r="K82" s="125">
        <f t="shared" si="10"/>
        <v>0</v>
      </c>
      <c r="L82" s="125">
        <f t="shared" ca="1" si="11"/>
        <v>0</v>
      </c>
      <c r="P82">
        <f t="shared" si="13"/>
        <v>75</v>
      </c>
    </row>
    <row r="83" spans="4:16">
      <c r="D83">
        <v>76</v>
      </c>
      <c r="E83" s="6">
        <f t="shared" ca="1" si="12"/>
        <v>50437</v>
      </c>
      <c r="F83" s="7">
        <f t="shared" ca="1" si="8"/>
        <v>1.4845056206605622</v>
      </c>
      <c r="G83" s="125">
        <f ca="1">IF('Simulador - 1º Pilar'!$E$99="Sí",IF('Aportaciones Poliza'!$B$13&lt;'Aportaciones Poliza'!E83,0,F83*$B$8/12),F83*$B$8/12)</f>
        <v>25978.848361559838</v>
      </c>
      <c r="H83" s="125">
        <f t="shared" ca="1" si="7"/>
        <v>0</v>
      </c>
      <c r="I83" s="125"/>
      <c r="J83" s="125">
        <f t="shared" ca="1" si="9"/>
        <v>0</v>
      </c>
      <c r="K83" s="125">
        <f t="shared" si="10"/>
        <v>0</v>
      </c>
      <c r="L83" s="125">
        <f t="shared" ca="1" si="11"/>
        <v>0</v>
      </c>
      <c r="P83">
        <f t="shared" si="13"/>
        <v>76</v>
      </c>
    </row>
    <row r="84" spans="4:16">
      <c r="D84">
        <v>77</v>
      </c>
      <c r="E84" s="6">
        <f t="shared" ca="1" si="12"/>
        <v>50406</v>
      </c>
      <c r="F84" s="7">
        <f t="shared" ca="1" si="8"/>
        <v>1.4845056206605622</v>
      </c>
      <c r="G84" s="125">
        <f ca="1">IF('Simulador - 1º Pilar'!$E$99="Sí",IF('Aportaciones Poliza'!$B$13&lt;'Aportaciones Poliza'!E84,0,F84*$B$8/12),F84*$B$8/12)</f>
        <v>25978.848361559838</v>
      </c>
      <c r="H84" s="125">
        <f t="shared" ca="1" si="7"/>
        <v>0</v>
      </c>
      <c r="I84" s="125"/>
      <c r="J84" s="125">
        <f t="shared" ca="1" si="9"/>
        <v>0</v>
      </c>
      <c r="K84" s="125">
        <f t="shared" si="10"/>
        <v>0</v>
      </c>
      <c r="L84" s="125">
        <f t="shared" ca="1" si="11"/>
        <v>0</v>
      </c>
      <c r="P84">
        <f t="shared" si="13"/>
        <v>77</v>
      </c>
    </row>
    <row r="85" spans="4:16">
      <c r="D85">
        <v>78</v>
      </c>
      <c r="E85" s="6">
        <f t="shared" ca="1" si="12"/>
        <v>50375</v>
      </c>
      <c r="F85" s="7">
        <f t="shared" ca="1" si="8"/>
        <v>1.4482981664981096</v>
      </c>
      <c r="G85" s="125">
        <f ca="1">IF('Simulador - 1º Pilar'!$E$99="Sí",IF('Aportaciones Poliza'!$B$13&lt;'Aportaciones Poliza'!E85,0,F85*$B$8/12),F85*$B$8/12)</f>
        <v>25345.217913716919</v>
      </c>
      <c r="H85" s="125">
        <f t="shared" ca="1" si="7"/>
        <v>0</v>
      </c>
      <c r="I85" s="125"/>
      <c r="J85" s="125">
        <f t="shared" ca="1" si="9"/>
        <v>0</v>
      </c>
      <c r="K85" s="125">
        <f t="shared" si="10"/>
        <v>0</v>
      </c>
      <c r="L85" s="125">
        <f t="shared" ca="1" si="11"/>
        <v>0</v>
      </c>
      <c r="P85">
        <f t="shared" si="13"/>
        <v>78</v>
      </c>
    </row>
    <row r="86" spans="4:16">
      <c r="D86">
        <v>79</v>
      </c>
      <c r="E86" s="6">
        <f t="shared" ca="1" si="12"/>
        <v>50345</v>
      </c>
      <c r="F86" s="7">
        <f t="shared" ca="1" si="8"/>
        <v>1.4482981664981096</v>
      </c>
      <c r="G86" s="125">
        <f ca="1">IF('Simulador - 1º Pilar'!$E$99="Sí",IF('Aportaciones Poliza'!$B$13&lt;'Aportaciones Poliza'!E86,0,F86*$B$8/12),F86*$B$8/12)</f>
        <v>25345.217913716919</v>
      </c>
      <c r="H86" s="125">
        <f t="shared" ca="1" si="7"/>
        <v>0</v>
      </c>
      <c r="I86" s="125"/>
      <c r="J86" s="125">
        <f t="shared" ca="1" si="9"/>
        <v>0</v>
      </c>
      <c r="K86" s="125">
        <f t="shared" si="10"/>
        <v>0</v>
      </c>
      <c r="L86" s="125">
        <f t="shared" ca="1" si="11"/>
        <v>0</v>
      </c>
      <c r="P86">
        <f t="shared" si="13"/>
        <v>79</v>
      </c>
    </row>
    <row r="87" spans="4:16">
      <c r="D87">
        <v>80</v>
      </c>
      <c r="E87" s="6">
        <f t="shared" ca="1" si="12"/>
        <v>50314</v>
      </c>
      <c r="F87" s="7">
        <f t="shared" ca="1" si="8"/>
        <v>1.4482981664981096</v>
      </c>
      <c r="G87" s="125">
        <f ca="1">IF('Simulador - 1º Pilar'!$E$99="Sí",IF('Aportaciones Poliza'!$B$13&lt;'Aportaciones Poliza'!E87,0,F87*$B$8/12),F87*$B$8/12)</f>
        <v>25345.217913716919</v>
      </c>
      <c r="H87" s="125">
        <f t="shared" ca="1" si="7"/>
        <v>0</v>
      </c>
      <c r="I87" s="125"/>
      <c r="J87" s="125">
        <f t="shared" ca="1" si="9"/>
        <v>0</v>
      </c>
      <c r="K87" s="125">
        <f t="shared" si="10"/>
        <v>0</v>
      </c>
      <c r="L87" s="125">
        <f t="shared" ca="1" si="11"/>
        <v>0</v>
      </c>
      <c r="P87">
        <f t="shared" si="13"/>
        <v>80</v>
      </c>
    </row>
    <row r="88" spans="4:16">
      <c r="D88">
        <v>81</v>
      </c>
      <c r="E88" s="6">
        <f t="shared" ca="1" si="12"/>
        <v>50284</v>
      </c>
      <c r="F88" s="7">
        <f t="shared" ca="1" si="8"/>
        <v>1.4482981664981096</v>
      </c>
      <c r="G88" s="125">
        <f ca="1">IF('Simulador - 1º Pilar'!$E$99="Sí",IF('Aportaciones Poliza'!$B$13&lt;'Aportaciones Poliza'!E88,0,F88*$B$8/12),F88*$B$8/12)</f>
        <v>25345.217913716919</v>
      </c>
      <c r="H88" s="125">
        <f t="shared" ca="1" si="7"/>
        <v>0</v>
      </c>
      <c r="I88" s="125"/>
      <c r="J88" s="125">
        <f t="shared" ca="1" si="9"/>
        <v>0</v>
      </c>
      <c r="K88" s="125">
        <f t="shared" si="10"/>
        <v>0</v>
      </c>
      <c r="L88" s="125">
        <f t="shared" ca="1" si="11"/>
        <v>0</v>
      </c>
      <c r="P88">
        <f t="shared" si="13"/>
        <v>81</v>
      </c>
    </row>
    <row r="89" spans="4:16">
      <c r="D89">
        <v>82</v>
      </c>
      <c r="E89" s="6">
        <f t="shared" ca="1" si="12"/>
        <v>50253</v>
      </c>
      <c r="F89" s="7">
        <f t="shared" ca="1" si="8"/>
        <v>1.4482981664981096</v>
      </c>
      <c r="G89" s="125">
        <f ca="1">IF('Simulador - 1º Pilar'!$E$99="Sí",IF('Aportaciones Poliza'!$B$13&lt;'Aportaciones Poliza'!E89,0,F89*$B$8/12),F89*$B$8/12)</f>
        <v>25345.217913716919</v>
      </c>
      <c r="H89" s="125">
        <f t="shared" ca="1" si="7"/>
        <v>0</v>
      </c>
      <c r="I89" s="125"/>
      <c r="J89" s="125">
        <f t="shared" ca="1" si="9"/>
        <v>0</v>
      </c>
      <c r="K89" s="125">
        <f t="shared" si="10"/>
        <v>0</v>
      </c>
      <c r="L89" s="125">
        <f t="shared" ca="1" si="11"/>
        <v>0</v>
      </c>
      <c r="P89">
        <f t="shared" si="13"/>
        <v>82</v>
      </c>
    </row>
    <row r="90" spans="4:16">
      <c r="D90">
        <v>83</v>
      </c>
      <c r="E90" s="6">
        <f t="shared" ca="1" si="12"/>
        <v>50222</v>
      </c>
      <c r="F90" s="7">
        <f t="shared" ca="1" si="8"/>
        <v>1.4482981664981096</v>
      </c>
      <c r="G90" s="125">
        <f ca="1">IF('Simulador - 1º Pilar'!$E$99="Sí",IF('Aportaciones Poliza'!$B$13&lt;'Aportaciones Poliza'!E90,0,F90*$B$8/12),F90*$B$8/12)</f>
        <v>25345.217913716919</v>
      </c>
      <c r="H90" s="125">
        <f t="shared" ca="1" si="7"/>
        <v>0</v>
      </c>
      <c r="I90" s="125"/>
      <c r="J90" s="125">
        <f t="shared" ca="1" si="9"/>
        <v>0</v>
      </c>
      <c r="K90" s="125">
        <f t="shared" si="10"/>
        <v>0</v>
      </c>
      <c r="L90" s="125">
        <f t="shared" ca="1" si="11"/>
        <v>0</v>
      </c>
      <c r="P90">
        <f t="shared" si="13"/>
        <v>83</v>
      </c>
    </row>
    <row r="91" spans="4:16">
      <c r="D91">
        <v>84</v>
      </c>
      <c r="E91" s="6">
        <f t="shared" ca="1" si="12"/>
        <v>50192</v>
      </c>
      <c r="F91" s="7">
        <f t="shared" ca="1" si="8"/>
        <v>1.4482981664981096</v>
      </c>
      <c r="G91" s="125">
        <f ca="1">IF('Simulador - 1º Pilar'!$E$99="Sí",IF('Aportaciones Poliza'!$B$13&lt;'Aportaciones Poliza'!E91,0,F91*$B$8/12),F91*$B$8/12)</f>
        <v>25345.217913716919</v>
      </c>
      <c r="H91" s="125">
        <f t="shared" ca="1" si="7"/>
        <v>0</v>
      </c>
      <c r="I91" s="125"/>
      <c r="J91" s="125">
        <f t="shared" ca="1" si="9"/>
        <v>0</v>
      </c>
      <c r="K91" s="125">
        <f t="shared" si="10"/>
        <v>0</v>
      </c>
      <c r="L91" s="125">
        <f t="shared" ca="1" si="11"/>
        <v>0</v>
      </c>
      <c r="P91">
        <f t="shared" si="13"/>
        <v>84</v>
      </c>
    </row>
    <row r="92" spans="4:16">
      <c r="D92">
        <v>85</v>
      </c>
      <c r="E92" s="6">
        <f t="shared" ca="1" si="12"/>
        <v>50161</v>
      </c>
      <c r="F92" s="7">
        <f t="shared" ca="1" si="8"/>
        <v>1.4482981664981096</v>
      </c>
      <c r="G92" s="125">
        <f ca="1">IF('Simulador - 1º Pilar'!$E$99="Sí",IF('Aportaciones Poliza'!$B$13&lt;'Aportaciones Poliza'!E92,0,F92*$B$8/12),F92*$B$8/12)</f>
        <v>25345.217913716919</v>
      </c>
      <c r="H92" s="125">
        <f t="shared" ca="1" si="7"/>
        <v>0</v>
      </c>
      <c r="I92" s="125"/>
      <c r="J92" s="125">
        <f t="shared" ca="1" si="9"/>
        <v>0</v>
      </c>
      <c r="K92" s="125">
        <f t="shared" si="10"/>
        <v>0</v>
      </c>
      <c r="L92" s="125">
        <f t="shared" ca="1" si="11"/>
        <v>0</v>
      </c>
      <c r="P92">
        <f t="shared" si="13"/>
        <v>85</v>
      </c>
    </row>
    <row r="93" spans="4:16">
      <c r="D93">
        <v>86</v>
      </c>
      <c r="E93" s="6">
        <f t="shared" ca="1" si="12"/>
        <v>50131</v>
      </c>
      <c r="F93" s="7">
        <f t="shared" ca="1" si="8"/>
        <v>1.4482981664981096</v>
      </c>
      <c r="G93" s="125">
        <f ca="1">IF('Simulador - 1º Pilar'!$E$99="Sí",IF('Aportaciones Poliza'!$B$13&lt;'Aportaciones Poliza'!E93,0,F93*$B$8/12),F93*$B$8/12)</f>
        <v>25345.217913716919</v>
      </c>
      <c r="H93" s="125">
        <f t="shared" ca="1" si="7"/>
        <v>0</v>
      </c>
      <c r="I93" s="125"/>
      <c r="J93" s="125">
        <f t="shared" ca="1" si="9"/>
        <v>0</v>
      </c>
      <c r="K93" s="125">
        <f t="shared" si="10"/>
        <v>0</v>
      </c>
      <c r="L93" s="125">
        <f t="shared" ca="1" si="11"/>
        <v>0</v>
      </c>
      <c r="P93">
        <f t="shared" si="13"/>
        <v>86</v>
      </c>
    </row>
    <row r="94" spans="4:16">
      <c r="D94">
        <v>87</v>
      </c>
      <c r="E94" s="6">
        <f t="shared" ca="1" si="12"/>
        <v>50100</v>
      </c>
      <c r="F94" s="7">
        <f t="shared" ca="1" si="8"/>
        <v>1.4482981664981096</v>
      </c>
      <c r="G94" s="125">
        <f ca="1">IF('Simulador - 1º Pilar'!$E$99="Sí",IF('Aportaciones Poliza'!$B$13&lt;'Aportaciones Poliza'!E94,0,F94*$B$8/12),F94*$B$8/12)</f>
        <v>25345.217913716919</v>
      </c>
      <c r="H94" s="125">
        <f t="shared" ca="1" si="7"/>
        <v>0</v>
      </c>
      <c r="I94" s="125"/>
      <c r="J94" s="125">
        <f t="shared" ca="1" si="9"/>
        <v>0</v>
      </c>
      <c r="K94" s="125">
        <f t="shared" si="10"/>
        <v>0</v>
      </c>
      <c r="L94" s="125">
        <f t="shared" ca="1" si="11"/>
        <v>0</v>
      </c>
      <c r="P94">
        <f t="shared" si="13"/>
        <v>87</v>
      </c>
    </row>
    <row r="95" spans="4:16">
      <c r="D95">
        <v>88</v>
      </c>
      <c r="E95" s="6">
        <f t="shared" ca="1" si="12"/>
        <v>50072</v>
      </c>
      <c r="F95" s="7">
        <f t="shared" ca="1" si="8"/>
        <v>1.4482981664981096</v>
      </c>
      <c r="G95" s="125">
        <f ca="1">IF('Simulador - 1º Pilar'!$E$99="Sí",IF('Aportaciones Poliza'!$B$13&lt;'Aportaciones Poliza'!E95,0,F95*$B$8/12),F95*$B$8/12)</f>
        <v>25345.217913716919</v>
      </c>
      <c r="H95" s="125">
        <f t="shared" ca="1" si="7"/>
        <v>0</v>
      </c>
      <c r="I95" s="125"/>
      <c r="J95" s="125">
        <f t="shared" ca="1" si="9"/>
        <v>0</v>
      </c>
      <c r="K95" s="125">
        <f t="shared" si="10"/>
        <v>0</v>
      </c>
      <c r="L95" s="125">
        <f t="shared" ca="1" si="11"/>
        <v>0</v>
      </c>
      <c r="P95">
        <f t="shared" si="13"/>
        <v>88</v>
      </c>
    </row>
    <row r="96" spans="4:16">
      <c r="D96">
        <v>89</v>
      </c>
      <c r="E96" s="6">
        <f t="shared" ca="1" si="12"/>
        <v>50041</v>
      </c>
      <c r="F96" s="7">
        <f t="shared" ca="1" si="8"/>
        <v>1.4482981664981096</v>
      </c>
      <c r="G96" s="125">
        <f ca="1">IF('Simulador - 1º Pilar'!$E$99="Sí",IF('Aportaciones Poliza'!$B$13&lt;'Aportaciones Poliza'!E96,0,F96*$B$8/12),F96*$B$8/12)</f>
        <v>25345.217913716919</v>
      </c>
      <c r="H96" s="125">
        <f t="shared" ca="1" si="7"/>
        <v>0</v>
      </c>
      <c r="I96" s="125"/>
      <c r="J96" s="125">
        <f t="shared" ca="1" si="9"/>
        <v>0</v>
      </c>
      <c r="K96" s="125">
        <f t="shared" si="10"/>
        <v>0</v>
      </c>
      <c r="L96" s="125">
        <f t="shared" ca="1" si="11"/>
        <v>0</v>
      </c>
      <c r="P96">
        <f t="shared" si="13"/>
        <v>89</v>
      </c>
    </row>
    <row r="97" spans="4:16">
      <c r="D97">
        <v>90</v>
      </c>
      <c r="E97" s="6">
        <f t="shared" ca="1" si="12"/>
        <v>50010</v>
      </c>
      <c r="F97" s="7">
        <f t="shared" ca="1" si="8"/>
        <v>1.4129738209737657</v>
      </c>
      <c r="G97" s="125">
        <f ca="1">IF('Simulador - 1º Pilar'!$E$99="Sí",IF('Aportaciones Poliza'!$B$13&lt;'Aportaciones Poliza'!E97,0,F97*$B$8/12),F97*$B$8/12)</f>
        <v>24727.041867040898</v>
      </c>
      <c r="H97" s="125">
        <f t="shared" ca="1" si="7"/>
        <v>0</v>
      </c>
      <c r="I97" s="125"/>
      <c r="J97" s="125">
        <f t="shared" ca="1" si="9"/>
        <v>0</v>
      </c>
      <c r="K97" s="125">
        <f t="shared" si="10"/>
        <v>0</v>
      </c>
      <c r="L97" s="125">
        <f t="shared" ca="1" si="11"/>
        <v>0</v>
      </c>
      <c r="P97">
        <f t="shared" si="13"/>
        <v>90</v>
      </c>
    </row>
    <row r="98" spans="4:16">
      <c r="D98">
        <v>91</v>
      </c>
      <c r="E98" s="6">
        <f t="shared" ca="1" si="12"/>
        <v>49980</v>
      </c>
      <c r="F98" s="7">
        <f t="shared" ca="1" si="8"/>
        <v>1.4129738209737657</v>
      </c>
      <c r="G98" s="125">
        <f ca="1">IF('Simulador - 1º Pilar'!$E$99="Sí",IF('Aportaciones Poliza'!$B$13&lt;'Aportaciones Poliza'!E98,0,F98*$B$8/12),F98*$B$8/12)</f>
        <v>24727.041867040898</v>
      </c>
      <c r="H98" s="125">
        <f t="shared" ca="1" si="7"/>
        <v>0</v>
      </c>
      <c r="I98" s="125"/>
      <c r="J98" s="125">
        <f t="shared" ca="1" si="9"/>
        <v>0</v>
      </c>
      <c r="K98" s="125">
        <f t="shared" si="10"/>
        <v>0</v>
      </c>
      <c r="L98" s="125">
        <f t="shared" ca="1" si="11"/>
        <v>0</v>
      </c>
      <c r="P98">
        <f t="shared" si="13"/>
        <v>91</v>
      </c>
    </row>
    <row r="99" spans="4:16">
      <c r="D99">
        <v>92</v>
      </c>
      <c r="E99" s="6">
        <f t="shared" ca="1" si="12"/>
        <v>49949</v>
      </c>
      <c r="F99" s="7">
        <f t="shared" ca="1" si="8"/>
        <v>1.4129738209737657</v>
      </c>
      <c r="G99" s="125">
        <f ca="1">IF('Simulador - 1º Pilar'!$E$99="Sí",IF('Aportaciones Poliza'!$B$13&lt;'Aportaciones Poliza'!E99,0,F99*$B$8/12),F99*$B$8/12)</f>
        <v>24727.041867040898</v>
      </c>
      <c r="H99" s="125">
        <f t="shared" ca="1" si="7"/>
        <v>0</v>
      </c>
      <c r="I99" s="125"/>
      <c r="J99" s="125">
        <f t="shared" ca="1" si="9"/>
        <v>0</v>
      </c>
      <c r="K99" s="125">
        <f t="shared" si="10"/>
        <v>0</v>
      </c>
      <c r="L99" s="125">
        <f t="shared" ca="1" si="11"/>
        <v>0</v>
      </c>
      <c r="P99">
        <f t="shared" si="13"/>
        <v>92</v>
      </c>
    </row>
    <row r="100" spans="4:16">
      <c r="D100">
        <v>93</v>
      </c>
      <c r="E100" s="6">
        <f t="shared" ca="1" si="12"/>
        <v>49919</v>
      </c>
      <c r="F100" s="7">
        <f t="shared" ca="1" si="8"/>
        <v>1.4129738209737657</v>
      </c>
      <c r="G100" s="125">
        <f ca="1">IF('Simulador - 1º Pilar'!$E$99="Sí",IF('Aportaciones Poliza'!$B$13&lt;'Aportaciones Poliza'!E100,0,F100*$B$8/12),F100*$B$8/12)</f>
        <v>24727.041867040898</v>
      </c>
      <c r="H100" s="125">
        <f t="shared" ca="1" si="7"/>
        <v>0</v>
      </c>
      <c r="I100" s="125"/>
      <c r="J100" s="125">
        <f t="shared" ca="1" si="9"/>
        <v>0</v>
      </c>
      <c r="K100" s="125">
        <f t="shared" si="10"/>
        <v>0</v>
      </c>
      <c r="L100" s="125">
        <f t="shared" ca="1" si="11"/>
        <v>0</v>
      </c>
      <c r="P100">
        <f t="shared" si="13"/>
        <v>93</v>
      </c>
    </row>
    <row r="101" spans="4:16">
      <c r="D101">
        <v>94</v>
      </c>
      <c r="E101" s="6">
        <f t="shared" ca="1" si="12"/>
        <v>49888</v>
      </c>
      <c r="F101" s="7">
        <f t="shared" ca="1" si="8"/>
        <v>1.4129738209737657</v>
      </c>
      <c r="G101" s="125">
        <f ca="1">IF('Simulador - 1º Pilar'!$E$99="Sí",IF('Aportaciones Poliza'!$B$13&lt;'Aportaciones Poliza'!E101,0,F101*$B$8/12),F101*$B$8/12)</f>
        <v>24727.041867040898</v>
      </c>
      <c r="H101" s="125">
        <f t="shared" ca="1" si="7"/>
        <v>0</v>
      </c>
      <c r="I101" s="125"/>
      <c r="J101" s="125">
        <f t="shared" ca="1" si="9"/>
        <v>0</v>
      </c>
      <c r="K101" s="125">
        <f t="shared" si="10"/>
        <v>0</v>
      </c>
      <c r="L101" s="125">
        <f t="shared" ca="1" si="11"/>
        <v>0</v>
      </c>
      <c r="P101">
        <f t="shared" si="13"/>
        <v>94</v>
      </c>
    </row>
    <row r="102" spans="4:16">
      <c r="D102">
        <v>95</v>
      </c>
      <c r="E102" s="6">
        <f t="shared" ca="1" si="12"/>
        <v>49857</v>
      </c>
      <c r="F102" s="7">
        <f t="shared" ca="1" si="8"/>
        <v>1.4129738209737657</v>
      </c>
      <c r="G102" s="125">
        <f ca="1">IF('Simulador - 1º Pilar'!$E$99="Sí",IF('Aportaciones Poliza'!$B$13&lt;'Aportaciones Poliza'!E102,0,F102*$B$8/12),F102*$B$8/12)</f>
        <v>24727.041867040898</v>
      </c>
      <c r="H102" s="125">
        <f t="shared" ca="1" si="7"/>
        <v>0</v>
      </c>
      <c r="I102" s="125"/>
      <c r="J102" s="125">
        <f t="shared" ca="1" si="9"/>
        <v>0</v>
      </c>
      <c r="K102" s="125">
        <f t="shared" si="10"/>
        <v>0</v>
      </c>
      <c r="L102" s="125">
        <f t="shared" ca="1" si="11"/>
        <v>0</v>
      </c>
      <c r="P102">
        <f t="shared" si="13"/>
        <v>95</v>
      </c>
    </row>
    <row r="103" spans="4:16">
      <c r="D103">
        <v>96</v>
      </c>
      <c r="E103" s="6">
        <f t="shared" ca="1" si="12"/>
        <v>49827</v>
      </c>
      <c r="F103" s="7">
        <f t="shared" ca="1" si="8"/>
        <v>1.4129738209737657</v>
      </c>
      <c r="G103" s="125">
        <f ca="1">IF('Simulador - 1º Pilar'!$E$99="Sí",IF('Aportaciones Poliza'!$B$13&lt;'Aportaciones Poliza'!E103,0,F103*$B$8/12),F103*$B$8/12)</f>
        <v>24727.041867040898</v>
      </c>
      <c r="H103" s="125">
        <f t="shared" ca="1" si="7"/>
        <v>0</v>
      </c>
      <c r="I103" s="125"/>
      <c r="J103" s="125">
        <f t="shared" ca="1" si="9"/>
        <v>0</v>
      </c>
      <c r="K103" s="125">
        <f t="shared" si="10"/>
        <v>0</v>
      </c>
      <c r="L103" s="125">
        <f t="shared" ca="1" si="11"/>
        <v>0</v>
      </c>
      <c r="P103">
        <f t="shared" si="13"/>
        <v>96</v>
      </c>
    </row>
    <row r="104" spans="4:16">
      <c r="D104">
        <v>97</v>
      </c>
      <c r="E104" s="6">
        <f t="shared" ca="1" si="12"/>
        <v>49796</v>
      </c>
      <c r="F104" s="7">
        <f t="shared" ca="1" si="8"/>
        <v>1.4129738209737657</v>
      </c>
      <c r="G104" s="125">
        <f ca="1">IF('Simulador - 1º Pilar'!$E$99="Sí",IF('Aportaciones Poliza'!$B$13&lt;'Aportaciones Poliza'!E104,0,F104*$B$8/12),F104*$B$8/12)</f>
        <v>24727.041867040898</v>
      </c>
      <c r="H104" s="125">
        <f t="shared" ca="1" si="7"/>
        <v>0</v>
      </c>
      <c r="I104" s="125"/>
      <c r="J104" s="125">
        <f t="shared" ca="1" si="9"/>
        <v>0</v>
      </c>
      <c r="K104" s="125">
        <f t="shared" si="10"/>
        <v>0</v>
      </c>
      <c r="L104" s="125">
        <f t="shared" ca="1" si="11"/>
        <v>0</v>
      </c>
      <c r="P104">
        <f t="shared" si="13"/>
        <v>97</v>
      </c>
    </row>
    <row r="105" spans="4:16">
      <c r="D105">
        <v>98</v>
      </c>
      <c r="E105" s="6">
        <f t="shared" ca="1" si="12"/>
        <v>49766</v>
      </c>
      <c r="F105" s="7">
        <f t="shared" ca="1" si="8"/>
        <v>1.4129738209737657</v>
      </c>
      <c r="G105" s="125">
        <f ca="1">IF('Simulador - 1º Pilar'!$E$99="Sí",IF('Aportaciones Poliza'!$B$13&lt;'Aportaciones Poliza'!E105,0,F105*$B$8/12),F105*$B$8/12)</f>
        <v>24727.041867040898</v>
      </c>
      <c r="H105" s="125">
        <f t="shared" ca="1" si="7"/>
        <v>0</v>
      </c>
      <c r="I105" s="125"/>
      <c r="J105" s="125">
        <f t="shared" ca="1" si="9"/>
        <v>0</v>
      </c>
      <c r="K105" s="125">
        <f t="shared" si="10"/>
        <v>0</v>
      </c>
      <c r="L105" s="125">
        <f t="shared" ca="1" si="11"/>
        <v>0</v>
      </c>
      <c r="P105">
        <f t="shared" si="13"/>
        <v>98</v>
      </c>
    </row>
    <row r="106" spans="4:16">
      <c r="D106">
        <v>99</v>
      </c>
      <c r="E106" s="6">
        <f t="shared" ca="1" si="12"/>
        <v>49735</v>
      </c>
      <c r="F106" s="7">
        <f t="shared" ca="1" si="8"/>
        <v>1.4129738209737657</v>
      </c>
      <c r="G106" s="125">
        <f ca="1">IF('Simulador - 1º Pilar'!$E$99="Sí",IF('Aportaciones Poliza'!$B$13&lt;'Aportaciones Poliza'!E106,0,F106*$B$8/12),F106*$B$8/12)</f>
        <v>24727.041867040898</v>
      </c>
      <c r="H106" s="125">
        <f t="shared" ca="1" si="7"/>
        <v>0</v>
      </c>
      <c r="I106" s="125"/>
      <c r="J106" s="125">
        <f t="shared" ca="1" si="9"/>
        <v>0</v>
      </c>
      <c r="K106" s="125">
        <f t="shared" si="10"/>
        <v>0</v>
      </c>
      <c r="L106" s="125">
        <f t="shared" ca="1" si="11"/>
        <v>0</v>
      </c>
      <c r="P106">
        <f t="shared" si="13"/>
        <v>99</v>
      </c>
    </row>
    <row r="107" spans="4:16">
      <c r="D107">
        <v>100</v>
      </c>
      <c r="E107" s="6">
        <f t="shared" ca="1" si="12"/>
        <v>49706</v>
      </c>
      <c r="F107" s="7">
        <f t="shared" ca="1" si="8"/>
        <v>1.4129738209737657</v>
      </c>
      <c r="G107" s="125">
        <f ca="1">IF('Simulador - 1º Pilar'!$E$99="Sí",IF('Aportaciones Poliza'!$B$13&lt;'Aportaciones Poliza'!E107,0,F107*$B$8/12),F107*$B$8/12)</f>
        <v>24727.041867040898</v>
      </c>
      <c r="H107" s="125">
        <f t="shared" ca="1" si="7"/>
        <v>0</v>
      </c>
      <c r="I107" s="125"/>
      <c r="J107" s="125">
        <f t="shared" ca="1" si="9"/>
        <v>0</v>
      </c>
      <c r="K107" s="125">
        <f t="shared" si="10"/>
        <v>0</v>
      </c>
      <c r="L107" s="125">
        <f t="shared" ca="1" si="11"/>
        <v>0</v>
      </c>
      <c r="P107">
        <f t="shared" si="13"/>
        <v>100</v>
      </c>
    </row>
    <row r="108" spans="4:16">
      <c r="D108">
        <v>101</v>
      </c>
      <c r="E108" s="6">
        <f t="shared" ca="1" si="12"/>
        <v>49675</v>
      </c>
      <c r="F108" s="7">
        <f t="shared" ca="1" si="8"/>
        <v>1.4129738209737657</v>
      </c>
      <c r="G108" s="125">
        <f ca="1">IF('Simulador - 1º Pilar'!$E$99="Sí",IF('Aportaciones Poliza'!$B$13&lt;'Aportaciones Poliza'!E108,0,F108*$B$8/12),F108*$B$8/12)</f>
        <v>24727.041867040898</v>
      </c>
      <c r="H108" s="125">
        <f t="shared" ca="1" si="7"/>
        <v>0</v>
      </c>
      <c r="I108" s="125"/>
      <c r="J108" s="125">
        <f t="shared" ca="1" si="9"/>
        <v>0</v>
      </c>
      <c r="K108" s="125">
        <f t="shared" si="10"/>
        <v>0</v>
      </c>
      <c r="L108" s="125">
        <f t="shared" ca="1" si="11"/>
        <v>0</v>
      </c>
      <c r="P108">
        <f t="shared" si="13"/>
        <v>101</v>
      </c>
    </row>
    <row r="109" spans="4:16">
      <c r="D109">
        <v>102</v>
      </c>
      <c r="E109" s="6">
        <f t="shared" ca="1" si="12"/>
        <v>49644</v>
      </c>
      <c r="F109" s="7">
        <f t="shared" ca="1" si="8"/>
        <v>1.3785110448524545</v>
      </c>
      <c r="G109" s="125">
        <f ca="1">IF('Simulador - 1º Pilar'!$E$99="Sí",IF('Aportaciones Poliza'!$B$13&lt;'Aportaciones Poliza'!E109,0,F109*$B$8/12),F109*$B$8/12)</f>
        <v>24123.943284917954</v>
      </c>
      <c r="H109" s="125">
        <f t="shared" ca="1" si="7"/>
        <v>0</v>
      </c>
      <c r="I109" s="125"/>
      <c r="J109" s="125">
        <f t="shared" ca="1" si="9"/>
        <v>0</v>
      </c>
      <c r="K109" s="125">
        <f t="shared" si="10"/>
        <v>0</v>
      </c>
      <c r="L109" s="125">
        <f t="shared" ca="1" si="11"/>
        <v>0</v>
      </c>
      <c r="P109">
        <f t="shared" si="13"/>
        <v>102</v>
      </c>
    </row>
    <row r="110" spans="4:16">
      <c r="D110">
        <v>103</v>
      </c>
      <c r="E110" s="6">
        <f t="shared" ca="1" si="12"/>
        <v>49614</v>
      </c>
      <c r="F110" s="7">
        <f t="shared" ca="1" si="8"/>
        <v>1.3785110448524545</v>
      </c>
      <c r="G110" s="125">
        <f ca="1">IF('Simulador - 1º Pilar'!$E$99="Sí",IF('Aportaciones Poliza'!$B$13&lt;'Aportaciones Poliza'!E110,0,F110*$B$8/12),F110*$B$8/12)</f>
        <v>24123.943284917954</v>
      </c>
      <c r="H110" s="125">
        <f t="shared" ca="1" si="7"/>
        <v>0</v>
      </c>
      <c r="I110" s="125"/>
      <c r="J110" s="125">
        <f t="shared" ca="1" si="9"/>
        <v>0</v>
      </c>
      <c r="K110" s="125">
        <f t="shared" si="10"/>
        <v>0</v>
      </c>
      <c r="L110" s="125">
        <f t="shared" ca="1" si="11"/>
        <v>0</v>
      </c>
      <c r="P110">
        <f t="shared" si="13"/>
        <v>103</v>
      </c>
    </row>
    <row r="111" spans="4:16">
      <c r="D111">
        <v>104</v>
      </c>
      <c r="E111" s="6">
        <f t="shared" ca="1" si="12"/>
        <v>49583</v>
      </c>
      <c r="F111" s="7">
        <f t="shared" ca="1" si="8"/>
        <v>1.3785110448524545</v>
      </c>
      <c r="G111" s="125">
        <f ca="1">IF('Simulador - 1º Pilar'!$E$99="Sí",IF('Aportaciones Poliza'!$B$13&lt;'Aportaciones Poliza'!E111,0,F111*$B$8/12),F111*$B$8/12)</f>
        <v>24123.943284917954</v>
      </c>
      <c r="H111" s="125">
        <f t="shared" ca="1" si="7"/>
        <v>0</v>
      </c>
      <c r="I111" s="125"/>
      <c r="J111" s="125">
        <f t="shared" ca="1" si="9"/>
        <v>0</v>
      </c>
      <c r="K111" s="125">
        <f t="shared" si="10"/>
        <v>0</v>
      </c>
      <c r="L111" s="125">
        <f t="shared" ca="1" si="11"/>
        <v>0</v>
      </c>
      <c r="P111">
        <f t="shared" si="13"/>
        <v>104</v>
      </c>
    </row>
    <row r="112" spans="4:16">
      <c r="D112">
        <v>105</v>
      </c>
      <c r="E112" s="6">
        <f t="shared" ca="1" si="12"/>
        <v>49553</v>
      </c>
      <c r="F112" s="7">
        <f t="shared" ca="1" si="8"/>
        <v>1.3785110448524545</v>
      </c>
      <c r="G112" s="125">
        <f ca="1">IF('Simulador - 1º Pilar'!$E$99="Sí",IF('Aportaciones Poliza'!$B$13&lt;'Aportaciones Poliza'!E112,0,F112*$B$8/12),F112*$B$8/12)</f>
        <v>24123.943284917954</v>
      </c>
      <c r="H112" s="125">
        <f t="shared" ca="1" si="7"/>
        <v>0</v>
      </c>
      <c r="I112" s="125"/>
      <c r="J112" s="125">
        <f t="shared" ca="1" si="9"/>
        <v>0</v>
      </c>
      <c r="K112" s="125">
        <f t="shared" si="10"/>
        <v>0</v>
      </c>
      <c r="L112" s="125">
        <f t="shared" ca="1" si="11"/>
        <v>0</v>
      </c>
      <c r="P112">
        <f t="shared" si="13"/>
        <v>105</v>
      </c>
    </row>
    <row r="113" spans="4:16">
      <c r="D113">
        <v>106</v>
      </c>
      <c r="E113" s="6">
        <f t="shared" ca="1" si="12"/>
        <v>49522</v>
      </c>
      <c r="F113" s="7">
        <f t="shared" ca="1" si="8"/>
        <v>1.3785110448524545</v>
      </c>
      <c r="G113" s="125">
        <f ca="1">IF('Simulador - 1º Pilar'!$E$99="Sí",IF('Aportaciones Poliza'!$B$13&lt;'Aportaciones Poliza'!E113,0,F113*$B$8/12),F113*$B$8/12)</f>
        <v>24123.943284917954</v>
      </c>
      <c r="H113" s="125">
        <f t="shared" ca="1" si="7"/>
        <v>0</v>
      </c>
      <c r="I113" s="125"/>
      <c r="J113" s="125">
        <f t="shared" ca="1" si="9"/>
        <v>0</v>
      </c>
      <c r="K113" s="125">
        <f t="shared" si="10"/>
        <v>0</v>
      </c>
      <c r="L113" s="125">
        <f t="shared" ca="1" si="11"/>
        <v>0</v>
      </c>
      <c r="P113">
        <f t="shared" si="13"/>
        <v>106</v>
      </c>
    </row>
    <row r="114" spans="4:16">
      <c r="D114">
        <v>107</v>
      </c>
      <c r="E114" s="6">
        <f t="shared" ca="1" si="12"/>
        <v>49491</v>
      </c>
      <c r="F114" s="7">
        <f t="shared" ca="1" si="8"/>
        <v>1.3785110448524545</v>
      </c>
      <c r="G114" s="125">
        <f ca="1">IF('Simulador - 1º Pilar'!$E$99="Sí",IF('Aportaciones Poliza'!$B$13&lt;'Aportaciones Poliza'!E114,0,F114*$B$8/12),F114*$B$8/12)</f>
        <v>24123.943284917954</v>
      </c>
      <c r="H114" s="125">
        <f t="shared" ca="1" si="7"/>
        <v>0</v>
      </c>
      <c r="I114" s="125"/>
      <c r="J114" s="125">
        <f t="shared" ca="1" si="9"/>
        <v>0</v>
      </c>
      <c r="K114" s="125">
        <f t="shared" si="10"/>
        <v>0</v>
      </c>
      <c r="L114" s="125">
        <f t="shared" ca="1" si="11"/>
        <v>0</v>
      </c>
      <c r="P114">
        <f t="shared" si="13"/>
        <v>107</v>
      </c>
    </row>
    <row r="115" spans="4:16">
      <c r="D115">
        <v>108</v>
      </c>
      <c r="E115" s="6">
        <f t="shared" ca="1" si="12"/>
        <v>49461</v>
      </c>
      <c r="F115" s="7">
        <f t="shared" ca="1" si="8"/>
        <v>1.3785110448524545</v>
      </c>
      <c r="G115" s="125">
        <f ca="1">IF('Simulador - 1º Pilar'!$E$99="Sí",IF('Aportaciones Poliza'!$B$13&lt;'Aportaciones Poliza'!E115,0,F115*$B$8/12),F115*$B$8/12)</f>
        <v>24123.943284917954</v>
      </c>
      <c r="H115" s="125">
        <f t="shared" ca="1" si="7"/>
        <v>0</v>
      </c>
      <c r="I115" s="125"/>
      <c r="J115" s="125">
        <f t="shared" ca="1" si="9"/>
        <v>0</v>
      </c>
      <c r="K115" s="125">
        <f t="shared" si="10"/>
        <v>0</v>
      </c>
      <c r="L115" s="125">
        <f t="shared" ca="1" si="11"/>
        <v>0</v>
      </c>
      <c r="P115">
        <f t="shared" si="13"/>
        <v>108</v>
      </c>
    </row>
    <row r="116" spans="4:16">
      <c r="D116">
        <v>109</v>
      </c>
      <c r="E116" s="6">
        <f t="shared" ca="1" si="12"/>
        <v>49430</v>
      </c>
      <c r="F116" s="7">
        <f t="shared" ca="1" si="8"/>
        <v>1.3785110448524545</v>
      </c>
      <c r="G116" s="125">
        <f ca="1">IF('Simulador - 1º Pilar'!$E$99="Sí",IF('Aportaciones Poliza'!$B$13&lt;'Aportaciones Poliza'!E116,0,F116*$B$8/12),F116*$B$8/12)</f>
        <v>24123.943284917954</v>
      </c>
      <c r="H116" s="125">
        <f t="shared" ca="1" si="7"/>
        <v>0</v>
      </c>
      <c r="I116" s="125"/>
      <c r="J116" s="125">
        <f t="shared" ca="1" si="9"/>
        <v>0</v>
      </c>
      <c r="K116" s="125">
        <f t="shared" si="10"/>
        <v>0</v>
      </c>
      <c r="L116" s="125">
        <f t="shared" ca="1" si="11"/>
        <v>0</v>
      </c>
      <c r="P116">
        <f t="shared" si="13"/>
        <v>109</v>
      </c>
    </row>
    <row r="117" spans="4:16">
      <c r="D117">
        <v>110</v>
      </c>
      <c r="E117" s="6">
        <f t="shared" ca="1" si="12"/>
        <v>49400</v>
      </c>
      <c r="F117" s="7">
        <f t="shared" ca="1" si="8"/>
        <v>1.3785110448524545</v>
      </c>
      <c r="G117" s="125">
        <f ca="1">IF('Simulador - 1º Pilar'!$E$99="Sí",IF('Aportaciones Poliza'!$B$13&lt;'Aportaciones Poliza'!E117,0,F117*$B$8/12),F117*$B$8/12)</f>
        <v>24123.943284917954</v>
      </c>
      <c r="H117" s="125">
        <f t="shared" ca="1" si="7"/>
        <v>0</v>
      </c>
      <c r="I117" s="125"/>
      <c r="J117" s="125">
        <f t="shared" ca="1" si="9"/>
        <v>0</v>
      </c>
      <c r="K117" s="125">
        <f t="shared" si="10"/>
        <v>0</v>
      </c>
      <c r="L117" s="125">
        <f t="shared" ca="1" si="11"/>
        <v>0</v>
      </c>
      <c r="P117">
        <f t="shared" si="13"/>
        <v>110</v>
      </c>
    </row>
    <row r="118" spans="4:16">
      <c r="D118">
        <v>111</v>
      </c>
      <c r="E118" s="6">
        <f t="shared" ca="1" si="12"/>
        <v>49369</v>
      </c>
      <c r="F118" s="7">
        <f t="shared" ca="1" si="8"/>
        <v>1.3785110448524545</v>
      </c>
      <c r="G118" s="125">
        <f ca="1">IF('Simulador - 1º Pilar'!$E$99="Sí",IF('Aportaciones Poliza'!$B$13&lt;'Aportaciones Poliza'!E118,0,F118*$B$8/12),F118*$B$8/12)</f>
        <v>24123.943284917954</v>
      </c>
      <c r="H118" s="125">
        <f t="shared" ca="1" si="7"/>
        <v>0</v>
      </c>
      <c r="I118" s="125"/>
      <c r="J118" s="125">
        <f t="shared" ca="1" si="9"/>
        <v>0</v>
      </c>
      <c r="K118" s="125">
        <f t="shared" si="10"/>
        <v>0</v>
      </c>
      <c r="L118" s="125">
        <f t="shared" ca="1" si="11"/>
        <v>0</v>
      </c>
      <c r="P118">
        <f t="shared" si="13"/>
        <v>111</v>
      </c>
    </row>
    <row r="119" spans="4:16">
      <c r="D119">
        <v>112</v>
      </c>
      <c r="E119" s="6">
        <f t="shared" ca="1" si="12"/>
        <v>49341</v>
      </c>
      <c r="F119" s="7">
        <f t="shared" ca="1" si="8"/>
        <v>1.3785110448524545</v>
      </c>
      <c r="G119" s="125">
        <f ca="1">IF('Simulador - 1º Pilar'!$E$99="Sí",IF('Aportaciones Poliza'!$B$13&lt;'Aportaciones Poliza'!E119,0,F119*$B$8/12),F119*$B$8/12)</f>
        <v>24123.943284917954</v>
      </c>
      <c r="H119" s="125">
        <f t="shared" ca="1" si="7"/>
        <v>0</v>
      </c>
      <c r="I119" s="125"/>
      <c r="J119" s="125">
        <f t="shared" ca="1" si="9"/>
        <v>0</v>
      </c>
      <c r="K119" s="125">
        <f t="shared" si="10"/>
        <v>0</v>
      </c>
      <c r="L119" s="125">
        <f t="shared" ca="1" si="11"/>
        <v>0</v>
      </c>
      <c r="P119">
        <f t="shared" si="13"/>
        <v>112</v>
      </c>
    </row>
    <row r="120" spans="4:16">
      <c r="D120">
        <v>113</v>
      </c>
      <c r="E120" s="6">
        <f t="shared" ca="1" si="12"/>
        <v>49310</v>
      </c>
      <c r="F120" s="7">
        <f t="shared" ca="1" si="8"/>
        <v>1.3785110448524545</v>
      </c>
      <c r="G120" s="125">
        <f ca="1">IF('Simulador - 1º Pilar'!$E$99="Sí",IF('Aportaciones Poliza'!$B$13&lt;'Aportaciones Poliza'!E120,0,F120*$B$8/12),F120*$B$8/12)</f>
        <v>24123.943284917954</v>
      </c>
      <c r="H120" s="125">
        <f t="shared" ca="1" si="7"/>
        <v>0</v>
      </c>
      <c r="I120" s="125"/>
      <c r="J120" s="125">
        <f t="shared" ca="1" si="9"/>
        <v>0</v>
      </c>
      <c r="K120" s="125">
        <f t="shared" si="10"/>
        <v>0</v>
      </c>
      <c r="L120" s="125">
        <f t="shared" ca="1" si="11"/>
        <v>0</v>
      </c>
      <c r="P120">
        <f t="shared" si="13"/>
        <v>113</v>
      </c>
    </row>
    <row r="121" spans="4:16">
      <c r="D121">
        <v>114</v>
      </c>
      <c r="E121" s="6">
        <f t="shared" ca="1" si="12"/>
        <v>49279</v>
      </c>
      <c r="F121" s="7">
        <f t="shared" ca="1" si="8"/>
        <v>1.3448888242462971</v>
      </c>
      <c r="G121" s="125">
        <f ca="1">IF('Simulador - 1º Pilar'!$E$99="Sí",IF('Aportaciones Poliza'!$B$13&lt;'Aportaciones Poliza'!E121,0,F121*$B$8/12),F121*$B$8/12)</f>
        <v>23535.554424310201</v>
      </c>
      <c r="H121" s="125">
        <f t="shared" ca="1" si="7"/>
        <v>0</v>
      </c>
      <c r="I121" s="125"/>
      <c r="J121" s="125">
        <f t="shared" ca="1" si="9"/>
        <v>0</v>
      </c>
      <c r="K121" s="125">
        <f t="shared" si="10"/>
        <v>0</v>
      </c>
      <c r="L121" s="125">
        <f t="shared" ca="1" si="11"/>
        <v>0</v>
      </c>
      <c r="P121">
        <f t="shared" si="13"/>
        <v>114</v>
      </c>
    </row>
    <row r="122" spans="4:16">
      <c r="D122">
        <v>115</v>
      </c>
      <c r="E122" s="6">
        <f t="shared" ca="1" si="12"/>
        <v>49249</v>
      </c>
      <c r="F122" s="7">
        <f t="shared" ca="1" si="8"/>
        <v>1.3448888242462971</v>
      </c>
      <c r="G122" s="125">
        <f ca="1">IF('Simulador - 1º Pilar'!$E$99="Sí",IF('Aportaciones Poliza'!$B$13&lt;'Aportaciones Poliza'!E122,0,F122*$B$8/12),F122*$B$8/12)</f>
        <v>23535.554424310201</v>
      </c>
      <c r="H122" s="125">
        <f t="shared" ca="1" si="7"/>
        <v>0</v>
      </c>
      <c r="I122" s="125"/>
      <c r="J122" s="125">
        <f t="shared" ca="1" si="9"/>
        <v>0</v>
      </c>
      <c r="K122" s="125">
        <f t="shared" si="10"/>
        <v>0</v>
      </c>
      <c r="L122" s="125">
        <f t="shared" ca="1" si="11"/>
        <v>0</v>
      </c>
      <c r="P122">
        <f t="shared" si="13"/>
        <v>115</v>
      </c>
    </row>
    <row r="123" spans="4:16">
      <c r="D123">
        <v>116</v>
      </c>
      <c r="E123" s="6">
        <f t="shared" ca="1" si="12"/>
        <v>49218</v>
      </c>
      <c r="F123" s="7">
        <f t="shared" ca="1" si="8"/>
        <v>1.3448888242462971</v>
      </c>
      <c r="G123" s="125">
        <f ca="1">IF('Simulador - 1º Pilar'!$E$99="Sí",IF('Aportaciones Poliza'!$B$13&lt;'Aportaciones Poliza'!E123,0,F123*$B$8/12),F123*$B$8/12)</f>
        <v>23535.554424310201</v>
      </c>
      <c r="H123" s="125">
        <f t="shared" ca="1" si="7"/>
        <v>0</v>
      </c>
      <c r="I123" s="125"/>
      <c r="J123" s="125">
        <f t="shared" ca="1" si="9"/>
        <v>0</v>
      </c>
      <c r="K123" s="125">
        <f t="shared" si="10"/>
        <v>0</v>
      </c>
      <c r="L123" s="125">
        <f t="shared" ca="1" si="11"/>
        <v>0</v>
      </c>
      <c r="P123">
        <f t="shared" si="13"/>
        <v>116</v>
      </c>
    </row>
    <row r="124" spans="4:16">
      <c r="D124">
        <v>117</v>
      </c>
      <c r="E124" s="6">
        <f t="shared" ca="1" si="12"/>
        <v>49188</v>
      </c>
      <c r="F124" s="7">
        <f t="shared" ca="1" si="8"/>
        <v>1.3448888242462971</v>
      </c>
      <c r="G124" s="125">
        <f ca="1">IF('Simulador - 1º Pilar'!$E$99="Sí",IF('Aportaciones Poliza'!$B$13&lt;'Aportaciones Poliza'!E124,0,F124*$B$8/12),F124*$B$8/12)</f>
        <v>23535.554424310201</v>
      </c>
      <c r="H124" s="125">
        <f t="shared" ca="1" si="7"/>
        <v>0</v>
      </c>
      <c r="I124" s="125"/>
      <c r="J124" s="125">
        <f t="shared" ca="1" si="9"/>
        <v>0</v>
      </c>
      <c r="K124" s="125">
        <f t="shared" si="10"/>
        <v>0</v>
      </c>
      <c r="L124" s="125">
        <f t="shared" ca="1" si="11"/>
        <v>0</v>
      </c>
      <c r="P124">
        <f t="shared" si="13"/>
        <v>117</v>
      </c>
    </row>
    <row r="125" spans="4:16">
      <c r="D125">
        <v>118</v>
      </c>
      <c r="E125" s="6">
        <f t="shared" ca="1" si="12"/>
        <v>49157</v>
      </c>
      <c r="F125" s="7">
        <f t="shared" ca="1" si="8"/>
        <v>1.3448888242462971</v>
      </c>
      <c r="G125" s="125">
        <f ca="1">IF('Simulador - 1º Pilar'!$E$99="Sí",IF('Aportaciones Poliza'!$B$13&lt;'Aportaciones Poliza'!E125,0,F125*$B$8/12),F125*$B$8/12)</f>
        <v>23535.554424310201</v>
      </c>
      <c r="H125" s="125">
        <f t="shared" ca="1" si="7"/>
        <v>0</v>
      </c>
      <c r="I125" s="125"/>
      <c r="J125" s="125">
        <f t="shared" ca="1" si="9"/>
        <v>0</v>
      </c>
      <c r="K125" s="125">
        <f t="shared" si="10"/>
        <v>0</v>
      </c>
      <c r="L125" s="125">
        <f t="shared" ca="1" si="11"/>
        <v>0</v>
      </c>
      <c r="P125">
        <f t="shared" si="13"/>
        <v>118</v>
      </c>
    </row>
    <row r="126" spans="4:16">
      <c r="D126">
        <v>119</v>
      </c>
      <c r="E126" s="6">
        <f t="shared" ca="1" si="12"/>
        <v>49126</v>
      </c>
      <c r="F126" s="7">
        <f t="shared" ca="1" si="8"/>
        <v>1.3448888242462971</v>
      </c>
      <c r="G126" s="125">
        <f ca="1">IF('Simulador - 1º Pilar'!$E$99="Sí",IF('Aportaciones Poliza'!$B$13&lt;'Aportaciones Poliza'!E126,0,F126*$B$8/12),F126*$B$8/12)</f>
        <v>23535.554424310201</v>
      </c>
      <c r="H126" s="125">
        <f t="shared" ca="1" si="7"/>
        <v>0</v>
      </c>
      <c r="I126" s="125"/>
      <c r="J126" s="125">
        <f t="shared" ca="1" si="9"/>
        <v>0</v>
      </c>
      <c r="K126" s="125">
        <f t="shared" si="10"/>
        <v>0</v>
      </c>
      <c r="L126" s="125">
        <f t="shared" ca="1" si="11"/>
        <v>0</v>
      </c>
      <c r="P126">
        <f t="shared" si="13"/>
        <v>119</v>
      </c>
    </row>
    <row r="127" spans="4:16">
      <c r="D127">
        <v>120</v>
      </c>
      <c r="E127" s="6">
        <f t="shared" ca="1" si="12"/>
        <v>49096</v>
      </c>
      <c r="F127" s="7">
        <f t="shared" ca="1" si="8"/>
        <v>1.3448888242462971</v>
      </c>
      <c r="G127" s="125">
        <f ca="1">IF('Simulador - 1º Pilar'!$E$99="Sí",IF('Aportaciones Poliza'!$B$13&lt;'Aportaciones Poliza'!E127,0,F127*$B$8/12),F127*$B$8/12)</f>
        <v>23535.554424310201</v>
      </c>
      <c r="H127" s="125">
        <f t="shared" ca="1" si="7"/>
        <v>0</v>
      </c>
      <c r="I127" s="125"/>
      <c r="J127" s="125">
        <f t="shared" ca="1" si="9"/>
        <v>0</v>
      </c>
      <c r="K127" s="125">
        <f t="shared" si="10"/>
        <v>0</v>
      </c>
      <c r="L127" s="125">
        <f t="shared" ca="1" si="11"/>
        <v>0</v>
      </c>
      <c r="P127">
        <f t="shared" si="13"/>
        <v>120</v>
      </c>
    </row>
    <row r="128" spans="4:16">
      <c r="D128">
        <v>121</v>
      </c>
      <c r="E128" s="6">
        <f t="shared" ca="1" si="12"/>
        <v>49065</v>
      </c>
      <c r="F128" s="7">
        <f t="shared" ca="1" si="8"/>
        <v>1.3448888242462971</v>
      </c>
      <c r="G128" s="125">
        <f ca="1">IF('Simulador - 1º Pilar'!$E$99="Sí",IF('Aportaciones Poliza'!$B$13&lt;'Aportaciones Poliza'!E128,0,F128*$B$8/12),F128*$B$8/12)</f>
        <v>23535.554424310201</v>
      </c>
      <c r="H128" s="125">
        <f t="shared" ca="1" si="7"/>
        <v>0</v>
      </c>
      <c r="I128" s="125"/>
      <c r="J128" s="125">
        <f t="shared" ca="1" si="9"/>
        <v>0</v>
      </c>
      <c r="K128" s="125">
        <f t="shared" si="10"/>
        <v>0</v>
      </c>
      <c r="L128" s="125">
        <f t="shared" ca="1" si="11"/>
        <v>0</v>
      </c>
      <c r="P128">
        <f t="shared" si="13"/>
        <v>121</v>
      </c>
    </row>
    <row r="129" spans="4:16">
      <c r="D129">
        <v>122</v>
      </c>
      <c r="E129" s="6">
        <f t="shared" ca="1" si="12"/>
        <v>49035</v>
      </c>
      <c r="F129" s="7">
        <f t="shared" ca="1" si="8"/>
        <v>1.3448888242462971</v>
      </c>
      <c r="G129" s="125">
        <f ca="1">IF('Simulador - 1º Pilar'!$E$99="Sí",IF('Aportaciones Poliza'!$B$13&lt;'Aportaciones Poliza'!E129,0,F129*$B$8/12),F129*$B$8/12)</f>
        <v>23535.554424310201</v>
      </c>
      <c r="H129" s="125">
        <f t="shared" ca="1" si="7"/>
        <v>0</v>
      </c>
      <c r="I129" s="125"/>
      <c r="J129" s="125">
        <f t="shared" ca="1" si="9"/>
        <v>0</v>
      </c>
      <c r="K129" s="125">
        <f t="shared" si="10"/>
        <v>0</v>
      </c>
      <c r="L129" s="125">
        <f t="shared" ca="1" si="11"/>
        <v>0</v>
      </c>
      <c r="P129">
        <f t="shared" si="13"/>
        <v>122</v>
      </c>
    </row>
    <row r="130" spans="4:16">
      <c r="D130">
        <v>123</v>
      </c>
      <c r="E130" s="6">
        <f t="shared" ca="1" si="12"/>
        <v>49004</v>
      </c>
      <c r="F130" s="7">
        <f t="shared" ca="1" si="8"/>
        <v>1.3448888242462971</v>
      </c>
      <c r="G130" s="125">
        <f ca="1">IF('Simulador - 1º Pilar'!$E$99="Sí",IF('Aportaciones Poliza'!$B$13&lt;'Aportaciones Poliza'!E130,0,F130*$B$8/12),F130*$B$8/12)</f>
        <v>23535.554424310201</v>
      </c>
      <c r="H130" s="125">
        <f t="shared" ca="1" si="7"/>
        <v>0</v>
      </c>
      <c r="I130" s="125"/>
      <c r="J130" s="125">
        <f t="shared" ca="1" si="9"/>
        <v>0</v>
      </c>
      <c r="K130" s="125">
        <f t="shared" si="10"/>
        <v>0</v>
      </c>
      <c r="L130" s="125">
        <f t="shared" ca="1" si="11"/>
        <v>0</v>
      </c>
      <c r="P130">
        <f t="shared" si="13"/>
        <v>123</v>
      </c>
    </row>
    <row r="131" spans="4:16">
      <c r="D131">
        <v>124</v>
      </c>
      <c r="E131" s="6">
        <f t="shared" ca="1" si="12"/>
        <v>48976</v>
      </c>
      <c r="F131" s="7">
        <f t="shared" ca="1" si="8"/>
        <v>1.3448888242462971</v>
      </c>
      <c r="G131" s="125">
        <f ca="1">IF('Simulador - 1º Pilar'!$E$99="Sí",IF('Aportaciones Poliza'!$B$13&lt;'Aportaciones Poliza'!E131,0,F131*$B$8/12),F131*$B$8/12)</f>
        <v>23535.554424310201</v>
      </c>
      <c r="H131" s="125">
        <f t="shared" ca="1" si="7"/>
        <v>0</v>
      </c>
      <c r="I131" s="125"/>
      <c r="J131" s="125">
        <f t="shared" ca="1" si="9"/>
        <v>0</v>
      </c>
      <c r="K131" s="125">
        <f t="shared" si="10"/>
        <v>0</v>
      </c>
      <c r="L131" s="125">
        <f t="shared" ca="1" si="11"/>
        <v>0</v>
      </c>
      <c r="P131">
        <f t="shared" si="13"/>
        <v>124</v>
      </c>
    </row>
    <row r="132" spans="4:16">
      <c r="D132">
        <v>125</v>
      </c>
      <c r="E132" s="6">
        <f t="shared" ca="1" si="12"/>
        <v>48945</v>
      </c>
      <c r="F132" s="7">
        <f t="shared" ca="1" si="8"/>
        <v>1.3448888242462971</v>
      </c>
      <c r="G132" s="125">
        <f ca="1">IF('Simulador - 1º Pilar'!$E$99="Sí",IF('Aportaciones Poliza'!$B$13&lt;'Aportaciones Poliza'!E132,0,F132*$B$8/12),F132*$B$8/12)</f>
        <v>23535.554424310201</v>
      </c>
      <c r="H132" s="125">
        <f t="shared" ca="1" si="7"/>
        <v>0</v>
      </c>
      <c r="I132" s="125"/>
      <c r="J132" s="125">
        <f t="shared" ca="1" si="9"/>
        <v>0</v>
      </c>
      <c r="K132" s="125">
        <f t="shared" si="10"/>
        <v>0</v>
      </c>
      <c r="L132" s="125">
        <f t="shared" ca="1" si="11"/>
        <v>0</v>
      </c>
      <c r="P132">
        <f t="shared" si="13"/>
        <v>125</v>
      </c>
    </row>
    <row r="133" spans="4:16">
      <c r="D133">
        <v>126</v>
      </c>
      <c r="E133" s="6">
        <f t="shared" ca="1" si="12"/>
        <v>48914</v>
      </c>
      <c r="F133" s="7">
        <f t="shared" ca="1" si="8"/>
        <v>1.3120866578012655</v>
      </c>
      <c r="G133" s="125">
        <f ca="1">IF('Simulador - 1º Pilar'!$E$99="Sí",IF('Aportaciones Poliza'!$B$13&lt;'Aportaciones Poliza'!E133,0,F133*$B$8/12),F133*$B$8/12)</f>
        <v>22961.516511522146</v>
      </c>
      <c r="H133" s="125">
        <f t="shared" ca="1" si="7"/>
        <v>0</v>
      </c>
      <c r="I133" s="125"/>
      <c r="J133" s="125">
        <f t="shared" ca="1" si="9"/>
        <v>0</v>
      </c>
      <c r="K133" s="125">
        <f t="shared" si="10"/>
        <v>0</v>
      </c>
      <c r="L133" s="125">
        <f t="shared" ca="1" si="11"/>
        <v>0</v>
      </c>
      <c r="P133">
        <f t="shared" si="13"/>
        <v>126</v>
      </c>
    </row>
    <row r="134" spans="4:16">
      <c r="D134">
        <v>127</v>
      </c>
      <c r="E134" s="6">
        <f t="shared" ca="1" si="12"/>
        <v>48884</v>
      </c>
      <c r="F134" s="7">
        <f t="shared" ca="1" si="8"/>
        <v>1.3120866578012655</v>
      </c>
      <c r="G134" s="125">
        <f ca="1">IF('Simulador - 1º Pilar'!$E$99="Sí",IF('Aportaciones Poliza'!$B$13&lt;'Aportaciones Poliza'!E134,0,F134*$B$8/12),F134*$B$8/12)</f>
        <v>22961.516511522146</v>
      </c>
      <c r="H134" s="125">
        <f t="shared" ca="1" si="7"/>
        <v>0</v>
      </c>
      <c r="I134" s="125"/>
      <c r="J134" s="125">
        <f t="shared" ca="1" si="9"/>
        <v>0</v>
      </c>
      <c r="K134" s="125">
        <f t="shared" si="10"/>
        <v>0</v>
      </c>
      <c r="L134" s="125">
        <f t="shared" ca="1" si="11"/>
        <v>0</v>
      </c>
      <c r="P134">
        <f t="shared" si="13"/>
        <v>127</v>
      </c>
    </row>
    <row r="135" spans="4:16">
      <c r="D135">
        <v>128</v>
      </c>
      <c r="E135" s="6">
        <f t="shared" ca="1" si="12"/>
        <v>48853</v>
      </c>
      <c r="F135" s="7">
        <f t="shared" ca="1" si="8"/>
        <v>1.3120866578012655</v>
      </c>
      <c r="G135" s="125">
        <f ca="1">IF('Simulador - 1º Pilar'!$E$99="Sí",IF('Aportaciones Poliza'!$B$13&lt;'Aportaciones Poliza'!E135,0,F135*$B$8/12),F135*$B$8/12)</f>
        <v>22961.516511522146</v>
      </c>
      <c r="H135" s="125">
        <f t="shared" ref="H135:H198" ca="1" si="14">$H$5*G135</f>
        <v>0</v>
      </c>
      <c r="I135" s="125"/>
      <c r="J135" s="125">
        <f t="shared" ca="1" si="9"/>
        <v>0</v>
      </c>
      <c r="K135" s="125">
        <f t="shared" si="10"/>
        <v>0</v>
      </c>
      <c r="L135" s="125">
        <f t="shared" ca="1" si="11"/>
        <v>0</v>
      </c>
      <c r="P135">
        <f t="shared" si="13"/>
        <v>128</v>
      </c>
    </row>
    <row r="136" spans="4:16">
      <c r="D136">
        <v>129</v>
      </c>
      <c r="E136" s="6">
        <f t="shared" ca="1" si="12"/>
        <v>48823</v>
      </c>
      <c r="F136" s="7">
        <f t="shared" ref="F136:F199" ca="1" si="15">IF(DATE(YEAR($B$6),MONTH($B$6)+1,DAY(1))=E136,1,IF(MONTH(E136)=1,F137*(1+$F$5),F137))</f>
        <v>1.3120866578012655</v>
      </c>
      <c r="G136" s="125">
        <f ca="1">IF('Simulador - 1º Pilar'!$E$99="Sí",IF('Aportaciones Poliza'!$B$13&lt;'Aportaciones Poliza'!E136,0,F136*$B$8/12),F136*$B$8/12)</f>
        <v>22961.516511522146</v>
      </c>
      <c r="H136" s="125">
        <f t="shared" ca="1" si="14"/>
        <v>0</v>
      </c>
      <c r="I136" s="125"/>
      <c r="J136" s="125">
        <f t="shared" ref="J136:J199" ca="1" si="16">(1+$M$5)^(D136/12)*(H136+IF(AND(F136=1,F137=0),$Q$4,0))</f>
        <v>0</v>
      </c>
      <c r="K136" s="125">
        <f t="shared" ref="K136:K199" si="17">(1+$M$5)^(D136/12)*(I136)</f>
        <v>0</v>
      </c>
      <c r="L136" s="125">
        <f t="shared" ref="L136:L199" ca="1" si="18">K136+J136</f>
        <v>0</v>
      </c>
      <c r="P136">
        <f t="shared" si="13"/>
        <v>129</v>
      </c>
    </row>
    <row r="137" spans="4:16">
      <c r="D137">
        <v>130</v>
      </c>
      <c r="E137" s="6">
        <f t="shared" ref="E137:E200" ca="1" si="19">+DATE(YEAR(E136),MONTH(E136)-1,DAY(E136))</f>
        <v>48792</v>
      </c>
      <c r="F137" s="7">
        <f t="shared" ca="1" si="15"/>
        <v>1.3120866578012655</v>
      </c>
      <c r="G137" s="125">
        <f ca="1">IF('Simulador - 1º Pilar'!$E$99="Sí",IF('Aportaciones Poliza'!$B$13&lt;'Aportaciones Poliza'!E137,0,F137*$B$8/12),F137*$B$8/12)</f>
        <v>22961.516511522146</v>
      </c>
      <c r="H137" s="125">
        <f t="shared" ca="1" si="14"/>
        <v>0</v>
      </c>
      <c r="I137" s="125"/>
      <c r="J137" s="125">
        <f t="shared" ca="1" si="16"/>
        <v>0</v>
      </c>
      <c r="K137" s="125">
        <f t="shared" si="17"/>
        <v>0</v>
      </c>
      <c r="L137" s="125">
        <f t="shared" ca="1" si="18"/>
        <v>0</v>
      </c>
      <c r="P137">
        <f t="shared" ref="P137:P200" si="20">D137</f>
        <v>130</v>
      </c>
    </row>
    <row r="138" spans="4:16">
      <c r="D138">
        <v>131</v>
      </c>
      <c r="E138" s="6">
        <f t="shared" ca="1" si="19"/>
        <v>48761</v>
      </c>
      <c r="F138" s="7">
        <f t="shared" ca="1" si="15"/>
        <v>1.3120866578012655</v>
      </c>
      <c r="G138" s="125">
        <f ca="1">IF('Simulador - 1º Pilar'!$E$99="Sí",IF('Aportaciones Poliza'!$B$13&lt;'Aportaciones Poliza'!E138,0,F138*$B$8/12),F138*$B$8/12)</f>
        <v>22961.516511522146</v>
      </c>
      <c r="H138" s="125">
        <f t="shared" ca="1" si="14"/>
        <v>0</v>
      </c>
      <c r="I138" s="125"/>
      <c r="J138" s="125">
        <f t="shared" ca="1" si="16"/>
        <v>0</v>
      </c>
      <c r="K138" s="125">
        <f t="shared" si="17"/>
        <v>0</v>
      </c>
      <c r="L138" s="125">
        <f t="shared" ca="1" si="18"/>
        <v>0</v>
      </c>
      <c r="P138">
        <f t="shared" si="20"/>
        <v>131</v>
      </c>
    </row>
    <row r="139" spans="4:16">
      <c r="D139">
        <v>132</v>
      </c>
      <c r="E139" s="6">
        <f t="shared" ca="1" si="19"/>
        <v>48731</v>
      </c>
      <c r="F139" s="7">
        <f t="shared" ca="1" si="15"/>
        <v>1.3120866578012655</v>
      </c>
      <c r="G139" s="125">
        <f ca="1">IF('Simulador - 1º Pilar'!$E$99="Sí",IF('Aportaciones Poliza'!$B$13&lt;'Aportaciones Poliza'!E139,0,F139*$B$8/12),F139*$B$8/12)</f>
        <v>22961.516511522146</v>
      </c>
      <c r="H139" s="125">
        <f t="shared" ca="1" si="14"/>
        <v>0</v>
      </c>
      <c r="I139" s="125"/>
      <c r="J139" s="125">
        <f t="shared" ca="1" si="16"/>
        <v>0</v>
      </c>
      <c r="K139" s="125">
        <f t="shared" si="17"/>
        <v>0</v>
      </c>
      <c r="L139" s="125">
        <f t="shared" ca="1" si="18"/>
        <v>0</v>
      </c>
      <c r="P139">
        <f t="shared" si="20"/>
        <v>132</v>
      </c>
    </row>
    <row r="140" spans="4:16">
      <c r="D140">
        <v>133</v>
      </c>
      <c r="E140" s="6">
        <f t="shared" ca="1" si="19"/>
        <v>48700</v>
      </c>
      <c r="F140" s="7">
        <f t="shared" ca="1" si="15"/>
        <v>1.3120866578012655</v>
      </c>
      <c r="G140" s="125">
        <f ca="1">IF('Simulador - 1º Pilar'!$E$99="Sí",IF('Aportaciones Poliza'!$B$13&lt;'Aportaciones Poliza'!E140,0,F140*$B$8/12),F140*$B$8/12)</f>
        <v>22961.516511522146</v>
      </c>
      <c r="H140" s="125">
        <f t="shared" ca="1" si="14"/>
        <v>0</v>
      </c>
      <c r="I140" s="125"/>
      <c r="J140" s="125">
        <f t="shared" ca="1" si="16"/>
        <v>0</v>
      </c>
      <c r="K140" s="125">
        <f t="shared" si="17"/>
        <v>0</v>
      </c>
      <c r="L140" s="125">
        <f t="shared" ca="1" si="18"/>
        <v>0</v>
      </c>
      <c r="P140">
        <f t="shared" si="20"/>
        <v>133</v>
      </c>
    </row>
    <row r="141" spans="4:16">
      <c r="D141">
        <v>134</v>
      </c>
      <c r="E141" s="6">
        <f t="shared" ca="1" si="19"/>
        <v>48670</v>
      </c>
      <c r="F141" s="7">
        <f t="shared" ca="1" si="15"/>
        <v>1.3120866578012655</v>
      </c>
      <c r="G141" s="125">
        <f ca="1">IF('Simulador - 1º Pilar'!$E$99="Sí",IF('Aportaciones Poliza'!$B$13&lt;'Aportaciones Poliza'!E141,0,F141*$B$8/12),F141*$B$8/12)</f>
        <v>22961.516511522146</v>
      </c>
      <c r="H141" s="125">
        <f t="shared" ca="1" si="14"/>
        <v>0</v>
      </c>
      <c r="I141" s="125"/>
      <c r="J141" s="125">
        <f t="shared" ca="1" si="16"/>
        <v>0</v>
      </c>
      <c r="K141" s="125">
        <f t="shared" si="17"/>
        <v>0</v>
      </c>
      <c r="L141" s="125">
        <f t="shared" ca="1" si="18"/>
        <v>0</v>
      </c>
      <c r="P141">
        <f t="shared" si="20"/>
        <v>134</v>
      </c>
    </row>
    <row r="142" spans="4:16">
      <c r="D142">
        <v>135</v>
      </c>
      <c r="E142" s="6">
        <f t="shared" ca="1" si="19"/>
        <v>48639</v>
      </c>
      <c r="F142" s="7">
        <f t="shared" ca="1" si="15"/>
        <v>1.3120866578012655</v>
      </c>
      <c r="G142" s="125">
        <f ca="1">IF('Simulador - 1º Pilar'!$E$99="Sí",IF('Aportaciones Poliza'!$B$13&lt;'Aportaciones Poliza'!E142,0,F142*$B$8/12),F142*$B$8/12)</f>
        <v>22961.516511522146</v>
      </c>
      <c r="H142" s="125">
        <f t="shared" ca="1" si="14"/>
        <v>0</v>
      </c>
      <c r="I142" s="125"/>
      <c r="J142" s="125">
        <f t="shared" ca="1" si="16"/>
        <v>0</v>
      </c>
      <c r="K142" s="125">
        <f t="shared" si="17"/>
        <v>0</v>
      </c>
      <c r="L142" s="125">
        <f t="shared" ca="1" si="18"/>
        <v>0</v>
      </c>
      <c r="P142">
        <f t="shared" si="20"/>
        <v>135</v>
      </c>
    </row>
    <row r="143" spans="4:16">
      <c r="D143">
        <v>136</v>
      </c>
      <c r="E143" s="6">
        <f t="shared" ca="1" si="19"/>
        <v>48611</v>
      </c>
      <c r="F143" s="7">
        <f t="shared" ca="1" si="15"/>
        <v>1.3120866578012655</v>
      </c>
      <c r="G143" s="125">
        <f ca="1">IF('Simulador - 1º Pilar'!$E$99="Sí",IF('Aportaciones Poliza'!$B$13&lt;'Aportaciones Poliza'!E143,0,F143*$B$8/12),F143*$B$8/12)</f>
        <v>22961.516511522146</v>
      </c>
      <c r="H143" s="125">
        <f t="shared" ca="1" si="14"/>
        <v>0</v>
      </c>
      <c r="I143" s="125"/>
      <c r="J143" s="125">
        <f t="shared" ca="1" si="16"/>
        <v>0</v>
      </c>
      <c r="K143" s="125">
        <f t="shared" si="17"/>
        <v>0</v>
      </c>
      <c r="L143" s="125">
        <f t="shared" ca="1" si="18"/>
        <v>0</v>
      </c>
      <c r="P143">
        <f t="shared" si="20"/>
        <v>136</v>
      </c>
    </row>
    <row r="144" spans="4:16">
      <c r="D144">
        <v>137</v>
      </c>
      <c r="E144" s="6">
        <f t="shared" ca="1" si="19"/>
        <v>48580</v>
      </c>
      <c r="F144" s="7">
        <f t="shared" ca="1" si="15"/>
        <v>1.3120866578012655</v>
      </c>
      <c r="G144" s="125">
        <f ca="1">IF('Simulador - 1º Pilar'!$E$99="Sí",IF('Aportaciones Poliza'!$B$13&lt;'Aportaciones Poliza'!E144,0,F144*$B$8/12),F144*$B$8/12)</f>
        <v>22961.516511522146</v>
      </c>
      <c r="H144" s="125">
        <f t="shared" ca="1" si="14"/>
        <v>0</v>
      </c>
      <c r="I144" s="125"/>
      <c r="J144" s="125">
        <f t="shared" ca="1" si="16"/>
        <v>0</v>
      </c>
      <c r="K144" s="125">
        <f t="shared" si="17"/>
        <v>0</v>
      </c>
      <c r="L144" s="125">
        <f t="shared" ca="1" si="18"/>
        <v>0</v>
      </c>
      <c r="P144">
        <f t="shared" si="20"/>
        <v>137</v>
      </c>
    </row>
    <row r="145" spans="4:16">
      <c r="D145">
        <v>138</v>
      </c>
      <c r="E145" s="6">
        <f t="shared" ca="1" si="19"/>
        <v>48549</v>
      </c>
      <c r="F145" s="7">
        <f t="shared" ca="1" si="15"/>
        <v>1.2800845441963566</v>
      </c>
      <c r="G145" s="125">
        <f ca="1">IF('Simulador - 1º Pilar'!$E$99="Sí",IF('Aportaciones Poliza'!$B$13&lt;'Aportaciones Poliza'!E145,0,F145*$B$8/12),F145*$B$8/12)</f>
        <v>22401.479523436239</v>
      </c>
      <c r="H145" s="125">
        <f t="shared" ca="1" si="14"/>
        <v>0</v>
      </c>
      <c r="I145" s="125"/>
      <c r="J145" s="125">
        <f t="shared" ca="1" si="16"/>
        <v>0</v>
      </c>
      <c r="K145" s="125">
        <f t="shared" si="17"/>
        <v>0</v>
      </c>
      <c r="L145" s="125">
        <f t="shared" ca="1" si="18"/>
        <v>0</v>
      </c>
      <c r="P145">
        <f t="shared" si="20"/>
        <v>138</v>
      </c>
    </row>
    <row r="146" spans="4:16">
      <c r="D146">
        <v>139</v>
      </c>
      <c r="E146" s="6">
        <f t="shared" ca="1" si="19"/>
        <v>48519</v>
      </c>
      <c r="F146" s="7">
        <f t="shared" ca="1" si="15"/>
        <v>1.2800845441963566</v>
      </c>
      <c r="G146" s="125">
        <f ca="1">IF('Simulador - 1º Pilar'!$E$99="Sí",IF('Aportaciones Poliza'!$B$13&lt;'Aportaciones Poliza'!E146,0,F146*$B$8/12),F146*$B$8/12)</f>
        <v>22401.479523436239</v>
      </c>
      <c r="H146" s="125">
        <f t="shared" ca="1" si="14"/>
        <v>0</v>
      </c>
      <c r="I146" s="125"/>
      <c r="J146" s="125">
        <f t="shared" ca="1" si="16"/>
        <v>0</v>
      </c>
      <c r="K146" s="125">
        <f t="shared" si="17"/>
        <v>0</v>
      </c>
      <c r="L146" s="125">
        <f t="shared" ca="1" si="18"/>
        <v>0</v>
      </c>
      <c r="P146">
        <f t="shared" si="20"/>
        <v>139</v>
      </c>
    </row>
    <row r="147" spans="4:16">
      <c r="D147">
        <v>140</v>
      </c>
      <c r="E147" s="6">
        <f t="shared" ca="1" si="19"/>
        <v>48488</v>
      </c>
      <c r="F147" s="7">
        <f t="shared" ca="1" si="15"/>
        <v>1.2800845441963566</v>
      </c>
      <c r="G147" s="125">
        <f ca="1">IF('Simulador - 1º Pilar'!$E$99="Sí",IF('Aportaciones Poliza'!$B$13&lt;'Aportaciones Poliza'!E147,0,F147*$B$8/12),F147*$B$8/12)</f>
        <v>22401.479523436239</v>
      </c>
      <c r="H147" s="125">
        <f t="shared" ca="1" si="14"/>
        <v>0</v>
      </c>
      <c r="I147" s="125"/>
      <c r="J147" s="125">
        <f t="shared" ca="1" si="16"/>
        <v>0</v>
      </c>
      <c r="K147" s="125">
        <f t="shared" si="17"/>
        <v>0</v>
      </c>
      <c r="L147" s="125">
        <f t="shared" ca="1" si="18"/>
        <v>0</v>
      </c>
      <c r="P147">
        <f t="shared" si="20"/>
        <v>140</v>
      </c>
    </row>
    <row r="148" spans="4:16">
      <c r="D148">
        <v>141</v>
      </c>
      <c r="E148" s="6">
        <f t="shared" ca="1" si="19"/>
        <v>48458</v>
      </c>
      <c r="F148" s="7">
        <f t="shared" ca="1" si="15"/>
        <v>1.2800845441963566</v>
      </c>
      <c r="G148" s="125">
        <f ca="1">IF('Simulador - 1º Pilar'!$E$99="Sí",IF('Aportaciones Poliza'!$B$13&lt;'Aportaciones Poliza'!E148,0,F148*$B$8/12),F148*$B$8/12)</f>
        <v>22401.479523436239</v>
      </c>
      <c r="H148" s="125">
        <f t="shared" ca="1" si="14"/>
        <v>0</v>
      </c>
      <c r="I148" s="125"/>
      <c r="J148" s="125">
        <f t="shared" ca="1" si="16"/>
        <v>0</v>
      </c>
      <c r="K148" s="125">
        <f t="shared" si="17"/>
        <v>0</v>
      </c>
      <c r="L148" s="125">
        <f t="shared" ca="1" si="18"/>
        <v>0</v>
      </c>
      <c r="P148">
        <f t="shared" si="20"/>
        <v>141</v>
      </c>
    </row>
    <row r="149" spans="4:16">
      <c r="D149">
        <v>142</v>
      </c>
      <c r="E149" s="6">
        <f t="shared" ca="1" si="19"/>
        <v>48427</v>
      </c>
      <c r="F149" s="7">
        <f t="shared" ca="1" si="15"/>
        <v>1.2800845441963566</v>
      </c>
      <c r="G149" s="125">
        <f ca="1">IF('Simulador - 1º Pilar'!$E$99="Sí",IF('Aportaciones Poliza'!$B$13&lt;'Aportaciones Poliza'!E149,0,F149*$B$8/12),F149*$B$8/12)</f>
        <v>22401.479523436239</v>
      </c>
      <c r="H149" s="125">
        <f t="shared" ca="1" si="14"/>
        <v>0</v>
      </c>
      <c r="I149" s="125"/>
      <c r="J149" s="125">
        <f t="shared" ca="1" si="16"/>
        <v>0</v>
      </c>
      <c r="K149" s="125">
        <f t="shared" si="17"/>
        <v>0</v>
      </c>
      <c r="L149" s="125">
        <f t="shared" ca="1" si="18"/>
        <v>0</v>
      </c>
      <c r="P149">
        <f t="shared" si="20"/>
        <v>142</v>
      </c>
    </row>
    <row r="150" spans="4:16">
      <c r="D150">
        <v>143</v>
      </c>
      <c r="E150" s="6">
        <f t="shared" ca="1" si="19"/>
        <v>48396</v>
      </c>
      <c r="F150" s="7">
        <f t="shared" ca="1" si="15"/>
        <v>1.2800845441963566</v>
      </c>
      <c r="G150" s="125">
        <f ca="1">IF('Simulador - 1º Pilar'!$E$99="Sí",IF('Aportaciones Poliza'!$B$13&lt;'Aportaciones Poliza'!E150,0,F150*$B$8/12),F150*$B$8/12)</f>
        <v>22401.479523436239</v>
      </c>
      <c r="H150" s="125">
        <f t="shared" ca="1" si="14"/>
        <v>0</v>
      </c>
      <c r="I150" s="125"/>
      <c r="J150" s="125">
        <f t="shared" ca="1" si="16"/>
        <v>0</v>
      </c>
      <c r="K150" s="125">
        <f t="shared" si="17"/>
        <v>0</v>
      </c>
      <c r="L150" s="125">
        <f t="shared" ca="1" si="18"/>
        <v>0</v>
      </c>
      <c r="P150">
        <f t="shared" si="20"/>
        <v>143</v>
      </c>
    </row>
    <row r="151" spans="4:16">
      <c r="D151">
        <v>144</v>
      </c>
      <c r="E151" s="6">
        <f t="shared" ca="1" si="19"/>
        <v>48366</v>
      </c>
      <c r="F151" s="7">
        <f t="shared" ca="1" si="15"/>
        <v>1.2800845441963566</v>
      </c>
      <c r="G151" s="125">
        <f ca="1">IF('Simulador - 1º Pilar'!$E$99="Sí",IF('Aportaciones Poliza'!$B$13&lt;'Aportaciones Poliza'!E151,0,F151*$B$8/12),F151*$B$8/12)</f>
        <v>22401.479523436239</v>
      </c>
      <c r="H151" s="125">
        <f t="shared" ca="1" si="14"/>
        <v>0</v>
      </c>
      <c r="I151" s="125"/>
      <c r="J151" s="125">
        <f t="shared" ca="1" si="16"/>
        <v>0</v>
      </c>
      <c r="K151" s="125">
        <f t="shared" si="17"/>
        <v>0</v>
      </c>
      <c r="L151" s="125">
        <f t="shared" ca="1" si="18"/>
        <v>0</v>
      </c>
      <c r="P151">
        <f t="shared" si="20"/>
        <v>144</v>
      </c>
    </row>
    <row r="152" spans="4:16">
      <c r="D152">
        <v>145</v>
      </c>
      <c r="E152" s="6">
        <f t="shared" ca="1" si="19"/>
        <v>48335</v>
      </c>
      <c r="F152" s="7">
        <f t="shared" ca="1" si="15"/>
        <v>1.2800845441963566</v>
      </c>
      <c r="G152" s="125">
        <f ca="1">IF('Simulador - 1º Pilar'!$E$99="Sí",IF('Aportaciones Poliza'!$B$13&lt;'Aportaciones Poliza'!E152,0,F152*$B$8/12),F152*$B$8/12)</f>
        <v>22401.479523436239</v>
      </c>
      <c r="H152" s="125">
        <f t="shared" ca="1" si="14"/>
        <v>0</v>
      </c>
      <c r="I152" s="125"/>
      <c r="J152" s="125">
        <f t="shared" ca="1" si="16"/>
        <v>0</v>
      </c>
      <c r="K152" s="125">
        <f t="shared" si="17"/>
        <v>0</v>
      </c>
      <c r="L152" s="125">
        <f t="shared" ca="1" si="18"/>
        <v>0</v>
      </c>
      <c r="P152">
        <f t="shared" si="20"/>
        <v>145</v>
      </c>
    </row>
    <row r="153" spans="4:16">
      <c r="D153">
        <v>146</v>
      </c>
      <c r="E153" s="6">
        <f t="shared" ca="1" si="19"/>
        <v>48305</v>
      </c>
      <c r="F153" s="7">
        <f t="shared" ca="1" si="15"/>
        <v>1.2800845441963566</v>
      </c>
      <c r="G153" s="125">
        <f ca="1">IF('Simulador - 1º Pilar'!$E$99="Sí",IF('Aportaciones Poliza'!$B$13&lt;'Aportaciones Poliza'!E153,0,F153*$B$8/12),F153*$B$8/12)</f>
        <v>22401.479523436239</v>
      </c>
      <c r="H153" s="125">
        <f t="shared" ca="1" si="14"/>
        <v>0</v>
      </c>
      <c r="I153" s="125"/>
      <c r="J153" s="125">
        <f t="shared" ca="1" si="16"/>
        <v>0</v>
      </c>
      <c r="K153" s="125">
        <f t="shared" si="17"/>
        <v>0</v>
      </c>
      <c r="L153" s="125">
        <f t="shared" ca="1" si="18"/>
        <v>0</v>
      </c>
      <c r="P153">
        <f t="shared" si="20"/>
        <v>146</v>
      </c>
    </row>
    <row r="154" spans="4:16">
      <c r="D154">
        <v>147</v>
      </c>
      <c r="E154" s="6">
        <f t="shared" ca="1" si="19"/>
        <v>48274</v>
      </c>
      <c r="F154" s="7">
        <f t="shared" ca="1" si="15"/>
        <v>1.2800845441963566</v>
      </c>
      <c r="G154" s="125">
        <f ca="1">IF('Simulador - 1º Pilar'!$E$99="Sí",IF('Aportaciones Poliza'!$B$13&lt;'Aportaciones Poliza'!E154,0,F154*$B$8/12),F154*$B$8/12)</f>
        <v>22401.479523436239</v>
      </c>
      <c r="H154" s="125">
        <f t="shared" ca="1" si="14"/>
        <v>0</v>
      </c>
      <c r="I154" s="125"/>
      <c r="J154" s="125">
        <f t="shared" ca="1" si="16"/>
        <v>0</v>
      </c>
      <c r="K154" s="125">
        <f t="shared" si="17"/>
        <v>0</v>
      </c>
      <c r="L154" s="125">
        <f t="shared" ca="1" si="18"/>
        <v>0</v>
      </c>
      <c r="P154">
        <f t="shared" si="20"/>
        <v>147</v>
      </c>
    </row>
    <row r="155" spans="4:16">
      <c r="D155">
        <v>148</v>
      </c>
      <c r="E155" s="6">
        <f t="shared" ca="1" si="19"/>
        <v>48245</v>
      </c>
      <c r="F155" s="7">
        <f t="shared" ca="1" si="15"/>
        <v>1.2800845441963566</v>
      </c>
      <c r="G155" s="125">
        <f ca="1">IF('Simulador - 1º Pilar'!$E$99="Sí",IF('Aportaciones Poliza'!$B$13&lt;'Aportaciones Poliza'!E155,0,F155*$B$8/12),F155*$B$8/12)</f>
        <v>22401.479523436239</v>
      </c>
      <c r="H155" s="125">
        <f t="shared" ca="1" si="14"/>
        <v>0</v>
      </c>
      <c r="I155" s="125"/>
      <c r="J155" s="125">
        <f t="shared" ca="1" si="16"/>
        <v>0</v>
      </c>
      <c r="K155" s="125">
        <f t="shared" si="17"/>
        <v>0</v>
      </c>
      <c r="L155" s="125">
        <f t="shared" ca="1" si="18"/>
        <v>0</v>
      </c>
      <c r="P155">
        <f t="shared" si="20"/>
        <v>148</v>
      </c>
    </row>
    <row r="156" spans="4:16">
      <c r="D156">
        <v>149</v>
      </c>
      <c r="E156" s="6">
        <f t="shared" ca="1" si="19"/>
        <v>48214</v>
      </c>
      <c r="F156" s="7">
        <f t="shared" ca="1" si="15"/>
        <v>1.2800845441963566</v>
      </c>
      <c r="G156" s="125">
        <f ca="1">IF('Simulador - 1º Pilar'!$E$99="Sí",IF('Aportaciones Poliza'!$B$13&lt;'Aportaciones Poliza'!E156,0,F156*$B$8/12),F156*$B$8/12)</f>
        <v>22401.479523436239</v>
      </c>
      <c r="H156" s="125">
        <f t="shared" ca="1" si="14"/>
        <v>0</v>
      </c>
      <c r="I156" s="125"/>
      <c r="J156" s="125">
        <f t="shared" ca="1" si="16"/>
        <v>0</v>
      </c>
      <c r="K156" s="125">
        <f t="shared" si="17"/>
        <v>0</v>
      </c>
      <c r="L156" s="125">
        <f t="shared" ca="1" si="18"/>
        <v>0</v>
      </c>
      <c r="P156">
        <f t="shared" si="20"/>
        <v>149</v>
      </c>
    </row>
    <row r="157" spans="4:16">
      <c r="D157">
        <v>150</v>
      </c>
      <c r="E157" s="6">
        <f t="shared" ca="1" si="19"/>
        <v>48183</v>
      </c>
      <c r="F157" s="7">
        <f t="shared" ca="1" si="15"/>
        <v>1.2488629699476652</v>
      </c>
      <c r="G157" s="125">
        <f ca="1">IF('Simulador - 1º Pilar'!$E$99="Sí",IF('Aportaciones Poliza'!$B$13&lt;'Aportaciones Poliza'!E157,0,F157*$B$8/12),F157*$B$8/12)</f>
        <v>21855.10197408414</v>
      </c>
      <c r="H157" s="125">
        <f t="shared" ca="1" si="14"/>
        <v>0</v>
      </c>
      <c r="I157" s="125"/>
      <c r="J157" s="125">
        <f t="shared" ca="1" si="16"/>
        <v>0</v>
      </c>
      <c r="K157" s="125">
        <f t="shared" si="17"/>
        <v>0</v>
      </c>
      <c r="L157" s="125">
        <f t="shared" ca="1" si="18"/>
        <v>0</v>
      </c>
      <c r="P157">
        <f t="shared" si="20"/>
        <v>150</v>
      </c>
    </row>
    <row r="158" spans="4:16">
      <c r="D158">
        <v>151</v>
      </c>
      <c r="E158" s="6">
        <f t="shared" ca="1" si="19"/>
        <v>48153</v>
      </c>
      <c r="F158" s="7">
        <f t="shared" ca="1" si="15"/>
        <v>1.2488629699476652</v>
      </c>
      <c r="G158" s="125">
        <f ca="1">IF('Simulador - 1º Pilar'!$E$99="Sí",IF('Aportaciones Poliza'!$B$13&lt;'Aportaciones Poliza'!E158,0,F158*$B$8/12),F158*$B$8/12)</f>
        <v>21855.10197408414</v>
      </c>
      <c r="H158" s="125">
        <f t="shared" ca="1" si="14"/>
        <v>0</v>
      </c>
      <c r="I158" s="125"/>
      <c r="J158" s="125">
        <f t="shared" ca="1" si="16"/>
        <v>0</v>
      </c>
      <c r="K158" s="125">
        <f t="shared" si="17"/>
        <v>0</v>
      </c>
      <c r="L158" s="125">
        <f t="shared" ca="1" si="18"/>
        <v>0</v>
      </c>
      <c r="P158">
        <f t="shared" si="20"/>
        <v>151</v>
      </c>
    </row>
    <row r="159" spans="4:16">
      <c r="D159">
        <v>152</v>
      </c>
      <c r="E159" s="6">
        <f t="shared" ca="1" si="19"/>
        <v>48122</v>
      </c>
      <c r="F159" s="7">
        <f t="shared" ca="1" si="15"/>
        <v>1.2488629699476652</v>
      </c>
      <c r="G159" s="125">
        <f ca="1">IF('Simulador - 1º Pilar'!$E$99="Sí",IF('Aportaciones Poliza'!$B$13&lt;'Aportaciones Poliza'!E159,0,F159*$B$8/12),F159*$B$8/12)</f>
        <v>21855.10197408414</v>
      </c>
      <c r="H159" s="125">
        <f t="shared" ca="1" si="14"/>
        <v>0</v>
      </c>
      <c r="I159" s="125"/>
      <c r="J159" s="125">
        <f t="shared" ca="1" si="16"/>
        <v>0</v>
      </c>
      <c r="K159" s="125">
        <f t="shared" si="17"/>
        <v>0</v>
      </c>
      <c r="L159" s="125">
        <f t="shared" ca="1" si="18"/>
        <v>0</v>
      </c>
      <c r="P159">
        <f t="shared" si="20"/>
        <v>152</v>
      </c>
    </row>
    <row r="160" spans="4:16">
      <c r="D160">
        <v>153</v>
      </c>
      <c r="E160" s="6">
        <f t="shared" ca="1" si="19"/>
        <v>48092</v>
      </c>
      <c r="F160" s="7">
        <f t="shared" ca="1" si="15"/>
        <v>1.2488629699476652</v>
      </c>
      <c r="G160" s="125">
        <f ca="1">IF('Simulador - 1º Pilar'!$E$99="Sí",IF('Aportaciones Poliza'!$B$13&lt;'Aportaciones Poliza'!E160,0,F160*$B$8/12),F160*$B$8/12)</f>
        <v>21855.10197408414</v>
      </c>
      <c r="H160" s="125">
        <f t="shared" ca="1" si="14"/>
        <v>0</v>
      </c>
      <c r="I160" s="125"/>
      <c r="J160" s="125">
        <f t="shared" ca="1" si="16"/>
        <v>0</v>
      </c>
      <c r="K160" s="125">
        <f t="shared" si="17"/>
        <v>0</v>
      </c>
      <c r="L160" s="125">
        <f t="shared" ca="1" si="18"/>
        <v>0</v>
      </c>
      <c r="P160">
        <f t="shared" si="20"/>
        <v>153</v>
      </c>
    </row>
    <row r="161" spans="4:16">
      <c r="D161">
        <v>154</v>
      </c>
      <c r="E161" s="6">
        <f t="shared" ca="1" si="19"/>
        <v>48061</v>
      </c>
      <c r="F161" s="7">
        <f t="shared" ca="1" si="15"/>
        <v>1.2488629699476652</v>
      </c>
      <c r="G161" s="125">
        <f ca="1">IF('Simulador - 1º Pilar'!$E$99="Sí",IF('Aportaciones Poliza'!$B$13&lt;'Aportaciones Poliza'!E161,0,F161*$B$8/12),F161*$B$8/12)</f>
        <v>21855.10197408414</v>
      </c>
      <c r="H161" s="125">
        <f t="shared" ca="1" si="14"/>
        <v>0</v>
      </c>
      <c r="I161" s="125"/>
      <c r="J161" s="125">
        <f t="shared" ca="1" si="16"/>
        <v>0</v>
      </c>
      <c r="K161" s="125">
        <f t="shared" si="17"/>
        <v>0</v>
      </c>
      <c r="L161" s="125">
        <f t="shared" ca="1" si="18"/>
        <v>0</v>
      </c>
      <c r="P161">
        <f t="shared" si="20"/>
        <v>154</v>
      </c>
    </row>
    <row r="162" spans="4:16">
      <c r="D162">
        <v>155</v>
      </c>
      <c r="E162" s="6">
        <f t="shared" ca="1" si="19"/>
        <v>48030</v>
      </c>
      <c r="F162" s="7">
        <f t="shared" ca="1" si="15"/>
        <v>1.2488629699476652</v>
      </c>
      <c r="G162" s="125">
        <f ca="1">IF('Simulador - 1º Pilar'!$E$99="Sí",IF('Aportaciones Poliza'!$B$13&lt;'Aportaciones Poliza'!E162,0,F162*$B$8/12),F162*$B$8/12)</f>
        <v>21855.10197408414</v>
      </c>
      <c r="H162" s="125">
        <f t="shared" ca="1" si="14"/>
        <v>0</v>
      </c>
      <c r="I162" s="125"/>
      <c r="J162" s="125">
        <f t="shared" ca="1" si="16"/>
        <v>0</v>
      </c>
      <c r="K162" s="125">
        <f t="shared" si="17"/>
        <v>0</v>
      </c>
      <c r="L162" s="125">
        <f t="shared" ca="1" si="18"/>
        <v>0</v>
      </c>
      <c r="P162">
        <f t="shared" si="20"/>
        <v>155</v>
      </c>
    </row>
    <row r="163" spans="4:16">
      <c r="D163">
        <v>156</v>
      </c>
      <c r="E163" s="6">
        <f t="shared" ca="1" si="19"/>
        <v>48000</v>
      </c>
      <c r="F163" s="7">
        <f t="shared" ca="1" si="15"/>
        <v>1.2488629699476652</v>
      </c>
      <c r="G163" s="125">
        <f ca="1">IF('Simulador - 1º Pilar'!$E$99="Sí",IF('Aportaciones Poliza'!$B$13&lt;'Aportaciones Poliza'!E163,0,F163*$B$8/12),F163*$B$8/12)</f>
        <v>21855.10197408414</v>
      </c>
      <c r="H163" s="125">
        <f t="shared" ca="1" si="14"/>
        <v>0</v>
      </c>
      <c r="I163" s="125"/>
      <c r="J163" s="125">
        <f t="shared" ca="1" si="16"/>
        <v>0</v>
      </c>
      <c r="K163" s="125">
        <f t="shared" si="17"/>
        <v>0</v>
      </c>
      <c r="L163" s="125">
        <f t="shared" ca="1" si="18"/>
        <v>0</v>
      </c>
      <c r="P163">
        <f t="shared" si="20"/>
        <v>156</v>
      </c>
    </row>
    <row r="164" spans="4:16">
      <c r="D164">
        <v>157</v>
      </c>
      <c r="E164" s="6">
        <f t="shared" ca="1" si="19"/>
        <v>47969</v>
      </c>
      <c r="F164" s="7">
        <f t="shared" ca="1" si="15"/>
        <v>1.2488629699476652</v>
      </c>
      <c r="G164" s="125">
        <f ca="1">IF('Simulador - 1º Pilar'!$E$99="Sí",IF('Aportaciones Poliza'!$B$13&lt;'Aportaciones Poliza'!E164,0,F164*$B$8/12),F164*$B$8/12)</f>
        <v>21855.10197408414</v>
      </c>
      <c r="H164" s="125">
        <f t="shared" ca="1" si="14"/>
        <v>0</v>
      </c>
      <c r="I164" s="125"/>
      <c r="J164" s="125">
        <f t="shared" ca="1" si="16"/>
        <v>0</v>
      </c>
      <c r="K164" s="125">
        <f t="shared" si="17"/>
        <v>0</v>
      </c>
      <c r="L164" s="125">
        <f t="shared" ca="1" si="18"/>
        <v>0</v>
      </c>
      <c r="P164">
        <f t="shared" si="20"/>
        <v>157</v>
      </c>
    </row>
    <row r="165" spans="4:16">
      <c r="D165">
        <v>158</v>
      </c>
      <c r="E165" s="6">
        <f t="shared" ca="1" si="19"/>
        <v>47939</v>
      </c>
      <c r="F165" s="7">
        <f t="shared" ca="1" si="15"/>
        <v>1.2488629699476652</v>
      </c>
      <c r="G165" s="125">
        <f ca="1">IF('Simulador - 1º Pilar'!$E$99="Sí",IF('Aportaciones Poliza'!$B$13&lt;'Aportaciones Poliza'!E165,0,F165*$B$8/12),F165*$B$8/12)</f>
        <v>21855.10197408414</v>
      </c>
      <c r="H165" s="125">
        <f t="shared" ca="1" si="14"/>
        <v>0</v>
      </c>
      <c r="I165" s="125"/>
      <c r="J165" s="125">
        <f t="shared" ca="1" si="16"/>
        <v>0</v>
      </c>
      <c r="K165" s="125">
        <f t="shared" si="17"/>
        <v>0</v>
      </c>
      <c r="L165" s="125">
        <f t="shared" ca="1" si="18"/>
        <v>0</v>
      </c>
      <c r="P165">
        <f t="shared" si="20"/>
        <v>158</v>
      </c>
    </row>
    <row r="166" spans="4:16">
      <c r="D166">
        <v>159</v>
      </c>
      <c r="E166" s="6">
        <f t="shared" ca="1" si="19"/>
        <v>47908</v>
      </c>
      <c r="F166" s="7">
        <f t="shared" ca="1" si="15"/>
        <v>1.2488629699476652</v>
      </c>
      <c r="G166" s="125">
        <f ca="1">IF('Simulador - 1º Pilar'!$E$99="Sí",IF('Aportaciones Poliza'!$B$13&lt;'Aportaciones Poliza'!E166,0,F166*$B$8/12),F166*$B$8/12)</f>
        <v>21855.10197408414</v>
      </c>
      <c r="H166" s="125">
        <f t="shared" ca="1" si="14"/>
        <v>0</v>
      </c>
      <c r="I166" s="125"/>
      <c r="J166" s="125">
        <f t="shared" ca="1" si="16"/>
        <v>0</v>
      </c>
      <c r="K166" s="125">
        <f t="shared" si="17"/>
        <v>0</v>
      </c>
      <c r="L166" s="125">
        <f t="shared" ca="1" si="18"/>
        <v>0</v>
      </c>
      <c r="P166">
        <f t="shared" si="20"/>
        <v>159</v>
      </c>
    </row>
    <row r="167" spans="4:16">
      <c r="D167">
        <v>160</v>
      </c>
      <c r="E167" s="6">
        <f t="shared" ca="1" si="19"/>
        <v>47880</v>
      </c>
      <c r="F167" s="7">
        <f t="shared" ca="1" si="15"/>
        <v>1.2488629699476652</v>
      </c>
      <c r="G167" s="125">
        <f ca="1">IF('Simulador - 1º Pilar'!$E$99="Sí",IF('Aportaciones Poliza'!$B$13&lt;'Aportaciones Poliza'!E167,0,F167*$B$8/12),F167*$B$8/12)</f>
        <v>21855.10197408414</v>
      </c>
      <c r="H167" s="125">
        <f t="shared" ca="1" si="14"/>
        <v>0</v>
      </c>
      <c r="I167" s="125"/>
      <c r="J167" s="125">
        <f t="shared" ca="1" si="16"/>
        <v>0</v>
      </c>
      <c r="K167" s="125">
        <f t="shared" si="17"/>
        <v>0</v>
      </c>
      <c r="L167" s="125">
        <f t="shared" ca="1" si="18"/>
        <v>0</v>
      </c>
      <c r="P167">
        <f t="shared" si="20"/>
        <v>160</v>
      </c>
    </row>
    <row r="168" spans="4:16">
      <c r="D168">
        <v>161</v>
      </c>
      <c r="E168" s="6">
        <f t="shared" ca="1" si="19"/>
        <v>47849</v>
      </c>
      <c r="F168" s="7">
        <f t="shared" ca="1" si="15"/>
        <v>1.2488629699476652</v>
      </c>
      <c r="G168" s="125">
        <f ca="1">IF('Simulador - 1º Pilar'!$E$99="Sí",IF('Aportaciones Poliza'!$B$13&lt;'Aportaciones Poliza'!E168,0,F168*$B$8/12),F168*$B$8/12)</f>
        <v>21855.10197408414</v>
      </c>
      <c r="H168" s="125">
        <f t="shared" ca="1" si="14"/>
        <v>0</v>
      </c>
      <c r="I168" s="125"/>
      <c r="J168" s="125">
        <f t="shared" ca="1" si="16"/>
        <v>0</v>
      </c>
      <c r="K168" s="125">
        <f t="shared" si="17"/>
        <v>0</v>
      </c>
      <c r="L168" s="125">
        <f t="shared" ca="1" si="18"/>
        <v>0</v>
      </c>
      <c r="P168">
        <f t="shared" si="20"/>
        <v>161</v>
      </c>
    </row>
    <row r="169" spans="4:16">
      <c r="D169">
        <v>162</v>
      </c>
      <c r="E169" s="6">
        <f t="shared" ca="1" si="19"/>
        <v>47818</v>
      </c>
      <c r="F169" s="7">
        <f t="shared" ca="1" si="15"/>
        <v>1.2184028975099175</v>
      </c>
      <c r="G169" s="125">
        <f ca="1">IF('Simulador - 1º Pilar'!$E$99="Sí",IF('Aportaciones Poliza'!$B$13&lt;'Aportaciones Poliza'!E169,0,F169*$B$8/12),F169*$B$8/12)</f>
        <v>21322.050706423557</v>
      </c>
      <c r="H169" s="125">
        <f t="shared" ca="1" si="14"/>
        <v>0</v>
      </c>
      <c r="I169" s="125"/>
      <c r="J169" s="125">
        <f t="shared" ca="1" si="16"/>
        <v>0</v>
      </c>
      <c r="K169" s="125">
        <f t="shared" si="17"/>
        <v>0</v>
      </c>
      <c r="L169" s="125">
        <f t="shared" ca="1" si="18"/>
        <v>0</v>
      </c>
      <c r="P169">
        <f t="shared" si="20"/>
        <v>162</v>
      </c>
    </row>
    <row r="170" spans="4:16">
      <c r="D170">
        <v>163</v>
      </c>
      <c r="E170" s="6">
        <f t="shared" ca="1" si="19"/>
        <v>47788</v>
      </c>
      <c r="F170" s="7">
        <f t="shared" ca="1" si="15"/>
        <v>1.2184028975099175</v>
      </c>
      <c r="G170" s="125">
        <f ca="1">IF('Simulador - 1º Pilar'!$E$99="Sí",IF('Aportaciones Poliza'!$B$13&lt;'Aportaciones Poliza'!E170,0,F170*$B$8/12),F170*$B$8/12)</f>
        <v>21322.050706423557</v>
      </c>
      <c r="H170" s="125">
        <f t="shared" ca="1" si="14"/>
        <v>0</v>
      </c>
      <c r="I170" s="125"/>
      <c r="J170" s="125">
        <f t="shared" ca="1" si="16"/>
        <v>0</v>
      </c>
      <c r="K170" s="125">
        <f t="shared" si="17"/>
        <v>0</v>
      </c>
      <c r="L170" s="125">
        <f t="shared" ca="1" si="18"/>
        <v>0</v>
      </c>
      <c r="P170">
        <f t="shared" si="20"/>
        <v>163</v>
      </c>
    </row>
    <row r="171" spans="4:16">
      <c r="D171">
        <v>164</v>
      </c>
      <c r="E171" s="6">
        <f t="shared" ca="1" si="19"/>
        <v>47757</v>
      </c>
      <c r="F171" s="7">
        <f t="shared" ca="1" si="15"/>
        <v>1.2184028975099175</v>
      </c>
      <c r="G171" s="125">
        <f ca="1">IF('Simulador - 1º Pilar'!$E$99="Sí",IF('Aportaciones Poliza'!$B$13&lt;'Aportaciones Poliza'!E171,0,F171*$B$8/12),F171*$B$8/12)</f>
        <v>21322.050706423557</v>
      </c>
      <c r="H171" s="125">
        <f t="shared" ca="1" si="14"/>
        <v>0</v>
      </c>
      <c r="I171" s="125"/>
      <c r="J171" s="125">
        <f t="shared" ca="1" si="16"/>
        <v>0</v>
      </c>
      <c r="K171" s="125">
        <f t="shared" si="17"/>
        <v>0</v>
      </c>
      <c r="L171" s="125">
        <f t="shared" ca="1" si="18"/>
        <v>0</v>
      </c>
      <c r="P171">
        <f t="shared" si="20"/>
        <v>164</v>
      </c>
    </row>
    <row r="172" spans="4:16">
      <c r="D172">
        <v>165</v>
      </c>
      <c r="E172" s="6">
        <f t="shared" ca="1" si="19"/>
        <v>47727</v>
      </c>
      <c r="F172" s="7">
        <f t="shared" ca="1" si="15"/>
        <v>1.2184028975099175</v>
      </c>
      <c r="G172" s="125">
        <f ca="1">IF('Simulador - 1º Pilar'!$E$99="Sí",IF('Aportaciones Poliza'!$B$13&lt;'Aportaciones Poliza'!E172,0,F172*$B$8/12),F172*$B$8/12)</f>
        <v>21322.050706423557</v>
      </c>
      <c r="H172" s="125">
        <f t="shared" ca="1" si="14"/>
        <v>0</v>
      </c>
      <c r="I172" s="125"/>
      <c r="J172" s="125">
        <f t="shared" ca="1" si="16"/>
        <v>0</v>
      </c>
      <c r="K172" s="125">
        <f t="shared" si="17"/>
        <v>0</v>
      </c>
      <c r="L172" s="125">
        <f t="shared" ca="1" si="18"/>
        <v>0</v>
      </c>
      <c r="P172">
        <f t="shared" si="20"/>
        <v>165</v>
      </c>
    </row>
    <row r="173" spans="4:16">
      <c r="D173">
        <v>166</v>
      </c>
      <c r="E173" s="6">
        <f t="shared" ca="1" si="19"/>
        <v>47696</v>
      </c>
      <c r="F173" s="7">
        <f t="shared" ca="1" si="15"/>
        <v>1.2184028975099175</v>
      </c>
      <c r="G173" s="125">
        <f ca="1">IF('Simulador - 1º Pilar'!$E$99="Sí",IF('Aportaciones Poliza'!$B$13&lt;'Aportaciones Poliza'!E173,0,F173*$B$8/12),F173*$B$8/12)</f>
        <v>21322.050706423557</v>
      </c>
      <c r="H173" s="125">
        <f t="shared" ca="1" si="14"/>
        <v>0</v>
      </c>
      <c r="I173" s="125"/>
      <c r="J173" s="125">
        <f t="shared" ca="1" si="16"/>
        <v>0</v>
      </c>
      <c r="K173" s="125">
        <f t="shared" si="17"/>
        <v>0</v>
      </c>
      <c r="L173" s="125">
        <f t="shared" ca="1" si="18"/>
        <v>0</v>
      </c>
      <c r="P173">
        <f t="shared" si="20"/>
        <v>166</v>
      </c>
    </row>
    <row r="174" spans="4:16">
      <c r="D174">
        <v>167</v>
      </c>
      <c r="E174" s="6">
        <f t="shared" ca="1" si="19"/>
        <v>47665</v>
      </c>
      <c r="F174" s="7">
        <f t="shared" ca="1" si="15"/>
        <v>1.2184028975099175</v>
      </c>
      <c r="G174" s="125">
        <f ca="1">IF('Simulador - 1º Pilar'!$E$99="Sí",IF('Aportaciones Poliza'!$B$13&lt;'Aportaciones Poliza'!E174,0,F174*$B$8/12),F174*$B$8/12)</f>
        <v>21322.050706423557</v>
      </c>
      <c r="H174" s="125">
        <f t="shared" ca="1" si="14"/>
        <v>0</v>
      </c>
      <c r="I174" s="125"/>
      <c r="J174" s="125">
        <f t="shared" ca="1" si="16"/>
        <v>0</v>
      </c>
      <c r="K174" s="125">
        <f t="shared" si="17"/>
        <v>0</v>
      </c>
      <c r="L174" s="125">
        <f t="shared" ca="1" si="18"/>
        <v>0</v>
      </c>
      <c r="P174">
        <f t="shared" si="20"/>
        <v>167</v>
      </c>
    </row>
    <row r="175" spans="4:16">
      <c r="D175">
        <v>168</v>
      </c>
      <c r="E175" s="6">
        <f t="shared" ca="1" si="19"/>
        <v>47635</v>
      </c>
      <c r="F175" s="7">
        <f t="shared" ca="1" si="15"/>
        <v>1.2184028975099175</v>
      </c>
      <c r="G175" s="125">
        <f ca="1">IF('Simulador - 1º Pilar'!$E$99="Sí",IF('Aportaciones Poliza'!$B$13&lt;'Aportaciones Poliza'!E175,0,F175*$B$8/12),F175*$B$8/12)</f>
        <v>21322.050706423557</v>
      </c>
      <c r="H175" s="125">
        <f t="shared" ca="1" si="14"/>
        <v>0</v>
      </c>
      <c r="I175" s="125"/>
      <c r="J175" s="125">
        <f t="shared" ca="1" si="16"/>
        <v>0</v>
      </c>
      <c r="K175" s="125">
        <f t="shared" si="17"/>
        <v>0</v>
      </c>
      <c r="L175" s="125">
        <f t="shared" ca="1" si="18"/>
        <v>0</v>
      </c>
      <c r="P175">
        <f t="shared" si="20"/>
        <v>168</v>
      </c>
    </row>
    <row r="176" spans="4:16">
      <c r="D176">
        <v>169</v>
      </c>
      <c r="E176" s="6">
        <f t="shared" ca="1" si="19"/>
        <v>47604</v>
      </c>
      <c r="F176" s="7">
        <f t="shared" ca="1" si="15"/>
        <v>1.2184028975099175</v>
      </c>
      <c r="G176" s="125">
        <f ca="1">IF('Simulador - 1º Pilar'!$E$99="Sí",IF('Aportaciones Poliza'!$B$13&lt;'Aportaciones Poliza'!E176,0,F176*$B$8/12),F176*$B$8/12)</f>
        <v>21322.050706423557</v>
      </c>
      <c r="H176" s="125">
        <f t="shared" ca="1" si="14"/>
        <v>0</v>
      </c>
      <c r="I176" s="125"/>
      <c r="J176" s="125">
        <f t="shared" ca="1" si="16"/>
        <v>0</v>
      </c>
      <c r="K176" s="125">
        <f t="shared" si="17"/>
        <v>0</v>
      </c>
      <c r="L176" s="125">
        <f t="shared" ca="1" si="18"/>
        <v>0</v>
      </c>
      <c r="P176">
        <f t="shared" si="20"/>
        <v>169</v>
      </c>
    </row>
    <row r="177" spans="4:16">
      <c r="D177">
        <v>170</v>
      </c>
      <c r="E177" s="6">
        <f t="shared" ca="1" si="19"/>
        <v>47574</v>
      </c>
      <c r="F177" s="7">
        <f t="shared" ca="1" si="15"/>
        <v>1.2184028975099175</v>
      </c>
      <c r="G177" s="125">
        <f ca="1">IF('Simulador - 1º Pilar'!$E$99="Sí",IF('Aportaciones Poliza'!$B$13&lt;'Aportaciones Poliza'!E177,0,F177*$B$8/12),F177*$B$8/12)</f>
        <v>21322.050706423557</v>
      </c>
      <c r="H177" s="125">
        <f t="shared" ca="1" si="14"/>
        <v>0</v>
      </c>
      <c r="I177" s="125"/>
      <c r="J177" s="125">
        <f t="shared" ca="1" si="16"/>
        <v>0</v>
      </c>
      <c r="K177" s="125">
        <f t="shared" si="17"/>
        <v>0</v>
      </c>
      <c r="L177" s="125">
        <f t="shared" ca="1" si="18"/>
        <v>0</v>
      </c>
      <c r="P177">
        <f t="shared" si="20"/>
        <v>170</v>
      </c>
    </row>
    <row r="178" spans="4:16">
      <c r="D178">
        <v>171</v>
      </c>
      <c r="E178" s="6">
        <f t="shared" ca="1" si="19"/>
        <v>47543</v>
      </c>
      <c r="F178" s="7">
        <f t="shared" ca="1" si="15"/>
        <v>1.2184028975099175</v>
      </c>
      <c r="G178" s="125">
        <f ca="1">IF('Simulador - 1º Pilar'!$E$99="Sí",IF('Aportaciones Poliza'!$B$13&lt;'Aportaciones Poliza'!E178,0,F178*$B$8/12),F178*$B$8/12)</f>
        <v>21322.050706423557</v>
      </c>
      <c r="H178" s="125">
        <f t="shared" ca="1" si="14"/>
        <v>0</v>
      </c>
      <c r="I178" s="125"/>
      <c r="J178" s="125">
        <f t="shared" ca="1" si="16"/>
        <v>0</v>
      </c>
      <c r="K178" s="125">
        <f t="shared" si="17"/>
        <v>0</v>
      </c>
      <c r="L178" s="125">
        <f t="shared" ca="1" si="18"/>
        <v>0</v>
      </c>
      <c r="P178">
        <f t="shared" si="20"/>
        <v>171</v>
      </c>
    </row>
    <row r="179" spans="4:16">
      <c r="D179">
        <v>172</v>
      </c>
      <c r="E179" s="6">
        <f t="shared" ca="1" si="19"/>
        <v>47515</v>
      </c>
      <c r="F179" s="7">
        <f t="shared" ca="1" si="15"/>
        <v>1.2184028975099175</v>
      </c>
      <c r="G179" s="125">
        <f ca="1">IF('Simulador - 1º Pilar'!$E$99="Sí",IF('Aportaciones Poliza'!$B$13&lt;'Aportaciones Poliza'!E179,0,F179*$B$8/12),F179*$B$8/12)</f>
        <v>21322.050706423557</v>
      </c>
      <c r="H179" s="125">
        <f t="shared" ca="1" si="14"/>
        <v>0</v>
      </c>
      <c r="I179" s="125"/>
      <c r="J179" s="125">
        <f t="shared" ca="1" si="16"/>
        <v>0</v>
      </c>
      <c r="K179" s="125">
        <f t="shared" si="17"/>
        <v>0</v>
      </c>
      <c r="L179" s="125">
        <f t="shared" ca="1" si="18"/>
        <v>0</v>
      </c>
      <c r="P179">
        <f t="shared" si="20"/>
        <v>172</v>
      </c>
    </row>
    <row r="180" spans="4:16">
      <c r="D180">
        <v>173</v>
      </c>
      <c r="E180" s="6">
        <f t="shared" ca="1" si="19"/>
        <v>47484</v>
      </c>
      <c r="F180" s="7">
        <f t="shared" ca="1" si="15"/>
        <v>1.2184028975099175</v>
      </c>
      <c r="G180" s="125">
        <f ca="1">IF('Simulador - 1º Pilar'!$E$99="Sí",IF('Aportaciones Poliza'!$B$13&lt;'Aportaciones Poliza'!E180,0,F180*$B$8/12),F180*$B$8/12)</f>
        <v>21322.050706423557</v>
      </c>
      <c r="H180" s="125">
        <f t="shared" ca="1" si="14"/>
        <v>0</v>
      </c>
      <c r="I180" s="125"/>
      <c r="J180" s="125">
        <f t="shared" ca="1" si="16"/>
        <v>0</v>
      </c>
      <c r="K180" s="125">
        <f t="shared" si="17"/>
        <v>0</v>
      </c>
      <c r="L180" s="125">
        <f t="shared" ca="1" si="18"/>
        <v>0</v>
      </c>
      <c r="P180">
        <f t="shared" si="20"/>
        <v>173</v>
      </c>
    </row>
    <row r="181" spans="4:16">
      <c r="D181">
        <v>174</v>
      </c>
      <c r="E181" s="6">
        <f t="shared" ca="1" si="19"/>
        <v>47453</v>
      </c>
      <c r="F181" s="7">
        <f t="shared" ca="1" si="15"/>
        <v>1.1886857536682123</v>
      </c>
      <c r="G181" s="125">
        <f ca="1">IF('Simulador - 1º Pilar'!$E$99="Sí",IF('Aportaciones Poliza'!$B$13&lt;'Aportaciones Poliza'!E181,0,F181*$B$8/12),F181*$B$8/12)</f>
        <v>20802.000689193716</v>
      </c>
      <c r="H181" s="125">
        <f t="shared" ca="1" si="14"/>
        <v>0</v>
      </c>
      <c r="I181" s="125"/>
      <c r="J181" s="125">
        <f t="shared" ca="1" si="16"/>
        <v>0</v>
      </c>
      <c r="K181" s="125">
        <f t="shared" si="17"/>
        <v>0</v>
      </c>
      <c r="L181" s="125">
        <f t="shared" ca="1" si="18"/>
        <v>0</v>
      </c>
      <c r="P181">
        <f t="shared" si="20"/>
        <v>174</v>
      </c>
    </row>
    <row r="182" spans="4:16">
      <c r="D182">
        <v>175</v>
      </c>
      <c r="E182" s="6">
        <f t="shared" ca="1" si="19"/>
        <v>47423</v>
      </c>
      <c r="F182" s="7">
        <f t="shared" ca="1" si="15"/>
        <v>1.1886857536682123</v>
      </c>
      <c r="G182" s="125">
        <f ca="1">IF('Simulador - 1º Pilar'!$E$99="Sí",IF('Aportaciones Poliza'!$B$13&lt;'Aportaciones Poliza'!E182,0,F182*$B$8/12),F182*$B$8/12)</f>
        <v>20802.000689193716</v>
      </c>
      <c r="H182" s="125">
        <f t="shared" ca="1" si="14"/>
        <v>0</v>
      </c>
      <c r="I182" s="125"/>
      <c r="J182" s="125">
        <f t="shared" ca="1" si="16"/>
        <v>0</v>
      </c>
      <c r="K182" s="125">
        <f t="shared" si="17"/>
        <v>0</v>
      </c>
      <c r="L182" s="125">
        <f t="shared" ca="1" si="18"/>
        <v>0</v>
      </c>
      <c r="P182">
        <f t="shared" si="20"/>
        <v>175</v>
      </c>
    </row>
    <row r="183" spans="4:16">
      <c r="D183">
        <v>176</v>
      </c>
      <c r="E183" s="6">
        <f t="shared" ca="1" si="19"/>
        <v>47392</v>
      </c>
      <c r="F183" s="7">
        <f t="shared" ca="1" si="15"/>
        <v>1.1886857536682123</v>
      </c>
      <c r="G183" s="125">
        <f ca="1">IF('Simulador - 1º Pilar'!$E$99="Sí",IF('Aportaciones Poliza'!$B$13&lt;'Aportaciones Poliza'!E183,0,F183*$B$8/12),F183*$B$8/12)</f>
        <v>20802.000689193716</v>
      </c>
      <c r="H183" s="125">
        <f t="shared" ca="1" si="14"/>
        <v>0</v>
      </c>
      <c r="I183" s="125"/>
      <c r="J183" s="125">
        <f t="shared" ca="1" si="16"/>
        <v>0</v>
      </c>
      <c r="K183" s="125">
        <f t="shared" si="17"/>
        <v>0</v>
      </c>
      <c r="L183" s="125">
        <f t="shared" ca="1" si="18"/>
        <v>0</v>
      </c>
      <c r="P183">
        <f t="shared" si="20"/>
        <v>176</v>
      </c>
    </row>
    <row r="184" spans="4:16">
      <c r="D184">
        <v>177</v>
      </c>
      <c r="E184" s="6">
        <f t="shared" ca="1" si="19"/>
        <v>47362</v>
      </c>
      <c r="F184" s="7">
        <f t="shared" ca="1" si="15"/>
        <v>1.1886857536682123</v>
      </c>
      <c r="G184" s="125">
        <f ca="1">IF('Simulador - 1º Pilar'!$E$99="Sí",IF('Aportaciones Poliza'!$B$13&lt;'Aportaciones Poliza'!E184,0,F184*$B$8/12),F184*$B$8/12)</f>
        <v>20802.000689193716</v>
      </c>
      <c r="H184" s="125">
        <f t="shared" ca="1" si="14"/>
        <v>0</v>
      </c>
      <c r="I184" s="125"/>
      <c r="J184" s="125">
        <f t="shared" ca="1" si="16"/>
        <v>0</v>
      </c>
      <c r="K184" s="125">
        <f t="shared" si="17"/>
        <v>0</v>
      </c>
      <c r="L184" s="125">
        <f t="shared" ca="1" si="18"/>
        <v>0</v>
      </c>
      <c r="P184">
        <f t="shared" si="20"/>
        <v>177</v>
      </c>
    </row>
    <row r="185" spans="4:16">
      <c r="D185">
        <v>178</v>
      </c>
      <c r="E185" s="6">
        <f t="shared" ca="1" si="19"/>
        <v>47331</v>
      </c>
      <c r="F185" s="7">
        <f t="shared" ca="1" si="15"/>
        <v>1.1886857536682123</v>
      </c>
      <c r="G185" s="125">
        <f ca="1">IF('Simulador - 1º Pilar'!$E$99="Sí",IF('Aportaciones Poliza'!$B$13&lt;'Aportaciones Poliza'!E185,0,F185*$B$8/12),F185*$B$8/12)</f>
        <v>20802.000689193716</v>
      </c>
      <c r="H185" s="125">
        <f t="shared" ca="1" si="14"/>
        <v>0</v>
      </c>
      <c r="I185" s="125"/>
      <c r="J185" s="125">
        <f t="shared" ca="1" si="16"/>
        <v>0</v>
      </c>
      <c r="K185" s="125">
        <f t="shared" si="17"/>
        <v>0</v>
      </c>
      <c r="L185" s="125">
        <f t="shared" ca="1" si="18"/>
        <v>0</v>
      </c>
      <c r="P185">
        <f t="shared" si="20"/>
        <v>178</v>
      </c>
    </row>
    <row r="186" spans="4:16">
      <c r="D186">
        <v>179</v>
      </c>
      <c r="E186" s="6">
        <f t="shared" ca="1" si="19"/>
        <v>47300</v>
      </c>
      <c r="F186" s="7">
        <f t="shared" ca="1" si="15"/>
        <v>1.1886857536682123</v>
      </c>
      <c r="G186" s="125">
        <f ca="1">IF('Simulador - 1º Pilar'!$E$99="Sí",IF('Aportaciones Poliza'!$B$13&lt;'Aportaciones Poliza'!E186,0,F186*$B$8/12),F186*$B$8/12)</f>
        <v>20802.000689193716</v>
      </c>
      <c r="H186" s="125">
        <f t="shared" ca="1" si="14"/>
        <v>0</v>
      </c>
      <c r="I186" s="125"/>
      <c r="J186" s="125">
        <f t="shared" ca="1" si="16"/>
        <v>0</v>
      </c>
      <c r="K186" s="125">
        <f t="shared" si="17"/>
        <v>0</v>
      </c>
      <c r="L186" s="125">
        <f t="shared" ca="1" si="18"/>
        <v>0</v>
      </c>
      <c r="P186">
        <f t="shared" si="20"/>
        <v>179</v>
      </c>
    </row>
    <row r="187" spans="4:16">
      <c r="D187">
        <v>180</v>
      </c>
      <c r="E187" s="6">
        <f t="shared" ca="1" si="19"/>
        <v>47270</v>
      </c>
      <c r="F187" s="7">
        <f t="shared" ca="1" si="15"/>
        <v>1.1886857536682123</v>
      </c>
      <c r="G187" s="125">
        <f ca="1">IF('Simulador - 1º Pilar'!$E$99="Sí",IF('Aportaciones Poliza'!$B$13&lt;'Aportaciones Poliza'!E187,0,F187*$B$8/12),F187*$B$8/12)</f>
        <v>20802.000689193716</v>
      </c>
      <c r="H187" s="125">
        <f t="shared" ca="1" si="14"/>
        <v>0</v>
      </c>
      <c r="I187" s="125"/>
      <c r="J187" s="125">
        <f t="shared" ca="1" si="16"/>
        <v>0</v>
      </c>
      <c r="K187" s="125">
        <f t="shared" si="17"/>
        <v>0</v>
      </c>
      <c r="L187" s="125">
        <f t="shared" ca="1" si="18"/>
        <v>0</v>
      </c>
      <c r="P187">
        <f t="shared" si="20"/>
        <v>180</v>
      </c>
    </row>
    <row r="188" spans="4:16">
      <c r="D188">
        <v>181</v>
      </c>
      <c r="E188" s="6">
        <f t="shared" ca="1" si="19"/>
        <v>47239</v>
      </c>
      <c r="F188" s="7">
        <f t="shared" ca="1" si="15"/>
        <v>1.1886857536682123</v>
      </c>
      <c r="G188" s="125">
        <f ca="1">IF('Simulador - 1º Pilar'!$E$99="Sí",IF('Aportaciones Poliza'!$B$13&lt;'Aportaciones Poliza'!E188,0,F188*$B$8/12),F188*$B$8/12)</f>
        <v>20802.000689193716</v>
      </c>
      <c r="H188" s="125">
        <f t="shared" ca="1" si="14"/>
        <v>0</v>
      </c>
      <c r="I188" s="125"/>
      <c r="J188" s="125">
        <f t="shared" ca="1" si="16"/>
        <v>0</v>
      </c>
      <c r="K188" s="125">
        <f t="shared" si="17"/>
        <v>0</v>
      </c>
      <c r="L188" s="125">
        <f t="shared" ca="1" si="18"/>
        <v>0</v>
      </c>
      <c r="P188">
        <f t="shared" si="20"/>
        <v>181</v>
      </c>
    </row>
    <row r="189" spans="4:16">
      <c r="D189">
        <v>182</v>
      </c>
      <c r="E189" s="6">
        <f t="shared" ca="1" si="19"/>
        <v>47209</v>
      </c>
      <c r="F189" s="7">
        <f t="shared" ca="1" si="15"/>
        <v>1.1886857536682123</v>
      </c>
      <c r="G189" s="125">
        <f ca="1">IF('Simulador - 1º Pilar'!$E$99="Sí",IF('Aportaciones Poliza'!$B$13&lt;'Aportaciones Poliza'!E189,0,F189*$B$8/12),F189*$B$8/12)</f>
        <v>20802.000689193716</v>
      </c>
      <c r="H189" s="125">
        <f t="shared" ca="1" si="14"/>
        <v>0</v>
      </c>
      <c r="I189" s="125"/>
      <c r="J189" s="125">
        <f t="shared" ca="1" si="16"/>
        <v>0</v>
      </c>
      <c r="K189" s="125">
        <f t="shared" si="17"/>
        <v>0</v>
      </c>
      <c r="L189" s="125">
        <f t="shared" ca="1" si="18"/>
        <v>0</v>
      </c>
      <c r="P189">
        <f t="shared" si="20"/>
        <v>182</v>
      </c>
    </row>
    <row r="190" spans="4:16">
      <c r="D190">
        <v>183</v>
      </c>
      <c r="E190" s="6">
        <f t="shared" ca="1" si="19"/>
        <v>47178</v>
      </c>
      <c r="F190" s="7">
        <f t="shared" ca="1" si="15"/>
        <v>1.1886857536682123</v>
      </c>
      <c r="G190" s="125">
        <f ca="1">IF('Simulador - 1º Pilar'!$E$99="Sí",IF('Aportaciones Poliza'!$B$13&lt;'Aportaciones Poliza'!E190,0,F190*$B$8/12),F190*$B$8/12)</f>
        <v>20802.000689193716</v>
      </c>
      <c r="H190" s="125">
        <f t="shared" ca="1" si="14"/>
        <v>0</v>
      </c>
      <c r="I190" s="125"/>
      <c r="J190" s="125">
        <f t="shared" ca="1" si="16"/>
        <v>0</v>
      </c>
      <c r="K190" s="125">
        <f t="shared" si="17"/>
        <v>0</v>
      </c>
      <c r="L190" s="125">
        <f t="shared" ca="1" si="18"/>
        <v>0</v>
      </c>
      <c r="P190">
        <f t="shared" si="20"/>
        <v>183</v>
      </c>
    </row>
    <row r="191" spans="4:16">
      <c r="D191">
        <v>184</v>
      </c>
      <c r="E191" s="6">
        <f t="shared" ca="1" si="19"/>
        <v>47150</v>
      </c>
      <c r="F191" s="7">
        <f t="shared" ca="1" si="15"/>
        <v>1.1886857536682123</v>
      </c>
      <c r="G191" s="125">
        <f ca="1">IF('Simulador - 1º Pilar'!$E$99="Sí",IF('Aportaciones Poliza'!$B$13&lt;'Aportaciones Poliza'!E191,0,F191*$B$8/12),F191*$B$8/12)</f>
        <v>20802.000689193716</v>
      </c>
      <c r="H191" s="125">
        <f t="shared" ca="1" si="14"/>
        <v>0</v>
      </c>
      <c r="I191" s="125"/>
      <c r="J191" s="125">
        <f t="shared" ca="1" si="16"/>
        <v>0</v>
      </c>
      <c r="K191" s="125">
        <f t="shared" si="17"/>
        <v>0</v>
      </c>
      <c r="L191" s="125">
        <f t="shared" ca="1" si="18"/>
        <v>0</v>
      </c>
      <c r="P191">
        <f t="shared" si="20"/>
        <v>184</v>
      </c>
    </row>
    <row r="192" spans="4:16">
      <c r="D192">
        <v>185</v>
      </c>
      <c r="E192" s="6">
        <f t="shared" ca="1" si="19"/>
        <v>47119</v>
      </c>
      <c r="F192" s="7">
        <f t="shared" ca="1" si="15"/>
        <v>1.1886857536682123</v>
      </c>
      <c r="G192" s="125">
        <f ca="1">IF('Simulador - 1º Pilar'!$E$99="Sí",IF('Aportaciones Poliza'!$B$13&lt;'Aportaciones Poliza'!E192,0,F192*$B$8/12),F192*$B$8/12)</f>
        <v>20802.000689193716</v>
      </c>
      <c r="H192" s="125">
        <f t="shared" ca="1" si="14"/>
        <v>0</v>
      </c>
      <c r="I192" s="125"/>
      <c r="J192" s="125">
        <f t="shared" ca="1" si="16"/>
        <v>0</v>
      </c>
      <c r="K192" s="125">
        <f t="shared" si="17"/>
        <v>0</v>
      </c>
      <c r="L192" s="125">
        <f t="shared" ca="1" si="18"/>
        <v>0</v>
      </c>
      <c r="P192">
        <f t="shared" si="20"/>
        <v>185</v>
      </c>
    </row>
    <row r="193" spans="4:16">
      <c r="D193">
        <v>186</v>
      </c>
      <c r="E193" s="6">
        <f t="shared" ca="1" si="19"/>
        <v>47088</v>
      </c>
      <c r="F193" s="7">
        <f t="shared" ca="1" si="15"/>
        <v>1.1596934182128902</v>
      </c>
      <c r="G193" s="125">
        <f ca="1">IF('Simulador - 1º Pilar'!$E$99="Sí",IF('Aportaciones Poliza'!$B$13&lt;'Aportaciones Poliza'!E193,0,F193*$B$8/12),F193*$B$8/12)</f>
        <v>20294.634818725579</v>
      </c>
      <c r="H193" s="125">
        <f t="shared" ca="1" si="14"/>
        <v>0</v>
      </c>
      <c r="I193" s="125"/>
      <c r="J193" s="125">
        <f t="shared" ca="1" si="16"/>
        <v>0</v>
      </c>
      <c r="K193" s="125">
        <f t="shared" si="17"/>
        <v>0</v>
      </c>
      <c r="L193" s="125">
        <f t="shared" ca="1" si="18"/>
        <v>0</v>
      </c>
      <c r="P193">
        <f t="shared" si="20"/>
        <v>186</v>
      </c>
    </row>
    <row r="194" spans="4:16">
      <c r="D194">
        <v>187</v>
      </c>
      <c r="E194" s="6">
        <f t="shared" ca="1" si="19"/>
        <v>47058</v>
      </c>
      <c r="F194" s="7">
        <f t="shared" ca="1" si="15"/>
        <v>1.1596934182128902</v>
      </c>
      <c r="G194" s="125">
        <f ca="1">IF('Simulador - 1º Pilar'!$E$99="Sí",IF('Aportaciones Poliza'!$B$13&lt;'Aportaciones Poliza'!E194,0,F194*$B$8/12),F194*$B$8/12)</f>
        <v>20294.634818725579</v>
      </c>
      <c r="H194" s="125">
        <f t="shared" ca="1" si="14"/>
        <v>0</v>
      </c>
      <c r="I194" s="125"/>
      <c r="J194" s="125">
        <f t="shared" ca="1" si="16"/>
        <v>0</v>
      </c>
      <c r="K194" s="125">
        <f t="shared" si="17"/>
        <v>0</v>
      </c>
      <c r="L194" s="125">
        <f t="shared" ca="1" si="18"/>
        <v>0</v>
      </c>
      <c r="P194">
        <f t="shared" si="20"/>
        <v>187</v>
      </c>
    </row>
    <row r="195" spans="4:16">
      <c r="D195">
        <v>188</v>
      </c>
      <c r="E195" s="6">
        <f t="shared" ca="1" si="19"/>
        <v>47027</v>
      </c>
      <c r="F195" s="7">
        <f t="shared" ca="1" si="15"/>
        <v>1.1596934182128902</v>
      </c>
      <c r="G195" s="125">
        <f ca="1">IF('Simulador - 1º Pilar'!$E$99="Sí",IF('Aportaciones Poliza'!$B$13&lt;'Aportaciones Poliza'!E195,0,F195*$B$8/12),F195*$B$8/12)</f>
        <v>20294.634818725579</v>
      </c>
      <c r="H195" s="125">
        <f t="shared" ca="1" si="14"/>
        <v>0</v>
      </c>
      <c r="I195" s="125"/>
      <c r="J195" s="125">
        <f t="shared" ca="1" si="16"/>
        <v>0</v>
      </c>
      <c r="K195" s="125">
        <f t="shared" si="17"/>
        <v>0</v>
      </c>
      <c r="L195" s="125">
        <f t="shared" ca="1" si="18"/>
        <v>0</v>
      </c>
      <c r="P195">
        <f t="shared" si="20"/>
        <v>188</v>
      </c>
    </row>
    <row r="196" spans="4:16">
      <c r="D196">
        <v>189</v>
      </c>
      <c r="E196" s="6">
        <f t="shared" ca="1" si="19"/>
        <v>46997</v>
      </c>
      <c r="F196" s="7">
        <f t="shared" ca="1" si="15"/>
        <v>1.1596934182128902</v>
      </c>
      <c r="G196" s="125">
        <f ca="1">IF('Simulador - 1º Pilar'!$E$99="Sí",IF('Aportaciones Poliza'!$B$13&lt;'Aportaciones Poliza'!E196,0,F196*$B$8/12),F196*$B$8/12)</f>
        <v>20294.634818725579</v>
      </c>
      <c r="H196" s="125">
        <f t="shared" ca="1" si="14"/>
        <v>0</v>
      </c>
      <c r="I196" s="125"/>
      <c r="J196" s="125">
        <f t="shared" ca="1" si="16"/>
        <v>0</v>
      </c>
      <c r="K196" s="125">
        <f t="shared" si="17"/>
        <v>0</v>
      </c>
      <c r="L196" s="125">
        <f t="shared" ca="1" si="18"/>
        <v>0</v>
      </c>
      <c r="P196">
        <f t="shared" si="20"/>
        <v>189</v>
      </c>
    </row>
    <row r="197" spans="4:16">
      <c r="D197">
        <v>190</v>
      </c>
      <c r="E197" s="6">
        <f t="shared" ca="1" si="19"/>
        <v>46966</v>
      </c>
      <c r="F197" s="7">
        <f t="shared" ca="1" si="15"/>
        <v>1.1596934182128902</v>
      </c>
      <c r="G197" s="125">
        <f ca="1">IF('Simulador - 1º Pilar'!$E$99="Sí",IF('Aportaciones Poliza'!$B$13&lt;'Aportaciones Poliza'!E197,0,F197*$B$8/12),F197*$B$8/12)</f>
        <v>20294.634818725579</v>
      </c>
      <c r="H197" s="125">
        <f t="shared" ca="1" si="14"/>
        <v>0</v>
      </c>
      <c r="I197" s="125"/>
      <c r="J197" s="125">
        <f t="shared" ca="1" si="16"/>
        <v>0</v>
      </c>
      <c r="K197" s="125">
        <f t="shared" si="17"/>
        <v>0</v>
      </c>
      <c r="L197" s="125">
        <f t="shared" ca="1" si="18"/>
        <v>0</v>
      </c>
      <c r="P197">
        <f t="shared" si="20"/>
        <v>190</v>
      </c>
    </row>
    <row r="198" spans="4:16">
      <c r="D198">
        <v>191</v>
      </c>
      <c r="E198" s="6">
        <f t="shared" ca="1" si="19"/>
        <v>46935</v>
      </c>
      <c r="F198" s="7">
        <f t="shared" ca="1" si="15"/>
        <v>1.1596934182128902</v>
      </c>
      <c r="G198" s="125">
        <f ca="1">IF('Simulador - 1º Pilar'!$E$99="Sí",IF('Aportaciones Poliza'!$B$13&lt;'Aportaciones Poliza'!E198,0,F198*$B$8/12),F198*$B$8/12)</f>
        <v>20294.634818725579</v>
      </c>
      <c r="H198" s="125">
        <f t="shared" ca="1" si="14"/>
        <v>0</v>
      </c>
      <c r="I198" s="125"/>
      <c r="J198" s="125">
        <f t="shared" ca="1" si="16"/>
        <v>0</v>
      </c>
      <c r="K198" s="125">
        <f t="shared" si="17"/>
        <v>0</v>
      </c>
      <c r="L198" s="125">
        <f t="shared" ca="1" si="18"/>
        <v>0</v>
      </c>
      <c r="P198">
        <f t="shared" si="20"/>
        <v>191</v>
      </c>
    </row>
    <row r="199" spans="4:16">
      <c r="D199">
        <v>192</v>
      </c>
      <c r="E199" s="6">
        <f t="shared" ca="1" si="19"/>
        <v>46905</v>
      </c>
      <c r="F199" s="7">
        <f t="shared" ca="1" si="15"/>
        <v>1.1596934182128902</v>
      </c>
      <c r="G199" s="125">
        <f ca="1">IF('Simulador - 1º Pilar'!$E$99="Sí",IF('Aportaciones Poliza'!$B$13&lt;'Aportaciones Poliza'!E199,0,F199*$B$8/12),F199*$B$8/12)</f>
        <v>20294.634818725579</v>
      </c>
      <c r="H199" s="125">
        <f t="shared" ref="H199:H262" ca="1" si="21">$H$5*G199</f>
        <v>0</v>
      </c>
      <c r="I199" s="125"/>
      <c r="J199" s="125">
        <f t="shared" ca="1" si="16"/>
        <v>0</v>
      </c>
      <c r="K199" s="125">
        <f t="shared" si="17"/>
        <v>0</v>
      </c>
      <c r="L199" s="125">
        <f t="shared" ca="1" si="18"/>
        <v>0</v>
      </c>
      <c r="P199">
        <f t="shared" si="20"/>
        <v>192</v>
      </c>
    </row>
    <row r="200" spans="4:16">
      <c r="D200">
        <v>193</v>
      </c>
      <c r="E200" s="6">
        <f t="shared" ca="1" si="19"/>
        <v>46874</v>
      </c>
      <c r="F200" s="7">
        <f t="shared" ref="F200:F263" ca="1" si="22">IF(DATE(YEAR($B$6),MONTH($B$6)+1,DAY(1))=E200,1,IF(MONTH(E200)=1,F201*(1+$F$5),F201))</f>
        <v>1.1596934182128902</v>
      </c>
      <c r="G200" s="125">
        <f ca="1">IF('Simulador - 1º Pilar'!$E$99="Sí",IF('Aportaciones Poliza'!$B$13&lt;'Aportaciones Poliza'!E200,0,F200*$B$8/12),F200*$B$8/12)</f>
        <v>20294.634818725579</v>
      </c>
      <c r="H200" s="125">
        <f t="shared" ca="1" si="21"/>
        <v>0</v>
      </c>
      <c r="I200" s="125"/>
      <c r="J200" s="125">
        <f t="shared" ref="J200:J263" ca="1" si="23">(1+$M$5)^(D200/12)*(H200+IF(AND(F200=1,F201=0),$Q$4,0))</f>
        <v>0</v>
      </c>
      <c r="K200" s="125">
        <f t="shared" ref="K200:K263" si="24">(1+$M$5)^(D200/12)*(I200)</f>
        <v>0</v>
      </c>
      <c r="L200" s="125">
        <f t="shared" ref="L200:L263" ca="1" si="25">K200+J200</f>
        <v>0</v>
      </c>
      <c r="P200">
        <f t="shared" si="20"/>
        <v>193</v>
      </c>
    </row>
    <row r="201" spans="4:16">
      <c r="D201">
        <v>194</v>
      </c>
      <c r="E201" s="6">
        <f t="shared" ref="E201:E264" ca="1" si="26">+DATE(YEAR(E200),MONTH(E200)-1,DAY(E200))</f>
        <v>46844</v>
      </c>
      <c r="F201" s="7">
        <f t="shared" ca="1" si="22"/>
        <v>1.1596934182128902</v>
      </c>
      <c r="G201" s="125">
        <f ca="1">IF('Simulador - 1º Pilar'!$E$99="Sí",IF('Aportaciones Poliza'!$B$13&lt;'Aportaciones Poliza'!E201,0,F201*$B$8/12),F201*$B$8/12)</f>
        <v>20294.634818725579</v>
      </c>
      <c r="H201" s="125">
        <f t="shared" ca="1" si="21"/>
        <v>0</v>
      </c>
      <c r="I201" s="125"/>
      <c r="J201" s="125">
        <f t="shared" ca="1" si="23"/>
        <v>0</v>
      </c>
      <c r="K201" s="125">
        <f t="shared" si="24"/>
        <v>0</v>
      </c>
      <c r="L201" s="125">
        <f t="shared" ca="1" si="25"/>
        <v>0</v>
      </c>
      <c r="P201">
        <f t="shared" ref="P201:P264" si="27">D201</f>
        <v>194</v>
      </c>
    </row>
    <row r="202" spans="4:16">
      <c r="D202">
        <v>195</v>
      </c>
      <c r="E202" s="6">
        <f t="shared" ca="1" si="26"/>
        <v>46813</v>
      </c>
      <c r="F202" s="7">
        <f t="shared" ca="1" si="22"/>
        <v>1.1596934182128902</v>
      </c>
      <c r="G202" s="125">
        <f ca="1">IF('Simulador - 1º Pilar'!$E$99="Sí",IF('Aportaciones Poliza'!$B$13&lt;'Aportaciones Poliza'!E202,0,F202*$B$8/12),F202*$B$8/12)</f>
        <v>20294.634818725579</v>
      </c>
      <c r="H202" s="125">
        <f t="shared" ca="1" si="21"/>
        <v>0</v>
      </c>
      <c r="I202" s="125"/>
      <c r="J202" s="125">
        <f t="shared" ca="1" si="23"/>
        <v>0</v>
      </c>
      <c r="K202" s="125">
        <f t="shared" si="24"/>
        <v>0</v>
      </c>
      <c r="L202" s="125">
        <f t="shared" ca="1" si="25"/>
        <v>0</v>
      </c>
      <c r="P202">
        <f t="shared" si="27"/>
        <v>195</v>
      </c>
    </row>
    <row r="203" spans="4:16">
      <c r="D203">
        <v>196</v>
      </c>
      <c r="E203" s="6">
        <f t="shared" ca="1" si="26"/>
        <v>46784</v>
      </c>
      <c r="F203" s="7">
        <f t="shared" ca="1" si="22"/>
        <v>1.1596934182128902</v>
      </c>
      <c r="G203" s="125">
        <f ca="1">IF('Simulador - 1º Pilar'!$E$99="Sí",IF('Aportaciones Poliza'!$B$13&lt;'Aportaciones Poliza'!E203,0,F203*$B$8/12),F203*$B$8/12)</f>
        <v>20294.634818725579</v>
      </c>
      <c r="H203" s="125">
        <f t="shared" ca="1" si="21"/>
        <v>0</v>
      </c>
      <c r="I203" s="125"/>
      <c r="J203" s="125">
        <f t="shared" ca="1" si="23"/>
        <v>0</v>
      </c>
      <c r="K203" s="125">
        <f t="shared" si="24"/>
        <v>0</v>
      </c>
      <c r="L203" s="125">
        <f t="shared" ca="1" si="25"/>
        <v>0</v>
      </c>
      <c r="P203">
        <f t="shared" si="27"/>
        <v>196</v>
      </c>
    </row>
    <row r="204" spans="4:16">
      <c r="D204">
        <v>197</v>
      </c>
      <c r="E204" s="6">
        <f t="shared" ca="1" si="26"/>
        <v>46753</v>
      </c>
      <c r="F204" s="7">
        <f t="shared" ca="1" si="22"/>
        <v>1.1596934182128902</v>
      </c>
      <c r="G204" s="125">
        <f ca="1">IF('Simulador - 1º Pilar'!$E$99="Sí",IF('Aportaciones Poliza'!$B$13&lt;'Aportaciones Poliza'!E204,0,F204*$B$8/12),F204*$B$8/12)</f>
        <v>20294.634818725579</v>
      </c>
      <c r="H204" s="125">
        <f t="shared" ca="1" si="21"/>
        <v>0</v>
      </c>
      <c r="I204" s="125"/>
      <c r="J204" s="125">
        <f t="shared" ca="1" si="23"/>
        <v>0</v>
      </c>
      <c r="K204" s="125">
        <f t="shared" si="24"/>
        <v>0</v>
      </c>
      <c r="L204" s="125">
        <f t="shared" ca="1" si="25"/>
        <v>0</v>
      </c>
      <c r="P204">
        <f t="shared" si="27"/>
        <v>197</v>
      </c>
    </row>
    <row r="205" spans="4:16">
      <c r="D205">
        <v>198</v>
      </c>
      <c r="E205" s="6">
        <f t="shared" ca="1" si="26"/>
        <v>46722</v>
      </c>
      <c r="F205" s="7">
        <f t="shared" ca="1" si="22"/>
        <v>1.1314082128906247</v>
      </c>
      <c r="G205" s="125">
        <f ca="1">IF('Simulador - 1º Pilar'!$E$99="Sí",IF('Aportaciones Poliza'!$B$13&lt;'Aportaciones Poliza'!E205,0,F205*$B$8/12),F205*$B$8/12)</f>
        <v>19799.643725585931</v>
      </c>
      <c r="H205" s="125">
        <f t="shared" ca="1" si="21"/>
        <v>0</v>
      </c>
      <c r="I205" s="125"/>
      <c r="J205" s="125">
        <f t="shared" ca="1" si="23"/>
        <v>0</v>
      </c>
      <c r="K205" s="125">
        <f t="shared" si="24"/>
        <v>0</v>
      </c>
      <c r="L205" s="125">
        <f t="shared" ca="1" si="25"/>
        <v>0</v>
      </c>
      <c r="P205">
        <f t="shared" si="27"/>
        <v>198</v>
      </c>
    </row>
    <row r="206" spans="4:16">
      <c r="D206">
        <v>199</v>
      </c>
      <c r="E206" s="6">
        <f t="shared" ca="1" si="26"/>
        <v>46692</v>
      </c>
      <c r="F206" s="7">
        <f t="shared" ca="1" si="22"/>
        <v>1.1314082128906247</v>
      </c>
      <c r="G206" s="125">
        <f ca="1">IF('Simulador - 1º Pilar'!$E$99="Sí",IF('Aportaciones Poliza'!$B$13&lt;'Aportaciones Poliza'!E206,0,F206*$B$8/12),F206*$B$8/12)</f>
        <v>19799.643725585931</v>
      </c>
      <c r="H206" s="125">
        <f t="shared" ca="1" si="21"/>
        <v>0</v>
      </c>
      <c r="I206" s="125"/>
      <c r="J206" s="125">
        <f t="shared" ca="1" si="23"/>
        <v>0</v>
      </c>
      <c r="K206" s="125">
        <f t="shared" si="24"/>
        <v>0</v>
      </c>
      <c r="L206" s="125">
        <f t="shared" ca="1" si="25"/>
        <v>0</v>
      </c>
      <c r="P206">
        <f t="shared" si="27"/>
        <v>199</v>
      </c>
    </row>
    <row r="207" spans="4:16">
      <c r="D207">
        <v>200</v>
      </c>
      <c r="E207" s="6">
        <f t="shared" ca="1" si="26"/>
        <v>46661</v>
      </c>
      <c r="F207" s="7">
        <f t="shared" ca="1" si="22"/>
        <v>1.1314082128906247</v>
      </c>
      <c r="G207" s="125">
        <f ca="1">IF('Simulador - 1º Pilar'!$E$99="Sí",IF('Aportaciones Poliza'!$B$13&lt;'Aportaciones Poliza'!E207,0,F207*$B$8/12),F207*$B$8/12)</f>
        <v>19799.643725585931</v>
      </c>
      <c r="H207" s="125">
        <f t="shared" ca="1" si="21"/>
        <v>0</v>
      </c>
      <c r="I207" s="125"/>
      <c r="J207" s="125">
        <f t="shared" ca="1" si="23"/>
        <v>0</v>
      </c>
      <c r="K207" s="125">
        <f t="shared" si="24"/>
        <v>0</v>
      </c>
      <c r="L207" s="125">
        <f t="shared" ca="1" si="25"/>
        <v>0</v>
      </c>
      <c r="P207">
        <f t="shared" si="27"/>
        <v>200</v>
      </c>
    </row>
    <row r="208" spans="4:16">
      <c r="D208">
        <v>201</v>
      </c>
      <c r="E208" s="6">
        <f t="shared" ca="1" si="26"/>
        <v>46631</v>
      </c>
      <c r="F208" s="7">
        <f t="shared" ca="1" si="22"/>
        <v>1.1314082128906247</v>
      </c>
      <c r="G208" s="125">
        <f ca="1">IF('Simulador - 1º Pilar'!$E$99="Sí",IF('Aportaciones Poliza'!$B$13&lt;'Aportaciones Poliza'!E208,0,F208*$B$8/12),F208*$B$8/12)</f>
        <v>19799.643725585931</v>
      </c>
      <c r="H208" s="125">
        <f t="shared" ca="1" si="21"/>
        <v>0</v>
      </c>
      <c r="I208" s="125"/>
      <c r="J208" s="125">
        <f t="shared" ca="1" si="23"/>
        <v>0</v>
      </c>
      <c r="K208" s="125">
        <f t="shared" si="24"/>
        <v>0</v>
      </c>
      <c r="L208" s="125">
        <f t="shared" ca="1" si="25"/>
        <v>0</v>
      </c>
      <c r="P208">
        <f t="shared" si="27"/>
        <v>201</v>
      </c>
    </row>
    <row r="209" spans="4:16">
      <c r="D209">
        <v>202</v>
      </c>
      <c r="E209" s="6">
        <f t="shared" ca="1" si="26"/>
        <v>46600</v>
      </c>
      <c r="F209" s="7">
        <f t="shared" ca="1" si="22"/>
        <v>1.1314082128906247</v>
      </c>
      <c r="G209" s="125">
        <f ca="1">IF('Simulador - 1º Pilar'!$E$99="Sí",IF('Aportaciones Poliza'!$B$13&lt;'Aportaciones Poliza'!E209,0,F209*$B$8/12),F209*$B$8/12)</f>
        <v>19799.643725585931</v>
      </c>
      <c r="H209" s="125">
        <f t="shared" ca="1" si="21"/>
        <v>0</v>
      </c>
      <c r="I209" s="125"/>
      <c r="J209" s="125">
        <f t="shared" ca="1" si="23"/>
        <v>0</v>
      </c>
      <c r="K209" s="125">
        <f t="shared" si="24"/>
        <v>0</v>
      </c>
      <c r="L209" s="125">
        <f t="shared" ca="1" si="25"/>
        <v>0</v>
      </c>
      <c r="P209">
        <f t="shared" si="27"/>
        <v>202</v>
      </c>
    </row>
    <row r="210" spans="4:16">
      <c r="D210">
        <v>203</v>
      </c>
      <c r="E210" s="6">
        <f t="shared" ca="1" si="26"/>
        <v>46569</v>
      </c>
      <c r="F210" s="7">
        <f t="shared" ca="1" si="22"/>
        <v>1.1314082128906247</v>
      </c>
      <c r="G210" s="125">
        <f ca="1">IF('Simulador - 1º Pilar'!$E$99="Sí",IF('Aportaciones Poliza'!$B$13&lt;'Aportaciones Poliza'!E210,0,F210*$B$8/12),F210*$B$8/12)</f>
        <v>19799.643725585931</v>
      </c>
      <c r="H210" s="125">
        <f t="shared" ca="1" si="21"/>
        <v>0</v>
      </c>
      <c r="I210" s="125"/>
      <c r="J210" s="125">
        <f t="shared" ca="1" si="23"/>
        <v>0</v>
      </c>
      <c r="K210" s="125">
        <f t="shared" si="24"/>
        <v>0</v>
      </c>
      <c r="L210" s="125">
        <f t="shared" ca="1" si="25"/>
        <v>0</v>
      </c>
      <c r="P210">
        <f t="shared" si="27"/>
        <v>203</v>
      </c>
    </row>
    <row r="211" spans="4:16">
      <c r="D211">
        <v>204</v>
      </c>
      <c r="E211" s="6">
        <f t="shared" ca="1" si="26"/>
        <v>46539</v>
      </c>
      <c r="F211" s="7">
        <f t="shared" ca="1" si="22"/>
        <v>1.1314082128906247</v>
      </c>
      <c r="G211" s="125">
        <f ca="1">IF('Simulador - 1º Pilar'!$E$99="Sí",IF('Aportaciones Poliza'!$B$13&lt;'Aportaciones Poliza'!E211,0,F211*$B$8/12),F211*$B$8/12)</f>
        <v>19799.643725585931</v>
      </c>
      <c r="H211" s="125">
        <f t="shared" ca="1" si="21"/>
        <v>0</v>
      </c>
      <c r="I211" s="125"/>
      <c r="J211" s="125">
        <f t="shared" ca="1" si="23"/>
        <v>0</v>
      </c>
      <c r="K211" s="125">
        <f t="shared" si="24"/>
        <v>0</v>
      </c>
      <c r="L211" s="125">
        <f t="shared" ca="1" si="25"/>
        <v>0</v>
      </c>
      <c r="P211">
        <f t="shared" si="27"/>
        <v>204</v>
      </c>
    </row>
    <row r="212" spans="4:16">
      <c r="D212">
        <v>205</v>
      </c>
      <c r="E212" s="6">
        <f t="shared" ca="1" si="26"/>
        <v>46508</v>
      </c>
      <c r="F212" s="7">
        <f t="shared" ca="1" si="22"/>
        <v>1.1314082128906247</v>
      </c>
      <c r="G212" s="125">
        <f ca="1">IF('Simulador - 1º Pilar'!$E$99="Sí",IF('Aportaciones Poliza'!$B$13&lt;'Aportaciones Poliza'!E212,0,F212*$B$8/12),F212*$B$8/12)</f>
        <v>19799.643725585931</v>
      </c>
      <c r="H212" s="125">
        <f t="shared" ca="1" si="21"/>
        <v>0</v>
      </c>
      <c r="I212" s="125"/>
      <c r="J212" s="125">
        <f t="shared" ca="1" si="23"/>
        <v>0</v>
      </c>
      <c r="K212" s="125">
        <f t="shared" si="24"/>
        <v>0</v>
      </c>
      <c r="L212" s="125">
        <f t="shared" ca="1" si="25"/>
        <v>0</v>
      </c>
      <c r="P212">
        <f t="shared" si="27"/>
        <v>205</v>
      </c>
    </row>
    <row r="213" spans="4:16">
      <c r="D213">
        <v>206</v>
      </c>
      <c r="E213" s="6">
        <f t="shared" ca="1" si="26"/>
        <v>46478</v>
      </c>
      <c r="F213" s="7">
        <f t="shared" ca="1" si="22"/>
        <v>1.1314082128906247</v>
      </c>
      <c r="G213" s="125">
        <f ca="1">IF('Simulador - 1º Pilar'!$E$99="Sí",IF('Aportaciones Poliza'!$B$13&lt;'Aportaciones Poliza'!E213,0,F213*$B$8/12),F213*$B$8/12)</f>
        <v>19799.643725585931</v>
      </c>
      <c r="H213" s="125">
        <f t="shared" ca="1" si="21"/>
        <v>0</v>
      </c>
      <c r="I213" s="125"/>
      <c r="J213" s="125">
        <f t="shared" ca="1" si="23"/>
        <v>0</v>
      </c>
      <c r="K213" s="125">
        <f t="shared" si="24"/>
        <v>0</v>
      </c>
      <c r="L213" s="125">
        <f t="shared" ca="1" si="25"/>
        <v>0</v>
      </c>
      <c r="P213">
        <f t="shared" si="27"/>
        <v>206</v>
      </c>
    </row>
    <row r="214" spans="4:16">
      <c r="D214">
        <v>207</v>
      </c>
      <c r="E214" s="6">
        <f t="shared" ca="1" si="26"/>
        <v>46447</v>
      </c>
      <c r="F214" s="7">
        <f t="shared" ca="1" si="22"/>
        <v>1.1314082128906247</v>
      </c>
      <c r="G214" s="125">
        <f ca="1">IF('Simulador - 1º Pilar'!$E$99="Sí",IF('Aportaciones Poliza'!$B$13&lt;'Aportaciones Poliza'!E214,0,F214*$B$8/12),F214*$B$8/12)</f>
        <v>19799.643725585931</v>
      </c>
      <c r="H214" s="125">
        <f t="shared" ca="1" si="21"/>
        <v>0</v>
      </c>
      <c r="I214" s="125"/>
      <c r="J214" s="125">
        <f t="shared" ca="1" si="23"/>
        <v>0</v>
      </c>
      <c r="K214" s="125">
        <f t="shared" si="24"/>
        <v>0</v>
      </c>
      <c r="L214" s="125">
        <f t="shared" ca="1" si="25"/>
        <v>0</v>
      </c>
      <c r="P214">
        <f t="shared" si="27"/>
        <v>207</v>
      </c>
    </row>
    <row r="215" spans="4:16">
      <c r="D215">
        <v>208</v>
      </c>
      <c r="E215" s="6">
        <f t="shared" ca="1" si="26"/>
        <v>46419</v>
      </c>
      <c r="F215" s="7">
        <f t="shared" ca="1" si="22"/>
        <v>1.1314082128906247</v>
      </c>
      <c r="G215" s="125">
        <f ca="1">IF('Simulador - 1º Pilar'!$E$99="Sí",IF('Aportaciones Poliza'!$B$13&lt;'Aportaciones Poliza'!E215,0,F215*$B$8/12),F215*$B$8/12)</f>
        <v>19799.643725585931</v>
      </c>
      <c r="H215" s="125">
        <f t="shared" ca="1" si="21"/>
        <v>0</v>
      </c>
      <c r="I215" s="125"/>
      <c r="J215" s="125">
        <f t="shared" ca="1" si="23"/>
        <v>0</v>
      </c>
      <c r="K215" s="125">
        <f t="shared" si="24"/>
        <v>0</v>
      </c>
      <c r="L215" s="125">
        <f t="shared" ca="1" si="25"/>
        <v>0</v>
      </c>
      <c r="P215">
        <f t="shared" si="27"/>
        <v>208</v>
      </c>
    </row>
    <row r="216" spans="4:16">
      <c r="D216">
        <v>209</v>
      </c>
      <c r="E216" s="6">
        <f t="shared" ca="1" si="26"/>
        <v>46388</v>
      </c>
      <c r="F216" s="7">
        <f t="shared" ca="1" si="22"/>
        <v>1.1314082128906247</v>
      </c>
      <c r="G216" s="125">
        <f ca="1">IF('Simulador - 1º Pilar'!$E$99="Sí",IF('Aportaciones Poliza'!$B$13&lt;'Aportaciones Poliza'!E216,0,F216*$B$8/12),F216*$B$8/12)</f>
        <v>19799.643725585931</v>
      </c>
      <c r="H216" s="125">
        <f t="shared" ca="1" si="21"/>
        <v>0</v>
      </c>
      <c r="I216" s="125"/>
      <c r="J216" s="125">
        <f t="shared" ca="1" si="23"/>
        <v>0</v>
      </c>
      <c r="K216" s="125">
        <f t="shared" si="24"/>
        <v>0</v>
      </c>
      <c r="L216" s="125">
        <f t="shared" ca="1" si="25"/>
        <v>0</v>
      </c>
      <c r="P216">
        <f t="shared" si="27"/>
        <v>209</v>
      </c>
    </row>
    <row r="217" spans="4:16">
      <c r="D217">
        <v>210</v>
      </c>
      <c r="E217" s="6">
        <f t="shared" ca="1" si="26"/>
        <v>46357</v>
      </c>
      <c r="F217" s="7">
        <f t="shared" ca="1" si="22"/>
        <v>1.1038128906249998</v>
      </c>
      <c r="G217" s="125">
        <f ca="1">IF('Simulador - 1º Pilar'!$E$99="Sí",IF('Aportaciones Poliza'!$B$13&lt;'Aportaciones Poliza'!E217,0,F217*$B$8/12),F217*$B$8/12)</f>
        <v>19316.725585937496</v>
      </c>
      <c r="H217" s="125">
        <f t="shared" ca="1" si="21"/>
        <v>0</v>
      </c>
      <c r="I217" s="125"/>
      <c r="J217" s="125">
        <f t="shared" ca="1" si="23"/>
        <v>0</v>
      </c>
      <c r="K217" s="125">
        <f t="shared" si="24"/>
        <v>0</v>
      </c>
      <c r="L217" s="125">
        <f t="shared" ca="1" si="25"/>
        <v>0</v>
      </c>
      <c r="P217">
        <f t="shared" si="27"/>
        <v>210</v>
      </c>
    </row>
    <row r="218" spans="4:16">
      <c r="D218">
        <v>211</v>
      </c>
      <c r="E218" s="6">
        <f t="shared" ca="1" si="26"/>
        <v>46327</v>
      </c>
      <c r="F218" s="7">
        <f t="shared" ca="1" si="22"/>
        <v>1.1038128906249998</v>
      </c>
      <c r="G218" s="125">
        <f ca="1">IF('Simulador - 1º Pilar'!$E$99="Sí",IF('Aportaciones Poliza'!$B$13&lt;'Aportaciones Poliza'!E218,0,F218*$B$8/12),F218*$B$8/12)</f>
        <v>19316.725585937496</v>
      </c>
      <c r="H218" s="125">
        <f t="shared" ca="1" si="21"/>
        <v>0</v>
      </c>
      <c r="I218" s="125"/>
      <c r="J218" s="125">
        <f t="shared" ca="1" si="23"/>
        <v>0</v>
      </c>
      <c r="K218" s="125">
        <f t="shared" si="24"/>
        <v>0</v>
      </c>
      <c r="L218" s="125">
        <f t="shared" ca="1" si="25"/>
        <v>0</v>
      </c>
      <c r="P218">
        <f t="shared" si="27"/>
        <v>211</v>
      </c>
    </row>
    <row r="219" spans="4:16">
      <c r="D219">
        <v>212</v>
      </c>
      <c r="E219" s="6">
        <f t="shared" ca="1" si="26"/>
        <v>46296</v>
      </c>
      <c r="F219" s="7">
        <f t="shared" ca="1" si="22"/>
        <v>1.1038128906249998</v>
      </c>
      <c r="G219" s="125">
        <f ca="1">IF('Simulador - 1º Pilar'!$E$99="Sí",IF('Aportaciones Poliza'!$B$13&lt;'Aportaciones Poliza'!E219,0,F219*$B$8/12),F219*$B$8/12)</f>
        <v>19316.725585937496</v>
      </c>
      <c r="H219" s="125">
        <f t="shared" ca="1" si="21"/>
        <v>0</v>
      </c>
      <c r="I219" s="125"/>
      <c r="J219" s="125">
        <f t="shared" ca="1" si="23"/>
        <v>0</v>
      </c>
      <c r="K219" s="125">
        <f t="shared" si="24"/>
        <v>0</v>
      </c>
      <c r="L219" s="125">
        <f t="shared" ca="1" si="25"/>
        <v>0</v>
      </c>
      <c r="P219">
        <f t="shared" si="27"/>
        <v>212</v>
      </c>
    </row>
    <row r="220" spans="4:16">
      <c r="D220">
        <v>213</v>
      </c>
      <c r="E220" s="6">
        <f t="shared" ca="1" si="26"/>
        <v>46266</v>
      </c>
      <c r="F220" s="7">
        <f t="shared" ca="1" si="22"/>
        <v>1.1038128906249998</v>
      </c>
      <c r="G220" s="125">
        <f ca="1">IF('Simulador - 1º Pilar'!$E$99="Sí",IF('Aportaciones Poliza'!$B$13&lt;'Aportaciones Poliza'!E220,0,F220*$B$8/12),F220*$B$8/12)</f>
        <v>19316.725585937496</v>
      </c>
      <c r="H220" s="125">
        <f t="shared" ca="1" si="21"/>
        <v>0</v>
      </c>
      <c r="I220" s="125"/>
      <c r="J220" s="125">
        <f t="shared" ca="1" si="23"/>
        <v>0</v>
      </c>
      <c r="K220" s="125">
        <f t="shared" si="24"/>
        <v>0</v>
      </c>
      <c r="L220" s="125">
        <f t="shared" ca="1" si="25"/>
        <v>0</v>
      </c>
      <c r="P220">
        <f t="shared" si="27"/>
        <v>213</v>
      </c>
    </row>
    <row r="221" spans="4:16">
      <c r="D221">
        <v>214</v>
      </c>
      <c r="E221" s="6">
        <f t="shared" ca="1" si="26"/>
        <v>46235</v>
      </c>
      <c r="F221" s="7">
        <f t="shared" ca="1" si="22"/>
        <v>1.1038128906249998</v>
      </c>
      <c r="G221" s="125">
        <f ca="1">IF('Simulador - 1º Pilar'!$E$99="Sí",IF('Aportaciones Poliza'!$B$13&lt;'Aportaciones Poliza'!E221,0,F221*$B$8/12),F221*$B$8/12)</f>
        <v>19316.725585937496</v>
      </c>
      <c r="H221" s="125">
        <f t="shared" ca="1" si="21"/>
        <v>0</v>
      </c>
      <c r="I221" s="125"/>
      <c r="J221" s="125">
        <f t="shared" ca="1" si="23"/>
        <v>0</v>
      </c>
      <c r="K221" s="125">
        <f t="shared" si="24"/>
        <v>0</v>
      </c>
      <c r="L221" s="125">
        <f t="shared" ca="1" si="25"/>
        <v>0</v>
      </c>
      <c r="P221">
        <f t="shared" si="27"/>
        <v>214</v>
      </c>
    </row>
    <row r="222" spans="4:16">
      <c r="D222">
        <v>215</v>
      </c>
      <c r="E222" s="6">
        <f t="shared" ca="1" si="26"/>
        <v>46204</v>
      </c>
      <c r="F222" s="7">
        <f t="shared" ca="1" si="22"/>
        <v>1.1038128906249998</v>
      </c>
      <c r="G222" s="125">
        <f ca="1">IF('Simulador - 1º Pilar'!$E$99="Sí",IF('Aportaciones Poliza'!$B$13&lt;'Aportaciones Poliza'!E222,0,F222*$B$8/12),F222*$B$8/12)</f>
        <v>19316.725585937496</v>
      </c>
      <c r="H222" s="125">
        <f t="shared" ca="1" si="21"/>
        <v>0</v>
      </c>
      <c r="I222" s="125"/>
      <c r="J222" s="125">
        <f t="shared" ca="1" si="23"/>
        <v>0</v>
      </c>
      <c r="K222" s="125">
        <f t="shared" si="24"/>
        <v>0</v>
      </c>
      <c r="L222" s="125">
        <f t="shared" ca="1" si="25"/>
        <v>0</v>
      </c>
      <c r="P222">
        <f t="shared" si="27"/>
        <v>215</v>
      </c>
    </row>
    <row r="223" spans="4:16">
      <c r="D223">
        <v>216</v>
      </c>
      <c r="E223" s="6">
        <f t="shared" ca="1" si="26"/>
        <v>46174</v>
      </c>
      <c r="F223" s="7">
        <f t="shared" ca="1" si="22"/>
        <v>1.1038128906249998</v>
      </c>
      <c r="G223" s="125">
        <f ca="1">IF('Simulador - 1º Pilar'!$E$99="Sí",IF('Aportaciones Poliza'!$B$13&lt;'Aportaciones Poliza'!E223,0,F223*$B$8/12),F223*$B$8/12)</f>
        <v>19316.725585937496</v>
      </c>
      <c r="H223" s="125">
        <f t="shared" ca="1" si="21"/>
        <v>0</v>
      </c>
      <c r="I223" s="125"/>
      <c r="J223" s="125">
        <f t="shared" ca="1" si="23"/>
        <v>0</v>
      </c>
      <c r="K223" s="125">
        <f t="shared" si="24"/>
        <v>0</v>
      </c>
      <c r="L223" s="125">
        <f t="shared" ca="1" si="25"/>
        <v>0</v>
      </c>
      <c r="P223">
        <f t="shared" si="27"/>
        <v>216</v>
      </c>
    </row>
    <row r="224" spans="4:16">
      <c r="D224">
        <v>217</v>
      </c>
      <c r="E224" s="6">
        <f t="shared" ca="1" si="26"/>
        <v>46143</v>
      </c>
      <c r="F224" s="7">
        <f t="shared" ca="1" si="22"/>
        <v>1.1038128906249998</v>
      </c>
      <c r="G224" s="125">
        <f ca="1">IF('Simulador - 1º Pilar'!$E$99="Sí",IF('Aportaciones Poliza'!$B$13&lt;'Aportaciones Poliza'!E224,0,F224*$B$8/12),F224*$B$8/12)</f>
        <v>19316.725585937496</v>
      </c>
      <c r="H224" s="125">
        <f t="shared" ca="1" si="21"/>
        <v>0</v>
      </c>
      <c r="I224" s="125"/>
      <c r="J224" s="125">
        <f t="shared" ca="1" si="23"/>
        <v>0</v>
      </c>
      <c r="K224" s="125">
        <f t="shared" si="24"/>
        <v>0</v>
      </c>
      <c r="L224" s="125">
        <f t="shared" ca="1" si="25"/>
        <v>0</v>
      </c>
      <c r="P224">
        <f t="shared" si="27"/>
        <v>217</v>
      </c>
    </row>
    <row r="225" spans="4:16">
      <c r="D225">
        <v>218</v>
      </c>
      <c r="E225" s="6">
        <f t="shared" ca="1" si="26"/>
        <v>46113</v>
      </c>
      <c r="F225" s="7">
        <f t="shared" ca="1" si="22"/>
        <v>1.1038128906249998</v>
      </c>
      <c r="G225" s="125">
        <f ca="1">IF('Simulador - 1º Pilar'!$E$99="Sí",IF('Aportaciones Poliza'!$B$13&lt;'Aportaciones Poliza'!E225,0,F225*$B$8/12),F225*$B$8/12)</f>
        <v>19316.725585937496</v>
      </c>
      <c r="H225" s="125">
        <f t="shared" ca="1" si="21"/>
        <v>0</v>
      </c>
      <c r="I225" s="125"/>
      <c r="J225" s="125">
        <f t="shared" ca="1" si="23"/>
        <v>0</v>
      </c>
      <c r="K225" s="125">
        <f t="shared" si="24"/>
        <v>0</v>
      </c>
      <c r="L225" s="125">
        <f t="shared" ca="1" si="25"/>
        <v>0</v>
      </c>
      <c r="P225">
        <f t="shared" si="27"/>
        <v>218</v>
      </c>
    </row>
    <row r="226" spans="4:16">
      <c r="D226">
        <v>219</v>
      </c>
      <c r="E226" s="6">
        <f t="shared" ca="1" si="26"/>
        <v>46082</v>
      </c>
      <c r="F226" s="7">
        <f t="shared" ca="1" si="22"/>
        <v>1.1038128906249998</v>
      </c>
      <c r="G226" s="125">
        <f ca="1">IF('Simulador - 1º Pilar'!$E$99="Sí",IF('Aportaciones Poliza'!$B$13&lt;'Aportaciones Poliza'!E226,0,F226*$B$8/12),F226*$B$8/12)</f>
        <v>19316.725585937496</v>
      </c>
      <c r="H226" s="125">
        <f t="shared" ca="1" si="21"/>
        <v>0</v>
      </c>
      <c r="I226" s="125"/>
      <c r="J226" s="125">
        <f t="shared" ca="1" si="23"/>
        <v>0</v>
      </c>
      <c r="K226" s="125">
        <f t="shared" si="24"/>
        <v>0</v>
      </c>
      <c r="L226" s="125">
        <f t="shared" ca="1" si="25"/>
        <v>0</v>
      </c>
      <c r="P226">
        <f t="shared" si="27"/>
        <v>219</v>
      </c>
    </row>
    <row r="227" spans="4:16">
      <c r="D227">
        <v>220</v>
      </c>
      <c r="E227" s="6">
        <f t="shared" ca="1" si="26"/>
        <v>46054</v>
      </c>
      <c r="F227" s="7">
        <f t="shared" ca="1" si="22"/>
        <v>1.1038128906249998</v>
      </c>
      <c r="G227" s="125">
        <f ca="1">IF('Simulador - 1º Pilar'!$E$99="Sí",IF('Aportaciones Poliza'!$B$13&lt;'Aportaciones Poliza'!E227,0,F227*$B$8/12),F227*$B$8/12)</f>
        <v>19316.725585937496</v>
      </c>
      <c r="H227" s="125">
        <f t="shared" ca="1" si="21"/>
        <v>0</v>
      </c>
      <c r="I227" s="125"/>
      <c r="J227" s="125">
        <f t="shared" ca="1" si="23"/>
        <v>0</v>
      </c>
      <c r="K227" s="125">
        <f t="shared" si="24"/>
        <v>0</v>
      </c>
      <c r="L227" s="125">
        <f t="shared" ca="1" si="25"/>
        <v>0</v>
      </c>
      <c r="P227">
        <f t="shared" si="27"/>
        <v>220</v>
      </c>
    </row>
    <row r="228" spans="4:16">
      <c r="D228">
        <v>221</v>
      </c>
      <c r="E228" s="6">
        <f t="shared" ca="1" si="26"/>
        <v>46023</v>
      </c>
      <c r="F228" s="7">
        <f t="shared" ca="1" si="22"/>
        <v>1.1038128906249998</v>
      </c>
      <c r="G228" s="125">
        <f ca="1">IF('Simulador - 1º Pilar'!$E$99="Sí",IF('Aportaciones Poliza'!$B$13&lt;'Aportaciones Poliza'!E228,0,F228*$B$8/12),F228*$B$8/12)</f>
        <v>19316.725585937496</v>
      </c>
      <c r="H228" s="125">
        <f t="shared" ca="1" si="21"/>
        <v>0</v>
      </c>
      <c r="I228" s="125"/>
      <c r="J228" s="125">
        <f t="shared" ca="1" si="23"/>
        <v>0</v>
      </c>
      <c r="K228" s="125">
        <f t="shared" si="24"/>
        <v>0</v>
      </c>
      <c r="L228" s="125">
        <f t="shared" ca="1" si="25"/>
        <v>0</v>
      </c>
      <c r="P228">
        <f t="shared" si="27"/>
        <v>221</v>
      </c>
    </row>
    <row r="229" spans="4:16">
      <c r="D229">
        <v>222</v>
      </c>
      <c r="E229" s="6">
        <f t="shared" ca="1" si="26"/>
        <v>45992</v>
      </c>
      <c r="F229" s="7">
        <f t="shared" ca="1" si="22"/>
        <v>1.0768906249999999</v>
      </c>
      <c r="G229" s="125">
        <f ca="1">IF('Simulador - 1º Pilar'!$E$99="Sí",IF('Aportaciones Poliza'!$B$13&lt;'Aportaciones Poliza'!E229,0,F229*$B$8/12),F229*$B$8/12)</f>
        <v>18845.585937499996</v>
      </c>
      <c r="H229" s="125">
        <f t="shared" ca="1" si="21"/>
        <v>0</v>
      </c>
      <c r="I229" s="125"/>
      <c r="J229" s="125">
        <f t="shared" ca="1" si="23"/>
        <v>0</v>
      </c>
      <c r="K229" s="125">
        <f t="shared" si="24"/>
        <v>0</v>
      </c>
      <c r="L229" s="125">
        <f t="shared" ca="1" si="25"/>
        <v>0</v>
      </c>
      <c r="P229">
        <f t="shared" si="27"/>
        <v>222</v>
      </c>
    </row>
    <row r="230" spans="4:16">
      <c r="D230">
        <v>223</v>
      </c>
      <c r="E230" s="6">
        <f t="shared" ca="1" si="26"/>
        <v>45962</v>
      </c>
      <c r="F230" s="7">
        <f t="shared" ca="1" si="22"/>
        <v>1.0768906249999999</v>
      </c>
      <c r="G230" s="125">
        <f ca="1">IF('Simulador - 1º Pilar'!$E$99="Sí",IF('Aportaciones Poliza'!$B$13&lt;'Aportaciones Poliza'!E230,0,F230*$B$8/12),F230*$B$8/12)</f>
        <v>18845.585937499996</v>
      </c>
      <c r="H230" s="125">
        <f t="shared" ca="1" si="21"/>
        <v>0</v>
      </c>
      <c r="I230" s="125"/>
      <c r="J230" s="125">
        <f t="shared" ca="1" si="23"/>
        <v>0</v>
      </c>
      <c r="K230" s="125">
        <f t="shared" si="24"/>
        <v>0</v>
      </c>
      <c r="L230" s="125">
        <f t="shared" ca="1" si="25"/>
        <v>0</v>
      </c>
      <c r="P230">
        <f t="shared" si="27"/>
        <v>223</v>
      </c>
    </row>
    <row r="231" spans="4:16">
      <c r="D231">
        <v>224</v>
      </c>
      <c r="E231" s="6">
        <f t="shared" ca="1" si="26"/>
        <v>45931</v>
      </c>
      <c r="F231" s="7">
        <f t="shared" ca="1" si="22"/>
        <v>1.0768906249999999</v>
      </c>
      <c r="G231" s="125">
        <f ca="1">IF('Simulador - 1º Pilar'!$E$99="Sí",IF('Aportaciones Poliza'!$B$13&lt;'Aportaciones Poliza'!E231,0,F231*$B$8/12),F231*$B$8/12)</f>
        <v>18845.585937499996</v>
      </c>
      <c r="H231" s="125">
        <f t="shared" ca="1" si="21"/>
        <v>0</v>
      </c>
      <c r="I231" s="125"/>
      <c r="J231" s="125">
        <f t="shared" ca="1" si="23"/>
        <v>0</v>
      </c>
      <c r="K231" s="125">
        <f t="shared" si="24"/>
        <v>0</v>
      </c>
      <c r="L231" s="125">
        <f t="shared" ca="1" si="25"/>
        <v>0</v>
      </c>
      <c r="P231">
        <f t="shared" si="27"/>
        <v>224</v>
      </c>
    </row>
    <row r="232" spans="4:16">
      <c r="D232">
        <v>225</v>
      </c>
      <c r="E232" s="6">
        <f t="shared" ca="1" si="26"/>
        <v>45901</v>
      </c>
      <c r="F232" s="7">
        <f t="shared" ca="1" si="22"/>
        <v>1.0768906249999999</v>
      </c>
      <c r="G232" s="125">
        <f ca="1">IF('Simulador - 1º Pilar'!$E$99="Sí",IF('Aportaciones Poliza'!$B$13&lt;'Aportaciones Poliza'!E232,0,F232*$B$8/12),F232*$B$8/12)</f>
        <v>18845.585937499996</v>
      </c>
      <c r="H232" s="125">
        <f t="shared" ca="1" si="21"/>
        <v>0</v>
      </c>
      <c r="I232" s="125"/>
      <c r="J232" s="125">
        <f t="shared" ca="1" si="23"/>
        <v>0</v>
      </c>
      <c r="K232" s="125">
        <f t="shared" si="24"/>
        <v>0</v>
      </c>
      <c r="L232" s="125">
        <f t="shared" ca="1" si="25"/>
        <v>0</v>
      </c>
      <c r="P232">
        <f t="shared" si="27"/>
        <v>225</v>
      </c>
    </row>
    <row r="233" spans="4:16">
      <c r="D233">
        <v>226</v>
      </c>
      <c r="E233" s="6">
        <f t="shared" ca="1" si="26"/>
        <v>45870</v>
      </c>
      <c r="F233" s="7">
        <f t="shared" ca="1" si="22"/>
        <v>1.0768906249999999</v>
      </c>
      <c r="G233" s="125">
        <f ca="1">IF('Simulador - 1º Pilar'!$E$99="Sí",IF('Aportaciones Poliza'!$B$13&lt;'Aportaciones Poliza'!E233,0,F233*$B$8/12),F233*$B$8/12)</f>
        <v>18845.585937499996</v>
      </c>
      <c r="H233" s="125">
        <f t="shared" ca="1" si="21"/>
        <v>0</v>
      </c>
      <c r="I233" s="125"/>
      <c r="J233" s="125">
        <f t="shared" ca="1" si="23"/>
        <v>0</v>
      </c>
      <c r="K233" s="125">
        <f t="shared" si="24"/>
        <v>0</v>
      </c>
      <c r="L233" s="125">
        <f t="shared" ca="1" si="25"/>
        <v>0</v>
      </c>
      <c r="P233">
        <f t="shared" si="27"/>
        <v>226</v>
      </c>
    </row>
    <row r="234" spans="4:16">
      <c r="D234">
        <v>227</v>
      </c>
      <c r="E234" s="6">
        <f t="shared" ca="1" si="26"/>
        <v>45839</v>
      </c>
      <c r="F234" s="7">
        <f t="shared" ca="1" si="22"/>
        <v>1.0768906249999999</v>
      </c>
      <c r="G234" s="125">
        <f ca="1">IF('Simulador - 1º Pilar'!$E$99="Sí",IF('Aportaciones Poliza'!$B$13&lt;'Aportaciones Poliza'!E234,0,F234*$B$8/12),F234*$B$8/12)</f>
        <v>18845.585937499996</v>
      </c>
      <c r="H234" s="125">
        <f t="shared" ca="1" si="21"/>
        <v>0</v>
      </c>
      <c r="I234" s="125"/>
      <c r="J234" s="125">
        <f t="shared" ca="1" si="23"/>
        <v>0</v>
      </c>
      <c r="K234" s="125">
        <f t="shared" si="24"/>
        <v>0</v>
      </c>
      <c r="L234" s="125">
        <f t="shared" ca="1" si="25"/>
        <v>0</v>
      </c>
      <c r="P234">
        <f t="shared" si="27"/>
        <v>227</v>
      </c>
    </row>
    <row r="235" spans="4:16">
      <c r="D235">
        <v>228</v>
      </c>
      <c r="E235" s="6">
        <f t="shared" ca="1" si="26"/>
        <v>45809</v>
      </c>
      <c r="F235" s="7">
        <f t="shared" ca="1" si="22"/>
        <v>1.0768906249999999</v>
      </c>
      <c r="G235" s="125">
        <f ca="1">IF('Simulador - 1º Pilar'!$E$99="Sí",IF('Aportaciones Poliza'!$B$13&lt;'Aportaciones Poliza'!E235,0,F235*$B$8/12),F235*$B$8/12)</f>
        <v>18845.585937499996</v>
      </c>
      <c r="H235" s="125">
        <f t="shared" ca="1" si="21"/>
        <v>0</v>
      </c>
      <c r="I235" s="125"/>
      <c r="J235" s="125">
        <f t="shared" ca="1" si="23"/>
        <v>0</v>
      </c>
      <c r="K235" s="125">
        <f t="shared" si="24"/>
        <v>0</v>
      </c>
      <c r="L235" s="125">
        <f t="shared" ca="1" si="25"/>
        <v>0</v>
      </c>
      <c r="P235">
        <f t="shared" si="27"/>
        <v>228</v>
      </c>
    </row>
    <row r="236" spans="4:16">
      <c r="D236">
        <v>229</v>
      </c>
      <c r="E236" s="6">
        <f t="shared" ca="1" si="26"/>
        <v>45778</v>
      </c>
      <c r="F236" s="7">
        <f t="shared" ca="1" si="22"/>
        <v>1.0768906249999999</v>
      </c>
      <c r="G236" s="125">
        <f ca="1">IF('Simulador - 1º Pilar'!$E$99="Sí",IF('Aportaciones Poliza'!$B$13&lt;'Aportaciones Poliza'!E236,0,F236*$B$8/12),F236*$B$8/12)</f>
        <v>18845.585937499996</v>
      </c>
      <c r="H236" s="125">
        <f t="shared" ca="1" si="21"/>
        <v>0</v>
      </c>
      <c r="I236" s="125"/>
      <c r="J236" s="125">
        <f t="shared" ca="1" si="23"/>
        <v>0</v>
      </c>
      <c r="K236" s="125">
        <f t="shared" si="24"/>
        <v>0</v>
      </c>
      <c r="L236" s="125">
        <f t="shared" ca="1" si="25"/>
        <v>0</v>
      </c>
      <c r="P236">
        <f t="shared" si="27"/>
        <v>229</v>
      </c>
    </row>
    <row r="237" spans="4:16">
      <c r="D237">
        <v>230</v>
      </c>
      <c r="E237" s="6">
        <f t="shared" ca="1" si="26"/>
        <v>45748</v>
      </c>
      <c r="F237" s="7">
        <f t="shared" ca="1" si="22"/>
        <v>1.0768906249999999</v>
      </c>
      <c r="G237" s="125">
        <f ca="1">IF('Simulador - 1º Pilar'!$E$99="Sí",IF('Aportaciones Poliza'!$B$13&lt;'Aportaciones Poliza'!E237,0,F237*$B$8/12),F237*$B$8/12)</f>
        <v>18845.585937499996</v>
      </c>
      <c r="H237" s="125">
        <f t="shared" ca="1" si="21"/>
        <v>0</v>
      </c>
      <c r="I237" s="125"/>
      <c r="J237" s="125">
        <f t="shared" ca="1" si="23"/>
        <v>0</v>
      </c>
      <c r="K237" s="125">
        <f t="shared" si="24"/>
        <v>0</v>
      </c>
      <c r="L237" s="125">
        <f t="shared" ca="1" si="25"/>
        <v>0</v>
      </c>
      <c r="P237">
        <f t="shared" si="27"/>
        <v>230</v>
      </c>
    </row>
    <row r="238" spans="4:16">
      <c r="D238">
        <v>231</v>
      </c>
      <c r="E238" s="6">
        <f t="shared" ca="1" si="26"/>
        <v>45717</v>
      </c>
      <c r="F238" s="7">
        <f t="shared" ca="1" si="22"/>
        <v>1.0768906249999999</v>
      </c>
      <c r="G238" s="125">
        <f ca="1">IF('Simulador - 1º Pilar'!$E$99="Sí",IF('Aportaciones Poliza'!$B$13&lt;'Aportaciones Poliza'!E238,0,F238*$B$8/12),F238*$B$8/12)</f>
        <v>18845.585937499996</v>
      </c>
      <c r="H238" s="125">
        <f t="shared" ca="1" si="21"/>
        <v>0</v>
      </c>
      <c r="I238" s="125"/>
      <c r="J238" s="125">
        <f t="shared" ca="1" si="23"/>
        <v>0</v>
      </c>
      <c r="K238" s="125">
        <f t="shared" si="24"/>
        <v>0</v>
      </c>
      <c r="L238" s="125">
        <f t="shared" ca="1" si="25"/>
        <v>0</v>
      </c>
      <c r="P238">
        <f t="shared" si="27"/>
        <v>231</v>
      </c>
    </row>
    <row r="239" spans="4:16">
      <c r="D239">
        <v>232</v>
      </c>
      <c r="E239" s="6">
        <f t="shared" ca="1" si="26"/>
        <v>45689</v>
      </c>
      <c r="F239" s="7">
        <f t="shared" ca="1" si="22"/>
        <v>1.0768906249999999</v>
      </c>
      <c r="G239" s="125">
        <f ca="1">IF('Simulador - 1º Pilar'!$E$99="Sí",IF('Aportaciones Poliza'!$B$13&lt;'Aportaciones Poliza'!E239,0,F239*$B$8/12),F239*$B$8/12)</f>
        <v>18845.585937499996</v>
      </c>
      <c r="H239" s="125">
        <f t="shared" ca="1" si="21"/>
        <v>0</v>
      </c>
      <c r="I239" s="125"/>
      <c r="J239" s="125">
        <f t="shared" ca="1" si="23"/>
        <v>0</v>
      </c>
      <c r="K239" s="125">
        <f t="shared" si="24"/>
        <v>0</v>
      </c>
      <c r="L239" s="125">
        <f t="shared" ca="1" si="25"/>
        <v>0</v>
      </c>
      <c r="P239">
        <f t="shared" si="27"/>
        <v>232</v>
      </c>
    </row>
    <row r="240" spans="4:16">
      <c r="D240">
        <v>233</v>
      </c>
      <c r="E240" s="6">
        <f t="shared" ca="1" si="26"/>
        <v>45658</v>
      </c>
      <c r="F240" s="7">
        <f t="shared" ca="1" si="22"/>
        <v>1.0768906249999999</v>
      </c>
      <c r="G240" s="125">
        <f ca="1">IF('Simulador - 1º Pilar'!$E$99="Sí",IF('Aportaciones Poliza'!$B$13&lt;'Aportaciones Poliza'!E240,0,F240*$B$8/12),F240*$B$8/12)</f>
        <v>18845.585937499996</v>
      </c>
      <c r="H240" s="125">
        <f t="shared" ca="1" si="21"/>
        <v>0</v>
      </c>
      <c r="I240" s="125"/>
      <c r="J240" s="125">
        <f t="shared" ca="1" si="23"/>
        <v>0</v>
      </c>
      <c r="K240" s="125">
        <f t="shared" si="24"/>
        <v>0</v>
      </c>
      <c r="L240" s="125">
        <f t="shared" ca="1" si="25"/>
        <v>0</v>
      </c>
      <c r="P240">
        <f t="shared" si="27"/>
        <v>233</v>
      </c>
    </row>
    <row r="241" spans="4:16">
      <c r="D241">
        <v>234</v>
      </c>
      <c r="E241" s="6">
        <f t="shared" ca="1" si="26"/>
        <v>45627</v>
      </c>
      <c r="F241" s="7">
        <f t="shared" ca="1" si="22"/>
        <v>1.0506249999999999</v>
      </c>
      <c r="G241" s="125">
        <f ca="1">IF('Simulador - 1º Pilar'!$E$99="Sí",IF('Aportaciones Poliza'!$B$13&lt;'Aportaciones Poliza'!E241,0,F241*$B$8/12),F241*$B$8/12)</f>
        <v>18385.937499999996</v>
      </c>
      <c r="H241" s="125">
        <f t="shared" ca="1" si="21"/>
        <v>0</v>
      </c>
      <c r="I241" s="125"/>
      <c r="J241" s="125">
        <f t="shared" ca="1" si="23"/>
        <v>0</v>
      </c>
      <c r="K241" s="125">
        <f t="shared" si="24"/>
        <v>0</v>
      </c>
      <c r="L241" s="125">
        <f t="shared" ca="1" si="25"/>
        <v>0</v>
      </c>
      <c r="P241">
        <f t="shared" si="27"/>
        <v>234</v>
      </c>
    </row>
    <row r="242" spans="4:16">
      <c r="D242">
        <v>235</v>
      </c>
      <c r="E242" s="6">
        <f t="shared" ca="1" si="26"/>
        <v>45597</v>
      </c>
      <c r="F242" s="7">
        <f t="shared" ca="1" si="22"/>
        <v>1.0506249999999999</v>
      </c>
      <c r="G242" s="125">
        <f ca="1">IF('Simulador - 1º Pilar'!$E$99="Sí",IF('Aportaciones Poliza'!$B$13&lt;'Aportaciones Poliza'!E242,0,F242*$B$8/12),F242*$B$8/12)</f>
        <v>18385.937499999996</v>
      </c>
      <c r="H242" s="125">
        <f t="shared" ca="1" si="21"/>
        <v>0</v>
      </c>
      <c r="I242" s="125"/>
      <c r="J242" s="125">
        <f t="shared" ca="1" si="23"/>
        <v>0</v>
      </c>
      <c r="K242" s="125">
        <f t="shared" si="24"/>
        <v>0</v>
      </c>
      <c r="L242" s="125">
        <f t="shared" ca="1" si="25"/>
        <v>0</v>
      </c>
      <c r="P242">
        <f t="shared" si="27"/>
        <v>235</v>
      </c>
    </row>
    <row r="243" spans="4:16">
      <c r="D243">
        <v>236</v>
      </c>
      <c r="E243" s="6">
        <f t="shared" ca="1" si="26"/>
        <v>45566</v>
      </c>
      <c r="F243" s="7">
        <f t="shared" ca="1" si="22"/>
        <v>1.0506249999999999</v>
      </c>
      <c r="G243" s="125">
        <f ca="1">IF('Simulador - 1º Pilar'!$E$99="Sí",IF('Aportaciones Poliza'!$B$13&lt;'Aportaciones Poliza'!E243,0,F243*$B$8/12),F243*$B$8/12)</f>
        <v>18385.937499999996</v>
      </c>
      <c r="H243" s="125">
        <f t="shared" ca="1" si="21"/>
        <v>0</v>
      </c>
      <c r="I243" s="125"/>
      <c r="J243" s="125">
        <f t="shared" ca="1" si="23"/>
        <v>0</v>
      </c>
      <c r="K243" s="125">
        <f t="shared" si="24"/>
        <v>0</v>
      </c>
      <c r="L243" s="125">
        <f t="shared" ca="1" si="25"/>
        <v>0</v>
      </c>
      <c r="P243">
        <f t="shared" si="27"/>
        <v>236</v>
      </c>
    </row>
    <row r="244" spans="4:16">
      <c r="D244">
        <v>237</v>
      </c>
      <c r="E244" s="6">
        <f t="shared" ca="1" si="26"/>
        <v>45536</v>
      </c>
      <c r="F244" s="7">
        <f t="shared" ca="1" si="22"/>
        <v>1.0506249999999999</v>
      </c>
      <c r="G244" s="125">
        <f ca="1">IF('Simulador - 1º Pilar'!$E$99="Sí",IF('Aportaciones Poliza'!$B$13&lt;'Aportaciones Poliza'!E244,0,F244*$B$8/12),F244*$B$8/12)</f>
        <v>18385.937499999996</v>
      </c>
      <c r="H244" s="125">
        <f t="shared" ca="1" si="21"/>
        <v>0</v>
      </c>
      <c r="I244" s="125"/>
      <c r="J244" s="125">
        <f t="shared" ca="1" si="23"/>
        <v>0</v>
      </c>
      <c r="K244" s="125">
        <f t="shared" si="24"/>
        <v>0</v>
      </c>
      <c r="L244" s="125">
        <f t="shared" ca="1" si="25"/>
        <v>0</v>
      </c>
      <c r="P244">
        <f t="shared" si="27"/>
        <v>237</v>
      </c>
    </row>
    <row r="245" spans="4:16">
      <c r="D245">
        <v>238</v>
      </c>
      <c r="E245" s="6">
        <f t="shared" ca="1" si="26"/>
        <v>45505</v>
      </c>
      <c r="F245" s="7">
        <f t="shared" ca="1" si="22"/>
        <v>1.0506249999999999</v>
      </c>
      <c r="G245" s="125">
        <f ca="1">IF('Simulador - 1º Pilar'!$E$99="Sí",IF('Aportaciones Poliza'!$B$13&lt;'Aportaciones Poliza'!E245,0,F245*$B$8/12),F245*$B$8/12)</f>
        <v>18385.937499999996</v>
      </c>
      <c r="H245" s="125">
        <f t="shared" ca="1" si="21"/>
        <v>0</v>
      </c>
      <c r="I245" s="125"/>
      <c r="J245" s="125">
        <f t="shared" ca="1" si="23"/>
        <v>0</v>
      </c>
      <c r="K245" s="125">
        <f t="shared" si="24"/>
        <v>0</v>
      </c>
      <c r="L245" s="125">
        <f t="shared" ca="1" si="25"/>
        <v>0</v>
      </c>
      <c r="P245">
        <f t="shared" si="27"/>
        <v>238</v>
      </c>
    </row>
    <row r="246" spans="4:16">
      <c r="D246">
        <v>239</v>
      </c>
      <c r="E246" s="6">
        <f t="shared" ca="1" si="26"/>
        <v>45474</v>
      </c>
      <c r="F246" s="7">
        <f t="shared" ca="1" si="22"/>
        <v>1.0506249999999999</v>
      </c>
      <c r="G246" s="125">
        <f ca="1">IF('Simulador - 1º Pilar'!$E$99="Sí",IF('Aportaciones Poliza'!$B$13&lt;'Aportaciones Poliza'!E246,0,F246*$B$8/12),F246*$B$8/12)</f>
        <v>18385.937499999996</v>
      </c>
      <c r="H246" s="125">
        <f t="shared" ca="1" si="21"/>
        <v>0</v>
      </c>
      <c r="I246" s="125"/>
      <c r="J246" s="125">
        <f t="shared" ca="1" si="23"/>
        <v>0</v>
      </c>
      <c r="K246" s="125">
        <f t="shared" si="24"/>
        <v>0</v>
      </c>
      <c r="L246" s="125">
        <f t="shared" ca="1" si="25"/>
        <v>0</v>
      </c>
      <c r="P246">
        <f t="shared" si="27"/>
        <v>239</v>
      </c>
    </row>
    <row r="247" spans="4:16">
      <c r="D247">
        <v>240</v>
      </c>
      <c r="E247" s="6">
        <f t="shared" ca="1" si="26"/>
        <v>45444</v>
      </c>
      <c r="F247" s="7">
        <f t="shared" ca="1" si="22"/>
        <v>1.0506249999999999</v>
      </c>
      <c r="G247" s="125">
        <f ca="1">IF('Simulador - 1º Pilar'!$E$99="Sí",IF('Aportaciones Poliza'!$B$13&lt;'Aportaciones Poliza'!E247,0,F247*$B$8/12),F247*$B$8/12)</f>
        <v>18385.937499999996</v>
      </c>
      <c r="H247" s="125">
        <f t="shared" ca="1" si="21"/>
        <v>0</v>
      </c>
      <c r="I247" s="125"/>
      <c r="J247" s="125">
        <f t="shared" ca="1" si="23"/>
        <v>0</v>
      </c>
      <c r="K247" s="125">
        <f t="shared" si="24"/>
        <v>0</v>
      </c>
      <c r="L247" s="125">
        <f t="shared" ca="1" si="25"/>
        <v>0</v>
      </c>
      <c r="P247">
        <f t="shared" si="27"/>
        <v>240</v>
      </c>
    </row>
    <row r="248" spans="4:16">
      <c r="D248">
        <v>241</v>
      </c>
      <c r="E248" s="6">
        <f t="shared" ca="1" si="26"/>
        <v>45413</v>
      </c>
      <c r="F248" s="7">
        <f t="shared" ca="1" si="22"/>
        <v>1.0506249999999999</v>
      </c>
      <c r="G248" s="125">
        <f ca="1">IF('Simulador - 1º Pilar'!$E$99="Sí",IF('Aportaciones Poliza'!$B$13&lt;'Aportaciones Poliza'!E248,0,F248*$B$8/12),F248*$B$8/12)</f>
        <v>18385.937499999996</v>
      </c>
      <c r="H248" s="125">
        <f t="shared" ca="1" si="21"/>
        <v>0</v>
      </c>
      <c r="I248" s="125"/>
      <c r="J248" s="125">
        <f t="shared" ca="1" si="23"/>
        <v>0</v>
      </c>
      <c r="K248" s="125">
        <f t="shared" si="24"/>
        <v>0</v>
      </c>
      <c r="L248" s="125">
        <f t="shared" ca="1" si="25"/>
        <v>0</v>
      </c>
      <c r="P248">
        <f t="shared" si="27"/>
        <v>241</v>
      </c>
    </row>
    <row r="249" spans="4:16">
      <c r="D249">
        <v>242</v>
      </c>
      <c r="E249" s="6">
        <f t="shared" ca="1" si="26"/>
        <v>45383</v>
      </c>
      <c r="F249" s="7">
        <f t="shared" ca="1" si="22"/>
        <v>1.0506249999999999</v>
      </c>
      <c r="G249" s="125">
        <f ca="1">IF('Simulador - 1º Pilar'!$E$99="Sí",IF('Aportaciones Poliza'!$B$13&lt;'Aportaciones Poliza'!E249,0,F249*$B$8/12),F249*$B$8/12)</f>
        <v>18385.937499999996</v>
      </c>
      <c r="H249" s="125">
        <f t="shared" ca="1" si="21"/>
        <v>0</v>
      </c>
      <c r="I249" s="125"/>
      <c r="J249" s="125">
        <f t="shared" ca="1" si="23"/>
        <v>0</v>
      </c>
      <c r="K249" s="125">
        <f t="shared" si="24"/>
        <v>0</v>
      </c>
      <c r="L249" s="125">
        <f t="shared" ca="1" si="25"/>
        <v>0</v>
      </c>
      <c r="P249">
        <f t="shared" si="27"/>
        <v>242</v>
      </c>
    </row>
    <row r="250" spans="4:16">
      <c r="D250">
        <v>243</v>
      </c>
      <c r="E250" s="6">
        <f t="shared" ca="1" si="26"/>
        <v>45352</v>
      </c>
      <c r="F250" s="7">
        <f t="shared" ca="1" si="22"/>
        <v>1.0506249999999999</v>
      </c>
      <c r="G250" s="125">
        <f ca="1">IF('Simulador - 1º Pilar'!$E$99="Sí",IF('Aportaciones Poliza'!$B$13&lt;'Aportaciones Poliza'!E250,0,F250*$B$8/12),F250*$B$8/12)</f>
        <v>18385.937499999996</v>
      </c>
      <c r="H250" s="125">
        <f t="shared" ca="1" si="21"/>
        <v>0</v>
      </c>
      <c r="I250" s="125"/>
      <c r="J250" s="125">
        <f t="shared" ca="1" si="23"/>
        <v>0</v>
      </c>
      <c r="K250" s="125">
        <f t="shared" si="24"/>
        <v>0</v>
      </c>
      <c r="L250" s="125">
        <f t="shared" ca="1" si="25"/>
        <v>0</v>
      </c>
      <c r="P250">
        <f t="shared" si="27"/>
        <v>243</v>
      </c>
    </row>
    <row r="251" spans="4:16">
      <c r="D251">
        <v>244</v>
      </c>
      <c r="E251" s="6">
        <f t="shared" ca="1" si="26"/>
        <v>45323</v>
      </c>
      <c r="F251" s="7">
        <f t="shared" ca="1" si="22"/>
        <v>1.0506249999999999</v>
      </c>
      <c r="G251" s="125">
        <f ca="1">IF('Simulador - 1º Pilar'!$E$99="Sí",IF('Aportaciones Poliza'!$B$13&lt;'Aportaciones Poliza'!E251,0,F251*$B$8/12),F251*$B$8/12)</f>
        <v>18385.937499999996</v>
      </c>
      <c r="H251" s="125">
        <f t="shared" ca="1" si="21"/>
        <v>0</v>
      </c>
      <c r="I251" s="125"/>
      <c r="J251" s="125">
        <f t="shared" ca="1" si="23"/>
        <v>0</v>
      </c>
      <c r="K251" s="125">
        <f t="shared" si="24"/>
        <v>0</v>
      </c>
      <c r="L251" s="125">
        <f t="shared" ca="1" si="25"/>
        <v>0</v>
      </c>
      <c r="P251">
        <f t="shared" si="27"/>
        <v>244</v>
      </c>
    </row>
    <row r="252" spans="4:16">
      <c r="D252">
        <v>245</v>
      </c>
      <c r="E252" s="6">
        <f t="shared" ca="1" si="26"/>
        <v>45292</v>
      </c>
      <c r="F252" s="7">
        <f t="shared" ca="1" si="22"/>
        <v>1.0506249999999999</v>
      </c>
      <c r="G252" s="125">
        <f ca="1">IF('Simulador - 1º Pilar'!$E$99="Sí",IF('Aportaciones Poliza'!$B$13&lt;'Aportaciones Poliza'!E252,0,F252*$B$8/12),F252*$B$8/12)</f>
        <v>18385.937499999996</v>
      </c>
      <c r="H252" s="125">
        <f t="shared" ca="1" si="21"/>
        <v>0</v>
      </c>
      <c r="I252" s="125"/>
      <c r="J252" s="125">
        <f t="shared" ca="1" si="23"/>
        <v>0</v>
      </c>
      <c r="K252" s="125">
        <f t="shared" si="24"/>
        <v>0</v>
      </c>
      <c r="L252" s="125">
        <f t="shared" ca="1" si="25"/>
        <v>0</v>
      </c>
      <c r="P252">
        <f t="shared" si="27"/>
        <v>245</v>
      </c>
    </row>
    <row r="253" spans="4:16">
      <c r="D253">
        <v>246</v>
      </c>
      <c r="E253" s="6">
        <f t="shared" ca="1" si="26"/>
        <v>45261</v>
      </c>
      <c r="F253" s="7">
        <f t="shared" ca="1" si="22"/>
        <v>1.0249999999999999</v>
      </c>
      <c r="G253" s="125">
        <f ca="1">IF('Simulador - 1º Pilar'!$E$99="Sí",IF('Aportaciones Poliza'!$B$13&lt;'Aportaciones Poliza'!E253,0,F253*$B$8/12),F253*$B$8/12)</f>
        <v>17937.499999999996</v>
      </c>
      <c r="H253" s="125">
        <f t="shared" ca="1" si="21"/>
        <v>0</v>
      </c>
      <c r="I253" s="125"/>
      <c r="J253" s="125">
        <f t="shared" ca="1" si="23"/>
        <v>0</v>
      </c>
      <c r="K253" s="125">
        <f t="shared" si="24"/>
        <v>0</v>
      </c>
      <c r="L253" s="125">
        <f t="shared" ca="1" si="25"/>
        <v>0</v>
      </c>
      <c r="P253">
        <f t="shared" si="27"/>
        <v>246</v>
      </c>
    </row>
    <row r="254" spans="4:16">
      <c r="D254">
        <v>247</v>
      </c>
      <c r="E254" s="6">
        <f t="shared" ca="1" si="26"/>
        <v>45231</v>
      </c>
      <c r="F254" s="7">
        <f t="shared" ca="1" si="22"/>
        <v>1.0249999999999999</v>
      </c>
      <c r="G254" s="125">
        <f ca="1">IF('Simulador - 1º Pilar'!$E$99="Sí",IF('Aportaciones Poliza'!$B$13&lt;'Aportaciones Poliza'!E254,0,F254*$B$8/12),F254*$B$8/12)</f>
        <v>17937.499999999996</v>
      </c>
      <c r="H254" s="125">
        <f t="shared" ca="1" si="21"/>
        <v>0</v>
      </c>
      <c r="I254" s="125"/>
      <c r="J254" s="125">
        <f t="shared" ca="1" si="23"/>
        <v>0</v>
      </c>
      <c r="K254" s="125">
        <f t="shared" si="24"/>
        <v>0</v>
      </c>
      <c r="L254" s="125">
        <f t="shared" ca="1" si="25"/>
        <v>0</v>
      </c>
      <c r="P254">
        <f t="shared" si="27"/>
        <v>247</v>
      </c>
    </row>
    <row r="255" spans="4:16">
      <c r="D255">
        <v>248</v>
      </c>
      <c r="E255" s="6">
        <f t="shared" ca="1" si="26"/>
        <v>45200</v>
      </c>
      <c r="F255" s="7">
        <f t="shared" ca="1" si="22"/>
        <v>1.0249999999999999</v>
      </c>
      <c r="G255" s="125">
        <f ca="1">IF('Simulador - 1º Pilar'!$E$99="Sí",IF('Aportaciones Poliza'!$B$13&lt;'Aportaciones Poliza'!E255,0,F255*$B$8/12),F255*$B$8/12)</f>
        <v>17937.499999999996</v>
      </c>
      <c r="H255" s="125">
        <f t="shared" ca="1" si="21"/>
        <v>0</v>
      </c>
      <c r="I255" s="125"/>
      <c r="J255" s="125">
        <f t="shared" ca="1" si="23"/>
        <v>0</v>
      </c>
      <c r="K255" s="125">
        <f t="shared" si="24"/>
        <v>0</v>
      </c>
      <c r="L255" s="125">
        <f t="shared" ca="1" si="25"/>
        <v>0</v>
      </c>
      <c r="P255">
        <f t="shared" si="27"/>
        <v>248</v>
      </c>
    </row>
    <row r="256" spans="4:16">
      <c r="D256">
        <v>249</v>
      </c>
      <c r="E256" s="6">
        <f t="shared" ca="1" si="26"/>
        <v>45170</v>
      </c>
      <c r="F256" s="7">
        <f t="shared" ca="1" si="22"/>
        <v>1.0249999999999999</v>
      </c>
      <c r="G256" s="125">
        <f ca="1">IF('Simulador - 1º Pilar'!$E$99="Sí",IF('Aportaciones Poliza'!$B$13&lt;'Aportaciones Poliza'!E256,0,F256*$B$8/12),F256*$B$8/12)</f>
        <v>17937.499999999996</v>
      </c>
      <c r="H256" s="125">
        <f t="shared" ca="1" si="21"/>
        <v>0</v>
      </c>
      <c r="I256" s="125"/>
      <c r="J256" s="125">
        <f t="shared" ca="1" si="23"/>
        <v>0</v>
      </c>
      <c r="K256" s="125">
        <f t="shared" si="24"/>
        <v>0</v>
      </c>
      <c r="L256" s="125">
        <f t="shared" ca="1" si="25"/>
        <v>0</v>
      </c>
      <c r="P256">
        <f t="shared" si="27"/>
        <v>249</v>
      </c>
    </row>
    <row r="257" spans="4:16">
      <c r="D257">
        <v>250</v>
      </c>
      <c r="E257" s="6">
        <f t="shared" ca="1" si="26"/>
        <v>45139</v>
      </c>
      <c r="F257" s="7">
        <f t="shared" ca="1" si="22"/>
        <v>1.0249999999999999</v>
      </c>
      <c r="G257" s="125">
        <f ca="1">IF('Simulador - 1º Pilar'!$E$99="Sí",IF('Aportaciones Poliza'!$B$13&lt;'Aportaciones Poliza'!E257,0,F257*$B$8/12),F257*$B$8/12)</f>
        <v>17937.499999999996</v>
      </c>
      <c r="H257" s="125">
        <f t="shared" ca="1" si="21"/>
        <v>0</v>
      </c>
      <c r="I257" s="125"/>
      <c r="J257" s="125">
        <f t="shared" ca="1" si="23"/>
        <v>0</v>
      </c>
      <c r="K257" s="125">
        <f t="shared" si="24"/>
        <v>0</v>
      </c>
      <c r="L257" s="125">
        <f t="shared" ca="1" si="25"/>
        <v>0</v>
      </c>
      <c r="P257">
        <f t="shared" si="27"/>
        <v>250</v>
      </c>
    </row>
    <row r="258" spans="4:16">
      <c r="D258">
        <v>251</v>
      </c>
      <c r="E258" s="6">
        <f t="shared" ca="1" si="26"/>
        <v>45108</v>
      </c>
      <c r="F258" s="7">
        <f t="shared" ca="1" si="22"/>
        <v>1.0249999999999999</v>
      </c>
      <c r="G258" s="125">
        <f ca="1">IF('Simulador - 1º Pilar'!$E$99="Sí",IF('Aportaciones Poliza'!$B$13&lt;'Aportaciones Poliza'!E258,0,F258*$B$8/12),F258*$B$8/12)</f>
        <v>17937.499999999996</v>
      </c>
      <c r="H258" s="125">
        <f t="shared" ca="1" si="21"/>
        <v>0</v>
      </c>
      <c r="I258" s="125"/>
      <c r="J258" s="125">
        <f t="shared" ca="1" si="23"/>
        <v>0</v>
      </c>
      <c r="K258" s="125">
        <f t="shared" si="24"/>
        <v>0</v>
      </c>
      <c r="L258" s="125">
        <f t="shared" ca="1" si="25"/>
        <v>0</v>
      </c>
      <c r="P258">
        <f t="shared" si="27"/>
        <v>251</v>
      </c>
    </row>
    <row r="259" spans="4:16">
      <c r="D259">
        <v>252</v>
      </c>
      <c r="E259" s="6">
        <f t="shared" ca="1" si="26"/>
        <v>45078</v>
      </c>
      <c r="F259" s="7">
        <f t="shared" ca="1" si="22"/>
        <v>1.0249999999999999</v>
      </c>
      <c r="G259" s="125">
        <f ca="1">IF('Simulador - 1º Pilar'!$E$99="Sí",IF('Aportaciones Poliza'!$B$13&lt;'Aportaciones Poliza'!E259,0,F259*$B$8/12),F259*$B$8/12)</f>
        <v>17937.499999999996</v>
      </c>
      <c r="H259" s="125">
        <f t="shared" ca="1" si="21"/>
        <v>0</v>
      </c>
      <c r="I259" s="125"/>
      <c r="J259" s="125">
        <f t="shared" ca="1" si="23"/>
        <v>0</v>
      </c>
      <c r="K259" s="125">
        <f t="shared" si="24"/>
        <v>0</v>
      </c>
      <c r="L259" s="125">
        <f t="shared" ca="1" si="25"/>
        <v>0</v>
      </c>
      <c r="P259">
        <f t="shared" si="27"/>
        <v>252</v>
      </c>
    </row>
    <row r="260" spans="4:16">
      <c r="D260">
        <v>253</v>
      </c>
      <c r="E260" s="6">
        <f t="shared" ca="1" si="26"/>
        <v>45047</v>
      </c>
      <c r="F260" s="7">
        <f t="shared" ca="1" si="22"/>
        <v>1.0249999999999999</v>
      </c>
      <c r="G260" s="125">
        <f ca="1">IF('Simulador - 1º Pilar'!$E$99="Sí",IF('Aportaciones Poliza'!$B$13&lt;'Aportaciones Poliza'!E260,0,F260*$B$8/12),F260*$B$8/12)</f>
        <v>17937.499999999996</v>
      </c>
      <c r="H260" s="125">
        <f t="shared" ca="1" si="21"/>
        <v>0</v>
      </c>
      <c r="I260" s="125"/>
      <c r="J260" s="125">
        <f t="shared" ca="1" si="23"/>
        <v>0</v>
      </c>
      <c r="K260" s="125">
        <f t="shared" si="24"/>
        <v>0</v>
      </c>
      <c r="L260" s="125">
        <f t="shared" ca="1" si="25"/>
        <v>0</v>
      </c>
      <c r="P260">
        <f t="shared" si="27"/>
        <v>253</v>
      </c>
    </row>
    <row r="261" spans="4:16">
      <c r="D261">
        <v>254</v>
      </c>
      <c r="E261" s="6">
        <f t="shared" ca="1" si="26"/>
        <v>45017</v>
      </c>
      <c r="F261" s="7">
        <f t="shared" ca="1" si="22"/>
        <v>1.0249999999999999</v>
      </c>
      <c r="G261" s="125">
        <f ca="1">IF('Simulador - 1º Pilar'!$E$99="Sí",IF('Aportaciones Poliza'!$B$13&lt;'Aportaciones Poliza'!E261,0,F261*$B$8/12),F261*$B$8/12)</f>
        <v>17937.499999999996</v>
      </c>
      <c r="H261" s="125">
        <f t="shared" ca="1" si="21"/>
        <v>0</v>
      </c>
      <c r="I261" s="125"/>
      <c r="J261" s="125">
        <f t="shared" ca="1" si="23"/>
        <v>0</v>
      </c>
      <c r="K261" s="125">
        <f t="shared" si="24"/>
        <v>0</v>
      </c>
      <c r="L261" s="125">
        <f t="shared" ca="1" si="25"/>
        <v>0</v>
      </c>
      <c r="P261">
        <f t="shared" si="27"/>
        <v>254</v>
      </c>
    </row>
    <row r="262" spans="4:16">
      <c r="D262">
        <v>255</v>
      </c>
      <c r="E262" s="6">
        <f t="shared" ca="1" si="26"/>
        <v>44986</v>
      </c>
      <c r="F262" s="7">
        <f t="shared" ca="1" si="22"/>
        <v>1.0249999999999999</v>
      </c>
      <c r="G262" s="125">
        <f ca="1">IF('Simulador - 1º Pilar'!$E$99="Sí",IF('Aportaciones Poliza'!$B$13&lt;'Aportaciones Poliza'!E262,0,F262*$B$8/12),F262*$B$8/12)</f>
        <v>17937.499999999996</v>
      </c>
      <c r="H262" s="125">
        <f t="shared" ca="1" si="21"/>
        <v>0</v>
      </c>
      <c r="I262" s="125"/>
      <c r="J262" s="125">
        <f t="shared" ca="1" si="23"/>
        <v>0</v>
      </c>
      <c r="K262" s="125">
        <f t="shared" si="24"/>
        <v>0</v>
      </c>
      <c r="L262" s="125">
        <f t="shared" ca="1" si="25"/>
        <v>0</v>
      </c>
      <c r="P262">
        <f t="shared" si="27"/>
        <v>255</v>
      </c>
    </row>
    <row r="263" spans="4:16">
      <c r="D263">
        <v>256</v>
      </c>
      <c r="E263" s="6">
        <f t="shared" ca="1" si="26"/>
        <v>44958</v>
      </c>
      <c r="F263" s="7">
        <f t="shared" ca="1" si="22"/>
        <v>1.0249999999999999</v>
      </c>
      <c r="G263" s="125">
        <f ca="1">IF('Simulador - 1º Pilar'!$E$99="Sí",IF('Aportaciones Poliza'!$B$13&lt;'Aportaciones Poliza'!E263,0,F263*$B$8/12),F263*$B$8/12)</f>
        <v>17937.499999999996</v>
      </c>
      <c r="H263" s="125">
        <f t="shared" ref="H263:H326" ca="1" si="28">$H$5*G263</f>
        <v>0</v>
      </c>
      <c r="I263" s="125"/>
      <c r="J263" s="125">
        <f t="shared" ca="1" si="23"/>
        <v>0</v>
      </c>
      <c r="K263" s="125">
        <f t="shared" si="24"/>
        <v>0</v>
      </c>
      <c r="L263" s="125">
        <f t="shared" ca="1" si="25"/>
        <v>0</v>
      </c>
      <c r="P263">
        <f t="shared" si="27"/>
        <v>256</v>
      </c>
    </row>
    <row r="264" spans="4:16">
      <c r="D264">
        <v>257</v>
      </c>
      <c r="E264" s="6">
        <f t="shared" ca="1" si="26"/>
        <v>44927</v>
      </c>
      <c r="F264" s="7">
        <f t="shared" ref="F264:F327" ca="1" si="29">IF(DATE(YEAR($B$6),MONTH($B$6)+1,DAY(1))=E264,1,IF(MONTH(E264)=1,F265*(1+$F$5),F265))</f>
        <v>1.0249999999999999</v>
      </c>
      <c r="G264" s="125">
        <f ca="1">IF('Simulador - 1º Pilar'!$E$99="Sí",IF('Aportaciones Poliza'!$B$13&lt;'Aportaciones Poliza'!E264,0,F264*$B$8/12),F264*$B$8/12)</f>
        <v>17937.499999999996</v>
      </c>
      <c r="H264" s="125">
        <f t="shared" ca="1" si="28"/>
        <v>0</v>
      </c>
      <c r="I264" s="125"/>
      <c r="J264" s="125">
        <f t="shared" ref="J264:J327" ca="1" si="30">(1+$M$5)^(D264/12)*(H264+IF(AND(F264=1,F265=0),$Q$4,0))</f>
        <v>0</v>
      </c>
      <c r="K264" s="125">
        <f t="shared" ref="K264:K327" si="31">(1+$M$5)^(D264/12)*(I264)</f>
        <v>0</v>
      </c>
      <c r="L264" s="125">
        <f t="shared" ref="L264:L327" ca="1" si="32">K264+J264</f>
        <v>0</v>
      </c>
      <c r="P264">
        <f t="shared" si="27"/>
        <v>257</v>
      </c>
    </row>
    <row r="265" spans="4:16">
      <c r="D265">
        <v>258</v>
      </c>
      <c r="E265" s="6">
        <f t="shared" ref="E265:E315" ca="1" si="33">+DATE(YEAR(E264),MONTH(E264)-1,DAY(E264))</f>
        <v>44896</v>
      </c>
      <c r="F265" s="7">
        <f t="shared" ca="1" si="29"/>
        <v>1</v>
      </c>
      <c r="G265" s="125">
        <f ca="1">IF('Simulador - 1º Pilar'!$E$99="Sí",IF('Aportaciones Poliza'!$B$13&lt;'Aportaciones Poliza'!E265,0,F265*$B$8/12),F265*$B$8/12)</f>
        <v>17500</v>
      </c>
      <c r="H265" s="125">
        <f t="shared" ca="1" si="28"/>
        <v>0</v>
      </c>
      <c r="I265" s="125"/>
      <c r="J265" s="125">
        <f t="shared" ca="1" si="30"/>
        <v>0</v>
      </c>
      <c r="K265" s="125">
        <f t="shared" si="31"/>
        <v>0</v>
      </c>
      <c r="L265" s="125">
        <f t="shared" ca="1" si="32"/>
        <v>0</v>
      </c>
      <c r="P265">
        <f t="shared" ref="P265:P328" si="34">D265</f>
        <v>258</v>
      </c>
    </row>
    <row r="266" spans="4:16">
      <c r="D266">
        <v>259</v>
      </c>
      <c r="E266" s="6">
        <f t="shared" ca="1" si="33"/>
        <v>44866</v>
      </c>
      <c r="F266" s="7">
        <f t="shared" ca="1" si="29"/>
        <v>1</v>
      </c>
      <c r="G266" s="125">
        <f ca="1">IF('Simulador - 1º Pilar'!$E$99="Sí",IF('Aportaciones Poliza'!$B$13&lt;'Aportaciones Poliza'!E266,0,F266*$B$8/12),F266*$B$8/12)</f>
        <v>17500</v>
      </c>
      <c r="H266" s="125">
        <f t="shared" ca="1" si="28"/>
        <v>0</v>
      </c>
      <c r="I266" s="125"/>
      <c r="J266" s="125">
        <f t="shared" ca="1" si="30"/>
        <v>0</v>
      </c>
      <c r="K266" s="125">
        <f t="shared" si="31"/>
        <v>0</v>
      </c>
      <c r="L266" s="125">
        <f t="shared" ca="1" si="32"/>
        <v>0</v>
      </c>
      <c r="P266">
        <f t="shared" si="34"/>
        <v>259</v>
      </c>
    </row>
    <row r="267" spans="4:16">
      <c r="D267">
        <v>260</v>
      </c>
      <c r="E267" s="6">
        <f t="shared" ca="1" si="33"/>
        <v>44835</v>
      </c>
      <c r="F267" s="7">
        <f t="shared" ca="1" si="29"/>
        <v>1</v>
      </c>
      <c r="G267" s="125">
        <f ca="1">IF('Simulador - 1º Pilar'!$E$99="Sí",IF('Aportaciones Poliza'!$B$13&lt;'Aportaciones Poliza'!E267,0,F267*$B$8/12),F267*$B$8/12)</f>
        <v>17500</v>
      </c>
      <c r="H267" s="125">
        <f t="shared" ca="1" si="28"/>
        <v>0</v>
      </c>
      <c r="I267" s="125"/>
      <c r="J267" s="125">
        <f t="shared" ca="1" si="30"/>
        <v>0</v>
      </c>
      <c r="K267" s="125">
        <f t="shared" si="31"/>
        <v>0</v>
      </c>
      <c r="L267" s="125">
        <f t="shared" ca="1" si="32"/>
        <v>0</v>
      </c>
      <c r="P267">
        <f t="shared" si="34"/>
        <v>260</v>
      </c>
    </row>
    <row r="268" spans="4:16">
      <c r="D268">
        <v>261</v>
      </c>
      <c r="E268" s="6">
        <f t="shared" ca="1" si="33"/>
        <v>44805</v>
      </c>
      <c r="F268" s="7">
        <f t="shared" ca="1" si="29"/>
        <v>1</v>
      </c>
      <c r="G268" s="125">
        <f ca="1">IF('Simulador - 1º Pilar'!$E$99="Sí",IF('Aportaciones Poliza'!$B$13&lt;'Aportaciones Poliza'!E268,0,F268*$B$8/12),F268*$B$8/12)</f>
        <v>17500</v>
      </c>
      <c r="H268" s="125">
        <f t="shared" ca="1" si="28"/>
        <v>0</v>
      </c>
      <c r="I268" s="125"/>
      <c r="J268" s="125">
        <f t="shared" ca="1" si="30"/>
        <v>0</v>
      </c>
      <c r="K268" s="125">
        <f t="shared" si="31"/>
        <v>0</v>
      </c>
      <c r="L268" s="125">
        <f t="shared" ca="1" si="32"/>
        <v>0</v>
      </c>
      <c r="P268">
        <f t="shared" si="34"/>
        <v>261</v>
      </c>
    </row>
    <row r="269" spans="4:16">
      <c r="D269">
        <v>262</v>
      </c>
      <c r="E269" s="6">
        <f t="shared" ca="1" si="33"/>
        <v>44774</v>
      </c>
      <c r="F269" s="7">
        <f t="shared" ca="1" si="29"/>
        <v>1</v>
      </c>
      <c r="G269" s="125">
        <f ca="1">IF('Simulador - 1º Pilar'!$E$99="Sí",IF('Aportaciones Poliza'!$B$13&lt;'Aportaciones Poliza'!E269,0,F269*$B$8/12),F269*$B$8/12)</f>
        <v>17500</v>
      </c>
      <c r="H269" s="125">
        <f t="shared" ca="1" si="28"/>
        <v>0</v>
      </c>
      <c r="I269" s="125"/>
      <c r="J269" s="125">
        <f t="shared" ca="1" si="30"/>
        <v>0</v>
      </c>
      <c r="K269" s="125">
        <f t="shared" si="31"/>
        <v>0</v>
      </c>
      <c r="L269" s="125">
        <f t="shared" ca="1" si="32"/>
        <v>0</v>
      </c>
      <c r="P269">
        <f t="shared" si="34"/>
        <v>262</v>
      </c>
    </row>
    <row r="270" spans="4:16">
      <c r="D270">
        <v>263</v>
      </c>
      <c r="E270" s="6">
        <f t="shared" ca="1" si="33"/>
        <v>44743</v>
      </c>
      <c r="F270" s="7">
        <f t="shared" ca="1" si="29"/>
        <v>1</v>
      </c>
      <c r="G270" s="125">
        <f ca="1">IF('Simulador - 1º Pilar'!$E$99="Sí",IF('Aportaciones Poliza'!$B$13&lt;'Aportaciones Poliza'!E270,0,F270*$B$8/12),F270*$B$8/12)</f>
        <v>17500</v>
      </c>
      <c r="H270" s="125">
        <f t="shared" ca="1" si="28"/>
        <v>0</v>
      </c>
      <c r="I270" s="125"/>
      <c r="J270" s="125">
        <f t="shared" ca="1" si="30"/>
        <v>0</v>
      </c>
      <c r="K270" s="125">
        <f t="shared" si="31"/>
        <v>0</v>
      </c>
      <c r="L270" s="125">
        <f t="shared" ca="1" si="32"/>
        <v>0</v>
      </c>
      <c r="P270">
        <f t="shared" si="34"/>
        <v>263</v>
      </c>
    </row>
    <row r="271" spans="4:16">
      <c r="D271">
        <v>264</v>
      </c>
      <c r="E271" s="6">
        <f t="shared" ca="1" si="33"/>
        <v>44713</v>
      </c>
      <c r="F271" s="7">
        <f t="shared" ca="1" si="29"/>
        <v>1</v>
      </c>
      <c r="G271" s="125">
        <f ca="1">IF('Simulador - 1º Pilar'!$E$99="Sí",IF('Aportaciones Poliza'!$B$13&lt;'Aportaciones Poliza'!E271,0,F271*$B$8/12),F271*$B$8/12)</f>
        <v>17500</v>
      </c>
      <c r="H271" s="125">
        <f t="shared" ca="1" si="28"/>
        <v>0</v>
      </c>
      <c r="I271" s="125"/>
      <c r="J271" s="125">
        <f t="shared" ca="1" si="30"/>
        <v>0</v>
      </c>
      <c r="K271" s="125">
        <f t="shared" si="31"/>
        <v>0</v>
      </c>
      <c r="L271" s="125">
        <f t="shared" ca="1" si="32"/>
        <v>0</v>
      </c>
      <c r="P271">
        <f t="shared" si="34"/>
        <v>264</v>
      </c>
    </row>
    <row r="272" spans="4:16">
      <c r="D272">
        <v>265</v>
      </c>
      <c r="E272" s="6">
        <f t="shared" ca="1" si="33"/>
        <v>44682</v>
      </c>
      <c r="F272" s="7">
        <f t="shared" ca="1" si="29"/>
        <v>1</v>
      </c>
      <c r="G272" s="125">
        <f ca="1">IF('Simulador - 1º Pilar'!$E$99="Sí",IF('Aportaciones Poliza'!$B$13&lt;'Aportaciones Poliza'!E272,0,F272*$B$8/12),F272*$B$8/12)</f>
        <v>17500</v>
      </c>
      <c r="H272" s="125">
        <f t="shared" ca="1" si="28"/>
        <v>0</v>
      </c>
      <c r="I272" s="125"/>
      <c r="J272" s="125">
        <f t="shared" ca="1" si="30"/>
        <v>0</v>
      </c>
      <c r="K272" s="125">
        <f t="shared" si="31"/>
        <v>0</v>
      </c>
      <c r="L272" s="125">
        <f t="shared" ca="1" si="32"/>
        <v>0</v>
      </c>
      <c r="P272">
        <f t="shared" si="34"/>
        <v>265</v>
      </c>
    </row>
    <row r="273" spans="4:16">
      <c r="D273">
        <v>266</v>
      </c>
      <c r="E273" s="6">
        <f t="shared" ca="1" si="33"/>
        <v>44652</v>
      </c>
      <c r="F273" s="7">
        <f t="shared" ca="1" si="29"/>
        <v>1</v>
      </c>
      <c r="G273" s="125">
        <f ca="1">IF('Simulador - 1º Pilar'!$E$99="Sí",IF('Aportaciones Poliza'!$B$13&lt;'Aportaciones Poliza'!E273,0,F273*$B$8/12),F273*$B$8/12)</f>
        <v>17500</v>
      </c>
      <c r="H273" s="125">
        <f t="shared" ca="1" si="28"/>
        <v>0</v>
      </c>
      <c r="I273" s="125"/>
      <c r="J273" s="125">
        <f t="shared" ca="1" si="30"/>
        <v>0</v>
      </c>
      <c r="K273" s="125">
        <f t="shared" si="31"/>
        <v>0</v>
      </c>
      <c r="L273" s="125">
        <f t="shared" ca="1" si="32"/>
        <v>0</v>
      </c>
      <c r="P273">
        <f t="shared" si="34"/>
        <v>266</v>
      </c>
    </row>
    <row r="274" spans="4:16">
      <c r="D274">
        <v>267</v>
      </c>
      <c r="E274" s="6">
        <f t="shared" ca="1" si="33"/>
        <v>44621</v>
      </c>
      <c r="F274" s="7">
        <f t="shared" ca="1" si="29"/>
        <v>1</v>
      </c>
      <c r="G274" s="125">
        <f ca="1">IF('Simulador - 1º Pilar'!$E$99="Sí",IF('Aportaciones Poliza'!$B$13&lt;'Aportaciones Poliza'!E274,0,F274*$B$8/12),F274*$B$8/12)</f>
        <v>17500</v>
      </c>
      <c r="H274" s="125">
        <f t="shared" ca="1" si="28"/>
        <v>0</v>
      </c>
      <c r="I274" s="125"/>
      <c r="J274" s="125">
        <f t="shared" ca="1" si="30"/>
        <v>0</v>
      </c>
      <c r="K274" s="125">
        <f t="shared" si="31"/>
        <v>0</v>
      </c>
      <c r="L274" s="125">
        <f t="shared" ca="1" si="32"/>
        <v>0</v>
      </c>
      <c r="P274">
        <f t="shared" si="34"/>
        <v>267</v>
      </c>
    </row>
    <row r="275" spans="4:16">
      <c r="D275">
        <v>268</v>
      </c>
      <c r="E275" s="6">
        <f t="shared" ca="1" si="33"/>
        <v>44593</v>
      </c>
      <c r="F275" s="7">
        <f t="shared" ca="1" si="29"/>
        <v>1</v>
      </c>
      <c r="G275" s="125">
        <f ca="1">IF('Simulador - 1º Pilar'!$E$99="Sí",IF('Aportaciones Poliza'!$B$13&lt;'Aportaciones Poliza'!E275,0,F275*$B$8/12),F275*$B$8/12)</f>
        <v>17500</v>
      </c>
      <c r="H275" s="125">
        <f t="shared" ca="1" si="28"/>
        <v>0</v>
      </c>
      <c r="I275" s="125"/>
      <c r="J275" s="125">
        <f t="shared" ca="1" si="30"/>
        <v>0</v>
      </c>
      <c r="K275" s="125">
        <f t="shared" si="31"/>
        <v>0</v>
      </c>
      <c r="L275" s="125">
        <f t="shared" ca="1" si="32"/>
        <v>0</v>
      </c>
      <c r="P275">
        <f t="shared" si="34"/>
        <v>268</v>
      </c>
    </row>
    <row r="276" spans="4:16">
      <c r="D276">
        <v>269</v>
      </c>
      <c r="E276" s="6">
        <f t="shared" ca="1" si="33"/>
        <v>44562</v>
      </c>
      <c r="F276" s="7">
        <f t="shared" ca="1" si="29"/>
        <v>1</v>
      </c>
      <c r="G276" s="125">
        <f ca="1">IF('Simulador - 1º Pilar'!$E$99="Sí",IF('Aportaciones Poliza'!$B$13&lt;'Aportaciones Poliza'!E276,0,F276*$B$8/12),F276*$B$8/12)</f>
        <v>17500</v>
      </c>
      <c r="H276" s="125">
        <f t="shared" ca="1" si="28"/>
        <v>0</v>
      </c>
      <c r="I276" s="125"/>
      <c r="J276" s="125">
        <f t="shared" ca="1" si="30"/>
        <v>0</v>
      </c>
      <c r="K276" s="125">
        <f t="shared" si="31"/>
        <v>0</v>
      </c>
      <c r="L276" s="125">
        <f t="shared" ca="1" si="32"/>
        <v>0</v>
      </c>
      <c r="P276">
        <f t="shared" si="34"/>
        <v>269</v>
      </c>
    </row>
    <row r="277" spans="4:16">
      <c r="D277">
        <v>270</v>
      </c>
      <c r="E277" s="6">
        <f t="shared" ca="1" si="33"/>
        <v>44531</v>
      </c>
      <c r="F277" s="7">
        <f t="shared" ca="1" si="29"/>
        <v>0</v>
      </c>
      <c r="G277" s="125">
        <f ca="1">IF('Simulador - 1º Pilar'!$E$99="Sí",IF('Aportaciones Poliza'!$B$13&lt;'Aportaciones Poliza'!E277,0,F277*$B$8/12),F277*$B$8/12)</f>
        <v>0</v>
      </c>
      <c r="H277" s="125">
        <f t="shared" ca="1" si="28"/>
        <v>0</v>
      </c>
      <c r="I277" s="125"/>
      <c r="J277" s="125">
        <f t="shared" ca="1" si="30"/>
        <v>0</v>
      </c>
      <c r="K277" s="125">
        <f t="shared" si="31"/>
        <v>0</v>
      </c>
      <c r="L277" s="125">
        <f t="shared" ca="1" si="32"/>
        <v>0</v>
      </c>
      <c r="P277">
        <f t="shared" si="34"/>
        <v>270</v>
      </c>
    </row>
    <row r="278" spans="4:16">
      <c r="D278">
        <v>271</v>
      </c>
      <c r="E278" s="6">
        <f t="shared" ca="1" si="33"/>
        <v>44501</v>
      </c>
      <c r="F278" s="7">
        <f t="shared" ca="1" si="29"/>
        <v>0</v>
      </c>
      <c r="G278" s="125">
        <f ca="1">IF('Simulador - 1º Pilar'!$E$99="Sí",IF('Aportaciones Poliza'!$B$13&lt;'Aportaciones Poliza'!E278,0,F278*$B$8/12),F278*$B$8/12)</f>
        <v>0</v>
      </c>
      <c r="H278" s="125">
        <f t="shared" ca="1" si="28"/>
        <v>0</v>
      </c>
      <c r="I278" s="125"/>
      <c r="J278" s="125">
        <f t="shared" ca="1" si="30"/>
        <v>0</v>
      </c>
      <c r="K278" s="125">
        <f t="shared" si="31"/>
        <v>0</v>
      </c>
      <c r="L278" s="125">
        <f t="shared" ca="1" si="32"/>
        <v>0</v>
      </c>
      <c r="P278">
        <f t="shared" si="34"/>
        <v>271</v>
      </c>
    </row>
    <row r="279" spans="4:16">
      <c r="D279">
        <v>272</v>
      </c>
      <c r="E279" s="6">
        <f t="shared" ca="1" si="33"/>
        <v>44470</v>
      </c>
      <c r="F279" s="7">
        <f t="shared" ca="1" si="29"/>
        <v>0</v>
      </c>
      <c r="G279" s="125">
        <f ca="1">IF('Simulador - 1º Pilar'!$E$99="Sí",IF('Aportaciones Poliza'!$B$13&lt;'Aportaciones Poliza'!E279,0,F279*$B$8/12),F279*$B$8/12)</f>
        <v>0</v>
      </c>
      <c r="H279" s="125">
        <f t="shared" ca="1" si="28"/>
        <v>0</v>
      </c>
      <c r="I279" s="125"/>
      <c r="J279" s="125">
        <f t="shared" ca="1" si="30"/>
        <v>0</v>
      </c>
      <c r="K279" s="125">
        <f t="shared" si="31"/>
        <v>0</v>
      </c>
      <c r="L279" s="125">
        <f t="shared" ca="1" si="32"/>
        <v>0</v>
      </c>
      <c r="P279">
        <f t="shared" si="34"/>
        <v>272</v>
      </c>
    </row>
    <row r="280" spans="4:16">
      <c r="D280">
        <v>273</v>
      </c>
      <c r="E280" s="6">
        <f t="shared" ca="1" si="33"/>
        <v>44440</v>
      </c>
      <c r="F280" s="7">
        <f t="shared" ca="1" si="29"/>
        <v>0</v>
      </c>
      <c r="G280" s="125">
        <f ca="1">IF('Simulador - 1º Pilar'!$E$99="Sí",IF('Aportaciones Poliza'!$B$13&lt;'Aportaciones Poliza'!E280,0,F280*$B$8/12),F280*$B$8/12)</f>
        <v>0</v>
      </c>
      <c r="H280" s="125">
        <f t="shared" ca="1" si="28"/>
        <v>0</v>
      </c>
      <c r="I280" s="125"/>
      <c r="J280" s="125">
        <f t="shared" ca="1" si="30"/>
        <v>0</v>
      </c>
      <c r="K280" s="125">
        <f t="shared" si="31"/>
        <v>0</v>
      </c>
      <c r="L280" s="125">
        <f t="shared" ca="1" si="32"/>
        <v>0</v>
      </c>
      <c r="P280">
        <f t="shared" si="34"/>
        <v>273</v>
      </c>
    </row>
    <row r="281" spans="4:16">
      <c r="D281">
        <v>274</v>
      </c>
      <c r="E281" s="6">
        <f t="shared" ca="1" si="33"/>
        <v>44409</v>
      </c>
      <c r="F281" s="7">
        <f t="shared" ca="1" si="29"/>
        <v>0</v>
      </c>
      <c r="G281" s="125">
        <f ca="1">IF('Simulador - 1º Pilar'!$E$99="Sí",IF('Aportaciones Poliza'!$B$13&lt;'Aportaciones Poliza'!E281,0,F281*$B$8/12),F281*$B$8/12)</f>
        <v>0</v>
      </c>
      <c r="H281" s="125">
        <f t="shared" ca="1" si="28"/>
        <v>0</v>
      </c>
      <c r="I281" s="125"/>
      <c r="J281" s="125">
        <f t="shared" ca="1" si="30"/>
        <v>0</v>
      </c>
      <c r="K281" s="125">
        <f t="shared" si="31"/>
        <v>0</v>
      </c>
      <c r="L281" s="125">
        <f t="shared" ca="1" si="32"/>
        <v>0</v>
      </c>
      <c r="P281">
        <f t="shared" si="34"/>
        <v>274</v>
      </c>
    </row>
    <row r="282" spans="4:16">
      <c r="D282">
        <v>275</v>
      </c>
      <c r="E282" s="6">
        <f t="shared" ca="1" si="33"/>
        <v>44378</v>
      </c>
      <c r="F282" s="7">
        <f t="shared" ca="1" si="29"/>
        <v>0</v>
      </c>
      <c r="G282" s="125">
        <f ca="1">IF('Simulador - 1º Pilar'!$E$99="Sí",IF('Aportaciones Poliza'!$B$13&lt;'Aportaciones Poliza'!E282,0,F282*$B$8/12),F282*$B$8/12)</f>
        <v>0</v>
      </c>
      <c r="H282" s="125">
        <f t="shared" ca="1" si="28"/>
        <v>0</v>
      </c>
      <c r="I282" s="125"/>
      <c r="J282" s="125">
        <f t="shared" ca="1" si="30"/>
        <v>0</v>
      </c>
      <c r="K282" s="125">
        <f t="shared" si="31"/>
        <v>0</v>
      </c>
      <c r="L282" s="125">
        <f t="shared" ca="1" si="32"/>
        <v>0</v>
      </c>
      <c r="P282">
        <f t="shared" si="34"/>
        <v>275</v>
      </c>
    </row>
    <row r="283" spans="4:16">
      <c r="D283">
        <v>276</v>
      </c>
      <c r="E283" s="6">
        <f t="shared" ca="1" si="33"/>
        <v>44348</v>
      </c>
      <c r="F283" s="7">
        <f t="shared" ca="1" si="29"/>
        <v>0</v>
      </c>
      <c r="G283" s="125">
        <f ca="1">IF('Simulador - 1º Pilar'!$E$99="Sí",IF('Aportaciones Poliza'!$B$13&lt;'Aportaciones Poliza'!E283,0,F283*$B$8/12),F283*$B$8/12)</f>
        <v>0</v>
      </c>
      <c r="H283" s="125">
        <f t="shared" ca="1" si="28"/>
        <v>0</v>
      </c>
      <c r="I283" s="125"/>
      <c r="J283" s="125">
        <f t="shared" ca="1" si="30"/>
        <v>0</v>
      </c>
      <c r="K283" s="125">
        <f t="shared" si="31"/>
        <v>0</v>
      </c>
      <c r="L283" s="125">
        <f t="shared" ca="1" si="32"/>
        <v>0</v>
      </c>
      <c r="P283">
        <f t="shared" si="34"/>
        <v>276</v>
      </c>
    </row>
    <row r="284" spans="4:16">
      <c r="D284">
        <v>277</v>
      </c>
      <c r="E284" s="6">
        <f t="shared" ca="1" si="33"/>
        <v>44317</v>
      </c>
      <c r="F284" s="7">
        <f t="shared" ca="1" si="29"/>
        <v>0</v>
      </c>
      <c r="G284" s="125">
        <f ca="1">IF('Simulador - 1º Pilar'!$E$99="Sí",IF('Aportaciones Poliza'!$B$13&lt;'Aportaciones Poliza'!E284,0,F284*$B$8/12),F284*$B$8/12)</f>
        <v>0</v>
      </c>
      <c r="H284" s="125">
        <f t="shared" ca="1" si="28"/>
        <v>0</v>
      </c>
      <c r="I284" s="125"/>
      <c r="J284" s="125">
        <f t="shared" ca="1" si="30"/>
        <v>0</v>
      </c>
      <c r="K284" s="125">
        <f t="shared" si="31"/>
        <v>0</v>
      </c>
      <c r="L284" s="125">
        <f t="shared" ca="1" si="32"/>
        <v>0</v>
      </c>
      <c r="P284">
        <f t="shared" si="34"/>
        <v>277</v>
      </c>
    </row>
    <row r="285" spans="4:16">
      <c r="D285">
        <v>278</v>
      </c>
      <c r="E285" s="6">
        <f t="shared" ca="1" si="33"/>
        <v>44287</v>
      </c>
      <c r="F285" s="7">
        <f t="shared" ca="1" si="29"/>
        <v>0</v>
      </c>
      <c r="G285" s="125">
        <f ca="1">IF('Simulador - 1º Pilar'!$E$99="Sí",IF('Aportaciones Poliza'!$B$13&lt;'Aportaciones Poliza'!E285,0,F285*$B$8/12),F285*$B$8/12)</f>
        <v>0</v>
      </c>
      <c r="H285" s="125">
        <f t="shared" ca="1" si="28"/>
        <v>0</v>
      </c>
      <c r="I285" s="125"/>
      <c r="J285" s="125">
        <f t="shared" ca="1" si="30"/>
        <v>0</v>
      </c>
      <c r="K285" s="125">
        <f t="shared" si="31"/>
        <v>0</v>
      </c>
      <c r="L285" s="125">
        <f t="shared" ca="1" si="32"/>
        <v>0</v>
      </c>
      <c r="P285">
        <f t="shared" si="34"/>
        <v>278</v>
      </c>
    </row>
    <row r="286" spans="4:16">
      <c r="D286">
        <v>279</v>
      </c>
      <c r="E286" s="6">
        <f t="shared" ca="1" si="33"/>
        <v>44256</v>
      </c>
      <c r="F286" s="7">
        <f t="shared" ca="1" si="29"/>
        <v>0</v>
      </c>
      <c r="G286" s="125">
        <f ca="1">IF('Simulador - 1º Pilar'!$E$99="Sí",IF('Aportaciones Poliza'!$B$13&lt;'Aportaciones Poliza'!E286,0,F286*$B$8/12),F286*$B$8/12)</f>
        <v>0</v>
      </c>
      <c r="H286" s="125">
        <f t="shared" ca="1" si="28"/>
        <v>0</v>
      </c>
      <c r="I286" s="125"/>
      <c r="J286" s="125">
        <f t="shared" ca="1" si="30"/>
        <v>0</v>
      </c>
      <c r="K286" s="125">
        <f t="shared" si="31"/>
        <v>0</v>
      </c>
      <c r="L286" s="125">
        <f t="shared" ca="1" si="32"/>
        <v>0</v>
      </c>
      <c r="P286">
        <f t="shared" si="34"/>
        <v>279</v>
      </c>
    </row>
    <row r="287" spans="4:16">
      <c r="D287">
        <v>280</v>
      </c>
      <c r="E287" s="6">
        <f t="shared" ca="1" si="33"/>
        <v>44228</v>
      </c>
      <c r="F287" s="7">
        <f t="shared" ca="1" si="29"/>
        <v>0</v>
      </c>
      <c r="G287" s="125">
        <f ca="1">IF('Simulador - 1º Pilar'!$E$99="Sí",IF('Aportaciones Poliza'!$B$13&lt;'Aportaciones Poliza'!E287,0,F287*$B$8/12),F287*$B$8/12)</f>
        <v>0</v>
      </c>
      <c r="H287" s="125">
        <f t="shared" ca="1" si="28"/>
        <v>0</v>
      </c>
      <c r="I287" s="125"/>
      <c r="J287" s="125">
        <f t="shared" ca="1" si="30"/>
        <v>0</v>
      </c>
      <c r="K287" s="125">
        <f t="shared" si="31"/>
        <v>0</v>
      </c>
      <c r="L287" s="125">
        <f t="shared" ca="1" si="32"/>
        <v>0</v>
      </c>
      <c r="P287">
        <f t="shared" si="34"/>
        <v>280</v>
      </c>
    </row>
    <row r="288" spans="4:16">
      <c r="D288">
        <v>281</v>
      </c>
      <c r="E288" s="6">
        <f t="shared" ca="1" si="33"/>
        <v>44197</v>
      </c>
      <c r="F288" s="7">
        <f t="shared" ca="1" si="29"/>
        <v>0</v>
      </c>
      <c r="G288" s="125">
        <f ca="1">IF('Simulador - 1º Pilar'!$E$99="Sí",IF('Aportaciones Poliza'!$B$13&lt;'Aportaciones Poliza'!E288,0,F288*$B$8/12),F288*$B$8/12)</f>
        <v>0</v>
      </c>
      <c r="H288" s="125">
        <f t="shared" ca="1" si="28"/>
        <v>0</v>
      </c>
      <c r="I288" s="125"/>
      <c r="J288" s="125">
        <f t="shared" ca="1" si="30"/>
        <v>0</v>
      </c>
      <c r="K288" s="125">
        <f t="shared" si="31"/>
        <v>0</v>
      </c>
      <c r="L288" s="125">
        <f t="shared" ca="1" si="32"/>
        <v>0</v>
      </c>
      <c r="P288">
        <f t="shared" si="34"/>
        <v>281</v>
      </c>
    </row>
    <row r="289" spans="4:16">
      <c r="D289">
        <v>282</v>
      </c>
      <c r="E289" s="6">
        <f t="shared" ca="1" si="33"/>
        <v>44166</v>
      </c>
      <c r="F289" s="7">
        <f t="shared" ca="1" si="29"/>
        <v>0</v>
      </c>
      <c r="G289" s="125">
        <f ca="1">IF('Simulador - 1º Pilar'!$E$99="Sí",IF('Aportaciones Poliza'!$B$13&lt;'Aportaciones Poliza'!E289,0,F289*$B$8/12),F289*$B$8/12)</f>
        <v>0</v>
      </c>
      <c r="H289" s="125">
        <f t="shared" ca="1" si="28"/>
        <v>0</v>
      </c>
      <c r="I289" s="125"/>
      <c r="J289" s="125">
        <f t="shared" ca="1" si="30"/>
        <v>0</v>
      </c>
      <c r="K289" s="125">
        <f t="shared" si="31"/>
        <v>0</v>
      </c>
      <c r="L289" s="125">
        <f t="shared" ca="1" si="32"/>
        <v>0</v>
      </c>
      <c r="P289">
        <f t="shared" si="34"/>
        <v>282</v>
      </c>
    </row>
    <row r="290" spans="4:16">
      <c r="D290">
        <v>283</v>
      </c>
      <c r="E290" s="6">
        <f t="shared" ca="1" si="33"/>
        <v>44136</v>
      </c>
      <c r="F290" s="7">
        <f t="shared" ca="1" si="29"/>
        <v>0</v>
      </c>
      <c r="G290" s="125">
        <f ca="1">IF('Simulador - 1º Pilar'!$E$99="Sí",IF('Aportaciones Poliza'!$B$13&lt;'Aportaciones Poliza'!E290,0,F290*$B$8/12),F290*$B$8/12)</f>
        <v>0</v>
      </c>
      <c r="H290" s="125">
        <f t="shared" ca="1" si="28"/>
        <v>0</v>
      </c>
      <c r="I290" s="125"/>
      <c r="J290" s="125">
        <f t="shared" ca="1" si="30"/>
        <v>0</v>
      </c>
      <c r="K290" s="125">
        <f t="shared" si="31"/>
        <v>0</v>
      </c>
      <c r="L290" s="125">
        <f t="shared" ca="1" si="32"/>
        <v>0</v>
      </c>
      <c r="P290">
        <f t="shared" si="34"/>
        <v>283</v>
      </c>
    </row>
    <row r="291" spans="4:16">
      <c r="D291">
        <v>284</v>
      </c>
      <c r="E291" s="6">
        <f t="shared" ca="1" si="33"/>
        <v>44105</v>
      </c>
      <c r="F291" s="7">
        <f t="shared" ca="1" si="29"/>
        <v>0</v>
      </c>
      <c r="G291" s="125">
        <f ca="1">IF('Simulador - 1º Pilar'!$E$99="Sí",IF('Aportaciones Poliza'!$B$13&lt;'Aportaciones Poliza'!E291,0,F291*$B$8/12),F291*$B$8/12)</f>
        <v>0</v>
      </c>
      <c r="H291" s="125">
        <f t="shared" ca="1" si="28"/>
        <v>0</v>
      </c>
      <c r="I291" s="125"/>
      <c r="J291" s="125">
        <f t="shared" ca="1" si="30"/>
        <v>0</v>
      </c>
      <c r="K291" s="125">
        <f t="shared" si="31"/>
        <v>0</v>
      </c>
      <c r="L291" s="125">
        <f t="shared" ca="1" si="32"/>
        <v>0</v>
      </c>
      <c r="P291">
        <f t="shared" si="34"/>
        <v>284</v>
      </c>
    </row>
    <row r="292" spans="4:16">
      <c r="D292">
        <v>285</v>
      </c>
      <c r="E292" s="6">
        <f t="shared" ca="1" si="33"/>
        <v>44075</v>
      </c>
      <c r="F292" s="7">
        <f t="shared" ca="1" si="29"/>
        <v>0</v>
      </c>
      <c r="G292" s="125">
        <f ca="1">IF('Simulador - 1º Pilar'!$E$99="Sí",IF('Aportaciones Poliza'!$B$13&lt;'Aportaciones Poliza'!E292,0,F292*$B$8/12),F292*$B$8/12)</f>
        <v>0</v>
      </c>
      <c r="H292" s="125">
        <f t="shared" ca="1" si="28"/>
        <v>0</v>
      </c>
      <c r="I292" s="125"/>
      <c r="J292" s="125">
        <f t="shared" ca="1" si="30"/>
        <v>0</v>
      </c>
      <c r="K292" s="125">
        <f t="shared" si="31"/>
        <v>0</v>
      </c>
      <c r="L292" s="125">
        <f t="shared" ca="1" si="32"/>
        <v>0</v>
      </c>
      <c r="P292">
        <f t="shared" si="34"/>
        <v>285</v>
      </c>
    </row>
    <row r="293" spans="4:16">
      <c r="D293">
        <v>286</v>
      </c>
      <c r="E293" s="6">
        <f t="shared" ca="1" si="33"/>
        <v>44044</v>
      </c>
      <c r="F293" s="7">
        <f t="shared" ca="1" si="29"/>
        <v>0</v>
      </c>
      <c r="G293" s="125">
        <f ca="1">IF('Simulador - 1º Pilar'!$E$99="Sí",IF('Aportaciones Poliza'!$B$13&lt;'Aportaciones Poliza'!E293,0,F293*$B$8/12),F293*$B$8/12)</f>
        <v>0</v>
      </c>
      <c r="H293" s="125">
        <f t="shared" ca="1" si="28"/>
        <v>0</v>
      </c>
      <c r="I293" s="125"/>
      <c r="J293" s="125">
        <f t="shared" ca="1" si="30"/>
        <v>0</v>
      </c>
      <c r="K293" s="125">
        <f t="shared" si="31"/>
        <v>0</v>
      </c>
      <c r="L293" s="125">
        <f t="shared" ca="1" si="32"/>
        <v>0</v>
      </c>
      <c r="P293">
        <f t="shared" si="34"/>
        <v>286</v>
      </c>
    </row>
    <row r="294" spans="4:16">
      <c r="D294">
        <v>287</v>
      </c>
      <c r="E294" s="6">
        <f t="shared" ca="1" si="33"/>
        <v>44013</v>
      </c>
      <c r="F294" s="7">
        <f t="shared" ca="1" si="29"/>
        <v>0</v>
      </c>
      <c r="G294" s="125">
        <f ca="1">IF('Simulador - 1º Pilar'!$E$99="Sí",IF('Aportaciones Poliza'!$B$13&lt;'Aportaciones Poliza'!E294,0,F294*$B$8/12),F294*$B$8/12)</f>
        <v>0</v>
      </c>
      <c r="H294" s="125">
        <f t="shared" ca="1" si="28"/>
        <v>0</v>
      </c>
      <c r="I294" s="125"/>
      <c r="J294" s="125">
        <f t="shared" ca="1" si="30"/>
        <v>0</v>
      </c>
      <c r="K294" s="125">
        <f t="shared" si="31"/>
        <v>0</v>
      </c>
      <c r="L294" s="125">
        <f t="shared" ca="1" si="32"/>
        <v>0</v>
      </c>
      <c r="P294">
        <f t="shared" si="34"/>
        <v>287</v>
      </c>
    </row>
    <row r="295" spans="4:16">
      <c r="D295">
        <v>288</v>
      </c>
      <c r="E295" s="6">
        <f t="shared" ca="1" si="33"/>
        <v>43983</v>
      </c>
      <c r="F295" s="7">
        <f t="shared" ca="1" si="29"/>
        <v>0</v>
      </c>
      <c r="G295" s="125">
        <f ca="1">IF('Simulador - 1º Pilar'!$E$99="Sí",IF('Aportaciones Poliza'!$B$13&lt;'Aportaciones Poliza'!E295,0,F295*$B$8/12),F295*$B$8/12)</f>
        <v>0</v>
      </c>
      <c r="H295" s="125">
        <f t="shared" ca="1" si="28"/>
        <v>0</v>
      </c>
      <c r="I295" s="125"/>
      <c r="J295" s="125">
        <f t="shared" ca="1" si="30"/>
        <v>0</v>
      </c>
      <c r="K295" s="125">
        <f t="shared" si="31"/>
        <v>0</v>
      </c>
      <c r="L295" s="125">
        <f t="shared" ca="1" si="32"/>
        <v>0</v>
      </c>
      <c r="P295">
        <f t="shared" si="34"/>
        <v>288</v>
      </c>
    </row>
    <row r="296" spans="4:16">
      <c r="D296">
        <v>289</v>
      </c>
      <c r="E296" s="6">
        <f t="shared" ca="1" si="33"/>
        <v>43952</v>
      </c>
      <c r="F296" s="7">
        <f t="shared" ca="1" si="29"/>
        <v>0</v>
      </c>
      <c r="G296" s="125">
        <f ca="1">IF('Simulador - 1º Pilar'!$E$99="Sí",IF('Aportaciones Poliza'!$B$13&lt;'Aportaciones Poliza'!E296,0,F296*$B$8/12),F296*$B$8/12)</f>
        <v>0</v>
      </c>
      <c r="H296" s="125">
        <f t="shared" ca="1" si="28"/>
        <v>0</v>
      </c>
      <c r="I296" s="125"/>
      <c r="J296" s="125">
        <f t="shared" ca="1" si="30"/>
        <v>0</v>
      </c>
      <c r="K296" s="125">
        <f t="shared" si="31"/>
        <v>0</v>
      </c>
      <c r="L296" s="125">
        <f t="shared" ca="1" si="32"/>
        <v>0</v>
      </c>
      <c r="P296">
        <f t="shared" si="34"/>
        <v>289</v>
      </c>
    </row>
    <row r="297" spans="4:16">
      <c r="D297">
        <v>290</v>
      </c>
      <c r="E297" s="6">
        <f t="shared" ca="1" si="33"/>
        <v>43922</v>
      </c>
      <c r="F297" s="7">
        <f t="shared" ca="1" si="29"/>
        <v>0</v>
      </c>
      <c r="G297" s="125">
        <f ca="1">IF('Simulador - 1º Pilar'!$E$99="Sí",IF('Aportaciones Poliza'!$B$13&lt;'Aportaciones Poliza'!E297,0,F297*$B$8/12),F297*$B$8/12)</f>
        <v>0</v>
      </c>
      <c r="H297" s="125">
        <f t="shared" ca="1" si="28"/>
        <v>0</v>
      </c>
      <c r="I297" s="125"/>
      <c r="J297" s="125">
        <f t="shared" ca="1" si="30"/>
        <v>0</v>
      </c>
      <c r="K297" s="125">
        <f t="shared" si="31"/>
        <v>0</v>
      </c>
      <c r="L297" s="125">
        <f t="shared" ca="1" si="32"/>
        <v>0</v>
      </c>
      <c r="P297">
        <f t="shared" si="34"/>
        <v>290</v>
      </c>
    </row>
    <row r="298" spans="4:16">
      <c r="D298">
        <v>291</v>
      </c>
      <c r="E298" s="6">
        <f t="shared" ca="1" si="33"/>
        <v>43891</v>
      </c>
      <c r="F298" s="7">
        <f t="shared" ca="1" si="29"/>
        <v>0</v>
      </c>
      <c r="G298" s="125">
        <f ca="1">IF('Simulador - 1º Pilar'!$E$99="Sí",IF('Aportaciones Poliza'!$B$13&lt;'Aportaciones Poliza'!E298,0,F298*$B$8/12),F298*$B$8/12)</f>
        <v>0</v>
      </c>
      <c r="H298" s="125">
        <f t="shared" ca="1" si="28"/>
        <v>0</v>
      </c>
      <c r="I298" s="125"/>
      <c r="J298" s="125">
        <f t="shared" ca="1" si="30"/>
        <v>0</v>
      </c>
      <c r="K298" s="125">
        <f t="shared" si="31"/>
        <v>0</v>
      </c>
      <c r="L298" s="125">
        <f t="shared" ca="1" si="32"/>
        <v>0</v>
      </c>
      <c r="P298">
        <f t="shared" si="34"/>
        <v>291</v>
      </c>
    </row>
    <row r="299" spans="4:16">
      <c r="D299">
        <v>292</v>
      </c>
      <c r="E299" s="6">
        <f t="shared" ca="1" si="33"/>
        <v>43862</v>
      </c>
      <c r="F299" s="7">
        <f t="shared" ca="1" si="29"/>
        <v>0</v>
      </c>
      <c r="G299" s="125">
        <f ca="1">IF('Simulador - 1º Pilar'!$E$99="Sí",IF('Aportaciones Poliza'!$B$13&lt;'Aportaciones Poliza'!E299,0,F299*$B$8/12),F299*$B$8/12)</f>
        <v>0</v>
      </c>
      <c r="H299" s="125">
        <f t="shared" ca="1" si="28"/>
        <v>0</v>
      </c>
      <c r="I299" s="125"/>
      <c r="J299" s="125">
        <f t="shared" ca="1" si="30"/>
        <v>0</v>
      </c>
      <c r="K299" s="125">
        <f t="shared" si="31"/>
        <v>0</v>
      </c>
      <c r="L299" s="125">
        <f t="shared" ca="1" si="32"/>
        <v>0</v>
      </c>
      <c r="P299">
        <f t="shared" si="34"/>
        <v>292</v>
      </c>
    </row>
    <row r="300" spans="4:16">
      <c r="D300">
        <v>293</v>
      </c>
      <c r="E300" s="6">
        <f t="shared" ca="1" si="33"/>
        <v>43831</v>
      </c>
      <c r="F300" s="7">
        <f t="shared" ca="1" si="29"/>
        <v>0</v>
      </c>
      <c r="G300" s="125">
        <f ca="1">IF('Simulador - 1º Pilar'!$E$99="Sí",IF('Aportaciones Poliza'!$B$13&lt;'Aportaciones Poliza'!E300,0,F300*$B$8/12),F300*$B$8/12)</f>
        <v>0</v>
      </c>
      <c r="H300" s="125">
        <f t="shared" ca="1" si="28"/>
        <v>0</v>
      </c>
      <c r="I300" s="125"/>
      <c r="J300" s="125">
        <f t="shared" ca="1" si="30"/>
        <v>0</v>
      </c>
      <c r="K300" s="125">
        <f t="shared" si="31"/>
        <v>0</v>
      </c>
      <c r="L300" s="125">
        <f t="shared" ca="1" si="32"/>
        <v>0</v>
      </c>
      <c r="P300">
        <f t="shared" si="34"/>
        <v>293</v>
      </c>
    </row>
    <row r="301" spans="4:16">
      <c r="D301">
        <v>294</v>
      </c>
      <c r="E301" s="6">
        <f t="shared" ca="1" si="33"/>
        <v>43800</v>
      </c>
      <c r="F301" s="7">
        <f t="shared" ca="1" si="29"/>
        <v>0</v>
      </c>
      <c r="G301" s="125">
        <f ca="1">IF('Simulador - 1º Pilar'!$E$99="Sí",IF('Aportaciones Poliza'!$B$13&lt;'Aportaciones Poliza'!E301,0,F301*$B$8/12),F301*$B$8/12)</f>
        <v>0</v>
      </c>
      <c r="H301" s="125">
        <f t="shared" ca="1" si="28"/>
        <v>0</v>
      </c>
      <c r="I301" s="125"/>
      <c r="J301" s="125">
        <f t="shared" ca="1" si="30"/>
        <v>0</v>
      </c>
      <c r="K301" s="125">
        <f t="shared" si="31"/>
        <v>0</v>
      </c>
      <c r="L301" s="125">
        <f t="shared" ca="1" si="32"/>
        <v>0</v>
      </c>
      <c r="P301">
        <f t="shared" si="34"/>
        <v>294</v>
      </c>
    </row>
    <row r="302" spans="4:16">
      <c r="D302">
        <v>295</v>
      </c>
      <c r="E302" s="6">
        <f t="shared" ca="1" si="33"/>
        <v>43770</v>
      </c>
      <c r="F302" s="7">
        <f t="shared" ca="1" si="29"/>
        <v>0</v>
      </c>
      <c r="G302" s="125">
        <f ca="1">IF('Simulador - 1º Pilar'!$E$99="Sí",IF('Aportaciones Poliza'!$B$13&lt;'Aportaciones Poliza'!E302,0,F302*$B$8/12),F302*$B$8/12)</f>
        <v>0</v>
      </c>
      <c r="H302" s="125">
        <f t="shared" ca="1" si="28"/>
        <v>0</v>
      </c>
      <c r="I302" s="125"/>
      <c r="J302" s="125">
        <f t="shared" ca="1" si="30"/>
        <v>0</v>
      </c>
      <c r="K302" s="125">
        <f t="shared" si="31"/>
        <v>0</v>
      </c>
      <c r="L302" s="125">
        <f t="shared" ca="1" si="32"/>
        <v>0</v>
      </c>
      <c r="P302">
        <f t="shared" si="34"/>
        <v>295</v>
      </c>
    </row>
    <row r="303" spans="4:16">
      <c r="D303">
        <v>296</v>
      </c>
      <c r="E303" s="6">
        <f t="shared" ca="1" si="33"/>
        <v>43739</v>
      </c>
      <c r="F303" s="7">
        <f t="shared" ca="1" si="29"/>
        <v>0</v>
      </c>
      <c r="G303" s="125">
        <f ca="1">IF('Simulador - 1º Pilar'!$E$99="Sí",IF('Aportaciones Poliza'!$B$13&lt;'Aportaciones Poliza'!E303,0,F303*$B$8/12),F303*$B$8/12)</f>
        <v>0</v>
      </c>
      <c r="H303" s="125">
        <f t="shared" ca="1" si="28"/>
        <v>0</v>
      </c>
      <c r="I303" s="125"/>
      <c r="J303" s="125">
        <f t="shared" ca="1" si="30"/>
        <v>0</v>
      </c>
      <c r="K303" s="125">
        <f t="shared" si="31"/>
        <v>0</v>
      </c>
      <c r="L303" s="125">
        <f t="shared" ca="1" si="32"/>
        <v>0</v>
      </c>
      <c r="P303">
        <f t="shared" si="34"/>
        <v>296</v>
      </c>
    </row>
    <row r="304" spans="4:16">
      <c r="D304">
        <v>297</v>
      </c>
      <c r="E304" s="6">
        <f t="shared" ca="1" si="33"/>
        <v>43709</v>
      </c>
      <c r="F304" s="7">
        <f t="shared" ca="1" si="29"/>
        <v>0</v>
      </c>
      <c r="G304" s="125">
        <f ca="1">IF('Simulador - 1º Pilar'!$E$99="Sí",IF('Aportaciones Poliza'!$B$13&lt;'Aportaciones Poliza'!E304,0,F304*$B$8/12),F304*$B$8/12)</f>
        <v>0</v>
      </c>
      <c r="H304" s="125">
        <f t="shared" ca="1" si="28"/>
        <v>0</v>
      </c>
      <c r="I304" s="125"/>
      <c r="J304" s="125">
        <f t="shared" ca="1" si="30"/>
        <v>0</v>
      </c>
      <c r="K304" s="125">
        <f t="shared" si="31"/>
        <v>0</v>
      </c>
      <c r="L304" s="125">
        <f t="shared" ca="1" si="32"/>
        <v>0</v>
      </c>
      <c r="P304">
        <f t="shared" si="34"/>
        <v>297</v>
      </c>
    </row>
    <row r="305" spans="4:16">
      <c r="D305">
        <v>298</v>
      </c>
      <c r="E305" s="6">
        <f t="shared" ca="1" si="33"/>
        <v>43678</v>
      </c>
      <c r="F305" s="7">
        <f t="shared" ca="1" si="29"/>
        <v>0</v>
      </c>
      <c r="G305" s="125">
        <f ca="1">IF('Simulador - 1º Pilar'!$E$99="Sí",IF('Aportaciones Poliza'!$B$13&lt;'Aportaciones Poliza'!E305,0,F305*$B$8/12),F305*$B$8/12)</f>
        <v>0</v>
      </c>
      <c r="H305" s="125">
        <f t="shared" ca="1" si="28"/>
        <v>0</v>
      </c>
      <c r="I305" s="125"/>
      <c r="J305" s="125">
        <f t="shared" ca="1" si="30"/>
        <v>0</v>
      </c>
      <c r="K305" s="125">
        <f t="shared" si="31"/>
        <v>0</v>
      </c>
      <c r="L305" s="125">
        <f t="shared" ca="1" si="32"/>
        <v>0</v>
      </c>
      <c r="P305">
        <f t="shared" si="34"/>
        <v>298</v>
      </c>
    </row>
    <row r="306" spans="4:16">
      <c r="D306">
        <v>299</v>
      </c>
      <c r="E306" s="6">
        <f t="shared" ca="1" si="33"/>
        <v>43647</v>
      </c>
      <c r="F306" s="7">
        <f t="shared" ca="1" si="29"/>
        <v>0</v>
      </c>
      <c r="G306" s="125">
        <f ca="1">IF('Simulador - 1º Pilar'!$E$99="Sí",IF('Aportaciones Poliza'!$B$13&lt;'Aportaciones Poliza'!E306,0,F306*$B$8/12),F306*$B$8/12)</f>
        <v>0</v>
      </c>
      <c r="H306" s="125">
        <f t="shared" ca="1" si="28"/>
        <v>0</v>
      </c>
      <c r="I306" s="125"/>
      <c r="J306" s="125">
        <f t="shared" ca="1" si="30"/>
        <v>0</v>
      </c>
      <c r="K306" s="125">
        <f t="shared" si="31"/>
        <v>0</v>
      </c>
      <c r="L306" s="125">
        <f t="shared" ca="1" si="32"/>
        <v>0</v>
      </c>
      <c r="P306">
        <f t="shared" si="34"/>
        <v>299</v>
      </c>
    </row>
    <row r="307" spans="4:16">
      <c r="D307">
        <v>300</v>
      </c>
      <c r="E307" s="6">
        <f t="shared" ca="1" si="33"/>
        <v>43617</v>
      </c>
      <c r="F307" s="7">
        <f t="shared" ca="1" si="29"/>
        <v>0</v>
      </c>
      <c r="G307" s="125">
        <f ca="1">IF('Simulador - 1º Pilar'!$E$99="Sí",IF('Aportaciones Poliza'!$B$13&lt;'Aportaciones Poliza'!E307,0,F307*$B$8/12),F307*$B$8/12)</f>
        <v>0</v>
      </c>
      <c r="H307" s="125">
        <f t="shared" ca="1" si="28"/>
        <v>0</v>
      </c>
      <c r="I307" s="125"/>
      <c r="J307" s="125">
        <f t="shared" ca="1" si="30"/>
        <v>0</v>
      </c>
      <c r="K307" s="125">
        <f t="shared" si="31"/>
        <v>0</v>
      </c>
      <c r="L307" s="125">
        <f t="shared" ca="1" si="32"/>
        <v>0</v>
      </c>
      <c r="P307">
        <f t="shared" si="34"/>
        <v>300</v>
      </c>
    </row>
    <row r="308" spans="4:16">
      <c r="D308">
        <v>301</v>
      </c>
      <c r="E308" s="6">
        <f t="shared" ca="1" si="33"/>
        <v>43586</v>
      </c>
      <c r="F308" s="7">
        <f t="shared" ca="1" si="29"/>
        <v>0</v>
      </c>
      <c r="G308" s="125">
        <f ca="1">IF('Simulador - 1º Pilar'!$E$99="Sí",IF('Aportaciones Poliza'!$B$13&lt;'Aportaciones Poliza'!E308,0,F308*$B$8/12),F308*$B$8/12)</f>
        <v>0</v>
      </c>
      <c r="H308" s="125">
        <f t="shared" ca="1" si="28"/>
        <v>0</v>
      </c>
      <c r="I308" s="125"/>
      <c r="J308" s="125">
        <f t="shared" ca="1" si="30"/>
        <v>0</v>
      </c>
      <c r="K308" s="125">
        <f t="shared" si="31"/>
        <v>0</v>
      </c>
      <c r="L308" s="125">
        <f t="shared" ca="1" si="32"/>
        <v>0</v>
      </c>
      <c r="P308">
        <f t="shared" si="34"/>
        <v>301</v>
      </c>
    </row>
    <row r="309" spans="4:16">
      <c r="D309">
        <v>302</v>
      </c>
      <c r="E309" s="6">
        <f t="shared" ca="1" si="33"/>
        <v>43556</v>
      </c>
      <c r="F309" s="7">
        <f t="shared" ca="1" si="29"/>
        <v>0</v>
      </c>
      <c r="G309" s="125">
        <f ca="1">IF('Simulador - 1º Pilar'!$E$99="Sí",IF('Aportaciones Poliza'!$B$13&lt;'Aportaciones Poliza'!E309,0,F309*$B$8/12),F309*$B$8/12)</f>
        <v>0</v>
      </c>
      <c r="H309" s="125">
        <f t="shared" ca="1" si="28"/>
        <v>0</v>
      </c>
      <c r="I309" s="125"/>
      <c r="J309" s="125">
        <f t="shared" ca="1" si="30"/>
        <v>0</v>
      </c>
      <c r="K309" s="125">
        <f t="shared" si="31"/>
        <v>0</v>
      </c>
      <c r="L309" s="125">
        <f t="shared" ca="1" si="32"/>
        <v>0</v>
      </c>
      <c r="P309">
        <f t="shared" si="34"/>
        <v>302</v>
      </c>
    </row>
    <row r="310" spans="4:16">
      <c r="D310">
        <v>303</v>
      </c>
      <c r="E310" s="6">
        <f t="shared" ca="1" si="33"/>
        <v>43525</v>
      </c>
      <c r="F310" s="7">
        <f t="shared" ca="1" si="29"/>
        <v>0</v>
      </c>
      <c r="G310" s="125">
        <f ca="1">IF('Simulador - 1º Pilar'!$E$99="Sí",IF('Aportaciones Poliza'!$B$13&lt;'Aportaciones Poliza'!E310,0,F310*$B$8/12),F310*$B$8/12)</f>
        <v>0</v>
      </c>
      <c r="H310" s="125">
        <f t="shared" ca="1" si="28"/>
        <v>0</v>
      </c>
      <c r="I310" s="125"/>
      <c r="J310" s="125">
        <f t="shared" ca="1" si="30"/>
        <v>0</v>
      </c>
      <c r="K310" s="125">
        <f t="shared" si="31"/>
        <v>0</v>
      </c>
      <c r="L310" s="125">
        <f t="shared" ca="1" si="32"/>
        <v>0</v>
      </c>
      <c r="P310">
        <f t="shared" si="34"/>
        <v>303</v>
      </c>
    </row>
    <row r="311" spans="4:16">
      <c r="D311">
        <v>304</v>
      </c>
      <c r="E311" s="6">
        <f t="shared" ca="1" si="33"/>
        <v>43497</v>
      </c>
      <c r="F311" s="7">
        <f t="shared" ca="1" si="29"/>
        <v>0</v>
      </c>
      <c r="G311" s="125">
        <f ca="1">IF('Simulador - 1º Pilar'!$E$99="Sí",IF('Aportaciones Poliza'!$B$13&lt;'Aportaciones Poliza'!E311,0,F311*$B$8/12),F311*$B$8/12)</f>
        <v>0</v>
      </c>
      <c r="H311" s="125">
        <f t="shared" ca="1" si="28"/>
        <v>0</v>
      </c>
      <c r="I311" s="125"/>
      <c r="J311" s="125">
        <f t="shared" ca="1" si="30"/>
        <v>0</v>
      </c>
      <c r="K311" s="125">
        <f t="shared" si="31"/>
        <v>0</v>
      </c>
      <c r="L311" s="125">
        <f t="shared" ca="1" si="32"/>
        <v>0</v>
      </c>
      <c r="P311">
        <f t="shared" si="34"/>
        <v>304</v>
      </c>
    </row>
    <row r="312" spans="4:16">
      <c r="D312">
        <v>305</v>
      </c>
      <c r="E312" s="6">
        <f t="shared" ca="1" si="33"/>
        <v>43466</v>
      </c>
      <c r="F312" s="7">
        <f t="shared" ca="1" si="29"/>
        <v>0</v>
      </c>
      <c r="G312" s="125">
        <f ca="1">IF('Simulador - 1º Pilar'!$E$99="Sí",IF('Aportaciones Poliza'!$B$13&lt;'Aportaciones Poliza'!E312,0,F312*$B$8/12),F312*$B$8/12)</f>
        <v>0</v>
      </c>
      <c r="H312" s="125">
        <f t="shared" ca="1" si="28"/>
        <v>0</v>
      </c>
      <c r="I312" s="125"/>
      <c r="J312" s="125">
        <f t="shared" ca="1" si="30"/>
        <v>0</v>
      </c>
      <c r="K312" s="125">
        <f t="shared" si="31"/>
        <v>0</v>
      </c>
      <c r="L312" s="125">
        <f t="shared" ca="1" si="32"/>
        <v>0</v>
      </c>
      <c r="P312">
        <f t="shared" si="34"/>
        <v>305</v>
      </c>
    </row>
    <row r="313" spans="4:16">
      <c r="D313">
        <v>306</v>
      </c>
      <c r="E313" s="6">
        <f t="shared" ca="1" si="33"/>
        <v>43435</v>
      </c>
      <c r="F313" s="7">
        <f t="shared" ca="1" si="29"/>
        <v>0</v>
      </c>
      <c r="G313" s="125">
        <f ca="1">IF('Simulador - 1º Pilar'!$E$99="Sí",IF('Aportaciones Poliza'!$B$13&lt;'Aportaciones Poliza'!E313,0,F313*$B$8/12),F313*$B$8/12)</f>
        <v>0</v>
      </c>
      <c r="H313" s="125">
        <f t="shared" ca="1" si="28"/>
        <v>0</v>
      </c>
      <c r="I313" s="125"/>
      <c r="J313" s="125">
        <f t="shared" ca="1" si="30"/>
        <v>0</v>
      </c>
      <c r="K313" s="125">
        <f t="shared" si="31"/>
        <v>0</v>
      </c>
      <c r="L313" s="125">
        <f t="shared" ca="1" si="32"/>
        <v>0</v>
      </c>
      <c r="M313" s="55"/>
      <c r="P313">
        <f t="shared" si="34"/>
        <v>306</v>
      </c>
    </row>
    <row r="314" spans="4:16">
      <c r="D314">
        <v>307</v>
      </c>
      <c r="E314" s="6">
        <f t="shared" ca="1" si="33"/>
        <v>43405</v>
      </c>
      <c r="F314" s="7">
        <f t="shared" ca="1" si="29"/>
        <v>0</v>
      </c>
      <c r="G314" s="125">
        <f ca="1">IF('Simulador - 1º Pilar'!$E$99="Sí",IF('Aportaciones Poliza'!$B$13&lt;'Aportaciones Poliza'!E314,0,F314*$B$8/12),F314*$B$8/12)</f>
        <v>0</v>
      </c>
      <c r="H314" s="125">
        <f t="shared" ca="1" si="28"/>
        <v>0</v>
      </c>
      <c r="I314" s="125"/>
      <c r="J314" s="125">
        <f t="shared" ca="1" si="30"/>
        <v>0</v>
      </c>
      <c r="K314" s="125">
        <f t="shared" si="31"/>
        <v>0</v>
      </c>
      <c r="L314" s="125">
        <f t="shared" ca="1" si="32"/>
        <v>0</v>
      </c>
      <c r="P314">
        <f t="shared" si="34"/>
        <v>307</v>
      </c>
    </row>
    <row r="315" spans="4:16">
      <c r="D315">
        <v>308</v>
      </c>
      <c r="E315" s="6">
        <f t="shared" ca="1" si="33"/>
        <v>43374</v>
      </c>
      <c r="F315" s="7">
        <f t="shared" ca="1" si="29"/>
        <v>0</v>
      </c>
      <c r="G315" s="125">
        <f ca="1">IF('Simulador - 1º Pilar'!$E$99="Sí",IF('Aportaciones Poliza'!$B$13&lt;'Aportaciones Poliza'!E315,0,F315*$B$8/12),F315*$B$8/12)</f>
        <v>0</v>
      </c>
      <c r="H315" s="125">
        <f t="shared" ca="1" si="28"/>
        <v>0</v>
      </c>
      <c r="I315" s="125"/>
      <c r="J315" s="125">
        <f t="shared" ca="1" si="30"/>
        <v>0</v>
      </c>
      <c r="K315" s="125">
        <f t="shared" si="31"/>
        <v>0</v>
      </c>
      <c r="L315" s="125">
        <f t="shared" ca="1" si="32"/>
        <v>0</v>
      </c>
      <c r="P315">
        <f t="shared" si="34"/>
        <v>308</v>
      </c>
    </row>
    <row r="316" spans="4:16">
      <c r="D316">
        <v>309</v>
      </c>
      <c r="E316" s="6">
        <f ca="1">+DATE(YEAR(E315),MONTH(E315)-1,DAY(E315))</f>
        <v>43344</v>
      </c>
      <c r="F316" s="7">
        <f t="shared" ca="1" si="29"/>
        <v>0</v>
      </c>
      <c r="G316" s="125">
        <f ca="1">IF('Simulador - 1º Pilar'!$E$99="Sí",IF('Aportaciones Poliza'!$B$13&lt;'Aportaciones Poliza'!E316,0,F316*$B$8/12),F316*$B$8/12)</f>
        <v>0</v>
      </c>
      <c r="H316" s="125">
        <f t="shared" ca="1" si="28"/>
        <v>0</v>
      </c>
      <c r="I316" s="125"/>
      <c r="J316" s="125">
        <f t="shared" ca="1" si="30"/>
        <v>0</v>
      </c>
      <c r="K316" s="125">
        <f t="shared" si="31"/>
        <v>0</v>
      </c>
      <c r="L316" s="125">
        <f t="shared" ca="1" si="32"/>
        <v>0</v>
      </c>
      <c r="P316">
        <f t="shared" si="34"/>
        <v>309</v>
      </c>
    </row>
    <row r="317" spans="4:16">
      <c r="D317">
        <v>310</v>
      </c>
      <c r="E317" s="6">
        <f t="shared" ref="E317:E326" ca="1" si="35">+DATE(YEAR(E316),MONTH(E316)-1,DAY(E316))</f>
        <v>43313</v>
      </c>
      <c r="F317" s="7">
        <f t="shared" ca="1" si="29"/>
        <v>0</v>
      </c>
      <c r="G317" s="125">
        <f ca="1">IF('Simulador - 1º Pilar'!$E$99="Sí",IF('Aportaciones Poliza'!$B$13&lt;'Aportaciones Poliza'!E317,0,F317*$B$8/12),F317*$B$8/12)</f>
        <v>0</v>
      </c>
      <c r="H317" s="125">
        <f t="shared" ca="1" si="28"/>
        <v>0</v>
      </c>
      <c r="I317" s="125"/>
      <c r="J317" s="125">
        <f t="shared" ca="1" si="30"/>
        <v>0</v>
      </c>
      <c r="K317" s="125">
        <f t="shared" si="31"/>
        <v>0</v>
      </c>
      <c r="L317" s="125">
        <f t="shared" ca="1" si="32"/>
        <v>0</v>
      </c>
      <c r="P317">
        <f t="shared" si="34"/>
        <v>310</v>
      </c>
    </row>
    <row r="318" spans="4:16">
      <c r="D318">
        <v>311</v>
      </c>
      <c r="E318" s="6">
        <f t="shared" ca="1" si="35"/>
        <v>43282</v>
      </c>
      <c r="F318" s="7">
        <f t="shared" ca="1" si="29"/>
        <v>0</v>
      </c>
      <c r="G318" s="125">
        <f ca="1">IF('Simulador - 1º Pilar'!$E$99="Sí",IF('Aportaciones Poliza'!$B$13&lt;'Aportaciones Poliza'!E318,0,F318*$B$8/12),F318*$B$8/12)</f>
        <v>0</v>
      </c>
      <c r="H318" s="125">
        <f t="shared" ca="1" si="28"/>
        <v>0</v>
      </c>
      <c r="I318" s="125"/>
      <c r="J318" s="125">
        <f t="shared" ca="1" si="30"/>
        <v>0</v>
      </c>
      <c r="K318" s="125">
        <f t="shared" si="31"/>
        <v>0</v>
      </c>
      <c r="L318" s="125">
        <f t="shared" ca="1" si="32"/>
        <v>0</v>
      </c>
      <c r="P318">
        <f t="shared" si="34"/>
        <v>311</v>
      </c>
    </row>
    <row r="319" spans="4:16">
      <c r="D319">
        <v>312</v>
      </c>
      <c r="E319" s="6">
        <f t="shared" ca="1" si="35"/>
        <v>43252</v>
      </c>
      <c r="F319" s="7">
        <f t="shared" ca="1" si="29"/>
        <v>0</v>
      </c>
      <c r="G319" s="125">
        <f ca="1">IF('Simulador - 1º Pilar'!$E$99="Sí",IF('Aportaciones Poliza'!$B$13&lt;'Aportaciones Poliza'!E319,0,F319*$B$8/12),F319*$B$8/12)</f>
        <v>0</v>
      </c>
      <c r="H319" s="125">
        <f t="shared" ca="1" si="28"/>
        <v>0</v>
      </c>
      <c r="I319" s="125"/>
      <c r="J319" s="125">
        <f t="shared" ca="1" si="30"/>
        <v>0</v>
      </c>
      <c r="K319" s="125">
        <f t="shared" si="31"/>
        <v>0</v>
      </c>
      <c r="L319" s="125">
        <f t="shared" ca="1" si="32"/>
        <v>0</v>
      </c>
      <c r="P319">
        <f t="shared" si="34"/>
        <v>312</v>
      </c>
    </row>
    <row r="320" spans="4:16">
      <c r="D320">
        <v>313</v>
      </c>
      <c r="E320" s="6">
        <f t="shared" ca="1" si="35"/>
        <v>43221</v>
      </c>
      <c r="F320" s="7">
        <f t="shared" ca="1" si="29"/>
        <v>0</v>
      </c>
      <c r="G320" s="125">
        <f ca="1">IF('Simulador - 1º Pilar'!$E$99="Sí",IF('Aportaciones Poliza'!$B$13&lt;'Aportaciones Poliza'!E320,0,F320*$B$8/12),F320*$B$8/12)</f>
        <v>0</v>
      </c>
      <c r="H320" s="125">
        <f t="shared" ca="1" si="28"/>
        <v>0</v>
      </c>
      <c r="I320" s="125"/>
      <c r="J320" s="125">
        <f t="shared" ca="1" si="30"/>
        <v>0</v>
      </c>
      <c r="K320" s="125">
        <f t="shared" si="31"/>
        <v>0</v>
      </c>
      <c r="L320" s="125">
        <f t="shared" ca="1" si="32"/>
        <v>0</v>
      </c>
      <c r="P320">
        <f t="shared" si="34"/>
        <v>313</v>
      </c>
    </row>
    <row r="321" spans="4:16">
      <c r="D321">
        <v>314</v>
      </c>
      <c r="E321" s="6">
        <f t="shared" ca="1" si="35"/>
        <v>43191</v>
      </c>
      <c r="F321" s="7">
        <f t="shared" ca="1" si="29"/>
        <v>0</v>
      </c>
      <c r="G321" s="125">
        <f ca="1">IF('Simulador - 1º Pilar'!$E$99="Sí",IF('Aportaciones Poliza'!$B$13&lt;'Aportaciones Poliza'!E321,0,F321*$B$8/12),F321*$B$8/12)</f>
        <v>0</v>
      </c>
      <c r="H321" s="125">
        <f t="shared" ca="1" si="28"/>
        <v>0</v>
      </c>
      <c r="I321" s="125"/>
      <c r="J321" s="125">
        <f t="shared" ca="1" si="30"/>
        <v>0</v>
      </c>
      <c r="K321" s="125">
        <f t="shared" si="31"/>
        <v>0</v>
      </c>
      <c r="L321" s="125">
        <f t="shared" ca="1" si="32"/>
        <v>0</v>
      </c>
      <c r="P321">
        <f t="shared" si="34"/>
        <v>314</v>
      </c>
    </row>
    <row r="322" spans="4:16">
      <c r="D322">
        <v>315</v>
      </c>
      <c r="E322" s="6">
        <f t="shared" ca="1" si="35"/>
        <v>43160</v>
      </c>
      <c r="F322" s="7">
        <f t="shared" ca="1" si="29"/>
        <v>0</v>
      </c>
      <c r="G322" s="125">
        <f ca="1">IF('Simulador - 1º Pilar'!$E$99="Sí",IF('Aportaciones Poliza'!$B$13&lt;'Aportaciones Poliza'!E322,0,F322*$B$8/12),F322*$B$8/12)</f>
        <v>0</v>
      </c>
      <c r="H322" s="125">
        <f t="shared" ca="1" si="28"/>
        <v>0</v>
      </c>
      <c r="I322" s="125"/>
      <c r="J322" s="125">
        <f t="shared" ca="1" si="30"/>
        <v>0</v>
      </c>
      <c r="K322" s="125">
        <f t="shared" si="31"/>
        <v>0</v>
      </c>
      <c r="L322" s="125">
        <f t="shared" ca="1" si="32"/>
        <v>0</v>
      </c>
      <c r="P322">
        <f t="shared" si="34"/>
        <v>315</v>
      </c>
    </row>
    <row r="323" spans="4:16">
      <c r="D323">
        <v>316</v>
      </c>
      <c r="E323" s="6">
        <f t="shared" ca="1" si="35"/>
        <v>43132</v>
      </c>
      <c r="F323" s="7">
        <f t="shared" ca="1" si="29"/>
        <v>0</v>
      </c>
      <c r="G323" s="125">
        <f ca="1">IF('Simulador - 1º Pilar'!$E$99="Sí",IF('Aportaciones Poliza'!$B$13&lt;'Aportaciones Poliza'!E323,0,F323*$B$8/12),F323*$B$8/12)</f>
        <v>0</v>
      </c>
      <c r="H323" s="125">
        <f t="shared" ca="1" si="28"/>
        <v>0</v>
      </c>
      <c r="I323" s="125"/>
      <c r="J323" s="125">
        <f t="shared" ca="1" si="30"/>
        <v>0</v>
      </c>
      <c r="K323" s="125">
        <f t="shared" si="31"/>
        <v>0</v>
      </c>
      <c r="L323" s="125">
        <f t="shared" ca="1" si="32"/>
        <v>0</v>
      </c>
      <c r="P323">
        <f t="shared" si="34"/>
        <v>316</v>
      </c>
    </row>
    <row r="324" spans="4:16">
      <c r="D324">
        <v>317</v>
      </c>
      <c r="E324" s="6">
        <f t="shared" ca="1" si="35"/>
        <v>43101</v>
      </c>
      <c r="F324" s="7">
        <f t="shared" ca="1" si="29"/>
        <v>0</v>
      </c>
      <c r="G324" s="125">
        <f ca="1">IF('Simulador - 1º Pilar'!$E$99="Sí",IF('Aportaciones Poliza'!$B$13&lt;'Aportaciones Poliza'!E324,0,F324*$B$8/12),F324*$B$8/12)</f>
        <v>0</v>
      </c>
      <c r="H324" s="125">
        <f t="shared" ca="1" si="28"/>
        <v>0</v>
      </c>
      <c r="I324" s="125"/>
      <c r="J324" s="125">
        <f t="shared" ca="1" si="30"/>
        <v>0</v>
      </c>
      <c r="K324" s="125">
        <f t="shared" si="31"/>
        <v>0</v>
      </c>
      <c r="L324" s="125">
        <f t="shared" ca="1" si="32"/>
        <v>0</v>
      </c>
      <c r="P324">
        <f t="shared" si="34"/>
        <v>317</v>
      </c>
    </row>
    <row r="325" spans="4:16">
      <c r="D325">
        <v>318</v>
      </c>
      <c r="E325" s="6">
        <f t="shared" ca="1" si="35"/>
        <v>43070</v>
      </c>
      <c r="F325" s="7">
        <f t="shared" ca="1" si="29"/>
        <v>0</v>
      </c>
      <c r="G325" s="125">
        <f ca="1">IF('Simulador - 1º Pilar'!$E$99="Sí",IF('Aportaciones Poliza'!$B$13&lt;'Aportaciones Poliza'!E325,0,F325*$B$8/12),F325*$B$8/12)</f>
        <v>0</v>
      </c>
      <c r="H325" s="125">
        <f t="shared" ca="1" si="28"/>
        <v>0</v>
      </c>
      <c r="I325" s="125"/>
      <c r="J325" s="125">
        <f t="shared" ca="1" si="30"/>
        <v>0</v>
      </c>
      <c r="K325" s="125">
        <f t="shared" si="31"/>
        <v>0</v>
      </c>
      <c r="L325" s="125">
        <f t="shared" ca="1" si="32"/>
        <v>0</v>
      </c>
      <c r="P325">
        <f t="shared" si="34"/>
        <v>318</v>
      </c>
    </row>
    <row r="326" spans="4:16">
      <c r="D326">
        <v>319</v>
      </c>
      <c r="E326" s="6">
        <f t="shared" ca="1" si="35"/>
        <v>43040</v>
      </c>
      <c r="F326" s="7">
        <f t="shared" ca="1" si="29"/>
        <v>0</v>
      </c>
      <c r="G326" s="125">
        <f ca="1">IF('Simulador - 1º Pilar'!$E$99="Sí",IF('Aportaciones Poliza'!$B$13&lt;'Aportaciones Poliza'!E326,0,F326*$B$8/12),F326*$B$8/12)</f>
        <v>0</v>
      </c>
      <c r="H326" s="125">
        <f t="shared" ca="1" si="28"/>
        <v>0</v>
      </c>
      <c r="I326" s="125"/>
      <c r="J326" s="125">
        <f t="shared" ca="1" si="30"/>
        <v>0</v>
      </c>
      <c r="K326" s="125">
        <f t="shared" si="31"/>
        <v>0</v>
      </c>
      <c r="L326" s="125">
        <f t="shared" ca="1" si="32"/>
        <v>0</v>
      </c>
      <c r="P326">
        <f t="shared" si="34"/>
        <v>319</v>
      </c>
    </row>
    <row r="327" spans="4:16">
      <c r="D327">
        <v>320</v>
      </c>
      <c r="E327" s="6">
        <f ca="1">+DATE(YEAR(E326),MONTH(E326)-1,DAY(E326))</f>
        <v>43009</v>
      </c>
      <c r="F327" s="7">
        <f t="shared" ca="1" si="29"/>
        <v>0</v>
      </c>
      <c r="G327" s="125">
        <f ca="1">IF('Simulador - 1º Pilar'!$E$99="Sí",IF('Aportaciones Poliza'!$B$13&lt;'Aportaciones Poliza'!E327,0,F327*$B$8/12),F327*$B$8/12)</f>
        <v>0</v>
      </c>
      <c r="H327" s="125">
        <f t="shared" ref="H327:H390" ca="1" si="36">$H$5*G327</f>
        <v>0</v>
      </c>
      <c r="I327" s="125"/>
      <c r="J327" s="125">
        <f t="shared" ca="1" si="30"/>
        <v>0</v>
      </c>
      <c r="K327" s="125">
        <f t="shared" si="31"/>
        <v>0</v>
      </c>
      <c r="L327" s="125">
        <f t="shared" ca="1" si="32"/>
        <v>0</v>
      </c>
      <c r="P327">
        <f t="shared" si="34"/>
        <v>320</v>
      </c>
    </row>
    <row r="328" spans="4:16">
      <c r="D328">
        <v>321</v>
      </c>
      <c r="E328" s="6">
        <f t="shared" ref="E328:E391" ca="1" si="37">+DATE(YEAR(E327),MONTH(E327)-1,DAY(E327))</f>
        <v>42979</v>
      </c>
      <c r="F328" s="7">
        <f t="shared" ref="F328:F391" ca="1" si="38">IF(DATE(YEAR($B$6),MONTH($B$6)+1,DAY(1))=E328,1,IF(MONTH(E328)=1,F329*(1+$F$5),F329))</f>
        <v>0</v>
      </c>
      <c r="G328" s="125">
        <f ca="1">IF('Simulador - 1º Pilar'!$E$99="Sí",IF('Aportaciones Poliza'!$B$13&lt;'Aportaciones Poliza'!E328,0,F328*$B$8/12),F328*$B$8/12)</f>
        <v>0</v>
      </c>
      <c r="H328" s="125">
        <f t="shared" ca="1" si="36"/>
        <v>0</v>
      </c>
      <c r="I328" s="125"/>
      <c r="J328" s="125">
        <f t="shared" ref="J328:J391" ca="1" si="39">(1+$M$5)^(D328/12)*(H328+IF(AND(F328=1,F329=0),$Q$4,0))</f>
        <v>0</v>
      </c>
      <c r="K328" s="125">
        <f t="shared" ref="K328:K391" si="40">(1+$M$5)^(D328/12)*(I328)</f>
        <v>0</v>
      </c>
      <c r="L328" s="125">
        <f t="shared" ref="L328:L391" ca="1" si="41">K328+J328</f>
        <v>0</v>
      </c>
      <c r="P328">
        <f t="shared" si="34"/>
        <v>321</v>
      </c>
    </row>
    <row r="329" spans="4:16">
      <c r="D329">
        <v>322</v>
      </c>
      <c r="E329" s="6">
        <f t="shared" ca="1" si="37"/>
        <v>42948</v>
      </c>
      <c r="F329" s="7">
        <f t="shared" ca="1" si="38"/>
        <v>0</v>
      </c>
      <c r="G329" s="125">
        <f ca="1">IF('Simulador - 1º Pilar'!$E$99="Sí",IF('Aportaciones Poliza'!$B$13&lt;'Aportaciones Poliza'!E329,0,F329*$B$8/12),F329*$B$8/12)</f>
        <v>0</v>
      </c>
      <c r="H329" s="125">
        <f t="shared" ca="1" si="36"/>
        <v>0</v>
      </c>
      <c r="I329" s="125"/>
      <c r="J329" s="125">
        <f t="shared" ca="1" si="39"/>
        <v>0</v>
      </c>
      <c r="K329" s="125">
        <f t="shared" si="40"/>
        <v>0</v>
      </c>
      <c r="L329" s="125">
        <f t="shared" ca="1" si="41"/>
        <v>0</v>
      </c>
      <c r="P329">
        <f t="shared" ref="P329:P392" si="42">D329</f>
        <v>322</v>
      </c>
    </row>
    <row r="330" spans="4:16">
      <c r="D330">
        <v>323</v>
      </c>
      <c r="E330" s="6">
        <f t="shared" ca="1" si="37"/>
        <v>42917</v>
      </c>
      <c r="F330" s="7">
        <f t="shared" ca="1" si="38"/>
        <v>0</v>
      </c>
      <c r="G330" s="125">
        <f ca="1">IF('Simulador - 1º Pilar'!$E$99="Sí",IF('Aportaciones Poliza'!$B$13&lt;'Aportaciones Poliza'!E330,0,F330*$B$8/12),F330*$B$8/12)</f>
        <v>0</v>
      </c>
      <c r="H330" s="125">
        <f t="shared" ca="1" si="36"/>
        <v>0</v>
      </c>
      <c r="I330" s="125"/>
      <c r="J330" s="125">
        <f t="shared" ca="1" si="39"/>
        <v>0</v>
      </c>
      <c r="K330" s="125">
        <f t="shared" si="40"/>
        <v>0</v>
      </c>
      <c r="L330" s="125">
        <f t="shared" ca="1" si="41"/>
        <v>0</v>
      </c>
      <c r="P330">
        <f t="shared" si="42"/>
        <v>323</v>
      </c>
    </row>
    <row r="331" spans="4:16">
      <c r="D331">
        <v>324</v>
      </c>
      <c r="E331" s="6">
        <f t="shared" ca="1" si="37"/>
        <v>42887</v>
      </c>
      <c r="F331" s="7">
        <f t="shared" ca="1" si="38"/>
        <v>0</v>
      </c>
      <c r="G331" s="125">
        <f ca="1">IF('Simulador - 1º Pilar'!$E$99="Sí",IF('Aportaciones Poliza'!$B$13&lt;'Aportaciones Poliza'!E331,0,F331*$B$8/12),F331*$B$8/12)</f>
        <v>0</v>
      </c>
      <c r="H331" s="125">
        <f t="shared" ca="1" si="36"/>
        <v>0</v>
      </c>
      <c r="I331" s="125"/>
      <c r="J331" s="125">
        <f t="shared" ca="1" si="39"/>
        <v>0</v>
      </c>
      <c r="K331" s="125">
        <f t="shared" si="40"/>
        <v>0</v>
      </c>
      <c r="L331" s="125">
        <f t="shared" ca="1" si="41"/>
        <v>0</v>
      </c>
      <c r="P331">
        <f t="shared" si="42"/>
        <v>324</v>
      </c>
    </row>
    <row r="332" spans="4:16">
      <c r="D332">
        <v>325</v>
      </c>
      <c r="E332" s="6">
        <f t="shared" ca="1" si="37"/>
        <v>42856</v>
      </c>
      <c r="F332" s="7">
        <f t="shared" ca="1" si="38"/>
        <v>0</v>
      </c>
      <c r="G332" s="125">
        <f ca="1">IF('Simulador - 1º Pilar'!$E$99="Sí",IF('Aportaciones Poliza'!$B$13&lt;'Aportaciones Poliza'!E332,0,F332*$B$8/12),F332*$B$8/12)</f>
        <v>0</v>
      </c>
      <c r="H332" s="125">
        <f t="shared" ca="1" si="36"/>
        <v>0</v>
      </c>
      <c r="I332" s="125"/>
      <c r="J332" s="125">
        <f t="shared" ca="1" si="39"/>
        <v>0</v>
      </c>
      <c r="K332" s="125">
        <f t="shared" si="40"/>
        <v>0</v>
      </c>
      <c r="L332" s="125">
        <f t="shared" ca="1" si="41"/>
        <v>0</v>
      </c>
      <c r="P332">
        <f t="shared" si="42"/>
        <v>325</v>
      </c>
    </row>
    <row r="333" spans="4:16">
      <c r="D333">
        <v>326</v>
      </c>
      <c r="E333" s="6">
        <f t="shared" ca="1" si="37"/>
        <v>42826</v>
      </c>
      <c r="F333" s="7">
        <f t="shared" ca="1" si="38"/>
        <v>0</v>
      </c>
      <c r="G333" s="125">
        <f ca="1">IF('Simulador - 1º Pilar'!$E$99="Sí",IF('Aportaciones Poliza'!$B$13&lt;'Aportaciones Poliza'!E333,0,F333*$B$8/12),F333*$B$8/12)</f>
        <v>0</v>
      </c>
      <c r="H333" s="125">
        <f t="shared" ca="1" si="36"/>
        <v>0</v>
      </c>
      <c r="I333" s="125"/>
      <c r="J333" s="125">
        <f t="shared" ca="1" si="39"/>
        <v>0</v>
      </c>
      <c r="K333" s="125">
        <f t="shared" si="40"/>
        <v>0</v>
      </c>
      <c r="L333" s="125">
        <f t="shared" ca="1" si="41"/>
        <v>0</v>
      </c>
      <c r="P333">
        <f t="shared" si="42"/>
        <v>326</v>
      </c>
    </row>
    <row r="334" spans="4:16">
      <c r="D334">
        <v>327</v>
      </c>
      <c r="E334" s="6">
        <f t="shared" ca="1" si="37"/>
        <v>42795</v>
      </c>
      <c r="F334" s="7">
        <f t="shared" ca="1" si="38"/>
        <v>0</v>
      </c>
      <c r="G334" s="125">
        <f ca="1">IF('Simulador - 1º Pilar'!$E$99="Sí",IF('Aportaciones Poliza'!$B$13&lt;'Aportaciones Poliza'!E334,0,F334*$B$8/12),F334*$B$8/12)</f>
        <v>0</v>
      </c>
      <c r="H334" s="125">
        <f t="shared" ca="1" si="36"/>
        <v>0</v>
      </c>
      <c r="I334" s="125"/>
      <c r="J334" s="125">
        <f t="shared" ca="1" si="39"/>
        <v>0</v>
      </c>
      <c r="K334" s="125">
        <f t="shared" si="40"/>
        <v>0</v>
      </c>
      <c r="L334" s="125">
        <f t="shared" ca="1" si="41"/>
        <v>0</v>
      </c>
      <c r="P334">
        <f t="shared" si="42"/>
        <v>327</v>
      </c>
    </row>
    <row r="335" spans="4:16">
      <c r="D335">
        <v>328</v>
      </c>
      <c r="E335" s="6">
        <f t="shared" ca="1" si="37"/>
        <v>42767</v>
      </c>
      <c r="F335" s="7">
        <f t="shared" ca="1" si="38"/>
        <v>0</v>
      </c>
      <c r="G335" s="125">
        <f ca="1">IF('Simulador - 1º Pilar'!$E$99="Sí",IF('Aportaciones Poliza'!$B$13&lt;'Aportaciones Poliza'!E335,0,F335*$B$8/12),F335*$B$8/12)</f>
        <v>0</v>
      </c>
      <c r="H335" s="125">
        <f t="shared" ca="1" si="36"/>
        <v>0</v>
      </c>
      <c r="I335" s="125"/>
      <c r="J335" s="125">
        <f t="shared" ca="1" si="39"/>
        <v>0</v>
      </c>
      <c r="K335" s="125">
        <f t="shared" si="40"/>
        <v>0</v>
      </c>
      <c r="L335" s="125">
        <f t="shared" ca="1" si="41"/>
        <v>0</v>
      </c>
      <c r="P335">
        <f t="shared" si="42"/>
        <v>328</v>
      </c>
    </row>
    <row r="336" spans="4:16">
      <c r="D336">
        <v>329</v>
      </c>
      <c r="E336" s="6">
        <f t="shared" ca="1" si="37"/>
        <v>42736</v>
      </c>
      <c r="F336" s="7">
        <f t="shared" ca="1" si="38"/>
        <v>0</v>
      </c>
      <c r="G336" s="125">
        <f ca="1">IF('Simulador - 1º Pilar'!$E$99="Sí",IF('Aportaciones Poliza'!$B$13&lt;'Aportaciones Poliza'!E336,0,F336*$B$8/12),F336*$B$8/12)</f>
        <v>0</v>
      </c>
      <c r="H336" s="125">
        <f t="shared" ca="1" si="36"/>
        <v>0</v>
      </c>
      <c r="I336" s="125"/>
      <c r="J336" s="125">
        <f t="shared" ca="1" si="39"/>
        <v>0</v>
      </c>
      <c r="K336" s="125">
        <f t="shared" si="40"/>
        <v>0</v>
      </c>
      <c r="L336" s="125">
        <f t="shared" ca="1" si="41"/>
        <v>0</v>
      </c>
      <c r="P336">
        <f t="shared" si="42"/>
        <v>329</v>
      </c>
    </row>
    <row r="337" spans="4:16">
      <c r="D337">
        <v>330</v>
      </c>
      <c r="E337" s="6">
        <f t="shared" ca="1" si="37"/>
        <v>42705</v>
      </c>
      <c r="F337" s="7">
        <f t="shared" ca="1" si="38"/>
        <v>0</v>
      </c>
      <c r="G337" s="125">
        <f ca="1">IF('Simulador - 1º Pilar'!$E$99="Sí",IF('Aportaciones Poliza'!$B$13&lt;'Aportaciones Poliza'!E337,0,F337*$B$8/12),F337*$B$8/12)</f>
        <v>0</v>
      </c>
      <c r="H337" s="125">
        <f t="shared" ca="1" si="36"/>
        <v>0</v>
      </c>
      <c r="I337" s="125"/>
      <c r="J337" s="125">
        <f t="shared" ca="1" si="39"/>
        <v>0</v>
      </c>
      <c r="K337" s="125">
        <f t="shared" si="40"/>
        <v>0</v>
      </c>
      <c r="L337" s="125">
        <f t="shared" ca="1" si="41"/>
        <v>0</v>
      </c>
      <c r="P337">
        <f t="shared" si="42"/>
        <v>330</v>
      </c>
    </row>
    <row r="338" spans="4:16">
      <c r="D338">
        <v>331</v>
      </c>
      <c r="E338" s="6">
        <f t="shared" ca="1" si="37"/>
        <v>42675</v>
      </c>
      <c r="F338" s="7">
        <f t="shared" ca="1" si="38"/>
        <v>0</v>
      </c>
      <c r="G338" s="125">
        <f ca="1">IF('Simulador - 1º Pilar'!$E$99="Sí",IF('Aportaciones Poliza'!$B$13&lt;'Aportaciones Poliza'!E338,0,F338*$B$8/12),F338*$B$8/12)</f>
        <v>0</v>
      </c>
      <c r="H338" s="125">
        <f t="shared" ca="1" si="36"/>
        <v>0</v>
      </c>
      <c r="I338" s="125"/>
      <c r="J338" s="125">
        <f t="shared" ca="1" si="39"/>
        <v>0</v>
      </c>
      <c r="K338" s="125">
        <f t="shared" si="40"/>
        <v>0</v>
      </c>
      <c r="L338" s="125">
        <f t="shared" ca="1" si="41"/>
        <v>0</v>
      </c>
      <c r="P338">
        <f t="shared" si="42"/>
        <v>331</v>
      </c>
    </row>
    <row r="339" spans="4:16">
      <c r="D339">
        <v>332</v>
      </c>
      <c r="E339" s="6">
        <f t="shared" ca="1" si="37"/>
        <v>42644</v>
      </c>
      <c r="F339" s="7">
        <f t="shared" ca="1" si="38"/>
        <v>0</v>
      </c>
      <c r="G339" s="125">
        <f ca="1">IF('Simulador - 1º Pilar'!$E$99="Sí",IF('Aportaciones Poliza'!$B$13&lt;'Aportaciones Poliza'!E339,0,F339*$B$8/12),F339*$B$8/12)</f>
        <v>0</v>
      </c>
      <c r="H339" s="125">
        <f t="shared" ca="1" si="36"/>
        <v>0</v>
      </c>
      <c r="I339" s="125"/>
      <c r="J339" s="125">
        <f t="shared" ca="1" si="39"/>
        <v>0</v>
      </c>
      <c r="K339" s="125">
        <f t="shared" si="40"/>
        <v>0</v>
      </c>
      <c r="L339" s="125">
        <f t="shared" ca="1" si="41"/>
        <v>0</v>
      </c>
      <c r="P339">
        <f t="shared" si="42"/>
        <v>332</v>
      </c>
    </row>
    <row r="340" spans="4:16">
      <c r="D340">
        <v>333</v>
      </c>
      <c r="E340" s="6">
        <f t="shared" ca="1" si="37"/>
        <v>42614</v>
      </c>
      <c r="F340" s="7">
        <f t="shared" ca="1" si="38"/>
        <v>0</v>
      </c>
      <c r="G340" s="125">
        <f ca="1">IF('Simulador - 1º Pilar'!$E$99="Sí",IF('Aportaciones Poliza'!$B$13&lt;'Aportaciones Poliza'!E340,0,F340*$B$8/12),F340*$B$8/12)</f>
        <v>0</v>
      </c>
      <c r="H340" s="125">
        <f t="shared" ca="1" si="36"/>
        <v>0</v>
      </c>
      <c r="I340" s="125"/>
      <c r="J340" s="125">
        <f t="shared" ca="1" si="39"/>
        <v>0</v>
      </c>
      <c r="K340" s="125">
        <f t="shared" si="40"/>
        <v>0</v>
      </c>
      <c r="L340" s="125">
        <f t="shared" ca="1" si="41"/>
        <v>0</v>
      </c>
      <c r="P340">
        <f t="shared" si="42"/>
        <v>333</v>
      </c>
    </row>
    <row r="341" spans="4:16">
      <c r="D341">
        <v>334</v>
      </c>
      <c r="E341" s="6">
        <f t="shared" ca="1" si="37"/>
        <v>42583</v>
      </c>
      <c r="F341" s="7">
        <f t="shared" ca="1" si="38"/>
        <v>0</v>
      </c>
      <c r="G341" s="125">
        <f ca="1">IF('Simulador - 1º Pilar'!$E$99="Sí",IF('Aportaciones Poliza'!$B$13&lt;'Aportaciones Poliza'!E341,0,F341*$B$8/12),F341*$B$8/12)</f>
        <v>0</v>
      </c>
      <c r="H341" s="125">
        <f t="shared" ca="1" si="36"/>
        <v>0</v>
      </c>
      <c r="I341" s="125"/>
      <c r="J341" s="125">
        <f t="shared" ca="1" si="39"/>
        <v>0</v>
      </c>
      <c r="K341" s="125">
        <f t="shared" si="40"/>
        <v>0</v>
      </c>
      <c r="L341" s="125">
        <f t="shared" ca="1" si="41"/>
        <v>0</v>
      </c>
      <c r="P341">
        <f t="shared" si="42"/>
        <v>334</v>
      </c>
    </row>
    <row r="342" spans="4:16">
      <c r="D342">
        <v>335</v>
      </c>
      <c r="E342" s="6">
        <f t="shared" ca="1" si="37"/>
        <v>42552</v>
      </c>
      <c r="F342" s="7">
        <f t="shared" ca="1" si="38"/>
        <v>0</v>
      </c>
      <c r="G342" s="125">
        <f ca="1">IF('Simulador - 1º Pilar'!$E$99="Sí",IF('Aportaciones Poliza'!$B$13&lt;'Aportaciones Poliza'!E342,0,F342*$B$8/12),F342*$B$8/12)</f>
        <v>0</v>
      </c>
      <c r="H342" s="125">
        <f t="shared" ca="1" si="36"/>
        <v>0</v>
      </c>
      <c r="I342" s="125"/>
      <c r="J342" s="125">
        <f t="shared" ca="1" si="39"/>
        <v>0</v>
      </c>
      <c r="K342" s="125">
        <f t="shared" si="40"/>
        <v>0</v>
      </c>
      <c r="L342" s="125">
        <f t="shared" ca="1" si="41"/>
        <v>0</v>
      </c>
      <c r="P342">
        <f t="shared" si="42"/>
        <v>335</v>
      </c>
    </row>
    <row r="343" spans="4:16">
      <c r="D343">
        <v>336</v>
      </c>
      <c r="E343" s="6">
        <f t="shared" ca="1" si="37"/>
        <v>42522</v>
      </c>
      <c r="F343" s="7">
        <f t="shared" ca="1" si="38"/>
        <v>0</v>
      </c>
      <c r="G343" s="125">
        <f ca="1">IF('Simulador - 1º Pilar'!$E$99="Sí",IF('Aportaciones Poliza'!$B$13&lt;'Aportaciones Poliza'!E343,0,F343*$B$8/12),F343*$B$8/12)</f>
        <v>0</v>
      </c>
      <c r="H343" s="125">
        <f t="shared" ca="1" si="36"/>
        <v>0</v>
      </c>
      <c r="I343" s="125"/>
      <c r="J343" s="125">
        <f t="shared" ca="1" si="39"/>
        <v>0</v>
      </c>
      <c r="K343" s="125">
        <f t="shared" si="40"/>
        <v>0</v>
      </c>
      <c r="L343" s="125">
        <f t="shared" ca="1" si="41"/>
        <v>0</v>
      </c>
      <c r="P343">
        <f t="shared" si="42"/>
        <v>336</v>
      </c>
    </row>
    <row r="344" spans="4:16">
      <c r="D344">
        <v>337</v>
      </c>
      <c r="E344" s="6">
        <f t="shared" ca="1" si="37"/>
        <v>42491</v>
      </c>
      <c r="F344" s="7">
        <f t="shared" ca="1" si="38"/>
        <v>0</v>
      </c>
      <c r="G344" s="125">
        <f ca="1">IF('Simulador - 1º Pilar'!$E$99="Sí",IF('Aportaciones Poliza'!$B$13&lt;'Aportaciones Poliza'!E344,0,F344*$B$8/12),F344*$B$8/12)</f>
        <v>0</v>
      </c>
      <c r="H344" s="125">
        <f t="shared" ca="1" si="36"/>
        <v>0</v>
      </c>
      <c r="I344" s="125"/>
      <c r="J344" s="125">
        <f t="shared" ca="1" si="39"/>
        <v>0</v>
      </c>
      <c r="K344" s="125">
        <f t="shared" si="40"/>
        <v>0</v>
      </c>
      <c r="L344" s="125">
        <f t="shared" ca="1" si="41"/>
        <v>0</v>
      </c>
      <c r="P344">
        <f t="shared" si="42"/>
        <v>337</v>
      </c>
    </row>
    <row r="345" spans="4:16">
      <c r="D345">
        <v>338</v>
      </c>
      <c r="E345" s="6">
        <f t="shared" ca="1" si="37"/>
        <v>42461</v>
      </c>
      <c r="F345" s="7">
        <f t="shared" ca="1" si="38"/>
        <v>0</v>
      </c>
      <c r="G345" s="125">
        <f ca="1">IF('Simulador - 1º Pilar'!$E$99="Sí",IF('Aportaciones Poliza'!$B$13&lt;'Aportaciones Poliza'!E345,0,F345*$B$8/12),F345*$B$8/12)</f>
        <v>0</v>
      </c>
      <c r="H345" s="125">
        <f t="shared" ca="1" si="36"/>
        <v>0</v>
      </c>
      <c r="I345" s="125"/>
      <c r="J345" s="125">
        <f t="shared" ca="1" si="39"/>
        <v>0</v>
      </c>
      <c r="K345" s="125">
        <f t="shared" si="40"/>
        <v>0</v>
      </c>
      <c r="L345" s="125">
        <f t="shared" ca="1" si="41"/>
        <v>0</v>
      </c>
      <c r="P345">
        <f t="shared" si="42"/>
        <v>338</v>
      </c>
    </row>
    <row r="346" spans="4:16">
      <c r="D346">
        <v>339</v>
      </c>
      <c r="E346" s="6">
        <f t="shared" ca="1" si="37"/>
        <v>42430</v>
      </c>
      <c r="F346" s="7">
        <f t="shared" ca="1" si="38"/>
        <v>0</v>
      </c>
      <c r="G346" s="125">
        <f ca="1">IF('Simulador - 1º Pilar'!$E$99="Sí",IF('Aportaciones Poliza'!$B$13&lt;'Aportaciones Poliza'!E346,0,F346*$B$8/12),F346*$B$8/12)</f>
        <v>0</v>
      </c>
      <c r="H346" s="125">
        <f t="shared" ca="1" si="36"/>
        <v>0</v>
      </c>
      <c r="I346" s="125"/>
      <c r="J346" s="125">
        <f t="shared" ca="1" si="39"/>
        <v>0</v>
      </c>
      <c r="K346" s="125">
        <f t="shared" si="40"/>
        <v>0</v>
      </c>
      <c r="L346" s="125">
        <f t="shared" ca="1" si="41"/>
        <v>0</v>
      </c>
      <c r="P346">
        <f t="shared" si="42"/>
        <v>339</v>
      </c>
    </row>
    <row r="347" spans="4:16">
      <c r="D347">
        <v>340</v>
      </c>
      <c r="E347" s="6">
        <f t="shared" ca="1" si="37"/>
        <v>42401</v>
      </c>
      <c r="F347" s="7">
        <f t="shared" ca="1" si="38"/>
        <v>0</v>
      </c>
      <c r="G347" s="125">
        <f ca="1">IF('Simulador - 1º Pilar'!$E$99="Sí",IF('Aportaciones Poliza'!$B$13&lt;'Aportaciones Poliza'!E347,0,F347*$B$8/12),F347*$B$8/12)</f>
        <v>0</v>
      </c>
      <c r="H347" s="125">
        <f t="shared" ca="1" si="36"/>
        <v>0</v>
      </c>
      <c r="I347" s="125"/>
      <c r="J347" s="125">
        <f t="shared" ca="1" si="39"/>
        <v>0</v>
      </c>
      <c r="K347" s="125">
        <f t="shared" si="40"/>
        <v>0</v>
      </c>
      <c r="L347" s="125">
        <f t="shared" ca="1" si="41"/>
        <v>0</v>
      </c>
      <c r="P347">
        <f t="shared" si="42"/>
        <v>340</v>
      </c>
    </row>
    <row r="348" spans="4:16">
      <c r="D348">
        <v>341</v>
      </c>
      <c r="E348" s="6">
        <f t="shared" ca="1" si="37"/>
        <v>42370</v>
      </c>
      <c r="F348" s="7">
        <f t="shared" ca="1" si="38"/>
        <v>0</v>
      </c>
      <c r="G348" s="125">
        <f ca="1">IF('Simulador - 1º Pilar'!$E$99="Sí",IF('Aportaciones Poliza'!$B$13&lt;'Aportaciones Poliza'!E348,0,F348*$B$8/12),F348*$B$8/12)</f>
        <v>0</v>
      </c>
      <c r="H348" s="125">
        <f t="shared" ca="1" si="36"/>
        <v>0</v>
      </c>
      <c r="I348" s="125"/>
      <c r="J348" s="125">
        <f t="shared" ca="1" si="39"/>
        <v>0</v>
      </c>
      <c r="K348" s="125">
        <f t="shared" si="40"/>
        <v>0</v>
      </c>
      <c r="L348" s="125">
        <f t="shared" ca="1" si="41"/>
        <v>0</v>
      </c>
      <c r="P348">
        <f t="shared" si="42"/>
        <v>341</v>
      </c>
    </row>
    <row r="349" spans="4:16">
      <c r="D349">
        <v>342</v>
      </c>
      <c r="E349" s="6">
        <f t="shared" ca="1" si="37"/>
        <v>42339</v>
      </c>
      <c r="F349" s="7">
        <f t="shared" ca="1" si="38"/>
        <v>0</v>
      </c>
      <c r="G349" s="125">
        <f ca="1">IF('Simulador - 1º Pilar'!$E$99="Sí",IF('Aportaciones Poliza'!$B$13&lt;'Aportaciones Poliza'!E349,0,F349*$B$8/12),F349*$B$8/12)</f>
        <v>0</v>
      </c>
      <c r="H349" s="125">
        <f t="shared" ca="1" si="36"/>
        <v>0</v>
      </c>
      <c r="I349" s="125"/>
      <c r="J349" s="125">
        <f t="shared" ca="1" si="39"/>
        <v>0</v>
      </c>
      <c r="K349" s="125">
        <f t="shared" si="40"/>
        <v>0</v>
      </c>
      <c r="L349" s="125">
        <f t="shared" ca="1" si="41"/>
        <v>0</v>
      </c>
      <c r="P349">
        <f t="shared" si="42"/>
        <v>342</v>
      </c>
    </row>
    <row r="350" spans="4:16">
      <c r="D350">
        <v>343</v>
      </c>
      <c r="E350" s="6">
        <f t="shared" ca="1" si="37"/>
        <v>42309</v>
      </c>
      <c r="F350" s="7">
        <f t="shared" ca="1" si="38"/>
        <v>0</v>
      </c>
      <c r="G350" s="125">
        <f ca="1">IF('Simulador - 1º Pilar'!$E$99="Sí",IF('Aportaciones Poliza'!$B$13&lt;'Aportaciones Poliza'!E350,0,F350*$B$8/12),F350*$B$8/12)</f>
        <v>0</v>
      </c>
      <c r="H350" s="125">
        <f t="shared" ca="1" si="36"/>
        <v>0</v>
      </c>
      <c r="I350" s="125"/>
      <c r="J350" s="125">
        <f t="shared" ca="1" si="39"/>
        <v>0</v>
      </c>
      <c r="K350" s="125">
        <f t="shared" si="40"/>
        <v>0</v>
      </c>
      <c r="L350" s="125">
        <f t="shared" ca="1" si="41"/>
        <v>0</v>
      </c>
      <c r="P350">
        <f t="shared" si="42"/>
        <v>343</v>
      </c>
    </row>
    <row r="351" spans="4:16">
      <c r="D351">
        <v>344</v>
      </c>
      <c r="E351" s="6">
        <f t="shared" ca="1" si="37"/>
        <v>42278</v>
      </c>
      <c r="F351" s="7">
        <f t="shared" ca="1" si="38"/>
        <v>0</v>
      </c>
      <c r="G351" s="125">
        <f ca="1">IF('Simulador - 1º Pilar'!$E$99="Sí",IF('Aportaciones Poliza'!$B$13&lt;'Aportaciones Poliza'!E351,0,F351*$B$8/12),F351*$B$8/12)</f>
        <v>0</v>
      </c>
      <c r="H351" s="125">
        <f t="shared" ca="1" si="36"/>
        <v>0</v>
      </c>
      <c r="I351" s="125"/>
      <c r="J351" s="125">
        <f t="shared" ca="1" si="39"/>
        <v>0</v>
      </c>
      <c r="K351" s="125">
        <f t="shared" si="40"/>
        <v>0</v>
      </c>
      <c r="L351" s="125">
        <f t="shared" ca="1" si="41"/>
        <v>0</v>
      </c>
      <c r="P351">
        <f t="shared" si="42"/>
        <v>344</v>
      </c>
    </row>
    <row r="352" spans="4:16">
      <c r="D352">
        <v>345</v>
      </c>
      <c r="E352" s="6">
        <f t="shared" ca="1" si="37"/>
        <v>42248</v>
      </c>
      <c r="F352" s="7">
        <f t="shared" ca="1" si="38"/>
        <v>0</v>
      </c>
      <c r="G352" s="125">
        <f ca="1">IF('Simulador - 1º Pilar'!$E$99="Sí",IF('Aportaciones Poliza'!$B$13&lt;'Aportaciones Poliza'!E352,0,F352*$B$8/12),F352*$B$8/12)</f>
        <v>0</v>
      </c>
      <c r="H352" s="125">
        <f t="shared" ca="1" si="36"/>
        <v>0</v>
      </c>
      <c r="I352" s="125"/>
      <c r="J352" s="125">
        <f t="shared" ca="1" si="39"/>
        <v>0</v>
      </c>
      <c r="K352" s="125">
        <f t="shared" si="40"/>
        <v>0</v>
      </c>
      <c r="L352" s="125">
        <f t="shared" ca="1" si="41"/>
        <v>0</v>
      </c>
      <c r="P352">
        <f t="shared" si="42"/>
        <v>345</v>
      </c>
    </row>
    <row r="353" spans="4:16">
      <c r="D353">
        <v>346</v>
      </c>
      <c r="E353" s="6">
        <f t="shared" ca="1" si="37"/>
        <v>42217</v>
      </c>
      <c r="F353" s="7">
        <f t="shared" ca="1" si="38"/>
        <v>0</v>
      </c>
      <c r="G353" s="125">
        <f ca="1">IF('Simulador - 1º Pilar'!$E$99="Sí",IF('Aportaciones Poliza'!$B$13&lt;'Aportaciones Poliza'!E353,0,F353*$B$8/12),F353*$B$8/12)</f>
        <v>0</v>
      </c>
      <c r="H353" s="125">
        <f t="shared" ca="1" si="36"/>
        <v>0</v>
      </c>
      <c r="I353" s="125"/>
      <c r="J353" s="125">
        <f t="shared" ca="1" si="39"/>
        <v>0</v>
      </c>
      <c r="K353" s="125">
        <f t="shared" si="40"/>
        <v>0</v>
      </c>
      <c r="L353" s="125">
        <f t="shared" ca="1" si="41"/>
        <v>0</v>
      </c>
      <c r="P353">
        <f t="shared" si="42"/>
        <v>346</v>
      </c>
    </row>
    <row r="354" spans="4:16">
      <c r="D354">
        <v>347</v>
      </c>
      <c r="E354" s="6">
        <f t="shared" ca="1" si="37"/>
        <v>42186</v>
      </c>
      <c r="F354" s="7">
        <f t="shared" ca="1" si="38"/>
        <v>0</v>
      </c>
      <c r="G354" s="125">
        <f ca="1">IF('Simulador - 1º Pilar'!$E$99="Sí",IF('Aportaciones Poliza'!$B$13&lt;'Aportaciones Poliza'!E354,0,F354*$B$8/12),F354*$B$8/12)</f>
        <v>0</v>
      </c>
      <c r="H354" s="125">
        <f t="shared" ca="1" si="36"/>
        <v>0</v>
      </c>
      <c r="I354" s="125"/>
      <c r="J354" s="125">
        <f t="shared" ca="1" si="39"/>
        <v>0</v>
      </c>
      <c r="K354" s="125">
        <f t="shared" si="40"/>
        <v>0</v>
      </c>
      <c r="L354" s="125">
        <f t="shared" ca="1" si="41"/>
        <v>0</v>
      </c>
      <c r="P354">
        <f t="shared" si="42"/>
        <v>347</v>
      </c>
    </row>
    <row r="355" spans="4:16">
      <c r="D355">
        <v>348</v>
      </c>
      <c r="E355" s="6">
        <f t="shared" ca="1" si="37"/>
        <v>42156</v>
      </c>
      <c r="F355" s="7">
        <f t="shared" ca="1" si="38"/>
        <v>0</v>
      </c>
      <c r="G355" s="125">
        <f ca="1">IF('Simulador - 1º Pilar'!$E$99="Sí",IF('Aportaciones Poliza'!$B$13&lt;'Aportaciones Poliza'!E355,0,F355*$B$8/12),F355*$B$8/12)</f>
        <v>0</v>
      </c>
      <c r="H355" s="125">
        <f t="shared" ca="1" si="36"/>
        <v>0</v>
      </c>
      <c r="I355" s="125"/>
      <c r="J355" s="125">
        <f t="shared" ca="1" si="39"/>
        <v>0</v>
      </c>
      <c r="K355" s="125">
        <f t="shared" si="40"/>
        <v>0</v>
      </c>
      <c r="L355" s="125">
        <f t="shared" ca="1" si="41"/>
        <v>0</v>
      </c>
      <c r="P355">
        <f t="shared" si="42"/>
        <v>348</v>
      </c>
    </row>
    <row r="356" spans="4:16">
      <c r="D356">
        <v>349</v>
      </c>
      <c r="E356" s="6">
        <f t="shared" ca="1" si="37"/>
        <v>42125</v>
      </c>
      <c r="F356" s="7">
        <f t="shared" ca="1" si="38"/>
        <v>0</v>
      </c>
      <c r="G356" s="125">
        <f ca="1">IF('Simulador - 1º Pilar'!$E$99="Sí",IF('Aportaciones Poliza'!$B$13&lt;'Aportaciones Poliza'!E356,0,F356*$B$8/12),F356*$B$8/12)</f>
        <v>0</v>
      </c>
      <c r="H356" s="125">
        <f t="shared" ca="1" si="36"/>
        <v>0</v>
      </c>
      <c r="I356" s="125"/>
      <c r="J356" s="125">
        <f t="shared" ca="1" si="39"/>
        <v>0</v>
      </c>
      <c r="K356" s="125">
        <f t="shared" si="40"/>
        <v>0</v>
      </c>
      <c r="L356" s="125">
        <f t="shared" ca="1" si="41"/>
        <v>0</v>
      </c>
      <c r="P356">
        <f t="shared" si="42"/>
        <v>349</v>
      </c>
    </row>
    <row r="357" spans="4:16">
      <c r="D357">
        <v>350</v>
      </c>
      <c r="E357" s="6">
        <f t="shared" ca="1" si="37"/>
        <v>42095</v>
      </c>
      <c r="F357" s="7">
        <f t="shared" ca="1" si="38"/>
        <v>0</v>
      </c>
      <c r="G357" s="125">
        <f ca="1">IF('Simulador - 1º Pilar'!$E$99="Sí",IF('Aportaciones Poliza'!$B$13&lt;'Aportaciones Poliza'!E357,0,F357*$B$8/12),F357*$B$8/12)</f>
        <v>0</v>
      </c>
      <c r="H357" s="125">
        <f t="shared" ca="1" si="36"/>
        <v>0</v>
      </c>
      <c r="I357" s="125"/>
      <c r="J357" s="125">
        <f t="shared" ca="1" si="39"/>
        <v>0</v>
      </c>
      <c r="K357" s="125">
        <f t="shared" si="40"/>
        <v>0</v>
      </c>
      <c r="L357" s="125">
        <f t="shared" ca="1" si="41"/>
        <v>0</v>
      </c>
      <c r="P357">
        <f t="shared" si="42"/>
        <v>350</v>
      </c>
    </row>
    <row r="358" spans="4:16">
      <c r="D358">
        <v>351</v>
      </c>
      <c r="E358" s="6">
        <f t="shared" ca="1" si="37"/>
        <v>42064</v>
      </c>
      <c r="F358" s="7">
        <f t="shared" ca="1" si="38"/>
        <v>0</v>
      </c>
      <c r="G358" s="125">
        <f ca="1">IF('Simulador - 1º Pilar'!$E$99="Sí",IF('Aportaciones Poliza'!$B$13&lt;'Aportaciones Poliza'!E358,0,F358*$B$8/12),F358*$B$8/12)</f>
        <v>0</v>
      </c>
      <c r="H358" s="125">
        <f t="shared" ca="1" si="36"/>
        <v>0</v>
      </c>
      <c r="I358" s="125"/>
      <c r="J358" s="125">
        <f t="shared" ca="1" si="39"/>
        <v>0</v>
      </c>
      <c r="K358" s="125">
        <f t="shared" si="40"/>
        <v>0</v>
      </c>
      <c r="L358" s="125">
        <f t="shared" ca="1" si="41"/>
        <v>0</v>
      </c>
      <c r="P358">
        <f t="shared" si="42"/>
        <v>351</v>
      </c>
    </row>
    <row r="359" spans="4:16">
      <c r="D359">
        <v>352</v>
      </c>
      <c r="E359" s="6">
        <f t="shared" ca="1" si="37"/>
        <v>42036</v>
      </c>
      <c r="F359" s="7">
        <f t="shared" ca="1" si="38"/>
        <v>0</v>
      </c>
      <c r="G359" s="125">
        <f ca="1">IF('Simulador - 1º Pilar'!$E$99="Sí",IF('Aportaciones Poliza'!$B$13&lt;'Aportaciones Poliza'!E359,0,F359*$B$8/12),F359*$B$8/12)</f>
        <v>0</v>
      </c>
      <c r="H359" s="125">
        <f t="shared" ca="1" si="36"/>
        <v>0</v>
      </c>
      <c r="I359" s="125"/>
      <c r="J359" s="125">
        <f t="shared" ca="1" si="39"/>
        <v>0</v>
      </c>
      <c r="K359" s="125">
        <f t="shared" si="40"/>
        <v>0</v>
      </c>
      <c r="L359" s="125">
        <f t="shared" ca="1" si="41"/>
        <v>0</v>
      </c>
      <c r="P359">
        <f t="shared" si="42"/>
        <v>352</v>
      </c>
    </row>
    <row r="360" spans="4:16">
      <c r="D360">
        <v>353</v>
      </c>
      <c r="E360" s="6">
        <f t="shared" ca="1" si="37"/>
        <v>42005</v>
      </c>
      <c r="F360" s="7">
        <f t="shared" ca="1" si="38"/>
        <v>0</v>
      </c>
      <c r="G360" s="125">
        <f ca="1">IF('Simulador - 1º Pilar'!$E$99="Sí",IF('Aportaciones Poliza'!$B$13&lt;'Aportaciones Poliza'!E360,0,F360*$B$8/12),F360*$B$8/12)</f>
        <v>0</v>
      </c>
      <c r="H360" s="125">
        <f t="shared" ca="1" si="36"/>
        <v>0</v>
      </c>
      <c r="I360" s="125"/>
      <c r="J360" s="125">
        <f t="shared" ca="1" si="39"/>
        <v>0</v>
      </c>
      <c r="K360" s="125">
        <f t="shared" si="40"/>
        <v>0</v>
      </c>
      <c r="L360" s="125">
        <f t="shared" ca="1" si="41"/>
        <v>0</v>
      </c>
      <c r="P360">
        <f t="shared" si="42"/>
        <v>353</v>
      </c>
    </row>
    <row r="361" spans="4:16">
      <c r="D361">
        <v>354</v>
      </c>
      <c r="E361" s="6">
        <f t="shared" ca="1" si="37"/>
        <v>41974</v>
      </c>
      <c r="F361" s="7">
        <f t="shared" ca="1" si="38"/>
        <v>0</v>
      </c>
      <c r="G361" s="125">
        <f ca="1">IF('Simulador - 1º Pilar'!$E$99="Sí",IF('Aportaciones Poliza'!$B$13&lt;'Aportaciones Poliza'!E361,0,F361*$B$8/12),F361*$B$8/12)</f>
        <v>0</v>
      </c>
      <c r="H361" s="125">
        <f t="shared" ca="1" si="36"/>
        <v>0</v>
      </c>
      <c r="I361" s="125"/>
      <c r="J361" s="125">
        <f t="shared" ca="1" si="39"/>
        <v>0</v>
      </c>
      <c r="K361" s="125">
        <f t="shared" si="40"/>
        <v>0</v>
      </c>
      <c r="L361" s="125">
        <f t="shared" ca="1" si="41"/>
        <v>0</v>
      </c>
      <c r="P361">
        <f t="shared" si="42"/>
        <v>354</v>
      </c>
    </row>
    <row r="362" spans="4:16">
      <c r="D362">
        <v>355</v>
      </c>
      <c r="E362" s="6">
        <f t="shared" ca="1" si="37"/>
        <v>41944</v>
      </c>
      <c r="F362" s="7">
        <f t="shared" ca="1" si="38"/>
        <v>0</v>
      </c>
      <c r="G362" s="125">
        <f ca="1">IF('Simulador - 1º Pilar'!$E$99="Sí",IF('Aportaciones Poliza'!$B$13&lt;'Aportaciones Poliza'!E362,0,F362*$B$8/12),F362*$B$8/12)</f>
        <v>0</v>
      </c>
      <c r="H362" s="125">
        <f t="shared" ca="1" si="36"/>
        <v>0</v>
      </c>
      <c r="I362" s="125"/>
      <c r="J362" s="125">
        <f t="shared" ca="1" si="39"/>
        <v>0</v>
      </c>
      <c r="K362" s="125">
        <f t="shared" si="40"/>
        <v>0</v>
      </c>
      <c r="L362" s="125">
        <f t="shared" ca="1" si="41"/>
        <v>0</v>
      </c>
      <c r="P362">
        <f t="shared" si="42"/>
        <v>355</v>
      </c>
    </row>
    <row r="363" spans="4:16">
      <c r="D363">
        <v>356</v>
      </c>
      <c r="E363" s="6">
        <f t="shared" ca="1" si="37"/>
        <v>41913</v>
      </c>
      <c r="F363" s="7">
        <f t="shared" ca="1" si="38"/>
        <v>0</v>
      </c>
      <c r="G363" s="125">
        <f ca="1">IF('Simulador - 1º Pilar'!$E$99="Sí",IF('Aportaciones Poliza'!$B$13&lt;'Aportaciones Poliza'!E363,0,F363*$B$8/12),F363*$B$8/12)</f>
        <v>0</v>
      </c>
      <c r="H363" s="125">
        <f t="shared" ca="1" si="36"/>
        <v>0</v>
      </c>
      <c r="I363" s="125"/>
      <c r="J363" s="125">
        <f t="shared" ca="1" si="39"/>
        <v>0</v>
      </c>
      <c r="K363" s="125">
        <f t="shared" si="40"/>
        <v>0</v>
      </c>
      <c r="L363" s="125">
        <f t="shared" ca="1" si="41"/>
        <v>0</v>
      </c>
      <c r="P363">
        <f t="shared" si="42"/>
        <v>356</v>
      </c>
    </row>
    <row r="364" spans="4:16">
      <c r="D364">
        <v>357</v>
      </c>
      <c r="E364" s="6">
        <f t="shared" ca="1" si="37"/>
        <v>41883</v>
      </c>
      <c r="F364" s="7">
        <f t="shared" ca="1" si="38"/>
        <v>0</v>
      </c>
      <c r="G364" s="125">
        <f ca="1">IF('Simulador - 1º Pilar'!$E$99="Sí",IF('Aportaciones Poliza'!$B$13&lt;'Aportaciones Poliza'!E364,0,F364*$B$8/12),F364*$B$8/12)</f>
        <v>0</v>
      </c>
      <c r="H364" s="125">
        <f t="shared" ca="1" si="36"/>
        <v>0</v>
      </c>
      <c r="I364" s="125"/>
      <c r="J364" s="125">
        <f t="shared" ca="1" si="39"/>
        <v>0</v>
      </c>
      <c r="K364" s="125">
        <f t="shared" si="40"/>
        <v>0</v>
      </c>
      <c r="L364" s="125">
        <f t="shared" ca="1" si="41"/>
        <v>0</v>
      </c>
      <c r="P364">
        <f t="shared" si="42"/>
        <v>357</v>
      </c>
    </row>
    <row r="365" spans="4:16">
      <c r="D365">
        <v>358</v>
      </c>
      <c r="E365" s="6">
        <f t="shared" ca="1" si="37"/>
        <v>41852</v>
      </c>
      <c r="F365" s="7">
        <f t="shared" ca="1" si="38"/>
        <v>0</v>
      </c>
      <c r="G365" s="125">
        <f ca="1">IF('Simulador - 1º Pilar'!$E$99="Sí",IF('Aportaciones Poliza'!$B$13&lt;'Aportaciones Poliza'!E365,0,F365*$B$8/12),F365*$B$8/12)</f>
        <v>0</v>
      </c>
      <c r="H365" s="125">
        <f t="shared" ca="1" si="36"/>
        <v>0</v>
      </c>
      <c r="I365" s="125"/>
      <c r="J365" s="125">
        <f t="shared" ca="1" si="39"/>
        <v>0</v>
      </c>
      <c r="K365" s="125">
        <f t="shared" si="40"/>
        <v>0</v>
      </c>
      <c r="L365" s="125">
        <f t="shared" ca="1" si="41"/>
        <v>0</v>
      </c>
      <c r="P365">
        <f t="shared" si="42"/>
        <v>358</v>
      </c>
    </row>
    <row r="366" spans="4:16">
      <c r="D366">
        <v>359</v>
      </c>
      <c r="E366" s="6">
        <f t="shared" ca="1" si="37"/>
        <v>41821</v>
      </c>
      <c r="F366" s="7">
        <f t="shared" ca="1" si="38"/>
        <v>0</v>
      </c>
      <c r="G366" s="125">
        <f ca="1">IF('Simulador - 1º Pilar'!$E$99="Sí",IF('Aportaciones Poliza'!$B$13&lt;'Aportaciones Poliza'!E366,0,F366*$B$8/12),F366*$B$8/12)</f>
        <v>0</v>
      </c>
      <c r="H366" s="125">
        <f t="shared" ca="1" si="36"/>
        <v>0</v>
      </c>
      <c r="I366" s="125"/>
      <c r="J366" s="125">
        <f t="shared" ca="1" si="39"/>
        <v>0</v>
      </c>
      <c r="K366" s="125">
        <f t="shared" si="40"/>
        <v>0</v>
      </c>
      <c r="L366" s="125">
        <f t="shared" ca="1" si="41"/>
        <v>0</v>
      </c>
      <c r="P366">
        <f t="shared" si="42"/>
        <v>359</v>
      </c>
    </row>
    <row r="367" spans="4:16">
      <c r="D367">
        <v>360</v>
      </c>
      <c r="E367" s="6">
        <f t="shared" ca="1" si="37"/>
        <v>41791</v>
      </c>
      <c r="F367" s="7">
        <f t="shared" ca="1" si="38"/>
        <v>0</v>
      </c>
      <c r="G367" s="125">
        <f ca="1">IF('Simulador - 1º Pilar'!$E$99="Sí",IF('Aportaciones Poliza'!$B$13&lt;'Aportaciones Poliza'!E367,0,F367*$B$8/12),F367*$B$8/12)</f>
        <v>0</v>
      </c>
      <c r="H367" s="125">
        <f t="shared" ca="1" si="36"/>
        <v>0</v>
      </c>
      <c r="I367" s="125"/>
      <c r="J367" s="125">
        <f t="shared" ca="1" si="39"/>
        <v>0</v>
      </c>
      <c r="K367" s="125">
        <f t="shared" si="40"/>
        <v>0</v>
      </c>
      <c r="L367" s="125">
        <f t="shared" ca="1" si="41"/>
        <v>0</v>
      </c>
      <c r="P367">
        <f t="shared" si="42"/>
        <v>360</v>
      </c>
    </row>
    <row r="368" spans="4:16">
      <c r="D368">
        <v>361</v>
      </c>
      <c r="E368" s="6">
        <f t="shared" ca="1" si="37"/>
        <v>41760</v>
      </c>
      <c r="F368" s="7">
        <f t="shared" ca="1" si="38"/>
        <v>0</v>
      </c>
      <c r="G368" s="125">
        <f ca="1">IF('Simulador - 1º Pilar'!$E$99="Sí",IF('Aportaciones Poliza'!$B$13&lt;'Aportaciones Poliza'!E368,0,F368*$B$8/12),F368*$B$8/12)</f>
        <v>0</v>
      </c>
      <c r="H368" s="125">
        <f t="shared" ca="1" si="36"/>
        <v>0</v>
      </c>
      <c r="I368" s="125"/>
      <c r="J368" s="125">
        <f t="shared" ca="1" si="39"/>
        <v>0</v>
      </c>
      <c r="K368" s="125">
        <f t="shared" si="40"/>
        <v>0</v>
      </c>
      <c r="L368" s="125">
        <f t="shared" ca="1" si="41"/>
        <v>0</v>
      </c>
      <c r="P368">
        <f t="shared" si="42"/>
        <v>361</v>
      </c>
    </row>
    <row r="369" spans="4:16">
      <c r="D369">
        <v>362</v>
      </c>
      <c r="E369" s="6">
        <f t="shared" ca="1" si="37"/>
        <v>41730</v>
      </c>
      <c r="F369" s="7">
        <f t="shared" ca="1" si="38"/>
        <v>0</v>
      </c>
      <c r="G369" s="125">
        <f ca="1">IF('Simulador - 1º Pilar'!$E$99="Sí",IF('Aportaciones Poliza'!$B$13&lt;'Aportaciones Poliza'!E369,0,F369*$B$8/12),F369*$B$8/12)</f>
        <v>0</v>
      </c>
      <c r="H369" s="125">
        <f t="shared" ca="1" si="36"/>
        <v>0</v>
      </c>
      <c r="I369" s="125"/>
      <c r="J369" s="125">
        <f t="shared" ca="1" si="39"/>
        <v>0</v>
      </c>
      <c r="K369" s="125">
        <f t="shared" si="40"/>
        <v>0</v>
      </c>
      <c r="L369" s="125">
        <f t="shared" ca="1" si="41"/>
        <v>0</v>
      </c>
      <c r="P369">
        <f t="shared" si="42"/>
        <v>362</v>
      </c>
    </row>
    <row r="370" spans="4:16">
      <c r="D370">
        <v>363</v>
      </c>
      <c r="E370" s="6">
        <f t="shared" ca="1" si="37"/>
        <v>41699</v>
      </c>
      <c r="F370" s="7">
        <f t="shared" ca="1" si="38"/>
        <v>0</v>
      </c>
      <c r="G370" s="125">
        <f ca="1">IF('Simulador - 1º Pilar'!$E$99="Sí",IF('Aportaciones Poliza'!$B$13&lt;'Aportaciones Poliza'!E370,0,F370*$B$8/12),F370*$B$8/12)</f>
        <v>0</v>
      </c>
      <c r="H370" s="125">
        <f t="shared" ca="1" si="36"/>
        <v>0</v>
      </c>
      <c r="I370" s="125"/>
      <c r="J370" s="125">
        <f t="shared" ca="1" si="39"/>
        <v>0</v>
      </c>
      <c r="K370" s="125">
        <f t="shared" si="40"/>
        <v>0</v>
      </c>
      <c r="L370" s="125">
        <f t="shared" ca="1" si="41"/>
        <v>0</v>
      </c>
      <c r="P370">
        <f t="shared" si="42"/>
        <v>363</v>
      </c>
    </row>
    <row r="371" spans="4:16">
      <c r="D371">
        <v>364</v>
      </c>
      <c r="E371" s="6">
        <f t="shared" ca="1" si="37"/>
        <v>41671</v>
      </c>
      <c r="F371" s="7">
        <f t="shared" ca="1" si="38"/>
        <v>0</v>
      </c>
      <c r="G371" s="125">
        <f ca="1">IF('Simulador - 1º Pilar'!$E$99="Sí",IF('Aportaciones Poliza'!$B$13&lt;'Aportaciones Poliza'!E371,0,F371*$B$8/12),F371*$B$8/12)</f>
        <v>0</v>
      </c>
      <c r="H371" s="125">
        <f t="shared" ca="1" si="36"/>
        <v>0</v>
      </c>
      <c r="I371" s="125"/>
      <c r="J371" s="125">
        <f t="shared" ca="1" si="39"/>
        <v>0</v>
      </c>
      <c r="K371" s="125">
        <f t="shared" si="40"/>
        <v>0</v>
      </c>
      <c r="L371" s="125">
        <f t="shared" ca="1" si="41"/>
        <v>0</v>
      </c>
      <c r="P371">
        <f t="shared" si="42"/>
        <v>364</v>
      </c>
    </row>
    <row r="372" spans="4:16">
      <c r="D372">
        <v>365</v>
      </c>
      <c r="E372" s="6">
        <f t="shared" ca="1" si="37"/>
        <v>41640</v>
      </c>
      <c r="F372" s="7">
        <f t="shared" ca="1" si="38"/>
        <v>0</v>
      </c>
      <c r="G372" s="125">
        <f ca="1">IF('Simulador - 1º Pilar'!$E$99="Sí",IF('Aportaciones Poliza'!$B$13&lt;'Aportaciones Poliza'!E372,0,F372*$B$8/12),F372*$B$8/12)</f>
        <v>0</v>
      </c>
      <c r="H372" s="125">
        <f t="shared" ca="1" si="36"/>
        <v>0</v>
      </c>
      <c r="I372" s="125"/>
      <c r="J372" s="125">
        <f t="shared" ca="1" si="39"/>
        <v>0</v>
      </c>
      <c r="K372" s="125">
        <f t="shared" si="40"/>
        <v>0</v>
      </c>
      <c r="L372" s="125">
        <f t="shared" ca="1" si="41"/>
        <v>0</v>
      </c>
      <c r="P372">
        <f t="shared" si="42"/>
        <v>365</v>
      </c>
    </row>
    <row r="373" spans="4:16">
      <c r="D373">
        <v>366</v>
      </c>
      <c r="E373" s="6">
        <f t="shared" ca="1" si="37"/>
        <v>41609</v>
      </c>
      <c r="F373" s="7">
        <f t="shared" ca="1" si="38"/>
        <v>0</v>
      </c>
      <c r="G373" s="125">
        <f ca="1">IF('Simulador - 1º Pilar'!$E$99="Sí",IF('Aportaciones Poliza'!$B$13&lt;'Aportaciones Poliza'!E373,0,F373*$B$8/12),F373*$B$8/12)</f>
        <v>0</v>
      </c>
      <c r="H373" s="125">
        <f t="shared" ca="1" si="36"/>
        <v>0</v>
      </c>
      <c r="I373" s="125"/>
      <c r="J373" s="125">
        <f t="shared" ca="1" si="39"/>
        <v>0</v>
      </c>
      <c r="K373" s="125">
        <f t="shared" si="40"/>
        <v>0</v>
      </c>
      <c r="L373" s="125">
        <f t="shared" ca="1" si="41"/>
        <v>0</v>
      </c>
      <c r="P373">
        <f t="shared" si="42"/>
        <v>366</v>
      </c>
    </row>
    <row r="374" spans="4:16">
      <c r="D374">
        <v>367</v>
      </c>
      <c r="E374" s="6">
        <f t="shared" ca="1" si="37"/>
        <v>41579</v>
      </c>
      <c r="F374" s="7">
        <f t="shared" ca="1" si="38"/>
        <v>0</v>
      </c>
      <c r="G374" s="125">
        <f ca="1">IF('Simulador - 1º Pilar'!$E$99="Sí",IF('Aportaciones Poliza'!$B$13&lt;'Aportaciones Poliza'!E374,0,F374*$B$8/12),F374*$B$8/12)</f>
        <v>0</v>
      </c>
      <c r="H374" s="125">
        <f t="shared" ca="1" si="36"/>
        <v>0</v>
      </c>
      <c r="I374" s="125"/>
      <c r="J374" s="125">
        <f t="shared" ca="1" si="39"/>
        <v>0</v>
      </c>
      <c r="K374" s="125">
        <f t="shared" si="40"/>
        <v>0</v>
      </c>
      <c r="L374" s="125">
        <f t="shared" ca="1" si="41"/>
        <v>0</v>
      </c>
      <c r="P374">
        <f t="shared" si="42"/>
        <v>367</v>
      </c>
    </row>
    <row r="375" spans="4:16">
      <c r="D375">
        <v>368</v>
      </c>
      <c r="E375" s="6">
        <f t="shared" ca="1" si="37"/>
        <v>41548</v>
      </c>
      <c r="F375" s="7">
        <f t="shared" ca="1" si="38"/>
        <v>0</v>
      </c>
      <c r="G375" s="125">
        <f ca="1">IF('Simulador - 1º Pilar'!$E$99="Sí",IF('Aportaciones Poliza'!$B$13&lt;'Aportaciones Poliza'!E375,0,F375*$B$8/12),F375*$B$8/12)</f>
        <v>0</v>
      </c>
      <c r="H375" s="125">
        <f t="shared" ca="1" si="36"/>
        <v>0</v>
      </c>
      <c r="I375" s="125"/>
      <c r="J375" s="125">
        <f t="shared" ca="1" si="39"/>
        <v>0</v>
      </c>
      <c r="K375" s="125">
        <f t="shared" si="40"/>
        <v>0</v>
      </c>
      <c r="L375" s="125">
        <f t="shared" ca="1" si="41"/>
        <v>0</v>
      </c>
      <c r="P375">
        <f t="shared" si="42"/>
        <v>368</v>
      </c>
    </row>
    <row r="376" spans="4:16">
      <c r="D376">
        <v>369</v>
      </c>
      <c r="E376" s="6">
        <f t="shared" ca="1" si="37"/>
        <v>41518</v>
      </c>
      <c r="F376" s="7">
        <f t="shared" ca="1" si="38"/>
        <v>0</v>
      </c>
      <c r="G376" s="125">
        <f ca="1">IF('Simulador - 1º Pilar'!$E$99="Sí",IF('Aportaciones Poliza'!$B$13&lt;'Aportaciones Poliza'!E376,0,F376*$B$8/12),F376*$B$8/12)</f>
        <v>0</v>
      </c>
      <c r="H376" s="125">
        <f t="shared" ca="1" si="36"/>
        <v>0</v>
      </c>
      <c r="I376" s="125"/>
      <c r="J376" s="125">
        <f t="shared" ca="1" si="39"/>
        <v>0</v>
      </c>
      <c r="K376" s="125">
        <f t="shared" si="40"/>
        <v>0</v>
      </c>
      <c r="L376" s="125">
        <f t="shared" ca="1" si="41"/>
        <v>0</v>
      </c>
      <c r="P376">
        <f t="shared" si="42"/>
        <v>369</v>
      </c>
    </row>
    <row r="377" spans="4:16">
      <c r="D377">
        <v>370</v>
      </c>
      <c r="E377" s="6">
        <f t="shared" ca="1" si="37"/>
        <v>41487</v>
      </c>
      <c r="F377" s="7">
        <f t="shared" ca="1" si="38"/>
        <v>0</v>
      </c>
      <c r="G377" s="125">
        <f ca="1">IF('Simulador - 1º Pilar'!$E$99="Sí",IF('Aportaciones Poliza'!$B$13&lt;'Aportaciones Poliza'!E377,0,F377*$B$8/12),F377*$B$8/12)</f>
        <v>0</v>
      </c>
      <c r="H377" s="125">
        <f t="shared" ca="1" si="36"/>
        <v>0</v>
      </c>
      <c r="I377" s="125"/>
      <c r="J377" s="125">
        <f t="shared" ca="1" si="39"/>
        <v>0</v>
      </c>
      <c r="K377" s="125">
        <f t="shared" si="40"/>
        <v>0</v>
      </c>
      <c r="L377" s="125">
        <f t="shared" ca="1" si="41"/>
        <v>0</v>
      </c>
      <c r="P377">
        <f t="shared" si="42"/>
        <v>370</v>
      </c>
    </row>
    <row r="378" spans="4:16">
      <c r="D378">
        <v>371</v>
      </c>
      <c r="E378" s="6">
        <f t="shared" ca="1" si="37"/>
        <v>41456</v>
      </c>
      <c r="F378" s="7">
        <f t="shared" ca="1" si="38"/>
        <v>0</v>
      </c>
      <c r="G378" s="125">
        <f ca="1">IF('Simulador - 1º Pilar'!$E$99="Sí",IF('Aportaciones Poliza'!$B$13&lt;'Aportaciones Poliza'!E378,0,F378*$B$8/12),F378*$B$8/12)</f>
        <v>0</v>
      </c>
      <c r="H378" s="125">
        <f t="shared" ca="1" si="36"/>
        <v>0</v>
      </c>
      <c r="I378" s="125"/>
      <c r="J378" s="125">
        <f t="shared" ca="1" si="39"/>
        <v>0</v>
      </c>
      <c r="K378" s="125">
        <f t="shared" si="40"/>
        <v>0</v>
      </c>
      <c r="L378" s="125">
        <f t="shared" ca="1" si="41"/>
        <v>0</v>
      </c>
      <c r="P378">
        <f t="shared" si="42"/>
        <v>371</v>
      </c>
    </row>
    <row r="379" spans="4:16">
      <c r="D379">
        <v>372</v>
      </c>
      <c r="E379" s="6">
        <f t="shared" ca="1" si="37"/>
        <v>41426</v>
      </c>
      <c r="F379" s="7">
        <f t="shared" ca="1" si="38"/>
        <v>0</v>
      </c>
      <c r="G379" s="125">
        <f ca="1">IF('Simulador - 1º Pilar'!$E$99="Sí",IF('Aportaciones Poliza'!$B$13&lt;'Aportaciones Poliza'!E379,0,F379*$B$8/12),F379*$B$8/12)</f>
        <v>0</v>
      </c>
      <c r="H379" s="125">
        <f t="shared" ca="1" si="36"/>
        <v>0</v>
      </c>
      <c r="I379" s="125"/>
      <c r="J379" s="125">
        <f t="shared" ca="1" si="39"/>
        <v>0</v>
      </c>
      <c r="K379" s="125">
        <f t="shared" si="40"/>
        <v>0</v>
      </c>
      <c r="L379" s="125">
        <f t="shared" ca="1" si="41"/>
        <v>0</v>
      </c>
      <c r="P379">
        <f t="shared" si="42"/>
        <v>372</v>
      </c>
    </row>
    <row r="380" spans="4:16">
      <c r="D380">
        <v>373</v>
      </c>
      <c r="E380" s="6">
        <f t="shared" ca="1" si="37"/>
        <v>41395</v>
      </c>
      <c r="F380" s="7">
        <f t="shared" ca="1" si="38"/>
        <v>0</v>
      </c>
      <c r="G380" s="125">
        <f ca="1">IF('Simulador - 1º Pilar'!$E$99="Sí",IF('Aportaciones Poliza'!$B$13&lt;'Aportaciones Poliza'!E380,0,F380*$B$8/12),F380*$B$8/12)</f>
        <v>0</v>
      </c>
      <c r="H380" s="125">
        <f t="shared" ca="1" si="36"/>
        <v>0</v>
      </c>
      <c r="I380" s="125"/>
      <c r="J380" s="125">
        <f t="shared" ca="1" si="39"/>
        <v>0</v>
      </c>
      <c r="K380" s="125">
        <f t="shared" si="40"/>
        <v>0</v>
      </c>
      <c r="L380" s="125">
        <f t="shared" ca="1" si="41"/>
        <v>0</v>
      </c>
      <c r="P380">
        <f t="shared" si="42"/>
        <v>373</v>
      </c>
    </row>
    <row r="381" spans="4:16">
      <c r="D381">
        <v>374</v>
      </c>
      <c r="E381" s="6">
        <f t="shared" ca="1" si="37"/>
        <v>41365</v>
      </c>
      <c r="F381" s="7">
        <f t="shared" ca="1" si="38"/>
        <v>0</v>
      </c>
      <c r="G381" s="125">
        <f ca="1">IF('Simulador - 1º Pilar'!$E$99="Sí",IF('Aportaciones Poliza'!$B$13&lt;'Aportaciones Poliza'!E381,0,F381*$B$8/12),F381*$B$8/12)</f>
        <v>0</v>
      </c>
      <c r="H381" s="125">
        <f t="shared" ca="1" si="36"/>
        <v>0</v>
      </c>
      <c r="I381" s="125"/>
      <c r="J381" s="125">
        <f t="shared" ca="1" si="39"/>
        <v>0</v>
      </c>
      <c r="K381" s="125">
        <f t="shared" si="40"/>
        <v>0</v>
      </c>
      <c r="L381" s="125">
        <f t="shared" ca="1" si="41"/>
        <v>0</v>
      </c>
      <c r="P381">
        <f t="shared" si="42"/>
        <v>374</v>
      </c>
    </row>
    <row r="382" spans="4:16">
      <c r="D382">
        <v>375</v>
      </c>
      <c r="E382" s="6">
        <f t="shared" ca="1" si="37"/>
        <v>41334</v>
      </c>
      <c r="F382" s="7">
        <f t="shared" ca="1" si="38"/>
        <v>0</v>
      </c>
      <c r="G382" s="125">
        <f ca="1">IF('Simulador - 1º Pilar'!$E$99="Sí",IF('Aportaciones Poliza'!$B$13&lt;'Aportaciones Poliza'!E382,0,F382*$B$8/12),F382*$B$8/12)</f>
        <v>0</v>
      </c>
      <c r="H382" s="125">
        <f t="shared" ca="1" si="36"/>
        <v>0</v>
      </c>
      <c r="I382" s="125"/>
      <c r="J382" s="125">
        <f t="shared" ca="1" si="39"/>
        <v>0</v>
      </c>
      <c r="K382" s="125">
        <f t="shared" si="40"/>
        <v>0</v>
      </c>
      <c r="L382" s="125">
        <f t="shared" ca="1" si="41"/>
        <v>0</v>
      </c>
      <c r="P382">
        <f t="shared" si="42"/>
        <v>375</v>
      </c>
    </row>
    <row r="383" spans="4:16">
      <c r="D383">
        <v>376</v>
      </c>
      <c r="E383" s="6">
        <f t="shared" ca="1" si="37"/>
        <v>41306</v>
      </c>
      <c r="F383" s="7">
        <f t="shared" ca="1" si="38"/>
        <v>0</v>
      </c>
      <c r="G383" s="125">
        <f ca="1">IF('Simulador - 1º Pilar'!$E$99="Sí",IF('Aportaciones Poliza'!$B$13&lt;'Aportaciones Poliza'!E383,0,F383*$B$8/12),F383*$B$8/12)</f>
        <v>0</v>
      </c>
      <c r="H383" s="125">
        <f t="shared" ca="1" si="36"/>
        <v>0</v>
      </c>
      <c r="I383" s="125"/>
      <c r="J383" s="125">
        <f t="shared" ca="1" si="39"/>
        <v>0</v>
      </c>
      <c r="K383" s="125">
        <f t="shared" si="40"/>
        <v>0</v>
      </c>
      <c r="L383" s="125">
        <f t="shared" ca="1" si="41"/>
        <v>0</v>
      </c>
      <c r="P383">
        <f t="shared" si="42"/>
        <v>376</v>
      </c>
    </row>
    <row r="384" spans="4:16">
      <c r="D384">
        <v>377</v>
      </c>
      <c r="E384" s="6">
        <f t="shared" ca="1" si="37"/>
        <v>41275</v>
      </c>
      <c r="F384" s="7">
        <f t="shared" ca="1" si="38"/>
        <v>0</v>
      </c>
      <c r="G384" s="125">
        <f ca="1">IF('Simulador - 1º Pilar'!$E$99="Sí",IF('Aportaciones Poliza'!$B$13&lt;'Aportaciones Poliza'!E384,0,F384*$B$8/12),F384*$B$8/12)</f>
        <v>0</v>
      </c>
      <c r="H384" s="125">
        <f t="shared" ca="1" si="36"/>
        <v>0</v>
      </c>
      <c r="I384" s="125"/>
      <c r="J384" s="125">
        <f t="shared" ca="1" si="39"/>
        <v>0</v>
      </c>
      <c r="K384" s="125">
        <f t="shared" si="40"/>
        <v>0</v>
      </c>
      <c r="L384" s="125">
        <f t="shared" ca="1" si="41"/>
        <v>0</v>
      </c>
      <c r="P384">
        <f t="shared" si="42"/>
        <v>377</v>
      </c>
    </row>
    <row r="385" spans="4:16">
      <c r="D385">
        <v>378</v>
      </c>
      <c r="E385" s="6">
        <f t="shared" ca="1" si="37"/>
        <v>41244</v>
      </c>
      <c r="F385" s="7">
        <f t="shared" ca="1" si="38"/>
        <v>0</v>
      </c>
      <c r="G385" s="125">
        <f ca="1">IF('Simulador - 1º Pilar'!$E$99="Sí",IF('Aportaciones Poliza'!$B$13&lt;'Aportaciones Poliza'!E385,0,F385*$B$8/12),F385*$B$8/12)</f>
        <v>0</v>
      </c>
      <c r="H385" s="125">
        <f t="shared" ca="1" si="36"/>
        <v>0</v>
      </c>
      <c r="I385" s="125"/>
      <c r="J385" s="125">
        <f t="shared" ca="1" si="39"/>
        <v>0</v>
      </c>
      <c r="K385" s="125">
        <f t="shared" si="40"/>
        <v>0</v>
      </c>
      <c r="L385" s="125">
        <f t="shared" ca="1" si="41"/>
        <v>0</v>
      </c>
      <c r="P385">
        <f t="shared" si="42"/>
        <v>378</v>
      </c>
    </row>
    <row r="386" spans="4:16">
      <c r="D386">
        <v>379</v>
      </c>
      <c r="E386" s="6">
        <f t="shared" ca="1" si="37"/>
        <v>41214</v>
      </c>
      <c r="F386" s="7">
        <f t="shared" ca="1" si="38"/>
        <v>0</v>
      </c>
      <c r="G386" s="125">
        <f ca="1">IF('Simulador - 1º Pilar'!$E$99="Sí",IF('Aportaciones Poliza'!$B$13&lt;'Aportaciones Poliza'!E386,0,F386*$B$8/12),F386*$B$8/12)</f>
        <v>0</v>
      </c>
      <c r="H386" s="125">
        <f t="shared" ca="1" si="36"/>
        <v>0</v>
      </c>
      <c r="I386" s="125"/>
      <c r="J386" s="125">
        <f t="shared" ca="1" si="39"/>
        <v>0</v>
      </c>
      <c r="K386" s="125">
        <f t="shared" si="40"/>
        <v>0</v>
      </c>
      <c r="L386" s="125">
        <f t="shared" ca="1" si="41"/>
        <v>0</v>
      </c>
      <c r="P386">
        <f t="shared" si="42"/>
        <v>379</v>
      </c>
    </row>
    <row r="387" spans="4:16">
      <c r="D387">
        <v>380</v>
      </c>
      <c r="E387" s="6">
        <f t="shared" ca="1" si="37"/>
        <v>41183</v>
      </c>
      <c r="F387" s="7">
        <f t="shared" ca="1" si="38"/>
        <v>0</v>
      </c>
      <c r="G387" s="125">
        <f ca="1">IF('Simulador - 1º Pilar'!$E$99="Sí",IF('Aportaciones Poliza'!$B$13&lt;'Aportaciones Poliza'!E387,0,F387*$B$8/12),F387*$B$8/12)</f>
        <v>0</v>
      </c>
      <c r="H387" s="125">
        <f t="shared" ca="1" si="36"/>
        <v>0</v>
      </c>
      <c r="I387" s="125"/>
      <c r="J387" s="125">
        <f t="shared" ca="1" si="39"/>
        <v>0</v>
      </c>
      <c r="K387" s="125">
        <f t="shared" si="40"/>
        <v>0</v>
      </c>
      <c r="L387" s="125">
        <f t="shared" ca="1" si="41"/>
        <v>0</v>
      </c>
      <c r="P387">
        <f t="shared" si="42"/>
        <v>380</v>
      </c>
    </row>
    <row r="388" spans="4:16">
      <c r="D388">
        <v>381</v>
      </c>
      <c r="E388" s="6">
        <f t="shared" ca="1" si="37"/>
        <v>41153</v>
      </c>
      <c r="F388" s="7">
        <f t="shared" ca="1" si="38"/>
        <v>0</v>
      </c>
      <c r="G388" s="125">
        <f ca="1">IF('Simulador - 1º Pilar'!$E$99="Sí",IF('Aportaciones Poliza'!$B$13&lt;'Aportaciones Poliza'!E388,0,F388*$B$8/12),F388*$B$8/12)</f>
        <v>0</v>
      </c>
      <c r="H388" s="125">
        <f t="shared" ca="1" si="36"/>
        <v>0</v>
      </c>
      <c r="I388" s="125"/>
      <c r="J388" s="125">
        <f t="shared" ca="1" si="39"/>
        <v>0</v>
      </c>
      <c r="K388" s="125">
        <f t="shared" si="40"/>
        <v>0</v>
      </c>
      <c r="L388" s="125">
        <f t="shared" ca="1" si="41"/>
        <v>0</v>
      </c>
      <c r="P388">
        <f t="shared" si="42"/>
        <v>381</v>
      </c>
    </row>
    <row r="389" spans="4:16">
      <c r="D389">
        <v>382</v>
      </c>
      <c r="E389" s="6">
        <f t="shared" ca="1" si="37"/>
        <v>41122</v>
      </c>
      <c r="F389" s="7">
        <f t="shared" ca="1" si="38"/>
        <v>0</v>
      </c>
      <c r="G389" s="125">
        <f ca="1">IF('Simulador - 1º Pilar'!$E$99="Sí",IF('Aportaciones Poliza'!$B$13&lt;'Aportaciones Poliza'!E389,0,F389*$B$8/12),F389*$B$8/12)</f>
        <v>0</v>
      </c>
      <c r="H389" s="125">
        <f t="shared" ca="1" si="36"/>
        <v>0</v>
      </c>
      <c r="I389" s="125"/>
      <c r="J389" s="125">
        <f t="shared" ca="1" si="39"/>
        <v>0</v>
      </c>
      <c r="K389" s="125">
        <f t="shared" si="40"/>
        <v>0</v>
      </c>
      <c r="L389" s="125">
        <f t="shared" ca="1" si="41"/>
        <v>0</v>
      </c>
      <c r="P389">
        <f t="shared" si="42"/>
        <v>382</v>
      </c>
    </row>
    <row r="390" spans="4:16">
      <c r="D390">
        <v>383</v>
      </c>
      <c r="E390" s="6">
        <f t="shared" ca="1" si="37"/>
        <v>41091</v>
      </c>
      <c r="F390" s="7">
        <f t="shared" ca="1" si="38"/>
        <v>0</v>
      </c>
      <c r="G390" s="125">
        <f ca="1">IF('Simulador - 1º Pilar'!$E$99="Sí",IF('Aportaciones Poliza'!$B$13&lt;'Aportaciones Poliza'!E390,0,F390*$B$8/12),F390*$B$8/12)</f>
        <v>0</v>
      </c>
      <c r="H390" s="125">
        <f t="shared" ca="1" si="36"/>
        <v>0</v>
      </c>
      <c r="I390" s="125"/>
      <c r="J390" s="125">
        <f t="shared" ca="1" si="39"/>
        <v>0</v>
      </c>
      <c r="K390" s="125">
        <f t="shared" si="40"/>
        <v>0</v>
      </c>
      <c r="L390" s="125">
        <f t="shared" ca="1" si="41"/>
        <v>0</v>
      </c>
      <c r="P390">
        <f t="shared" si="42"/>
        <v>383</v>
      </c>
    </row>
    <row r="391" spans="4:16">
      <c r="D391">
        <v>384</v>
      </c>
      <c r="E391" s="6">
        <f t="shared" ca="1" si="37"/>
        <v>41061</v>
      </c>
      <c r="F391" s="7">
        <f t="shared" ca="1" si="38"/>
        <v>0</v>
      </c>
      <c r="G391" s="125">
        <f ca="1">IF('Simulador - 1º Pilar'!$E$99="Sí",IF('Aportaciones Poliza'!$B$13&lt;'Aportaciones Poliza'!E391,0,F391*$B$8/12),F391*$B$8/12)</f>
        <v>0</v>
      </c>
      <c r="H391" s="125">
        <f t="shared" ref="H391:H454" ca="1" si="43">$H$5*G391</f>
        <v>0</v>
      </c>
      <c r="I391" s="125"/>
      <c r="J391" s="125">
        <f t="shared" ca="1" si="39"/>
        <v>0</v>
      </c>
      <c r="K391" s="125">
        <f t="shared" si="40"/>
        <v>0</v>
      </c>
      <c r="L391" s="125">
        <f t="shared" ca="1" si="41"/>
        <v>0</v>
      </c>
      <c r="P391">
        <f t="shared" si="42"/>
        <v>384</v>
      </c>
    </row>
    <row r="392" spans="4:16">
      <c r="D392">
        <v>385</v>
      </c>
      <c r="E392" s="6">
        <f t="shared" ref="E392:E455" ca="1" si="44">+DATE(YEAR(E391),MONTH(E391)-1,DAY(E391))</f>
        <v>41030</v>
      </c>
      <c r="F392" s="7">
        <f t="shared" ref="F392:F455" ca="1" si="45">IF(DATE(YEAR($B$6),MONTH($B$6)+1,DAY(1))=E392,1,IF(MONTH(E392)=1,F393*(1+$F$5),F393))</f>
        <v>0</v>
      </c>
      <c r="G392" s="125">
        <f ca="1">IF('Simulador - 1º Pilar'!$E$99="Sí",IF('Aportaciones Poliza'!$B$13&lt;'Aportaciones Poliza'!E392,0,F392*$B$8/12),F392*$B$8/12)</f>
        <v>0</v>
      </c>
      <c r="H392" s="125">
        <f t="shared" ca="1" si="43"/>
        <v>0</v>
      </c>
      <c r="I392" s="125"/>
      <c r="J392" s="125">
        <f t="shared" ref="J392:J455" ca="1" si="46">(1+$M$5)^(D392/12)*(H392+IF(AND(F392=1,F393=0),$Q$4,0))</f>
        <v>0</v>
      </c>
      <c r="K392" s="125">
        <f t="shared" ref="K392:K455" si="47">(1+$M$5)^(D392/12)*(I392)</f>
        <v>0</v>
      </c>
      <c r="L392" s="125">
        <f t="shared" ref="L392:L455" ca="1" si="48">K392+J392</f>
        <v>0</v>
      </c>
      <c r="P392">
        <f t="shared" si="42"/>
        <v>385</v>
      </c>
    </row>
    <row r="393" spans="4:16">
      <c r="D393">
        <v>386</v>
      </c>
      <c r="E393" s="6">
        <f t="shared" ca="1" si="44"/>
        <v>41000</v>
      </c>
      <c r="F393" s="7">
        <f t="shared" ca="1" si="45"/>
        <v>0</v>
      </c>
      <c r="G393" s="125">
        <f ca="1">IF('Simulador - 1º Pilar'!$E$99="Sí",IF('Aportaciones Poliza'!$B$13&lt;'Aportaciones Poliza'!E393,0,F393*$B$8/12),F393*$B$8/12)</f>
        <v>0</v>
      </c>
      <c r="H393" s="125">
        <f t="shared" ca="1" si="43"/>
        <v>0</v>
      </c>
      <c r="I393" s="125"/>
      <c r="J393" s="125">
        <f t="shared" ca="1" si="46"/>
        <v>0</v>
      </c>
      <c r="K393" s="125">
        <f t="shared" si="47"/>
        <v>0</v>
      </c>
      <c r="L393" s="125">
        <f t="shared" ca="1" si="48"/>
        <v>0</v>
      </c>
      <c r="P393">
        <f t="shared" ref="P393:P456" si="49">D393</f>
        <v>386</v>
      </c>
    </row>
    <row r="394" spans="4:16">
      <c r="D394">
        <v>387</v>
      </c>
      <c r="E394" s="6">
        <f t="shared" ca="1" si="44"/>
        <v>40969</v>
      </c>
      <c r="F394" s="7">
        <f t="shared" ca="1" si="45"/>
        <v>0</v>
      </c>
      <c r="G394" s="125">
        <f ca="1">IF('Simulador - 1º Pilar'!$E$99="Sí",IF('Aportaciones Poliza'!$B$13&lt;'Aportaciones Poliza'!E394,0,F394*$B$8/12),F394*$B$8/12)</f>
        <v>0</v>
      </c>
      <c r="H394" s="125">
        <f t="shared" ca="1" si="43"/>
        <v>0</v>
      </c>
      <c r="I394" s="125"/>
      <c r="J394" s="125">
        <f t="shared" ca="1" si="46"/>
        <v>0</v>
      </c>
      <c r="K394" s="125">
        <f t="shared" si="47"/>
        <v>0</v>
      </c>
      <c r="L394" s="125">
        <f t="shared" ca="1" si="48"/>
        <v>0</v>
      </c>
      <c r="P394">
        <f t="shared" si="49"/>
        <v>387</v>
      </c>
    </row>
    <row r="395" spans="4:16">
      <c r="D395">
        <v>388</v>
      </c>
      <c r="E395" s="6">
        <f t="shared" ca="1" si="44"/>
        <v>40940</v>
      </c>
      <c r="F395" s="7">
        <f t="shared" ca="1" si="45"/>
        <v>0</v>
      </c>
      <c r="G395" s="125">
        <f ca="1">IF('Simulador - 1º Pilar'!$E$99="Sí",IF('Aportaciones Poliza'!$B$13&lt;'Aportaciones Poliza'!E395,0,F395*$B$8/12),F395*$B$8/12)</f>
        <v>0</v>
      </c>
      <c r="H395" s="125">
        <f t="shared" ca="1" si="43"/>
        <v>0</v>
      </c>
      <c r="I395" s="125"/>
      <c r="J395" s="125">
        <f t="shared" ca="1" si="46"/>
        <v>0</v>
      </c>
      <c r="K395" s="125">
        <f t="shared" si="47"/>
        <v>0</v>
      </c>
      <c r="L395" s="125">
        <f t="shared" ca="1" si="48"/>
        <v>0</v>
      </c>
      <c r="P395">
        <f t="shared" si="49"/>
        <v>388</v>
      </c>
    </row>
    <row r="396" spans="4:16">
      <c r="D396">
        <v>389</v>
      </c>
      <c r="E396" s="6">
        <f t="shared" ca="1" si="44"/>
        <v>40909</v>
      </c>
      <c r="F396" s="7">
        <f t="shared" ca="1" si="45"/>
        <v>0</v>
      </c>
      <c r="G396" s="125">
        <f ca="1">IF('Simulador - 1º Pilar'!$E$99="Sí",IF('Aportaciones Poliza'!$B$13&lt;'Aportaciones Poliza'!E396,0,F396*$B$8/12),F396*$B$8/12)</f>
        <v>0</v>
      </c>
      <c r="H396" s="125">
        <f t="shared" ca="1" si="43"/>
        <v>0</v>
      </c>
      <c r="I396" s="125"/>
      <c r="J396" s="125">
        <f t="shared" ca="1" si="46"/>
        <v>0</v>
      </c>
      <c r="K396" s="125">
        <f t="shared" si="47"/>
        <v>0</v>
      </c>
      <c r="L396" s="125">
        <f t="shared" ca="1" si="48"/>
        <v>0</v>
      </c>
      <c r="P396">
        <f t="shared" si="49"/>
        <v>389</v>
      </c>
    </row>
    <row r="397" spans="4:16">
      <c r="D397">
        <v>390</v>
      </c>
      <c r="E397" s="6">
        <f t="shared" ca="1" si="44"/>
        <v>40878</v>
      </c>
      <c r="F397" s="7">
        <f t="shared" ca="1" si="45"/>
        <v>0</v>
      </c>
      <c r="G397" s="125">
        <f ca="1">IF('Simulador - 1º Pilar'!$E$99="Sí",IF('Aportaciones Poliza'!$B$13&lt;'Aportaciones Poliza'!E397,0,F397*$B$8/12),F397*$B$8/12)</f>
        <v>0</v>
      </c>
      <c r="H397" s="125">
        <f t="shared" ca="1" si="43"/>
        <v>0</v>
      </c>
      <c r="I397" s="125"/>
      <c r="J397" s="125">
        <f t="shared" ca="1" si="46"/>
        <v>0</v>
      </c>
      <c r="K397" s="125">
        <f t="shared" si="47"/>
        <v>0</v>
      </c>
      <c r="L397" s="125">
        <f t="shared" ca="1" si="48"/>
        <v>0</v>
      </c>
      <c r="P397">
        <f t="shared" si="49"/>
        <v>390</v>
      </c>
    </row>
    <row r="398" spans="4:16">
      <c r="D398">
        <v>391</v>
      </c>
      <c r="E398" s="6">
        <f t="shared" ca="1" si="44"/>
        <v>40848</v>
      </c>
      <c r="F398" s="7">
        <f t="shared" ca="1" si="45"/>
        <v>0</v>
      </c>
      <c r="G398" s="125">
        <f ca="1">IF('Simulador - 1º Pilar'!$E$99="Sí",IF('Aportaciones Poliza'!$B$13&lt;'Aportaciones Poliza'!E398,0,F398*$B$8/12),F398*$B$8/12)</f>
        <v>0</v>
      </c>
      <c r="H398" s="125">
        <f t="shared" ca="1" si="43"/>
        <v>0</v>
      </c>
      <c r="I398" s="125"/>
      <c r="J398" s="125">
        <f t="shared" ca="1" si="46"/>
        <v>0</v>
      </c>
      <c r="K398" s="125">
        <f t="shared" si="47"/>
        <v>0</v>
      </c>
      <c r="L398" s="125">
        <f t="shared" ca="1" si="48"/>
        <v>0</v>
      </c>
      <c r="P398">
        <f t="shared" si="49"/>
        <v>391</v>
      </c>
    </row>
    <row r="399" spans="4:16">
      <c r="D399">
        <v>392</v>
      </c>
      <c r="E399" s="6">
        <f t="shared" ca="1" si="44"/>
        <v>40817</v>
      </c>
      <c r="F399" s="7">
        <f t="shared" ca="1" si="45"/>
        <v>0</v>
      </c>
      <c r="G399" s="125">
        <f ca="1">IF('Simulador - 1º Pilar'!$E$99="Sí",IF('Aportaciones Poliza'!$B$13&lt;'Aportaciones Poliza'!E399,0,F399*$B$8/12),F399*$B$8/12)</f>
        <v>0</v>
      </c>
      <c r="H399" s="125">
        <f t="shared" ca="1" si="43"/>
        <v>0</v>
      </c>
      <c r="I399" s="125"/>
      <c r="J399" s="125">
        <f t="shared" ca="1" si="46"/>
        <v>0</v>
      </c>
      <c r="K399" s="125">
        <f t="shared" si="47"/>
        <v>0</v>
      </c>
      <c r="L399" s="125">
        <f t="shared" ca="1" si="48"/>
        <v>0</v>
      </c>
      <c r="P399">
        <f t="shared" si="49"/>
        <v>392</v>
      </c>
    </row>
    <row r="400" spans="4:16">
      <c r="D400">
        <v>393</v>
      </c>
      <c r="E400" s="6">
        <f t="shared" ca="1" si="44"/>
        <v>40787</v>
      </c>
      <c r="F400" s="7">
        <f t="shared" ca="1" si="45"/>
        <v>0</v>
      </c>
      <c r="G400" s="125">
        <f ca="1">IF('Simulador - 1º Pilar'!$E$99="Sí",IF('Aportaciones Poliza'!$B$13&lt;'Aportaciones Poliza'!E400,0,F400*$B$8/12),F400*$B$8/12)</f>
        <v>0</v>
      </c>
      <c r="H400" s="125">
        <f t="shared" ca="1" si="43"/>
        <v>0</v>
      </c>
      <c r="I400" s="125"/>
      <c r="J400" s="125">
        <f t="shared" ca="1" si="46"/>
        <v>0</v>
      </c>
      <c r="K400" s="125">
        <f t="shared" si="47"/>
        <v>0</v>
      </c>
      <c r="L400" s="125">
        <f t="shared" ca="1" si="48"/>
        <v>0</v>
      </c>
      <c r="P400">
        <f t="shared" si="49"/>
        <v>393</v>
      </c>
    </row>
    <row r="401" spans="4:16">
      <c r="D401">
        <v>394</v>
      </c>
      <c r="E401" s="6">
        <f t="shared" ca="1" si="44"/>
        <v>40756</v>
      </c>
      <c r="F401" s="7">
        <f t="shared" ca="1" si="45"/>
        <v>0</v>
      </c>
      <c r="G401" s="125">
        <f ca="1">IF('Simulador - 1º Pilar'!$E$99="Sí",IF('Aportaciones Poliza'!$B$13&lt;'Aportaciones Poliza'!E401,0,F401*$B$8/12),F401*$B$8/12)</f>
        <v>0</v>
      </c>
      <c r="H401" s="125">
        <f t="shared" ca="1" si="43"/>
        <v>0</v>
      </c>
      <c r="I401" s="125"/>
      <c r="J401" s="125">
        <f t="shared" ca="1" si="46"/>
        <v>0</v>
      </c>
      <c r="K401" s="125">
        <f t="shared" si="47"/>
        <v>0</v>
      </c>
      <c r="L401" s="125">
        <f t="shared" ca="1" si="48"/>
        <v>0</v>
      </c>
      <c r="P401">
        <f t="shared" si="49"/>
        <v>394</v>
      </c>
    </row>
    <row r="402" spans="4:16">
      <c r="D402">
        <v>395</v>
      </c>
      <c r="E402" s="6">
        <f t="shared" ca="1" si="44"/>
        <v>40725</v>
      </c>
      <c r="F402" s="7">
        <f t="shared" ca="1" si="45"/>
        <v>0</v>
      </c>
      <c r="G402" s="125">
        <f ca="1">IF('Simulador - 1º Pilar'!$E$99="Sí",IF('Aportaciones Poliza'!$B$13&lt;'Aportaciones Poliza'!E402,0,F402*$B$8/12),F402*$B$8/12)</f>
        <v>0</v>
      </c>
      <c r="H402" s="125">
        <f t="shared" ca="1" si="43"/>
        <v>0</v>
      </c>
      <c r="I402" s="125"/>
      <c r="J402" s="125">
        <f t="shared" ca="1" si="46"/>
        <v>0</v>
      </c>
      <c r="K402" s="125">
        <f t="shared" si="47"/>
        <v>0</v>
      </c>
      <c r="L402" s="125">
        <f t="shared" ca="1" si="48"/>
        <v>0</v>
      </c>
      <c r="P402">
        <f t="shared" si="49"/>
        <v>395</v>
      </c>
    </row>
    <row r="403" spans="4:16">
      <c r="D403">
        <v>396</v>
      </c>
      <c r="E403" s="6">
        <f t="shared" ca="1" si="44"/>
        <v>40695</v>
      </c>
      <c r="F403" s="7">
        <f t="shared" ca="1" si="45"/>
        <v>0</v>
      </c>
      <c r="G403" s="125">
        <f ca="1">IF('Simulador - 1º Pilar'!$E$99="Sí",IF('Aportaciones Poliza'!$B$13&lt;'Aportaciones Poliza'!E403,0,F403*$B$8/12),F403*$B$8/12)</f>
        <v>0</v>
      </c>
      <c r="H403" s="125">
        <f t="shared" ca="1" si="43"/>
        <v>0</v>
      </c>
      <c r="I403" s="125"/>
      <c r="J403" s="125">
        <f t="shared" ca="1" si="46"/>
        <v>0</v>
      </c>
      <c r="K403" s="125">
        <f t="shared" si="47"/>
        <v>0</v>
      </c>
      <c r="L403" s="125">
        <f t="shared" ca="1" si="48"/>
        <v>0</v>
      </c>
      <c r="P403">
        <f t="shared" si="49"/>
        <v>396</v>
      </c>
    </row>
    <row r="404" spans="4:16">
      <c r="D404">
        <v>397</v>
      </c>
      <c r="E404" s="6">
        <f t="shared" ca="1" si="44"/>
        <v>40664</v>
      </c>
      <c r="F404" s="7">
        <f t="shared" ca="1" si="45"/>
        <v>0</v>
      </c>
      <c r="G404" s="125">
        <f ca="1">IF('Simulador - 1º Pilar'!$E$99="Sí",IF('Aportaciones Poliza'!$B$13&lt;'Aportaciones Poliza'!E404,0,F404*$B$8/12),F404*$B$8/12)</f>
        <v>0</v>
      </c>
      <c r="H404" s="125">
        <f t="shared" ca="1" si="43"/>
        <v>0</v>
      </c>
      <c r="I404" s="125"/>
      <c r="J404" s="125">
        <f t="shared" ca="1" si="46"/>
        <v>0</v>
      </c>
      <c r="K404" s="125">
        <f t="shared" si="47"/>
        <v>0</v>
      </c>
      <c r="L404" s="125">
        <f t="shared" ca="1" si="48"/>
        <v>0</v>
      </c>
      <c r="P404">
        <f t="shared" si="49"/>
        <v>397</v>
      </c>
    </row>
    <row r="405" spans="4:16">
      <c r="D405">
        <v>398</v>
      </c>
      <c r="E405" s="6">
        <f t="shared" ca="1" si="44"/>
        <v>40634</v>
      </c>
      <c r="F405" s="7">
        <f t="shared" ca="1" si="45"/>
        <v>0</v>
      </c>
      <c r="G405" s="125">
        <f ca="1">IF('Simulador - 1º Pilar'!$E$99="Sí",IF('Aportaciones Poliza'!$B$13&lt;'Aportaciones Poliza'!E405,0,F405*$B$8/12),F405*$B$8/12)</f>
        <v>0</v>
      </c>
      <c r="H405" s="125">
        <f t="shared" ca="1" si="43"/>
        <v>0</v>
      </c>
      <c r="I405" s="125"/>
      <c r="J405" s="125">
        <f t="shared" ca="1" si="46"/>
        <v>0</v>
      </c>
      <c r="K405" s="125">
        <f t="shared" si="47"/>
        <v>0</v>
      </c>
      <c r="L405" s="125">
        <f t="shared" ca="1" si="48"/>
        <v>0</v>
      </c>
      <c r="P405">
        <f t="shared" si="49"/>
        <v>398</v>
      </c>
    </row>
    <row r="406" spans="4:16">
      <c r="D406">
        <v>399</v>
      </c>
      <c r="E406" s="6">
        <f t="shared" ca="1" si="44"/>
        <v>40603</v>
      </c>
      <c r="F406" s="7">
        <f t="shared" ca="1" si="45"/>
        <v>0</v>
      </c>
      <c r="G406" s="125">
        <f ca="1">IF('Simulador - 1º Pilar'!$E$99="Sí",IF('Aportaciones Poliza'!$B$13&lt;'Aportaciones Poliza'!E406,0,F406*$B$8/12),F406*$B$8/12)</f>
        <v>0</v>
      </c>
      <c r="H406" s="125">
        <f t="shared" ca="1" si="43"/>
        <v>0</v>
      </c>
      <c r="I406" s="125"/>
      <c r="J406" s="125">
        <f t="shared" ca="1" si="46"/>
        <v>0</v>
      </c>
      <c r="K406" s="125">
        <f t="shared" si="47"/>
        <v>0</v>
      </c>
      <c r="L406" s="125">
        <f t="shared" ca="1" si="48"/>
        <v>0</v>
      </c>
      <c r="P406">
        <f t="shared" si="49"/>
        <v>399</v>
      </c>
    </row>
    <row r="407" spans="4:16">
      <c r="D407">
        <v>400</v>
      </c>
      <c r="E407" s="6">
        <f t="shared" ca="1" si="44"/>
        <v>40575</v>
      </c>
      <c r="F407" s="7">
        <f t="shared" ca="1" si="45"/>
        <v>0</v>
      </c>
      <c r="G407" s="125">
        <f ca="1">IF('Simulador - 1º Pilar'!$E$99="Sí",IF('Aportaciones Poliza'!$B$13&lt;'Aportaciones Poliza'!E407,0,F407*$B$8/12),F407*$B$8/12)</f>
        <v>0</v>
      </c>
      <c r="H407" s="125">
        <f t="shared" ca="1" si="43"/>
        <v>0</v>
      </c>
      <c r="I407" s="125"/>
      <c r="J407" s="125">
        <f t="shared" ca="1" si="46"/>
        <v>0</v>
      </c>
      <c r="K407" s="125">
        <f t="shared" si="47"/>
        <v>0</v>
      </c>
      <c r="L407" s="125">
        <f t="shared" ca="1" si="48"/>
        <v>0</v>
      </c>
      <c r="P407">
        <f t="shared" si="49"/>
        <v>400</v>
      </c>
    </row>
    <row r="408" spans="4:16">
      <c r="D408">
        <v>401</v>
      </c>
      <c r="E408" s="6">
        <f t="shared" ca="1" si="44"/>
        <v>40544</v>
      </c>
      <c r="F408" s="7">
        <f t="shared" ca="1" si="45"/>
        <v>0</v>
      </c>
      <c r="G408" s="125">
        <f ca="1">IF('Simulador - 1º Pilar'!$E$99="Sí",IF('Aportaciones Poliza'!$B$13&lt;'Aportaciones Poliza'!E408,0,F408*$B$8/12),F408*$B$8/12)</f>
        <v>0</v>
      </c>
      <c r="H408" s="125">
        <f t="shared" ca="1" si="43"/>
        <v>0</v>
      </c>
      <c r="I408" s="125"/>
      <c r="J408" s="125">
        <f t="shared" ca="1" si="46"/>
        <v>0</v>
      </c>
      <c r="K408" s="125">
        <f t="shared" si="47"/>
        <v>0</v>
      </c>
      <c r="L408" s="125">
        <f t="shared" ca="1" si="48"/>
        <v>0</v>
      </c>
      <c r="P408">
        <f t="shared" si="49"/>
        <v>401</v>
      </c>
    </row>
    <row r="409" spans="4:16">
      <c r="D409">
        <v>402</v>
      </c>
      <c r="E409" s="6">
        <f t="shared" ca="1" si="44"/>
        <v>40513</v>
      </c>
      <c r="F409" s="7">
        <f t="shared" ca="1" si="45"/>
        <v>0</v>
      </c>
      <c r="G409" s="125">
        <f ca="1">IF('Simulador - 1º Pilar'!$E$99="Sí",IF('Aportaciones Poliza'!$B$13&lt;'Aportaciones Poliza'!E409,0,F409*$B$8/12),F409*$B$8/12)</f>
        <v>0</v>
      </c>
      <c r="H409" s="125">
        <f t="shared" ca="1" si="43"/>
        <v>0</v>
      </c>
      <c r="I409" s="125"/>
      <c r="J409" s="125">
        <f t="shared" ca="1" si="46"/>
        <v>0</v>
      </c>
      <c r="K409" s="125">
        <f t="shared" si="47"/>
        <v>0</v>
      </c>
      <c r="L409" s="125">
        <f t="shared" ca="1" si="48"/>
        <v>0</v>
      </c>
      <c r="P409">
        <f t="shared" si="49"/>
        <v>402</v>
      </c>
    </row>
    <row r="410" spans="4:16">
      <c r="D410">
        <v>403</v>
      </c>
      <c r="E410" s="6">
        <f t="shared" ca="1" si="44"/>
        <v>40483</v>
      </c>
      <c r="F410" s="7">
        <f t="shared" ca="1" si="45"/>
        <v>0</v>
      </c>
      <c r="G410" s="125">
        <f ca="1">IF('Simulador - 1º Pilar'!$E$99="Sí",IF('Aportaciones Poliza'!$B$13&lt;'Aportaciones Poliza'!E410,0,F410*$B$8/12),F410*$B$8/12)</f>
        <v>0</v>
      </c>
      <c r="H410" s="125">
        <f t="shared" ca="1" si="43"/>
        <v>0</v>
      </c>
      <c r="I410" s="125"/>
      <c r="J410" s="125">
        <f t="shared" ca="1" si="46"/>
        <v>0</v>
      </c>
      <c r="K410" s="125">
        <f t="shared" si="47"/>
        <v>0</v>
      </c>
      <c r="L410" s="125">
        <f t="shared" ca="1" si="48"/>
        <v>0</v>
      </c>
      <c r="P410">
        <f t="shared" si="49"/>
        <v>403</v>
      </c>
    </row>
    <row r="411" spans="4:16">
      <c r="D411">
        <v>404</v>
      </c>
      <c r="E411" s="6">
        <f t="shared" ca="1" si="44"/>
        <v>40452</v>
      </c>
      <c r="F411" s="7">
        <f t="shared" ca="1" si="45"/>
        <v>0</v>
      </c>
      <c r="G411" s="125">
        <f ca="1">IF('Simulador - 1º Pilar'!$E$99="Sí",IF('Aportaciones Poliza'!$B$13&lt;'Aportaciones Poliza'!E411,0,F411*$B$8/12),F411*$B$8/12)</f>
        <v>0</v>
      </c>
      <c r="H411" s="125">
        <f t="shared" ca="1" si="43"/>
        <v>0</v>
      </c>
      <c r="I411" s="125"/>
      <c r="J411" s="125">
        <f t="shared" ca="1" si="46"/>
        <v>0</v>
      </c>
      <c r="K411" s="125">
        <f t="shared" si="47"/>
        <v>0</v>
      </c>
      <c r="L411" s="125">
        <f t="shared" ca="1" si="48"/>
        <v>0</v>
      </c>
      <c r="P411">
        <f t="shared" si="49"/>
        <v>404</v>
      </c>
    </row>
    <row r="412" spans="4:16">
      <c r="D412">
        <v>405</v>
      </c>
      <c r="E412" s="6">
        <f t="shared" ca="1" si="44"/>
        <v>40422</v>
      </c>
      <c r="F412" s="7">
        <f t="shared" ca="1" si="45"/>
        <v>0</v>
      </c>
      <c r="G412" s="125">
        <f ca="1">IF('Simulador - 1º Pilar'!$E$99="Sí",IF('Aportaciones Poliza'!$B$13&lt;'Aportaciones Poliza'!E412,0,F412*$B$8/12),F412*$B$8/12)</f>
        <v>0</v>
      </c>
      <c r="H412" s="125">
        <f t="shared" ca="1" si="43"/>
        <v>0</v>
      </c>
      <c r="I412" s="125"/>
      <c r="J412" s="125">
        <f t="shared" ca="1" si="46"/>
        <v>0</v>
      </c>
      <c r="K412" s="125">
        <f t="shared" si="47"/>
        <v>0</v>
      </c>
      <c r="L412" s="125">
        <f t="shared" ca="1" si="48"/>
        <v>0</v>
      </c>
      <c r="P412">
        <f t="shared" si="49"/>
        <v>405</v>
      </c>
    </row>
    <row r="413" spans="4:16">
      <c r="D413">
        <v>406</v>
      </c>
      <c r="E413" s="6">
        <f t="shared" ca="1" si="44"/>
        <v>40391</v>
      </c>
      <c r="F413" s="7">
        <f t="shared" ca="1" si="45"/>
        <v>0</v>
      </c>
      <c r="G413" s="125">
        <f ca="1">IF('Simulador - 1º Pilar'!$E$99="Sí",IF('Aportaciones Poliza'!$B$13&lt;'Aportaciones Poliza'!E413,0,F413*$B$8/12),F413*$B$8/12)</f>
        <v>0</v>
      </c>
      <c r="H413" s="125">
        <f t="shared" ca="1" si="43"/>
        <v>0</v>
      </c>
      <c r="I413" s="125"/>
      <c r="J413" s="125">
        <f t="shared" ca="1" si="46"/>
        <v>0</v>
      </c>
      <c r="K413" s="125">
        <f t="shared" si="47"/>
        <v>0</v>
      </c>
      <c r="L413" s="125">
        <f t="shared" ca="1" si="48"/>
        <v>0</v>
      </c>
      <c r="P413">
        <f t="shared" si="49"/>
        <v>406</v>
      </c>
    </row>
    <row r="414" spans="4:16">
      <c r="D414">
        <v>407</v>
      </c>
      <c r="E414" s="6">
        <f t="shared" ca="1" si="44"/>
        <v>40360</v>
      </c>
      <c r="F414" s="7">
        <f t="shared" ca="1" si="45"/>
        <v>0</v>
      </c>
      <c r="G414" s="125">
        <f ca="1">IF('Simulador - 1º Pilar'!$E$99="Sí",IF('Aportaciones Poliza'!$B$13&lt;'Aportaciones Poliza'!E414,0,F414*$B$8/12),F414*$B$8/12)</f>
        <v>0</v>
      </c>
      <c r="H414" s="125">
        <f t="shared" ca="1" si="43"/>
        <v>0</v>
      </c>
      <c r="I414" s="125"/>
      <c r="J414" s="125">
        <f t="shared" ca="1" si="46"/>
        <v>0</v>
      </c>
      <c r="K414" s="125">
        <f t="shared" si="47"/>
        <v>0</v>
      </c>
      <c r="L414" s="125">
        <f t="shared" ca="1" si="48"/>
        <v>0</v>
      </c>
      <c r="P414">
        <f t="shared" si="49"/>
        <v>407</v>
      </c>
    </row>
    <row r="415" spans="4:16">
      <c r="D415">
        <v>408</v>
      </c>
      <c r="E415" s="6">
        <f t="shared" ca="1" si="44"/>
        <v>40330</v>
      </c>
      <c r="F415" s="7">
        <f t="shared" ca="1" si="45"/>
        <v>0</v>
      </c>
      <c r="G415" s="125">
        <f ca="1">IF('Simulador - 1º Pilar'!$E$99="Sí",IF('Aportaciones Poliza'!$B$13&lt;'Aportaciones Poliza'!E415,0,F415*$B$8/12),F415*$B$8/12)</f>
        <v>0</v>
      </c>
      <c r="H415" s="125">
        <f t="shared" ca="1" si="43"/>
        <v>0</v>
      </c>
      <c r="I415" s="125"/>
      <c r="J415" s="125">
        <f t="shared" ca="1" si="46"/>
        <v>0</v>
      </c>
      <c r="K415" s="125">
        <f t="shared" si="47"/>
        <v>0</v>
      </c>
      <c r="L415" s="125">
        <f t="shared" ca="1" si="48"/>
        <v>0</v>
      </c>
      <c r="P415">
        <f t="shared" si="49"/>
        <v>408</v>
      </c>
    </row>
    <row r="416" spans="4:16">
      <c r="D416">
        <v>409</v>
      </c>
      <c r="E416" s="6">
        <f t="shared" ca="1" si="44"/>
        <v>40299</v>
      </c>
      <c r="F416" s="7">
        <f t="shared" ca="1" si="45"/>
        <v>0</v>
      </c>
      <c r="G416" s="125">
        <f ca="1">IF('Simulador - 1º Pilar'!$E$99="Sí",IF('Aportaciones Poliza'!$B$13&lt;'Aportaciones Poliza'!E416,0,F416*$B$8/12),F416*$B$8/12)</f>
        <v>0</v>
      </c>
      <c r="H416" s="125">
        <f t="shared" ca="1" si="43"/>
        <v>0</v>
      </c>
      <c r="I416" s="125"/>
      <c r="J416" s="125">
        <f t="shared" ca="1" si="46"/>
        <v>0</v>
      </c>
      <c r="K416" s="125">
        <f t="shared" si="47"/>
        <v>0</v>
      </c>
      <c r="L416" s="125">
        <f t="shared" ca="1" si="48"/>
        <v>0</v>
      </c>
      <c r="P416">
        <f t="shared" si="49"/>
        <v>409</v>
      </c>
    </row>
    <row r="417" spans="4:16">
      <c r="D417">
        <v>410</v>
      </c>
      <c r="E417" s="6">
        <f t="shared" ca="1" si="44"/>
        <v>40269</v>
      </c>
      <c r="F417" s="7">
        <f t="shared" ca="1" si="45"/>
        <v>0</v>
      </c>
      <c r="G417" s="125">
        <f ca="1">IF('Simulador - 1º Pilar'!$E$99="Sí",IF('Aportaciones Poliza'!$B$13&lt;'Aportaciones Poliza'!E417,0,F417*$B$8/12),F417*$B$8/12)</f>
        <v>0</v>
      </c>
      <c r="H417" s="125">
        <f t="shared" ca="1" si="43"/>
        <v>0</v>
      </c>
      <c r="I417" s="125"/>
      <c r="J417" s="125">
        <f t="shared" ca="1" si="46"/>
        <v>0</v>
      </c>
      <c r="K417" s="125">
        <f t="shared" si="47"/>
        <v>0</v>
      </c>
      <c r="L417" s="125">
        <f t="shared" ca="1" si="48"/>
        <v>0</v>
      </c>
      <c r="P417">
        <f t="shared" si="49"/>
        <v>410</v>
      </c>
    </row>
    <row r="418" spans="4:16">
      <c r="D418">
        <v>411</v>
      </c>
      <c r="E418" s="6">
        <f t="shared" ca="1" si="44"/>
        <v>40238</v>
      </c>
      <c r="F418" s="7">
        <f t="shared" ca="1" si="45"/>
        <v>0</v>
      </c>
      <c r="G418" s="125">
        <f ca="1">IF('Simulador - 1º Pilar'!$E$99="Sí",IF('Aportaciones Poliza'!$B$13&lt;'Aportaciones Poliza'!E418,0,F418*$B$8/12),F418*$B$8/12)</f>
        <v>0</v>
      </c>
      <c r="H418" s="125">
        <f t="shared" ca="1" si="43"/>
        <v>0</v>
      </c>
      <c r="I418" s="125"/>
      <c r="J418" s="125">
        <f t="shared" ca="1" si="46"/>
        <v>0</v>
      </c>
      <c r="K418" s="125">
        <f t="shared" si="47"/>
        <v>0</v>
      </c>
      <c r="L418" s="125">
        <f t="shared" ca="1" si="48"/>
        <v>0</v>
      </c>
      <c r="P418">
        <f t="shared" si="49"/>
        <v>411</v>
      </c>
    </row>
    <row r="419" spans="4:16">
      <c r="D419">
        <v>412</v>
      </c>
      <c r="E419" s="6">
        <f t="shared" ca="1" si="44"/>
        <v>40210</v>
      </c>
      <c r="F419" s="7">
        <f t="shared" ca="1" si="45"/>
        <v>0</v>
      </c>
      <c r="G419" s="125">
        <f ca="1">IF('Simulador - 1º Pilar'!$E$99="Sí",IF('Aportaciones Poliza'!$B$13&lt;'Aportaciones Poliza'!E419,0,F419*$B$8/12),F419*$B$8/12)</f>
        <v>0</v>
      </c>
      <c r="H419" s="125">
        <f t="shared" ca="1" si="43"/>
        <v>0</v>
      </c>
      <c r="I419" s="125"/>
      <c r="J419" s="125">
        <f t="shared" ca="1" si="46"/>
        <v>0</v>
      </c>
      <c r="K419" s="125">
        <f t="shared" si="47"/>
        <v>0</v>
      </c>
      <c r="L419" s="125">
        <f t="shared" ca="1" si="48"/>
        <v>0</v>
      </c>
      <c r="P419">
        <f t="shared" si="49"/>
        <v>412</v>
      </c>
    </row>
    <row r="420" spans="4:16">
      <c r="D420">
        <v>413</v>
      </c>
      <c r="E420" s="6">
        <f t="shared" ca="1" si="44"/>
        <v>40179</v>
      </c>
      <c r="F420" s="7">
        <f t="shared" ca="1" si="45"/>
        <v>0</v>
      </c>
      <c r="G420" s="125">
        <f ca="1">IF('Simulador - 1º Pilar'!$E$99="Sí",IF('Aportaciones Poliza'!$B$13&lt;'Aportaciones Poliza'!E420,0,F420*$B$8/12),F420*$B$8/12)</f>
        <v>0</v>
      </c>
      <c r="H420" s="125">
        <f t="shared" ca="1" si="43"/>
        <v>0</v>
      </c>
      <c r="I420" s="125"/>
      <c r="J420" s="125">
        <f t="shared" ca="1" si="46"/>
        <v>0</v>
      </c>
      <c r="K420" s="125">
        <f t="shared" si="47"/>
        <v>0</v>
      </c>
      <c r="L420" s="125">
        <f t="shared" ca="1" si="48"/>
        <v>0</v>
      </c>
      <c r="P420">
        <f t="shared" si="49"/>
        <v>413</v>
      </c>
    </row>
    <row r="421" spans="4:16">
      <c r="D421">
        <v>414</v>
      </c>
      <c r="E421" s="6">
        <f t="shared" ca="1" si="44"/>
        <v>40148</v>
      </c>
      <c r="F421" s="7">
        <f t="shared" ca="1" si="45"/>
        <v>0</v>
      </c>
      <c r="G421" s="125">
        <f ca="1">IF('Simulador - 1º Pilar'!$E$99="Sí",IF('Aportaciones Poliza'!$B$13&lt;'Aportaciones Poliza'!E421,0,F421*$B$8/12),F421*$B$8/12)</f>
        <v>0</v>
      </c>
      <c r="H421" s="125">
        <f t="shared" ca="1" si="43"/>
        <v>0</v>
      </c>
      <c r="I421" s="125"/>
      <c r="J421" s="125">
        <f t="shared" ca="1" si="46"/>
        <v>0</v>
      </c>
      <c r="K421" s="125">
        <f t="shared" si="47"/>
        <v>0</v>
      </c>
      <c r="L421" s="125">
        <f t="shared" ca="1" si="48"/>
        <v>0</v>
      </c>
      <c r="P421">
        <f t="shared" si="49"/>
        <v>414</v>
      </c>
    </row>
    <row r="422" spans="4:16">
      <c r="D422">
        <v>415</v>
      </c>
      <c r="E422" s="6">
        <f t="shared" ca="1" si="44"/>
        <v>40118</v>
      </c>
      <c r="F422" s="7">
        <f t="shared" ca="1" si="45"/>
        <v>0</v>
      </c>
      <c r="G422" s="125">
        <f ca="1">IF('Simulador - 1º Pilar'!$E$99="Sí",IF('Aportaciones Poliza'!$B$13&lt;'Aportaciones Poliza'!E422,0,F422*$B$8/12),F422*$B$8/12)</f>
        <v>0</v>
      </c>
      <c r="H422" s="125">
        <f t="shared" ca="1" si="43"/>
        <v>0</v>
      </c>
      <c r="I422" s="125"/>
      <c r="J422" s="125">
        <f t="shared" ca="1" si="46"/>
        <v>0</v>
      </c>
      <c r="K422" s="125">
        <f t="shared" si="47"/>
        <v>0</v>
      </c>
      <c r="L422" s="125">
        <f t="shared" ca="1" si="48"/>
        <v>0</v>
      </c>
      <c r="P422">
        <f t="shared" si="49"/>
        <v>415</v>
      </c>
    </row>
    <row r="423" spans="4:16">
      <c r="D423">
        <v>416</v>
      </c>
      <c r="E423" s="6">
        <f t="shared" ca="1" si="44"/>
        <v>40087</v>
      </c>
      <c r="F423" s="7">
        <f t="shared" ca="1" si="45"/>
        <v>0</v>
      </c>
      <c r="G423" s="125">
        <f ca="1">IF('Simulador - 1º Pilar'!$E$99="Sí",IF('Aportaciones Poliza'!$B$13&lt;'Aportaciones Poliza'!E423,0,F423*$B$8/12),F423*$B$8/12)</f>
        <v>0</v>
      </c>
      <c r="H423" s="125">
        <f t="shared" ca="1" si="43"/>
        <v>0</v>
      </c>
      <c r="I423" s="125"/>
      <c r="J423" s="125">
        <f t="shared" ca="1" si="46"/>
        <v>0</v>
      </c>
      <c r="K423" s="125">
        <f t="shared" si="47"/>
        <v>0</v>
      </c>
      <c r="L423" s="125">
        <f t="shared" ca="1" si="48"/>
        <v>0</v>
      </c>
      <c r="P423">
        <f t="shared" si="49"/>
        <v>416</v>
      </c>
    </row>
    <row r="424" spans="4:16">
      <c r="D424">
        <v>417</v>
      </c>
      <c r="E424" s="6">
        <f t="shared" ca="1" si="44"/>
        <v>40057</v>
      </c>
      <c r="F424" s="7">
        <f t="shared" ca="1" si="45"/>
        <v>0</v>
      </c>
      <c r="G424" s="125">
        <f ca="1">IF('Simulador - 1º Pilar'!$E$99="Sí",IF('Aportaciones Poliza'!$B$13&lt;'Aportaciones Poliza'!E424,0,F424*$B$8/12),F424*$B$8/12)</f>
        <v>0</v>
      </c>
      <c r="H424" s="125">
        <f t="shared" ca="1" si="43"/>
        <v>0</v>
      </c>
      <c r="I424" s="125"/>
      <c r="J424" s="125">
        <f t="shared" ca="1" si="46"/>
        <v>0</v>
      </c>
      <c r="K424" s="125">
        <f t="shared" si="47"/>
        <v>0</v>
      </c>
      <c r="L424" s="125">
        <f t="shared" ca="1" si="48"/>
        <v>0</v>
      </c>
      <c r="P424">
        <f t="shared" si="49"/>
        <v>417</v>
      </c>
    </row>
    <row r="425" spans="4:16">
      <c r="D425">
        <v>418</v>
      </c>
      <c r="E425" s="6">
        <f t="shared" ca="1" si="44"/>
        <v>40026</v>
      </c>
      <c r="F425" s="7">
        <f t="shared" ca="1" si="45"/>
        <v>0</v>
      </c>
      <c r="G425" s="125">
        <f ca="1">IF('Simulador - 1º Pilar'!$E$99="Sí",IF('Aportaciones Poliza'!$B$13&lt;'Aportaciones Poliza'!E425,0,F425*$B$8/12),F425*$B$8/12)</f>
        <v>0</v>
      </c>
      <c r="H425" s="125">
        <f t="shared" ca="1" si="43"/>
        <v>0</v>
      </c>
      <c r="I425" s="125"/>
      <c r="J425" s="125">
        <f t="shared" ca="1" si="46"/>
        <v>0</v>
      </c>
      <c r="K425" s="125">
        <f t="shared" si="47"/>
        <v>0</v>
      </c>
      <c r="L425" s="125">
        <f t="shared" ca="1" si="48"/>
        <v>0</v>
      </c>
      <c r="P425">
        <f t="shared" si="49"/>
        <v>418</v>
      </c>
    </row>
    <row r="426" spans="4:16">
      <c r="D426">
        <v>419</v>
      </c>
      <c r="E426" s="6">
        <f t="shared" ca="1" si="44"/>
        <v>39995</v>
      </c>
      <c r="F426" s="7">
        <f t="shared" ca="1" si="45"/>
        <v>0</v>
      </c>
      <c r="G426" s="125">
        <f ca="1">IF('Simulador - 1º Pilar'!$E$99="Sí",IF('Aportaciones Poliza'!$B$13&lt;'Aportaciones Poliza'!E426,0,F426*$B$8/12),F426*$B$8/12)</f>
        <v>0</v>
      </c>
      <c r="H426" s="125">
        <f t="shared" ca="1" si="43"/>
        <v>0</v>
      </c>
      <c r="I426" s="125"/>
      <c r="J426" s="125">
        <f t="shared" ca="1" si="46"/>
        <v>0</v>
      </c>
      <c r="K426" s="125">
        <f t="shared" si="47"/>
        <v>0</v>
      </c>
      <c r="L426" s="125">
        <f t="shared" ca="1" si="48"/>
        <v>0</v>
      </c>
      <c r="P426">
        <f t="shared" si="49"/>
        <v>419</v>
      </c>
    </row>
    <row r="427" spans="4:16">
      <c r="D427">
        <v>420</v>
      </c>
      <c r="E427" s="6">
        <f t="shared" ca="1" si="44"/>
        <v>39965</v>
      </c>
      <c r="F427" s="7">
        <f t="shared" ca="1" si="45"/>
        <v>0</v>
      </c>
      <c r="G427" s="125">
        <f ca="1">IF('Simulador - 1º Pilar'!$E$99="Sí",IF('Aportaciones Poliza'!$B$13&lt;'Aportaciones Poliza'!E427,0,F427*$B$8/12),F427*$B$8/12)</f>
        <v>0</v>
      </c>
      <c r="H427" s="125">
        <f t="shared" ca="1" si="43"/>
        <v>0</v>
      </c>
      <c r="I427" s="125"/>
      <c r="J427" s="125">
        <f t="shared" ca="1" si="46"/>
        <v>0</v>
      </c>
      <c r="K427" s="125">
        <f t="shared" si="47"/>
        <v>0</v>
      </c>
      <c r="L427" s="125">
        <f t="shared" ca="1" si="48"/>
        <v>0</v>
      </c>
      <c r="P427">
        <f t="shared" si="49"/>
        <v>420</v>
      </c>
    </row>
    <row r="428" spans="4:16">
      <c r="D428">
        <v>421</v>
      </c>
      <c r="E428" s="6">
        <f t="shared" ca="1" si="44"/>
        <v>39934</v>
      </c>
      <c r="F428" s="7">
        <f t="shared" ca="1" si="45"/>
        <v>0</v>
      </c>
      <c r="G428" s="125">
        <f ca="1">IF('Simulador - 1º Pilar'!$E$99="Sí",IF('Aportaciones Poliza'!$B$13&lt;'Aportaciones Poliza'!E428,0,F428*$B$8/12),F428*$B$8/12)</f>
        <v>0</v>
      </c>
      <c r="H428" s="125">
        <f t="shared" ca="1" si="43"/>
        <v>0</v>
      </c>
      <c r="I428" s="125"/>
      <c r="J428" s="125">
        <f t="shared" ca="1" si="46"/>
        <v>0</v>
      </c>
      <c r="K428" s="125">
        <f t="shared" si="47"/>
        <v>0</v>
      </c>
      <c r="L428" s="125">
        <f t="shared" ca="1" si="48"/>
        <v>0</v>
      </c>
      <c r="P428">
        <f t="shared" si="49"/>
        <v>421</v>
      </c>
    </row>
    <row r="429" spans="4:16">
      <c r="D429">
        <v>422</v>
      </c>
      <c r="E429" s="6">
        <f t="shared" ca="1" si="44"/>
        <v>39904</v>
      </c>
      <c r="F429" s="7">
        <f t="shared" ca="1" si="45"/>
        <v>0</v>
      </c>
      <c r="G429" s="125">
        <f ca="1">IF('Simulador - 1º Pilar'!$E$99="Sí",IF('Aportaciones Poliza'!$B$13&lt;'Aportaciones Poliza'!E429,0,F429*$B$8/12),F429*$B$8/12)</f>
        <v>0</v>
      </c>
      <c r="H429" s="125">
        <f t="shared" ca="1" si="43"/>
        <v>0</v>
      </c>
      <c r="I429" s="125"/>
      <c r="J429" s="125">
        <f t="shared" ca="1" si="46"/>
        <v>0</v>
      </c>
      <c r="K429" s="125">
        <f t="shared" si="47"/>
        <v>0</v>
      </c>
      <c r="L429" s="125">
        <f t="shared" ca="1" si="48"/>
        <v>0</v>
      </c>
      <c r="P429">
        <f t="shared" si="49"/>
        <v>422</v>
      </c>
    </row>
    <row r="430" spans="4:16">
      <c r="D430">
        <v>423</v>
      </c>
      <c r="E430" s="6">
        <f t="shared" ca="1" si="44"/>
        <v>39873</v>
      </c>
      <c r="F430" s="7">
        <f t="shared" ca="1" si="45"/>
        <v>0</v>
      </c>
      <c r="G430" s="125">
        <f ca="1">IF('Simulador - 1º Pilar'!$E$99="Sí",IF('Aportaciones Poliza'!$B$13&lt;'Aportaciones Poliza'!E430,0,F430*$B$8/12),F430*$B$8/12)</f>
        <v>0</v>
      </c>
      <c r="H430" s="125">
        <f t="shared" ca="1" si="43"/>
        <v>0</v>
      </c>
      <c r="I430" s="125"/>
      <c r="J430" s="125">
        <f t="shared" ca="1" si="46"/>
        <v>0</v>
      </c>
      <c r="K430" s="125">
        <f t="shared" si="47"/>
        <v>0</v>
      </c>
      <c r="L430" s="125">
        <f t="shared" ca="1" si="48"/>
        <v>0</v>
      </c>
      <c r="P430">
        <f t="shared" si="49"/>
        <v>423</v>
      </c>
    </row>
    <row r="431" spans="4:16">
      <c r="D431">
        <v>424</v>
      </c>
      <c r="E431" s="6">
        <f t="shared" ca="1" si="44"/>
        <v>39845</v>
      </c>
      <c r="F431" s="7">
        <f t="shared" ca="1" si="45"/>
        <v>0</v>
      </c>
      <c r="G431" s="125">
        <f ca="1">IF('Simulador - 1º Pilar'!$E$99="Sí",IF('Aportaciones Poliza'!$B$13&lt;'Aportaciones Poliza'!E431,0,F431*$B$8/12),F431*$B$8/12)</f>
        <v>0</v>
      </c>
      <c r="H431" s="125">
        <f t="shared" ca="1" si="43"/>
        <v>0</v>
      </c>
      <c r="I431" s="125"/>
      <c r="J431" s="125">
        <f t="shared" ca="1" si="46"/>
        <v>0</v>
      </c>
      <c r="K431" s="125">
        <f t="shared" si="47"/>
        <v>0</v>
      </c>
      <c r="L431" s="125">
        <f t="shared" ca="1" si="48"/>
        <v>0</v>
      </c>
      <c r="P431">
        <f t="shared" si="49"/>
        <v>424</v>
      </c>
    </row>
    <row r="432" spans="4:16">
      <c r="D432">
        <v>425</v>
      </c>
      <c r="E432" s="6">
        <f t="shared" ca="1" si="44"/>
        <v>39814</v>
      </c>
      <c r="F432" s="7">
        <f t="shared" ca="1" si="45"/>
        <v>0</v>
      </c>
      <c r="G432" s="125">
        <f ca="1">IF('Simulador - 1º Pilar'!$E$99="Sí",IF('Aportaciones Poliza'!$B$13&lt;'Aportaciones Poliza'!E432,0,F432*$B$8/12),F432*$B$8/12)</f>
        <v>0</v>
      </c>
      <c r="H432" s="125">
        <f t="shared" ca="1" si="43"/>
        <v>0</v>
      </c>
      <c r="I432" s="125"/>
      <c r="J432" s="125">
        <f t="shared" ca="1" si="46"/>
        <v>0</v>
      </c>
      <c r="K432" s="125">
        <f t="shared" si="47"/>
        <v>0</v>
      </c>
      <c r="L432" s="125">
        <f t="shared" ca="1" si="48"/>
        <v>0</v>
      </c>
      <c r="P432">
        <f t="shared" si="49"/>
        <v>425</v>
      </c>
    </row>
    <row r="433" spans="4:16">
      <c r="D433">
        <v>426</v>
      </c>
      <c r="E433" s="6">
        <f t="shared" ca="1" si="44"/>
        <v>39783</v>
      </c>
      <c r="F433" s="7">
        <f t="shared" ca="1" si="45"/>
        <v>0</v>
      </c>
      <c r="G433" s="125">
        <f ca="1">IF('Simulador - 1º Pilar'!$E$99="Sí",IF('Aportaciones Poliza'!$B$13&lt;'Aportaciones Poliza'!E433,0,F433*$B$8/12),F433*$B$8/12)</f>
        <v>0</v>
      </c>
      <c r="H433" s="125">
        <f t="shared" ca="1" si="43"/>
        <v>0</v>
      </c>
      <c r="I433" s="125"/>
      <c r="J433" s="125">
        <f t="shared" ca="1" si="46"/>
        <v>0</v>
      </c>
      <c r="K433" s="125">
        <f t="shared" si="47"/>
        <v>0</v>
      </c>
      <c r="L433" s="125">
        <f t="shared" ca="1" si="48"/>
        <v>0</v>
      </c>
      <c r="P433">
        <f t="shared" si="49"/>
        <v>426</v>
      </c>
    </row>
    <row r="434" spans="4:16">
      <c r="D434">
        <v>427</v>
      </c>
      <c r="E434" s="6">
        <f t="shared" ca="1" si="44"/>
        <v>39753</v>
      </c>
      <c r="F434" s="7">
        <f t="shared" ca="1" si="45"/>
        <v>0</v>
      </c>
      <c r="G434" s="125">
        <f ca="1">IF('Simulador - 1º Pilar'!$E$99="Sí",IF('Aportaciones Poliza'!$B$13&lt;'Aportaciones Poliza'!E434,0,F434*$B$8/12),F434*$B$8/12)</f>
        <v>0</v>
      </c>
      <c r="H434" s="125">
        <f t="shared" ca="1" si="43"/>
        <v>0</v>
      </c>
      <c r="I434" s="125"/>
      <c r="J434" s="125">
        <f t="shared" ca="1" si="46"/>
        <v>0</v>
      </c>
      <c r="K434" s="125">
        <f t="shared" si="47"/>
        <v>0</v>
      </c>
      <c r="L434" s="125">
        <f t="shared" ca="1" si="48"/>
        <v>0</v>
      </c>
      <c r="P434">
        <f t="shared" si="49"/>
        <v>427</v>
      </c>
    </row>
    <row r="435" spans="4:16">
      <c r="D435">
        <v>428</v>
      </c>
      <c r="E435" s="6">
        <f t="shared" ca="1" si="44"/>
        <v>39722</v>
      </c>
      <c r="F435" s="7">
        <f t="shared" ca="1" si="45"/>
        <v>0</v>
      </c>
      <c r="G435" s="125">
        <f ca="1">IF('Simulador - 1º Pilar'!$E$99="Sí",IF('Aportaciones Poliza'!$B$13&lt;'Aportaciones Poliza'!E435,0,F435*$B$8/12),F435*$B$8/12)</f>
        <v>0</v>
      </c>
      <c r="H435" s="125">
        <f t="shared" ca="1" si="43"/>
        <v>0</v>
      </c>
      <c r="I435" s="125"/>
      <c r="J435" s="125">
        <f t="shared" ca="1" si="46"/>
        <v>0</v>
      </c>
      <c r="K435" s="125">
        <f t="shared" si="47"/>
        <v>0</v>
      </c>
      <c r="L435" s="125">
        <f t="shared" ca="1" si="48"/>
        <v>0</v>
      </c>
      <c r="P435">
        <f t="shared" si="49"/>
        <v>428</v>
      </c>
    </row>
    <row r="436" spans="4:16">
      <c r="D436">
        <v>429</v>
      </c>
      <c r="E436" s="6">
        <f t="shared" ca="1" si="44"/>
        <v>39692</v>
      </c>
      <c r="F436" s="7">
        <f t="shared" ca="1" si="45"/>
        <v>0</v>
      </c>
      <c r="G436" s="125">
        <f ca="1">IF('Simulador - 1º Pilar'!$E$99="Sí",IF('Aportaciones Poliza'!$B$13&lt;'Aportaciones Poliza'!E436,0,F436*$B$8/12),F436*$B$8/12)</f>
        <v>0</v>
      </c>
      <c r="H436" s="125">
        <f t="shared" ca="1" si="43"/>
        <v>0</v>
      </c>
      <c r="I436" s="125"/>
      <c r="J436" s="125">
        <f t="shared" ca="1" si="46"/>
        <v>0</v>
      </c>
      <c r="K436" s="125">
        <f t="shared" si="47"/>
        <v>0</v>
      </c>
      <c r="L436" s="125">
        <f t="shared" ca="1" si="48"/>
        <v>0</v>
      </c>
      <c r="P436">
        <f t="shared" si="49"/>
        <v>429</v>
      </c>
    </row>
    <row r="437" spans="4:16">
      <c r="D437">
        <v>430</v>
      </c>
      <c r="E437" s="6">
        <f t="shared" ca="1" si="44"/>
        <v>39661</v>
      </c>
      <c r="F437" s="7">
        <f t="shared" ca="1" si="45"/>
        <v>0</v>
      </c>
      <c r="G437" s="125">
        <f ca="1">IF('Simulador - 1º Pilar'!$E$99="Sí",IF('Aportaciones Poliza'!$B$13&lt;'Aportaciones Poliza'!E437,0,F437*$B$8/12),F437*$B$8/12)</f>
        <v>0</v>
      </c>
      <c r="H437" s="125">
        <f t="shared" ca="1" si="43"/>
        <v>0</v>
      </c>
      <c r="I437" s="125"/>
      <c r="J437" s="125">
        <f t="shared" ca="1" si="46"/>
        <v>0</v>
      </c>
      <c r="K437" s="125">
        <f t="shared" si="47"/>
        <v>0</v>
      </c>
      <c r="L437" s="125">
        <f t="shared" ca="1" si="48"/>
        <v>0</v>
      </c>
      <c r="P437">
        <f t="shared" si="49"/>
        <v>430</v>
      </c>
    </row>
    <row r="438" spans="4:16">
      <c r="D438">
        <v>431</v>
      </c>
      <c r="E438" s="6">
        <f t="shared" ca="1" si="44"/>
        <v>39630</v>
      </c>
      <c r="F438" s="7">
        <f t="shared" ca="1" si="45"/>
        <v>0</v>
      </c>
      <c r="G438" s="125">
        <f ca="1">IF('Simulador - 1º Pilar'!$E$99="Sí",IF('Aportaciones Poliza'!$B$13&lt;'Aportaciones Poliza'!E438,0,F438*$B$8/12),F438*$B$8/12)</f>
        <v>0</v>
      </c>
      <c r="H438" s="125">
        <f t="shared" ca="1" si="43"/>
        <v>0</v>
      </c>
      <c r="I438" s="125"/>
      <c r="J438" s="125">
        <f t="shared" ca="1" si="46"/>
        <v>0</v>
      </c>
      <c r="K438" s="125">
        <f t="shared" si="47"/>
        <v>0</v>
      </c>
      <c r="L438" s="125">
        <f t="shared" ca="1" si="48"/>
        <v>0</v>
      </c>
      <c r="P438">
        <f t="shared" si="49"/>
        <v>431</v>
      </c>
    </row>
    <row r="439" spans="4:16">
      <c r="D439">
        <v>432</v>
      </c>
      <c r="E439" s="6">
        <f t="shared" ca="1" si="44"/>
        <v>39600</v>
      </c>
      <c r="F439" s="7">
        <f t="shared" ca="1" si="45"/>
        <v>0</v>
      </c>
      <c r="G439" s="125">
        <f ca="1">IF('Simulador - 1º Pilar'!$E$99="Sí",IF('Aportaciones Poliza'!$B$13&lt;'Aportaciones Poliza'!E439,0,F439*$B$8/12),F439*$B$8/12)</f>
        <v>0</v>
      </c>
      <c r="H439" s="125">
        <f t="shared" ca="1" si="43"/>
        <v>0</v>
      </c>
      <c r="I439" s="125"/>
      <c r="J439" s="125">
        <f t="shared" ca="1" si="46"/>
        <v>0</v>
      </c>
      <c r="K439" s="125">
        <f t="shared" si="47"/>
        <v>0</v>
      </c>
      <c r="L439" s="125">
        <f t="shared" ca="1" si="48"/>
        <v>0</v>
      </c>
      <c r="P439">
        <f t="shared" si="49"/>
        <v>432</v>
      </c>
    </row>
    <row r="440" spans="4:16">
      <c r="D440">
        <v>433</v>
      </c>
      <c r="E440" s="6">
        <f t="shared" ca="1" si="44"/>
        <v>39569</v>
      </c>
      <c r="F440" s="7">
        <f t="shared" ca="1" si="45"/>
        <v>0</v>
      </c>
      <c r="G440" s="125">
        <f ca="1">IF('Simulador - 1º Pilar'!$E$99="Sí",IF('Aportaciones Poliza'!$B$13&lt;'Aportaciones Poliza'!E440,0,F440*$B$8/12),F440*$B$8/12)</f>
        <v>0</v>
      </c>
      <c r="H440" s="125">
        <f t="shared" ca="1" si="43"/>
        <v>0</v>
      </c>
      <c r="I440" s="125"/>
      <c r="J440" s="125">
        <f t="shared" ca="1" si="46"/>
        <v>0</v>
      </c>
      <c r="K440" s="125">
        <f t="shared" si="47"/>
        <v>0</v>
      </c>
      <c r="L440" s="125">
        <f t="shared" ca="1" si="48"/>
        <v>0</v>
      </c>
      <c r="P440">
        <f t="shared" si="49"/>
        <v>433</v>
      </c>
    </row>
    <row r="441" spans="4:16">
      <c r="D441">
        <v>434</v>
      </c>
      <c r="E441" s="6">
        <f t="shared" ca="1" si="44"/>
        <v>39539</v>
      </c>
      <c r="F441" s="7">
        <f t="shared" ca="1" si="45"/>
        <v>0</v>
      </c>
      <c r="G441" s="125">
        <f ca="1">IF('Simulador - 1º Pilar'!$E$99="Sí",IF('Aportaciones Poliza'!$B$13&lt;'Aportaciones Poliza'!E441,0,F441*$B$8/12),F441*$B$8/12)</f>
        <v>0</v>
      </c>
      <c r="H441" s="125">
        <f t="shared" ca="1" si="43"/>
        <v>0</v>
      </c>
      <c r="I441" s="125"/>
      <c r="J441" s="125">
        <f t="shared" ca="1" si="46"/>
        <v>0</v>
      </c>
      <c r="K441" s="125">
        <f t="shared" si="47"/>
        <v>0</v>
      </c>
      <c r="L441" s="125">
        <f t="shared" ca="1" si="48"/>
        <v>0</v>
      </c>
      <c r="P441">
        <f t="shared" si="49"/>
        <v>434</v>
      </c>
    </row>
    <row r="442" spans="4:16">
      <c r="D442">
        <v>435</v>
      </c>
      <c r="E442" s="6">
        <f t="shared" ca="1" si="44"/>
        <v>39508</v>
      </c>
      <c r="F442" s="7">
        <f t="shared" ca="1" si="45"/>
        <v>0</v>
      </c>
      <c r="G442" s="125">
        <f ca="1">IF('Simulador - 1º Pilar'!$E$99="Sí",IF('Aportaciones Poliza'!$B$13&lt;'Aportaciones Poliza'!E442,0,F442*$B$8/12),F442*$B$8/12)</f>
        <v>0</v>
      </c>
      <c r="H442" s="125">
        <f t="shared" ca="1" si="43"/>
        <v>0</v>
      </c>
      <c r="I442" s="125"/>
      <c r="J442" s="125">
        <f t="shared" ca="1" si="46"/>
        <v>0</v>
      </c>
      <c r="K442" s="125">
        <f t="shared" si="47"/>
        <v>0</v>
      </c>
      <c r="L442" s="125">
        <f t="shared" ca="1" si="48"/>
        <v>0</v>
      </c>
      <c r="P442">
        <f t="shared" si="49"/>
        <v>435</v>
      </c>
    </row>
    <row r="443" spans="4:16">
      <c r="D443">
        <v>436</v>
      </c>
      <c r="E443" s="6">
        <f t="shared" ca="1" si="44"/>
        <v>39479</v>
      </c>
      <c r="F443" s="7">
        <f t="shared" ca="1" si="45"/>
        <v>0</v>
      </c>
      <c r="G443" s="125">
        <f ca="1">IF('Simulador - 1º Pilar'!$E$99="Sí",IF('Aportaciones Poliza'!$B$13&lt;'Aportaciones Poliza'!E443,0,F443*$B$8/12),F443*$B$8/12)</f>
        <v>0</v>
      </c>
      <c r="H443" s="125">
        <f t="shared" ca="1" si="43"/>
        <v>0</v>
      </c>
      <c r="I443" s="125"/>
      <c r="J443" s="125">
        <f t="shared" ca="1" si="46"/>
        <v>0</v>
      </c>
      <c r="K443" s="125">
        <f t="shared" si="47"/>
        <v>0</v>
      </c>
      <c r="L443" s="125">
        <f t="shared" ca="1" si="48"/>
        <v>0</v>
      </c>
      <c r="P443">
        <f t="shared" si="49"/>
        <v>436</v>
      </c>
    </row>
    <row r="444" spans="4:16">
      <c r="D444">
        <v>437</v>
      </c>
      <c r="E444" s="6">
        <f t="shared" ca="1" si="44"/>
        <v>39448</v>
      </c>
      <c r="F444" s="7">
        <f t="shared" ca="1" si="45"/>
        <v>0</v>
      </c>
      <c r="G444" s="125">
        <f ca="1">IF('Simulador - 1º Pilar'!$E$99="Sí",IF('Aportaciones Poliza'!$B$13&lt;'Aportaciones Poliza'!E444,0,F444*$B$8/12),F444*$B$8/12)</f>
        <v>0</v>
      </c>
      <c r="H444" s="125">
        <f t="shared" ca="1" si="43"/>
        <v>0</v>
      </c>
      <c r="I444" s="125"/>
      <c r="J444" s="125">
        <f t="shared" ca="1" si="46"/>
        <v>0</v>
      </c>
      <c r="K444" s="125">
        <f t="shared" si="47"/>
        <v>0</v>
      </c>
      <c r="L444" s="125">
        <f t="shared" ca="1" si="48"/>
        <v>0</v>
      </c>
      <c r="P444">
        <f t="shared" si="49"/>
        <v>437</v>
      </c>
    </row>
    <row r="445" spans="4:16">
      <c r="D445">
        <v>438</v>
      </c>
      <c r="E445" s="6">
        <f t="shared" ca="1" si="44"/>
        <v>39417</v>
      </c>
      <c r="F445" s="7">
        <f t="shared" ca="1" si="45"/>
        <v>0</v>
      </c>
      <c r="G445" s="125">
        <f ca="1">IF('Simulador - 1º Pilar'!$E$99="Sí",IF('Aportaciones Poliza'!$B$13&lt;'Aportaciones Poliza'!E445,0,F445*$B$8/12),F445*$B$8/12)</f>
        <v>0</v>
      </c>
      <c r="H445" s="125">
        <f t="shared" ca="1" si="43"/>
        <v>0</v>
      </c>
      <c r="I445" s="125"/>
      <c r="J445" s="125">
        <f t="shared" ca="1" si="46"/>
        <v>0</v>
      </c>
      <c r="K445" s="125">
        <f t="shared" si="47"/>
        <v>0</v>
      </c>
      <c r="L445" s="125">
        <f t="shared" ca="1" si="48"/>
        <v>0</v>
      </c>
      <c r="P445">
        <f t="shared" si="49"/>
        <v>438</v>
      </c>
    </row>
    <row r="446" spans="4:16">
      <c r="D446">
        <v>439</v>
      </c>
      <c r="E446" s="6">
        <f t="shared" ca="1" si="44"/>
        <v>39387</v>
      </c>
      <c r="F446" s="7">
        <f t="shared" ca="1" si="45"/>
        <v>0</v>
      </c>
      <c r="G446" s="125">
        <f ca="1">IF('Simulador - 1º Pilar'!$E$99="Sí",IF('Aportaciones Poliza'!$B$13&lt;'Aportaciones Poliza'!E446,0,F446*$B$8/12),F446*$B$8/12)</f>
        <v>0</v>
      </c>
      <c r="H446" s="125">
        <f t="shared" ca="1" si="43"/>
        <v>0</v>
      </c>
      <c r="I446" s="125"/>
      <c r="J446" s="125">
        <f t="shared" ca="1" si="46"/>
        <v>0</v>
      </c>
      <c r="K446" s="125">
        <f t="shared" si="47"/>
        <v>0</v>
      </c>
      <c r="L446" s="125">
        <f t="shared" ca="1" si="48"/>
        <v>0</v>
      </c>
      <c r="P446">
        <f t="shared" si="49"/>
        <v>439</v>
      </c>
    </row>
    <row r="447" spans="4:16">
      <c r="D447">
        <v>440</v>
      </c>
      <c r="E447" s="6">
        <f t="shared" ca="1" si="44"/>
        <v>39356</v>
      </c>
      <c r="F447" s="7">
        <f t="shared" ca="1" si="45"/>
        <v>0</v>
      </c>
      <c r="G447" s="125">
        <f ca="1">IF('Simulador - 1º Pilar'!$E$99="Sí",IF('Aportaciones Poliza'!$B$13&lt;'Aportaciones Poliza'!E447,0,F447*$B$8/12),F447*$B$8/12)</f>
        <v>0</v>
      </c>
      <c r="H447" s="125">
        <f t="shared" ca="1" si="43"/>
        <v>0</v>
      </c>
      <c r="I447" s="125"/>
      <c r="J447" s="125">
        <f t="shared" ca="1" si="46"/>
        <v>0</v>
      </c>
      <c r="K447" s="125">
        <f t="shared" si="47"/>
        <v>0</v>
      </c>
      <c r="L447" s="125">
        <f t="shared" ca="1" si="48"/>
        <v>0</v>
      </c>
      <c r="P447">
        <f t="shared" si="49"/>
        <v>440</v>
      </c>
    </row>
    <row r="448" spans="4:16">
      <c r="D448">
        <v>441</v>
      </c>
      <c r="E448" s="6">
        <f t="shared" ca="1" si="44"/>
        <v>39326</v>
      </c>
      <c r="F448" s="7">
        <f t="shared" ca="1" si="45"/>
        <v>0</v>
      </c>
      <c r="G448" s="125">
        <f ca="1">IF('Simulador - 1º Pilar'!$E$99="Sí",IF('Aportaciones Poliza'!$B$13&lt;'Aportaciones Poliza'!E448,0,F448*$B$8/12),F448*$B$8/12)</f>
        <v>0</v>
      </c>
      <c r="H448" s="125">
        <f t="shared" ca="1" si="43"/>
        <v>0</v>
      </c>
      <c r="I448" s="125"/>
      <c r="J448" s="125">
        <f t="shared" ca="1" si="46"/>
        <v>0</v>
      </c>
      <c r="K448" s="125">
        <f t="shared" si="47"/>
        <v>0</v>
      </c>
      <c r="L448" s="125">
        <f t="shared" ca="1" si="48"/>
        <v>0</v>
      </c>
      <c r="P448">
        <f t="shared" si="49"/>
        <v>441</v>
      </c>
    </row>
    <row r="449" spans="4:16">
      <c r="D449">
        <v>442</v>
      </c>
      <c r="E449" s="6">
        <f t="shared" ca="1" si="44"/>
        <v>39295</v>
      </c>
      <c r="F449" s="7">
        <f t="shared" ca="1" si="45"/>
        <v>0</v>
      </c>
      <c r="G449" s="125">
        <f ca="1">IF('Simulador - 1º Pilar'!$E$99="Sí",IF('Aportaciones Poliza'!$B$13&lt;'Aportaciones Poliza'!E449,0,F449*$B$8/12),F449*$B$8/12)</f>
        <v>0</v>
      </c>
      <c r="H449" s="125">
        <f t="shared" ca="1" si="43"/>
        <v>0</v>
      </c>
      <c r="I449" s="125"/>
      <c r="J449" s="125">
        <f t="shared" ca="1" si="46"/>
        <v>0</v>
      </c>
      <c r="K449" s="125">
        <f t="shared" si="47"/>
        <v>0</v>
      </c>
      <c r="L449" s="125">
        <f t="shared" ca="1" si="48"/>
        <v>0</v>
      </c>
      <c r="P449">
        <f t="shared" si="49"/>
        <v>442</v>
      </c>
    </row>
    <row r="450" spans="4:16">
      <c r="D450">
        <v>443</v>
      </c>
      <c r="E450" s="6">
        <f t="shared" ca="1" si="44"/>
        <v>39264</v>
      </c>
      <c r="F450" s="7">
        <f t="shared" ca="1" si="45"/>
        <v>0</v>
      </c>
      <c r="G450" s="125">
        <f ca="1">IF('Simulador - 1º Pilar'!$E$99="Sí",IF('Aportaciones Poliza'!$B$13&lt;'Aportaciones Poliza'!E450,0,F450*$B$8/12),F450*$B$8/12)</f>
        <v>0</v>
      </c>
      <c r="H450" s="125">
        <f t="shared" ca="1" si="43"/>
        <v>0</v>
      </c>
      <c r="I450" s="125"/>
      <c r="J450" s="125">
        <f t="shared" ca="1" si="46"/>
        <v>0</v>
      </c>
      <c r="K450" s="125">
        <f t="shared" si="47"/>
        <v>0</v>
      </c>
      <c r="L450" s="125">
        <f t="shared" ca="1" si="48"/>
        <v>0</v>
      </c>
      <c r="P450">
        <f t="shared" si="49"/>
        <v>443</v>
      </c>
    </row>
    <row r="451" spans="4:16">
      <c r="D451">
        <v>444</v>
      </c>
      <c r="E451" s="6">
        <f t="shared" ca="1" si="44"/>
        <v>39234</v>
      </c>
      <c r="F451" s="7">
        <f t="shared" ca="1" si="45"/>
        <v>0</v>
      </c>
      <c r="G451" s="125">
        <f ca="1">IF('Simulador - 1º Pilar'!$E$99="Sí",IF('Aportaciones Poliza'!$B$13&lt;'Aportaciones Poliza'!E451,0,F451*$B$8/12),F451*$B$8/12)</f>
        <v>0</v>
      </c>
      <c r="H451" s="125">
        <f t="shared" ca="1" si="43"/>
        <v>0</v>
      </c>
      <c r="I451" s="125"/>
      <c r="J451" s="125">
        <f t="shared" ca="1" si="46"/>
        <v>0</v>
      </c>
      <c r="K451" s="125">
        <f t="shared" si="47"/>
        <v>0</v>
      </c>
      <c r="L451" s="125">
        <f t="shared" ca="1" si="48"/>
        <v>0</v>
      </c>
      <c r="P451">
        <f t="shared" si="49"/>
        <v>444</v>
      </c>
    </row>
    <row r="452" spans="4:16">
      <c r="D452">
        <v>445</v>
      </c>
      <c r="E452" s="6">
        <f t="shared" ca="1" si="44"/>
        <v>39203</v>
      </c>
      <c r="F452" s="7">
        <f t="shared" ca="1" si="45"/>
        <v>0</v>
      </c>
      <c r="G452" s="125">
        <f ca="1">IF('Simulador - 1º Pilar'!$E$99="Sí",IF('Aportaciones Poliza'!$B$13&lt;'Aportaciones Poliza'!E452,0,F452*$B$8/12),F452*$B$8/12)</f>
        <v>0</v>
      </c>
      <c r="H452" s="125">
        <f t="shared" ca="1" si="43"/>
        <v>0</v>
      </c>
      <c r="I452" s="125"/>
      <c r="J452" s="125">
        <f t="shared" ca="1" si="46"/>
        <v>0</v>
      </c>
      <c r="K452" s="125">
        <f t="shared" si="47"/>
        <v>0</v>
      </c>
      <c r="L452" s="125">
        <f t="shared" ca="1" si="48"/>
        <v>0</v>
      </c>
      <c r="P452">
        <f t="shared" si="49"/>
        <v>445</v>
      </c>
    </row>
    <row r="453" spans="4:16">
      <c r="D453">
        <v>446</v>
      </c>
      <c r="E453" s="6">
        <f t="shared" ca="1" si="44"/>
        <v>39173</v>
      </c>
      <c r="F453" s="7">
        <f t="shared" ca="1" si="45"/>
        <v>0</v>
      </c>
      <c r="G453" s="125">
        <f ca="1">IF('Simulador - 1º Pilar'!$E$99="Sí",IF('Aportaciones Poliza'!$B$13&lt;'Aportaciones Poliza'!E453,0,F453*$B$8/12),F453*$B$8/12)</f>
        <v>0</v>
      </c>
      <c r="H453" s="125">
        <f t="shared" ca="1" si="43"/>
        <v>0</v>
      </c>
      <c r="I453" s="125"/>
      <c r="J453" s="125">
        <f t="shared" ca="1" si="46"/>
        <v>0</v>
      </c>
      <c r="K453" s="125">
        <f t="shared" si="47"/>
        <v>0</v>
      </c>
      <c r="L453" s="125">
        <f t="shared" ca="1" si="48"/>
        <v>0</v>
      </c>
      <c r="P453">
        <f t="shared" si="49"/>
        <v>446</v>
      </c>
    </row>
    <row r="454" spans="4:16">
      <c r="D454">
        <v>447</v>
      </c>
      <c r="E454" s="6">
        <f t="shared" ca="1" si="44"/>
        <v>39142</v>
      </c>
      <c r="F454" s="7">
        <f t="shared" ca="1" si="45"/>
        <v>0</v>
      </c>
      <c r="G454" s="125">
        <f ca="1">IF('Simulador - 1º Pilar'!$E$99="Sí",IF('Aportaciones Poliza'!$B$13&lt;'Aportaciones Poliza'!E454,0,F454*$B$8/12),F454*$B$8/12)</f>
        <v>0</v>
      </c>
      <c r="H454" s="125">
        <f t="shared" ca="1" si="43"/>
        <v>0</v>
      </c>
      <c r="I454" s="125"/>
      <c r="J454" s="125">
        <f t="shared" ca="1" si="46"/>
        <v>0</v>
      </c>
      <c r="K454" s="125">
        <f t="shared" si="47"/>
        <v>0</v>
      </c>
      <c r="L454" s="125">
        <f t="shared" ca="1" si="48"/>
        <v>0</v>
      </c>
      <c r="P454">
        <f t="shared" si="49"/>
        <v>447</v>
      </c>
    </row>
    <row r="455" spans="4:16">
      <c r="D455">
        <v>448</v>
      </c>
      <c r="E455" s="6">
        <f t="shared" ca="1" si="44"/>
        <v>39114</v>
      </c>
      <c r="F455" s="7">
        <f t="shared" ca="1" si="45"/>
        <v>0</v>
      </c>
      <c r="G455" s="125">
        <f ca="1">IF('Simulador - 1º Pilar'!$E$99="Sí",IF('Aportaciones Poliza'!$B$13&lt;'Aportaciones Poliza'!E455,0,F455*$B$8/12),F455*$B$8/12)</f>
        <v>0</v>
      </c>
      <c r="H455" s="125">
        <f t="shared" ref="H455:H518" ca="1" si="50">$H$5*G455</f>
        <v>0</v>
      </c>
      <c r="I455" s="125"/>
      <c r="J455" s="125">
        <f t="shared" ca="1" si="46"/>
        <v>0</v>
      </c>
      <c r="K455" s="125">
        <f t="shared" si="47"/>
        <v>0</v>
      </c>
      <c r="L455" s="125">
        <f t="shared" ca="1" si="48"/>
        <v>0</v>
      </c>
      <c r="P455">
        <f t="shared" si="49"/>
        <v>448</v>
      </c>
    </row>
    <row r="456" spans="4:16">
      <c r="D456">
        <v>449</v>
      </c>
      <c r="E456" s="6">
        <f t="shared" ref="E456:E519" ca="1" si="51">+DATE(YEAR(E455),MONTH(E455)-1,DAY(E455))</f>
        <v>39083</v>
      </c>
      <c r="F456" s="7">
        <f t="shared" ref="F456:F519" ca="1" si="52">IF(DATE(YEAR($B$6),MONTH($B$6)+1,DAY(1))=E456,1,IF(MONTH(E456)=1,F457*(1+$F$5),F457))</f>
        <v>0</v>
      </c>
      <c r="G456" s="125">
        <f ca="1">IF('Simulador - 1º Pilar'!$E$99="Sí",IF('Aportaciones Poliza'!$B$13&lt;'Aportaciones Poliza'!E456,0,F456*$B$8/12),F456*$B$8/12)</f>
        <v>0</v>
      </c>
      <c r="H456" s="125">
        <f t="shared" ca="1" si="50"/>
        <v>0</v>
      </c>
      <c r="I456" s="125"/>
      <c r="J456" s="125">
        <f t="shared" ref="J456:J519" ca="1" si="53">(1+$M$5)^(D456/12)*(H456+IF(AND(F456=1,F457=0),$Q$4,0))</f>
        <v>0</v>
      </c>
      <c r="K456" s="125">
        <f t="shared" ref="K456:K519" si="54">(1+$M$5)^(D456/12)*(I456)</f>
        <v>0</v>
      </c>
      <c r="L456" s="125">
        <f t="shared" ref="L456:L519" ca="1" si="55">K456+J456</f>
        <v>0</v>
      </c>
      <c r="P456">
        <f t="shared" si="49"/>
        <v>449</v>
      </c>
    </row>
    <row r="457" spans="4:16">
      <c r="D457">
        <v>450</v>
      </c>
      <c r="E457" s="6">
        <f t="shared" ca="1" si="51"/>
        <v>39052</v>
      </c>
      <c r="F457" s="7">
        <f t="shared" ca="1" si="52"/>
        <v>0</v>
      </c>
      <c r="G457" s="125">
        <f ca="1">IF('Simulador - 1º Pilar'!$E$99="Sí",IF('Aportaciones Poliza'!$B$13&lt;'Aportaciones Poliza'!E457,0,F457*$B$8/12),F457*$B$8/12)</f>
        <v>0</v>
      </c>
      <c r="H457" s="125">
        <f t="shared" ca="1" si="50"/>
        <v>0</v>
      </c>
      <c r="I457" s="125"/>
      <c r="J457" s="125">
        <f t="shared" ca="1" si="53"/>
        <v>0</v>
      </c>
      <c r="K457" s="125">
        <f t="shared" si="54"/>
        <v>0</v>
      </c>
      <c r="L457" s="125">
        <f t="shared" ca="1" si="55"/>
        <v>0</v>
      </c>
      <c r="P457">
        <f t="shared" ref="P457:P520" si="56">D457</f>
        <v>450</v>
      </c>
    </row>
    <row r="458" spans="4:16">
      <c r="D458">
        <v>451</v>
      </c>
      <c r="E458" s="6">
        <f t="shared" ca="1" si="51"/>
        <v>39022</v>
      </c>
      <c r="F458" s="7">
        <f t="shared" ca="1" si="52"/>
        <v>0</v>
      </c>
      <c r="G458" s="125">
        <f ca="1">IF('Simulador - 1º Pilar'!$E$99="Sí",IF('Aportaciones Poliza'!$B$13&lt;'Aportaciones Poliza'!E458,0,F458*$B$8/12),F458*$B$8/12)</f>
        <v>0</v>
      </c>
      <c r="H458" s="125">
        <f t="shared" ca="1" si="50"/>
        <v>0</v>
      </c>
      <c r="I458" s="125"/>
      <c r="J458" s="125">
        <f t="shared" ca="1" si="53"/>
        <v>0</v>
      </c>
      <c r="K458" s="125">
        <f t="shared" si="54"/>
        <v>0</v>
      </c>
      <c r="L458" s="125">
        <f t="shared" ca="1" si="55"/>
        <v>0</v>
      </c>
      <c r="P458">
        <f t="shared" si="56"/>
        <v>451</v>
      </c>
    </row>
    <row r="459" spans="4:16">
      <c r="D459">
        <v>452</v>
      </c>
      <c r="E459" s="6">
        <f t="shared" ca="1" si="51"/>
        <v>38991</v>
      </c>
      <c r="F459" s="7">
        <f t="shared" ca="1" si="52"/>
        <v>0</v>
      </c>
      <c r="G459" s="125">
        <f ca="1">IF('Simulador - 1º Pilar'!$E$99="Sí",IF('Aportaciones Poliza'!$B$13&lt;'Aportaciones Poliza'!E459,0,F459*$B$8/12),F459*$B$8/12)</f>
        <v>0</v>
      </c>
      <c r="H459" s="125">
        <f t="shared" ca="1" si="50"/>
        <v>0</v>
      </c>
      <c r="I459" s="125"/>
      <c r="J459" s="125">
        <f t="shared" ca="1" si="53"/>
        <v>0</v>
      </c>
      <c r="K459" s="125">
        <f t="shared" si="54"/>
        <v>0</v>
      </c>
      <c r="L459" s="125">
        <f t="shared" ca="1" si="55"/>
        <v>0</v>
      </c>
      <c r="P459">
        <f t="shared" si="56"/>
        <v>452</v>
      </c>
    </row>
    <row r="460" spans="4:16">
      <c r="D460">
        <v>453</v>
      </c>
      <c r="E460" s="6">
        <f t="shared" ca="1" si="51"/>
        <v>38961</v>
      </c>
      <c r="F460" s="7">
        <f t="shared" ca="1" si="52"/>
        <v>0</v>
      </c>
      <c r="G460" s="125">
        <f ca="1">IF('Simulador - 1º Pilar'!$E$99="Sí",IF('Aportaciones Poliza'!$B$13&lt;'Aportaciones Poliza'!E460,0,F460*$B$8/12),F460*$B$8/12)</f>
        <v>0</v>
      </c>
      <c r="H460" s="125">
        <f t="shared" ca="1" si="50"/>
        <v>0</v>
      </c>
      <c r="I460" s="125"/>
      <c r="J460" s="125">
        <f t="shared" ca="1" si="53"/>
        <v>0</v>
      </c>
      <c r="K460" s="125">
        <f t="shared" si="54"/>
        <v>0</v>
      </c>
      <c r="L460" s="125">
        <f t="shared" ca="1" si="55"/>
        <v>0</v>
      </c>
      <c r="P460">
        <f t="shared" si="56"/>
        <v>453</v>
      </c>
    </row>
    <row r="461" spans="4:16">
      <c r="D461">
        <v>454</v>
      </c>
      <c r="E461" s="6">
        <f t="shared" ca="1" si="51"/>
        <v>38930</v>
      </c>
      <c r="F461" s="7">
        <f t="shared" ca="1" si="52"/>
        <v>0</v>
      </c>
      <c r="G461" s="125">
        <f ca="1">IF('Simulador - 1º Pilar'!$E$99="Sí",IF('Aportaciones Poliza'!$B$13&lt;'Aportaciones Poliza'!E461,0,F461*$B$8/12),F461*$B$8/12)</f>
        <v>0</v>
      </c>
      <c r="H461" s="125">
        <f t="shared" ca="1" si="50"/>
        <v>0</v>
      </c>
      <c r="I461" s="125"/>
      <c r="J461" s="125">
        <f t="shared" ca="1" si="53"/>
        <v>0</v>
      </c>
      <c r="K461" s="125">
        <f t="shared" si="54"/>
        <v>0</v>
      </c>
      <c r="L461" s="125">
        <f t="shared" ca="1" si="55"/>
        <v>0</v>
      </c>
      <c r="P461">
        <f t="shared" si="56"/>
        <v>454</v>
      </c>
    </row>
    <row r="462" spans="4:16">
      <c r="D462">
        <v>455</v>
      </c>
      <c r="E462" s="6">
        <f t="shared" ca="1" si="51"/>
        <v>38899</v>
      </c>
      <c r="F462" s="7">
        <f t="shared" ca="1" si="52"/>
        <v>0</v>
      </c>
      <c r="G462" s="125">
        <f ca="1">IF('Simulador - 1º Pilar'!$E$99="Sí",IF('Aportaciones Poliza'!$B$13&lt;'Aportaciones Poliza'!E462,0,F462*$B$8/12),F462*$B$8/12)</f>
        <v>0</v>
      </c>
      <c r="H462" s="125">
        <f t="shared" ca="1" si="50"/>
        <v>0</v>
      </c>
      <c r="I462" s="125"/>
      <c r="J462" s="125">
        <f t="shared" ca="1" si="53"/>
        <v>0</v>
      </c>
      <c r="K462" s="125">
        <f t="shared" si="54"/>
        <v>0</v>
      </c>
      <c r="L462" s="125">
        <f t="shared" ca="1" si="55"/>
        <v>0</v>
      </c>
      <c r="P462">
        <f t="shared" si="56"/>
        <v>455</v>
      </c>
    </row>
    <row r="463" spans="4:16">
      <c r="D463">
        <v>456</v>
      </c>
      <c r="E463" s="6">
        <f t="shared" ca="1" si="51"/>
        <v>38869</v>
      </c>
      <c r="F463" s="7">
        <f t="shared" ca="1" si="52"/>
        <v>0</v>
      </c>
      <c r="G463" s="125">
        <f ca="1">IF('Simulador - 1º Pilar'!$E$99="Sí",IF('Aportaciones Poliza'!$B$13&lt;'Aportaciones Poliza'!E463,0,F463*$B$8/12),F463*$B$8/12)</f>
        <v>0</v>
      </c>
      <c r="H463" s="125">
        <f t="shared" ca="1" si="50"/>
        <v>0</v>
      </c>
      <c r="I463" s="125"/>
      <c r="J463" s="125">
        <f t="shared" ca="1" si="53"/>
        <v>0</v>
      </c>
      <c r="K463" s="125">
        <f t="shared" si="54"/>
        <v>0</v>
      </c>
      <c r="L463" s="125">
        <f t="shared" ca="1" si="55"/>
        <v>0</v>
      </c>
      <c r="P463">
        <f t="shared" si="56"/>
        <v>456</v>
      </c>
    </row>
    <row r="464" spans="4:16">
      <c r="D464">
        <v>457</v>
      </c>
      <c r="E464" s="6">
        <f t="shared" ca="1" si="51"/>
        <v>38838</v>
      </c>
      <c r="F464" s="7">
        <f t="shared" ca="1" si="52"/>
        <v>0</v>
      </c>
      <c r="G464" s="125">
        <f ca="1">IF('Simulador - 1º Pilar'!$E$99="Sí",IF('Aportaciones Poliza'!$B$13&lt;'Aportaciones Poliza'!E464,0,F464*$B$8/12),F464*$B$8/12)</f>
        <v>0</v>
      </c>
      <c r="H464" s="125">
        <f t="shared" ca="1" si="50"/>
        <v>0</v>
      </c>
      <c r="I464" s="125"/>
      <c r="J464" s="125">
        <f t="shared" ca="1" si="53"/>
        <v>0</v>
      </c>
      <c r="K464" s="125">
        <f t="shared" si="54"/>
        <v>0</v>
      </c>
      <c r="L464" s="125">
        <f t="shared" ca="1" si="55"/>
        <v>0</v>
      </c>
      <c r="P464">
        <f t="shared" si="56"/>
        <v>457</v>
      </c>
    </row>
    <row r="465" spans="4:16">
      <c r="D465">
        <v>458</v>
      </c>
      <c r="E465" s="6">
        <f t="shared" ca="1" si="51"/>
        <v>38808</v>
      </c>
      <c r="F465" s="7">
        <f t="shared" ca="1" si="52"/>
        <v>0</v>
      </c>
      <c r="G465" s="125">
        <f ca="1">IF('Simulador - 1º Pilar'!$E$99="Sí",IF('Aportaciones Poliza'!$B$13&lt;'Aportaciones Poliza'!E465,0,F465*$B$8/12),F465*$B$8/12)</f>
        <v>0</v>
      </c>
      <c r="H465" s="125">
        <f t="shared" ca="1" si="50"/>
        <v>0</v>
      </c>
      <c r="I465" s="125"/>
      <c r="J465" s="125">
        <f t="shared" ca="1" si="53"/>
        <v>0</v>
      </c>
      <c r="K465" s="125">
        <f t="shared" si="54"/>
        <v>0</v>
      </c>
      <c r="L465" s="125">
        <f t="shared" ca="1" si="55"/>
        <v>0</v>
      </c>
      <c r="P465">
        <f t="shared" si="56"/>
        <v>458</v>
      </c>
    </row>
    <row r="466" spans="4:16">
      <c r="D466">
        <v>459</v>
      </c>
      <c r="E466" s="6">
        <f t="shared" ca="1" si="51"/>
        <v>38777</v>
      </c>
      <c r="F466" s="7">
        <f t="shared" ca="1" si="52"/>
        <v>0</v>
      </c>
      <c r="G466" s="125">
        <f ca="1">IF('Simulador - 1º Pilar'!$E$99="Sí",IF('Aportaciones Poliza'!$B$13&lt;'Aportaciones Poliza'!E466,0,F466*$B$8/12),F466*$B$8/12)</f>
        <v>0</v>
      </c>
      <c r="H466" s="125">
        <f t="shared" ca="1" si="50"/>
        <v>0</v>
      </c>
      <c r="I466" s="125"/>
      <c r="J466" s="125">
        <f t="shared" ca="1" si="53"/>
        <v>0</v>
      </c>
      <c r="K466" s="125">
        <f t="shared" si="54"/>
        <v>0</v>
      </c>
      <c r="L466" s="125">
        <f t="shared" ca="1" si="55"/>
        <v>0</v>
      </c>
      <c r="P466">
        <f t="shared" si="56"/>
        <v>459</v>
      </c>
    </row>
    <row r="467" spans="4:16">
      <c r="D467">
        <v>460</v>
      </c>
      <c r="E467" s="6">
        <f t="shared" ca="1" si="51"/>
        <v>38749</v>
      </c>
      <c r="F467" s="7">
        <f t="shared" ca="1" si="52"/>
        <v>0</v>
      </c>
      <c r="G467" s="125">
        <f ca="1">IF('Simulador - 1º Pilar'!$E$99="Sí",IF('Aportaciones Poliza'!$B$13&lt;'Aportaciones Poliza'!E467,0,F467*$B$8/12),F467*$B$8/12)</f>
        <v>0</v>
      </c>
      <c r="H467" s="125">
        <f t="shared" ca="1" si="50"/>
        <v>0</v>
      </c>
      <c r="I467" s="125"/>
      <c r="J467" s="125">
        <f t="shared" ca="1" si="53"/>
        <v>0</v>
      </c>
      <c r="K467" s="125">
        <f t="shared" si="54"/>
        <v>0</v>
      </c>
      <c r="L467" s="125">
        <f t="shared" ca="1" si="55"/>
        <v>0</v>
      </c>
      <c r="P467">
        <f t="shared" si="56"/>
        <v>460</v>
      </c>
    </row>
    <row r="468" spans="4:16">
      <c r="D468">
        <v>461</v>
      </c>
      <c r="E468" s="6">
        <f t="shared" ca="1" si="51"/>
        <v>38718</v>
      </c>
      <c r="F468" s="7">
        <f t="shared" ca="1" si="52"/>
        <v>0</v>
      </c>
      <c r="G468" s="125">
        <f ca="1">IF('Simulador - 1º Pilar'!$E$99="Sí",IF('Aportaciones Poliza'!$B$13&lt;'Aportaciones Poliza'!E468,0,F468*$B$8/12),F468*$B$8/12)</f>
        <v>0</v>
      </c>
      <c r="H468" s="125">
        <f t="shared" ca="1" si="50"/>
        <v>0</v>
      </c>
      <c r="I468" s="125"/>
      <c r="J468" s="125">
        <f t="shared" ca="1" si="53"/>
        <v>0</v>
      </c>
      <c r="K468" s="125">
        <f t="shared" si="54"/>
        <v>0</v>
      </c>
      <c r="L468" s="125">
        <f t="shared" ca="1" si="55"/>
        <v>0</v>
      </c>
      <c r="P468">
        <f t="shared" si="56"/>
        <v>461</v>
      </c>
    </row>
    <row r="469" spans="4:16">
      <c r="D469">
        <v>462</v>
      </c>
      <c r="E469" s="6">
        <f t="shared" ca="1" si="51"/>
        <v>38687</v>
      </c>
      <c r="F469" s="7">
        <f t="shared" ca="1" si="52"/>
        <v>0</v>
      </c>
      <c r="G469" s="125">
        <f ca="1">IF('Simulador - 1º Pilar'!$E$99="Sí",IF('Aportaciones Poliza'!$B$13&lt;'Aportaciones Poliza'!E469,0,F469*$B$8/12),F469*$B$8/12)</f>
        <v>0</v>
      </c>
      <c r="H469" s="125">
        <f t="shared" ca="1" si="50"/>
        <v>0</v>
      </c>
      <c r="I469" s="125"/>
      <c r="J469" s="125">
        <f t="shared" ca="1" si="53"/>
        <v>0</v>
      </c>
      <c r="K469" s="125">
        <f t="shared" si="54"/>
        <v>0</v>
      </c>
      <c r="L469" s="125">
        <f t="shared" ca="1" si="55"/>
        <v>0</v>
      </c>
      <c r="P469">
        <f t="shared" si="56"/>
        <v>462</v>
      </c>
    </row>
    <row r="470" spans="4:16">
      <c r="D470">
        <v>463</v>
      </c>
      <c r="E470" s="6">
        <f t="shared" ca="1" si="51"/>
        <v>38657</v>
      </c>
      <c r="F470" s="7">
        <f t="shared" ca="1" si="52"/>
        <v>0</v>
      </c>
      <c r="G470" s="125">
        <f ca="1">IF('Simulador - 1º Pilar'!$E$99="Sí",IF('Aportaciones Poliza'!$B$13&lt;'Aportaciones Poliza'!E470,0,F470*$B$8/12),F470*$B$8/12)</f>
        <v>0</v>
      </c>
      <c r="H470" s="125">
        <f t="shared" ca="1" si="50"/>
        <v>0</v>
      </c>
      <c r="I470" s="125"/>
      <c r="J470" s="125">
        <f t="shared" ca="1" si="53"/>
        <v>0</v>
      </c>
      <c r="K470" s="125">
        <f t="shared" si="54"/>
        <v>0</v>
      </c>
      <c r="L470" s="125">
        <f t="shared" ca="1" si="55"/>
        <v>0</v>
      </c>
      <c r="P470">
        <f t="shared" si="56"/>
        <v>463</v>
      </c>
    </row>
    <row r="471" spans="4:16">
      <c r="D471">
        <v>464</v>
      </c>
      <c r="E471" s="6">
        <f t="shared" ca="1" si="51"/>
        <v>38626</v>
      </c>
      <c r="F471" s="7">
        <f t="shared" ca="1" si="52"/>
        <v>0</v>
      </c>
      <c r="G471" s="125">
        <f ca="1">IF('Simulador - 1º Pilar'!$E$99="Sí",IF('Aportaciones Poliza'!$B$13&lt;'Aportaciones Poliza'!E471,0,F471*$B$8/12),F471*$B$8/12)</f>
        <v>0</v>
      </c>
      <c r="H471" s="125">
        <f t="shared" ca="1" si="50"/>
        <v>0</v>
      </c>
      <c r="I471" s="125"/>
      <c r="J471" s="125">
        <f t="shared" ca="1" si="53"/>
        <v>0</v>
      </c>
      <c r="K471" s="125">
        <f t="shared" si="54"/>
        <v>0</v>
      </c>
      <c r="L471" s="125">
        <f t="shared" ca="1" si="55"/>
        <v>0</v>
      </c>
      <c r="P471">
        <f t="shared" si="56"/>
        <v>464</v>
      </c>
    </row>
    <row r="472" spans="4:16">
      <c r="D472">
        <v>465</v>
      </c>
      <c r="E472" s="6">
        <f t="shared" ca="1" si="51"/>
        <v>38596</v>
      </c>
      <c r="F472" s="7">
        <f t="shared" ca="1" si="52"/>
        <v>0</v>
      </c>
      <c r="G472" s="125">
        <f ca="1">IF('Simulador - 1º Pilar'!$E$99="Sí",IF('Aportaciones Poliza'!$B$13&lt;'Aportaciones Poliza'!E472,0,F472*$B$8/12),F472*$B$8/12)</f>
        <v>0</v>
      </c>
      <c r="H472" s="125">
        <f t="shared" ca="1" si="50"/>
        <v>0</v>
      </c>
      <c r="I472" s="125"/>
      <c r="J472" s="125">
        <f t="shared" ca="1" si="53"/>
        <v>0</v>
      </c>
      <c r="K472" s="125">
        <f t="shared" si="54"/>
        <v>0</v>
      </c>
      <c r="L472" s="125">
        <f t="shared" ca="1" si="55"/>
        <v>0</v>
      </c>
      <c r="P472">
        <f t="shared" si="56"/>
        <v>465</v>
      </c>
    </row>
    <row r="473" spans="4:16">
      <c r="D473">
        <v>466</v>
      </c>
      <c r="E473" s="6">
        <f t="shared" ca="1" si="51"/>
        <v>38565</v>
      </c>
      <c r="F473" s="7">
        <f t="shared" ca="1" si="52"/>
        <v>0</v>
      </c>
      <c r="G473" s="125">
        <f ca="1">IF('Simulador - 1º Pilar'!$E$99="Sí",IF('Aportaciones Poliza'!$B$13&lt;'Aportaciones Poliza'!E473,0,F473*$B$8/12),F473*$B$8/12)</f>
        <v>0</v>
      </c>
      <c r="H473" s="125">
        <f t="shared" ca="1" si="50"/>
        <v>0</v>
      </c>
      <c r="I473" s="125"/>
      <c r="J473" s="125">
        <f t="shared" ca="1" si="53"/>
        <v>0</v>
      </c>
      <c r="K473" s="125">
        <f t="shared" si="54"/>
        <v>0</v>
      </c>
      <c r="L473" s="125">
        <f t="shared" ca="1" si="55"/>
        <v>0</v>
      </c>
      <c r="P473">
        <f t="shared" si="56"/>
        <v>466</v>
      </c>
    </row>
    <row r="474" spans="4:16">
      <c r="D474">
        <v>467</v>
      </c>
      <c r="E474" s="6">
        <f t="shared" ca="1" si="51"/>
        <v>38534</v>
      </c>
      <c r="F474" s="7">
        <f t="shared" ca="1" si="52"/>
        <v>0</v>
      </c>
      <c r="G474" s="125">
        <f ca="1">IF('Simulador - 1º Pilar'!$E$99="Sí",IF('Aportaciones Poliza'!$B$13&lt;'Aportaciones Poliza'!E474,0,F474*$B$8/12),F474*$B$8/12)</f>
        <v>0</v>
      </c>
      <c r="H474" s="125">
        <f t="shared" ca="1" si="50"/>
        <v>0</v>
      </c>
      <c r="I474" s="125"/>
      <c r="J474" s="125">
        <f t="shared" ca="1" si="53"/>
        <v>0</v>
      </c>
      <c r="K474" s="125">
        <f t="shared" si="54"/>
        <v>0</v>
      </c>
      <c r="L474" s="125">
        <f t="shared" ca="1" si="55"/>
        <v>0</v>
      </c>
      <c r="P474">
        <f t="shared" si="56"/>
        <v>467</v>
      </c>
    </row>
    <row r="475" spans="4:16">
      <c r="D475">
        <v>468</v>
      </c>
      <c r="E475" s="6">
        <f t="shared" ca="1" si="51"/>
        <v>38504</v>
      </c>
      <c r="F475" s="7">
        <f t="shared" ca="1" si="52"/>
        <v>0</v>
      </c>
      <c r="G475" s="125">
        <f ca="1">IF('Simulador - 1º Pilar'!$E$99="Sí",IF('Aportaciones Poliza'!$B$13&lt;'Aportaciones Poliza'!E475,0,F475*$B$8/12),F475*$B$8/12)</f>
        <v>0</v>
      </c>
      <c r="H475" s="125">
        <f t="shared" ca="1" si="50"/>
        <v>0</v>
      </c>
      <c r="I475" s="125"/>
      <c r="J475" s="125">
        <f t="shared" ca="1" si="53"/>
        <v>0</v>
      </c>
      <c r="K475" s="125">
        <f t="shared" si="54"/>
        <v>0</v>
      </c>
      <c r="L475" s="125">
        <f t="shared" ca="1" si="55"/>
        <v>0</v>
      </c>
      <c r="P475">
        <f t="shared" si="56"/>
        <v>468</v>
      </c>
    </row>
    <row r="476" spans="4:16">
      <c r="D476">
        <v>469</v>
      </c>
      <c r="E476" s="6">
        <f t="shared" ca="1" si="51"/>
        <v>38473</v>
      </c>
      <c r="F476" s="7">
        <f t="shared" ca="1" si="52"/>
        <v>0</v>
      </c>
      <c r="G476" s="125">
        <f ca="1">IF('Simulador - 1º Pilar'!$E$99="Sí",IF('Aportaciones Poliza'!$B$13&lt;'Aportaciones Poliza'!E476,0,F476*$B$8/12),F476*$B$8/12)</f>
        <v>0</v>
      </c>
      <c r="H476" s="125">
        <f t="shared" ca="1" si="50"/>
        <v>0</v>
      </c>
      <c r="I476" s="125"/>
      <c r="J476" s="125">
        <f t="shared" ca="1" si="53"/>
        <v>0</v>
      </c>
      <c r="K476" s="125">
        <f t="shared" si="54"/>
        <v>0</v>
      </c>
      <c r="L476" s="125">
        <f t="shared" ca="1" si="55"/>
        <v>0</v>
      </c>
      <c r="P476">
        <f t="shared" si="56"/>
        <v>469</v>
      </c>
    </row>
    <row r="477" spans="4:16">
      <c r="D477">
        <v>470</v>
      </c>
      <c r="E477" s="6">
        <f t="shared" ca="1" si="51"/>
        <v>38443</v>
      </c>
      <c r="F477" s="7">
        <f t="shared" ca="1" si="52"/>
        <v>0</v>
      </c>
      <c r="G477" s="125">
        <f ca="1">IF('Simulador - 1º Pilar'!$E$99="Sí",IF('Aportaciones Poliza'!$B$13&lt;'Aportaciones Poliza'!E477,0,F477*$B$8/12),F477*$B$8/12)</f>
        <v>0</v>
      </c>
      <c r="H477" s="125">
        <f t="shared" ca="1" si="50"/>
        <v>0</v>
      </c>
      <c r="I477" s="125"/>
      <c r="J477" s="125">
        <f t="shared" ca="1" si="53"/>
        <v>0</v>
      </c>
      <c r="K477" s="125">
        <f t="shared" si="54"/>
        <v>0</v>
      </c>
      <c r="L477" s="125">
        <f t="shared" ca="1" si="55"/>
        <v>0</v>
      </c>
      <c r="P477">
        <f t="shared" si="56"/>
        <v>470</v>
      </c>
    </row>
    <row r="478" spans="4:16">
      <c r="D478">
        <v>471</v>
      </c>
      <c r="E478" s="6">
        <f t="shared" ca="1" si="51"/>
        <v>38412</v>
      </c>
      <c r="F478" s="7">
        <f t="shared" ca="1" si="52"/>
        <v>0</v>
      </c>
      <c r="G478" s="125">
        <f ca="1">IF('Simulador - 1º Pilar'!$E$99="Sí",IF('Aportaciones Poliza'!$B$13&lt;'Aportaciones Poliza'!E478,0,F478*$B$8/12),F478*$B$8/12)</f>
        <v>0</v>
      </c>
      <c r="H478" s="125">
        <f t="shared" ca="1" si="50"/>
        <v>0</v>
      </c>
      <c r="I478" s="125"/>
      <c r="J478" s="125">
        <f t="shared" ca="1" si="53"/>
        <v>0</v>
      </c>
      <c r="K478" s="125">
        <f t="shared" si="54"/>
        <v>0</v>
      </c>
      <c r="L478" s="125">
        <f t="shared" ca="1" si="55"/>
        <v>0</v>
      </c>
      <c r="P478">
        <f t="shared" si="56"/>
        <v>471</v>
      </c>
    </row>
    <row r="479" spans="4:16">
      <c r="D479">
        <v>472</v>
      </c>
      <c r="E479" s="6">
        <f t="shared" ca="1" si="51"/>
        <v>38384</v>
      </c>
      <c r="F479" s="7">
        <f t="shared" ca="1" si="52"/>
        <v>0</v>
      </c>
      <c r="G479" s="125">
        <f ca="1">IF('Simulador - 1º Pilar'!$E$99="Sí",IF('Aportaciones Poliza'!$B$13&lt;'Aportaciones Poliza'!E479,0,F479*$B$8/12),F479*$B$8/12)</f>
        <v>0</v>
      </c>
      <c r="H479" s="125">
        <f t="shared" ca="1" si="50"/>
        <v>0</v>
      </c>
      <c r="I479" s="125"/>
      <c r="J479" s="125">
        <f t="shared" ca="1" si="53"/>
        <v>0</v>
      </c>
      <c r="K479" s="125">
        <f t="shared" si="54"/>
        <v>0</v>
      </c>
      <c r="L479" s="125">
        <f t="shared" ca="1" si="55"/>
        <v>0</v>
      </c>
      <c r="P479">
        <f t="shared" si="56"/>
        <v>472</v>
      </c>
    </row>
    <row r="480" spans="4:16">
      <c r="D480">
        <v>473</v>
      </c>
      <c r="E480" s="6">
        <f t="shared" ca="1" si="51"/>
        <v>38353</v>
      </c>
      <c r="F480" s="7">
        <f t="shared" ca="1" si="52"/>
        <v>0</v>
      </c>
      <c r="G480" s="125">
        <f ca="1">IF('Simulador - 1º Pilar'!$E$99="Sí",IF('Aportaciones Poliza'!$B$13&lt;'Aportaciones Poliza'!E480,0,F480*$B$8/12),F480*$B$8/12)</f>
        <v>0</v>
      </c>
      <c r="H480" s="125">
        <f t="shared" ca="1" si="50"/>
        <v>0</v>
      </c>
      <c r="I480" s="125"/>
      <c r="J480" s="125">
        <f t="shared" ca="1" si="53"/>
        <v>0</v>
      </c>
      <c r="K480" s="125">
        <f t="shared" si="54"/>
        <v>0</v>
      </c>
      <c r="L480" s="125">
        <f t="shared" ca="1" si="55"/>
        <v>0</v>
      </c>
      <c r="P480">
        <f t="shared" si="56"/>
        <v>473</v>
      </c>
    </row>
    <row r="481" spans="4:16">
      <c r="D481">
        <v>474</v>
      </c>
      <c r="E481" s="6">
        <f t="shared" ca="1" si="51"/>
        <v>38322</v>
      </c>
      <c r="F481" s="7">
        <f t="shared" ca="1" si="52"/>
        <v>0</v>
      </c>
      <c r="G481" s="125">
        <f ca="1">IF('Simulador - 1º Pilar'!$E$99="Sí",IF('Aportaciones Poliza'!$B$13&lt;'Aportaciones Poliza'!E481,0,F481*$B$8/12),F481*$B$8/12)</f>
        <v>0</v>
      </c>
      <c r="H481" s="125">
        <f t="shared" ca="1" si="50"/>
        <v>0</v>
      </c>
      <c r="I481" s="125"/>
      <c r="J481" s="125">
        <f t="shared" ca="1" si="53"/>
        <v>0</v>
      </c>
      <c r="K481" s="125">
        <f t="shared" si="54"/>
        <v>0</v>
      </c>
      <c r="L481" s="125">
        <f t="shared" ca="1" si="55"/>
        <v>0</v>
      </c>
      <c r="P481">
        <f t="shared" si="56"/>
        <v>474</v>
      </c>
    </row>
    <row r="482" spans="4:16">
      <c r="D482">
        <v>475</v>
      </c>
      <c r="E482" s="6">
        <f t="shared" ca="1" si="51"/>
        <v>38292</v>
      </c>
      <c r="F482" s="7">
        <f t="shared" ca="1" si="52"/>
        <v>0</v>
      </c>
      <c r="G482" s="125">
        <f ca="1">IF('Simulador - 1º Pilar'!$E$99="Sí",IF('Aportaciones Poliza'!$B$13&lt;'Aportaciones Poliza'!E482,0,F482*$B$8/12),F482*$B$8/12)</f>
        <v>0</v>
      </c>
      <c r="H482" s="125">
        <f t="shared" ca="1" si="50"/>
        <v>0</v>
      </c>
      <c r="I482" s="125"/>
      <c r="J482" s="125">
        <f t="shared" ca="1" si="53"/>
        <v>0</v>
      </c>
      <c r="K482" s="125">
        <f t="shared" si="54"/>
        <v>0</v>
      </c>
      <c r="L482" s="125">
        <f t="shared" ca="1" si="55"/>
        <v>0</v>
      </c>
      <c r="P482">
        <f t="shared" si="56"/>
        <v>475</v>
      </c>
    </row>
    <row r="483" spans="4:16">
      <c r="D483">
        <v>476</v>
      </c>
      <c r="E483" s="6">
        <f t="shared" ca="1" si="51"/>
        <v>38261</v>
      </c>
      <c r="F483" s="7">
        <f t="shared" ca="1" si="52"/>
        <v>0</v>
      </c>
      <c r="G483" s="125">
        <f ca="1">IF('Simulador - 1º Pilar'!$E$99="Sí",IF('Aportaciones Poliza'!$B$13&lt;'Aportaciones Poliza'!E483,0,F483*$B$8/12),F483*$B$8/12)</f>
        <v>0</v>
      </c>
      <c r="H483" s="125">
        <f t="shared" ca="1" si="50"/>
        <v>0</v>
      </c>
      <c r="I483" s="125"/>
      <c r="J483" s="125">
        <f t="shared" ca="1" si="53"/>
        <v>0</v>
      </c>
      <c r="K483" s="125">
        <f t="shared" si="54"/>
        <v>0</v>
      </c>
      <c r="L483" s="125">
        <f t="shared" ca="1" si="55"/>
        <v>0</v>
      </c>
      <c r="P483">
        <f t="shared" si="56"/>
        <v>476</v>
      </c>
    </row>
    <row r="484" spans="4:16">
      <c r="D484">
        <v>477</v>
      </c>
      <c r="E484" s="6">
        <f t="shared" ca="1" si="51"/>
        <v>38231</v>
      </c>
      <c r="F484" s="7">
        <f t="shared" ca="1" si="52"/>
        <v>0</v>
      </c>
      <c r="G484" s="125">
        <f ca="1">IF('Simulador - 1º Pilar'!$E$99="Sí",IF('Aportaciones Poliza'!$B$13&lt;'Aportaciones Poliza'!E484,0,F484*$B$8/12),F484*$B$8/12)</f>
        <v>0</v>
      </c>
      <c r="H484" s="125">
        <f t="shared" ca="1" si="50"/>
        <v>0</v>
      </c>
      <c r="I484" s="125"/>
      <c r="J484" s="125">
        <f t="shared" ca="1" si="53"/>
        <v>0</v>
      </c>
      <c r="K484" s="125">
        <f t="shared" si="54"/>
        <v>0</v>
      </c>
      <c r="L484" s="125">
        <f t="shared" ca="1" si="55"/>
        <v>0</v>
      </c>
      <c r="P484">
        <f t="shared" si="56"/>
        <v>477</v>
      </c>
    </row>
    <row r="485" spans="4:16">
      <c r="D485">
        <v>478</v>
      </c>
      <c r="E485" s="6">
        <f t="shared" ca="1" si="51"/>
        <v>38200</v>
      </c>
      <c r="F485" s="7">
        <f t="shared" ca="1" si="52"/>
        <v>0</v>
      </c>
      <c r="G485" s="125">
        <f ca="1">IF('Simulador - 1º Pilar'!$E$99="Sí",IF('Aportaciones Poliza'!$B$13&lt;'Aportaciones Poliza'!E485,0,F485*$B$8/12),F485*$B$8/12)</f>
        <v>0</v>
      </c>
      <c r="H485" s="125">
        <f t="shared" ca="1" si="50"/>
        <v>0</v>
      </c>
      <c r="I485" s="125"/>
      <c r="J485" s="125">
        <f t="shared" ca="1" si="53"/>
        <v>0</v>
      </c>
      <c r="K485" s="125">
        <f t="shared" si="54"/>
        <v>0</v>
      </c>
      <c r="L485" s="125">
        <f t="shared" ca="1" si="55"/>
        <v>0</v>
      </c>
      <c r="P485">
        <f t="shared" si="56"/>
        <v>478</v>
      </c>
    </row>
    <row r="486" spans="4:16">
      <c r="D486">
        <v>479</v>
      </c>
      <c r="E486" s="6">
        <f t="shared" ca="1" si="51"/>
        <v>38169</v>
      </c>
      <c r="F486" s="7">
        <f t="shared" ca="1" si="52"/>
        <v>0</v>
      </c>
      <c r="G486" s="125">
        <f ca="1">IF('Simulador - 1º Pilar'!$E$99="Sí",IF('Aportaciones Poliza'!$B$13&lt;'Aportaciones Poliza'!E486,0,F486*$B$8/12),F486*$B$8/12)</f>
        <v>0</v>
      </c>
      <c r="H486" s="125">
        <f t="shared" ca="1" si="50"/>
        <v>0</v>
      </c>
      <c r="I486" s="125"/>
      <c r="J486" s="125">
        <f t="shared" ca="1" si="53"/>
        <v>0</v>
      </c>
      <c r="K486" s="125">
        <f t="shared" si="54"/>
        <v>0</v>
      </c>
      <c r="L486" s="125">
        <f t="shared" ca="1" si="55"/>
        <v>0</v>
      </c>
      <c r="P486">
        <f t="shared" si="56"/>
        <v>479</v>
      </c>
    </row>
    <row r="487" spans="4:16">
      <c r="D487">
        <v>480</v>
      </c>
      <c r="E487" s="6">
        <f t="shared" ca="1" si="51"/>
        <v>38139</v>
      </c>
      <c r="F487" s="7">
        <f t="shared" ca="1" si="52"/>
        <v>0</v>
      </c>
      <c r="G487" s="125">
        <f ca="1">IF('Simulador - 1º Pilar'!$E$99="Sí",IF('Aportaciones Poliza'!$B$13&lt;'Aportaciones Poliza'!E487,0,F487*$B$8/12),F487*$B$8/12)</f>
        <v>0</v>
      </c>
      <c r="H487" s="125">
        <f t="shared" ca="1" si="50"/>
        <v>0</v>
      </c>
      <c r="I487" s="125"/>
      <c r="J487" s="125">
        <f t="shared" ca="1" si="53"/>
        <v>0</v>
      </c>
      <c r="K487" s="125">
        <f t="shared" si="54"/>
        <v>0</v>
      </c>
      <c r="L487" s="125">
        <f t="shared" ca="1" si="55"/>
        <v>0</v>
      </c>
      <c r="P487">
        <f t="shared" si="56"/>
        <v>480</v>
      </c>
    </row>
    <row r="488" spans="4:16">
      <c r="D488">
        <v>481</v>
      </c>
      <c r="E488" s="6">
        <f t="shared" ca="1" si="51"/>
        <v>38108</v>
      </c>
      <c r="F488" s="7">
        <f t="shared" ca="1" si="52"/>
        <v>0</v>
      </c>
      <c r="G488" s="125">
        <f ca="1">IF('Simulador - 1º Pilar'!$E$99="Sí",IF('Aportaciones Poliza'!$B$13&lt;'Aportaciones Poliza'!E488,0,F488*$B$8/12),F488*$B$8/12)</f>
        <v>0</v>
      </c>
      <c r="H488" s="125">
        <f t="shared" ca="1" si="50"/>
        <v>0</v>
      </c>
      <c r="I488" s="125"/>
      <c r="J488" s="125">
        <f t="shared" ca="1" si="53"/>
        <v>0</v>
      </c>
      <c r="K488" s="125">
        <f t="shared" si="54"/>
        <v>0</v>
      </c>
      <c r="L488" s="125">
        <f t="shared" ca="1" si="55"/>
        <v>0</v>
      </c>
      <c r="P488">
        <f t="shared" si="56"/>
        <v>481</v>
      </c>
    </row>
    <row r="489" spans="4:16">
      <c r="D489">
        <v>482</v>
      </c>
      <c r="E489" s="6">
        <f t="shared" ca="1" si="51"/>
        <v>38078</v>
      </c>
      <c r="F489" s="7">
        <f t="shared" ca="1" si="52"/>
        <v>0</v>
      </c>
      <c r="G489" s="125">
        <f ca="1">IF('Simulador - 1º Pilar'!$E$99="Sí",IF('Aportaciones Poliza'!$B$13&lt;'Aportaciones Poliza'!E489,0,F489*$B$8/12),F489*$B$8/12)</f>
        <v>0</v>
      </c>
      <c r="H489" s="125">
        <f t="shared" ca="1" si="50"/>
        <v>0</v>
      </c>
      <c r="I489" s="125"/>
      <c r="J489" s="125">
        <f t="shared" ca="1" si="53"/>
        <v>0</v>
      </c>
      <c r="K489" s="125">
        <f t="shared" si="54"/>
        <v>0</v>
      </c>
      <c r="L489" s="125">
        <f t="shared" ca="1" si="55"/>
        <v>0</v>
      </c>
      <c r="P489">
        <f t="shared" si="56"/>
        <v>482</v>
      </c>
    </row>
    <row r="490" spans="4:16">
      <c r="D490">
        <v>483</v>
      </c>
      <c r="E490" s="6">
        <f t="shared" ca="1" si="51"/>
        <v>38047</v>
      </c>
      <c r="F490" s="7">
        <f t="shared" ca="1" si="52"/>
        <v>0</v>
      </c>
      <c r="G490" s="125">
        <f ca="1">IF('Simulador - 1º Pilar'!$E$99="Sí",IF('Aportaciones Poliza'!$B$13&lt;'Aportaciones Poliza'!E490,0,F490*$B$8/12),F490*$B$8/12)</f>
        <v>0</v>
      </c>
      <c r="H490" s="125">
        <f t="shared" ca="1" si="50"/>
        <v>0</v>
      </c>
      <c r="I490" s="125"/>
      <c r="J490" s="125">
        <f t="shared" ca="1" si="53"/>
        <v>0</v>
      </c>
      <c r="K490" s="125">
        <f t="shared" si="54"/>
        <v>0</v>
      </c>
      <c r="L490" s="125">
        <f t="shared" ca="1" si="55"/>
        <v>0</v>
      </c>
      <c r="P490">
        <f t="shared" si="56"/>
        <v>483</v>
      </c>
    </row>
    <row r="491" spans="4:16">
      <c r="D491">
        <v>484</v>
      </c>
      <c r="E491" s="6">
        <f t="shared" ca="1" si="51"/>
        <v>38018</v>
      </c>
      <c r="F491" s="7">
        <f t="shared" ca="1" si="52"/>
        <v>0</v>
      </c>
      <c r="G491" s="125">
        <f ca="1">IF('Simulador - 1º Pilar'!$E$99="Sí",IF('Aportaciones Poliza'!$B$13&lt;'Aportaciones Poliza'!E491,0,F491*$B$8/12),F491*$B$8/12)</f>
        <v>0</v>
      </c>
      <c r="H491" s="125">
        <f t="shared" ca="1" si="50"/>
        <v>0</v>
      </c>
      <c r="I491" s="125"/>
      <c r="J491" s="125">
        <f t="shared" ca="1" si="53"/>
        <v>0</v>
      </c>
      <c r="K491" s="125">
        <f t="shared" si="54"/>
        <v>0</v>
      </c>
      <c r="L491" s="125">
        <f t="shared" ca="1" si="55"/>
        <v>0</v>
      </c>
      <c r="P491">
        <f t="shared" si="56"/>
        <v>484</v>
      </c>
    </row>
    <row r="492" spans="4:16">
      <c r="D492">
        <v>485</v>
      </c>
      <c r="E492" s="6">
        <f t="shared" ca="1" si="51"/>
        <v>37987</v>
      </c>
      <c r="F492" s="7">
        <f t="shared" ca="1" si="52"/>
        <v>0</v>
      </c>
      <c r="G492" s="125">
        <f ca="1">IF('Simulador - 1º Pilar'!$E$99="Sí",IF('Aportaciones Poliza'!$B$13&lt;'Aportaciones Poliza'!E492,0,F492*$B$8/12),F492*$B$8/12)</f>
        <v>0</v>
      </c>
      <c r="H492" s="125">
        <f t="shared" ca="1" si="50"/>
        <v>0</v>
      </c>
      <c r="I492" s="125"/>
      <c r="J492" s="125">
        <f t="shared" ca="1" si="53"/>
        <v>0</v>
      </c>
      <c r="K492" s="125">
        <f t="shared" si="54"/>
        <v>0</v>
      </c>
      <c r="L492" s="125">
        <f t="shared" ca="1" si="55"/>
        <v>0</v>
      </c>
      <c r="P492">
        <f t="shared" si="56"/>
        <v>485</v>
      </c>
    </row>
    <row r="493" spans="4:16">
      <c r="D493">
        <v>486</v>
      </c>
      <c r="E493" s="6">
        <f t="shared" ca="1" si="51"/>
        <v>37956</v>
      </c>
      <c r="F493" s="7">
        <f t="shared" ca="1" si="52"/>
        <v>0</v>
      </c>
      <c r="G493" s="125">
        <f ca="1">IF('Simulador - 1º Pilar'!$E$99="Sí",IF('Aportaciones Poliza'!$B$13&lt;'Aportaciones Poliza'!E493,0,F493*$B$8/12),F493*$B$8/12)</f>
        <v>0</v>
      </c>
      <c r="H493" s="125">
        <f t="shared" ca="1" si="50"/>
        <v>0</v>
      </c>
      <c r="I493" s="125"/>
      <c r="J493" s="125">
        <f t="shared" ca="1" si="53"/>
        <v>0</v>
      </c>
      <c r="K493" s="125">
        <f t="shared" si="54"/>
        <v>0</v>
      </c>
      <c r="L493" s="125">
        <f t="shared" ca="1" si="55"/>
        <v>0</v>
      </c>
      <c r="P493">
        <f t="shared" si="56"/>
        <v>486</v>
      </c>
    </row>
    <row r="494" spans="4:16">
      <c r="D494">
        <v>487</v>
      </c>
      <c r="E494" s="6">
        <f t="shared" ca="1" si="51"/>
        <v>37926</v>
      </c>
      <c r="F494" s="7">
        <f t="shared" ca="1" si="52"/>
        <v>0</v>
      </c>
      <c r="G494" s="125">
        <f ca="1">IF('Simulador - 1º Pilar'!$E$99="Sí",IF('Aportaciones Poliza'!$B$13&lt;'Aportaciones Poliza'!E494,0,F494*$B$8/12),F494*$B$8/12)</f>
        <v>0</v>
      </c>
      <c r="H494" s="125">
        <f t="shared" ca="1" si="50"/>
        <v>0</v>
      </c>
      <c r="I494" s="125"/>
      <c r="J494" s="125">
        <f t="shared" ca="1" si="53"/>
        <v>0</v>
      </c>
      <c r="K494" s="125">
        <f t="shared" si="54"/>
        <v>0</v>
      </c>
      <c r="L494" s="125">
        <f t="shared" ca="1" si="55"/>
        <v>0</v>
      </c>
      <c r="P494">
        <f t="shared" si="56"/>
        <v>487</v>
      </c>
    </row>
    <row r="495" spans="4:16">
      <c r="D495">
        <v>488</v>
      </c>
      <c r="E495" s="6">
        <f t="shared" ca="1" si="51"/>
        <v>37895</v>
      </c>
      <c r="F495" s="7">
        <f t="shared" ca="1" si="52"/>
        <v>0</v>
      </c>
      <c r="G495" s="125">
        <f ca="1">IF('Simulador - 1º Pilar'!$E$99="Sí",IF('Aportaciones Poliza'!$B$13&lt;'Aportaciones Poliza'!E495,0,F495*$B$8/12),F495*$B$8/12)</f>
        <v>0</v>
      </c>
      <c r="H495" s="125">
        <f t="shared" ca="1" si="50"/>
        <v>0</v>
      </c>
      <c r="I495" s="125"/>
      <c r="J495" s="125">
        <f t="shared" ca="1" si="53"/>
        <v>0</v>
      </c>
      <c r="K495" s="125">
        <f t="shared" si="54"/>
        <v>0</v>
      </c>
      <c r="L495" s="125">
        <f t="shared" ca="1" si="55"/>
        <v>0</v>
      </c>
      <c r="P495">
        <f t="shared" si="56"/>
        <v>488</v>
      </c>
    </row>
    <row r="496" spans="4:16">
      <c r="D496">
        <v>489</v>
      </c>
      <c r="E496" s="6">
        <f t="shared" ca="1" si="51"/>
        <v>37865</v>
      </c>
      <c r="F496" s="7">
        <f t="shared" ca="1" si="52"/>
        <v>0</v>
      </c>
      <c r="G496" s="125">
        <f ca="1">IF('Simulador - 1º Pilar'!$E$99="Sí",IF('Aportaciones Poliza'!$B$13&lt;'Aportaciones Poliza'!E496,0,F496*$B$8/12),F496*$B$8/12)</f>
        <v>0</v>
      </c>
      <c r="H496" s="125">
        <f t="shared" ca="1" si="50"/>
        <v>0</v>
      </c>
      <c r="I496" s="125"/>
      <c r="J496" s="125">
        <f t="shared" ca="1" si="53"/>
        <v>0</v>
      </c>
      <c r="K496" s="125">
        <f t="shared" si="54"/>
        <v>0</v>
      </c>
      <c r="L496" s="125">
        <f t="shared" ca="1" si="55"/>
        <v>0</v>
      </c>
      <c r="P496">
        <f t="shared" si="56"/>
        <v>489</v>
      </c>
    </row>
    <row r="497" spans="4:16">
      <c r="D497">
        <v>490</v>
      </c>
      <c r="E497" s="6">
        <f t="shared" ca="1" si="51"/>
        <v>37834</v>
      </c>
      <c r="F497" s="7">
        <f t="shared" ca="1" si="52"/>
        <v>0</v>
      </c>
      <c r="G497" s="125">
        <f ca="1">IF('Simulador - 1º Pilar'!$E$99="Sí",IF('Aportaciones Poliza'!$B$13&lt;'Aportaciones Poliza'!E497,0,F497*$B$8/12),F497*$B$8/12)</f>
        <v>0</v>
      </c>
      <c r="H497" s="125">
        <f t="shared" ca="1" si="50"/>
        <v>0</v>
      </c>
      <c r="I497" s="125"/>
      <c r="J497" s="125">
        <f t="shared" ca="1" si="53"/>
        <v>0</v>
      </c>
      <c r="K497" s="125">
        <f t="shared" si="54"/>
        <v>0</v>
      </c>
      <c r="L497" s="125">
        <f t="shared" ca="1" si="55"/>
        <v>0</v>
      </c>
      <c r="P497">
        <f t="shared" si="56"/>
        <v>490</v>
      </c>
    </row>
    <row r="498" spans="4:16">
      <c r="D498">
        <v>491</v>
      </c>
      <c r="E498" s="6">
        <f t="shared" ca="1" si="51"/>
        <v>37803</v>
      </c>
      <c r="F498" s="7">
        <f t="shared" ca="1" si="52"/>
        <v>0</v>
      </c>
      <c r="G498" s="125">
        <f ca="1">IF('Simulador - 1º Pilar'!$E$99="Sí",IF('Aportaciones Poliza'!$B$13&lt;'Aportaciones Poliza'!E498,0,F498*$B$8/12),F498*$B$8/12)</f>
        <v>0</v>
      </c>
      <c r="H498" s="125">
        <f t="shared" ca="1" si="50"/>
        <v>0</v>
      </c>
      <c r="I498" s="125"/>
      <c r="J498" s="125">
        <f t="shared" ca="1" si="53"/>
        <v>0</v>
      </c>
      <c r="K498" s="125">
        <f t="shared" si="54"/>
        <v>0</v>
      </c>
      <c r="L498" s="125">
        <f t="shared" ca="1" si="55"/>
        <v>0</v>
      </c>
      <c r="P498">
        <f t="shared" si="56"/>
        <v>491</v>
      </c>
    </row>
    <row r="499" spans="4:16">
      <c r="D499">
        <v>492</v>
      </c>
      <c r="E499" s="6">
        <f t="shared" ca="1" si="51"/>
        <v>37773</v>
      </c>
      <c r="F499" s="7">
        <f t="shared" ca="1" si="52"/>
        <v>0</v>
      </c>
      <c r="G499" s="125">
        <f ca="1">IF('Simulador - 1º Pilar'!$E$99="Sí",IF('Aportaciones Poliza'!$B$13&lt;'Aportaciones Poliza'!E499,0,F499*$B$8/12),F499*$B$8/12)</f>
        <v>0</v>
      </c>
      <c r="H499" s="125">
        <f t="shared" ca="1" si="50"/>
        <v>0</v>
      </c>
      <c r="I499" s="125"/>
      <c r="J499" s="125">
        <f t="shared" ca="1" si="53"/>
        <v>0</v>
      </c>
      <c r="K499" s="125">
        <f t="shared" si="54"/>
        <v>0</v>
      </c>
      <c r="L499" s="125">
        <f t="shared" ca="1" si="55"/>
        <v>0</v>
      </c>
      <c r="P499">
        <f t="shared" si="56"/>
        <v>492</v>
      </c>
    </row>
    <row r="500" spans="4:16">
      <c r="D500">
        <v>493</v>
      </c>
      <c r="E500" s="6">
        <f t="shared" ca="1" si="51"/>
        <v>37742</v>
      </c>
      <c r="F500" s="7">
        <f t="shared" ca="1" si="52"/>
        <v>0</v>
      </c>
      <c r="G500" s="125">
        <f ca="1">IF('Simulador - 1º Pilar'!$E$99="Sí",IF('Aportaciones Poliza'!$B$13&lt;'Aportaciones Poliza'!E500,0,F500*$B$8/12),F500*$B$8/12)</f>
        <v>0</v>
      </c>
      <c r="H500" s="125">
        <f t="shared" ca="1" si="50"/>
        <v>0</v>
      </c>
      <c r="I500" s="125"/>
      <c r="J500" s="125">
        <f t="shared" ca="1" si="53"/>
        <v>0</v>
      </c>
      <c r="K500" s="125">
        <f t="shared" si="54"/>
        <v>0</v>
      </c>
      <c r="L500" s="125">
        <f t="shared" ca="1" si="55"/>
        <v>0</v>
      </c>
      <c r="P500">
        <f t="shared" si="56"/>
        <v>493</v>
      </c>
    </row>
    <row r="501" spans="4:16">
      <c r="D501">
        <v>494</v>
      </c>
      <c r="E501" s="6">
        <f t="shared" ca="1" si="51"/>
        <v>37712</v>
      </c>
      <c r="F501" s="7">
        <f t="shared" ca="1" si="52"/>
        <v>0</v>
      </c>
      <c r="G501" s="125">
        <f ca="1">IF('Simulador - 1º Pilar'!$E$99="Sí",IF('Aportaciones Poliza'!$B$13&lt;'Aportaciones Poliza'!E501,0,F501*$B$8/12),F501*$B$8/12)</f>
        <v>0</v>
      </c>
      <c r="H501" s="125">
        <f t="shared" ca="1" si="50"/>
        <v>0</v>
      </c>
      <c r="I501" s="125"/>
      <c r="J501" s="125">
        <f t="shared" ca="1" si="53"/>
        <v>0</v>
      </c>
      <c r="K501" s="125">
        <f t="shared" si="54"/>
        <v>0</v>
      </c>
      <c r="L501" s="125">
        <f t="shared" ca="1" si="55"/>
        <v>0</v>
      </c>
      <c r="P501">
        <f t="shared" si="56"/>
        <v>494</v>
      </c>
    </row>
    <row r="502" spans="4:16">
      <c r="D502">
        <v>495</v>
      </c>
      <c r="E502" s="6">
        <f t="shared" ca="1" si="51"/>
        <v>37681</v>
      </c>
      <c r="F502" s="7">
        <f t="shared" ca="1" si="52"/>
        <v>0</v>
      </c>
      <c r="G502" s="125">
        <f ca="1">IF('Simulador - 1º Pilar'!$E$99="Sí",IF('Aportaciones Poliza'!$B$13&lt;'Aportaciones Poliza'!E502,0,F502*$B$8/12),F502*$B$8/12)</f>
        <v>0</v>
      </c>
      <c r="H502" s="125">
        <f t="shared" ca="1" si="50"/>
        <v>0</v>
      </c>
      <c r="I502" s="125"/>
      <c r="J502" s="125">
        <f t="shared" ca="1" si="53"/>
        <v>0</v>
      </c>
      <c r="K502" s="125">
        <f t="shared" si="54"/>
        <v>0</v>
      </c>
      <c r="L502" s="125">
        <f t="shared" ca="1" si="55"/>
        <v>0</v>
      </c>
      <c r="P502">
        <f t="shared" si="56"/>
        <v>495</v>
      </c>
    </row>
    <row r="503" spans="4:16">
      <c r="D503">
        <v>496</v>
      </c>
      <c r="E503" s="6">
        <f t="shared" ca="1" si="51"/>
        <v>37653</v>
      </c>
      <c r="F503" s="7">
        <f t="shared" ca="1" si="52"/>
        <v>0</v>
      </c>
      <c r="G503" s="125">
        <f ca="1">IF('Simulador - 1º Pilar'!$E$99="Sí",IF('Aportaciones Poliza'!$B$13&lt;'Aportaciones Poliza'!E503,0,F503*$B$8/12),F503*$B$8/12)</f>
        <v>0</v>
      </c>
      <c r="H503" s="125">
        <f t="shared" ca="1" si="50"/>
        <v>0</v>
      </c>
      <c r="I503" s="125"/>
      <c r="J503" s="125">
        <f t="shared" ca="1" si="53"/>
        <v>0</v>
      </c>
      <c r="K503" s="125">
        <f t="shared" si="54"/>
        <v>0</v>
      </c>
      <c r="L503" s="125">
        <f t="shared" ca="1" si="55"/>
        <v>0</v>
      </c>
      <c r="P503">
        <f t="shared" si="56"/>
        <v>496</v>
      </c>
    </row>
    <row r="504" spans="4:16">
      <c r="D504">
        <v>497</v>
      </c>
      <c r="E504" s="6">
        <f t="shared" ca="1" si="51"/>
        <v>37622</v>
      </c>
      <c r="F504" s="7">
        <f t="shared" ca="1" si="52"/>
        <v>0</v>
      </c>
      <c r="G504" s="125">
        <f ca="1">IF('Simulador - 1º Pilar'!$E$99="Sí",IF('Aportaciones Poliza'!$B$13&lt;'Aportaciones Poliza'!E504,0,F504*$B$8/12),F504*$B$8/12)</f>
        <v>0</v>
      </c>
      <c r="H504" s="125">
        <f t="shared" ca="1" si="50"/>
        <v>0</v>
      </c>
      <c r="I504" s="125"/>
      <c r="J504" s="125">
        <f t="shared" ca="1" si="53"/>
        <v>0</v>
      </c>
      <c r="K504" s="125">
        <f t="shared" si="54"/>
        <v>0</v>
      </c>
      <c r="L504" s="125">
        <f t="shared" ca="1" si="55"/>
        <v>0</v>
      </c>
      <c r="P504">
        <f t="shared" si="56"/>
        <v>497</v>
      </c>
    </row>
    <row r="505" spans="4:16">
      <c r="D505">
        <v>498</v>
      </c>
      <c r="E505" s="6">
        <f t="shared" ca="1" si="51"/>
        <v>37591</v>
      </c>
      <c r="F505" s="7">
        <f t="shared" ca="1" si="52"/>
        <v>0</v>
      </c>
      <c r="G505" s="125">
        <f ca="1">IF('Simulador - 1º Pilar'!$E$99="Sí",IF('Aportaciones Poliza'!$B$13&lt;'Aportaciones Poliza'!E505,0,F505*$B$8/12),F505*$B$8/12)</f>
        <v>0</v>
      </c>
      <c r="H505" s="125">
        <f t="shared" ca="1" si="50"/>
        <v>0</v>
      </c>
      <c r="I505" s="125"/>
      <c r="J505" s="125">
        <f t="shared" ca="1" si="53"/>
        <v>0</v>
      </c>
      <c r="K505" s="125">
        <f t="shared" si="54"/>
        <v>0</v>
      </c>
      <c r="L505" s="125">
        <f t="shared" ca="1" si="55"/>
        <v>0</v>
      </c>
      <c r="P505">
        <f t="shared" si="56"/>
        <v>498</v>
      </c>
    </row>
    <row r="506" spans="4:16">
      <c r="D506">
        <v>499</v>
      </c>
      <c r="E506" s="6">
        <f t="shared" ca="1" si="51"/>
        <v>37561</v>
      </c>
      <c r="F506" s="7">
        <f t="shared" ca="1" si="52"/>
        <v>0</v>
      </c>
      <c r="G506" s="125">
        <f ca="1">IF('Simulador - 1º Pilar'!$E$99="Sí",IF('Aportaciones Poliza'!$B$13&lt;'Aportaciones Poliza'!E506,0,F506*$B$8/12),F506*$B$8/12)</f>
        <v>0</v>
      </c>
      <c r="H506" s="125">
        <f t="shared" ca="1" si="50"/>
        <v>0</v>
      </c>
      <c r="I506" s="125"/>
      <c r="J506" s="125">
        <f t="shared" ca="1" si="53"/>
        <v>0</v>
      </c>
      <c r="K506" s="125">
        <f t="shared" si="54"/>
        <v>0</v>
      </c>
      <c r="L506" s="125">
        <f t="shared" ca="1" si="55"/>
        <v>0</v>
      </c>
      <c r="P506">
        <f t="shared" si="56"/>
        <v>499</v>
      </c>
    </row>
    <row r="507" spans="4:16">
      <c r="D507">
        <v>500</v>
      </c>
      <c r="E507" s="6">
        <f t="shared" ca="1" si="51"/>
        <v>37530</v>
      </c>
      <c r="F507" s="7">
        <f t="shared" ca="1" si="52"/>
        <v>0</v>
      </c>
      <c r="G507" s="125">
        <f ca="1">IF('Simulador - 1º Pilar'!$E$99="Sí",IF('Aportaciones Poliza'!$B$13&lt;'Aportaciones Poliza'!E507,0,F507*$B$8/12),F507*$B$8/12)</f>
        <v>0</v>
      </c>
      <c r="H507" s="125">
        <f t="shared" ca="1" si="50"/>
        <v>0</v>
      </c>
      <c r="I507" s="125"/>
      <c r="J507" s="125">
        <f t="shared" ca="1" si="53"/>
        <v>0</v>
      </c>
      <c r="K507" s="125">
        <f t="shared" si="54"/>
        <v>0</v>
      </c>
      <c r="L507" s="125">
        <f t="shared" ca="1" si="55"/>
        <v>0</v>
      </c>
      <c r="P507">
        <f t="shared" si="56"/>
        <v>500</v>
      </c>
    </row>
    <row r="508" spans="4:16">
      <c r="D508">
        <v>501</v>
      </c>
      <c r="E508" s="6">
        <f t="shared" ca="1" si="51"/>
        <v>37500</v>
      </c>
      <c r="F508" s="7">
        <f t="shared" ca="1" si="52"/>
        <v>0</v>
      </c>
      <c r="G508" s="125">
        <f ca="1">IF('Simulador - 1º Pilar'!$E$99="Sí",IF('Aportaciones Poliza'!$B$13&lt;'Aportaciones Poliza'!E508,0,F508*$B$8/12),F508*$B$8/12)</f>
        <v>0</v>
      </c>
      <c r="H508" s="125">
        <f t="shared" ca="1" si="50"/>
        <v>0</v>
      </c>
      <c r="I508" s="125"/>
      <c r="J508" s="125">
        <f t="shared" ca="1" si="53"/>
        <v>0</v>
      </c>
      <c r="K508" s="125">
        <f t="shared" si="54"/>
        <v>0</v>
      </c>
      <c r="L508" s="125">
        <f t="shared" ca="1" si="55"/>
        <v>0</v>
      </c>
      <c r="P508">
        <f t="shared" si="56"/>
        <v>501</v>
      </c>
    </row>
    <row r="509" spans="4:16">
      <c r="D509">
        <v>502</v>
      </c>
      <c r="E509" s="6">
        <f t="shared" ca="1" si="51"/>
        <v>37469</v>
      </c>
      <c r="F509" s="7">
        <f t="shared" ca="1" si="52"/>
        <v>0</v>
      </c>
      <c r="G509" s="125">
        <f ca="1">IF('Simulador - 1º Pilar'!$E$99="Sí",IF('Aportaciones Poliza'!$B$13&lt;'Aportaciones Poliza'!E509,0,F509*$B$8/12),F509*$B$8/12)</f>
        <v>0</v>
      </c>
      <c r="H509" s="125">
        <f t="shared" ca="1" si="50"/>
        <v>0</v>
      </c>
      <c r="I509" s="125"/>
      <c r="J509" s="125">
        <f t="shared" ca="1" si="53"/>
        <v>0</v>
      </c>
      <c r="K509" s="125">
        <f t="shared" si="54"/>
        <v>0</v>
      </c>
      <c r="L509" s="125">
        <f t="shared" ca="1" si="55"/>
        <v>0</v>
      </c>
      <c r="P509">
        <f t="shared" si="56"/>
        <v>502</v>
      </c>
    </row>
    <row r="510" spans="4:16">
      <c r="D510">
        <v>503</v>
      </c>
      <c r="E510" s="6">
        <f t="shared" ca="1" si="51"/>
        <v>37438</v>
      </c>
      <c r="F510" s="7">
        <f t="shared" ca="1" si="52"/>
        <v>0</v>
      </c>
      <c r="G510" s="125">
        <f ca="1">IF('Simulador - 1º Pilar'!$E$99="Sí",IF('Aportaciones Poliza'!$B$13&lt;'Aportaciones Poliza'!E510,0,F510*$B$8/12),F510*$B$8/12)</f>
        <v>0</v>
      </c>
      <c r="H510" s="125">
        <f t="shared" ca="1" si="50"/>
        <v>0</v>
      </c>
      <c r="I510" s="125"/>
      <c r="J510" s="125">
        <f t="shared" ca="1" si="53"/>
        <v>0</v>
      </c>
      <c r="K510" s="125">
        <f t="shared" si="54"/>
        <v>0</v>
      </c>
      <c r="L510" s="125">
        <f t="shared" ca="1" si="55"/>
        <v>0</v>
      </c>
      <c r="P510">
        <f t="shared" si="56"/>
        <v>503</v>
      </c>
    </row>
    <row r="511" spans="4:16">
      <c r="D511">
        <v>504</v>
      </c>
      <c r="E511" s="6">
        <f t="shared" ca="1" si="51"/>
        <v>37408</v>
      </c>
      <c r="F511" s="7">
        <f t="shared" ca="1" si="52"/>
        <v>0</v>
      </c>
      <c r="G511" s="125">
        <f ca="1">IF('Simulador - 1º Pilar'!$E$99="Sí",IF('Aportaciones Poliza'!$B$13&lt;'Aportaciones Poliza'!E511,0,F511*$B$8/12),F511*$B$8/12)</f>
        <v>0</v>
      </c>
      <c r="H511" s="125">
        <f t="shared" ca="1" si="50"/>
        <v>0</v>
      </c>
      <c r="I511" s="125"/>
      <c r="J511" s="125">
        <f t="shared" ca="1" si="53"/>
        <v>0</v>
      </c>
      <c r="K511" s="125">
        <f t="shared" si="54"/>
        <v>0</v>
      </c>
      <c r="L511" s="125">
        <f t="shared" ca="1" si="55"/>
        <v>0</v>
      </c>
      <c r="P511">
        <f t="shared" si="56"/>
        <v>504</v>
      </c>
    </row>
    <row r="512" spans="4:16">
      <c r="D512">
        <v>505</v>
      </c>
      <c r="E512" s="6">
        <f t="shared" ca="1" si="51"/>
        <v>37377</v>
      </c>
      <c r="F512" s="7">
        <f t="shared" ca="1" si="52"/>
        <v>0</v>
      </c>
      <c r="G512" s="125">
        <f ca="1">IF('Simulador - 1º Pilar'!$E$99="Sí",IF('Aportaciones Poliza'!$B$13&lt;'Aportaciones Poliza'!E512,0,F512*$B$8/12),F512*$B$8/12)</f>
        <v>0</v>
      </c>
      <c r="H512" s="125">
        <f t="shared" ca="1" si="50"/>
        <v>0</v>
      </c>
      <c r="I512" s="125"/>
      <c r="J512" s="125">
        <f t="shared" ca="1" si="53"/>
        <v>0</v>
      </c>
      <c r="K512" s="125">
        <f t="shared" si="54"/>
        <v>0</v>
      </c>
      <c r="L512" s="125">
        <f t="shared" ca="1" si="55"/>
        <v>0</v>
      </c>
      <c r="P512">
        <f t="shared" si="56"/>
        <v>505</v>
      </c>
    </row>
    <row r="513" spans="4:16">
      <c r="D513">
        <v>506</v>
      </c>
      <c r="E513" s="6">
        <f t="shared" ca="1" si="51"/>
        <v>37347</v>
      </c>
      <c r="F513" s="7">
        <f t="shared" ca="1" si="52"/>
        <v>0</v>
      </c>
      <c r="G513" s="125">
        <f ca="1">IF('Simulador - 1º Pilar'!$E$99="Sí",IF('Aportaciones Poliza'!$B$13&lt;'Aportaciones Poliza'!E513,0,F513*$B$8/12),F513*$B$8/12)</f>
        <v>0</v>
      </c>
      <c r="H513" s="125">
        <f t="shared" ca="1" si="50"/>
        <v>0</v>
      </c>
      <c r="I513" s="125"/>
      <c r="J513" s="125">
        <f t="shared" ca="1" si="53"/>
        <v>0</v>
      </c>
      <c r="K513" s="125">
        <f t="shared" si="54"/>
        <v>0</v>
      </c>
      <c r="L513" s="125">
        <f t="shared" ca="1" si="55"/>
        <v>0</v>
      </c>
      <c r="P513">
        <f t="shared" si="56"/>
        <v>506</v>
      </c>
    </row>
    <row r="514" spans="4:16">
      <c r="D514">
        <v>507</v>
      </c>
      <c r="E514" s="6">
        <f t="shared" ca="1" si="51"/>
        <v>37316</v>
      </c>
      <c r="F514" s="7">
        <f t="shared" ca="1" si="52"/>
        <v>0</v>
      </c>
      <c r="G514" s="125">
        <f ca="1">IF('Simulador - 1º Pilar'!$E$99="Sí",IF('Aportaciones Poliza'!$B$13&lt;'Aportaciones Poliza'!E514,0,F514*$B$8/12),F514*$B$8/12)</f>
        <v>0</v>
      </c>
      <c r="H514" s="125">
        <f t="shared" ca="1" si="50"/>
        <v>0</v>
      </c>
      <c r="I514" s="125"/>
      <c r="J514" s="125">
        <f t="shared" ca="1" si="53"/>
        <v>0</v>
      </c>
      <c r="K514" s="125">
        <f t="shared" si="54"/>
        <v>0</v>
      </c>
      <c r="L514" s="125">
        <f t="shared" ca="1" si="55"/>
        <v>0</v>
      </c>
      <c r="P514">
        <f t="shared" si="56"/>
        <v>507</v>
      </c>
    </row>
    <row r="515" spans="4:16">
      <c r="D515">
        <v>508</v>
      </c>
      <c r="E515" s="6">
        <f t="shared" ca="1" si="51"/>
        <v>37288</v>
      </c>
      <c r="F515" s="7">
        <f t="shared" ca="1" si="52"/>
        <v>0</v>
      </c>
      <c r="G515" s="125">
        <f ca="1">IF('Simulador - 1º Pilar'!$E$99="Sí",IF('Aportaciones Poliza'!$B$13&lt;'Aportaciones Poliza'!E515,0,F515*$B$8/12),F515*$B$8/12)</f>
        <v>0</v>
      </c>
      <c r="H515" s="125">
        <f t="shared" ca="1" si="50"/>
        <v>0</v>
      </c>
      <c r="I515" s="125"/>
      <c r="J515" s="125">
        <f t="shared" ca="1" si="53"/>
        <v>0</v>
      </c>
      <c r="K515" s="125">
        <f t="shared" si="54"/>
        <v>0</v>
      </c>
      <c r="L515" s="125">
        <f t="shared" ca="1" si="55"/>
        <v>0</v>
      </c>
      <c r="P515">
        <f t="shared" si="56"/>
        <v>508</v>
      </c>
    </row>
    <row r="516" spans="4:16">
      <c r="D516">
        <v>509</v>
      </c>
      <c r="E516" s="6">
        <f t="shared" ca="1" si="51"/>
        <v>37257</v>
      </c>
      <c r="F516" s="7">
        <f t="shared" ca="1" si="52"/>
        <v>0</v>
      </c>
      <c r="G516" s="125">
        <f ca="1">IF('Simulador - 1º Pilar'!$E$99="Sí",IF('Aportaciones Poliza'!$B$13&lt;'Aportaciones Poliza'!E516,0,F516*$B$8/12),F516*$B$8/12)</f>
        <v>0</v>
      </c>
      <c r="H516" s="125">
        <f t="shared" ca="1" si="50"/>
        <v>0</v>
      </c>
      <c r="I516" s="125"/>
      <c r="J516" s="125">
        <f t="shared" ca="1" si="53"/>
        <v>0</v>
      </c>
      <c r="K516" s="125">
        <f t="shared" si="54"/>
        <v>0</v>
      </c>
      <c r="L516" s="125">
        <f t="shared" ca="1" si="55"/>
        <v>0</v>
      </c>
      <c r="P516">
        <f t="shared" si="56"/>
        <v>509</v>
      </c>
    </row>
    <row r="517" spans="4:16">
      <c r="D517">
        <v>510</v>
      </c>
      <c r="E517" s="6">
        <f t="shared" ca="1" si="51"/>
        <v>37226</v>
      </c>
      <c r="F517" s="7">
        <f t="shared" ca="1" si="52"/>
        <v>0</v>
      </c>
      <c r="G517" s="125">
        <f ca="1">IF('Simulador - 1º Pilar'!$E$99="Sí",IF('Aportaciones Poliza'!$B$13&lt;'Aportaciones Poliza'!E517,0,F517*$B$8/12),F517*$B$8/12)</f>
        <v>0</v>
      </c>
      <c r="H517" s="125">
        <f t="shared" ca="1" si="50"/>
        <v>0</v>
      </c>
      <c r="I517" s="125"/>
      <c r="J517" s="125">
        <f t="shared" ca="1" si="53"/>
        <v>0</v>
      </c>
      <c r="K517" s="125">
        <f t="shared" si="54"/>
        <v>0</v>
      </c>
      <c r="L517" s="125">
        <f t="shared" ca="1" si="55"/>
        <v>0</v>
      </c>
      <c r="P517">
        <f t="shared" si="56"/>
        <v>510</v>
      </c>
    </row>
    <row r="518" spans="4:16">
      <c r="D518">
        <v>511</v>
      </c>
      <c r="E518" s="6">
        <f t="shared" ca="1" si="51"/>
        <v>37196</v>
      </c>
      <c r="F518" s="7">
        <f t="shared" ca="1" si="52"/>
        <v>0</v>
      </c>
      <c r="G518" s="125">
        <f ca="1">IF('Simulador - 1º Pilar'!$E$99="Sí",IF('Aportaciones Poliza'!$B$13&lt;'Aportaciones Poliza'!E518,0,F518*$B$8/12),F518*$B$8/12)</f>
        <v>0</v>
      </c>
      <c r="H518" s="125">
        <f t="shared" ca="1" si="50"/>
        <v>0</v>
      </c>
      <c r="I518" s="125"/>
      <c r="J518" s="125">
        <f t="shared" ca="1" si="53"/>
        <v>0</v>
      </c>
      <c r="K518" s="125">
        <f t="shared" si="54"/>
        <v>0</v>
      </c>
      <c r="L518" s="125">
        <f t="shared" ca="1" si="55"/>
        <v>0</v>
      </c>
      <c r="P518">
        <f t="shared" si="56"/>
        <v>511</v>
      </c>
    </row>
    <row r="519" spans="4:16">
      <c r="D519">
        <v>512</v>
      </c>
      <c r="E519" s="6">
        <f t="shared" ca="1" si="51"/>
        <v>37165</v>
      </c>
      <c r="F519" s="7">
        <f t="shared" ca="1" si="52"/>
        <v>0</v>
      </c>
      <c r="G519" s="125">
        <f ca="1">IF('Simulador - 1º Pilar'!$E$99="Sí",IF('Aportaciones Poliza'!$B$13&lt;'Aportaciones Poliza'!E519,0,F519*$B$8/12),F519*$B$8/12)</f>
        <v>0</v>
      </c>
      <c r="H519" s="125">
        <f t="shared" ref="H519:H582" ca="1" si="57">$H$5*G519</f>
        <v>0</v>
      </c>
      <c r="I519" s="125"/>
      <c r="J519" s="125">
        <f t="shared" ca="1" si="53"/>
        <v>0</v>
      </c>
      <c r="K519" s="125">
        <f t="shared" si="54"/>
        <v>0</v>
      </c>
      <c r="L519" s="125">
        <f t="shared" ca="1" si="55"/>
        <v>0</v>
      </c>
      <c r="P519">
        <f t="shared" si="56"/>
        <v>512</v>
      </c>
    </row>
    <row r="520" spans="4:16">
      <c r="D520">
        <v>513</v>
      </c>
      <c r="E520" s="6">
        <f t="shared" ref="E520:E583" ca="1" si="58">+DATE(YEAR(E519),MONTH(E519)-1,DAY(E519))</f>
        <v>37135</v>
      </c>
      <c r="F520" s="7">
        <f t="shared" ref="F520:F583" ca="1" si="59">IF(DATE(YEAR($B$6),MONTH($B$6)+1,DAY(1))=E520,1,IF(MONTH(E520)=1,F521*(1+$F$5),F521))</f>
        <v>0</v>
      </c>
      <c r="G520" s="125">
        <f ca="1">IF('Simulador - 1º Pilar'!$E$99="Sí",IF('Aportaciones Poliza'!$B$13&lt;'Aportaciones Poliza'!E520,0,F520*$B$8/12),F520*$B$8/12)</f>
        <v>0</v>
      </c>
      <c r="H520" s="125">
        <f t="shared" ca="1" si="57"/>
        <v>0</v>
      </c>
      <c r="I520" s="125"/>
      <c r="J520" s="125">
        <f t="shared" ref="J520:J583" ca="1" si="60">(1+$M$5)^(D520/12)*(H520+IF(AND(F520=1,F521=0),$Q$4,0))</f>
        <v>0</v>
      </c>
      <c r="K520" s="125">
        <f t="shared" ref="K520:K583" si="61">(1+$M$5)^(D520/12)*(I520)</f>
        <v>0</v>
      </c>
      <c r="L520" s="125">
        <f t="shared" ref="L520:L583" ca="1" si="62">K520+J520</f>
        <v>0</v>
      </c>
      <c r="P520">
        <f t="shared" si="56"/>
        <v>513</v>
      </c>
    </row>
    <row r="521" spans="4:16">
      <c r="D521">
        <v>514</v>
      </c>
      <c r="E521" s="6">
        <f t="shared" ca="1" si="58"/>
        <v>37104</v>
      </c>
      <c r="F521" s="7">
        <f t="shared" ca="1" si="59"/>
        <v>0</v>
      </c>
      <c r="G521" s="125">
        <f ca="1">IF('Simulador - 1º Pilar'!$E$99="Sí",IF('Aportaciones Poliza'!$B$13&lt;'Aportaciones Poliza'!E521,0,F521*$B$8/12),F521*$B$8/12)</f>
        <v>0</v>
      </c>
      <c r="H521" s="125">
        <f t="shared" ca="1" si="57"/>
        <v>0</v>
      </c>
      <c r="I521" s="125"/>
      <c r="J521" s="125">
        <f t="shared" ca="1" si="60"/>
        <v>0</v>
      </c>
      <c r="K521" s="125">
        <f t="shared" si="61"/>
        <v>0</v>
      </c>
      <c r="L521" s="125">
        <f t="shared" ca="1" si="62"/>
        <v>0</v>
      </c>
      <c r="P521">
        <f t="shared" ref="P521:P584" si="63">D521</f>
        <v>514</v>
      </c>
    </row>
    <row r="522" spans="4:16">
      <c r="D522">
        <v>515</v>
      </c>
      <c r="E522" s="6">
        <f t="shared" ca="1" si="58"/>
        <v>37073</v>
      </c>
      <c r="F522" s="7">
        <f t="shared" ca="1" si="59"/>
        <v>0</v>
      </c>
      <c r="G522" s="125">
        <f ca="1">IF('Simulador - 1º Pilar'!$E$99="Sí",IF('Aportaciones Poliza'!$B$13&lt;'Aportaciones Poliza'!E522,0,F522*$B$8/12),F522*$B$8/12)</f>
        <v>0</v>
      </c>
      <c r="H522" s="125">
        <f t="shared" ca="1" si="57"/>
        <v>0</v>
      </c>
      <c r="I522" s="125"/>
      <c r="J522" s="125">
        <f t="shared" ca="1" si="60"/>
        <v>0</v>
      </c>
      <c r="K522" s="125">
        <f t="shared" si="61"/>
        <v>0</v>
      </c>
      <c r="L522" s="125">
        <f t="shared" ca="1" si="62"/>
        <v>0</v>
      </c>
      <c r="P522">
        <f t="shared" si="63"/>
        <v>515</v>
      </c>
    </row>
    <row r="523" spans="4:16">
      <c r="D523">
        <v>516</v>
      </c>
      <c r="E523" s="6">
        <f t="shared" ca="1" si="58"/>
        <v>37043</v>
      </c>
      <c r="F523" s="7">
        <f t="shared" ca="1" si="59"/>
        <v>0</v>
      </c>
      <c r="G523" s="125">
        <f ca="1">IF('Simulador - 1º Pilar'!$E$99="Sí",IF('Aportaciones Poliza'!$B$13&lt;'Aportaciones Poliza'!E523,0,F523*$B$8/12),F523*$B$8/12)</f>
        <v>0</v>
      </c>
      <c r="H523" s="125">
        <f t="shared" ca="1" si="57"/>
        <v>0</v>
      </c>
      <c r="I523" s="125"/>
      <c r="J523" s="125">
        <f t="shared" ca="1" si="60"/>
        <v>0</v>
      </c>
      <c r="K523" s="125">
        <f t="shared" si="61"/>
        <v>0</v>
      </c>
      <c r="L523" s="125">
        <f t="shared" ca="1" si="62"/>
        <v>0</v>
      </c>
      <c r="P523">
        <f t="shared" si="63"/>
        <v>516</v>
      </c>
    </row>
    <row r="524" spans="4:16">
      <c r="D524">
        <v>517</v>
      </c>
      <c r="E524" s="6">
        <f t="shared" ca="1" si="58"/>
        <v>37012</v>
      </c>
      <c r="F524" s="7">
        <f t="shared" ca="1" si="59"/>
        <v>0</v>
      </c>
      <c r="G524" s="125">
        <f ca="1">IF('Simulador - 1º Pilar'!$E$99="Sí",IF('Aportaciones Poliza'!$B$13&lt;'Aportaciones Poliza'!E524,0,F524*$B$8/12),F524*$B$8/12)</f>
        <v>0</v>
      </c>
      <c r="H524" s="125">
        <f t="shared" ca="1" si="57"/>
        <v>0</v>
      </c>
      <c r="I524" s="125"/>
      <c r="J524" s="125">
        <f t="shared" ca="1" si="60"/>
        <v>0</v>
      </c>
      <c r="K524" s="125">
        <f t="shared" si="61"/>
        <v>0</v>
      </c>
      <c r="L524" s="125">
        <f t="shared" ca="1" si="62"/>
        <v>0</v>
      </c>
      <c r="P524">
        <f t="shared" si="63"/>
        <v>517</v>
      </c>
    </row>
    <row r="525" spans="4:16">
      <c r="D525">
        <v>518</v>
      </c>
      <c r="E525" s="6">
        <f t="shared" ca="1" si="58"/>
        <v>36982</v>
      </c>
      <c r="F525" s="7">
        <f t="shared" ca="1" si="59"/>
        <v>0</v>
      </c>
      <c r="G525" s="125">
        <f ca="1">IF('Simulador - 1º Pilar'!$E$99="Sí",IF('Aportaciones Poliza'!$B$13&lt;'Aportaciones Poliza'!E525,0,F525*$B$8/12),F525*$B$8/12)</f>
        <v>0</v>
      </c>
      <c r="H525" s="125">
        <f t="shared" ca="1" si="57"/>
        <v>0</v>
      </c>
      <c r="I525" s="125"/>
      <c r="J525" s="125">
        <f t="shared" ca="1" si="60"/>
        <v>0</v>
      </c>
      <c r="K525" s="125">
        <f t="shared" si="61"/>
        <v>0</v>
      </c>
      <c r="L525" s="125">
        <f t="shared" ca="1" si="62"/>
        <v>0</v>
      </c>
      <c r="P525">
        <f t="shared" si="63"/>
        <v>518</v>
      </c>
    </row>
    <row r="526" spans="4:16">
      <c r="D526">
        <v>519</v>
      </c>
      <c r="E526" s="6">
        <f t="shared" ca="1" si="58"/>
        <v>36951</v>
      </c>
      <c r="F526" s="7">
        <f t="shared" ca="1" si="59"/>
        <v>0</v>
      </c>
      <c r="G526" s="125">
        <f ca="1">IF('Simulador - 1º Pilar'!$E$99="Sí",IF('Aportaciones Poliza'!$B$13&lt;'Aportaciones Poliza'!E526,0,F526*$B$8/12),F526*$B$8/12)</f>
        <v>0</v>
      </c>
      <c r="H526" s="125">
        <f t="shared" ca="1" si="57"/>
        <v>0</v>
      </c>
      <c r="I526" s="125"/>
      <c r="J526" s="125">
        <f t="shared" ca="1" si="60"/>
        <v>0</v>
      </c>
      <c r="K526" s="125">
        <f t="shared" si="61"/>
        <v>0</v>
      </c>
      <c r="L526" s="125">
        <f t="shared" ca="1" si="62"/>
        <v>0</v>
      </c>
      <c r="P526">
        <f t="shared" si="63"/>
        <v>519</v>
      </c>
    </row>
    <row r="527" spans="4:16">
      <c r="D527">
        <v>520</v>
      </c>
      <c r="E527" s="6">
        <f t="shared" ca="1" si="58"/>
        <v>36923</v>
      </c>
      <c r="F527" s="7">
        <f t="shared" ca="1" si="59"/>
        <v>0</v>
      </c>
      <c r="G527" s="125">
        <f ca="1">IF('Simulador - 1º Pilar'!$E$99="Sí",IF('Aportaciones Poliza'!$B$13&lt;'Aportaciones Poliza'!E527,0,F527*$B$8/12),F527*$B$8/12)</f>
        <v>0</v>
      </c>
      <c r="H527" s="125">
        <f t="shared" ca="1" si="57"/>
        <v>0</v>
      </c>
      <c r="I527" s="125"/>
      <c r="J527" s="125">
        <f t="shared" ca="1" si="60"/>
        <v>0</v>
      </c>
      <c r="K527" s="125">
        <f t="shared" si="61"/>
        <v>0</v>
      </c>
      <c r="L527" s="125">
        <f t="shared" ca="1" si="62"/>
        <v>0</v>
      </c>
      <c r="P527">
        <f t="shared" si="63"/>
        <v>520</v>
      </c>
    </row>
    <row r="528" spans="4:16">
      <c r="D528">
        <v>521</v>
      </c>
      <c r="E528" s="6">
        <f t="shared" ca="1" si="58"/>
        <v>36892</v>
      </c>
      <c r="F528" s="7">
        <f t="shared" ca="1" si="59"/>
        <v>0</v>
      </c>
      <c r="G528" s="125">
        <f ca="1">IF('Simulador - 1º Pilar'!$E$99="Sí",IF('Aportaciones Poliza'!$B$13&lt;'Aportaciones Poliza'!E528,0,F528*$B$8/12),F528*$B$8/12)</f>
        <v>0</v>
      </c>
      <c r="H528" s="125">
        <f t="shared" ca="1" si="57"/>
        <v>0</v>
      </c>
      <c r="I528" s="125"/>
      <c r="J528" s="125">
        <f t="shared" ca="1" si="60"/>
        <v>0</v>
      </c>
      <c r="K528" s="125">
        <f t="shared" si="61"/>
        <v>0</v>
      </c>
      <c r="L528" s="125">
        <f t="shared" ca="1" si="62"/>
        <v>0</v>
      </c>
      <c r="P528">
        <f t="shared" si="63"/>
        <v>521</v>
      </c>
    </row>
    <row r="529" spans="4:16">
      <c r="D529">
        <v>522</v>
      </c>
      <c r="E529" s="6">
        <f t="shared" ca="1" si="58"/>
        <v>36861</v>
      </c>
      <c r="F529" s="7">
        <f t="shared" ca="1" si="59"/>
        <v>0</v>
      </c>
      <c r="G529" s="125">
        <f ca="1">IF('Simulador - 1º Pilar'!$E$99="Sí",IF('Aportaciones Poliza'!$B$13&lt;'Aportaciones Poliza'!E529,0,F529*$B$8/12),F529*$B$8/12)</f>
        <v>0</v>
      </c>
      <c r="H529" s="125">
        <f t="shared" ca="1" si="57"/>
        <v>0</v>
      </c>
      <c r="I529" s="125"/>
      <c r="J529" s="125">
        <f t="shared" ca="1" si="60"/>
        <v>0</v>
      </c>
      <c r="K529" s="125">
        <f t="shared" si="61"/>
        <v>0</v>
      </c>
      <c r="L529" s="125">
        <f t="shared" ca="1" si="62"/>
        <v>0</v>
      </c>
      <c r="P529">
        <f t="shared" si="63"/>
        <v>522</v>
      </c>
    </row>
    <row r="530" spans="4:16">
      <c r="D530">
        <v>523</v>
      </c>
      <c r="E530" s="6">
        <f t="shared" ca="1" si="58"/>
        <v>36831</v>
      </c>
      <c r="F530" s="7">
        <f t="shared" ca="1" si="59"/>
        <v>0</v>
      </c>
      <c r="G530" s="125">
        <f ca="1">IF('Simulador - 1º Pilar'!$E$99="Sí",IF('Aportaciones Poliza'!$B$13&lt;'Aportaciones Poliza'!E530,0,F530*$B$8/12),F530*$B$8/12)</f>
        <v>0</v>
      </c>
      <c r="H530" s="125">
        <f t="shared" ca="1" si="57"/>
        <v>0</v>
      </c>
      <c r="I530" s="125"/>
      <c r="J530" s="125">
        <f t="shared" ca="1" si="60"/>
        <v>0</v>
      </c>
      <c r="K530" s="125">
        <f t="shared" si="61"/>
        <v>0</v>
      </c>
      <c r="L530" s="125">
        <f t="shared" ca="1" si="62"/>
        <v>0</v>
      </c>
      <c r="P530">
        <f t="shared" si="63"/>
        <v>523</v>
      </c>
    </row>
    <row r="531" spans="4:16">
      <c r="D531">
        <v>524</v>
      </c>
      <c r="E531" s="6">
        <f t="shared" ca="1" si="58"/>
        <v>36800</v>
      </c>
      <c r="F531" s="7">
        <f t="shared" ca="1" si="59"/>
        <v>0</v>
      </c>
      <c r="G531" s="125">
        <f ca="1">IF('Simulador - 1º Pilar'!$E$99="Sí",IF('Aportaciones Poliza'!$B$13&lt;'Aportaciones Poliza'!E531,0,F531*$B$8/12),F531*$B$8/12)</f>
        <v>0</v>
      </c>
      <c r="H531" s="125">
        <f t="shared" ca="1" si="57"/>
        <v>0</v>
      </c>
      <c r="I531" s="125"/>
      <c r="J531" s="125">
        <f t="shared" ca="1" si="60"/>
        <v>0</v>
      </c>
      <c r="K531" s="125">
        <f t="shared" si="61"/>
        <v>0</v>
      </c>
      <c r="L531" s="125">
        <f t="shared" ca="1" si="62"/>
        <v>0</v>
      </c>
      <c r="P531">
        <f t="shared" si="63"/>
        <v>524</v>
      </c>
    </row>
    <row r="532" spans="4:16">
      <c r="D532">
        <v>525</v>
      </c>
      <c r="E532" s="6">
        <f t="shared" ca="1" si="58"/>
        <v>36770</v>
      </c>
      <c r="F532" s="7">
        <f t="shared" ca="1" si="59"/>
        <v>0</v>
      </c>
      <c r="G532" s="125">
        <f ca="1">IF('Simulador - 1º Pilar'!$E$99="Sí",IF('Aportaciones Poliza'!$B$13&lt;'Aportaciones Poliza'!E532,0,F532*$B$8/12),F532*$B$8/12)</f>
        <v>0</v>
      </c>
      <c r="H532" s="125">
        <f t="shared" ca="1" si="57"/>
        <v>0</v>
      </c>
      <c r="I532" s="125"/>
      <c r="J532" s="125">
        <f t="shared" ca="1" si="60"/>
        <v>0</v>
      </c>
      <c r="K532" s="125">
        <f t="shared" si="61"/>
        <v>0</v>
      </c>
      <c r="L532" s="125">
        <f t="shared" ca="1" si="62"/>
        <v>0</v>
      </c>
      <c r="P532">
        <f t="shared" si="63"/>
        <v>525</v>
      </c>
    </row>
    <row r="533" spans="4:16">
      <c r="D533">
        <v>526</v>
      </c>
      <c r="E533" s="6">
        <f t="shared" ca="1" si="58"/>
        <v>36739</v>
      </c>
      <c r="F533" s="7">
        <f t="shared" ca="1" si="59"/>
        <v>0</v>
      </c>
      <c r="G533" s="125">
        <f ca="1">IF('Simulador - 1º Pilar'!$E$99="Sí",IF('Aportaciones Poliza'!$B$13&lt;'Aportaciones Poliza'!E533,0,F533*$B$8/12),F533*$B$8/12)</f>
        <v>0</v>
      </c>
      <c r="H533" s="125">
        <f t="shared" ca="1" si="57"/>
        <v>0</v>
      </c>
      <c r="I533" s="125"/>
      <c r="J533" s="125">
        <f t="shared" ca="1" si="60"/>
        <v>0</v>
      </c>
      <c r="K533" s="125">
        <f t="shared" si="61"/>
        <v>0</v>
      </c>
      <c r="L533" s="125">
        <f t="shared" ca="1" si="62"/>
        <v>0</v>
      </c>
      <c r="P533">
        <f t="shared" si="63"/>
        <v>526</v>
      </c>
    </row>
    <row r="534" spans="4:16">
      <c r="D534">
        <v>527</v>
      </c>
      <c r="E534" s="6">
        <f t="shared" ca="1" si="58"/>
        <v>36708</v>
      </c>
      <c r="F534" s="7">
        <f t="shared" ca="1" si="59"/>
        <v>0</v>
      </c>
      <c r="G534" s="125">
        <f ca="1">IF('Simulador - 1º Pilar'!$E$99="Sí",IF('Aportaciones Poliza'!$B$13&lt;'Aportaciones Poliza'!E534,0,F534*$B$8/12),F534*$B$8/12)</f>
        <v>0</v>
      </c>
      <c r="H534" s="125">
        <f t="shared" ca="1" si="57"/>
        <v>0</v>
      </c>
      <c r="I534" s="125"/>
      <c r="J534" s="125">
        <f t="shared" ca="1" si="60"/>
        <v>0</v>
      </c>
      <c r="K534" s="125">
        <f t="shared" si="61"/>
        <v>0</v>
      </c>
      <c r="L534" s="125">
        <f t="shared" ca="1" si="62"/>
        <v>0</v>
      </c>
      <c r="P534">
        <f t="shared" si="63"/>
        <v>527</v>
      </c>
    </row>
    <row r="535" spans="4:16">
      <c r="D535">
        <v>528</v>
      </c>
      <c r="E535" s="6">
        <f t="shared" ca="1" si="58"/>
        <v>36678</v>
      </c>
      <c r="F535" s="7">
        <f t="shared" ca="1" si="59"/>
        <v>0</v>
      </c>
      <c r="G535" s="125">
        <f ca="1">IF('Simulador - 1º Pilar'!$E$99="Sí",IF('Aportaciones Poliza'!$B$13&lt;'Aportaciones Poliza'!E535,0,F535*$B$8/12),F535*$B$8/12)</f>
        <v>0</v>
      </c>
      <c r="H535" s="125">
        <f t="shared" ca="1" si="57"/>
        <v>0</v>
      </c>
      <c r="I535" s="125"/>
      <c r="J535" s="125">
        <f t="shared" ca="1" si="60"/>
        <v>0</v>
      </c>
      <c r="K535" s="125">
        <f t="shared" si="61"/>
        <v>0</v>
      </c>
      <c r="L535" s="125">
        <f t="shared" ca="1" si="62"/>
        <v>0</v>
      </c>
      <c r="P535">
        <f t="shared" si="63"/>
        <v>528</v>
      </c>
    </row>
    <row r="536" spans="4:16">
      <c r="D536">
        <v>529</v>
      </c>
      <c r="E536" s="6">
        <f t="shared" ca="1" si="58"/>
        <v>36647</v>
      </c>
      <c r="F536" s="7">
        <f t="shared" ca="1" si="59"/>
        <v>0</v>
      </c>
      <c r="G536" s="125">
        <f ca="1">IF('Simulador - 1º Pilar'!$E$99="Sí",IF('Aportaciones Poliza'!$B$13&lt;'Aportaciones Poliza'!E536,0,F536*$B$8/12),F536*$B$8/12)</f>
        <v>0</v>
      </c>
      <c r="H536" s="125">
        <f t="shared" ca="1" si="57"/>
        <v>0</v>
      </c>
      <c r="I536" s="125"/>
      <c r="J536" s="125">
        <f t="shared" ca="1" si="60"/>
        <v>0</v>
      </c>
      <c r="K536" s="125">
        <f t="shared" si="61"/>
        <v>0</v>
      </c>
      <c r="L536" s="125">
        <f t="shared" ca="1" si="62"/>
        <v>0</v>
      </c>
      <c r="P536">
        <f t="shared" si="63"/>
        <v>529</v>
      </c>
    </row>
    <row r="537" spans="4:16">
      <c r="D537">
        <v>530</v>
      </c>
      <c r="E537" s="6">
        <f t="shared" ca="1" si="58"/>
        <v>36617</v>
      </c>
      <c r="F537" s="7">
        <f t="shared" ca="1" si="59"/>
        <v>0</v>
      </c>
      <c r="G537" s="125">
        <f ca="1">IF('Simulador - 1º Pilar'!$E$99="Sí",IF('Aportaciones Poliza'!$B$13&lt;'Aportaciones Poliza'!E537,0,F537*$B$8/12),F537*$B$8/12)</f>
        <v>0</v>
      </c>
      <c r="H537" s="125">
        <f t="shared" ca="1" si="57"/>
        <v>0</v>
      </c>
      <c r="I537" s="125"/>
      <c r="J537" s="125">
        <f t="shared" ca="1" si="60"/>
        <v>0</v>
      </c>
      <c r="K537" s="125">
        <f t="shared" si="61"/>
        <v>0</v>
      </c>
      <c r="L537" s="125">
        <f t="shared" ca="1" si="62"/>
        <v>0</v>
      </c>
      <c r="P537">
        <f t="shared" si="63"/>
        <v>530</v>
      </c>
    </row>
    <row r="538" spans="4:16">
      <c r="D538">
        <v>531</v>
      </c>
      <c r="E538" s="6">
        <f t="shared" ca="1" si="58"/>
        <v>36586</v>
      </c>
      <c r="F538" s="7">
        <f t="shared" ca="1" si="59"/>
        <v>0</v>
      </c>
      <c r="G538" s="125">
        <f ca="1">IF('Simulador - 1º Pilar'!$E$99="Sí",IF('Aportaciones Poliza'!$B$13&lt;'Aportaciones Poliza'!E538,0,F538*$B$8/12),F538*$B$8/12)</f>
        <v>0</v>
      </c>
      <c r="H538" s="125">
        <f t="shared" ca="1" si="57"/>
        <v>0</v>
      </c>
      <c r="I538" s="125"/>
      <c r="J538" s="125">
        <f t="shared" ca="1" si="60"/>
        <v>0</v>
      </c>
      <c r="K538" s="125">
        <f t="shared" si="61"/>
        <v>0</v>
      </c>
      <c r="L538" s="125">
        <f t="shared" ca="1" si="62"/>
        <v>0</v>
      </c>
      <c r="P538">
        <f t="shared" si="63"/>
        <v>531</v>
      </c>
    </row>
    <row r="539" spans="4:16">
      <c r="D539">
        <v>532</v>
      </c>
      <c r="E539" s="6">
        <f t="shared" ca="1" si="58"/>
        <v>36557</v>
      </c>
      <c r="F539" s="7">
        <f t="shared" ca="1" si="59"/>
        <v>0</v>
      </c>
      <c r="G539" s="125">
        <f ca="1">IF('Simulador - 1º Pilar'!$E$99="Sí",IF('Aportaciones Poliza'!$B$13&lt;'Aportaciones Poliza'!E539,0,F539*$B$8/12),F539*$B$8/12)</f>
        <v>0</v>
      </c>
      <c r="H539" s="125">
        <f t="shared" ca="1" si="57"/>
        <v>0</v>
      </c>
      <c r="I539" s="125"/>
      <c r="J539" s="125">
        <f t="shared" ca="1" si="60"/>
        <v>0</v>
      </c>
      <c r="K539" s="125">
        <f t="shared" si="61"/>
        <v>0</v>
      </c>
      <c r="L539" s="125">
        <f t="shared" ca="1" si="62"/>
        <v>0</v>
      </c>
      <c r="P539">
        <f t="shared" si="63"/>
        <v>532</v>
      </c>
    </row>
    <row r="540" spans="4:16">
      <c r="D540">
        <v>533</v>
      </c>
      <c r="E540" s="6">
        <f t="shared" ca="1" si="58"/>
        <v>36526</v>
      </c>
      <c r="F540" s="7">
        <f t="shared" ca="1" si="59"/>
        <v>0</v>
      </c>
      <c r="G540" s="125">
        <f ca="1">IF('Simulador - 1º Pilar'!$E$99="Sí",IF('Aportaciones Poliza'!$B$13&lt;'Aportaciones Poliza'!E540,0,F540*$B$8/12),F540*$B$8/12)</f>
        <v>0</v>
      </c>
      <c r="H540" s="125">
        <f t="shared" ca="1" si="57"/>
        <v>0</v>
      </c>
      <c r="I540" s="125"/>
      <c r="J540" s="125">
        <f t="shared" ca="1" si="60"/>
        <v>0</v>
      </c>
      <c r="K540" s="125">
        <f t="shared" si="61"/>
        <v>0</v>
      </c>
      <c r="L540" s="125">
        <f t="shared" ca="1" si="62"/>
        <v>0</v>
      </c>
      <c r="P540">
        <f t="shared" si="63"/>
        <v>533</v>
      </c>
    </row>
    <row r="541" spans="4:16">
      <c r="D541">
        <v>534</v>
      </c>
      <c r="E541" s="6">
        <f t="shared" ca="1" si="58"/>
        <v>36495</v>
      </c>
      <c r="F541" s="7">
        <f t="shared" ca="1" si="59"/>
        <v>0</v>
      </c>
      <c r="G541" s="125">
        <f ca="1">IF('Simulador - 1º Pilar'!$E$99="Sí",IF('Aportaciones Poliza'!$B$13&lt;'Aportaciones Poliza'!E541,0,F541*$B$8/12),F541*$B$8/12)</f>
        <v>0</v>
      </c>
      <c r="H541" s="125">
        <f t="shared" ca="1" si="57"/>
        <v>0</v>
      </c>
      <c r="I541" s="125"/>
      <c r="J541" s="125">
        <f t="shared" ca="1" si="60"/>
        <v>0</v>
      </c>
      <c r="K541" s="125">
        <f t="shared" si="61"/>
        <v>0</v>
      </c>
      <c r="L541" s="125">
        <f t="shared" ca="1" si="62"/>
        <v>0</v>
      </c>
      <c r="P541">
        <f t="shared" si="63"/>
        <v>534</v>
      </c>
    </row>
    <row r="542" spans="4:16">
      <c r="D542">
        <v>535</v>
      </c>
      <c r="E542" s="6">
        <f t="shared" ca="1" si="58"/>
        <v>36465</v>
      </c>
      <c r="F542" s="7">
        <f t="shared" ca="1" si="59"/>
        <v>0</v>
      </c>
      <c r="G542" s="125">
        <f ca="1">IF('Simulador - 1º Pilar'!$E$99="Sí",IF('Aportaciones Poliza'!$B$13&lt;'Aportaciones Poliza'!E542,0,F542*$B$8/12),F542*$B$8/12)</f>
        <v>0</v>
      </c>
      <c r="H542" s="125">
        <f t="shared" ca="1" si="57"/>
        <v>0</v>
      </c>
      <c r="I542" s="125"/>
      <c r="J542" s="125">
        <f t="shared" ca="1" si="60"/>
        <v>0</v>
      </c>
      <c r="K542" s="125">
        <f t="shared" si="61"/>
        <v>0</v>
      </c>
      <c r="L542" s="125">
        <f t="shared" ca="1" si="62"/>
        <v>0</v>
      </c>
      <c r="P542">
        <f t="shared" si="63"/>
        <v>535</v>
      </c>
    </row>
    <row r="543" spans="4:16">
      <c r="D543">
        <v>536</v>
      </c>
      <c r="E543" s="6">
        <f t="shared" ca="1" si="58"/>
        <v>36434</v>
      </c>
      <c r="F543" s="7">
        <f t="shared" ca="1" si="59"/>
        <v>0</v>
      </c>
      <c r="G543" s="125">
        <f ca="1">IF('Simulador - 1º Pilar'!$E$99="Sí",IF('Aportaciones Poliza'!$B$13&lt;'Aportaciones Poliza'!E543,0,F543*$B$8/12),F543*$B$8/12)</f>
        <v>0</v>
      </c>
      <c r="H543" s="125">
        <f t="shared" ca="1" si="57"/>
        <v>0</v>
      </c>
      <c r="I543" s="125"/>
      <c r="J543" s="125">
        <f t="shared" ca="1" si="60"/>
        <v>0</v>
      </c>
      <c r="K543" s="125">
        <f t="shared" si="61"/>
        <v>0</v>
      </c>
      <c r="L543" s="125">
        <f t="shared" ca="1" si="62"/>
        <v>0</v>
      </c>
      <c r="P543">
        <f t="shared" si="63"/>
        <v>536</v>
      </c>
    </row>
    <row r="544" spans="4:16">
      <c r="D544">
        <v>537</v>
      </c>
      <c r="E544" s="6">
        <f t="shared" ca="1" si="58"/>
        <v>36404</v>
      </c>
      <c r="F544" s="7">
        <f t="shared" ca="1" si="59"/>
        <v>0</v>
      </c>
      <c r="G544" s="125">
        <f ca="1">IF('Simulador - 1º Pilar'!$E$99="Sí",IF('Aportaciones Poliza'!$B$13&lt;'Aportaciones Poliza'!E544,0,F544*$B$8/12),F544*$B$8/12)</f>
        <v>0</v>
      </c>
      <c r="H544" s="125">
        <f t="shared" ca="1" si="57"/>
        <v>0</v>
      </c>
      <c r="I544" s="125"/>
      <c r="J544" s="125">
        <f t="shared" ca="1" si="60"/>
        <v>0</v>
      </c>
      <c r="K544" s="125">
        <f t="shared" si="61"/>
        <v>0</v>
      </c>
      <c r="L544" s="125">
        <f t="shared" ca="1" si="62"/>
        <v>0</v>
      </c>
      <c r="P544">
        <f t="shared" si="63"/>
        <v>537</v>
      </c>
    </row>
    <row r="545" spans="4:16">
      <c r="D545">
        <v>538</v>
      </c>
      <c r="E545" s="6">
        <f t="shared" ca="1" si="58"/>
        <v>36373</v>
      </c>
      <c r="F545" s="7">
        <f t="shared" ca="1" si="59"/>
        <v>0</v>
      </c>
      <c r="G545" s="125">
        <f ca="1">IF('Simulador - 1º Pilar'!$E$99="Sí",IF('Aportaciones Poliza'!$B$13&lt;'Aportaciones Poliza'!E545,0,F545*$B$8/12),F545*$B$8/12)</f>
        <v>0</v>
      </c>
      <c r="H545" s="125">
        <f t="shared" ca="1" si="57"/>
        <v>0</v>
      </c>
      <c r="I545" s="125"/>
      <c r="J545" s="125">
        <f t="shared" ca="1" si="60"/>
        <v>0</v>
      </c>
      <c r="K545" s="125">
        <f t="shared" si="61"/>
        <v>0</v>
      </c>
      <c r="L545" s="125">
        <f t="shared" ca="1" si="62"/>
        <v>0</v>
      </c>
      <c r="P545">
        <f t="shared" si="63"/>
        <v>538</v>
      </c>
    </row>
    <row r="546" spans="4:16">
      <c r="D546">
        <v>539</v>
      </c>
      <c r="E546" s="6">
        <f t="shared" ca="1" si="58"/>
        <v>36342</v>
      </c>
      <c r="F546" s="7">
        <f t="shared" ca="1" si="59"/>
        <v>0</v>
      </c>
      <c r="G546" s="125">
        <f ca="1">IF('Simulador - 1º Pilar'!$E$99="Sí",IF('Aportaciones Poliza'!$B$13&lt;'Aportaciones Poliza'!E546,0,F546*$B$8/12),F546*$B$8/12)</f>
        <v>0</v>
      </c>
      <c r="H546" s="125">
        <f t="shared" ca="1" si="57"/>
        <v>0</v>
      </c>
      <c r="I546" s="125"/>
      <c r="J546" s="125">
        <f t="shared" ca="1" si="60"/>
        <v>0</v>
      </c>
      <c r="K546" s="125">
        <f t="shared" si="61"/>
        <v>0</v>
      </c>
      <c r="L546" s="125">
        <f t="shared" ca="1" si="62"/>
        <v>0</v>
      </c>
      <c r="P546">
        <f t="shared" si="63"/>
        <v>539</v>
      </c>
    </row>
    <row r="547" spans="4:16">
      <c r="D547">
        <v>540</v>
      </c>
      <c r="E547" s="6">
        <f t="shared" ca="1" si="58"/>
        <v>36312</v>
      </c>
      <c r="F547" s="7">
        <f t="shared" ca="1" si="59"/>
        <v>0</v>
      </c>
      <c r="G547" s="125">
        <f ca="1">IF('Simulador - 1º Pilar'!$E$99="Sí",IF('Aportaciones Poliza'!$B$13&lt;'Aportaciones Poliza'!E547,0,F547*$B$8/12),F547*$B$8/12)</f>
        <v>0</v>
      </c>
      <c r="H547" s="125">
        <f t="shared" ca="1" si="57"/>
        <v>0</v>
      </c>
      <c r="I547" s="125"/>
      <c r="J547" s="125">
        <f t="shared" ca="1" si="60"/>
        <v>0</v>
      </c>
      <c r="K547" s="125">
        <f t="shared" si="61"/>
        <v>0</v>
      </c>
      <c r="L547" s="125">
        <f t="shared" ca="1" si="62"/>
        <v>0</v>
      </c>
      <c r="P547">
        <f t="shared" si="63"/>
        <v>540</v>
      </c>
    </row>
    <row r="548" spans="4:16">
      <c r="D548">
        <v>541</v>
      </c>
      <c r="E548" s="6">
        <f t="shared" ca="1" si="58"/>
        <v>36281</v>
      </c>
      <c r="F548" s="7">
        <f t="shared" ca="1" si="59"/>
        <v>0</v>
      </c>
      <c r="G548" s="125">
        <f ca="1">IF('Simulador - 1º Pilar'!$E$99="Sí",IF('Aportaciones Poliza'!$B$13&lt;'Aportaciones Poliza'!E548,0,F548*$B$8/12),F548*$B$8/12)</f>
        <v>0</v>
      </c>
      <c r="H548" s="125">
        <f t="shared" ca="1" si="57"/>
        <v>0</v>
      </c>
      <c r="I548" s="125"/>
      <c r="J548" s="125">
        <f t="shared" ca="1" si="60"/>
        <v>0</v>
      </c>
      <c r="K548" s="125">
        <f t="shared" si="61"/>
        <v>0</v>
      </c>
      <c r="L548" s="125">
        <f t="shared" ca="1" si="62"/>
        <v>0</v>
      </c>
      <c r="P548">
        <f t="shared" si="63"/>
        <v>541</v>
      </c>
    </row>
    <row r="549" spans="4:16">
      <c r="D549">
        <v>542</v>
      </c>
      <c r="E549" s="6">
        <f t="shared" ca="1" si="58"/>
        <v>36251</v>
      </c>
      <c r="F549" s="7">
        <f t="shared" ca="1" si="59"/>
        <v>0</v>
      </c>
      <c r="G549" s="125">
        <f ca="1">IF('Simulador - 1º Pilar'!$E$99="Sí",IF('Aportaciones Poliza'!$B$13&lt;'Aportaciones Poliza'!E549,0,F549*$B$8/12),F549*$B$8/12)</f>
        <v>0</v>
      </c>
      <c r="H549" s="125">
        <f t="shared" ca="1" si="57"/>
        <v>0</v>
      </c>
      <c r="I549" s="125"/>
      <c r="J549" s="125">
        <f t="shared" ca="1" si="60"/>
        <v>0</v>
      </c>
      <c r="K549" s="125">
        <f t="shared" si="61"/>
        <v>0</v>
      </c>
      <c r="L549" s="125">
        <f t="shared" ca="1" si="62"/>
        <v>0</v>
      </c>
      <c r="P549">
        <f t="shared" si="63"/>
        <v>542</v>
      </c>
    </row>
    <row r="550" spans="4:16">
      <c r="D550">
        <v>543</v>
      </c>
      <c r="E550" s="6">
        <f t="shared" ca="1" si="58"/>
        <v>36220</v>
      </c>
      <c r="F550" s="7">
        <f t="shared" ca="1" si="59"/>
        <v>0</v>
      </c>
      <c r="G550" s="125">
        <f ca="1">IF('Simulador - 1º Pilar'!$E$99="Sí",IF('Aportaciones Poliza'!$B$13&lt;'Aportaciones Poliza'!E550,0,F550*$B$8/12),F550*$B$8/12)</f>
        <v>0</v>
      </c>
      <c r="H550" s="125">
        <f t="shared" ca="1" si="57"/>
        <v>0</v>
      </c>
      <c r="I550" s="125"/>
      <c r="J550" s="125">
        <f t="shared" ca="1" si="60"/>
        <v>0</v>
      </c>
      <c r="K550" s="125">
        <f t="shared" si="61"/>
        <v>0</v>
      </c>
      <c r="L550" s="125">
        <f t="shared" ca="1" si="62"/>
        <v>0</v>
      </c>
      <c r="P550">
        <f t="shared" si="63"/>
        <v>543</v>
      </c>
    </row>
    <row r="551" spans="4:16">
      <c r="D551">
        <v>544</v>
      </c>
      <c r="E551" s="6">
        <f t="shared" ca="1" si="58"/>
        <v>36192</v>
      </c>
      <c r="F551" s="7">
        <f t="shared" ca="1" si="59"/>
        <v>0</v>
      </c>
      <c r="G551" s="125">
        <f ca="1">IF('Simulador - 1º Pilar'!$E$99="Sí",IF('Aportaciones Poliza'!$B$13&lt;'Aportaciones Poliza'!E551,0,F551*$B$8/12),F551*$B$8/12)</f>
        <v>0</v>
      </c>
      <c r="H551" s="125">
        <f t="shared" ca="1" si="57"/>
        <v>0</v>
      </c>
      <c r="I551" s="125"/>
      <c r="J551" s="125">
        <f t="shared" ca="1" si="60"/>
        <v>0</v>
      </c>
      <c r="K551" s="125">
        <f t="shared" si="61"/>
        <v>0</v>
      </c>
      <c r="L551" s="125">
        <f t="shared" ca="1" si="62"/>
        <v>0</v>
      </c>
      <c r="P551">
        <f t="shared" si="63"/>
        <v>544</v>
      </c>
    </row>
    <row r="552" spans="4:16">
      <c r="D552">
        <v>545</v>
      </c>
      <c r="E552" s="6">
        <f t="shared" ca="1" si="58"/>
        <v>36161</v>
      </c>
      <c r="F552" s="7">
        <f t="shared" ca="1" si="59"/>
        <v>0</v>
      </c>
      <c r="G552" s="125">
        <f ca="1">IF('Simulador - 1º Pilar'!$E$99="Sí",IF('Aportaciones Poliza'!$B$13&lt;'Aportaciones Poliza'!E552,0,F552*$B$8/12),F552*$B$8/12)</f>
        <v>0</v>
      </c>
      <c r="H552" s="125">
        <f t="shared" ca="1" si="57"/>
        <v>0</v>
      </c>
      <c r="I552" s="125"/>
      <c r="J552" s="125">
        <f t="shared" ca="1" si="60"/>
        <v>0</v>
      </c>
      <c r="K552" s="125">
        <f t="shared" si="61"/>
        <v>0</v>
      </c>
      <c r="L552" s="125">
        <f t="shared" ca="1" si="62"/>
        <v>0</v>
      </c>
      <c r="P552">
        <f t="shared" si="63"/>
        <v>545</v>
      </c>
    </row>
    <row r="553" spans="4:16">
      <c r="D553">
        <v>546</v>
      </c>
      <c r="E553" s="6">
        <f t="shared" ca="1" si="58"/>
        <v>36130</v>
      </c>
      <c r="F553" s="7">
        <f t="shared" ca="1" si="59"/>
        <v>0</v>
      </c>
      <c r="G553" s="125">
        <f ca="1">IF('Simulador - 1º Pilar'!$E$99="Sí",IF('Aportaciones Poliza'!$B$13&lt;'Aportaciones Poliza'!E553,0,F553*$B$8/12),F553*$B$8/12)</f>
        <v>0</v>
      </c>
      <c r="H553" s="125">
        <f t="shared" ca="1" si="57"/>
        <v>0</v>
      </c>
      <c r="I553" s="125"/>
      <c r="J553" s="125">
        <f t="shared" ca="1" si="60"/>
        <v>0</v>
      </c>
      <c r="K553" s="125">
        <f t="shared" si="61"/>
        <v>0</v>
      </c>
      <c r="L553" s="125">
        <f t="shared" ca="1" si="62"/>
        <v>0</v>
      </c>
      <c r="P553">
        <f t="shared" si="63"/>
        <v>546</v>
      </c>
    </row>
    <row r="554" spans="4:16">
      <c r="D554">
        <v>547</v>
      </c>
      <c r="E554" s="6">
        <f t="shared" ca="1" si="58"/>
        <v>36100</v>
      </c>
      <c r="F554" s="7">
        <f t="shared" ca="1" si="59"/>
        <v>0</v>
      </c>
      <c r="G554" s="125">
        <f ca="1">IF('Simulador - 1º Pilar'!$E$99="Sí",IF('Aportaciones Poliza'!$B$13&lt;'Aportaciones Poliza'!E554,0,F554*$B$8/12),F554*$B$8/12)</f>
        <v>0</v>
      </c>
      <c r="H554" s="125">
        <f t="shared" ca="1" si="57"/>
        <v>0</v>
      </c>
      <c r="I554" s="125"/>
      <c r="J554" s="125">
        <f t="shared" ca="1" si="60"/>
        <v>0</v>
      </c>
      <c r="K554" s="125">
        <f t="shared" si="61"/>
        <v>0</v>
      </c>
      <c r="L554" s="125">
        <f t="shared" ca="1" si="62"/>
        <v>0</v>
      </c>
      <c r="P554">
        <f t="shared" si="63"/>
        <v>547</v>
      </c>
    </row>
    <row r="555" spans="4:16">
      <c r="D555">
        <v>548</v>
      </c>
      <c r="E555" s="6">
        <f t="shared" ca="1" si="58"/>
        <v>36069</v>
      </c>
      <c r="F555" s="7">
        <f t="shared" ca="1" si="59"/>
        <v>0</v>
      </c>
      <c r="G555" s="125">
        <f ca="1">IF('Simulador - 1º Pilar'!$E$99="Sí",IF('Aportaciones Poliza'!$B$13&lt;'Aportaciones Poliza'!E555,0,F555*$B$8/12),F555*$B$8/12)</f>
        <v>0</v>
      </c>
      <c r="H555" s="125">
        <f t="shared" ca="1" si="57"/>
        <v>0</v>
      </c>
      <c r="I555" s="125"/>
      <c r="J555" s="125">
        <f t="shared" ca="1" si="60"/>
        <v>0</v>
      </c>
      <c r="K555" s="125">
        <f t="shared" si="61"/>
        <v>0</v>
      </c>
      <c r="L555" s="125">
        <f t="shared" ca="1" si="62"/>
        <v>0</v>
      </c>
      <c r="P555">
        <f t="shared" si="63"/>
        <v>548</v>
      </c>
    </row>
    <row r="556" spans="4:16">
      <c r="D556">
        <v>549</v>
      </c>
      <c r="E556" s="6">
        <f t="shared" ca="1" si="58"/>
        <v>36039</v>
      </c>
      <c r="F556" s="7">
        <f t="shared" ca="1" si="59"/>
        <v>0</v>
      </c>
      <c r="G556" s="125">
        <f ca="1">IF('Simulador - 1º Pilar'!$E$99="Sí",IF('Aportaciones Poliza'!$B$13&lt;'Aportaciones Poliza'!E556,0,F556*$B$8/12),F556*$B$8/12)</f>
        <v>0</v>
      </c>
      <c r="H556" s="125">
        <f t="shared" ca="1" si="57"/>
        <v>0</v>
      </c>
      <c r="I556" s="125"/>
      <c r="J556" s="125">
        <f t="shared" ca="1" si="60"/>
        <v>0</v>
      </c>
      <c r="K556" s="125">
        <f t="shared" si="61"/>
        <v>0</v>
      </c>
      <c r="L556" s="125">
        <f t="shared" ca="1" si="62"/>
        <v>0</v>
      </c>
      <c r="P556">
        <f t="shared" si="63"/>
        <v>549</v>
      </c>
    </row>
    <row r="557" spans="4:16">
      <c r="D557">
        <v>550</v>
      </c>
      <c r="E557" s="6">
        <f t="shared" ca="1" si="58"/>
        <v>36008</v>
      </c>
      <c r="F557" s="7">
        <f t="shared" ca="1" si="59"/>
        <v>0</v>
      </c>
      <c r="G557" s="125">
        <f ca="1">IF('Simulador - 1º Pilar'!$E$99="Sí",IF('Aportaciones Poliza'!$B$13&lt;'Aportaciones Poliza'!E557,0,F557*$B$8/12),F557*$B$8/12)</f>
        <v>0</v>
      </c>
      <c r="H557" s="125">
        <f t="shared" ca="1" si="57"/>
        <v>0</v>
      </c>
      <c r="I557" s="125"/>
      <c r="J557" s="125">
        <f t="shared" ca="1" si="60"/>
        <v>0</v>
      </c>
      <c r="K557" s="125">
        <f t="shared" si="61"/>
        <v>0</v>
      </c>
      <c r="L557" s="125">
        <f t="shared" ca="1" si="62"/>
        <v>0</v>
      </c>
      <c r="P557">
        <f t="shared" si="63"/>
        <v>550</v>
      </c>
    </row>
    <row r="558" spans="4:16">
      <c r="D558">
        <v>551</v>
      </c>
      <c r="E558" s="6">
        <f t="shared" ca="1" si="58"/>
        <v>35977</v>
      </c>
      <c r="F558" s="7">
        <f t="shared" ca="1" si="59"/>
        <v>0</v>
      </c>
      <c r="G558" s="125">
        <f ca="1">IF('Simulador - 1º Pilar'!$E$99="Sí",IF('Aportaciones Poliza'!$B$13&lt;'Aportaciones Poliza'!E558,0,F558*$B$8/12),F558*$B$8/12)</f>
        <v>0</v>
      </c>
      <c r="H558" s="125">
        <f t="shared" ca="1" si="57"/>
        <v>0</v>
      </c>
      <c r="I558" s="125"/>
      <c r="J558" s="125">
        <f t="shared" ca="1" si="60"/>
        <v>0</v>
      </c>
      <c r="K558" s="125">
        <f t="shared" si="61"/>
        <v>0</v>
      </c>
      <c r="L558" s="125">
        <f t="shared" ca="1" si="62"/>
        <v>0</v>
      </c>
      <c r="P558">
        <f t="shared" si="63"/>
        <v>551</v>
      </c>
    </row>
    <row r="559" spans="4:16">
      <c r="D559">
        <v>552</v>
      </c>
      <c r="E559" s="6">
        <f t="shared" ca="1" si="58"/>
        <v>35947</v>
      </c>
      <c r="F559" s="7">
        <f t="shared" ca="1" si="59"/>
        <v>0</v>
      </c>
      <c r="G559" s="125">
        <f ca="1">IF('Simulador - 1º Pilar'!$E$99="Sí",IF('Aportaciones Poliza'!$B$13&lt;'Aportaciones Poliza'!E559,0,F559*$B$8/12),F559*$B$8/12)</f>
        <v>0</v>
      </c>
      <c r="H559" s="125">
        <f t="shared" ca="1" si="57"/>
        <v>0</v>
      </c>
      <c r="I559" s="125"/>
      <c r="J559" s="125">
        <f t="shared" ca="1" si="60"/>
        <v>0</v>
      </c>
      <c r="K559" s="125">
        <f t="shared" si="61"/>
        <v>0</v>
      </c>
      <c r="L559" s="125">
        <f t="shared" ca="1" si="62"/>
        <v>0</v>
      </c>
      <c r="P559">
        <f t="shared" si="63"/>
        <v>552</v>
      </c>
    </row>
    <row r="560" spans="4:16">
      <c r="D560">
        <v>553</v>
      </c>
      <c r="E560" s="6">
        <f t="shared" ca="1" si="58"/>
        <v>35916</v>
      </c>
      <c r="F560" s="7">
        <f t="shared" ca="1" si="59"/>
        <v>0</v>
      </c>
      <c r="G560" s="125">
        <f ca="1">IF('Simulador - 1º Pilar'!$E$99="Sí",IF('Aportaciones Poliza'!$B$13&lt;'Aportaciones Poliza'!E560,0,F560*$B$8/12),F560*$B$8/12)</f>
        <v>0</v>
      </c>
      <c r="H560" s="125">
        <f t="shared" ca="1" si="57"/>
        <v>0</v>
      </c>
      <c r="I560" s="125"/>
      <c r="J560" s="125">
        <f t="shared" ca="1" si="60"/>
        <v>0</v>
      </c>
      <c r="K560" s="125">
        <f t="shared" si="61"/>
        <v>0</v>
      </c>
      <c r="L560" s="125">
        <f t="shared" ca="1" si="62"/>
        <v>0</v>
      </c>
      <c r="P560">
        <f t="shared" si="63"/>
        <v>553</v>
      </c>
    </row>
    <row r="561" spans="4:16">
      <c r="D561">
        <v>554</v>
      </c>
      <c r="E561" s="6">
        <f t="shared" ca="1" si="58"/>
        <v>35886</v>
      </c>
      <c r="F561" s="7">
        <f t="shared" ca="1" si="59"/>
        <v>0</v>
      </c>
      <c r="G561" s="125">
        <f ca="1">IF('Simulador - 1º Pilar'!$E$99="Sí",IF('Aportaciones Poliza'!$B$13&lt;'Aportaciones Poliza'!E561,0,F561*$B$8/12),F561*$B$8/12)</f>
        <v>0</v>
      </c>
      <c r="H561" s="125">
        <f t="shared" ca="1" si="57"/>
        <v>0</v>
      </c>
      <c r="I561" s="125"/>
      <c r="J561" s="125">
        <f t="shared" ca="1" si="60"/>
        <v>0</v>
      </c>
      <c r="K561" s="125">
        <f t="shared" si="61"/>
        <v>0</v>
      </c>
      <c r="L561" s="125">
        <f t="shared" ca="1" si="62"/>
        <v>0</v>
      </c>
      <c r="P561">
        <f t="shared" si="63"/>
        <v>554</v>
      </c>
    </row>
    <row r="562" spans="4:16">
      <c r="D562">
        <v>555</v>
      </c>
      <c r="E562" s="6">
        <f t="shared" ca="1" si="58"/>
        <v>35855</v>
      </c>
      <c r="F562" s="7">
        <f t="shared" ca="1" si="59"/>
        <v>0</v>
      </c>
      <c r="G562" s="125">
        <f ca="1">IF('Simulador - 1º Pilar'!$E$99="Sí",IF('Aportaciones Poliza'!$B$13&lt;'Aportaciones Poliza'!E562,0,F562*$B$8/12),F562*$B$8/12)</f>
        <v>0</v>
      </c>
      <c r="H562" s="125">
        <f t="shared" ca="1" si="57"/>
        <v>0</v>
      </c>
      <c r="I562" s="125"/>
      <c r="J562" s="125">
        <f t="shared" ca="1" si="60"/>
        <v>0</v>
      </c>
      <c r="K562" s="125">
        <f t="shared" si="61"/>
        <v>0</v>
      </c>
      <c r="L562" s="125">
        <f t="shared" ca="1" si="62"/>
        <v>0</v>
      </c>
      <c r="P562">
        <f t="shared" si="63"/>
        <v>555</v>
      </c>
    </row>
    <row r="563" spans="4:16">
      <c r="D563">
        <v>556</v>
      </c>
      <c r="E563" s="6">
        <f t="shared" ca="1" si="58"/>
        <v>35827</v>
      </c>
      <c r="F563" s="7">
        <f t="shared" ca="1" si="59"/>
        <v>0</v>
      </c>
      <c r="G563" s="125">
        <f ca="1">IF('Simulador - 1º Pilar'!$E$99="Sí",IF('Aportaciones Poliza'!$B$13&lt;'Aportaciones Poliza'!E563,0,F563*$B$8/12),F563*$B$8/12)</f>
        <v>0</v>
      </c>
      <c r="H563" s="125">
        <f t="shared" ca="1" si="57"/>
        <v>0</v>
      </c>
      <c r="I563" s="125"/>
      <c r="J563" s="125">
        <f t="shared" ca="1" si="60"/>
        <v>0</v>
      </c>
      <c r="K563" s="125">
        <f t="shared" si="61"/>
        <v>0</v>
      </c>
      <c r="L563" s="125">
        <f t="shared" ca="1" si="62"/>
        <v>0</v>
      </c>
      <c r="P563">
        <f t="shared" si="63"/>
        <v>556</v>
      </c>
    </row>
    <row r="564" spans="4:16">
      <c r="D564">
        <v>557</v>
      </c>
      <c r="E564" s="6">
        <f t="shared" ca="1" si="58"/>
        <v>35796</v>
      </c>
      <c r="F564" s="7">
        <f t="shared" ca="1" si="59"/>
        <v>0</v>
      </c>
      <c r="G564" s="125">
        <f ca="1">IF('Simulador - 1º Pilar'!$E$99="Sí",IF('Aportaciones Poliza'!$B$13&lt;'Aportaciones Poliza'!E564,0,F564*$B$8/12),F564*$B$8/12)</f>
        <v>0</v>
      </c>
      <c r="H564" s="125">
        <f t="shared" ca="1" si="57"/>
        <v>0</v>
      </c>
      <c r="I564" s="125"/>
      <c r="J564" s="125">
        <f t="shared" ca="1" si="60"/>
        <v>0</v>
      </c>
      <c r="K564" s="125">
        <f t="shared" si="61"/>
        <v>0</v>
      </c>
      <c r="L564" s="125">
        <f t="shared" ca="1" si="62"/>
        <v>0</v>
      </c>
      <c r="P564">
        <f t="shared" si="63"/>
        <v>557</v>
      </c>
    </row>
    <row r="565" spans="4:16">
      <c r="D565">
        <v>558</v>
      </c>
      <c r="E565" s="6">
        <f t="shared" ca="1" si="58"/>
        <v>35765</v>
      </c>
      <c r="F565" s="7">
        <f t="shared" ca="1" si="59"/>
        <v>0</v>
      </c>
      <c r="G565" s="125">
        <f ca="1">IF('Simulador - 1º Pilar'!$E$99="Sí",IF('Aportaciones Poliza'!$B$13&lt;'Aportaciones Poliza'!E565,0,F565*$B$8/12),F565*$B$8/12)</f>
        <v>0</v>
      </c>
      <c r="H565" s="125">
        <f t="shared" ca="1" si="57"/>
        <v>0</v>
      </c>
      <c r="I565" s="125"/>
      <c r="J565" s="125">
        <f t="shared" ca="1" si="60"/>
        <v>0</v>
      </c>
      <c r="K565" s="125">
        <f t="shared" si="61"/>
        <v>0</v>
      </c>
      <c r="L565" s="125">
        <f t="shared" ca="1" si="62"/>
        <v>0</v>
      </c>
      <c r="P565">
        <f t="shared" si="63"/>
        <v>558</v>
      </c>
    </row>
    <row r="566" spans="4:16">
      <c r="D566">
        <v>559</v>
      </c>
      <c r="E566" s="6">
        <f t="shared" ca="1" si="58"/>
        <v>35735</v>
      </c>
      <c r="F566" s="7">
        <f t="shared" ca="1" si="59"/>
        <v>0</v>
      </c>
      <c r="G566" s="125">
        <f ca="1">IF('Simulador - 1º Pilar'!$E$99="Sí",IF('Aportaciones Poliza'!$B$13&lt;'Aportaciones Poliza'!E566,0,F566*$B$8/12),F566*$B$8/12)</f>
        <v>0</v>
      </c>
      <c r="H566" s="125">
        <f t="shared" ca="1" si="57"/>
        <v>0</v>
      </c>
      <c r="I566" s="125"/>
      <c r="J566" s="125">
        <f t="shared" ca="1" si="60"/>
        <v>0</v>
      </c>
      <c r="K566" s="125">
        <f t="shared" si="61"/>
        <v>0</v>
      </c>
      <c r="L566" s="125">
        <f t="shared" ca="1" si="62"/>
        <v>0</v>
      </c>
      <c r="P566">
        <f t="shared" si="63"/>
        <v>559</v>
      </c>
    </row>
    <row r="567" spans="4:16">
      <c r="D567">
        <v>560</v>
      </c>
      <c r="E567" s="6">
        <f t="shared" ca="1" si="58"/>
        <v>35704</v>
      </c>
      <c r="F567" s="7">
        <f t="shared" ca="1" si="59"/>
        <v>0</v>
      </c>
      <c r="G567" s="125">
        <f ca="1">IF('Simulador - 1º Pilar'!$E$99="Sí",IF('Aportaciones Poliza'!$B$13&lt;'Aportaciones Poliza'!E567,0,F567*$B$8/12),F567*$B$8/12)</f>
        <v>0</v>
      </c>
      <c r="H567" s="125">
        <f t="shared" ca="1" si="57"/>
        <v>0</v>
      </c>
      <c r="I567" s="125"/>
      <c r="J567" s="125">
        <f t="shared" ca="1" si="60"/>
        <v>0</v>
      </c>
      <c r="K567" s="125">
        <f t="shared" si="61"/>
        <v>0</v>
      </c>
      <c r="L567" s="125">
        <f t="shared" ca="1" si="62"/>
        <v>0</v>
      </c>
      <c r="P567">
        <f t="shared" si="63"/>
        <v>560</v>
      </c>
    </row>
    <row r="568" spans="4:16">
      <c r="D568">
        <v>561</v>
      </c>
      <c r="E568" s="6">
        <f t="shared" ca="1" si="58"/>
        <v>35674</v>
      </c>
      <c r="F568" s="7">
        <f t="shared" ca="1" si="59"/>
        <v>0</v>
      </c>
      <c r="G568" s="125">
        <f ca="1">IF('Simulador - 1º Pilar'!$E$99="Sí",IF('Aportaciones Poliza'!$B$13&lt;'Aportaciones Poliza'!E568,0,F568*$B$8/12),F568*$B$8/12)</f>
        <v>0</v>
      </c>
      <c r="H568" s="125">
        <f t="shared" ca="1" si="57"/>
        <v>0</v>
      </c>
      <c r="I568" s="125"/>
      <c r="J568" s="125">
        <f t="shared" ca="1" si="60"/>
        <v>0</v>
      </c>
      <c r="K568" s="125">
        <f t="shared" si="61"/>
        <v>0</v>
      </c>
      <c r="L568" s="125">
        <f t="shared" ca="1" si="62"/>
        <v>0</v>
      </c>
      <c r="P568">
        <f t="shared" si="63"/>
        <v>561</v>
      </c>
    </row>
    <row r="569" spans="4:16">
      <c r="D569">
        <v>562</v>
      </c>
      <c r="E569" s="6">
        <f t="shared" ca="1" si="58"/>
        <v>35643</v>
      </c>
      <c r="F569" s="7">
        <f t="shared" ca="1" si="59"/>
        <v>0</v>
      </c>
      <c r="G569" s="125">
        <f ca="1">IF('Simulador - 1º Pilar'!$E$99="Sí",IF('Aportaciones Poliza'!$B$13&lt;'Aportaciones Poliza'!E569,0,F569*$B$8/12),F569*$B$8/12)</f>
        <v>0</v>
      </c>
      <c r="H569" s="125">
        <f t="shared" ca="1" si="57"/>
        <v>0</v>
      </c>
      <c r="I569" s="125"/>
      <c r="J569" s="125">
        <f t="shared" ca="1" si="60"/>
        <v>0</v>
      </c>
      <c r="K569" s="125">
        <f t="shared" si="61"/>
        <v>0</v>
      </c>
      <c r="L569" s="125">
        <f t="shared" ca="1" si="62"/>
        <v>0</v>
      </c>
      <c r="P569">
        <f t="shared" si="63"/>
        <v>562</v>
      </c>
    </row>
    <row r="570" spans="4:16">
      <c r="D570">
        <v>563</v>
      </c>
      <c r="E570" s="6">
        <f t="shared" ca="1" si="58"/>
        <v>35612</v>
      </c>
      <c r="F570" s="7">
        <f t="shared" ca="1" si="59"/>
        <v>0</v>
      </c>
      <c r="G570" s="125">
        <f ca="1">IF('Simulador - 1º Pilar'!$E$99="Sí",IF('Aportaciones Poliza'!$B$13&lt;'Aportaciones Poliza'!E570,0,F570*$B$8/12),F570*$B$8/12)</f>
        <v>0</v>
      </c>
      <c r="H570" s="125">
        <f t="shared" ca="1" si="57"/>
        <v>0</v>
      </c>
      <c r="I570" s="125"/>
      <c r="J570" s="125">
        <f t="shared" ca="1" si="60"/>
        <v>0</v>
      </c>
      <c r="K570" s="125">
        <f t="shared" si="61"/>
        <v>0</v>
      </c>
      <c r="L570" s="125">
        <f t="shared" ca="1" si="62"/>
        <v>0</v>
      </c>
      <c r="P570">
        <f t="shared" si="63"/>
        <v>563</v>
      </c>
    </row>
    <row r="571" spans="4:16">
      <c r="D571">
        <v>564</v>
      </c>
      <c r="E571" s="6">
        <f t="shared" ca="1" si="58"/>
        <v>35582</v>
      </c>
      <c r="F571" s="7">
        <f t="shared" ca="1" si="59"/>
        <v>0</v>
      </c>
      <c r="G571" s="125">
        <f ca="1">IF('Simulador - 1º Pilar'!$E$99="Sí",IF('Aportaciones Poliza'!$B$13&lt;'Aportaciones Poliza'!E571,0,F571*$B$8/12),F571*$B$8/12)</f>
        <v>0</v>
      </c>
      <c r="H571" s="125">
        <f t="shared" ca="1" si="57"/>
        <v>0</v>
      </c>
      <c r="I571" s="125"/>
      <c r="J571" s="125">
        <f t="shared" ca="1" si="60"/>
        <v>0</v>
      </c>
      <c r="K571" s="125">
        <f t="shared" si="61"/>
        <v>0</v>
      </c>
      <c r="L571" s="125">
        <f t="shared" ca="1" si="62"/>
        <v>0</v>
      </c>
      <c r="P571">
        <f t="shared" si="63"/>
        <v>564</v>
      </c>
    </row>
    <row r="572" spans="4:16">
      <c r="D572">
        <v>565</v>
      </c>
      <c r="E572" s="6">
        <f t="shared" ca="1" si="58"/>
        <v>35551</v>
      </c>
      <c r="F572" s="7">
        <f t="shared" ca="1" si="59"/>
        <v>0</v>
      </c>
      <c r="G572" s="125">
        <f ca="1">IF('Simulador - 1º Pilar'!$E$99="Sí",IF('Aportaciones Poliza'!$B$13&lt;'Aportaciones Poliza'!E572,0,F572*$B$8/12),F572*$B$8/12)</f>
        <v>0</v>
      </c>
      <c r="H572" s="125">
        <f t="shared" ca="1" si="57"/>
        <v>0</v>
      </c>
      <c r="I572" s="125"/>
      <c r="J572" s="125">
        <f t="shared" ca="1" si="60"/>
        <v>0</v>
      </c>
      <c r="K572" s="125">
        <f t="shared" si="61"/>
        <v>0</v>
      </c>
      <c r="L572" s="125">
        <f t="shared" ca="1" si="62"/>
        <v>0</v>
      </c>
      <c r="P572">
        <f t="shared" si="63"/>
        <v>565</v>
      </c>
    </row>
    <row r="573" spans="4:16">
      <c r="D573">
        <v>566</v>
      </c>
      <c r="E573" s="6">
        <f t="shared" ca="1" si="58"/>
        <v>35521</v>
      </c>
      <c r="F573" s="7">
        <f t="shared" ca="1" si="59"/>
        <v>0</v>
      </c>
      <c r="G573" s="125">
        <f ca="1">IF('Simulador - 1º Pilar'!$E$99="Sí",IF('Aportaciones Poliza'!$B$13&lt;'Aportaciones Poliza'!E573,0,F573*$B$8/12),F573*$B$8/12)</f>
        <v>0</v>
      </c>
      <c r="H573" s="125">
        <f t="shared" ca="1" si="57"/>
        <v>0</v>
      </c>
      <c r="I573" s="125"/>
      <c r="J573" s="125">
        <f t="shared" ca="1" si="60"/>
        <v>0</v>
      </c>
      <c r="K573" s="125">
        <f t="shared" si="61"/>
        <v>0</v>
      </c>
      <c r="L573" s="125">
        <f t="shared" ca="1" si="62"/>
        <v>0</v>
      </c>
      <c r="P573">
        <f t="shared" si="63"/>
        <v>566</v>
      </c>
    </row>
    <row r="574" spans="4:16">
      <c r="D574">
        <v>567</v>
      </c>
      <c r="E574" s="6">
        <f t="shared" ca="1" si="58"/>
        <v>35490</v>
      </c>
      <c r="F574" s="7">
        <f t="shared" ca="1" si="59"/>
        <v>0</v>
      </c>
      <c r="G574" s="125">
        <f ca="1">IF('Simulador - 1º Pilar'!$E$99="Sí",IF('Aportaciones Poliza'!$B$13&lt;'Aportaciones Poliza'!E574,0,F574*$B$8/12),F574*$B$8/12)</f>
        <v>0</v>
      </c>
      <c r="H574" s="125">
        <f t="shared" ca="1" si="57"/>
        <v>0</v>
      </c>
      <c r="I574" s="125"/>
      <c r="J574" s="125">
        <f t="shared" ca="1" si="60"/>
        <v>0</v>
      </c>
      <c r="K574" s="125">
        <f t="shared" si="61"/>
        <v>0</v>
      </c>
      <c r="L574" s="125">
        <f t="shared" ca="1" si="62"/>
        <v>0</v>
      </c>
      <c r="P574">
        <f t="shared" si="63"/>
        <v>567</v>
      </c>
    </row>
    <row r="575" spans="4:16">
      <c r="D575">
        <v>568</v>
      </c>
      <c r="E575" s="6">
        <f t="shared" ca="1" si="58"/>
        <v>35462</v>
      </c>
      <c r="F575" s="7">
        <f t="shared" ca="1" si="59"/>
        <v>0</v>
      </c>
      <c r="G575" s="125">
        <f ca="1">IF('Simulador - 1º Pilar'!$E$99="Sí",IF('Aportaciones Poliza'!$B$13&lt;'Aportaciones Poliza'!E575,0,F575*$B$8/12),F575*$B$8/12)</f>
        <v>0</v>
      </c>
      <c r="H575" s="125">
        <f t="shared" ca="1" si="57"/>
        <v>0</v>
      </c>
      <c r="I575" s="125"/>
      <c r="J575" s="125">
        <f t="shared" ca="1" si="60"/>
        <v>0</v>
      </c>
      <c r="K575" s="125">
        <f t="shared" si="61"/>
        <v>0</v>
      </c>
      <c r="L575" s="125">
        <f t="shared" ca="1" si="62"/>
        <v>0</v>
      </c>
      <c r="P575">
        <f t="shared" si="63"/>
        <v>568</v>
      </c>
    </row>
    <row r="576" spans="4:16">
      <c r="D576">
        <v>569</v>
      </c>
      <c r="E576" s="6">
        <f t="shared" ca="1" si="58"/>
        <v>35431</v>
      </c>
      <c r="F576" s="7">
        <f t="shared" ca="1" si="59"/>
        <v>0</v>
      </c>
      <c r="G576" s="125">
        <f ca="1">IF('Simulador - 1º Pilar'!$E$99="Sí",IF('Aportaciones Poliza'!$B$13&lt;'Aportaciones Poliza'!E576,0,F576*$B$8/12),F576*$B$8/12)</f>
        <v>0</v>
      </c>
      <c r="H576" s="125">
        <f t="shared" ca="1" si="57"/>
        <v>0</v>
      </c>
      <c r="I576" s="125"/>
      <c r="J576" s="125">
        <f t="shared" ca="1" si="60"/>
        <v>0</v>
      </c>
      <c r="K576" s="125">
        <f t="shared" si="61"/>
        <v>0</v>
      </c>
      <c r="L576" s="125">
        <f t="shared" ca="1" si="62"/>
        <v>0</v>
      </c>
      <c r="P576">
        <f t="shared" si="63"/>
        <v>569</v>
      </c>
    </row>
    <row r="577" spans="4:16">
      <c r="D577">
        <v>570</v>
      </c>
      <c r="E577" s="6">
        <f t="shared" ca="1" si="58"/>
        <v>35400</v>
      </c>
      <c r="F577" s="7">
        <f t="shared" ca="1" si="59"/>
        <v>0</v>
      </c>
      <c r="G577" s="125">
        <f ca="1">IF('Simulador - 1º Pilar'!$E$99="Sí",IF('Aportaciones Poliza'!$B$13&lt;'Aportaciones Poliza'!E577,0,F577*$B$8/12),F577*$B$8/12)</f>
        <v>0</v>
      </c>
      <c r="H577" s="125">
        <f t="shared" ca="1" si="57"/>
        <v>0</v>
      </c>
      <c r="I577" s="125"/>
      <c r="J577" s="125">
        <f t="shared" ca="1" si="60"/>
        <v>0</v>
      </c>
      <c r="K577" s="125">
        <f t="shared" si="61"/>
        <v>0</v>
      </c>
      <c r="L577" s="125">
        <f t="shared" ca="1" si="62"/>
        <v>0</v>
      </c>
      <c r="P577">
        <f t="shared" si="63"/>
        <v>570</v>
      </c>
    </row>
    <row r="578" spans="4:16">
      <c r="D578">
        <v>571</v>
      </c>
      <c r="E578" s="6">
        <f t="shared" ca="1" si="58"/>
        <v>35370</v>
      </c>
      <c r="F578" s="7">
        <f t="shared" ca="1" si="59"/>
        <v>0</v>
      </c>
      <c r="G578" s="125">
        <f ca="1">IF('Simulador - 1º Pilar'!$E$99="Sí",IF('Aportaciones Poliza'!$B$13&lt;'Aportaciones Poliza'!E578,0,F578*$B$8/12),F578*$B$8/12)</f>
        <v>0</v>
      </c>
      <c r="H578" s="125">
        <f t="shared" ca="1" si="57"/>
        <v>0</v>
      </c>
      <c r="I578" s="125"/>
      <c r="J578" s="125">
        <f t="shared" ca="1" si="60"/>
        <v>0</v>
      </c>
      <c r="K578" s="125">
        <f t="shared" si="61"/>
        <v>0</v>
      </c>
      <c r="L578" s="125">
        <f t="shared" ca="1" si="62"/>
        <v>0</v>
      </c>
      <c r="P578">
        <f t="shared" si="63"/>
        <v>571</v>
      </c>
    </row>
    <row r="579" spans="4:16">
      <c r="D579">
        <v>572</v>
      </c>
      <c r="E579" s="6">
        <f t="shared" ca="1" si="58"/>
        <v>35339</v>
      </c>
      <c r="F579" s="7">
        <f t="shared" ca="1" si="59"/>
        <v>0</v>
      </c>
      <c r="G579" s="125">
        <f ca="1">IF('Simulador - 1º Pilar'!$E$99="Sí",IF('Aportaciones Poliza'!$B$13&lt;'Aportaciones Poliza'!E579,0,F579*$B$8/12),F579*$B$8/12)</f>
        <v>0</v>
      </c>
      <c r="H579" s="125">
        <f t="shared" ca="1" si="57"/>
        <v>0</v>
      </c>
      <c r="I579" s="125"/>
      <c r="J579" s="125">
        <f t="shared" ca="1" si="60"/>
        <v>0</v>
      </c>
      <c r="K579" s="125">
        <f t="shared" si="61"/>
        <v>0</v>
      </c>
      <c r="L579" s="125">
        <f t="shared" ca="1" si="62"/>
        <v>0</v>
      </c>
      <c r="P579">
        <f t="shared" si="63"/>
        <v>572</v>
      </c>
    </row>
    <row r="580" spans="4:16">
      <c r="D580">
        <v>573</v>
      </c>
      <c r="E580" s="6">
        <f t="shared" ca="1" si="58"/>
        <v>35309</v>
      </c>
      <c r="F580" s="7">
        <f t="shared" ca="1" si="59"/>
        <v>0</v>
      </c>
      <c r="G580" s="125">
        <f ca="1">IF('Simulador - 1º Pilar'!$E$99="Sí",IF('Aportaciones Poliza'!$B$13&lt;'Aportaciones Poliza'!E580,0,F580*$B$8/12),F580*$B$8/12)</f>
        <v>0</v>
      </c>
      <c r="H580" s="125">
        <f t="shared" ca="1" si="57"/>
        <v>0</v>
      </c>
      <c r="I580" s="125"/>
      <c r="J580" s="125">
        <f t="shared" ca="1" si="60"/>
        <v>0</v>
      </c>
      <c r="K580" s="125">
        <f t="shared" si="61"/>
        <v>0</v>
      </c>
      <c r="L580" s="125">
        <f t="shared" ca="1" si="62"/>
        <v>0</v>
      </c>
      <c r="P580">
        <f t="shared" si="63"/>
        <v>573</v>
      </c>
    </row>
    <row r="581" spans="4:16">
      <c r="D581">
        <v>574</v>
      </c>
      <c r="E581" s="6">
        <f t="shared" ca="1" si="58"/>
        <v>35278</v>
      </c>
      <c r="F581" s="7">
        <f t="shared" ca="1" si="59"/>
        <v>0</v>
      </c>
      <c r="G581" s="125">
        <f ca="1">IF('Simulador - 1º Pilar'!$E$99="Sí",IF('Aportaciones Poliza'!$B$13&lt;'Aportaciones Poliza'!E581,0,F581*$B$8/12),F581*$B$8/12)</f>
        <v>0</v>
      </c>
      <c r="H581" s="125">
        <f t="shared" ca="1" si="57"/>
        <v>0</v>
      </c>
      <c r="I581" s="125"/>
      <c r="J581" s="125">
        <f t="shared" ca="1" si="60"/>
        <v>0</v>
      </c>
      <c r="K581" s="125">
        <f t="shared" si="61"/>
        <v>0</v>
      </c>
      <c r="L581" s="125">
        <f t="shared" ca="1" si="62"/>
        <v>0</v>
      </c>
      <c r="P581">
        <f t="shared" si="63"/>
        <v>574</v>
      </c>
    </row>
    <row r="582" spans="4:16">
      <c r="D582">
        <v>575</v>
      </c>
      <c r="E582" s="6">
        <f t="shared" ca="1" si="58"/>
        <v>35247</v>
      </c>
      <c r="F582" s="7">
        <f t="shared" ca="1" si="59"/>
        <v>0</v>
      </c>
      <c r="G582" s="125">
        <f ca="1">IF('Simulador - 1º Pilar'!$E$99="Sí",IF('Aportaciones Poliza'!$B$13&lt;'Aportaciones Poliza'!E582,0,F582*$B$8/12),F582*$B$8/12)</f>
        <v>0</v>
      </c>
      <c r="H582" s="125">
        <f t="shared" ca="1" si="57"/>
        <v>0</v>
      </c>
      <c r="I582" s="125"/>
      <c r="J582" s="125">
        <f t="shared" ca="1" si="60"/>
        <v>0</v>
      </c>
      <c r="K582" s="125">
        <f t="shared" si="61"/>
        <v>0</v>
      </c>
      <c r="L582" s="125">
        <f t="shared" ca="1" si="62"/>
        <v>0</v>
      </c>
      <c r="P582">
        <f t="shared" si="63"/>
        <v>575</v>
      </c>
    </row>
    <row r="583" spans="4:16">
      <c r="D583">
        <v>576</v>
      </c>
      <c r="E583" s="6">
        <f t="shared" ca="1" si="58"/>
        <v>35217</v>
      </c>
      <c r="F583" s="7">
        <f t="shared" ca="1" si="59"/>
        <v>0</v>
      </c>
      <c r="G583" s="125">
        <f ca="1">IF('Simulador - 1º Pilar'!$E$99="Sí",IF('Aportaciones Poliza'!$B$13&lt;'Aportaciones Poliza'!E583,0,F583*$B$8/12),F583*$B$8/12)</f>
        <v>0</v>
      </c>
      <c r="H583" s="125">
        <f t="shared" ref="H583:H646" ca="1" si="64">$H$5*G583</f>
        <v>0</v>
      </c>
      <c r="I583" s="125"/>
      <c r="J583" s="125">
        <f t="shared" ca="1" si="60"/>
        <v>0</v>
      </c>
      <c r="K583" s="125">
        <f t="shared" si="61"/>
        <v>0</v>
      </c>
      <c r="L583" s="125">
        <f t="shared" ca="1" si="62"/>
        <v>0</v>
      </c>
      <c r="P583">
        <f t="shared" si="63"/>
        <v>576</v>
      </c>
    </row>
    <row r="584" spans="4:16">
      <c r="D584">
        <v>577</v>
      </c>
      <c r="E584" s="6">
        <f t="shared" ref="E584:E647" ca="1" si="65">+DATE(YEAR(E583),MONTH(E583)-1,DAY(E583))</f>
        <v>35186</v>
      </c>
      <c r="F584" s="7">
        <f t="shared" ref="F584:F647" ca="1" si="66">IF(DATE(YEAR($B$6),MONTH($B$6)+1,DAY(1))=E584,1,IF(MONTH(E584)=1,F585*(1+$F$5),F585))</f>
        <v>0</v>
      </c>
      <c r="G584" s="125">
        <f ca="1">IF('Simulador - 1º Pilar'!$E$99="Sí",IF('Aportaciones Poliza'!$B$13&lt;'Aportaciones Poliza'!E584,0,F584*$B$8/12),F584*$B$8/12)</f>
        <v>0</v>
      </c>
      <c r="H584" s="125">
        <f t="shared" ca="1" si="64"/>
        <v>0</v>
      </c>
      <c r="I584" s="125"/>
      <c r="J584" s="125">
        <f t="shared" ref="J584:J647" ca="1" si="67">(1+$M$5)^(D584/12)*(H584+IF(AND(F584=1,F585=0),$Q$4,0))</f>
        <v>0</v>
      </c>
      <c r="K584" s="125">
        <f t="shared" ref="K584:K647" si="68">(1+$M$5)^(D584/12)*(I584)</f>
        <v>0</v>
      </c>
      <c r="L584" s="125">
        <f t="shared" ref="L584:L647" ca="1" si="69">K584+J584</f>
        <v>0</v>
      </c>
      <c r="P584">
        <f t="shared" si="63"/>
        <v>577</v>
      </c>
    </row>
    <row r="585" spans="4:16">
      <c r="D585">
        <v>578</v>
      </c>
      <c r="E585" s="6">
        <f t="shared" ca="1" si="65"/>
        <v>35156</v>
      </c>
      <c r="F585" s="7">
        <f t="shared" ca="1" si="66"/>
        <v>0</v>
      </c>
      <c r="G585" s="125">
        <f ca="1">IF('Simulador - 1º Pilar'!$E$99="Sí",IF('Aportaciones Poliza'!$B$13&lt;'Aportaciones Poliza'!E585,0,F585*$B$8/12),F585*$B$8/12)</f>
        <v>0</v>
      </c>
      <c r="H585" s="125">
        <f t="shared" ca="1" si="64"/>
        <v>0</v>
      </c>
      <c r="I585" s="125"/>
      <c r="J585" s="125">
        <f t="shared" ca="1" si="67"/>
        <v>0</v>
      </c>
      <c r="K585" s="125">
        <f t="shared" si="68"/>
        <v>0</v>
      </c>
      <c r="L585" s="125">
        <f t="shared" ca="1" si="69"/>
        <v>0</v>
      </c>
      <c r="P585">
        <f t="shared" ref="P585:P648" si="70">D585</f>
        <v>578</v>
      </c>
    </row>
    <row r="586" spans="4:16">
      <c r="D586">
        <v>579</v>
      </c>
      <c r="E586" s="6">
        <f t="shared" ca="1" si="65"/>
        <v>35125</v>
      </c>
      <c r="F586" s="7">
        <f t="shared" ca="1" si="66"/>
        <v>0</v>
      </c>
      <c r="G586" s="125">
        <f ca="1">IF('Simulador - 1º Pilar'!$E$99="Sí",IF('Aportaciones Poliza'!$B$13&lt;'Aportaciones Poliza'!E586,0,F586*$B$8/12),F586*$B$8/12)</f>
        <v>0</v>
      </c>
      <c r="H586" s="125">
        <f t="shared" ca="1" si="64"/>
        <v>0</v>
      </c>
      <c r="I586" s="125"/>
      <c r="J586" s="125">
        <f t="shared" ca="1" si="67"/>
        <v>0</v>
      </c>
      <c r="K586" s="125">
        <f t="shared" si="68"/>
        <v>0</v>
      </c>
      <c r="L586" s="125">
        <f t="shared" ca="1" si="69"/>
        <v>0</v>
      </c>
      <c r="P586">
        <f t="shared" si="70"/>
        <v>579</v>
      </c>
    </row>
    <row r="587" spans="4:16">
      <c r="D587">
        <v>580</v>
      </c>
      <c r="E587" s="6">
        <f t="shared" ca="1" si="65"/>
        <v>35096</v>
      </c>
      <c r="F587" s="7">
        <f t="shared" ca="1" si="66"/>
        <v>0</v>
      </c>
      <c r="G587" s="125">
        <f ca="1">IF('Simulador - 1º Pilar'!$E$99="Sí",IF('Aportaciones Poliza'!$B$13&lt;'Aportaciones Poliza'!E587,0,F587*$B$8/12),F587*$B$8/12)</f>
        <v>0</v>
      </c>
      <c r="H587" s="125">
        <f t="shared" ca="1" si="64"/>
        <v>0</v>
      </c>
      <c r="I587" s="125"/>
      <c r="J587" s="125">
        <f t="shared" ca="1" si="67"/>
        <v>0</v>
      </c>
      <c r="K587" s="125">
        <f t="shared" si="68"/>
        <v>0</v>
      </c>
      <c r="L587" s="125">
        <f t="shared" ca="1" si="69"/>
        <v>0</v>
      </c>
      <c r="P587">
        <f t="shared" si="70"/>
        <v>580</v>
      </c>
    </row>
    <row r="588" spans="4:16">
      <c r="D588">
        <v>581</v>
      </c>
      <c r="E588" s="6">
        <f t="shared" ca="1" si="65"/>
        <v>35065</v>
      </c>
      <c r="F588" s="7">
        <f t="shared" ca="1" si="66"/>
        <v>0</v>
      </c>
      <c r="G588" s="125">
        <f ca="1">IF('Simulador - 1º Pilar'!$E$99="Sí",IF('Aportaciones Poliza'!$B$13&lt;'Aportaciones Poliza'!E588,0,F588*$B$8/12),F588*$B$8/12)</f>
        <v>0</v>
      </c>
      <c r="H588" s="125">
        <f t="shared" ca="1" si="64"/>
        <v>0</v>
      </c>
      <c r="I588" s="125"/>
      <c r="J588" s="125">
        <f t="shared" ca="1" si="67"/>
        <v>0</v>
      </c>
      <c r="K588" s="125">
        <f t="shared" si="68"/>
        <v>0</v>
      </c>
      <c r="L588" s="125">
        <f t="shared" ca="1" si="69"/>
        <v>0</v>
      </c>
      <c r="P588">
        <f t="shared" si="70"/>
        <v>581</v>
      </c>
    </row>
    <row r="589" spans="4:16">
      <c r="D589">
        <v>582</v>
      </c>
      <c r="E589" s="6">
        <f t="shared" ca="1" si="65"/>
        <v>35034</v>
      </c>
      <c r="F589" s="7">
        <f t="shared" ca="1" si="66"/>
        <v>0</v>
      </c>
      <c r="G589" s="125">
        <f ca="1">IF('Simulador - 1º Pilar'!$E$99="Sí",IF('Aportaciones Poliza'!$B$13&lt;'Aportaciones Poliza'!E589,0,F589*$B$8/12),F589*$B$8/12)</f>
        <v>0</v>
      </c>
      <c r="H589" s="125">
        <f t="shared" ca="1" si="64"/>
        <v>0</v>
      </c>
      <c r="I589" s="125"/>
      <c r="J589" s="125">
        <f t="shared" ca="1" si="67"/>
        <v>0</v>
      </c>
      <c r="K589" s="125">
        <f t="shared" si="68"/>
        <v>0</v>
      </c>
      <c r="L589" s="125">
        <f t="shared" ca="1" si="69"/>
        <v>0</v>
      </c>
      <c r="P589">
        <f t="shared" si="70"/>
        <v>582</v>
      </c>
    </row>
    <row r="590" spans="4:16">
      <c r="D590">
        <v>583</v>
      </c>
      <c r="E590" s="6">
        <f t="shared" ca="1" si="65"/>
        <v>35004</v>
      </c>
      <c r="F590" s="7">
        <f t="shared" ca="1" si="66"/>
        <v>0</v>
      </c>
      <c r="G590" s="125">
        <f ca="1">IF('Simulador - 1º Pilar'!$E$99="Sí",IF('Aportaciones Poliza'!$B$13&lt;'Aportaciones Poliza'!E590,0,F590*$B$8/12),F590*$B$8/12)</f>
        <v>0</v>
      </c>
      <c r="H590" s="125">
        <f t="shared" ca="1" si="64"/>
        <v>0</v>
      </c>
      <c r="I590" s="125"/>
      <c r="J590" s="125">
        <f t="shared" ca="1" si="67"/>
        <v>0</v>
      </c>
      <c r="K590" s="125">
        <f t="shared" si="68"/>
        <v>0</v>
      </c>
      <c r="L590" s="125">
        <f t="shared" ca="1" si="69"/>
        <v>0</v>
      </c>
      <c r="P590">
        <f t="shared" si="70"/>
        <v>583</v>
      </c>
    </row>
    <row r="591" spans="4:16">
      <c r="D591">
        <v>584</v>
      </c>
      <c r="E591" s="6">
        <f t="shared" ca="1" si="65"/>
        <v>34973</v>
      </c>
      <c r="F591" s="7">
        <f t="shared" ca="1" si="66"/>
        <v>0</v>
      </c>
      <c r="G591" s="125">
        <f ca="1">IF('Simulador - 1º Pilar'!$E$99="Sí",IF('Aportaciones Poliza'!$B$13&lt;'Aportaciones Poliza'!E591,0,F591*$B$8/12),F591*$B$8/12)</f>
        <v>0</v>
      </c>
      <c r="H591" s="125">
        <f t="shared" ca="1" si="64"/>
        <v>0</v>
      </c>
      <c r="I591" s="125"/>
      <c r="J591" s="125">
        <f t="shared" ca="1" si="67"/>
        <v>0</v>
      </c>
      <c r="K591" s="125">
        <f t="shared" si="68"/>
        <v>0</v>
      </c>
      <c r="L591" s="125">
        <f t="shared" ca="1" si="69"/>
        <v>0</v>
      </c>
      <c r="P591">
        <f t="shared" si="70"/>
        <v>584</v>
      </c>
    </row>
    <row r="592" spans="4:16">
      <c r="D592">
        <v>585</v>
      </c>
      <c r="E592" s="6">
        <f t="shared" ca="1" si="65"/>
        <v>34943</v>
      </c>
      <c r="F592" s="7">
        <f t="shared" ca="1" si="66"/>
        <v>0</v>
      </c>
      <c r="G592" s="125">
        <f ca="1">IF('Simulador - 1º Pilar'!$E$99="Sí",IF('Aportaciones Poliza'!$B$13&lt;'Aportaciones Poliza'!E592,0,F592*$B$8/12),F592*$B$8/12)</f>
        <v>0</v>
      </c>
      <c r="H592" s="125">
        <f t="shared" ca="1" si="64"/>
        <v>0</v>
      </c>
      <c r="I592" s="125"/>
      <c r="J592" s="125">
        <f t="shared" ca="1" si="67"/>
        <v>0</v>
      </c>
      <c r="K592" s="125">
        <f t="shared" si="68"/>
        <v>0</v>
      </c>
      <c r="L592" s="125">
        <f t="shared" ca="1" si="69"/>
        <v>0</v>
      </c>
      <c r="P592">
        <f t="shared" si="70"/>
        <v>585</v>
      </c>
    </row>
    <row r="593" spans="4:16">
      <c r="D593">
        <v>586</v>
      </c>
      <c r="E593" s="6">
        <f t="shared" ca="1" si="65"/>
        <v>34912</v>
      </c>
      <c r="F593" s="7">
        <f t="shared" ca="1" si="66"/>
        <v>0</v>
      </c>
      <c r="G593" s="125">
        <f ca="1">IF('Simulador - 1º Pilar'!$E$99="Sí",IF('Aportaciones Poliza'!$B$13&lt;'Aportaciones Poliza'!E593,0,F593*$B$8/12),F593*$B$8/12)</f>
        <v>0</v>
      </c>
      <c r="H593" s="125">
        <f t="shared" ca="1" si="64"/>
        <v>0</v>
      </c>
      <c r="I593" s="125"/>
      <c r="J593" s="125">
        <f t="shared" ca="1" si="67"/>
        <v>0</v>
      </c>
      <c r="K593" s="125">
        <f t="shared" si="68"/>
        <v>0</v>
      </c>
      <c r="L593" s="125">
        <f t="shared" ca="1" si="69"/>
        <v>0</v>
      </c>
      <c r="P593">
        <f t="shared" si="70"/>
        <v>586</v>
      </c>
    </row>
    <row r="594" spans="4:16">
      <c r="D594">
        <v>587</v>
      </c>
      <c r="E594" s="6">
        <f t="shared" ca="1" si="65"/>
        <v>34881</v>
      </c>
      <c r="F594" s="7">
        <f t="shared" ca="1" si="66"/>
        <v>0</v>
      </c>
      <c r="G594" s="125">
        <f ca="1">IF('Simulador - 1º Pilar'!$E$99="Sí",IF('Aportaciones Poliza'!$B$13&lt;'Aportaciones Poliza'!E594,0,F594*$B$8/12),F594*$B$8/12)</f>
        <v>0</v>
      </c>
      <c r="H594" s="125">
        <f t="shared" ca="1" si="64"/>
        <v>0</v>
      </c>
      <c r="I594" s="125"/>
      <c r="J594" s="125">
        <f t="shared" ca="1" si="67"/>
        <v>0</v>
      </c>
      <c r="K594" s="125">
        <f t="shared" si="68"/>
        <v>0</v>
      </c>
      <c r="L594" s="125">
        <f t="shared" ca="1" si="69"/>
        <v>0</v>
      </c>
      <c r="P594">
        <f t="shared" si="70"/>
        <v>587</v>
      </c>
    </row>
    <row r="595" spans="4:16">
      <c r="D595">
        <v>588</v>
      </c>
      <c r="E595" s="6">
        <f t="shared" ca="1" si="65"/>
        <v>34851</v>
      </c>
      <c r="F595" s="7">
        <f t="shared" ca="1" si="66"/>
        <v>0</v>
      </c>
      <c r="G595" s="125">
        <f ca="1">IF('Simulador - 1º Pilar'!$E$99="Sí",IF('Aportaciones Poliza'!$B$13&lt;'Aportaciones Poliza'!E595,0,F595*$B$8/12),F595*$B$8/12)</f>
        <v>0</v>
      </c>
      <c r="H595" s="125">
        <f t="shared" ca="1" si="64"/>
        <v>0</v>
      </c>
      <c r="I595" s="125"/>
      <c r="J595" s="125">
        <f t="shared" ca="1" si="67"/>
        <v>0</v>
      </c>
      <c r="K595" s="125">
        <f t="shared" si="68"/>
        <v>0</v>
      </c>
      <c r="L595" s="125">
        <f t="shared" ca="1" si="69"/>
        <v>0</v>
      </c>
      <c r="P595">
        <f t="shared" si="70"/>
        <v>588</v>
      </c>
    </row>
    <row r="596" spans="4:16">
      <c r="D596">
        <v>589</v>
      </c>
      <c r="E596" s="6">
        <f t="shared" ca="1" si="65"/>
        <v>34820</v>
      </c>
      <c r="F596" s="7">
        <f t="shared" ca="1" si="66"/>
        <v>0</v>
      </c>
      <c r="G596" s="125">
        <f ca="1">IF('Simulador - 1º Pilar'!$E$99="Sí",IF('Aportaciones Poliza'!$B$13&lt;'Aportaciones Poliza'!E596,0,F596*$B$8/12),F596*$B$8/12)</f>
        <v>0</v>
      </c>
      <c r="H596" s="125">
        <f t="shared" ca="1" si="64"/>
        <v>0</v>
      </c>
      <c r="I596" s="125"/>
      <c r="J596" s="125">
        <f t="shared" ca="1" si="67"/>
        <v>0</v>
      </c>
      <c r="K596" s="125">
        <f t="shared" si="68"/>
        <v>0</v>
      </c>
      <c r="L596" s="125">
        <f t="shared" ca="1" si="69"/>
        <v>0</v>
      </c>
      <c r="P596">
        <f t="shared" si="70"/>
        <v>589</v>
      </c>
    </row>
    <row r="597" spans="4:16">
      <c r="D597">
        <v>590</v>
      </c>
      <c r="E597" s="6">
        <f t="shared" ca="1" si="65"/>
        <v>34790</v>
      </c>
      <c r="F597" s="7">
        <f t="shared" ca="1" si="66"/>
        <v>0</v>
      </c>
      <c r="G597" s="125">
        <f ca="1">IF('Simulador - 1º Pilar'!$E$99="Sí",IF('Aportaciones Poliza'!$B$13&lt;'Aportaciones Poliza'!E597,0,F597*$B$8/12),F597*$B$8/12)</f>
        <v>0</v>
      </c>
      <c r="H597" s="125">
        <f t="shared" ca="1" si="64"/>
        <v>0</v>
      </c>
      <c r="I597" s="125"/>
      <c r="J597" s="125">
        <f t="shared" ca="1" si="67"/>
        <v>0</v>
      </c>
      <c r="K597" s="125">
        <f t="shared" si="68"/>
        <v>0</v>
      </c>
      <c r="L597" s="125">
        <f t="shared" ca="1" si="69"/>
        <v>0</v>
      </c>
      <c r="P597">
        <f t="shared" si="70"/>
        <v>590</v>
      </c>
    </row>
    <row r="598" spans="4:16">
      <c r="D598">
        <v>591</v>
      </c>
      <c r="E598" s="6">
        <f t="shared" ca="1" si="65"/>
        <v>34759</v>
      </c>
      <c r="F598" s="7">
        <f t="shared" ca="1" si="66"/>
        <v>0</v>
      </c>
      <c r="G598" s="125">
        <f ca="1">IF('Simulador - 1º Pilar'!$E$99="Sí",IF('Aportaciones Poliza'!$B$13&lt;'Aportaciones Poliza'!E598,0,F598*$B$8/12),F598*$B$8/12)</f>
        <v>0</v>
      </c>
      <c r="H598" s="125">
        <f t="shared" ca="1" si="64"/>
        <v>0</v>
      </c>
      <c r="I598" s="125"/>
      <c r="J598" s="125">
        <f t="shared" ca="1" si="67"/>
        <v>0</v>
      </c>
      <c r="K598" s="125">
        <f t="shared" si="68"/>
        <v>0</v>
      </c>
      <c r="L598" s="125">
        <f t="shared" ca="1" si="69"/>
        <v>0</v>
      </c>
      <c r="P598">
        <f t="shared" si="70"/>
        <v>591</v>
      </c>
    </row>
    <row r="599" spans="4:16">
      <c r="D599">
        <v>592</v>
      </c>
      <c r="E599" s="6">
        <f t="shared" ca="1" si="65"/>
        <v>34731</v>
      </c>
      <c r="F599" s="7">
        <f t="shared" ca="1" si="66"/>
        <v>0</v>
      </c>
      <c r="G599" s="125">
        <f ca="1">IF('Simulador - 1º Pilar'!$E$99="Sí",IF('Aportaciones Poliza'!$B$13&lt;'Aportaciones Poliza'!E599,0,F599*$B$8/12),F599*$B$8/12)</f>
        <v>0</v>
      </c>
      <c r="H599" s="125">
        <f t="shared" ca="1" si="64"/>
        <v>0</v>
      </c>
      <c r="I599" s="125"/>
      <c r="J599" s="125">
        <f t="shared" ca="1" si="67"/>
        <v>0</v>
      </c>
      <c r="K599" s="125">
        <f t="shared" si="68"/>
        <v>0</v>
      </c>
      <c r="L599" s="125">
        <f t="shared" ca="1" si="69"/>
        <v>0</v>
      </c>
      <c r="P599">
        <f t="shared" si="70"/>
        <v>592</v>
      </c>
    </row>
    <row r="600" spans="4:16">
      <c r="D600">
        <v>593</v>
      </c>
      <c r="E600" s="6">
        <f t="shared" ca="1" si="65"/>
        <v>34700</v>
      </c>
      <c r="F600" s="7">
        <f t="shared" ca="1" si="66"/>
        <v>0</v>
      </c>
      <c r="G600" s="125">
        <f ca="1">IF('Simulador - 1º Pilar'!$E$99="Sí",IF('Aportaciones Poliza'!$B$13&lt;'Aportaciones Poliza'!E600,0,F600*$B$8/12),F600*$B$8/12)</f>
        <v>0</v>
      </c>
      <c r="H600" s="125">
        <f t="shared" ca="1" si="64"/>
        <v>0</v>
      </c>
      <c r="I600" s="125"/>
      <c r="J600" s="125">
        <f t="shared" ca="1" si="67"/>
        <v>0</v>
      </c>
      <c r="K600" s="125">
        <f t="shared" si="68"/>
        <v>0</v>
      </c>
      <c r="L600" s="125">
        <f t="shared" ca="1" si="69"/>
        <v>0</v>
      </c>
      <c r="P600">
        <f t="shared" si="70"/>
        <v>593</v>
      </c>
    </row>
    <row r="601" spans="4:16">
      <c r="D601">
        <v>594</v>
      </c>
      <c r="E601" s="6">
        <f t="shared" ca="1" si="65"/>
        <v>34669</v>
      </c>
      <c r="F601" s="7">
        <f t="shared" ca="1" si="66"/>
        <v>0</v>
      </c>
      <c r="G601" s="125">
        <f ca="1">IF('Simulador - 1º Pilar'!$E$99="Sí",IF('Aportaciones Poliza'!$B$13&lt;'Aportaciones Poliza'!E601,0,F601*$B$8/12),F601*$B$8/12)</f>
        <v>0</v>
      </c>
      <c r="H601" s="125">
        <f t="shared" ca="1" si="64"/>
        <v>0</v>
      </c>
      <c r="I601" s="125"/>
      <c r="J601" s="125">
        <f t="shared" ca="1" si="67"/>
        <v>0</v>
      </c>
      <c r="K601" s="125">
        <f t="shared" si="68"/>
        <v>0</v>
      </c>
      <c r="L601" s="125">
        <f t="shared" ca="1" si="69"/>
        <v>0</v>
      </c>
      <c r="P601">
        <f t="shared" si="70"/>
        <v>594</v>
      </c>
    </row>
    <row r="602" spans="4:16">
      <c r="D602">
        <v>595</v>
      </c>
      <c r="E602" s="6">
        <f t="shared" ca="1" si="65"/>
        <v>34639</v>
      </c>
      <c r="F602" s="7">
        <f t="shared" ca="1" si="66"/>
        <v>0</v>
      </c>
      <c r="G602" s="125">
        <f ca="1">IF('Simulador - 1º Pilar'!$E$99="Sí",IF('Aportaciones Poliza'!$B$13&lt;'Aportaciones Poliza'!E602,0,F602*$B$8/12),F602*$B$8/12)</f>
        <v>0</v>
      </c>
      <c r="H602" s="125">
        <f t="shared" ca="1" si="64"/>
        <v>0</v>
      </c>
      <c r="I602" s="125"/>
      <c r="J602" s="125">
        <f t="shared" ca="1" si="67"/>
        <v>0</v>
      </c>
      <c r="K602" s="125">
        <f t="shared" si="68"/>
        <v>0</v>
      </c>
      <c r="L602" s="125">
        <f t="shared" ca="1" si="69"/>
        <v>0</v>
      </c>
      <c r="P602">
        <f t="shared" si="70"/>
        <v>595</v>
      </c>
    </row>
    <row r="603" spans="4:16">
      <c r="D603">
        <v>596</v>
      </c>
      <c r="E603" s="6">
        <f t="shared" ca="1" si="65"/>
        <v>34608</v>
      </c>
      <c r="F603" s="7">
        <f t="shared" ca="1" si="66"/>
        <v>0</v>
      </c>
      <c r="G603" s="125">
        <f ca="1">IF('Simulador - 1º Pilar'!$E$99="Sí",IF('Aportaciones Poliza'!$B$13&lt;'Aportaciones Poliza'!E603,0,F603*$B$8/12),F603*$B$8/12)</f>
        <v>0</v>
      </c>
      <c r="H603" s="125">
        <f t="shared" ca="1" si="64"/>
        <v>0</v>
      </c>
      <c r="I603" s="125"/>
      <c r="J603" s="125">
        <f t="shared" ca="1" si="67"/>
        <v>0</v>
      </c>
      <c r="K603" s="125">
        <f t="shared" si="68"/>
        <v>0</v>
      </c>
      <c r="L603" s="125">
        <f t="shared" ca="1" si="69"/>
        <v>0</v>
      </c>
      <c r="P603">
        <f t="shared" si="70"/>
        <v>596</v>
      </c>
    </row>
    <row r="604" spans="4:16">
      <c r="D604">
        <v>597</v>
      </c>
      <c r="E604" s="6">
        <f t="shared" ca="1" si="65"/>
        <v>34578</v>
      </c>
      <c r="F604" s="7">
        <f t="shared" ca="1" si="66"/>
        <v>0</v>
      </c>
      <c r="G604" s="125">
        <f ca="1">IF('Simulador - 1º Pilar'!$E$99="Sí",IF('Aportaciones Poliza'!$B$13&lt;'Aportaciones Poliza'!E604,0,F604*$B$8/12),F604*$B$8/12)</f>
        <v>0</v>
      </c>
      <c r="H604" s="125">
        <f t="shared" ca="1" si="64"/>
        <v>0</v>
      </c>
      <c r="I604" s="125"/>
      <c r="J604" s="125">
        <f t="shared" ca="1" si="67"/>
        <v>0</v>
      </c>
      <c r="K604" s="125">
        <f t="shared" si="68"/>
        <v>0</v>
      </c>
      <c r="L604" s="125">
        <f t="shared" ca="1" si="69"/>
        <v>0</v>
      </c>
      <c r="P604">
        <f t="shared" si="70"/>
        <v>597</v>
      </c>
    </row>
    <row r="605" spans="4:16">
      <c r="D605">
        <v>598</v>
      </c>
      <c r="E605" s="6">
        <f t="shared" ca="1" si="65"/>
        <v>34547</v>
      </c>
      <c r="F605" s="7">
        <f t="shared" ca="1" si="66"/>
        <v>0</v>
      </c>
      <c r="G605" s="125">
        <f ca="1">IF('Simulador - 1º Pilar'!$E$99="Sí",IF('Aportaciones Poliza'!$B$13&lt;'Aportaciones Poliza'!E605,0,F605*$B$8/12),F605*$B$8/12)</f>
        <v>0</v>
      </c>
      <c r="H605" s="125">
        <f t="shared" ca="1" si="64"/>
        <v>0</v>
      </c>
      <c r="I605" s="125"/>
      <c r="J605" s="125">
        <f t="shared" ca="1" si="67"/>
        <v>0</v>
      </c>
      <c r="K605" s="125">
        <f t="shared" si="68"/>
        <v>0</v>
      </c>
      <c r="L605" s="125">
        <f t="shared" ca="1" si="69"/>
        <v>0</v>
      </c>
      <c r="P605">
        <f t="shared" si="70"/>
        <v>598</v>
      </c>
    </row>
    <row r="606" spans="4:16">
      <c r="D606">
        <v>599</v>
      </c>
      <c r="E606" s="6">
        <f t="shared" ca="1" si="65"/>
        <v>34516</v>
      </c>
      <c r="F606" s="7">
        <f t="shared" ca="1" si="66"/>
        <v>0</v>
      </c>
      <c r="G606" s="125">
        <f ca="1">IF('Simulador - 1º Pilar'!$E$99="Sí",IF('Aportaciones Poliza'!$B$13&lt;'Aportaciones Poliza'!E606,0,F606*$B$8/12),F606*$B$8/12)</f>
        <v>0</v>
      </c>
      <c r="H606" s="125">
        <f t="shared" ca="1" si="64"/>
        <v>0</v>
      </c>
      <c r="I606" s="125"/>
      <c r="J606" s="125">
        <f t="shared" ca="1" si="67"/>
        <v>0</v>
      </c>
      <c r="K606" s="125">
        <f t="shared" si="68"/>
        <v>0</v>
      </c>
      <c r="L606" s="125">
        <f t="shared" ca="1" si="69"/>
        <v>0</v>
      </c>
      <c r="P606">
        <f t="shared" si="70"/>
        <v>599</v>
      </c>
    </row>
    <row r="607" spans="4:16">
      <c r="D607">
        <v>600</v>
      </c>
      <c r="E607" s="6">
        <f t="shared" ca="1" si="65"/>
        <v>34486</v>
      </c>
      <c r="F607" s="7">
        <f t="shared" ca="1" si="66"/>
        <v>0</v>
      </c>
      <c r="G607" s="125">
        <f ca="1">IF('Simulador - 1º Pilar'!$E$99="Sí",IF('Aportaciones Poliza'!$B$13&lt;'Aportaciones Poliza'!E607,0,F607*$B$8/12),F607*$B$8/12)</f>
        <v>0</v>
      </c>
      <c r="H607" s="125">
        <f t="shared" ca="1" si="64"/>
        <v>0</v>
      </c>
      <c r="I607" s="125"/>
      <c r="J607" s="125">
        <f t="shared" ca="1" si="67"/>
        <v>0</v>
      </c>
      <c r="K607" s="125">
        <f t="shared" si="68"/>
        <v>0</v>
      </c>
      <c r="L607" s="125">
        <f t="shared" ca="1" si="69"/>
        <v>0</v>
      </c>
      <c r="P607">
        <f t="shared" si="70"/>
        <v>600</v>
      </c>
    </row>
    <row r="608" spans="4:16">
      <c r="D608">
        <v>601</v>
      </c>
      <c r="E608" s="6">
        <f t="shared" ca="1" si="65"/>
        <v>34455</v>
      </c>
      <c r="F608" s="7">
        <f t="shared" ca="1" si="66"/>
        <v>0</v>
      </c>
      <c r="G608" s="125">
        <f ca="1">IF('Simulador - 1º Pilar'!$E$99="Sí",IF('Aportaciones Poliza'!$B$13&lt;'Aportaciones Poliza'!E608,0,F608*$B$8/12),F608*$B$8/12)</f>
        <v>0</v>
      </c>
      <c r="H608" s="125">
        <f t="shared" ca="1" si="64"/>
        <v>0</v>
      </c>
      <c r="I608" s="125"/>
      <c r="J608" s="125">
        <f t="shared" ca="1" si="67"/>
        <v>0</v>
      </c>
      <c r="K608" s="125">
        <f t="shared" si="68"/>
        <v>0</v>
      </c>
      <c r="L608" s="125">
        <f t="shared" ca="1" si="69"/>
        <v>0</v>
      </c>
      <c r="P608">
        <f t="shared" si="70"/>
        <v>601</v>
      </c>
    </row>
    <row r="609" spans="4:16">
      <c r="D609">
        <v>602</v>
      </c>
      <c r="E609" s="6">
        <f t="shared" ca="1" si="65"/>
        <v>34425</v>
      </c>
      <c r="F609" s="7">
        <f t="shared" ca="1" si="66"/>
        <v>0</v>
      </c>
      <c r="G609" s="125">
        <f ca="1">IF('Simulador - 1º Pilar'!$E$99="Sí",IF('Aportaciones Poliza'!$B$13&lt;'Aportaciones Poliza'!E609,0,F609*$B$8/12),F609*$B$8/12)</f>
        <v>0</v>
      </c>
      <c r="H609" s="125">
        <f t="shared" ca="1" si="64"/>
        <v>0</v>
      </c>
      <c r="I609" s="125"/>
      <c r="J609" s="125">
        <f t="shared" ca="1" si="67"/>
        <v>0</v>
      </c>
      <c r="K609" s="125">
        <f t="shared" si="68"/>
        <v>0</v>
      </c>
      <c r="L609" s="125">
        <f t="shared" ca="1" si="69"/>
        <v>0</v>
      </c>
      <c r="P609">
        <f t="shared" si="70"/>
        <v>602</v>
      </c>
    </row>
    <row r="610" spans="4:16">
      <c r="D610">
        <v>603</v>
      </c>
      <c r="E610" s="6">
        <f t="shared" ca="1" si="65"/>
        <v>34394</v>
      </c>
      <c r="F610" s="7">
        <f t="shared" ca="1" si="66"/>
        <v>0</v>
      </c>
      <c r="G610" s="125">
        <f ca="1">IF('Simulador - 1º Pilar'!$E$99="Sí",IF('Aportaciones Poliza'!$B$13&lt;'Aportaciones Poliza'!E610,0,F610*$B$8/12),F610*$B$8/12)</f>
        <v>0</v>
      </c>
      <c r="H610" s="125">
        <f t="shared" ca="1" si="64"/>
        <v>0</v>
      </c>
      <c r="I610" s="125"/>
      <c r="J610" s="125">
        <f t="shared" ca="1" si="67"/>
        <v>0</v>
      </c>
      <c r="K610" s="125">
        <f t="shared" si="68"/>
        <v>0</v>
      </c>
      <c r="L610" s="125">
        <f t="shared" ca="1" si="69"/>
        <v>0</v>
      </c>
      <c r="P610">
        <f t="shared" si="70"/>
        <v>603</v>
      </c>
    </row>
    <row r="611" spans="4:16">
      <c r="D611">
        <v>604</v>
      </c>
      <c r="E611" s="6">
        <f t="shared" ca="1" si="65"/>
        <v>34366</v>
      </c>
      <c r="F611" s="7">
        <f t="shared" ca="1" si="66"/>
        <v>0</v>
      </c>
      <c r="G611" s="125">
        <f ca="1">IF('Simulador - 1º Pilar'!$E$99="Sí",IF('Aportaciones Poliza'!$B$13&lt;'Aportaciones Poliza'!E611,0,F611*$B$8/12),F611*$B$8/12)</f>
        <v>0</v>
      </c>
      <c r="H611" s="125">
        <f t="shared" ca="1" si="64"/>
        <v>0</v>
      </c>
      <c r="I611" s="125"/>
      <c r="J611" s="125">
        <f t="shared" ca="1" si="67"/>
        <v>0</v>
      </c>
      <c r="K611" s="125">
        <f t="shared" si="68"/>
        <v>0</v>
      </c>
      <c r="L611" s="125">
        <f t="shared" ca="1" si="69"/>
        <v>0</v>
      </c>
      <c r="P611">
        <f t="shared" si="70"/>
        <v>604</v>
      </c>
    </row>
    <row r="612" spans="4:16">
      <c r="D612">
        <v>605</v>
      </c>
      <c r="E612" s="6">
        <f t="shared" ca="1" si="65"/>
        <v>34335</v>
      </c>
      <c r="F612" s="7">
        <f t="shared" ca="1" si="66"/>
        <v>0</v>
      </c>
      <c r="G612" s="125">
        <f ca="1">IF('Simulador - 1º Pilar'!$E$99="Sí",IF('Aportaciones Poliza'!$B$13&lt;'Aportaciones Poliza'!E612,0,F612*$B$8/12),F612*$B$8/12)</f>
        <v>0</v>
      </c>
      <c r="H612" s="125">
        <f t="shared" ca="1" si="64"/>
        <v>0</v>
      </c>
      <c r="I612" s="125"/>
      <c r="J612" s="125">
        <f t="shared" ca="1" si="67"/>
        <v>0</v>
      </c>
      <c r="K612" s="125">
        <f t="shared" si="68"/>
        <v>0</v>
      </c>
      <c r="L612" s="125">
        <f t="shared" ca="1" si="69"/>
        <v>0</v>
      </c>
      <c r="P612">
        <f t="shared" si="70"/>
        <v>605</v>
      </c>
    </row>
    <row r="613" spans="4:16">
      <c r="D613">
        <v>606</v>
      </c>
      <c r="E613" s="6">
        <f t="shared" ca="1" si="65"/>
        <v>34304</v>
      </c>
      <c r="F613" s="7">
        <f t="shared" ca="1" si="66"/>
        <v>0</v>
      </c>
      <c r="G613" s="125">
        <f ca="1">IF('Simulador - 1º Pilar'!$E$99="Sí",IF('Aportaciones Poliza'!$B$13&lt;'Aportaciones Poliza'!E613,0,F613*$B$8/12),F613*$B$8/12)</f>
        <v>0</v>
      </c>
      <c r="H613" s="125">
        <f t="shared" ca="1" si="64"/>
        <v>0</v>
      </c>
      <c r="I613" s="125"/>
      <c r="J613" s="125">
        <f t="shared" ca="1" si="67"/>
        <v>0</v>
      </c>
      <c r="K613" s="125">
        <f t="shared" si="68"/>
        <v>0</v>
      </c>
      <c r="L613" s="125">
        <f t="shared" ca="1" si="69"/>
        <v>0</v>
      </c>
      <c r="P613">
        <f t="shared" si="70"/>
        <v>606</v>
      </c>
    </row>
    <row r="614" spans="4:16">
      <c r="D614">
        <v>607</v>
      </c>
      <c r="E614" s="6">
        <f t="shared" ca="1" si="65"/>
        <v>34274</v>
      </c>
      <c r="F614" s="7">
        <f t="shared" ca="1" si="66"/>
        <v>0</v>
      </c>
      <c r="G614" s="125">
        <f ca="1">IF('Simulador - 1º Pilar'!$E$99="Sí",IF('Aportaciones Poliza'!$B$13&lt;'Aportaciones Poliza'!E614,0,F614*$B$8/12),F614*$B$8/12)</f>
        <v>0</v>
      </c>
      <c r="H614" s="125">
        <f t="shared" ca="1" si="64"/>
        <v>0</v>
      </c>
      <c r="I614" s="125"/>
      <c r="J614" s="125">
        <f t="shared" ca="1" si="67"/>
        <v>0</v>
      </c>
      <c r="K614" s="125">
        <f t="shared" si="68"/>
        <v>0</v>
      </c>
      <c r="L614" s="125">
        <f t="shared" ca="1" si="69"/>
        <v>0</v>
      </c>
      <c r="P614">
        <f t="shared" si="70"/>
        <v>607</v>
      </c>
    </row>
    <row r="615" spans="4:16">
      <c r="D615">
        <v>608</v>
      </c>
      <c r="E615" s="6">
        <f t="shared" ca="1" si="65"/>
        <v>34243</v>
      </c>
      <c r="F615" s="7">
        <f t="shared" ca="1" si="66"/>
        <v>0</v>
      </c>
      <c r="G615" s="125">
        <f ca="1">IF('Simulador - 1º Pilar'!$E$99="Sí",IF('Aportaciones Poliza'!$B$13&lt;'Aportaciones Poliza'!E615,0,F615*$B$8/12),F615*$B$8/12)</f>
        <v>0</v>
      </c>
      <c r="H615" s="125">
        <f t="shared" ca="1" si="64"/>
        <v>0</v>
      </c>
      <c r="I615" s="125"/>
      <c r="J615" s="125">
        <f t="shared" ca="1" si="67"/>
        <v>0</v>
      </c>
      <c r="K615" s="125">
        <f t="shared" si="68"/>
        <v>0</v>
      </c>
      <c r="L615" s="125">
        <f t="shared" ca="1" si="69"/>
        <v>0</v>
      </c>
      <c r="P615">
        <f t="shared" si="70"/>
        <v>608</v>
      </c>
    </row>
    <row r="616" spans="4:16">
      <c r="D616">
        <v>609</v>
      </c>
      <c r="E616" s="6">
        <f t="shared" ca="1" si="65"/>
        <v>34213</v>
      </c>
      <c r="F616" s="7">
        <f t="shared" ca="1" si="66"/>
        <v>0</v>
      </c>
      <c r="G616" s="125">
        <f ca="1">IF('Simulador - 1º Pilar'!$E$99="Sí",IF('Aportaciones Poliza'!$B$13&lt;'Aportaciones Poliza'!E616,0,F616*$B$8/12),F616*$B$8/12)</f>
        <v>0</v>
      </c>
      <c r="H616" s="125">
        <f t="shared" ca="1" si="64"/>
        <v>0</v>
      </c>
      <c r="I616" s="125"/>
      <c r="J616" s="125">
        <f t="shared" ca="1" si="67"/>
        <v>0</v>
      </c>
      <c r="K616" s="125">
        <f t="shared" si="68"/>
        <v>0</v>
      </c>
      <c r="L616" s="125">
        <f t="shared" ca="1" si="69"/>
        <v>0</v>
      </c>
      <c r="P616">
        <f t="shared" si="70"/>
        <v>609</v>
      </c>
    </row>
    <row r="617" spans="4:16">
      <c r="D617">
        <v>610</v>
      </c>
      <c r="E617" s="6">
        <f t="shared" ca="1" si="65"/>
        <v>34182</v>
      </c>
      <c r="F617" s="7">
        <f t="shared" ca="1" si="66"/>
        <v>0</v>
      </c>
      <c r="G617" s="125">
        <f ca="1">IF('Simulador - 1º Pilar'!$E$99="Sí",IF('Aportaciones Poliza'!$B$13&lt;'Aportaciones Poliza'!E617,0,F617*$B$8/12),F617*$B$8/12)</f>
        <v>0</v>
      </c>
      <c r="H617" s="125">
        <f t="shared" ca="1" si="64"/>
        <v>0</v>
      </c>
      <c r="I617" s="125"/>
      <c r="J617" s="125">
        <f t="shared" ca="1" si="67"/>
        <v>0</v>
      </c>
      <c r="K617" s="125">
        <f t="shared" si="68"/>
        <v>0</v>
      </c>
      <c r="L617" s="125">
        <f t="shared" ca="1" si="69"/>
        <v>0</v>
      </c>
      <c r="P617">
        <f t="shared" si="70"/>
        <v>610</v>
      </c>
    </row>
    <row r="618" spans="4:16">
      <c r="D618">
        <v>611</v>
      </c>
      <c r="E618" s="6">
        <f t="shared" ca="1" si="65"/>
        <v>34151</v>
      </c>
      <c r="F618" s="7">
        <f t="shared" ca="1" si="66"/>
        <v>0</v>
      </c>
      <c r="G618" s="125">
        <f ca="1">IF('Simulador - 1º Pilar'!$E$99="Sí",IF('Aportaciones Poliza'!$B$13&lt;'Aportaciones Poliza'!E618,0,F618*$B$8/12),F618*$B$8/12)</f>
        <v>0</v>
      </c>
      <c r="H618" s="125">
        <f t="shared" ca="1" si="64"/>
        <v>0</v>
      </c>
      <c r="I618" s="125"/>
      <c r="J618" s="125">
        <f t="shared" ca="1" si="67"/>
        <v>0</v>
      </c>
      <c r="K618" s="125">
        <f t="shared" si="68"/>
        <v>0</v>
      </c>
      <c r="L618" s="125">
        <f t="shared" ca="1" si="69"/>
        <v>0</v>
      </c>
      <c r="P618">
        <f t="shared" si="70"/>
        <v>611</v>
      </c>
    </row>
    <row r="619" spans="4:16">
      <c r="D619">
        <v>612</v>
      </c>
      <c r="E619" s="6">
        <f t="shared" ca="1" si="65"/>
        <v>34121</v>
      </c>
      <c r="F619" s="7">
        <f t="shared" ca="1" si="66"/>
        <v>0</v>
      </c>
      <c r="G619" s="125">
        <f ca="1">IF('Simulador - 1º Pilar'!$E$99="Sí",IF('Aportaciones Poliza'!$B$13&lt;'Aportaciones Poliza'!E619,0,F619*$B$8/12),F619*$B$8/12)</f>
        <v>0</v>
      </c>
      <c r="H619" s="125">
        <f t="shared" ca="1" si="64"/>
        <v>0</v>
      </c>
      <c r="I619" s="125"/>
      <c r="J619" s="125">
        <f t="shared" ca="1" si="67"/>
        <v>0</v>
      </c>
      <c r="K619" s="125">
        <f t="shared" si="68"/>
        <v>0</v>
      </c>
      <c r="L619" s="125">
        <f t="shared" ca="1" si="69"/>
        <v>0</v>
      </c>
      <c r="P619">
        <f t="shared" si="70"/>
        <v>612</v>
      </c>
    </row>
    <row r="620" spans="4:16">
      <c r="D620">
        <v>613</v>
      </c>
      <c r="E620" s="6">
        <f t="shared" ca="1" si="65"/>
        <v>34090</v>
      </c>
      <c r="F620" s="7">
        <f t="shared" ca="1" si="66"/>
        <v>0</v>
      </c>
      <c r="G620" s="125">
        <f ca="1">IF('Simulador - 1º Pilar'!$E$99="Sí",IF('Aportaciones Poliza'!$B$13&lt;'Aportaciones Poliza'!E620,0,F620*$B$8/12),F620*$B$8/12)</f>
        <v>0</v>
      </c>
      <c r="H620" s="125">
        <f t="shared" ca="1" si="64"/>
        <v>0</v>
      </c>
      <c r="I620" s="125"/>
      <c r="J620" s="125">
        <f t="shared" ca="1" si="67"/>
        <v>0</v>
      </c>
      <c r="K620" s="125">
        <f t="shared" si="68"/>
        <v>0</v>
      </c>
      <c r="L620" s="125">
        <f t="shared" ca="1" si="69"/>
        <v>0</v>
      </c>
      <c r="P620">
        <f t="shared" si="70"/>
        <v>613</v>
      </c>
    </row>
    <row r="621" spans="4:16">
      <c r="D621">
        <v>614</v>
      </c>
      <c r="E621" s="6">
        <f t="shared" ca="1" si="65"/>
        <v>34060</v>
      </c>
      <c r="F621" s="7">
        <f t="shared" ca="1" si="66"/>
        <v>0</v>
      </c>
      <c r="G621" s="125">
        <f ca="1">IF('Simulador - 1º Pilar'!$E$99="Sí",IF('Aportaciones Poliza'!$B$13&lt;'Aportaciones Poliza'!E621,0,F621*$B$8/12),F621*$B$8/12)</f>
        <v>0</v>
      </c>
      <c r="H621" s="125">
        <f t="shared" ca="1" si="64"/>
        <v>0</v>
      </c>
      <c r="I621" s="125"/>
      <c r="J621" s="125">
        <f t="shared" ca="1" si="67"/>
        <v>0</v>
      </c>
      <c r="K621" s="125">
        <f t="shared" si="68"/>
        <v>0</v>
      </c>
      <c r="L621" s="125">
        <f t="shared" ca="1" si="69"/>
        <v>0</v>
      </c>
      <c r="P621">
        <f t="shared" si="70"/>
        <v>614</v>
      </c>
    </row>
    <row r="622" spans="4:16">
      <c r="D622">
        <v>615</v>
      </c>
      <c r="E622" s="6">
        <f t="shared" ca="1" si="65"/>
        <v>34029</v>
      </c>
      <c r="F622" s="7">
        <f t="shared" ca="1" si="66"/>
        <v>0</v>
      </c>
      <c r="G622" s="125">
        <f ca="1">IF('Simulador - 1º Pilar'!$E$99="Sí",IF('Aportaciones Poliza'!$B$13&lt;'Aportaciones Poliza'!E622,0,F622*$B$8/12),F622*$B$8/12)</f>
        <v>0</v>
      </c>
      <c r="H622" s="125">
        <f t="shared" ca="1" si="64"/>
        <v>0</v>
      </c>
      <c r="I622" s="125"/>
      <c r="J622" s="125">
        <f t="shared" ca="1" si="67"/>
        <v>0</v>
      </c>
      <c r="K622" s="125">
        <f t="shared" si="68"/>
        <v>0</v>
      </c>
      <c r="L622" s="125">
        <f t="shared" ca="1" si="69"/>
        <v>0</v>
      </c>
      <c r="P622">
        <f t="shared" si="70"/>
        <v>615</v>
      </c>
    </row>
    <row r="623" spans="4:16">
      <c r="D623">
        <v>616</v>
      </c>
      <c r="E623" s="6">
        <f t="shared" ca="1" si="65"/>
        <v>34001</v>
      </c>
      <c r="F623" s="7">
        <f t="shared" ca="1" si="66"/>
        <v>0</v>
      </c>
      <c r="G623" s="125">
        <f ca="1">IF('Simulador - 1º Pilar'!$E$99="Sí",IF('Aportaciones Poliza'!$B$13&lt;'Aportaciones Poliza'!E623,0,F623*$B$8/12),F623*$B$8/12)</f>
        <v>0</v>
      </c>
      <c r="H623" s="125">
        <f t="shared" ca="1" si="64"/>
        <v>0</v>
      </c>
      <c r="I623" s="125"/>
      <c r="J623" s="125">
        <f t="shared" ca="1" si="67"/>
        <v>0</v>
      </c>
      <c r="K623" s="125">
        <f t="shared" si="68"/>
        <v>0</v>
      </c>
      <c r="L623" s="125">
        <f t="shared" ca="1" si="69"/>
        <v>0</v>
      </c>
      <c r="P623">
        <f t="shared" si="70"/>
        <v>616</v>
      </c>
    </row>
    <row r="624" spans="4:16">
      <c r="D624">
        <v>617</v>
      </c>
      <c r="E624" s="6">
        <f t="shared" ca="1" si="65"/>
        <v>33970</v>
      </c>
      <c r="F624" s="7">
        <f t="shared" ca="1" si="66"/>
        <v>0</v>
      </c>
      <c r="G624" s="125">
        <f ca="1">IF('Simulador - 1º Pilar'!$E$99="Sí",IF('Aportaciones Poliza'!$B$13&lt;'Aportaciones Poliza'!E624,0,F624*$B$8/12),F624*$B$8/12)</f>
        <v>0</v>
      </c>
      <c r="H624" s="125">
        <f t="shared" ca="1" si="64"/>
        <v>0</v>
      </c>
      <c r="I624" s="125"/>
      <c r="J624" s="125">
        <f t="shared" ca="1" si="67"/>
        <v>0</v>
      </c>
      <c r="K624" s="125">
        <f t="shared" si="68"/>
        <v>0</v>
      </c>
      <c r="L624" s="125">
        <f t="shared" ca="1" si="69"/>
        <v>0</v>
      </c>
      <c r="P624">
        <f t="shared" si="70"/>
        <v>617</v>
      </c>
    </row>
    <row r="625" spans="4:16">
      <c r="D625">
        <v>618</v>
      </c>
      <c r="E625" s="6">
        <f t="shared" ca="1" si="65"/>
        <v>33939</v>
      </c>
      <c r="F625" s="7">
        <f t="shared" ca="1" si="66"/>
        <v>0</v>
      </c>
      <c r="G625" s="125">
        <f ca="1">IF('Simulador - 1º Pilar'!$E$99="Sí",IF('Aportaciones Poliza'!$B$13&lt;'Aportaciones Poliza'!E625,0,F625*$B$8/12),F625*$B$8/12)</f>
        <v>0</v>
      </c>
      <c r="H625" s="125">
        <f t="shared" ca="1" si="64"/>
        <v>0</v>
      </c>
      <c r="I625" s="125"/>
      <c r="J625" s="125">
        <f t="shared" ca="1" si="67"/>
        <v>0</v>
      </c>
      <c r="K625" s="125">
        <f t="shared" si="68"/>
        <v>0</v>
      </c>
      <c r="L625" s="125">
        <f t="shared" ca="1" si="69"/>
        <v>0</v>
      </c>
      <c r="P625">
        <f t="shared" si="70"/>
        <v>618</v>
      </c>
    </row>
    <row r="626" spans="4:16">
      <c r="D626">
        <v>619</v>
      </c>
      <c r="E626" s="6">
        <f t="shared" ca="1" si="65"/>
        <v>33909</v>
      </c>
      <c r="F626" s="7">
        <f t="shared" ca="1" si="66"/>
        <v>0</v>
      </c>
      <c r="G626" s="125">
        <f ca="1">IF('Simulador - 1º Pilar'!$E$99="Sí",IF('Aportaciones Poliza'!$B$13&lt;'Aportaciones Poliza'!E626,0,F626*$B$8/12),F626*$B$8/12)</f>
        <v>0</v>
      </c>
      <c r="H626" s="125">
        <f t="shared" ca="1" si="64"/>
        <v>0</v>
      </c>
      <c r="I626" s="125"/>
      <c r="J626" s="125">
        <f t="shared" ca="1" si="67"/>
        <v>0</v>
      </c>
      <c r="K626" s="125">
        <f t="shared" si="68"/>
        <v>0</v>
      </c>
      <c r="L626" s="125">
        <f t="shared" ca="1" si="69"/>
        <v>0</v>
      </c>
      <c r="P626">
        <f t="shared" si="70"/>
        <v>619</v>
      </c>
    </row>
    <row r="627" spans="4:16">
      <c r="D627">
        <v>620</v>
      </c>
      <c r="E627" s="6">
        <f t="shared" ca="1" si="65"/>
        <v>33878</v>
      </c>
      <c r="F627" s="7">
        <f t="shared" ca="1" si="66"/>
        <v>0</v>
      </c>
      <c r="G627" s="125">
        <f ca="1">IF('Simulador - 1º Pilar'!$E$99="Sí",IF('Aportaciones Poliza'!$B$13&lt;'Aportaciones Poliza'!E627,0,F627*$B$8/12),F627*$B$8/12)</f>
        <v>0</v>
      </c>
      <c r="H627" s="125">
        <f t="shared" ca="1" si="64"/>
        <v>0</v>
      </c>
      <c r="I627" s="125"/>
      <c r="J627" s="125">
        <f t="shared" ca="1" si="67"/>
        <v>0</v>
      </c>
      <c r="K627" s="125">
        <f t="shared" si="68"/>
        <v>0</v>
      </c>
      <c r="L627" s="125">
        <f t="shared" ca="1" si="69"/>
        <v>0</v>
      </c>
      <c r="P627">
        <f t="shared" si="70"/>
        <v>620</v>
      </c>
    </row>
    <row r="628" spans="4:16">
      <c r="D628">
        <v>621</v>
      </c>
      <c r="E628" s="6">
        <f t="shared" ca="1" si="65"/>
        <v>33848</v>
      </c>
      <c r="F628" s="7">
        <f t="shared" ca="1" si="66"/>
        <v>0</v>
      </c>
      <c r="G628" s="125">
        <f ca="1">IF('Simulador - 1º Pilar'!$E$99="Sí",IF('Aportaciones Poliza'!$B$13&lt;'Aportaciones Poliza'!E628,0,F628*$B$8/12),F628*$B$8/12)</f>
        <v>0</v>
      </c>
      <c r="H628" s="125">
        <f t="shared" ca="1" si="64"/>
        <v>0</v>
      </c>
      <c r="I628" s="125"/>
      <c r="J628" s="125">
        <f t="shared" ca="1" si="67"/>
        <v>0</v>
      </c>
      <c r="K628" s="125">
        <f t="shared" si="68"/>
        <v>0</v>
      </c>
      <c r="L628" s="125">
        <f t="shared" ca="1" si="69"/>
        <v>0</v>
      </c>
      <c r="P628">
        <f t="shared" si="70"/>
        <v>621</v>
      </c>
    </row>
    <row r="629" spans="4:16">
      <c r="D629">
        <v>622</v>
      </c>
      <c r="E629" s="6">
        <f t="shared" ca="1" si="65"/>
        <v>33817</v>
      </c>
      <c r="F629" s="7">
        <f t="shared" ca="1" si="66"/>
        <v>0</v>
      </c>
      <c r="G629" s="125">
        <f ca="1">IF('Simulador - 1º Pilar'!$E$99="Sí",IF('Aportaciones Poliza'!$B$13&lt;'Aportaciones Poliza'!E629,0,F629*$B$8/12),F629*$B$8/12)</f>
        <v>0</v>
      </c>
      <c r="H629" s="125">
        <f t="shared" ca="1" si="64"/>
        <v>0</v>
      </c>
      <c r="I629" s="125"/>
      <c r="J629" s="125">
        <f t="shared" ca="1" si="67"/>
        <v>0</v>
      </c>
      <c r="K629" s="125">
        <f t="shared" si="68"/>
        <v>0</v>
      </c>
      <c r="L629" s="125">
        <f t="shared" ca="1" si="69"/>
        <v>0</v>
      </c>
      <c r="P629">
        <f t="shared" si="70"/>
        <v>622</v>
      </c>
    </row>
    <row r="630" spans="4:16">
      <c r="D630">
        <v>623</v>
      </c>
      <c r="E630" s="6">
        <f t="shared" ca="1" si="65"/>
        <v>33786</v>
      </c>
      <c r="F630" s="7">
        <f t="shared" ca="1" si="66"/>
        <v>0</v>
      </c>
      <c r="G630" s="125">
        <f ca="1">IF('Simulador - 1º Pilar'!$E$99="Sí",IF('Aportaciones Poliza'!$B$13&lt;'Aportaciones Poliza'!E630,0,F630*$B$8/12),F630*$B$8/12)</f>
        <v>0</v>
      </c>
      <c r="H630" s="125">
        <f t="shared" ca="1" si="64"/>
        <v>0</v>
      </c>
      <c r="I630" s="125"/>
      <c r="J630" s="125">
        <f t="shared" ca="1" si="67"/>
        <v>0</v>
      </c>
      <c r="K630" s="125">
        <f t="shared" si="68"/>
        <v>0</v>
      </c>
      <c r="L630" s="125">
        <f t="shared" ca="1" si="69"/>
        <v>0</v>
      </c>
      <c r="P630">
        <f t="shared" si="70"/>
        <v>623</v>
      </c>
    </row>
    <row r="631" spans="4:16">
      <c r="D631">
        <v>624</v>
      </c>
      <c r="E631" s="6">
        <f t="shared" ca="1" si="65"/>
        <v>33756</v>
      </c>
      <c r="F631" s="7">
        <f t="shared" ca="1" si="66"/>
        <v>0</v>
      </c>
      <c r="G631" s="125">
        <f ca="1">IF('Simulador - 1º Pilar'!$E$99="Sí",IF('Aportaciones Poliza'!$B$13&lt;'Aportaciones Poliza'!E631,0,F631*$B$8/12),F631*$B$8/12)</f>
        <v>0</v>
      </c>
      <c r="H631" s="125">
        <f t="shared" ca="1" si="64"/>
        <v>0</v>
      </c>
      <c r="I631" s="125"/>
      <c r="J631" s="125">
        <f t="shared" ca="1" si="67"/>
        <v>0</v>
      </c>
      <c r="K631" s="125">
        <f t="shared" si="68"/>
        <v>0</v>
      </c>
      <c r="L631" s="125">
        <f t="shared" ca="1" si="69"/>
        <v>0</v>
      </c>
      <c r="P631">
        <f t="shared" si="70"/>
        <v>624</v>
      </c>
    </row>
    <row r="632" spans="4:16">
      <c r="D632">
        <v>625</v>
      </c>
      <c r="E632" s="6">
        <f t="shared" ca="1" si="65"/>
        <v>33725</v>
      </c>
      <c r="F632" s="7">
        <f t="shared" ca="1" si="66"/>
        <v>0</v>
      </c>
      <c r="G632" s="125">
        <f ca="1">IF('Simulador - 1º Pilar'!$E$99="Sí",IF('Aportaciones Poliza'!$B$13&lt;'Aportaciones Poliza'!E632,0,F632*$B$8/12),F632*$B$8/12)</f>
        <v>0</v>
      </c>
      <c r="H632" s="125">
        <f t="shared" ca="1" si="64"/>
        <v>0</v>
      </c>
      <c r="I632" s="125"/>
      <c r="J632" s="125">
        <f t="shared" ca="1" si="67"/>
        <v>0</v>
      </c>
      <c r="K632" s="125">
        <f t="shared" si="68"/>
        <v>0</v>
      </c>
      <c r="L632" s="125">
        <f t="shared" ca="1" si="69"/>
        <v>0</v>
      </c>
      <c r="P632">
        <f t="shared" si="70"/>
        <v>625</v>
      </c>
    </row>
    <row r="633" spans="4:16">
      <c r="D633">
        <v>626</v>
      </c>
      <c r="E633" s="6">
        <f t="shared" ca="1" si="65"/>
        <v>33695</v>
      </c>
      <c r="F633" s="7">
        <f t="shared" ca="1" si="66"/>
        <v>0</v>
      </c>
      <c r="G633" s="125">
        <f ca="1">IF('Simulador - 1º Pilar'!$E$99="Sí",IF('Aportaciones Poliza'!$B$13&lt;'Aportaciones Poliza'!E633,0,F633*$B$8/12),F633*$B$8/12)</f>
        <v>0</v>
      </c>
      <c r="H633" s="125">
        <f t="shared" ca="1" si="64"/>
        <v>0</v>
      </c>
      <c r="I633" s="125"/>
      <c r="J633" s="125">
        <f t="shared" ca="1" si="67"/>
        <v>0</v>
      </c>
      <c r="K633" s="125">
        <f t="shared" si="68"/>
        <v>0</v>
      </c>
      <c r="L633" s="125">
        <f t="shared" ca="1" si="69"/>
        <v>0</v>
      </c>
      <c r="P633">
        <f t="shared" si="70"/>
        <v>626</v>
      </c>
    </row>
    <row r="634" spans="4:16">
      <c r="D634">
        <v>627</v>
      </c>
      <c r="E634" s="6">
        <f t="shared" ca="1" si="65"/>
        <v>33664</v>
      </c>
      <c r="F634" s="7">
        <f t="shared" ca="1" si="66"/>
        <v>0</v>
      </c>
      <c r="G634" s="125">
        <f ca="1">IF('Simulador - 1º Pilar'!$E$99="Sí",IF('Aportaciones Poliza'!$B$13&lt;'Aportaciones Poliza'!E634,0,F634*$B$8/12),F634*$B$8/12)</f>
        <v>0</v>
      </c>
      <c r="H634" s="125">
        <f t="shared" ca="1" si="64"/>
        <v>0</v>
      </c>
      <c r="I634" s="125"/>
      <c r="J634" s="125">
        <f t="shared" ca="1" si="67"/>
        <v>0</v>
      </c>
      <c r="K634" s="125">
        <f t="shared" si="68"/>
        <v>0</v>
      </c>
      <c r="L634" s="125">
        <f t="shared" ca="1" si="69"/>
        <v>0</v>
      </c>
      <c r="P634">
        <f t="shared" si="70"/>
        <v>627</v>
      </c>
    </row>
    <row r="635" spans="4:16">
      <c r="D635">
        <v>628</v>
      </c>
      <c r="E635" s="6">
        <f t="shared" ca="1" si="65"/>
        <v>33635</v>
      </c>
      <c r="F635" s="7">
        <f t="shared" ca="1" si="66"/>
        <v>0</v>
      </c>
      <c r="G635" s="125">
        <f ca="1">IF('Simulador - 1º Pilar'!$E$99="Sí",IF('Aportaciones Poliza'!$B$13&lt;'Aportaciones Poliza'!E635,0,F635*$B$8/12),F635*$B$8/12)</f>
        <v>0</v>
      </c>
      <c r="H635" s="125">
        <f t="shared" ca="1" si="64"/>
        <v>0</v>
      </c>
      <c r="I635" s="125"/>
      <c r="J635" s="125">
        <f t="shared" ca="1" si="67"/>
        <v>0</v>
      </c>
      <c r="K635" s="125">
        <f t="shared" si="68"/>
        <v>0</v>
      </c>
      <c r="L635" s="125">
        <f t="shared" ca="1" si="69"/>
        <v>0</v>
      </c>
      <c r="P635">
        <f t="shared" si="70"/>
        <v>628</v>
      </c>
    </row>
    <row r="636" spans="4:16">
      <c r="D636">
        <v>629</v>
      </c>
      <c r="E636" s="6">
        <f t="shared" ca="1" si="65"/>
        <v>33604</v>
      </c>
      <c r="F636" s="7">
        <f t="shared" ca="1" si="66"/>
        <v>0</v>
      </c>
      <c r="G636" s="125">
        <f ca="1">IF('Simulador - 1º Pilar'!$E$99="Sí",IF('Aportaciones Poliza'!$B$13&lt;'Aportaciones Poliza'!E636,0,F636*$B$8/12),F636*$B$8/12)</f>
        <v>0</v>
      </c>
      <c r="H636" s="125">
        <f t="shared" ca="1" si="64"/>
        <v>0</v>
      </c>
      <c r="I636" s="125"/>
      <c r="J636" s="125">
        <f t="shared" ca="1" si="67"/>
        <v>0</v>
      </c>
      <c r="K636" s="125">
        <f t="shared" si="68"/>
        <v>0</v>
      </c>
      <c r="L636" s="125">
        <f t="shared" ca="1" si="69"/>
        <v>0</v>
      </c>
      <c r="P636">
        <f t="shared" si="70"/>
        <v>629</v>
      </c>
    </row>
    <row r="637" spans="4:16">
      <c r="D637">
        <v>630</v>
      </c>
      <c r="E637" s="6">
        <f t="shared" ca="1" si="65"/>
        <v>33573</v>
      </c>
      <c r="F637" s="7">
        <f t="shared" ca="1" si="66"/>
        <v>0</v>
      </c>
      <c r="G637" s="125">
        <f ca="1">IF('Simulador - 1º Pilar'!$E$99="Sí",IF('Aportaciones Poliza'!$B$13&lt;'Aportaciones Poliza'!E637,0,F637*$B$8/12),F637*$B$8/12)</f>
        <v>0</v>
      </c>
      <c r="H637" s="125">
        <f t="shared" ca="1" si="64"/>
        <v>0</v>
      </c>
      <c r="I637" s="125"/>
      <c r="J637" s="125">
        <f t="shared" ca="1" si="67"/>
        <v>0</v>
      </c>
      <c r="K637" s="125">
        <f t="shared" si="68"/>
        <v>0</v>
      </c>
      <c r="L637" s="125">
        <f t="shared" ca="1" si="69"/>
        <v>0</v>
      </c>
      <c r="P637">
        <f t="shared" si="70"/>
        <v>630</v>
      </c>
    </row>
    <row r="638" spans="4:16">
      <c r="D638">
        <v>631</v>
      </c>
      <c r="E638" s="6">
        <f t="shared" ca="1" si="65"/>
        <v>33543</v>
      </c>
      <c r="F638" s="7">
        <f t="shared" ca="1" si="66"/>
        <v>0</v>
      </c>
      <c r="G638" s="125">
        <f ca="1">IF('Simulador - 1º Pilar'!$E$99="Sí",IF('Aportaciones Poliza'!$B$13&lt;'Aportaciones Poliza'!E638,0,F638*$B$8/12),F638*$B$8/12)</f>
        <v>0</v>
      </c>
      <c r="H638" s="125">
        <f t="shared" ca="1" si="64"/>
        <v>0</v>
      </c>
      <c r="I638" s="125"/>
      <c r="J638" s="125">
        <f t="shared" ca="1" si="67"/>
        <v>0</v>
      </c>
      <c r="K638" s="125">
        <f t="shared" si="68"/>
        <v>0</v>
      </c>
      <c r="L638" s="125">
        <f t="shared" ca="1" si="69"/>
        <v>0</v>
      </c>
      <c r="P638">
        <f t="shared" si="70"/>
        <v>631</v>
      </c>
    </row>
    <row r="639" spans="4:16">
      <c r="D639">
        <v>632</v>
      </c>
      <c r="E639" s="6">
        <f t="shared" ca="1" si="65"/>
        <v>33512</v>
      </c>
      <c r="F639" s="7">
        <f t="shared" ca="1" si="66"/>
        <v>0</v>
      </c>
      <c r="G639" s="125">
        <f ca="1">IF('Simulador - 1º Pilar'!$E$99="Sí",IF('Aportaciones Poliza'!$B$13&lt;'Aportaciones Poliza'!E639,0,F639*$B$8/12),F639*$B$8/12)</f>
        <v>0</v>
      </c>
      <c r="H639" s="125">
        <f t="shared" ca="1" si="64"/>
        <v>0</v>
      </c>
      <c r="I639" s="125"/>
      <c r="J639" s="125">
        <f t="shared" ca="1" si="67"/>
        <v>0</v>
      </c>
      <c r="K639" s="125">
        <f t="shared" si="68"/>
        <v>0</v>
      </c>
      <c r="L639" s="125">
        <f t="shared" ca="1" si="69"/>
        <v>0</v>
      </c>
      <c r="P639">
        <f t="shared" si="70"/>
        <v>632</v>
      </c>
    </row>
    <row r="640" spans="4:16">
      <c r="D640">
        <v>633</v>
      </c>
      <c r="E640" s="6">
        <f t="shared" ca="1" si="65"/>
        <v>33482</v>
      </c>
      <c r="F640" s="7">
        <f t="shared" ca="1" si="66"/>
        <v>0</v>
      </c>
      <c r="G640" s="125">
        <f ca="1">IF('Simulador - 1º Pilar'!$E$99="Sí",IF('Aportaciones Poliza'!$B$13&lt;'Aportaciones Poliza'!E640,0,F640*$B$8/12),F640*$B$8/12)</f>
        <v>0</v>
      </c>
      <c r="H640" s="125">
        <f t="shared" ca="1" si="64"/>
        <v>0</v>
      </c>
      <c r="I640" s="125"/>
      <c r="J640" s="125">
        <f t="shared" ca="1" si="67"/>
        <v>0</v>
      </c>
      <c r="K640" s="125">
        <f t="shared" si="68"/>
        <v>0</v>
      </c>
      <c r="L640" s="125">
        <f t="shared" ca="1" si="69"/>
        <v>0</v>
      </c>
      <c r="P640">
        <f t="shared" si="70"/>
        <v>633</v>
      </c>
    </row>
    <row r="641" spans="4:16">
      <c r="D641">
        <v>634</v>
      </c>
      <c r="E641" s="6">
        <f t="shared" ca="1" si="65"/>
        <v>33451</v>
      </c>
      <c r="F641" s="7">
        <f t="shared" ca="1" si="66"/>
        <v>0</v>
      </c>
      <c r="G641" s="125">
        <f ca="1">IF('Simulador - 1º Pilar'!$E$99="Sí",IF('Aportaciones Poliza'!$B$13&lt;'Aportaciones Poliza'!E641,0,F641*$B$8/12),F641*$B$8/12)</f>
        <v>0</v>
      </c>
      <c r="H641" s="125">
        <f t="shared" ca="1" si="64"/>
        <v>0</v>
      </c>
      <c r="I641" s="125"/>
      <c r="J641" s="125">
        <f t="shared" ca="1" si="67"/>
        <v>0</v>
      </c>
      <c r="K641" s="125">
        <f t="shared" si="68"/>
        <v>0</v>
      </c>
      <c r="L641" s="125">
        <f t="shared" ca="1" si="69"/>
        <v>0</v>
      </c>
      <c r="P641">
        <f t="shared" si="70"/>
        <v>634</v>
      </c>
    </row>
    <row r="642" spans="4:16">
      <c r="D642">
        <v>635</v>
      </c>
      <c r="E642" s="6">
        <f t="shared" ca="1" si="65"/>
        <v>33420</v>
      </c>
      <c r="F642" s="7">
        <f t="shared" ca="1" si="66"/>
        <v>0</v>
      </c>
      <c r="G642" s="125">
        <f ca="1">IF('Simulador - 1º Pilar'!$E$99="Sí",IF('Aportaciones Poliza'!$B$13&lt;'Aportaciones Poliza'!E642,0,F642*$B$8/12),F642*$B$8/12)</f>
        <v>0</v>
      </c>
      <c r="H642" s="125">
        <f t="shared" ca="1" si="64"/>
        <v>0</v>
      </c>
      <c r="I642" s="125"/>
      <c r="J642" s="125">
        <f t="shared" ca="1" si="67"/>
        <v>0</v>
      </c>
      <c r="K642" s="125">
        <f t="shared" si="68"/>
        <v>0</v>
      </c>
      <c r="L642" s="125">
        <f t="shared" ca="1" si="69"/>
        <v>0</v>
      </c>
      <c r="P642">
        <f t="shared" si="70"/>
        <v>635</v>
      </c>
    </row>
    <row r="643" spans="4:16">
      <c r="D643">
        <v>636</v>
      </c>
      <c r="E643" s="6">
        <f t="shared" ca="1" si="65"/>
        <v>33390</v>
      </c>
      <c r="F643" s="7">
        <f t="shared" ca="1" si="66"/>
        <v>0</v>
      </c>
      <c r="G643" s="125">
        <f ca="1">IF('Simulador - 1º Pilar'!$E$99="Sí",IF('Aportaciones Poliza'!$B$13&lt;'Aportaciones Poliza'!E643,0,F643*$B$8/12),F643*$B$8/12)</f>
        <v>0</v>
      </c>
      <c r="H643" s="125">
        <f t="shared" ca="1" si="64"/>
        <v>0</v>
      </c>
      <c r="I643" s="125"/>
      <c r="J643" s="125">
        <f t="shared" ca="1" si="67"/>
        <v>0</v>
      </c>
      <c r="K643" s="125">
        <f t="shared" si="68"/>
        <v>0</v>
      </c>
      <c r="L643" s="125">
        <f t="shared" ca="1" si="69"/>
        <v>0</v>
      </c>
      <c r="P643">
        <f t="shared" si="70"/>
        <v>636</v>
      </c>
    </row>
    <row r="644" spans="4:16">
      <c r="D644">
        <v>637</v>
      </c>
      <c r="E644" s="6">
        <f t="shared" ca="1" si="65"/>
        <v>33359</v>
      </c>
      <c r="F644" s="7">
        <f t="shared" ca="1" si="66"/>
        <v>0</v>
      </c>
      <c r="G644" s="125">
        <f ca="1">IF('Simulador - 1º Pilar'!$E$99="Sí",IF('Aportaciones Poliza'!$B$13&lt;'Aportaciones Poliza'!E644,0,F644*$B$8/12),F644*$B$8/12)</f>
        <v>0</v>
      </c>
      <c r="H644" s="125">
        <f t="shared" ca="1" si="64"/>
        <v>0</v>
      </c>
      <c r="I644" s="125"/>
      <c r="J644" s="125">
        <f t="shared" ca="1" si="67"/>
        <v>0</v>
      </c>
      <c r="K644" s="125">
        <f t="shared" si="68"/>
        <v>0</v>
      </c>
      <c r="L644" s="125">
        <f t="shared" ca="1" si="69"/>
        <v>0</v>
      </c>
      <c r="P644">
        <f t="shared" si="70"/>
        <v>637</v>
      </c>
    </row>
    <row r="645" spans="4:16">
      <c r="D645">
        <v>638</v>
      </c>
      <c r="E645" s="6">
        <f t="shared" ca="1" si="65"/>
        <v>33329</v>
      </c>
      <c r="F645" s="7">
        <f t="shared" ca="1" si="66"/>
        <v>0</v>
      </c>
      <c r="G645" s="125">
        <f ca="1">IF('Simulador - 1º Pilar'!$E$99="Sí",IF('Aportaciones Poliza'!$B$13&lt;'Aportaciones Poliza'!E645,0,F645*$B$8/12),F645*$B$8/12)</f>
        <v>0</v>
      </c>
      <c r="H645" s="125">
        <f t="shared" ca="1" si="64"/>
        <v>0</v>
      </c>
      <c r="I645" s="125"/>
      <c r="J645" s="125">
        <f t="shared" ca="1" si="67"/>
        <v>0</v>
      </c>
      <c r="K645" s="125">
        <f t="shared" si="68"/>
        <v>0</v>
      </c>
      <c r="L645" s="125">
        <f t="shared" ca="1" si="69"/>
        <v>0</v>
      </c>
      <c r="P645">
        <f t="shared" si="70"/>
        <v>638</v>
      </c>
    </row>
    <row r="646" spans="4:16">
      <c r="D646">
        <v>639</v>
      </c>
      <c r="E646" s="6">
        <f t="shared" ca="1" si="65"/>
        <v>33298</v>
      </c>
      <c r="F646" s="7">
        <f t="shared" ca="1" si="66"/>
        <v>0</v>
      </c>
      <c r="G646" s="125">
        <f ca="1">IF('Simulador - 1º Pilar'!$E$99="Sí",IF('Aportaciones Poliza'!$B$13&lt;'Aportaciones Poliza'!E646,0,F646*$B$8/12),F646*$B$8/12)</f>
        <v>0</v>
      </c>
      <c r="H646" s="125">
        <f t="shared" ca="1" si="64"/>
        <v>0</v>
      </c>
      <c r="I646" s="125"/>
      <c r="J646" s="125">
        <f t="shared" ca="1" si="67"/>
        <v>0</v>
      </c>
      <c r="K646" s="125">
        <f t="shared" si="68"/>
        <v>0</v>
      </c>
      <c r="L646" s="125">
        <f t="shared" ca="1" si="69"/>
        <v>0</v>
      </c>
      <c r="P646">
        <f t="shared" si="70"/>
        <v>639</v>
      </c>
    </row>
    <row r="647" spans="4:16">
      <c r="D647">
        <v>640</v>
      </c>
      <c r="E647" s="6">
        <f t="shared" ca="1" si="65"/>
        <v>33270</v>
      </c>
      <c r="F647" s="7">
        <f t="shared" ca="1" si="66"/>
        <v>0</v>
      </c>
      <c r="G647" s="125">
        <f ca="1">IF('Simulador - 1º Pilar'!$E$99="Sí",IF('Aportaciones Poliza'!$B$13&lt;'Aportaciones Poliza'!E647,0,F647*$B$8/12),F647*$B$8/12)</f>
        <v>0</v>
      </c>
      <c r="H647" s="125">
        <f t="shared" ref="H647:H710" ca="1" si="71">$H$5*G647</f>
        <v>0</v>
      </c>
      <c r="I647" s="125"/>
      <c r="J647" s="125">
        <f t="shared" ca="1" si="67"/>
        <v>0</v>
      </c>
      <c r="K647" s="125">
        <f t="shared" si="68"/>
        <v>0</v>
      </c>
      <c r="L647" s="125">
        <f t="shared" ca="1" si="69"/>
        <v>0</v>
      </c>
      <c r="P647">
        <f t="shared" si="70"/>
        <v>640</v>
      </c>
    </row>
    <row r="648" spans="4:16">
      <c r="D648">
        <v>641</v>
      </c>
      <c r="E648" s="6">
        <f t="shared" ref="E648:E711" ca="1" si="72">+DATE(YEAR(E647),MONTH(E647)-1,DAY(E647))</f>
        <v>33239</v>
      </c>
      <c r="F648" s="7">
        <f t="shared" ref="F648:F711" ca="1" si="73">IF(DATE(YEAR($B$6),MONTH($B$6)+1,DAY(1))=E648,1,IF(MONTH(E648)=1,F649*(1+$F$5),F649))</f>
        <v>0</v>
      </c>
      <c r="G648" s="125">
        <f ca="1">IF('Simulador - 1º Pilar'!$E$99="Sí",IF('Aportaciones Poliza'!$B$13&lt;'Aportaciones Poliza'!E648,0,F648*$B$8/12),F648*$B$8/12)</f>
        <v>0</v>
      </c>
      <c r="H648" s="125">
        <f t="shared" ca="1" si="71"/>
        <v>0</v>
      </c>
      <c r="I648" s="125"/>
      <c r="J648" s="125">
        <f t="shared" ref="J648:J711" ca="1" si="74">(1+$M$5)^(D648/12)*(H648+IF(AND(F648=1,F649=0),$Q$4,0))</f>
        <v>0</v>
      </c>
      <c r="K648" s="125">
        <f t="shared" ref="K648:K711" si="75">(1+$M$5)^(D648/12)*(I648)</f>
        <v>0</v>
      </c>
      <c r="L648" s="125">
        <f t="shared" ref="L648:L711" ca="1" si="76">K648+J648</f>
        <v>0</v>
      </c>
      <c r="P648">
        <f t="shared" si="70"/>
        <v>641</v>
      </c>
    </row>
    <row r="649" spans="4:16">
      <c r="D649">
        <v>642</v>
      </c>
      <c r="E649" s="6">
        <f t="shared" ca="1" si="72"/>
        <v>33208</v>
      </c>
      <c r="F649" s="7">
        <f t="shared" ca="1" si="73"/>
        <v>0</v>
      </c>
      <c r="G649" s="125">
        <f ca="1">IF('Simulador - 1º Pilar'!$E$99="Sí",IF('Aportaciones Poliza'!$B$13&lt;'Aportaciones Poliza'!E649,0,F649*$B$8/12),F649*$B$8/12)</f>
        <v>0</v>
      </c>
      <c r="H649" s="125">
        <f t="shared" ca="1" si="71"/>
        <v>0</v>
      </c>
      <c r="I649" s="125"/>
      <c r="J649" s="125">
        <f t="shared" ca="1" si="74"/>
        <v>0</v>
      </c>
      <c r="K649" s="125">
        <f t="shared" si="75"/>
        <v>0</v>
      </c>
      <c r="L649" s="125">
        <f t="shared" ca="1" si="76"/>
        <v>0</v>
      </c>
      <c r="P649">
        <f t="shared" ref="P649:P712" si="77">D649</f>
        <v>642</v>
      </c>
    </row>
    <row r="650" spans="4:16">
      <c r="D650">
        <v>643</v>
      </c>
      <c r="E650" s="6">
        <f t="shared" ca="1" si="72"/>
        <v>33178</v>
      </c>
      <c r="F650" s="7">
        <f t="shared" ca="1" si="73"/>
        <v>0</v>
      </c>
      <c r="G650" s="125">
        <f ca="1">IF('Simulador - 1º Pilar'!$E$99="Sí",IF('Aportaciones Poliza'!$B$13&lt;'Aportaciones Poliza'!E650,0,F650*$B$8/12),F650*$B$8/12)</f>
        <v>0</v>
      </c>
      <c r="H650" s="125">
        <f t="shared" ca="1" si="71"/>
        <v>0</v>
      </c>
      <c r="I650" s="125"/>
      <c r="J650" s="125">
        <f t="shared" ca="1" si="74"/>
        <v>0</v>
      </c>
      <c r="K650" s="125">
        <f t="shared" si="75"/>
        <v>0</v>
      </c>
      <c r="L650" s="125">
        <f t="shared" ca="1" si="76"/>
        <v>0</v>
      </c>
      <c r="P650">
        <f t="shared" si="77"/>
        <v>643</v>
      </c>
    </row>
    <row r="651" spans="4:16">
      <c r="D651">
        <v>644</v>
      </c>
      <c r="E651" s="6">
        <f t="shared" ca="1" si="72"/>
        <v>33147</v>
      </c>
      <c r="F651" s="7">
        <f t="shared" ca="1" si="73"/>
        <v>0</v>
      </c>
      <c r="G651" s="125">
        <f ca="1">IF('Simulador - 1º Pilar'!$E$99="Sí",IF('Aportaciones Poliza'!$B$13&lt;'Aportaciones Poliza'!E651,0,F651*$B$8/12),F651*$B$8/12)</f>
        <v>0</v>
      </c>
      <c r="H651" s="125">
        <f t="shared" ca="1" si="71"/>
        <v>0</v>
      </c>
      <c r="I651" s="125"/>
      <c r="J651" s="125">
        <f t="shared" ca="1" si="74"/>
        <v>0</v>
      </c>
      <c r="K651" s="125">
        <f t="shared" si="75"/>
        <v>0</v>
      </c>
      <c r="L651" s="125">
        <f t="shared" ca="1" si="76"/>
        <v>0</v>
      </c>
      <c r="P651">
        <f t="shared" si="77"/>
        <v>644</v>
      </c>
    </row>
    <row r="652" spans="4:16">
      <c r="D652">
        <v>645</v>
      </c>
      <c r="E652" s="6">
        <f t="shared" ca="1" si="72"/>
        <v>33117</v>
      </c>
      <c r="F652" s="7">
        <f t="shared" ca="1" si="73"/>
        <v>0</v>
      </c>
      <c r="G652" s="125">
        <f ca="1">IF('Simulador - 1º Pilar'!$E$99="Sí",IF('Aportaciones Poliza'!$B$13&lt;'Aportaciones Poliza'!E652,0,F652*$B$8/12),F652*$B$8/12)</f>
        <v>0</v>
      </c>
      <c r="H652" s="125">
        <f t="shared" ca="1" si="71"/>
        <v>0</v>
      </c>
      <c r="I652" s="125"/>
      <c r="J652" s="125">
        <f t="shared" ca="1" si="74"/>
        <v>0</v>
      </c>
      <c r="K652" s="125">
        <f t="shared" si="75"/>
        <v>0</v>
      </c>
      <c r="L652" s="125">
        <f t="shared" ca="1" si="76"/>
        <v>0</v>
      </c>
      <c r="P652">
        <f t="shared" si="77"/>
        <v>645</v>
      </c>
    </row>
    <row r="653" spans="4:16">
      <c r="D653">
        <v>646</v>
      </c>
      <c r="E653" s="6">
        <f t="shared" ca="1" si="72"/>
        <v>33086</v>
      </c>
      <c r="F653" s="7">
        <f t="shared" ca="1" si="73"/>
        <v>0</v>
      </c>
      <c r="G653" s="125">
        <f ca="1">IF('Simulador - 1º Pilar'!$E$99="Sí",IF('Aportaciones Poliza'!$B$13&lt;'Aportaciones Poliza'!E653,0,F653*$B$8/12),F653*$B$8/12)</f>
        <v>0</v>
      </c>
      <c r="H653" s="125">
        <f t="shared" ca="1" si="71"/>
        <v>0</v>
      </c>
      <c r="I653" s="125"/>
      <c r="J653" s="125">
        <f t="shared" ca="1" si="74"/>
        <v>0</v>
      </c>
      <c r="K653" s="125">
        <f t="shared" si="75"/>
        <v>0</v>
      </c>
      <c r="L653" s="125">
        <f t="shared" ca="1" si="76"/>
        <v>0</v>
      </c>
      <c r="P653">
        <f t="shared" si="77"/>
        <v>646</v>
      </c>
    </row>
    <row r="654" spans="4:16">
      <c r="D654">
        <v>647</v>
      </c>
      <c r="E654" s="6">
        <f t="shared" ca="1" si="72"/>
        <v>33055</v>
      </c>
      <c r="F654" s="7">
        <f t="shared" ca="1" si="73"/>
        <v>0</v>
      </c>
      <c r="G654" s="125">
        <f ca="1">IF('Simulador - 1º Pilar'!$E$99="Sí",IF('Aportaciones Poliza'!$B$13&lt;'Aportaciones Poliza'!E654,0,F654*$B$8/12),F654*$B$8/12)</f>
        <v>0</v>
      </c>
      <c r="H654" s="125">
        <f t="shared" ca="1" si="71"/>
        <v>0</v>
      </c>
      <c r="I654" s="125"/>
      <c r="J654" s="125">
        <f t="shared" ca="1" si="74"/>
        <v>0</v>
      </c>
      <c r="K654" s="125">
        <f t="shared" si="75"/>
        <v>0</v>
      </c>
      <c r="L654" s="125">
        <f t="shared" ca="1" si="76"/>
        <v>0</v>
      </c>
      <c r="P654">
        <f t="shared" si="77"/>
        <v>647</v>
      </c>
    </row>
    <row r="655" spans="4:16">
      <c r="D655">
        <v>648</v>
      </c>
      <c r="E655" s="6">
        <f t="shared" ca="1" si="72"/>
        <v>33025</v>
      </c>
      <c r="F655" s="7">
        <f t="shared" ca="1" si="73"/>
        <v>0</v>
      </c>
      <c r="G655" s="125">
        <f ca="1">IF('Simulador - 1º Pilar'!$E$99="Sí",IF('Aportaciones Poliza'!$B$13&lt;'Aportaciones Poliza'!E655,0,F655*$B$8/12),F655*$B$8/12)</f>
        <v>0</v>
      </c>
      <c r="H655" s="125">
        <f t="shared" ca="1" si="71"/>
        <v>0</v>
      </c>
      <c r="I655" s="125"/>
      <c r="J655" s="125">
        <f t="shared" ca="1" si="74"/>
        <v>0</v>
      </c>
      <c r="K655" s="125">
        <f t="shared" si="75"/>
        <v>0</v>
      </c>
      <c r="L655" s="125">
        <f t="shared" ca="1" si="76"/>
        <v>0</v>
      </c>
      <c r="P655">
        <f t="shared" si="77"/>
        <v>648</v>
      </c>
    </row>
    <row r="656" spans="4:16">
      <c r="D656">
        <v>649</v>
      </c>
      <c r="E656" s="6">
        <f t="shared" ca="1" si="72"/>
        <v>32994</v>
      </c>
      <c r="F656" s="7">
        <f t="shared" ca="1" si="73"/>
        <v>0</v>
      </c>
      <c r="G656" s="125">
        <f ca="1">IF('Simulador - 1º Pilar'!$E$99="Sí",IF('Aportaciones Poliza'!$B$13&lt;'Aportaciones Poliza'!E656,0,F656*$B$8/12),F656*$B$8/12)</f>
        <v>0</v>
      </c>
      <c r="H656" s="125">
        <f t="shared" ca="1" si="71"/>
        <v>0</v>
      </c>
      <c r="I656" s="125"/>
      <c r="J656" s="125">
        <f t="shared" ca="1" si="74"/>
        <v>0</v>
      </c>
      <c r="K656" s="125">
        <f t="shared" si="75"/>
        <v>0</v>
      </c>
      <c r="L656" s="125">
        <f t="shared" ca="1" si="76"/>
        <v>0</v>
      </c>
      <c r="P656">
        <f t="shared" si="77"/>
        <v>649</v>
      </c>
    </row>
    <row r="657" spans="4:16">
      <c r="D657">
        <v>650</v>
      </c>
      <c r="E657" s="6">
        <f t="shared" ca="1" si="72"/>
        <v>32964</v>
      </c>
      <c r="F657" s="7">
        <f t="shared" ca="1" si="73"/>
        <v>0</v>
      </c>
      <c r="G657" s="125">
        <f ca="1">IF('Simulador - 1º Pilar'!$E$99="Sí",IF('Aportaciones Poliza'!$B$13&lt;'Aportaciones Poliza'!E657,0,F657*$B$8/12),F657*$B$8/12)</f>
        <v>0</v>
      </c>
      <c r="H657" s="125">
        <f t="shared" ca="1" si="71"/>
        <v>0</v>
      </c>
      <c r="I657" s="125"/>
      <c r="J657" s="125">
        <f t="shared" ca="1" si="74"/>
        <v>0</v>
      </c>
      <c r="K657" s="125">
        <f t="shared" si="75"/>
        <v>0</v>
      </c>
      <c r="L657" s="125">
        <f t="shared" ca="1" si="76"/>
        <v>0</v>
      </c>
      <c r="P657">
        <f t="shared" si="77"/>
        <v>650</v>
      </c>
    </row>
    <row r="658" spans="4:16">
      <c r="D658">
        <v>651</v>
      </c>
      <c r="E658" s="6">
        <f t="shared" ca="1" si="72"/>
        <v>32933</v>
      </c>
      <c r="F658" s="7">
        <f t="shared" ca="1" si="73"/>
        <v>0</v>
      </c>
      <c r="G658" s="125">
        <f ca="1">IF('Simulador - 1º Pilar'!$E$99="Sí",IF('Aportaciones Poliza'!$B$13&lt;'Aportaciones Poliza'!E658,0,F658*$B$8/12),F658*$B$8/12)</f>
        <v>0</v>
      </c>
      <c r="H658" s="125">
        <f t="shared" ca="1" si="71"/>
        <v>0</v>
      </c>
      <c r="I658" s="125"/>
      <c r="J658" s="125">
        <f t="shared" ca="1" si="74"/>
        <v>0</v>
      </c>
      <c r="K658" s="125">
        <f t="shared" si="75"/>
        <v>0</v>
      </c>
      <c r="L658" s="125">
        <f t="shared" ca="1" si="76"/>
        <v>0</v>
      </c>
      <c r="P658">
        <f t="shared" si="77"/>
        <v>651</v>
      </c>
    </row>
    <row r="659" spans="4:16">
      <c r="D659">
        <v>652</v>
      </c>
      <c r="E659" s="6">
        <f t="shared" ca="1" si="72"/>
        <v>32905</v>
      </c>
      <c r="F659" s="7">
        <f t="shared" ca="1" si="73"/>
        <v>0</v>
      </c>
      <c r="G659" s="125">
        <f ca="1">IF('Simulador - 1º Pilar'!$E$99="Sí",IF('Aportaciones Poliza'!$B$13&lt;'Aportaciones Poliza'!E659,0,F659*$B$8/12),F659*$B$8/12)</f>
        <v>0</v>
      </c>
      <c r="H659" s="125">
        <f t="shared" ca="1" si="71"/>
        <v>0</v>
      </c>
      <c r="I659" s="125"/>
      <c r="J659" s="125">
        <f t="shared" ca="1" si="74"/>
        <v>0</v>
      </c>
      <c r="K659" s="125">
        <f t="shared" si="75"/>
        <v>0</v>
      </c>
      <c r="L659" s="125">
        <f t="shared" ca="1" si="76"/>
        <v>0</v>
      </c>
      <c r="P659">
        <f t="shared" si="77"/>
        <v>652</v>
      </c>
    </row>
    <row r="660" spans="4:16">
      <c r="D660">
        <v>653</v>
      </c>
      <c r="E660" s="6">
        <f t="shared" ca="1" si="72"/>
        <v>32874</v>
      </c>
      <c r="F660" s="7">
        <f t="shared" ca="1" si="73"/>
        <v>0</v>
      </c>
      <c r="G660" s="125">
        <f ca="1">IF('Simulador - 1º Pilar'!$E$99="Sí",IF('Aportaciones Poliza'!$B$13&lt;'Aportaciones Poliza'!E660,0,F660*$B$8/12),F660*$B$8/12)</f>
        <v>0</v>
      </c>
      <c r="H660" s="125">
        <f t="shared" ca="1" si="71"/>
        <v>0</v>
      </c>
      <c r="I660" s="125"/>
      <c r="J660" s="125">
        <f t="shared" ca="1" si="74"/>
        <v>0</v>
      </c>
      <c r="K660" s="125">
        <f t="shared" si="75"/>
        <v>0</v>
      </c>
      <c r="L660" s="125">
        <f t="shared" ca="1" si="76"/>
        <v>0</v>
      </c>
      <c r="P660">
        <f t="shared" si="77"/>
        <v>653</v>
      </c>
    </row>
    <row r="661" spans="4:16">
      <c r="D661">
        <v>654</v>
      </c>
      <c r="E661" s="6">
        <f t="shared" ca="1" si="72"/>
        <v>32843</v>
      </c>
      <c r="F661" s="7">
        <f t="shared" ca="1" si="73"/>
        <v>0</v>
      </c>
      <c r="G661" s="125">
        <f ca="1">IF('Simulador - 1º Pilar'!$E$99="Sí",IF('Aportaciones Poliza'!$B$13&lt;'Aportaciones Poliza'!E661,0,F661*$B$8/12),F661*$B$8/12)</f>
        <v>0</v>
      </c>
      <c r="H661" s="125">
        <f t="shared" ca="1" si="71"/>
        <v>0</v>
      </c>
      <c r="I661" s="125"/>
      <c r="J661" s="125">
        <f t="shared" ca="1" si="74"/>
        <v>0</v>
      </c>
      <c r="K661" s="125">
        <f t="shared" si="75"/>
        <v>0</v>
      </c>
      <c r="L661" s="125">
        <f t="shared" ca="1" si="76"/>
        <v>0</v>
      </c>
      <c r="P661">
        <f t="shared" si="77"/>
        <v>654</v>
      </c>
    </row>
    <row r="662" spans="4:16">
      <c r="D662">
        <v>655</v>
      </c>
      <c r="E662" s="6">
        <f t="shared" ca="1" si="72"/>
        <v>32813</v>
      </c>
      <c r="F662" s="7">
        <f t="shared" ca="1" si="73"/>
        <v>0</v>
      </c>
      <c r="G662" s="125">
        <f ca="1">IF('Simulador - 1º Pilar'!$E$99="Sí",IF('Aportaciones Poliza'!$B$13&lt;'Aportaciones Poliza'!E662,0,F662*$B$8/12),F662*$B$8/12)</f>
        <v>0</v>
      </c>
      <c r="H662" s="125">
        <f t="shared" ca="1" si="71"/>
        <v>0</v>
      </c>
      <c r="I662" s="125"/>
      <c r="J662" s="125">
        <f t="shared" ca="1" si="74"/>
        <v>0</v>
      </c>
      <c r="K662" s="125">
        <f t="shared" si="75"/>
        <v>0</v>
      </c>
      <c r="L662" s="125">
        <f t="shared" ca="1" si="76"/>
        <v>0</v>
      </c>
      <c r="P662">
        <f t="shared" si="77"/>
        <v>655</v>
      </c>
    </row>
    <row r="663" spans="4:16">
      <c r="D663">
        <v>656</v>
      </c>
      <c r="E663" s="6">
        <f t="shared" ca="1" si="72"/>
        <v>32782</v>
      </c>
      <c r="F663" s="7">
        <f t="shared" ca="1" si="73"/>
        <v>0</v>
      </c>
      <c r="G663" s="125">
        <f ca="1">IF('Simulador - 1º Pilar'!$E$99="Sí",IF('Aportaciones Poliza'!$B$13&lt;'Aportaciones Poliza'!E663,0,F663*$B$8/12),F663*$B$8/12)</f>
        <v>0</v>
      </c>
      <c r="H663" s="125">
        <f t="shared" ca="1" si="71"/>
        <v>0</v>
      </c>
      <c r="I663" s="125"/>
      <c r="J663" s="125">
        <f t="shared" ca="1" si="74"/>
        <v>0</v>
      </c>
      <c r="K663" s="125">
        <f t="shared" si="75"/>
        <v>0</v>
      </c>
      <c r="L663" s="125">
        <f t="shared" ca="1" si="76"/>
        <v>0</v>
      </c>
      <c r="P663">
        <f t="shared" si="77"/>
        <v>656</v>
      </c>
    </row>
    <row r="664" spans="4:16">
      <c r="D664">
        <v>657</v>
      </c>
      <c r="E664" s="6">
        <f t="shared" ca="1" si="72"/>
        <v>32752</v>
      </c>
      <c r="F664" s="7">
        <f t="shared" ca="1" si="73"/>
        <v>0</v>
      </c>
      <c r="G664" s="125">
        <f ca="1">IF('Simulador - 1º Pilar'!$E$99="Sí",IF('Aportaciones Poliza'!$B$13&lt;'Aportaciones Poliza'!E664,0,F664*$B$8/12),F664*$B$8/12)</f>
        <v>0</v>
      </c>
      <c r="H664" s="125">
        <f t="shared" ca="1" si="71"/>
        <v>0</v>
      </c>
      <c r="I664" s="125"/>
      <c r="J664" s="125">
        <f t="shared" ca="1" si="74"/>
        <v>0</v>
      </c>
      <c r="K664" s="125">
        <f t="shared" si="75"/>
        <v>0</v>
      </c>
      <c r="L664" s="125">
        <f t="shared" ca="1" si="76"/>
        <v>0</v>
      </c>
      <c r="P664">
        <f t="shared" si="77"/>
        <v>657</v>
      </c>
    </row>
    <row r="665" spans="4:16">
      <c r="D665">
        <v>658</v>
      </c>
      <c r="E665" s="6">
        <f t="shared" ca="1" si="72"/>
        <v>32721</v>
      </c>
      <c r="F665" s="7">
        <f t="shared" ca="1" si="73"/>
        <v>0</v>
      </c>
      <c r="G665" s="125">
        <f ca="1">IF('Simulador - 1º Pilar'!$E$99="Sí",IF('Aportaciones Poliza'!$B$13&lt;'Aportaciones Poliza'!E665,0,F665*$B$8/12),F665*$B$8/12)</f>
        <v>0</v>
      </c>
      <c r="H665" s="125">
        <f t="shared" ca="1" si="71"/>
        <v>0</v>
      </c>
      <c r="I665" s="125"/>
      <c r="J665" s="125">
        <f t="shared" ca="1" si="74"/>
        <v>0</v>
      </c>
      <c r="K665" s="125">
        <f t="shared" si="75"/>
        <v>0</v>
      </c>
      <c r="L665" s="125">
        <f t="shared" ca="1" si="76"/>
        <v>0</v>
      </c>
      <c r="P665">
        <f t="shared" si="77"/>
        <v>658</v>
      </c>
    </row>
    <row r="666" spans="4:16">
      <c r="D666">
        <v>659</v>
      </c>
      <c r="E666" s="6">
        <f t="shared" ca="1" si="72"/>
        <v>32690</v>
      </c>
      <c r="F666" s="7">
        <f t="shared" ca="1" si="73"/>
        <v>0</v>
      </c>
      <c r="G666" s="125">
        <f ca="1">IF('Simulador - 1º Pilar'!$E$99="Sí",IF('Aportaciones Poliza'!$B$13&lt;'Aportaciones Poliza'!E666,0,F666*$B$8/12),F666*$B$8/12)</f>
        <v>0</v>
      </c>
      <c r="H666" s="125">
        <f t="shared" ca="1" si="71"/>
        <v>0</v>
      </c>
      <c r="I666" s="125"/>
      <c r="J666" s="125">
        <f t="shared" ca="1" si="74"/>
        <v>0</v>
      </c>
      <c r="K666" s="125">
        <f t="shared" si="75"/>
        <v>0</v>
      </c>
      <c r="L666" s="125">
        <f t="shared" ca="1" si="76"/>
        <v>0</v>
      </c>
      <c r="P666">
        <f t="shared" si="77"/>
        <v>659</v>
      </c>
    </row>
    <row r="667" spans="4:16">
      <c r="D667">
        <v>660</v>
      </c>
      <c r="E667" s="6">
        <f t="shared" ca="1" si="72"/>
        <v>32660</v>
      </c>
      <c r="F667" s="7">
        <f t="shared" ca="1" si="73"/>
        <v>0</v>
      </c>
      <c r="G667" s="125">
        <f ca="1">IF('Simulador - 1º Pilar'!$E$99="Sí",IF('Aportaciones Poliza'!$B$13&lt;'Aportaciones Poliza'!E667,0,F667*$B$8/12),F667*$B$8/12)</f>
        <v>0</v>
      </c>
      <c r="H667" s="125">
        <f t="shared" ca="1" si="71"/>
        <v>0</v>
      </c>
      <c r="I667" s="125"/>
      <c r="J667" s="125">
        <f t="shared" ca="1" si="74"/>
        <v>0</v>
      </c>
      <c r="K667" s="125">
        <f t="shared" si="75"/>
        <v>0</v>
      </c>
      <c r="L667" s="125">
        <f t="shared" ca="1" si="76"/>
        <v>0</v>
      </c>
      <c r="P667">
        <f t="shared" si="77"/>
        <v>660</v>
      </c>
    </row>
    <row r="668" spans="4:16">
      <c r="D668">
        <v>661</v>
      </c>
      <c r="E668" s="6">
        <f t="shared" ca="1" si="72"/>
        <v>32629</v>
      </c>
      <c r="F668" s="7">
        <f t="shared" ca="1" si="73"/>
        <v>0</v>
      </c>
      <c r="G668" s="125">
        <f ca="1">IF('Simulador - 1º Pilar'!$E$99="Sí",IF('Aportaciones Poliza'!$B$13&lt;'Aportaciones Poliza'!E668,0,F668*$B$8/12),F668*$B$8/12)</f>
        <v>0</v>
      </c>
      <c r="H668" s="125">
        <f t="shared" ca="1" si="71"/>
        <v>0</v>
      </c>
      <c r="I668" s="125"/>
      <c r="J668" s="125">
        <f t="shared" ca="1" si="74"/>
        <v>0</v>
      </c>
      <c r="K668" s="125">
        <f t="shared" si="75"/>
        <v>0</v>
      </c>
      <c r="L668" s="125">
        <f t="shared" ca="1" si="76"/>
        <v>0</v>
      </c>
      <c r="P668">
        <f t="shared" si="77"/>
        <v>661</v>
      </c>
    </row>
    <row r="669" spans="4:16">
      <c r="D669">
        <v>662</v>
      </c>
      <c r="E669" s="6">
        <f t="shared" ca="1" si="72"/>
        <v>32599</v>
      </c>
      <c r="F669" s="7">
        <f t="shared" ca="1" si="73"/>
        <v>0</v>
      </c>
      <c r="G669" s="125">
        <f ca="1">IF('Simulador - 1º Pilar'!$E$99="Sí",IF('Aportaciones Poliza'!$B$13&lt;'Aportaciones Poliza'!E669,0,F669*$B$8/12),F669*$B$8/12)</f>
        <v>0</v>
      </c>
      <c r="H669" s="125">
        <f t="shared" ca="1" si="71"/>
        <v>0</v>
      </c>
      <c r="I669" s="125"/>
      <c r="J669" s="125">
        <f t="shared" ca="1" si="74"/>
        <v>0</v>
      </c>
      <c r="K669" s="125">
        <f t="shared" si="75"/>
        <v>0</v>
      </c>
      <c r="L669" s="125">
        <f t="shared" ca="1" si="76"/>
        <v>0</v>
      </c>
      <c r="P669">
        <f t="shared" si="77"/>
        <v>662</v>
      </c>
    </row>
    <row r="670" spans="4:16">
      <c r="D670">
        <v>663</v>
      </c>
      <c r="E670" s="6">
        <f t="shared" ca="1" si="72"/>
        <v>32568</v>
      </c>
      <c r="F670" s="7">
        <f t="shared" ca="1" si="73"/>
        <v>0</v>
      </c>
      <c r="G670" s="125">
        <f ca="1">IF('Simulador - 1º Pilar'!$E$99="Sí",IF('Aportaciones Poliza'!$B$13&lt;'Aportaciones Poliza'!E670,0,F670*$B$8/12),F670*$B$8/12)</f>
        <v>0</v>
      </c>
      <c r="H670" s="125">
        <f t="shared" ca="1" si="71"/>
        <v>0</v>
      </c>
      <c r="I670" s="125"/>
      <c r="J670" s="125">
        <f t="shared" ca="1" si="74"/>
        <v>0</v>
      </c>
      <c r="K670" s="125">
        <f t="shared" si="75"/>
        <v>0</v>
      </c>
      <c r="L670" s="125">
        <f t="shared" ca="1" si="76"/>
        <v>0</v>
      </c>
      <c r="P670">
        <f t="shared" si="77"/>
        <v>663</v>
      </c>
    </row>
    <row r="671" spans="4:16">
      <c r="D671">
        <v>664</v>
      </c>
      <c r="E671" s="6">
        <f t="shared" ca="1" si="72"/>
        <v>32540</v>
      </c>
      <c r="F671" s="7">
        <f t="shared" ca="1" si="73"/>
        <v>0</v>
      </c>
      <c r="G671" s="125">
        <f ca="1">IF('Simulador - 1º Pilar'!$E$99="Sí",IF('Aportaciones Poliza'!$B$13&lt;'Aportaciones Poliza'!E671,0,F671*$B$8/12),F671*$B$8/12)</f>
        <v>0</v>
      </c>
      <c r="H671" s="125">
        <f t="shared" ca="1" si="71"/>
        <v>0</v>
      </c>
      <c r="I671" s="125"/>
      <c r="J671" s="125">
        <f t="shared" ca="1" si="74"/>
        <v>0</v>
      </c>
      <c r="K671" s="125">
        <f t="shared" si="75"/>
        <v>0</v>
      </c>
      <c r="L671" s="125">
        <f t="shared" ca="1" si="76"/>
        <v>0</v>
      </c>
      <c r="P671">
        <f t="shared" si="77"/>
        <v>664</v>
      </c>
    </row>
    <row r="672" spans="4:16">
      <c r="D672">
        <v>665</v>
      </c>
      <c r="E672" s="6">
        <f t="shared" ca="1" si="72"/>
        <v>32509</v>
      </c>
      <c r="F672" s="7">
        <f t="shared" ca="1" si="73"/>
        <v>0</v>
      </c>
      <c r="G672" s="125">
        <f ca="1">IF('Simulador - 1º Pilar'!$E$99="Sí",IF('Aportaciones Poliza'!$B$13&lt;'Aportaciones Poliza'!E672,0,F672*$B$8/12),F672*$B$8/12)</f>
        <v>0</v>
      </c>
      <c r="H672" s="125">
        <f t="shared" ca="1" si="71"/>
        <v>0</v>
      </c>
      <c r="I672" s="125"/>
      <c r="J672" s="125">
        <f t="shared" ca="1" si="74"/>
        <v>0</v>
      </c>
      <c r="K672" s="125">
        <f t="shared" si="75"/>
        <v>0</v>
      </c>
      <c r="L672" s="125">
        <f t="shared" ca="1" si="76"/>
        <v>0</v>
      </c>
      <c r="P672">
        <f t="shared" si="77"/>
        <v>665</v>
      </c>
    </row>
    <row r="673" spans="4:16">
      <c r="D673">
        <v>666</v>
      </c>
      <c r="E673" s="6">
        <f t="shared" ca="1" si="72"/>
        <v>32478</v>
      </c>
      <c r="F673" s="7">
        <f t="shared" ca="1" si="73"/>
        <v>0</v>
      </c>
      <c r="G673" s="125">
        <f ca="1">IF('Simulador - 1º Pilar'!$E$99="Sí",IF('Aportaciones Poliza'!$B$13&lt;'Aportaciones Poliza'!E673,0,F673*$B$8/12),F673*$B$8/12)</f>
        <v>0</v>
      </c>
      <c r="H673" s="125">
        <f t="shared" ca="1" si="71"/>
        <v>0</v>
      </c>
      <c r="I673" s="125"/>
      <c r="J673" s="125">
        <f t="shared" ca="1" si="74"/>
        <v>0</v>
      </c>
      <c r="K673" s="125">
        <f t="shared" si="75"/>
        <v>0</v>
      </c>
      <c r="L673" s="125">
        <f t="shared" ca="1" si="76"/>
        <v>0</v>
      </c>
      <c r="P673">
        <f t="shared" si="77"/>
        <v>666</v>
      </c>
    </row>
    <row r="674" spans="4:16">
      <c r="D674">
        <v>667</v>
      </c>
      <c r="E674" s="6">
        <f t="shared" ca="1" si="72"/>
        <v>32448</v>
      </c>
      <c r="F674" s="7">
        <f t="shared" ca="1" si="73"/>
        <v>0</v>
      </c>
      <c r="G674" s="125">
        <f ca="1">IF('Simulador - 1º Pilar'!$E$99="Sí",IF('Aportaciones Poliza'!$B$13&lt;'Aportaciones Poliza'!E674,0,F674*$B$8/12),F674*$B$8/12)</f>
        <v>0</v>
      </c>
      <c r="H674" s="125">
        <f t="shared" ca="1" si="71"/>
        <v>0</v>
      </c>
      <c r="I674" s="125"/>
      <c r="J674" s="125">
        <f t="shared" ca="1" si="74"/>
        <v>0</v>
      </c>
      <c r="K674" s="125">
        <f t="shared" si="75"/>
        <v>0</v>
      </c>
      <c r="L674" s="125">
        <f t="shared" ca="1" si="76"/>
        <v>0</v>
      </c>
      <c r="P674">
        <f t="shared" si="77"/>
        <v>667</v>
      </c>
    </row>
    <row r="675" spans="4:16">
      <c r="D675">
        <v>668</v>
      </c>
      <c r="E675" s="6">
        <f t="shared" ca="1" si="72"/>
        <v>32417</v>
      </c>
      <c r="F675" s="7">
        <f t="shared" ca="1" si="73"/>
        <v>0</v>
      </c>
      <c r="G675" s="125">
        <f ca="1">IF('Simulador - 1º Pilar'!$E$99="Sí",IF('Aportaciones Poliza'!$B$13&lt;'Aportaciones Poliza'!E675,0,F675*$B$8/12),F675*$B$8/12)</f>
        <v>0</v>
      </c>
      <c r="H675" s="125">
        <f t="shared" ca="1" si="71"/>
        <v>0</v>
      </c>
      <c r="I675" s="125"/>
      <c r="J675" s="125">
        <f t="shared" ca="1" si="74"/>
        <v>0</v>
      </c>
      <c r="K675" s="125">
        <f t="shared" si="75"/>
        <v>0</v>
      </c>
      <c r="L675" s="125">
        <f t="shared" ca="1" si="76"/>
        <v>0</v>
      </c>
      <c r="P675">
        <f t="shared" si="77"/>
        <v>668</v>
      </c>
    </row>
    <row r="676" spans="4:16">
      <c r="D676">
        <v>669</v>
      </c>
      <c r="E676" s="6">
        <f t="shared" ca="1" si="72"/>
        <v>32387</v>
      </c>
      <c r="F676" s="7">
        <f t="shared" ca="1" si="73"/>
        <v>0</v>
      </c>
      <c r="G676" s="125">
        <f ca="1">IF('Simulador - 1º Pilar'!$E$99="Sí",IF('Aportaciones Poliza'!$B$13&lt;'Aportaciones Poliza'!E676,0,F676*$B$8/12),F676*$B$8/12)</f>
        <v>0</v>
      </c>
      <c r="H676" s="125">
        <f t="shared" ca="1" si="71"/>
        <v>0</v>
      </c>
      <c r="I676" s="125"/>
      <c r="J676" s="125">
        <f t="shared" ca="1" si="74"/>
        <v>0</v>
      </c>
      <c r="K676" s="125">
        <f t="shared" si="75"/>
        <v>0</v>
      </c>
      <c r="L676" s="125">
        <f t="shared" ca="1" si="76"/>
        <v>0</v>
      </c>
      <c r="P676">
        <f t="shared" si="77"/>
        <v>669</v>
      </c>
    </row>
    <row r="677" spans="4:16">
      <c r="D677">
        <v>670</v>
      </c>
      <c r="E677" s="6">
        <f t="shared" ca="1" si="72"/>
        <v>32356</v>
      </c>
      <c r="F677" s="7">
        <f t="shared" ca="1" si="73"/>
        <v>0</v>
      </c>
      <c r="G677" s="125">
        <f ca="1">IF('Simulador - 1º Pilar'!$E$99="Sí",IF('Aportaciones Poliza'!$B$13&lt;'Aportaciones Poliza'!E677,0,F677*$B$8/12),F677*$B$8/12)</f>
        <v>0</v>
      </c>
      <c r="H677" s="125">
        <f t="shared" ca="1" si="71"/>
        <v>0</v>
      </c>
      <c r="I677" s="125"/>
      <c r="J677" s="125">
        <f t="shared" ca="1" si="74"/>
        <v>0</v>
      </c>
      <c r="K677" s="125">
        <f t="shared" si="75"/>
        <v>0</v>
      </c>
      <c r="L677" s="125">
        <f t="shared" ca="1" si="76"/>
        <v>0</v>
      </c>
      <c r="P677">
        <f t="shared" si="77"/>
        <v>670</v>
      </c>
    </row>
    <row r="678" spans="4:16">
      <c r="D678">
        <v>671</v>
      </c>
      <c r="E678" s="6">
        <f t="shared" ca="1" si="72"/>
        <v>32325</v>
      </c>
      <c r="F678" s="7">
        <f t="shared" ca="1" si="73"/>
        <v>0</v>
      </c>
      <c r="G678" s="125">
        <f ca="1">IF('Simulador - 1º Pilar'!$E$99="Sí",IF('Aportaciones Poliza'!$B$13&lt;'Aportaciones Poliza'!E678,0,F678*$B$8/12),F678*$B$8/12)</f>
        <v>0</v>
      </c>
      <c r="H678" s="125">
        <f t="shared" ca="1" si="71"/>
        <v>0</v>
      </c>
      <c r="I678" s="125"/>
      <c r="J678" s="125">
        <f t="shared" ca="1" si="74"/>
        <v>0</v>
      </c>
      <c r="K678" s="125">
        <f t="shared" si="75"/>
        <v>0</v>
      </c>
      <c r="L678" s="125">
        <f t="shared" ca="1" si="76"/>
        <v>0</v>
      </c>
      <c r="P678">
        <f t="shared" si="77"/>
        <v>671</v>
      </c>
    </row>
    <row r="679" spans="4:16">
      <c r="D679">
        <v>672</v>
      </c>
      <c r="E679" s="6">
        <f t="shared" ca="1" si="72"/>
        <v>32295</v>
      </c>
      <c r="F679" s="7">
        <f t="shared" ca="1" si="73"/>
        <v>0</v>
      </c>
      <c r="G679" s="125">
        <f ca="1">IF('Simulador - 1º Pilar'!$E$99="Sí",IF('Aportaciones Poliza'!$B$13&lt;'Aportaciones Poliza'!E679,0,F679*$B$8/12),F679*$B$8/12)</f>
        <v>0</v>
      </c>
      <c r="H679" s="125">
        <f t="shared" ca="1" si="71"/>
        <v>0</v>
      </c>
      <c r="I679" s="125"/>
      <c r="J679" s="125">
        <f t="shared" ca="1" si="74"/>
        <v>0</v>
      </c>
      <c r="K679" s="125">
        <f t="shared" si="75"/>
        <v>0</v>
      </c>
      <c r="L679" s="125">
        <f t="shared" ca="1" si="76"/>
        <v>0</v>
      </c>
      <c r="P679">
        <f t="shared" si="77"/>
        <v>672</v>
      </c>
    </row>
    <row r="680" spans="4:16">
      <c r="D680">
        <v>673</v>
      </c>
      <c r="E680" s="6">
        <f t="shared" ca="1" si="72"/>
        <v>32264</v>
      </c>
      <c r="F680" s="7">
        <f t="shared" ca="1" si="73"/>
        <v>0</v>
      </c>
      <c r="G680" s="125">
        <f ca="1">IF('Simulador - 1º Pilar'!$E$99="Sí",IF('Aportaciones Poliza'!$B$13&lt;'Aportaciones Poliza'!E680,0,F680*$B$8/12),F680*$B$8/12)</f>
        <v>0</v>
      </c>
      <c r="H680" s="125">
        <f t="shared" ca="1" si="71"/>
        <v>0</v>
      </c>
      <c r="I680" s="125"/>
      <c r="J680" s="125">
        <f t="shared" ca="1" si="74"/>
        <v>0</v>
      </c>
      <c r="K680" s="125">
        <f t="shared" si="75"/>
        <v>0</v>
      </c>
      <c r="L680" s="125">
        <f t="shared" ca="1" si="76"/>
        <v>0</v>
      </c>
      <c r="P680">
        <f t="shared" si="77"/>
        <v>673</v>
      </c>
    </row>
    <row r="681" spans="4:16">
      <c r="D681">
        <v>674</v>
      </c>
      <c r="E681" s="6">
        <f t="shared" ca="1" si="72"/>
        <v>32234</v>
      </c>
      <c r="F681" s="7">
        <f t="shared" ca="1" si="73"/>
        <v>0</v>
      </c>
      <c r="G681" s="125">
        <f ca="1">IF('Simulador - 1º Pilar'!$E$99="Sí",IF('Aportaciones Poliza'!$B$13&lt;'Aportaciones Poliza'!E681,0,F681*$B$8/12),F681*$B$8/12)</f>
        <v>0</v>
      </c>
      <c r="H681" s="125">
        <f t="shared" ca="1" si="71"/>
        <v>0</v>
      </c>
      <c r="I681" s="125"/>
      <c r="J681" s="125">
        <f t="shared" ca="1" si="74"/>
        <v>0</v>
      </c>
      <c r="K681" s="125">
        <f t="shared" si="75"/>
        <v>0</v>
      </c>
      <c r="L681" s="125">
        <f t="shared" ca="1" si="76"/>
        <v>0</v>
      </c>
      <c r="P681">
        <f t="shared" si="77"/>
        <v>674</v>
      </c>
    </row>
    <row r="682" spans="4:16">
      <c r="D682">
        <v>675</v>
      </c>
      <c r="E682" s="6">
        <f t="shared" ca="1" si="72"/>
        <v>32203</v>
      </c>
      <c r="F682" s="7">
        <f t="shared" ca="1" si="73"/>
        <v>0</v>
      </c>
      <c r="G682" s="125">
        <f ca="1">IF('Simulador - 1º Pilar'!$E$99="Sí",IF('Aportaciones Poliza'!$B$13&lt;'Aportaciones Poliza'!E682,0,F682*$B$8/12),F682*$B$8/12)</f>
        <v>0</v>
      </c>
      <c r="H682" s="125">
        <f t="shared" ca="1" si="71"/>
        <v>0</v>
      </c>
      <c r="I682" s="125"/>
      <c r="J682" s="125">
        <f t="shared" ca="1" si="74"/>
        <v>0</v>
      </c>
      <c r="K682" s="125">
        <f t="shared" si="75"/>
        <v>0</v>
      </c>
      <c r="L682" s="125">
        <f t="shared" ca="1" si="76"/>
        <v>0</v>
      </c>
      <c r="P682">
        <f t="shared" si="77"/>
        <v>675</v>
      </c>
    </row>
    <row r="683" spans="4:16">
      <c r="D683">
        <v>676</v>
      </c>
      <c r="E683" s="6">
        <f t="shared" ca="1" si="72"/>
        <v>32174</v>
      </c>
      <c r="F683" s="7">
        <f t="shared" ca="1" si="73"/>
        <v>0</v>
      </c>
      <c r="G683" s="125">
        <f ca="1">IF('Simulador - 1º Pilar'!$E$99="Sí",IF('Aportaciones Poliza'!$B$13&lt;'Aportaciones Poliza'!E683,0,F683*$B$8/12),F683*$B$8/12)</f>
        <v>0</v>
      </c>
      <c r="H683" s="125">
        <f t="shared" ca="1" si="71"/>
        <v>0</v>
      </c>
      <c r="I683" s="125"/>
      <c r="J683" s="125">
        <f t="shared" ca="1" si="74"/>
        <v>0</v>
      </c>
      <c r="K683" s="125">
        <f t="shared" si="75"/>
        <v>0</v>
      </c>
      <c r="L683" s="125">
        <f t="shared" ca="1" si="76"/>
        <v>0</v>
      </c>
      <c r="P683">
        <f t="shared" si="77"/>
        <v>676</v>
      </c>
    </row>
    <row r="684" spans="4:16">
      <c r="D684">
        <v>677</v>
      </c>
      <c r="E684" s="6">
        <f t="shared" ca="1" si="72"/>
        <v>32143</v>
      </c>
      <c r="F684" s="7">
        <f t="shared" ca="1" si="73"/>
        <v>0</v>
      </c>
      <c r="G684" s="125">
        <f ca="1">IF('Simulador - 1º Pilar'!$E$99="Sí",IF('Aportaciones Poliza'!$B$13&lt;'Aportaciones Poliza'!E684,0,F684*$B$8/12),F684*$B$8/12)</f>
        <v>0</v>
      </c>
      <c r="H684" s="125">
        <f t="shared" ca="1" si="71"/>
        <v>0</v>
      </c>
      <c r="I684" s="125"/>
      <c r="J684" s="125">
        <f t="shared" ca="1" si="74"/>
        <v>0</v>
      </c>
      <c r="K684" s="125">
        <f t="shared" si="75"/>
        <v>0</v>
      </c>
      <c r="L684" s="125">
        <f t="shared" ca="1" si="76"/>
        <v>0</v>
      </c>
      <c r="P684">
        <f t="shared" si="77"/>
        <v>677</v>
      </c>
    </row>
    <row r="685" spans="4:16">
      <c r="D685">
        <v>678</v>
      </c>
      <c r="E685" s="6">
        <f t="shared" ca="1" si="72"/>
        <v>32112</v>
      </c>
      <c r="F685" s="7">
        <f t="shared" ca="1" si="73"/>
        <v>0</v>
      </c>
      <c r="G685" s="125">
        <f ca="1">IF('Simulador - 1º Pilar'!$E$99="Sí",IF('Aportaciones Poliza'!$B$13&lt;'Aportaciones Poliza'!E685,0,F685*$B$8/12),F685*$B$8/12)</f>
        <v>0</v>
      </c>
      <c r="H685" s="125">
        <f t="shared" ca="1" si="71"/>
        <v>0</v>
      </c>
      <c r="I685" s="125"/>
      <c r="J685" s="125">
        <f t="shared" ca="1" si="74"/>
        <v>0</v>
      </c>
      <c r="K685" s="125">
        <f t="shared" si="75"/>
        <v>0</v>
      </c>
      <c r="L685" s="125">
        <f t="shared" ca="1" si="76"/>
        <v>0</v>
      </c>
      <c r="P685">
        <f t="shared" si="77"/>
        <v>678</v>
      </c>
    </row>
    <row r="686" spans="4:16">
      <c r="D686">
        <v>679</v>
      </c>
      <c r="E686" s="6">
        <f t="shared" ca="1" si="72"/>
        <v>32082</v>
      </c>
      <c r="F686" s="7">
        <f t="shared" ca="1" si="73"/>
        <v>0</v>
      </c>
      <c r="G686" s="125">
        <f ca="1">IF('Simulador - 1º Pilar'!$E$99="Sí",IF('Aportaciones Poliza'!$B$13&lt;'Aportaciones Poliza'!E686,0,F686*$B$8/12),F686*$B$8/12)</f>
        <v>0</v>
      </c>
      <c r="H686" s="125">
        <f t="shared" ca="1" si="71"/>
        <v>0</v>
      </c>
      <c r="I686" s="125"/>
      <c r="J686" s="125">
        <f t="shared" ca="1" si="74"/>
        <v>0</v>
      </c>
      <c r="K686" s="125">
        <f t="shared" si="75"/>
        <v>0</v>
      </c>
      <c r="L686" s="125">
        <f t="shared" ca="1" si="76"/>
        <v>0</v>
      </c>
      <c r="P686">
        <f t="shared" si="77"/>
        <v>679</v>
      </c>
    </row>
    <row r="687" spans="4:16">
      <c r="D687">
        <v>680</v>
      </c>
      <c r="E687" s="6">
        <f t="shared" ca="1" si="72"/>
        <v>32051</v>
      </c>
      <c r="F687" s="7">
        <f t="shared" ca="1" si="73"/>
        <v>0</v>
      </c>
      <c r="G687" s="125">
        <f ca="1">IF('Simulador - 1º Pilar'!$E$99="Sí",IF('Aportaciones Poliza'!$B$13&lt;'Aportaciones Poliza'!E687,0,F687*$B$8/12),F687*$B$8/12)</f>
        <v>0</v>
      </c>
      <c r="H687" s="125">
        <f t="shared" ca="1" si="71"/>
        <v>0</v>
      </c>
      <c r="I687" s="125"/>
      <c r="J687" s="125">
        <f t="shared" ca="1" si="74"/>
        <v>0</v>
      </c>
      <c r="K687" s="125">
        <f t="shared" si="75"/>
        <v>0</v>
      </c>
      <c r="L687" s="125">
        <f t="shared" ca="1" si="76"/>
        <v>0</v>
      </c>
      <c r="P687">
        <f t="shared" si="77"/>
        <v>680</v>
      </c>
    </row>
    <row r="688" spans="4:16">
      <c r="D688">
        <v>681</v>
      </c>
      <c r="E688" s="6">
        <f t="shared" ca="1" si="72"/>
        <v>32021</v>
      </c>
      <c r="F688" s="7">
        <f t="shared" ca="1" si="73"/>
        <v>0</v>
      </c>
      <c r="G688" s="125">
        <f ca="1">IF('Simulador - 1º Pilar'!$E$99="Sí",IF('Aportaciones Poliza'!$B$13&lt;'Aportaciones Poliza'!E688,0,F688*$B$8/12),F688*$B$8/12)</f>
        <v>0</v>
      </c>
      <c r="H688" s="125">
        <f t="shared" ca="1" si="71"/>
        <v>0</v>
      </c>
      <c r="I688" s="125"/>
      <c r="J688" s="125">
        <f t="shared" ca="1" si="74"/>
        <v>0</v>
      </c>
      <c r="K688" s="125">
        <f t="shared" si="75"/>
        <v>0</v>
      </c>
      <c r="L688" s="125">
        <f t="shared" ca="1" si="76"/>
        <v>0</v>
      </c>
      <c r="P688">
        <f t="shared" si="77"/>
        <v>681</v>
      </c>
    </row>
    <row r="689" spans="4:16">
      <c r="D689">
        <v>682</v>
      </c>
      <c r="E689" s="6">
        <f t="shared" ca="1" si="72"/>
        <v>31990</v>
      </c>
      <c r="F689" s="7">
        <f t="shared" ca="1" si="73"/>
        <v>0</v>
      </c>
      <c r="G689" s="125">
        <f ca="1">IF('Simulador - 1º Pilar'!$E$99="Sí",IF('Aportaciones Poliza'!$B$13&lt;'Aportaciones Poliza'!E689,0,F689*$B$8/12),F689*$B$8/12)</f>
        <v>0</v>
      </c>
      <c r="H689" s="125">
        <f t="shared" ca="1" si="71"/>
        <v>0</v>
      </c>
      <c r="I689" s="125"/>
      <c r="J689" s="125">
        <f t="shared" ca="1" si="74"/>
        <v>0</v>
      </c>
      <c r="K689" s="125">
        <f t="shared" si="75"/>
        <v>0</v>
      </c>
      <c r="L689" s="125">
        <f t="shared" ca="1" si="76"/>
        <v>0</v>
      </c>
      <c r="P689">
        <f t="shared" si="77"/>
        <v>682</v>
      </c>
    </row>
    <row r="690" spans="4:16">
      <c r="D690">
        <v>683</v>
      </c>
      <c r="E690" s="6">
        <f t="shared" ca="1" si="72"/>
        <v>31959</v>
      </c>
      <c r="F690" s="7">
        <f t="shared" ca="1" si="73"/>
        <v>0</v>
      </c>
      <c r="G690" s="125">
        <f ca="1">IF('Simulador - 1º Pilar'!$E$99="Sí",IF('Aportaciones Poliza'!$B$13&lt;'Aportaciones Poliza'!E690,0,F690*$B$8/12),F690*$B$8/12)</f>
        <v>0</v>
      </c>
      <c r="H690" s="125">
        <f t="shared" ca="1" si="71"/>
        <v>0</v>
      </c>
      <c r="I690" s="125"/>
      <c r="J690" s="125">
        <f t="shared" ca="1" si="74"/>
        <v>0</v>
      </c>
      <c r="K690" s="125">
        <f t="shared" si="75"/>
        <v>0</v>
      </c>
      <c r="L690" s="125">
        <f t="shared" ca="1" si="76"/>
        <v>0</v>
      </c>
      <c r="P690">
        <f t="shared" si="77"/>
        <v>683</v>
      </c>
    </row>
    <row r="691" spans="4:16">
      <c r="D691">
        <v>684</v>
      </c>
      <c r="E691" s="6">
        <f t="shared" ca="1" si="72"/>
        <v>31929</v>
      </c>
      <c r="F691" s="7">
        <f t="shared" ca="1" si="73"/>
        <v>0</v>
      </c>
      <c r="G691" s="125">
        <f ca="1">IF('Simulador - 1º Pilar'!$E$99="Sí",IF('Aportaciones Poliza'!$B$13&lt;'Aportaciones Poliza'!E691,0,F691*$B$8/12),F691*$B$8/12)</f>
        <v>0</v>
      </c>
      <c r="H691" s="125">
        <f t="shared" ca="1" si="71"/>
        <v>0</v>
      </c>
      <c r="I691" s="125"/>
      <c r="J691" s="125">
        <f t="shared" ca="1" si="74"/>
        <v>0</v>
      </c>
      <c r="K691" s="125">
        <f t="shared" si="75"/>
        <v>0</v>
      </c>
      <c r="L691" s="125">
        <f t="shared" ca="1" si="76"/>
        <v>0</v>
      </c>
      <c r="P691">
        <f t="shared" si="77"/>
        <v>684</v>
      </c>
    </row>
    <row r="692" spans="4:16">
      <c r="D692">
        <v>685</v>
      </c>
      <c r="E692" s="6">
        <f t="shared" ca="1" si="72"/>
        <v>31898</v>
      </c>
      <c r="F692" s="7">
        <f t="shared" ca="1" si="73"/>
        <v>0</v>
      </c>
      <c r="G692" s="125">
        <f ca="1">IF('Simulador - 1º Pilar'!$E$99="Sí",IF('Aportaciones Poliza'!$B$13&lt;'Aportaciones Poliza'!E692,0,F692*$B$8/12),F692*$B$8/12)</f>
        <v>0</v>
      </c>
      <c r="H692" s="125">
        <f t="shared" ca="1" si="71"/>
        <v>0</v>
      </c>
      <c r="I692" s="125"/>
      <c r="J692" s="125">
        <f t="shared" ca="1" si="74"/>
        <v>0</v>
      </c>
      <c r="K692" s="125">
        <f t="shared" si="75"/>
        <v>0</v>
      </c>
      <c r="L692" s="125">
        <f t="shared" ca="1" si="76"/>
        <v>0</v>
      </c>
      <c r="P692">
        <f t="shared" si="77"/>
        <v>685</v>
      </c>
    </row>
    <row r="693" spans="4:16">
      <c r="D693">
        <v>686</v>
      </c>
      <c r="E693" s="6">
        <f t="shared" ca="1" si="72"/>
        <v>31868</v>
      </c>
      <c r="F693" s="7">
        <f t="shared" ca="1" si="73"/>
        <v>0</v>
      </c>
      <c r="G693" s="125">
        <f ca="1">IF('Simulador - 1º Pilar'!$E$99="Sí",IF('Aportaciones Poliza'!$B$13&lt;'Aportaciones Poliza'!E693,0,F693*$B$8/12),F693*$B$8/12)</f>
        <v>0</v>
      </c>
      <c r="H693" s="125">
        <f t="shared" ca="1" si="71"/>
        <v>0</v>
      </c>
      <c r="I693" s="125"/>
      <c r="J693" s="125">
        <f t="shared" ca="1" si="74"/>
        <v>0</v>
      </c>
      <c r="K693" s="125">
        <f t="shared" si="75"/>
        <v>0</v>
      </c>
      <c r="L693" s="125">
        <f t="shared" ca="1" si="76"/>
        <v>0</v>
      </c>
      <c r="P693">
        <f t="shared" si="77"/>
        <v>686</v>
      </c>
    </row>
    <row r="694" spans="4:16">
      <c r="D694">
        <v>687</v>
      </c>
      <c r="E694" s="6">
        <f t="shared" ca="1" si="72"/>
        <v>31837</v>
      </c>
      <c r="F694" s="7">
        <f t="shared" ca="1" si="73"/>
        <v>0</v>
      </c>
      <c r="G694" s="125">
        <f ca="1">IF('Simulador - 1º Pilar'!$E$99="Sí",IF('Aportaciones Poliza'!$B$13&lt;'Aportaciones Poliza'!E694,0,F694*$B$8/12),F694*$B$8/12)</f>
        <v>0</v>
      </c>
      <c r="H694" s="125">
        <f t="shared" ca="1" si="71"/>
        <v>0</v>
      </c>
      <c r="I694" s="125"/>
      <c r="J694" s="125">
        <f t="shared" ca="1" si="74"/>
        <v>0</v>
      </c>
      <c r="K694" s="125">
        <f t="shared" si="75"/>
        <v>0</v>
      </c>
      <c r="L694" s="125">
        <f t="shared" ca="1" si="76"/>
        <v>0</v>
      </c>
      <c r="P694">
        <f t="shared" si="77"/>
        <v>687</v>
      </c>
    </row>
    <row r="695" spans="4:16">
      <c r="D695">
        <v>688</v>
      </c>
      <c r="E695" s="6">
        <f t="shared" ca="1" si="72"/>
        <v>31809</v>
      </c>
      <c r="F695" s="7">
        <f t="shared" ca="1" si="73"/>
        <v>0</v>
      </c>
      <c r="G695" s="125">
        <f ca="1">IF('Simulador - 1º Pilar'!$E$99="Sí",IF('Aportaciones Poliza'!$B$13&lt;'Aportaciones Poliza'!E695,0,F695*$B$8/12),F695*$B$8/12)</f>
        <v>0</v>
      </c>
      <c r="H695" s="125">
        <f t="shared" ca="1" si="71"/>
        <v>0</v>
      </c>
      <c r="I695" s="125"/>
      <c r="J695" s="125">
        <f t="shared" ca="1" si="74"/>
        <v>0</v>
      </c>
      <c r="K695" s="125">
        <f t="shared" si="75"/>
        <v>0</v>
      </c>
      <c r="L695" s="125">
        <f t="shared" ca="1" si="76"/>
        <v>0</v>
      </c>
      <c r="P695">
        <f t="shared" si="77"/>
        <v>688</v>
      </c>
    </row>
    <row r="696" spans="4:16">
      <c r="D696">
        <v>689</v>
      </c>
      <c r="E696" s="6">
        <f t="shared" ca="1" si="72"/>
        <v>31778</v>
      </c>
      <c r="F696" s="7">
        <f t="shared" ca="1" si="73"/>
        <v>0</v>
      </c>
      <c r="G696" s="125">
        <f ca="1">IF('Simulador - 1º Pilar'!$E$99="Sí",IF('Aportaciones Poliza'!$B$13&lt;'Aportaciones Poliza'!E696,0,F696*$B$8/12),F696*$B$8/12)</f>
        <v>0</v>
      </c>
      <c r="H696" s="125">
        <f t="shared" ca="1" si="71"/>
        <v>0</v>
      </c>
      <c r="I696" s="125"/>
      <c r="J696" s="125">
        <f t="shared" ca="1" si="74"/>
        <v>0</v>
      </c>
      <c r="K696" s="125">
        <f t="shared" si="75"/>
        <v>0</v>
      </c>
      <c r="L696" s="125">
        <f t="shared" ca="1" si="76"/>
        <v>0</v>
      </c>
      <c r="P696">
        <f t="shared" si="77"/>
        <v>689</v>
      </c>
    </row>
    <row r="697" spans="4:16">
      <c r="D697">
        <v>690</v>
      </c>
      <c r="E697" s="6">
        <f t="shared" ca="1" si="72"/>
        <v>31747</v>
      </c>
      <c r="F697" s="7">
        <f t="shared" ca="1" si="73"/>
        <v>0</v>
      </c>
      <c r="G697" s="125">
        <f ca="1">IF('Simulador - 1º Pilar'!$E$99="Sí",IF('Aportaciones Poliza'!$B$13&lt;'Aportaciones Poliza'!E697,0,F697*$B$8/12),F697*$B$8/12)</f>
        <v>0</v>
      </c>
      <c r="H697" s="125">
        <f t="shared" ca="1" si="71"/>
        <v>0</v>
      </c>
      <c r="I697" s="125"/>
      <c r="J697" s="125">
        <f t="shared" ca="1" si="74"/>
        <v>0</v>
      </c>
      <c r="K697" s="125">
        <f t="shared" si="75"/>
        <v>0</v>
      </c>
      <c r="L697" s="125">
        <f t="shared" ca="1" si="76"/>
        <v>0</v>
      </c>
      <c r="P697">
        <f t="shared" si="77"/>
        <v>690</v>
      </c>
    </row>
    <row r="698" spans="4:16">
      <c r="D698">
        <v>691</v>
      </c>
      <c r="E698" s="6">
        <f t="shared" ca="1" si="72"/>
        <v>31717</v>
      </c>
      <c r="F698" s="7">
        <f t="shared" ca="1" si="73"/>
        <v>0</v>
      </c>
      <c r="G698" s="125">
        <f ca="1">IF('Simulador - 1º Pilar'!$E$99="Sí",IF('Aportaciones Poliza'!$B$13&lt;'Aportaciones Poliza'!E698,0,F698*$B$8/12),F698*$B$8/12)</f>
        <v>0</v>
      </c>
      <c r="H698" s="125">
        <f t="shared" ca="1" si="71"/>
        <v>0</v>
      </c>
      <c r="I698" s="125"/>
      <c r="J698" s="125">
        <f t="shared" ca="1" si="74"/>
        <v>0</v>
      </c>
      <c r="K698" s="125">
        <f t="shared" si="75"/>
        <v>0</v>
      </c>
      <c r="L698" s="125">
        <f t="shared" ca="1" si="76"/>
        <v>0</v>
      </c>
      <c r="P698">
        <f t="shared" si="77"/>
        <v>691</v>
      </c>
    </row>
    <row r="699" spans="4:16">
      <c r="D699">
        <v>692</v>
      </c>
      <c r="E699" s="6">
        <f t="shared" ca="1" si="72"/>
        <v>31686</v>
      </c>
      <c r="F699" s="7">
        <f t="shared" ca="1" si="73"/>
        <v>0</v>
      </c>
      <c r="G699" s="125">
        <f ca="1">IF('Simulador - 1º Pilar'!$E$99="Sí",IF('Aportaciones Poliza'!$B$13&lt;'Aportaciones Poliza'!E699,0,F699*$B$8/12),F699*$B$8/12)</f>
        <v>0</v>
      </c>
      <c r="H699" s="125">
        <f t="shared" ca="1" si="71"/>
        <v>0</v>
      </c>
      <c r="I699" s="125"/>
      <c r="J699" s="125">
        <f t="shared" ca="1" si="74"/>
        <v>0</v>
      </c>
      <c r="K699" s="125">
        <f t="shared" si="75"/>
        <v>0</v>
      </c>
      <c r="L699" s="125">
        <f t="shared" ca="1" si="76"/>
        <v>0</v>
      </c>
      <c r="P699">
        <f t="shared" si="77"/>
        <v>692</v>
      </c>
    </row>
    <row r="700" spans="4:16">
      <c r="D700">
        <v>693</v>
      </c>
      <c r="E700" s="6">
        <f t="shared" ca="1" si="72"/>
        <v>31656</v>
      </c>
      <c r="F700" s="7">
        <f t="shared" ca="1" si="73"/>
        <v>0</v>
      </c>
      <c r="G700" s="125">
        <f ca="1">IF('Simulador - 1º Pilar'!$E$99="Sí",IF('Aportaciones Poliza'!$B$13&lt;'Aportaciones Poliza'!E700,0,F700*$B$8/12),F700*$B$8/12)</f>
        <v>0</v>
      </c>
      <c r="H700" s="125">
        <f t="shared" ca="1" si="71"/>
        <v>0</v>
      </c>
      <c r="I700" s="125"/>
      <c r="J700" s="125">
        <f t="shared" ca="1" si="74"/>
        <v>0</v>
      </c>
      <c r="K700" s="125">
        <f t="shared" si="75"/>
        <v>0</v>
      </c>
      <c r="L700" s="125">
        <f t="shared" ca="1" si="76"/>
        <v>0</v>
      </c>
      <c r="P700">
        <f t="shared" si="77"/>
        <v>693</v>
      </c>
    </row>
    <row r="701" spans="4:16">
      <c r="D701">
        <v>694</v>
      </c>
      <c r="E701" s="6">
        <f t="shared" ca="1" si="72"/>
        <v>31625</v>
      </c>
      <c r="F701" s="7">
        <f t="shared" ca="1" si="73"/>
        <v>0</v>
      </c>
      <c r="G701" s="125">
        <f ca="1">IF('Simulador - 1º Pilar'!$E$99="Sí",IF('Aportaciones Poliza'!$B$13&lt;'Aportaciones Poliza'!E701,0,F701*$B$8/12),F701*$B$8/12)</f>
        <v>0</v>
      </c>
      <c r="H701" s="125">
        <f t="shared" ca="1" si="71"/>
        <v>0</v>
      </c>
      <c r="I701" s="125"/>
      <c r="J701" s="125">
        <f t="shared" ca="1" si="74"/>
        <v>0</v>
      </c>
      <c r="K701" s="125">
        <f t="shared" si="75"/>
        <v>0</v>
      </c>
      <c r="L701" s="125">
        <f t="shared" ca="1" si="76"/>
        <v>0</v>
      </c>
      <c r="P701">
        <f t="shared" si="77"/>
        <v>694</v>
      </c>
    </row>
    <row r="702" spans="4:16">
      <c r="D702">
        <v>695</v>
      </c>
      <c r="E702" s="6">
        <f t="shared" ca="1" si="72"/>
        <v>31594</v>
      </c>
      <c r="F702" s="7">
        <f t="shared" ca="1" si="73"/>
        <v>0</v>
      </c>
      <c r="G702" s="125">
        <f ca="1">IF('Simulador - 1º Pilar'!$E$99="Sí",IF('Aportaciones Poliza'!$B$13&lt;'Aportaciones Poliza'!E702,0,F702*$B$8/12),F702*$B$8/12)</f>
        <v>0</v>
      </c>
      <c r="H702" s="125">
        <f t="shared" ca="1" si="71"/>
        <v>0</v>
      </c>
      <c r="I702" s="125"/>
      <c r="J702" s="125">
        <f t="shared" ca="1" si="74"/>
        <v>0</v>
      </c>
      <c r="K702" s="125">
        <f t="shared" si="75"/>
        <v>0</v>
      </c>
      <c r="L702" s="125">
        <f t="shared" ca="1" si="76"/>
        <v>0</v>
      </c>
      <c r="P702">
        <f t="shared" si="77"/>
        <v>695</v>
      </c>
    </row>
    <row r="703" spans="4:16">
      <c r="D703">
        <v>696</v>
      </c>
      <c r="E703" s="6">
        <f t="shared" ca="1" si="72"/>
        <v>31564</v>
      </c>
      <c r="F703" s="7">
        <f t="shared" ca="1" si="73"/>
        <v>0</v>
      </c>
      <c r="G703" s="125">
        <f ca="1">IF('Simulador - 1º Pilar'!$E$99="Sí",IF('Aportaciones Poliza'!$B$13&lt;'Aportaciones Poliza'!E703,0,F703*$B$8/12),F703*$B$8/12)</f>
        <v>0</v>
      </c>
      <c r="H703" s="125">
        <f t="shared" ca="1" si="71"/>
        <v>0</v>
      </c>
      <c r="I703" s="125"/>
      <c r="J703" s="125">
        <f t="shared" ca="1" si="74"/>
        <v>0</v>
      </c>
      <c r="K703" s="125">
        <f t="shared" si="75"/>
        <v>0</v>
      </c>
      <c r="L703" s="125">
        <f t="shared" ca="1" si="76"/>
        <v>0</v>
      </c>
      <c r="P703">
        <f t="shared" si="77"/>
        <v>696</v>
      </c>
    </row>
    <row r="704" spans="4:16">
      <c r="D704">
        <v>697</v>
      </c>
      <c r="E704" s="6">
        <f t="shared" ca="1" si="72"/>
        <v>31533</v>
      </c>
      <c r="F704" s="7">
        <f t="shared" ca="1" si="73"/>
        <v>0</v>
      </c>
      <c r="G704" s="125">
        <f ca="1">IF('Simulador - 1º Pilar'!$E$99="Sí",IF('Aportaciones Poliza'!$B$13&lt;'Aportaciones Poliza'!E704,0,F704*$B$8/12),F704*$B$8/12)</f>
        <v>0</v>
      </c>
      <c r="H704" s="125">
        <f t="shared" ca="1" si="71"/>
        <v>0</v>
      </c>
      <c r="I704" s="125"/>
      <c r="J704" s="125">
        <f t="shared" ca="1" si="74"/>
        <v>0</v>
      </c>
      <c r="K704" s="125">
        <f t="shared" si="75"/>
        <v>0</v>
      </c>
      <c r="L704" s="125">
        <f t="shared" ca="1" si="76"/>
        <v>0</v>
      </c>
      <c r="P704">
        <f t="shared" si="77"/>
        <v>697</v>
      </c>
    </row>
    <row r="705" spans="4:16">
      <c r="D705">
        <v>698</v>
      </c>
      <c r="E705" s="6">
        <f t="shared" ca="1" si="72"/>
        <v>31503</v>
      </c>
      <c r="F705" s="7">
        <f t="shared" ca="1" si="73"/>
        <v>0</v>
      </c>
      <c r="G705" s="125">
        <f ca="1">IF('Simulador - 1º Pilar'!$E$99="Sí",IF('Aportaciones Poliza'!$B$13&lt;'Aportaciones Poliza'!E705,0,F705*$B$8/12),F705*$B$8/12)</f>
        <v>0</v>
      </c>
      <c r="H705" s="125">
        <f t="shared" ca="1" si="71"/>
        <v>0</v>
      </c>
      <c r="I705" s="125"/>
      <c r="J705" s="125">
        <f t="shared" ca="1" si="74"/>
        <v>0</v>
      </c>
      <c r="K705" s="125">
        <f t="shared" si="75"/>
        <v>0</v>
      </c>
      <c r="L705" s="125">
        <f t="shared" ca="1" si="76"/>
        <v>0</v>
      </c>
      <c r="P705">
        <f t="shared" si="77"/>
        <v>698</v>
      </c>
    </row>
    <row r="706" spans="4:16">
      <c r="D706">
        <v>699</v>
      </c>
      <c r="E706" s="6">
        <f t="shared" ca="1" si="72"/>
        <v>31472</v>
      </c>
      <c r="F706" s="7">
        <f t="shared" ca="1" si="73"/>
        <v>0</v>
      </c>
      <c r="G706" s="125">
        <f ca="1">IF('Simulador - 1º Pilar'!$E$99="Sí",IF('Aportaciones Poliza'!$B$13&lt;'Aportaciones Poliza'!E706,0,F706*$B$8/12),F706*$B$8/12)</f>
        <v>0</v>
      </c>
      <c r="H706" s="125">
        <f t="shared" ca="1" si="71"/>
        <v>0</v>
      </c>
      <c r="I706" s="125"/>
      <c r="J706" s="125">
        <f t="shared" ca="1" si="74"/>
        <v>0</v>
      </c>
      <c r="K706" s="125">
        <f t="shared" si="75"/>
        <v>0</v>
      </c>
      <c r="L706" s="125">
        <f t="shared" ca="1" si="76"/>
        <v>0</v>
      </c>
      <c r="P706">
        <f t="shared" si="77"/>
        <v>699</v>
      </c>
    </row>
    <row r="707" spans="4:16">
      <c r="D707">
        <v>700</v>
      </c>
      <c r="E707" s="6">
        <f t="shared" ca="1" si="72"/>
        <v>31444</v>
      </c>
      <c r="F707" s="7">
        <f t="shared" ca="1" si="73"/>
        <v>0</v>
      </c>
      <c r="G707" s="125">
        <f ca="1">IF('Simulador - 1º Pilar'!$E$99="Sí",IF('Aportaciones Poliza'!$B$13&lt;'Aportaciones Poliza'!E707,0,F707*$B$8/12),F707*$B$8/12)</f>
        <v>0</v>
      </c>
      <c r="H707" s="125">
        <f t="shared" ca="1" si="71"/>
        <v>0</v>
      </c>
      <c r="I707" s="125"/>
      <c r="J707" s="125">
        <f t="shared" ca="1" si="74"/>
        <v>0</v>
      </c>
      <c r="K707" s="125">
        <f t="shared" si="75"/>
        <v>0</v>
      </c>
      <c r="L707" s="125">
        <f t="shared" ca="1" si="76"/>
        <v>0</v>
      </c>
      <c r="P707">
        <f t="shared" si="77"/>
        <v>700</v>
      </c>
    </row>
    <row r="708" spans="4:16">
      <c r="D708">
        <v>701</v>
      </c>
      <c r="E708" s="6">
        <f t="shared" ca="1" si="72"/>
        <v>31413</v>
      </c>
      <c r="F708" s="7">
        <f t="shared" ca="1" si="73"/>
        <v>0</v>
      </c>
      <c r="G708" s="125">
        <f ca="1">IF('Simulador - 1º Pilar'!$E$99="Sí",IF('Aportaciones Poliza'!$B$13&lt;'Aportaciones Poliza'!E708,0,F708*$B$8/12),F708*$B$8/12)</f>
        <v>0</v>
      </c>
      <c r="H708" s="125">
        <f t="shared" ca="1" si="71"/>
        <v>0</v>
      </c>
      <c r="I708" s="125"/>
      <c r="J708" s="125">
        <f t="shared" ca="1" si="74"/>
        <v>0</v>
      </c>
      <c r="K708" s="125">
        <f t="shared" si="75"/>
        <v>0</v>
      </c>
      <c r="L708" s="125">
        <f t="shared" ca="1" si="76"/>
        <v>0</v>
      </c>
      <c r="P708">
        <f t="shared" si="77"/>
        <v>701</v>
      </c>
    </row>
    <row r="709" spans="4:16">
      <c r="D709">
        <v>702</v>
      </c>
      <c r="E709" s="6">
        <f t="shared" ca="1" si="72"/>
        <v>31382</v>
      </c>
      <c r="F709" s="7">
        <f t="shared" ca="1" si="73"/>
        <v>0</v>
      </c>
      <c r="G709" s="125">
        <f ca="1">IF('Simulador - 1º Pilar'!$E$99="Sí",IF('Aportaciones Poliza'!$B$13&lt;'Aportaciones Poliza'!E709,0,F709*$B$8/12),F709*$B$8/12)</f>
        <v>0</v>
      </c>
      <c r="H709" s="125">
        <f t="shared" ca="1" si="71"/>
        <v>0</v>
      </c>
      <c r="I709" s="125"/>
      <c r="J709" s="125">
        <f t="shared" ca="1" si="74"/>
        <v>0</v>
      </c>
      <c r="K709" s="125">
        <f t="shared" si="75"/>
        <v>0</v>
      </c>
      <c r="L709" s="125">
        <f t="shared" ca="1" si="76"/>
        <v>0</v>
      </c>
      <c r="P709">
        <f t="shared" si="77"/>
        <v>702</v>
      </c>
    </row>
    <row r="710" spans="4:16">
      <c r="D710">
        <v>703</v>
      </c>
      <c r="E710" s="6">
        <f t="shared" ca="1" si="72"/>
        <v>31352</v>
      </c>
      <c r="F710" s="7">
        <f t="shared" ca="1" si="73"/>
        <v>0</v>
      </c>
      <c r="G710" s="125">
        <f ca="1">IF('Simulador - 1º Pilar'!$E$99="Sí",IF('Aportaciones Poliza'!$B$13&lt;'Aportaciones Poliza'!E710,0,F710*$B$8/12),F710*$B$8/12)</f>
        <v>0</v>
      </c>
      <c r="H710" s="125">
        <f t="shared" ca="1" si="71"/>
        <v>0</v>
      </c>
      <c r="I710" s="125"/>
      <c r="J710" s="125">
        <f t="shared" ca="1" si="74"/>
        <v>0</v>
      </c>
      <c r="K710" s="125">
        <f t="shared" si="75"/>
        <v>0</v>
      </c>
      <c r="L710" s="125">
        <f t="shared" ca="1" si="76"/>
        <v>0</v>
      </c>
      <c r="P710">
        <f t="shared" si="77"/>
        <v>703</v>
      </c>
    </row>
    <row r="711" spans="4:16">
      <c r="D711">
        <v>704</v>
      </c>
      <c r="E711" s="6">
        <f t="shared" ca="1" si="72"/>
        <v>31321</v>
      </c>
      <c r="F711" s="7">
        <f t="shared" ca="1" si="73"/>
        <v>0</v>
      </c>
      <c r="G711" s="125">
        <f ca="1">IF('Simulador - 1º Pilar'!$E$99="Sí",IF('Aportaciones Poliza'!$B$13&lt;'Aportaciones Poliza'!E711,0,F711*$B$8/12),F711*$B$8/12)</f>
        <v>0</v>
      </c>
      <c r="H711" s="125">
        <f t="shared" ref="H711:H774" ca="1" si="78">$H$5*G711</f>
        <v>0</v>
      </c>
      <c r="I711" s="125"/>
      <c r="J711" s="125">
        <f t="shared" ca="1" si="74"/>
        <v>0</v>
      </c>
      <c r="K711" s="125">
        <f t="shared" si="75"/>
        <v>0</v>
      </c>
      <c r="L711" s="125">
        <f t="shared" ca="1" si="76"/>
        <v>0</v>
      </c>
      <c r="P711">
        <f t="shared" si="77"/>
        <v>704</v>
      </c>
    </row>
    <row r="712" spans="4:16">
      <c r="D712">
        <v>705</v>
      </c>
      <c r="E712" s="6">
        <f t="shared" ref="E712:E775" ca="1" si="79">+DATE(YEAR(E711),MONTH(E711)-1,DAY(E711))</f>
        <v>31291</v>
      </c>
      <c r="F712" s="7">
        <f t="shared" ref="F712:F775" ca="1" si="80">IF(DATE(YEAR($B$6),MONTH($B$6)+1,DAY(1))=E712,1,IF(MONTH(E712)=1,F713*(1+$F$5),F713))</f>
        <v>0</v>
      </c>
      <c r="G712" s="125">
        <f ca="1">IF('Simulador - 1º Pilar'!$E$99="Sí",IF('Aportaciones Poliza'!$B$13&lt;'Aportaciones Poliza'!E712,0,F712*$B$8/12),F712*$B$8/12)</f>
        <v>0</v>
      </c>
      <c r="H712" s="125">
        <f t="shared" ca="1" si="78"/>
        <v>0</v>
      </c>
      <c r="I712" s="125"/>
      <c r="J712" s="125">
        <f t="shared" ref="J712:J775" ca="1" si="81">(1+$M$5)^(D712/12)*(H712+IF(AND(F712=1,F713=0),$Q$4,0))</f>
        <v>0</v>
      </c>
      <c r="K712" s="125">
        <f t="shared" ref="K712:K775" si="82">(1+$M$5)^(D712/12)*(I712)</f>
        <v>0</v>
      </c>
      <c r="L712" s="125">
        <f t="shared" ref="L712:L775" ca="1" si="83">K712+J712</f>
        <v>0</v>
      </c>
      <c r="P712">
        <f t="shared" si="77"/>
        <v>705</v>
      </c>
    </row>
    <row r="713" spans="4:16">
      <c r="D713">
        <v>706</v>
      </c>
      <c r="E713" s="6">
        <f t="shared" ca="1" si="79"/>
        <v>31260</v>
      </c>
      <c r="F713" s="7">
        <f t="shared" ca="1" si="80"/>
        <v>0</v>
      </c>
      <c r="G713" s="125">
        <f ca="1">IF('Simulador - 1º Pilar'!$E$99="Sí",IF('Aportaciones Poliza'!$B$13&lt;'Aportaciones Poliza'!E713,0,F713*$B$8/12),F713*$B$8/12)</f>
        <v>0</v>
      </c>
      <c r="H713" s="125">
        <f t="shared" ca="1" si="78"/>
        <v>0</v>
      </c>
      <c r="I713" s="125"/>
      <c r="J713" s="125">
        <f t="shared" ca="1" si="81"/>
        <v>0</v>
      </c>
      <c r="K713" s="125">
        <f t="shared" si="82"/>
        <v>0</v>
      </c>
      <c r="L713" s="125">
        <f t="shared" ca="1" si="83"/>
        <v>0</v>
      </c>
      <c r="P713">
        <f t="shared" ref="P713:P776" si="84">D713</f>
        <v>706</v>
      </c>
    </row>
    <row r="714" spans="4:16">
      <c r="D714">
        <v>707</v>
      </c>
      <c r="E714" s="6">
        <f t="shared" ca="1" si="79"/>
        <v>31229</v>
      </c>
      <c r="F714" s="7">
        <f t="shared" ca="1" si="80"/>
        <v>0</v>
      </c>
      <c r="G714" s="125">
        <f ca="1">IF('Simulador - 1º Pilar'!$E$99="Sí",IF('Aportaciones Poliza'!$B$13&lt;'Aportaciones Poliza'!E714,0,F714*$B$8/12),F714*$B$8/12)</f>
        <v>0</v>
      </c>
      <c r="H714" s="125">
        <f t="shared" ca="1" si="78"/>
        <v>0</v>
      </c>
      <c r="I714" s="125"/>
      <c r="J714" s="125">
        <f t="shared" ca="1" si="81"/>
        <v>0</v>
      </c>
      <c r="K714" s="125">
        <f t="shared" si="82"/>
        <v>0</v>
      </c>
      <c r="L714" s="125">
        <f t="shared" ca="1" si="83"/>
        <v>0</v>
      </c>
      <c r="P714">
        <f t="shared" si="84"/>
        <v>707</v>
      </c>
    </row>
    <row r="715" spans="4:16">
      <c r="D715">
        <v>708</v>
      </c>
      <c r="E715" s="6">
        <f t="shared" ca="1" si="79"/>
        <v>31199</v>
      </c>
      <c r="F715" s="7">
        <f t="shared" ca="1" si="80"/>
        <v>0</v>
      </c>
      <c r="G715" s="125">
        <f ca="1">IF('Simulador - 1º Pilar'!$E$99="Sí",IF('Aportaciones Poliza'!$B$13&lt;'Aportaciones Poliza'!E715,0,F715*$B$8/12),F715*$B$8/12)</f>
        <v>0</v>
      </c>
      <c r="H715" s="125">
        <f t="shared" ca="1" si="78"/>
        <v>0</v>
      </c>
      <c r="I715" s="125"/>
      <c r="J715" s="125">
        <f t="shared" ca="1" si="81"/>
        <v>0</v>
      </c>
      <c r="K715" s="125">
        <f t="shared" si="82"/>
        <v>0</v>
      </c>
      <c r="L715" s="125">
        <f t="shared" ca="1" si="83"/>
        <v>0</v>
      </c>
      <c r="P715">
        <f t="shared" si="84"/>
        <v>708</v>
      </c>
    </row>
    <row r="716" spans="4:16">
      <c r="D716">
        <v>709</v>
      </c>
      <c r="E716" s="6">
        <f t="shared" ca="1" si="79"/>
        <v>31168</v>
      </c>
      <c r="F716" s="7">
        <f t="shared" ca="1" si="80"/>
        <v>0</v>
      </c>
      <c r="G716" s="125">
        <f ca="1">IF('Simulador - 1º Pilar'!$E$99="Sí",IF('Aportaciones Poliza'!$B$13&lt;'Aportaciones Poliza'!E716,0,F716*$B$8/12),F716*$B$8/12)</f>
        <v>0</v>
      </c>
      <c r="H716" s="125">
        <f t="shared" ca="1" si="78"/>
        <v>0</v>
      </c>
      <c r="I716" s="125"/>
      <c r="J716" s="125">
        <f t="shared" ca="1" si="81"/>
        <v>0</v>
      </c>
      <c r="K716" s="125">
        <f t="shared" si="82"/>
        <v>0</v>
      </c>
      <c r="L716" s="125">
        <f t="shared" ca="1" si="83"/>
        <v>0</v>
      </c>
      <c r="P716">
        <f t="shared" si="84"/>
        <v>709</v>
      </c>
    </row>
    <row r="717" spans="4:16">
      <c r="D717">
        <v>710</v>
      </c>
      <c r="E717" s="6">
        <f t="shared" ca="1" si="79"/>
        <v>31138</v>
      </c>
      <c r="F717" s="7">
        <f t="shared" ca="1" si="80"/>
        <v>0</v>
      </c>
      <c r="G717" s="125">
        <f ca="1">IF('Simulador - 1º Pilar'!$E$99="Sí",IF('Aportaciones Poliza'!$B$13&lt;'Aportaciones Poliza'!E717,0,F717*$B$8/12),F717*$B$8/12)</f>
        <v>0</v>
      </c>
      <c r="H717" s="125">
        <f t="shared" ca="1" si="78"/>
        <v>0</v>
      </c>
      <c r="I717" s="125"/>
      <c r="J717" s="125">
        <f t="shared" ca="1" si="81"/>
        <v>0</v>
      </c>
      <c r="K717" s="125">
        <f t="shared" si="82"/>
        <v>0</v>
      </c>
      <c r="L717" s="125">
        <f t="shared" ca="1" si="83"/>
        <v>0</v>
      </c>
      <c r="P717">
        <f t="shared" si="84"/>
        <v>710</v>
      </c>
    </row>
    <row r="718" spans="4:16">
      <c r="D718">
        <v>711</v>
      </c>
      <c r="E718" s="6">
        <f t="shared" ca="1" si="79"/>
        <v>31107</v>
      </c>
      <c r="F718" s="7">
        <f t="shared" ca="1" si="80"/>
        <v>0</v>
      </c>
      <c r="G718" s="125">
        <f ca="1">IF('Simulador - 1º Pilar'!$E$99="Sí",IF('Aportaciones Poliza'!$B$13&lt;'Aportaciones Poliza'!E718,0,F718*$B$8/12),F718*$B$8/12)</f>
        <v>0</v>
      </c>
      <c r="H718" s="125">
        <f t="shared" ca="1" si="78"/>
        <v>0</v>
      </c>
      <c r="I718" s="125"/>
      <c r="J718" s="125">
        <f t="shared" ca="1" si="81"/>
        <v>0</v>
      </c>
      <c r="K718" s="125">
        <f t="shared" si="82"/>
        <v>0</v>
      </c>
      <c r="L718" s="125">
        <f t="shared" ca="1" si="83"/>
        <v>0</v>
      </c>
      <c r="P718">
        <f t="shared" si="84"/>
        <v>711</v>
      </c>
    </row>
    <row r="719" spans="4:16">
      <c r="D719">
        <v>712</v>
      </c>
      <c r="E719" s="6">
        <f t="shared" ca="1" si="79"/>
        <v>31079</v>
      </c>
      <c r="F719" s="7">
        <f t="shared" ca="1" si="80"/>
        <v>0</v>
      </c>
      <c r="G719" s="125">
        <f ca="1">IF('Simulador - 1º Pilar'!$E$99="Sí",IF('Aportaciones Poliza'!$B$13&lt;'Aportaciones Poliza'!E719,0,F719*$B$8/12),F719*$B$8/12)</f>
        <v>0</v>
      </c>
      <c r="H719" s="125">
        <f t="shared" ca="1" si="78"/>
        <v>0</v>
      </c>
      <c r="I719" s="125"/>
      <c r="J719" s="125">
        <f t="shared" ca="1" si="81"/>
        <v>0</v>
      </c>
      <c r="K719" s="125">
        <f t="shared" si="82"/>
        <v>0</v>
      </c>
      <c r="L719" s="125">
        <f t="shared" ca="1" si="83"/>
        <v>0</v>
      </c>
      <c r="P719">
        <f t="shared" si="84"/>
        <v>712</v>
      </c>
    </row>
    <row r="720" spans="4:16">
      <c r="D720">
        <v>713</v>
      </c>
      <c r="E720" s="6">
        <f t="shared" ca="1" si="79"/>
        <v>31048</v>
      </c>
      <c r="F720" s="7">
        <f t="shared" ca="1" si="80"/>
        <v>0</v>
      </c>
      <c r="G720" s="125">
        <f ca="1">IF('Simulador - 1º Pilar'!$E$99="Sí",IF('Aportaciones Poliza'!$B$13&lt;'Aportaciones Poliza'!E720,0,F720*$B$8/12),F720*$B$8/12)</f>
        <v>0</v>
      </c>
      <c r="H720" s="125">
        <f t="shared" ca="1" si="78"/>
        <v>0</v>
      </c>
      <c r="I720" s="125"/>
      <c r="J720" s="125">
        <f t="shared" ca="1" si="81"/>
        <v>0</v>
      </c>
      <c r="K720" s="125">
        <f t="shared" si="82"/>
        <v>0</v>
      </c>
      <c r="L720" s="125">
        <f t="shared" ca="1" si="83"/>
        <v>0</v>
      </c>
      <c r="P720">
        <f t="shared" si="84"/>
        <v>713</v>
      </c>
    </row>
    <row r="721" spans="4:16">
      <c r="D721">
        <v>714</v>
      </c>
      <c r="E721" s="6">
        <f t="shared" ca="1" si="79"/>
        <v>31017</v>
      </c>
      <c r="F721" s="7">
        <f t="shared" ca="1" si="80"/>
        <v>0</v>
      </c>
      <c r="G721" s="125">
        <f ca="1">IF('Simulador - 1º Pilar'!$E$99="Sí",IF('Aportaciones Poliza'!$B$13&lt;'Aportaciones Poliza'!E721,0,F721*$B$8/12),F721*$B$8/12)</f>
        <v>0</v>
      </c>
      <c r="H721" s="125">
        <f t="shared" ca="1" si="78"/>
        <v>0</v>
      </c>
      <c r="I721" s="125"/>
      <c r="J721" s="125">
        <f t="shared" ca="1" si="81"/>
        <v>0</v>
      </c>
      <c r="K721" s="125">
        <f t="shared" si="82"/>
        <v>0</v>
      </c>
      <c r="L721" s="125">
        <f t="shared" ca="1" si="83"/>
        <v>0</v>
      </c>
      <c r="P721">
        <f t="shared" si="84"/>
        <v>714</v>
      </c>
    </row>
    <row r="722" spans="4:16">
      <c r="D722">
        <v>715</v>
      </c>
      <c r="E722" s="6">
        <f t="shared" ca="1" si="79"/>
        <v>30987</v>
      </c>
      <c r="F722" s="7">
        <f t="shared" ca="1" si="80"/>
        <v>0</v>
      </c>
      <c r="G722" s="125">
        <f ca="1">IF('Simulador - 1º Pilar'!$E$99="Sí",IF('Aportaciones Poliza'!$B$13&lt;'Aportaciones Poliza'!E722,0,F722*$B$8/12),F722*$B$8/12)</f>
        <v>0</v>
      </c>
      <c r="H722" s="125">
        <f t="shared" ca="1" si="78"/>
        <v>0</v>
      </c>
      <c r="I722" s="125"/>
      <c r="J722" s="125">
        <f t="shared" ca="1" si="81"/>
        <v>0</v>
      </c>
      <c r="K722" s="125">
        <f t="shared" si="82"/>
        <v>0</v>
      </c>
      <c r="L722" s="125">
        <f t="shared" ca="1" si="83"/>
        <v>0</v>
      </c>
      <c r="P722">
        <f t="shared" si="84"/>
        <v>715</v>
      </c>
    </row>
    <row r="723" spans="4:16">
      <c r="D723">
        <v>716</v>
      </c>
      <c r="E723" s="6">
        <f t="shared" ca="1" si="79"/>
        <v>30956</v>
      </c>
      <c r="F723" s="7">
        <f t="shared" ca="1" si="80"/>
        <v>0</v>
      </c>
      <c r="G723" s="125">
        <f ca="1">IF('Simulador - 1º Pilar'!$E$99="Sí",IF('Aportaciones Poliza'!$B$13&lt;'Aportaciones Poliza'!E723,0,F723*$B$8/12),F723*$B$8/12)</f>
        <v>0</v>
      </c>
      <c r="H723" s="125">
        <f t="shared" ca="1" si="78"/>
        <v>0</v>
      </c>
      <c r="I723" s="125"/>
      <c r="J723" s="125">
        <f t="shared" ca="1" si="81"/>
        <v>0</v>
      </c>
      <c r="K723" s="125">
        <f t="shared" si="82"/>
        <v>0</v>
      </c>
      <c r="L723" s="125">
        <f t="shared" ca="1" si="83"/>
        <v>0</v>
      </c>
      <c r="P723">
        <f t="shared" si="84"/>
        <v>716</v>
      </c>
    </row>
    <row r="724" spans="4:16">
      <c r="D724">
        <v>717</v>
      </c>
      <c r="E724" s="6">
        <f t="shared" ca="1" si="79"/>
        <v>30926</v>
      </c>
      <c r="F724" s="7">
        <f t="shared" ca="1" si="80"/>
        <v>0</v>
      </c>
      <c r="G724" s="125">
        <f ca="1">IF('Simulador - 1º Pilar'!$E$99="Sí",IF('Aportaciones Poliza'!$B$13&lt;'Aportaciones Poliza'!E724,0,F724*$B$8/12),F724*$B$8/12)</f>
        <v>0</v>
      </c>
      <c r="H724" s="125">
        <f t="shared" ca="1" si="78"/>
        <v>0</v>
      </c>
      <c r="I724" s="125"/>
      <c r="J724" s="125">
        <f t="shared" ca="1" si="81"/>
        <v>0</v>
      </c>
      <c r="K724" s="125">
        <f t="shared" si="82"/>
        <v>0</v>
      </c>
      <c r="L724" s="125">
        <f t="shared" ca="1" si="83"/>
        <v>0</v>
      </c>
      <c r="P724">
        <f t="shared" si="84"/>
        <v>717</v>
      </c>
    </row>
    <row r="725" spans="4:16">
      <c r="D725">
        <v>718</v>
      </c>
      <c r="E725" s="6">
        <f t="shared" ca="1" si="79"/>
        <v>30895</v>
      </c>
      <c r="F725" s="7">
        <f t="shared" ca="1" si="80"/>
        <v>0</v>
      </c>
      <c r="G725" s="125">
        <f ca="1">IF('Simulador - 1º Pilar'!$E$99="Sí",IF('Aportaciones Poliza'!$B$13&lt;'Aportaciones Poliza'!E725,0,F725*$B$8/12),F725*$B$8/12)</f>
        <v>0</v>
      </c>
      <c r="H725" s="125">
        <f t="shared" ca="1" si="78"/>
        <v>0</v>
      </c>
      <c r="I725" s="125"/>
      <c r="J725" s="125">
        <f t="shared" ca="1" si="81"/>
        <v>0</v>
      </c>
      <c r="K725" s="125">
        <f t="shared" si="82"/>
        <v>0</v>
      </c>
      <c r="L725" s="125">
        <f t="shared" ca="1" si="83"/>
        <v>0</v>
      </c>
      <c r="P725">
        <f t="shared" si="84"/>
        <v>718</v>
      </c>
    </row>
    <row r="726" spans="4:16">
      <c r="D726">
        <v>719</v>
      </c>
      <c r="E726" s="6">
        <f t="shared" ca="1" si="79"/>
        <v>30864</v>
      </c>
      <c r="F726" s="7">
        <f t="shared" ca="1" si="80"/>
        <v>0</v>
      </c>
      <c r="G726" s="125">
        <f ca="1">IF('Simulador - 1º Pilar'!$E$99="Sí",IF('Aportaciones Poliza'!$B$13&lt;'Aportaciones Poliza'!E726,0,F726*$B$8/12),F726*$B$8/12)</f>
        <v>0</v>
      </c>
      <c r="H726" s="125">
        <f t="shared" ca="1" si="78"/>
        <v>0</v>
      </c>
      <c r="I726" s="125"/>
      <c r="J726" s="125">
        <f t="shared" ca="1" si="81"/>
        <v>0</v>
      </c>
      <c r="K726" s="125">
        <f t="shared" si="82"/>
        <v>0</v>
      </c>
      <c r="L726" s="125">
        <f t="shared" ca="1" si="83"/>
        <v>0</v>
      </c>
      <c r="P726">
        <f t="shared" si="84"/>
        <v>719</v>
      </c>
    </row>
    <row r="727" spans="4:16">
      <c r="D727">
        <v>720</v>
      </c>
      <c r="E727" s="6">
        <f t="shared" ca="1" si="79"/>
        <v>30834</v>
      </c>
      <c r="F727" s="7">
        <f t="shared" ca="1" si="80"/>
        <v>0</v>
      </c>
      <c r="G727" s="125">
        <f ca="1">IF('Simulador - 1º Pilar'!$E$99="Sí",IF('Aportaciones Poliza'!$B$13&lt;'Aportaciones Poliza'!E727,0,F727*$B$8/12),F727*$B$8/12)</f>
        <v>0</v>
      </c>
      <c r="H727" s="125">
        <f t="shared" ca="1" si="78"/>
        <v>0</v>
      </c>
      <c r="I727" s="125"/>
      <c r="J727" s="125">
        <f t="shared" ca="1" si="81"/>
        <v>0</v>
      </c>
      <c r="K727" s="125">
        <f t="shared" si="82"/>
        <v>0</v>
      </c>
      <c r="L727" s="125">
        <f t="shared" ca="1" si="83"/>
        <v>0</v>
      </c>
      <c r="P727">
        <f t="shared" si="84"/>
        <v>720</v>
      </c>
    </row>
    <row r="728" spans="4:16">
      <c r="D728">
        <v>721</v>
      </c>
      <c r="E728" s="6">
        <f t="shared" ca="1" si="79"/>
        <v>30803</v>
      </c>
      <c r="F728" s="7">
        <f t="shared" ca="1" si="80"/>
        <v>0</v>
      </c>
      <c r="G728" s="125">
        <f ca="1">IF('Simulador - 1º Pilar'!$E$99="Sí",IF('Aportaciones Poliza'!$B$13&lt;'Aportaciones Poliza'!E728,0,F728*$B$8/12),F728*$B$8/12)</f>
        <v>0</v>
      </c>
      <c r="H728" s="125">
        <f t="shared" ca="1" si="78"/>
        <v>0</v>
      </c>
      <c r="I728" s="125"/>
      <c r="J728" s="125">
        <f t="shared" ca="1" si="81"/>
        <v>0</v>
      </c>
      <c r="K728" s="125">
        <f t="shared" si="82"/>
        <v>0</v>
      </c>
      <c r="L728" s="125">
        <f t="shared" ca="1" si="83"/>
        <v>0</v>
      </c>
      <c r="P728">
        <f t="shared" si="84"/>
        <v>721</v>
      </c>
    </row>
    <row r="729" spans="4:16">
      <c r="D729">
        <v>722</v>
      </c>
      <c r="E729" s="6">
        <f t="shared" ca="1" si="79"/>
        <v>30773</v>
      </c>
      <c r="F729" s="7">
        <f t="shared" ca="1" si="80"/>
        <v>0</v>
      </c>
      <c r="G729" s="125">
        <f ca="1">IF('Simulador - 1º Pilar'!$E$99="Sí",IF('Aportaciones Poliza'!$B$13&lt;'Aportaciones Poliza'!E729,0,F729*$B$8/12),F729*$B$8/12)</f>
        <v>0</v>
      </c>
      <c r="H729" s="125">
        <f t="shared" ca="1" si="78"/>
        <v>0</v>
      </c>
      <c r="I729" s="125"/>
      <c r="J729" s="125">
        <f t="shared" ca="1" si="81"/>
        <v>0</v>
      </c>
      <c r="K729" s="125">
        <f t="shared" si="82"/>
        <v>0</v>
      </c>
      <c r="L729" s="125">
        <f t="shared" ca="1" si="83"/>
        <v>0</v>
      </c>
      <c r="P729">
        <f t="shared" si="84"/>
        <v>722</v>
      </c>
    </row>
    <row r="730" spans="4:16">
      <c r="D730">
        <v>723</v>
      </c>
      <c r="E730" s="6">
        <f t="shared" ca="1" si="79"/>
        <v>30742</v>
      </c>
      <c r="F730" s="7">
        <f t="shared" ca="1" si="80"/>
        <v>0</v>
      </c>
      <c r="G730" s="125">
        <f ca="1">IF('Simulador - 1º Pilar'!$E$99="Sí",IF('Aportaciones Poliza'!$B$13&lt;'Aportaciones Poliza'!E730,0,F730*$B$8/12),F730*$B$8/12)</f>
        <v>0</v>
      </c>
      <c r="H730" s="125">
        <f t="shared" ca="1" si="78"/>
        <v>0</v>
      </c>
      <c r="I730" s="125"/>
      <c r="J730" s="125">
        <f t="shared" ca="1" si="81"/>
        <v>0</v>
      </c>
      <c r="K730" s="125">
        <f t="shared" si="82"/>
        <v>0</v>
      </c>
      <c r="L730" s="125">
        <f t="shared" ca="1" si="83"/>
        <v>0</v>
      </c>
      <c r="P730">
        <f t="shared" si="84"/>
        <v>723</v>
      </c>
    </row>
    <row r="731" spans="4:16">
      <c r="D731">
        <v>724</v>
      </c>
      <c r="E731" s="6">
        <f t="shared" ca="1" si="79"/>
        <v>30713</v>
      </c>
      <c r="F731" s="7">
        <f t="shared" ca="1" si="80"/>
        <v>0</v>
      </c>
      <c r="G731" s="125">
        <f ca="1">IF('Simulador - 1º Pilar'!$E$99="Sí",IF('Aportaciones Poliza'!$B$13&lt;'Aportaciones Poliza'!E731,0,F731*$B$8/12),F731*$B$8/12)</f>
        <v>0</v>
      </c>
      <c r="H731" s="125">
        <f t="shared" ca="1" si="78"/>
        <v>0</v>
      </c>
      <c r="I731" s="125"/>
      <c r="J731" s="125">
        <f t="shared" ca="1" si="81"/>
        <v>0</v>
      </c>
      <c r="K731" s="125">
        <f t="shared" si="82"/>
        <v>0</v>
      </c>
      <c r="L731" s="125">
        <f t="shared" ca="1" si="83"/>
        <v>0</v>
      </c>
      <c r="P731">
        <f t="shared" si="84"/>
        <v>724</v>
      </c>
    </row>
    <row r="732" spans="4:16">
      <c r="D732">
        <v>725</v>
      </c>
      <c r="E732" s="6">
        <f t="shared" ca="1" si="79"/>
        <v>30682</v>
      </c>
      <c r="F732" s="7">
        <f t="shared" ca="1" si="80"/>
        <v>0</v>
      </c>
      <c r="G732" s="125">
        <f ca="1">IF('Simulador - 1º Pilar'!$E$99="Sí",IF('Aportaciones Poliza'!$B$13&lt;'Aportaciones Poliza'!E732,0,F732*$B$8/12),F732*$B$8/12)</f>
        <v>0</v>
      </c>
      <c r="H732" s="125">
        <f t="shared" ca="1" si="78"/>
        <v>0</v>
      </c>
      <c r="I732" s="125"/>
      <c r="J732" s="125">
        <f t="shared" ca="1" si="81"/>
        <v>0</v>
      </c>
      <c r="K732" s="125">
        <f t="shared" si="82"/>
        <v>0</v>
      </c>
      <c r="L732" s="125">
        <f t="shared" ca="1" si="83"/>
        <v>0</v>
      </c>
      <c r="P732">
        <f t="shared" si="84"/>
        <v>725</v>
      </c>
    </row>
    <row r="733" spans="4:16">
      <c r="D733">
        <v>726</v>
      </c>
      <c r="E733" s="6">
        <f t="shared" ca="1" si="79"/>
        <v>30651</v>
      </c>
      <c r="F733" s="7">
        <f t="shared" ca="1" si="80"/>
        <v>0</v>
      </c>
      <c r="G733" s="125">
        <f ca="1">IF('Simulador - 1º Pilar'!$E$99="Sí",IF('Aportaciones Poliza'!$B$13&lt;'Aportaciones Poliza'!E733,0,F733*$B$8/12),F733*$B$8/12)</f>
        <v>0</v>
      </c>
      <c r="H733" s="125">
        <f t="shared" ca="1" si="78"/>
        <v>0</v>
      </c>
      <c r="I733" s="125"/>
      <c r="J733" s="125">
        <f t="shared" ca="1" si="81"/>
        <v>0</v>
      </c>
      <c r="K733" s="125">
        <f t="shared" si="82"/>
        <v>0</v>
      </c>
      <c r="L733" s="125">
        <f t="shared" ca="1" si="83"/>
        <v>0</v>
      </c>
      <c r="P733">
        <f t="shared" si="84"/>
        <v>726</v>
      </c>
    </row>
    <row r="734" spans="4:16">
      <c r="D734">
        <v>727</v>
      </c>
      <c r="E734" s="6">
        <f t="shared" ca="1" si="79"/>
        <v>30621</v>
      </c>
      <c r="F734" s="7">
        <f t="shared" ca="1" si="80"/>
        <v>0</v>
      </c>
      <c r="G734" s="125">
        <f ca="1">IF('Simulador - 1º Pilar'!$E$99="Sí",IF('Aportaciones Poliza'!$B$13&lt;'Aportaciones Poliza'!E734,0,F734*$B$8/12),F734*$B$8/12)</f>
        <v>0</v>
      </c>
      <c r="H734" s="125">
        <f t="shared" ca="1" si="78"/>
        <v>0</v>
      </c>
      <c r="I734" s="125"/>
      <c r="J734" s="125">
        <f t="shared" ca="1" si="81"/>
        <v>0</v>
      </c>
      <c r="K734" s="125">
        <f t="shared" si="82"/>
        <v>0</v>
      </c>
      <c r="L734" s="125">
        <f t="shared" ca="1" si="83"/>
        <v>0</v>
      </c>
      <c r="P734">
        <f t="shared" si="84"/>
        <v>727</v>
      </c>
    </row>
    <row r="735" spans="4:16">
      <c r="D735">
        <v>728</v>
      </c>
      <c r="E735" s="6">
        <f t="shared" ca="1" si="79"/>
        <v>30590</v>
      </c>
      <c r="F735" s="7">
        <f t="shared" ca="1" si="80"/>
        <v>0</v>
      </c>
      <c r="G735" s="125">
        <f ca="1">IF('Simulador - 1º Pilar'!$E$99="Sí",IF('Aportaciones Poliza'!$B$13&lt;'Aportaciones Poliza'!E735,0,F735*$B$8/12),F735*$B$8/12)</f>
        <v>0</v>
      </c>
      <c r="H735" s="125">
        <f t="shared" ca="1" si="78"/>
        <v>0</v>
      </c>
      <c r="I735" s="125"/>
      <c r="J735" s="125">
        <f t="shared" ca="1" si="81"/>
        <v>0</v>
      </c>
      <c r="K735" s="125">
        <f t="shared" si="82"/>
        <v>0</v>
      </c>
      <c r="L735" s="125">
        <f t="shared" ca="1" si="83"/>
        <v>0</v>
      </c>
      <c r="P735">
        <f t="shared" si="84"/>
        <v>728</v>
      </c>
    </row>
    <row r="736" spans="4:16">
      <c r="D736">
        <v>729</v>
      </c>
      <c r="E736" s="6">
        <f t="shared" ca="1" si="79"/>
        <v>30560</v>
      </c>
      <c r="F736" s="7">
        <f t="shared" ca="1" si="80"/>
        <v>0</v>
      </c>
      <c r="G736" s="125">
        <f ca="1">IF('Simulador - 1º Pilar'!$E$99="Sí",IF('Aportaciones Poliza'!$B$13&lt;'Aportaciones Poliza'!E736,0,F736*$B$8/12),F736*$B$8/12)</f>
        <v>0</v>
      </c>
      <c r="H736" s="125">
        <f t="shared" ca="1" si="78"/>
        <v>0</v>
      </c>
      <c r="I736" s="125"/>
      <c r="J736" s="125">
        <f t="shared" ca="1" si="81"/>
        <v>0</v>
      </c>
      <c r="K736" s="125">
        <f t="shared" si="82"/>
        <v>0</v>
      </c>
      <c r="L736" s="125">
        <f t="shared" ca="1" si="83"/>
        <v>0</v>
      </c>
      <c r="P736">
        <f t="shared" si="84"/>
        <v>729</v>
      </c>
    </row>
    <row r="737" spans="4:16">
      <c r="D737">
        <v>730</v>
      </c>
      <c r="E737" s="6">
        <f t="shared" ca="1" si="79"/>
        <v>30529</v>
      </c>
      <c r="F737" s="7">
        <f t="shared" ca="1" si="80"/>
        <v>0</v>
      </c>
      <c r="G737" s="125">
        <f ca="1">IF('Simulador - 1º Pilar'!$E$99="Sí",IF('Aportaciones Poliza'!$B$13&lt;'Aportaciones Poliza'!E737,0,F737*$B$8/12),F737*$B$8/12)</f>
        <v>0</v>
      </c>
      <c r="H737" s="125">
        <f t="shared" ca="1" si="78"/>
        <v>0</v>
      </c>
      <c r="I737" s="125"/>
      <c r="J737" s="125">
        <f t="shared" ca="1" si="81"/>
        <v>0</v>
      </c>
      <c r="K737" s="125">
        <f t="shared" si="82"/>
        <v>0</v>
      </c>
      <c r="L737" s="125">
        <f t="shared" ca="1" si="83"/>
        <v>0</v>
      </c>
      <c r="P737">
        <f t="shared" si="84"/>
        <v>730</v>
      </c>
    </row>
    <row r="738" spans="4:16">
      <c r="D738">
        <v>731</v>
      </c>
      <c r="E738" s="6">
        <f t="shared" ca="1" si="79"/>
        <v>30498</v>
      </c>
      <c r="F738" s="7">
        <f t="shared" ca="1" si="80"/>
        <v>0</v>
      </c>
      <c r="G738" s="125">
        <f ca="1">IF('Simulador - 1º Pilar'!$E$99="Sí",IF('Aportaciones Poliza'!$B$13&lt;'Aportaciones Poliza'!E738,0,F738*$B$8/12),F738*$B$8/12)</f>
        <v>0</v>
      </c>
      <c r="H738" s="125">
        <f t="shared" ca="1" si="78"/>
        <v>0</v>
      </c>
      <c r="I738" s="125"/>
      <c r="J738" s="125">
        <f t="shared" ca="1" si="81"/>
        <v>0</v>
      </c>
      <c r="K738" s="125">
        <f t="shared" si="82"/>
        <v>0</v>
      </c>
      <c r="L738" s="125">
        <f t="shared" ca="1" si="83"/>
        <v>0</v>
      </c>
      <c r="P738">
        <f t="shared" si="84"/>
        <v>731</v>
      </c>
    </row>
    <row r="739" spans="4:16">
      <c r="D739">
        <v>732</v>
      </c>
      <c r="E739" s="6">
        <f t="shared" ca="1" si="79"/>
        <v>30468</v>
      </c>
      <c r="F739" s="7">
        <f t="shared" ca="1" si="80"/>
        <v>0</v>
      </c>
      <c r="G739" s="125">
        <f ca="1">IF('Simulador - 1º Pilar'!$E$99="Sí",IF('Aportaciones Poliza'!$B$13&lt;'Aportaciones Poliza'!E739,0,F739*$B$8/12),F739*$B$8/12)</f>
        <v>0</v>
      </c>
      <c r="H739" s="125">
        <f t="shared" ca="1" si="78"/>
        <v>0</v>
      </c>
      <c r="I739" s="125"/>
      <c r="J739" s="125">
        <f t="shared" ca="1" si="81"/>
        <v>0</v>
      </c>
      <c r="K739" s="125">
        <f t="shared" si="82"/>
        <v>0</v>
      </c>
      <c r="L739" s="125">
        <f t="shared" ca="1" si="83"/>
        <v>0</v>
      </c>
      <c r="P739">
        <f t="shared" si="84"/>
        <v>732</v>
      </c>
    </row>
    <row r="740" spans="4:16">
      <c r="D740">
        <v>733</v>
      </c>
      <c r="E740" s="6">
        <f t="shared" ca="1" si="79"/>
        <v>30437</v>
      </c>
      <c r="F740" s="7">
        <f t="shared" ca="1" si="80"/>
        <v>0</v>
      </c>
      <c r="G740" s="125">
        <f ca="1">IF('Simulador - 1º Pilar'!$E$99="Sí",IF('Aportaciones Poliza'!$B$13&lt;'Aportaciones Poliza'!E740,0,F740*$B$8/12),F740*$B$8/12)</f>
        <v>0</v>
      </c>
      <c r="H740" s="125">
        <f t="shared" ca="1" si="78"/>
        <v>0</v>
      </c>
      <c r="I740" s="125"/>
      <c r="J740" s="125">
        <f t="shared" ca="1" si="81"/>
        <v>0</v>
      </c>
      <c r="K740" s="125">
        <f t="shared" si="82"/>
        <v>0</v>
      </c>
      <c r="L740" s="125">
        <f t="shared" ca="1" si="83"/>
        <v>0</v>
      </c>
      <c r="P740">
        <f t="shared" si="84"/>
        <v>733</v>
      </c>
    </row>
    <row r="741" spans="4:16">
      <c r="D741">
        <v>734</v>
      </c>
      <c r="E741" s="6">
        <f t="shared" ca="1" si="79"/>
        <v>30407</v>
      </c>
      <c r="F741" s="7">
        <f t="shared" ca="1" si="80"/>
        <v>0</v>
      </c>
      <c r="G741" s="125">
        <f ca="1">IF('Simulador - 1º Pilar'!$E$99="Sí",IF('Aportaciones Poliza'!$B$13&lt;'Aportaciones Poliza'!E741,0,F741*$B$8/12),F741*$B$8/12)</f>
        <v>0</v>
      </c>
      <c r="H741" s="125">
        <f t="shared" ca="1" si="78"/>
        <v>0</v>
      </c>
      <c r="I741" s="125"/>
      <c r="J741" s="125">
        <f t="shared" ca="1" si="81"/>
        <v>0</v>
      </c>
      <c r="K741" s="125">
        <f t="shared" si="82"/>
        <v>0</v>
      </c>
      <c r="L741" s="125">
        <f t="shared" ca="1" si="83"/>
        <v>0</v>
      </c>
      <c r="P741">
        <f t="shared" si="84"/>
        <v>734</v>
      </c>
    </row>
    <row r="742" spans="4:16">
      <c r="D742">
        <v>735</v>
      </c>
      <c r="E742" s="6">
        <f t="shared" ca="1" si="79"/>
        <v>30376</v>
      </c>
      <c r="F742" s="7">
        <f t="shared" ca="1" si="80"/>
        <v>0</v>
      </c>
      <c r="G742" s="125">
        <f ca="1">IF('Simulador - 1º Pilar'!$E$99="Sí",IF('Aportaciones Poliza'!$B$13&lt;'Aportaciones Poliza'!E742,0,F742*$B$8/12),F742*$B$8/12)</f>
        <v>0</v>
      </c>
      <c r="H742" s="125">
        <f t="shared" ca="1" si="78"/>
        <v>0</v>
      </c>
      <c r="I742" s="125"/>
      <c r="J742" s="125">
        <f t="shared" ca="1" si="81"/>
        <v>0</v>
      </c>
      <c r="K742" s="125">
        <f t="shared" si="82"/>
        <v>0</v>
      </c>
      <c r="L742" s="125">
        <f t="shared" ca="1" si="83"/>
        <v>0</v>
      </c>
      <c r="P742">
        <f t="shared" si="84"/>
        <v>735</v>
      </c>
    </row>
    <row r="743" spans="4:16">
      <c r="D743">
        <v>736</v>
      </c>
      <c r="E743" s="6">
        <f t="shared" ca="1" si="79"/>
        <v>30348</v>
      </c>
      <c r="F743" s="7">
        <f t="shared" ca="1" si="80"/>
        <v>0</v>
      </c>
      <c r="G743" s="125">
        <f ca="1">IF('Simulador - 1º Pilar'!$E$99="Sí",IF('Aportaciones Poliza'!$B$13&lt;'Aportaciones Poliza'!E743,0,F743*$B$8/12),F743*$B$8/12)</f>
        <v>0</v>
      </c>
      <c r="H743" s="125">
        <f t="shared" ca="1" si="78"/>
        <v>0</v>
      </c>
      <c r="I743" s="125"/>
      <c r="J743" s="125">
        <f t="shared" ca="1" si="81"/>
        <v>0</v>
      </c>
      <c r="K743" s="125">
        <f t="shared" si="82"/>
        <v>0</v>
      </c>
      <c r="L743" s="125">
        <f t="shared" ca="1" si="83"/>
        <v>0</v>
      </c>
      <c r="P743">
        <f t="shared" si="84"/>
        <v>736</v>
      </c>
    </row>
    <row r="744" spans="4:16">
      <c r="D744">
        <v>737</v>
      </c>
      <c r="E744" s="6">
        <f t="shared" ca="1" si="79"/>
        <v>30317</v>
      </c>
      <c r="F744" s="7">
        <f t="shared" ca="1" si="80"/>
        <v>0</v>
      </c>
      <c r="G744" s="125">
        <f ca="1">IF('Simulador - 1º Pilar'!$E$99="Sí",IF('Aportaciones Poliza'!$B$13&lt;'Aportaciones Poliza'!E744,0,F744*$B$8/12),F744*$B$8/12)</f>
        <v>0</v>
      </c>
      <c r="H744" s="125">
        <f t="shared" ca="1" si="78"/>
        <v>0</v>
      </c>
      <c r="I744" s="125"/>
      <c r="J744" s="125">
        <f t="shared" ca="1" si="81"/>
        <v>0</v>
      </c>
      <c r="K744" s="125">
        <f t="shared" si="82"/>
        <v>0</v>
      </c>
      <c r="L744" s="125">
        <f t="shared" ca="1" si="83"/>
        <v>0</v>
      </c>
      <c r="P744">
        <f t="shared" si="84"/>
        <v>737</v>
      </c>
    </row>
    <row r="745" spans="4:16">
      <c r="D745">
        <v>738</v>
      </c>
      <c r="E745" s="6">
        <f t="shared" ca="1" si="79"/>
        <v>30286</v>
      </c>
      <c r="F745" s="7">
        <f t="shared" ca="1" si="80"/>
        <v>0</v>
      </c>
      <c r="G745" s="125">
        <f ca="1">IF('Simulador - 1º Pilar'!$E$99="Sí",IF('Aportaciones Poliza'!$B$13&lt;'Aportaciones Poliza'!E745,0,F745*$B$8/12),F745*$B$8/12)</f>
        <v>0</v>
      </c>
      <c r="H745" s="125">
        <f t="shared" ca="1" si="78"/>
        <v>0</v>
      </c>
      <c r="I745" s="125"/>
      <c r="J745" s="125">
        <f t="shared" ca="1" si="81"/>
        <v>0</v>
      </c>
      <c r="K745" s="125">
        <f t="shared" si="82"/>
        <v>0</v>
      </c>
      <c r="L745" s="125">
        <f t="shared" ca="1" si="83"/>
        <v>0</v>
      </c>
      <c r="P745">
        <f t="shared" si="84"/>
        <v>738</v>
      </c>
    </row>
    <row r="746" spans="4:16">
      <c r="D746">
        <v>739</v>
      </c>
      <c r="E746" s="6">
        <f t="shared" ca="1" si="79"/>
        <v>30256</v>
      </c>
      <c r="F746" s="7">
        <f t="shared" ca="1" si="80"/>
        <v>0</v>
      </c>
      <c r="G746" s="125">
        <f ca="1">IF('Simulador - 1º Pilar'!$E$99="Sí",IF('Aportaciones Poliza'!$B$13&lt;'Aportaciones Poliza'!E746,0,F746*$B$8/12),F746*$B$8/12)</f>
        <v>0</v>
      </c>
      <c r="H746" s="125">
        <f t="shared" ca="1" si="78"/>
        <v>0</v>
      </c>
      <c r="I746" s="125"/>
      <c r="J746" s="125">
        <f t="shared" ca="1" si="81"/>
        <v>0</v>
      </c>
      <c r="K746" s="125">
        <f t="shared" si="82"/>
        <v>0</v>
      </c>
      <c r="L746" s="125">
        <f t="shared" ca="1" si="83"/>
        <v>0</v>
      </c>
      <c r="P746">
        <f t="shared" si="84"/>
        <v>739</v>
      </c>
    </row>
    <row r="747" spans="4:16">
      <c r="D747">
        <v>740</v>
      </c>
      <c r="E747" s="6">
        <f t="shared" ca="1" si="79"/>
        <v>30225</v>
      </c>
      <c r="F747" s="7">
        <f t="shared" ca="1" si="80"/>
        <v>0</v>
      </c>
      <c r="G747" s="125">
        <f ca="1">IF('Simulador - 1º Pilar'!$E$99="Sí",IF('Aportaciones Poliza'!$B$13&lt;'Aportaciones Poliza'!E747,0,F747*$B$8/12),F747*$B$8/12)</f>
        <v>0</v>
      </c>
      <c r="H747" s="125">
        <f t="shared" ca="1" si="78"/>
        <v>0</v>
      </c>
      <c r="I747" s="125"/>
      <c r="J747" s="125">
        <f t="shared" ca="1" si="81"/>
        <v>0</v>
      </c>
      <c r="K747" s="125">
        <f t="shared" si="82"/>
        <v>0</v>
      </c>
      <c r="L747" s="125">
        <f t="shared" ca="1" si="83"/>
        <v>0</v>
      </c>
      <c r="P747">
        <f t="shared" si="84"/>
        <v>740</v>
      </c>
    </row>
    <row r="748" spans="4:16">
      <c r="D748">
        <v>741</v>
      </c>
      <c r="E748" s="6">
        <f t="shared" ca="1" si="79"/>
        <v>30195</v>
      </c>
      <c r="F748" s="7">
        <f t="shared" ca="1" si="80"/>
        <v>0</v>
      </c>
      <c r="G748" s="125">
        <f ca="1">IF('Simulador - 1º Pilar'!$E$99="Sí",IF('Aportaciones Poliza'!$B$13&lt;'Aportaciones Poliza'!E748,0,F748*$B$8/12),F748*$B$8/12)</f>
        <v>0</v>
      </c>
      <c r="H748" s="125">
        <f t="shared" ca="1" si="78"/>
        <v>0</v>
      </c>
      <c r="I748" s="125"/>
      <c r="J748" s="125">
        <f t="shared" ca="1" si="81"/>
        <v>0</v>
      </c>
      <c r="K748" s="125">
        <f t="shared" si="82"/>
        <v>0</v>
      </c>
      <c r="L748" s="125">
        <f t="shared" ca="1" si="83"/>
        <v>0</v>
      </c>
      <c r="P748">
        <f t="shared" si="84"/>
        <v>741</v>
      </c>
    </row>
    <row r="749" spans="4:16">
      <c r="D749">
        <v>742</v>
      </c>
      <c r="E749" s="6">
        <f t="shared" ca="1" si="79"/>
        <v>30164</v>
      </c>
      <c r="F749" s="7">
        <f t="shared" ca="1" si="80"/>
        <v>0</v>
      </c>
      <c r="G749" s="125">
        <f ca="1">IF('Simulador - 1º Pilar'!$E$99="Sí",IF('Aportaciones Poliza'!$B$13&lt;'Aportaciones Poliza'!E749,0,F749*$B$8/12),F749*$B$8/12)</f>
        <v>0</v>
      </c>
      <c r="H749" s="125">
        <f t="shared" ca="1" si="78"/>
        <v>0</v>
      </c>
      <c r="I749" s="125"/>
      <c r="J749" s="125">
        <f t="shared" ca="1" si="81"/>
        <v>0</v>
      </c>
      <c r="K749" s="125">
        <f t="shared" si="82"/>
        <v>0</v>
      </c>
      <c r="L749" s="125">
        <f t="shared" ca="1" si="83"/>
        <v>0</v>
      </c>
      <c r="P749">
        <f t="shared" si="84"/>
        <v>742</v>
      </c>
    </row>
    <row r="750" spans="4:16">
      <c r="D750">
        <v>743</v>
      </c>
      <c r="E750" s="6">
        <f t="shared" ca="1" si="79"/>
        <v>30133</v>
      </c>
      <c r="F750" s="7">
        <f t="shared" ca="1" si="80"/>
        <v>0</v>
      </c>
      <c r="G750" s="125">
        <f ca="1">IF('Simulador - 1º Pilar'!$E$99="Sí",IF('Aportaciones Poliza'!$B$13&lt;'Aportaciones Poliza'!E750,0,F750*$B$8/12),F750*$B$8/12)</f>
        <v>0</v>
      </c>
      <c r="H750" s="125">
        <f t="shared" ca="1" si="78"/>
        <v>0</v>
      </c>
      <c r="I750" s="125"/>
      <c r="J750" s="125">
        <f t="shared" ca="1" si="81"/>
        <v>0</v>
      </c>
      <c r="K750" s="125">
        <f t="shared" si="82"/>
        <v>0</v>
      </c>
      <c r="L750" s="125">
        <f t="shared" ca="1" si="83"/>
        <v>0</v>
      </c>
      <c r="P750">
        <f t="shared" si="84"/>
        <v>743</v>
      </c>
    </row>
    <row r="751" spans="4:16">
      <c r="D751">
        <v>744</v>
      </c>
      <c r="E751" s="6">
        <f t="shared" ca="1" si="79"/>
        <v>30103</v>
      </c>
      <c r="F751" s="7">
        <f t="shared" ca="1" si="80"/>
        <v>0</v>
      </c>
      <c r="G751" s="125">
        <f ca="1">IF('Simulador - 1º Pilar'!$E$99="Sí",IF('Aportaciones Poliza'!$B$13&lt;'Aportaciones Poliza'!E751,0,F751*$B$8/12),F751*$B$8/12)</f>
        <v>0</v>
      </c>
      <c r="H751" s="125">
        <f t="shared" ca="1" si="78"/>
        <v>0</v>
      </c>
      <c r="I751" s="125"/>
      <c r="J751" s="125">
        <f t="shared" ca="1" si="81"/>
        <v>0</v>
      </c>
      <c r="K751" s="125">
        <f t="shared" si="82"/>
        <v>0</v>
      </c>
      <c r="L751" s="125">
        <f t="shared" ca="1" si="83"/>
        <v>0</v>
      </c>
      <c r="P751">
        <f t="shared" si="84"/>
        <v>744</v>
      </c>
    </row>
    <row r="752" spans="4:16">
      <c r="D752">
        <v>745</v>
      </c>
      <c r="E752" s="6">
        <f t="shared" ca="1" si="79"/>
        <v>30072</v>
      </c>
      <c r="F752" s="7">
        <f t="shared" ca="1" si="80"/>
        <v>0</v>
      </c>
      <c r="G752" s="125">
        <f ca="1">IF('Simulador - 1º Pilar'!$E$99="Sí",IF('Aportaciones Poliza'!$B$13&lt;'Aportaciones Poliza'!E752,0,F752*$B$8/12),F752*$B$8/12)</f>
        <v>0</v>
      </c>
      <c r="H752" s="125">
        <f t="shared" ca="1" si="78"/>
        <v>0</v>
      </c>
      <c r="I752" s="125"/>
      <c r="J752" s="125">
        <f t="shared" ca="1" si="81"/>
        <v>0</v>
      </c>
      <c r="K752" s="125">
        <f t="shared" si="82"/>
        <v>0</v>
      </c>
      <c r="L752" s="125">
        <f t="shared" ca="1" si="83"/>
        <v>0</v>
      </c>
      <c r="P752">
        <f t="shared" si="84"/>
        <v>745</v>
      </c>
    </row>
    <row r="753" spans="4:16">
      <c r="D753">
        <v>746</v>
      </c>
      <c r="E753" s="6">
        <f t="shared" ca="1" si="79"/>
        <v>30042</v>
      </c>
      <c r="F753" s="7">
        <f t="shared" ca="1" si="80"/>
        <v>0</v>
      </c>
      <c r="G753" s="125">
        <f ca="1">IF('Simulador - 1º Pilar'!$E$99="Sí",IF('Aportaciones Poliza'!$B$13&lt;'Aportaciones Poliza'!E753,0,F753*$B$8/12),F753*$B$8/12)</f>
        <v>0</v>
      </c>
      <c r="H753" s="125">
        <f t="shared" ca="1" si="78"/>
        <v>0</v>
      </c>
      <c r="I753" s="125"/>
      <c r="J753" s="125">
        <f t="shared" ca="1" si="81"/>
        <v>0</v>
      </c>
      <c r="K753" s="125">
        <f t="shared" si="82"/>
        <v>0</v>
      </c>
      <c r="L753" s="125">
        <f t="shared" ca="1" si="83"/>
        <v>0</v>
      </c>
      <c r="P753">
        <f t="shared" si="84"/>
        <v>746</v>
      </c>
    </row>
    <row r="754" spans="4:16">
      <c r="D754">
        <v>747</v>
      </c>
      <c r="E754" s="6">
        <f t="shared" ca="1" si="79"/>
        <v>30011</v>
      </c>
      <c r="F754" s="7">
        <f t="shared" ca="1" si="80"/>
        <v>0</v>
      </c>
      <c r="G754" s="125">
        <f ca="1">IF('Simulador - 1º Pilar'!$E$99="Sí",IF('Aportaciones Poliza'!$B$13&lt;'Aportaciones Poliza'!E754,0,F754*$B$8/12),F754*$B$8/12)</f>
        <v>0</v>
      </c>
      <c r="H754" s="125">
        <f t="shared" ca="1" si="78"/>
        <v>0</v>
      </c>
      <c r="I754" s="125"/>
      <c r="J754" s="125">
        <f t="shared" ca="1" si="81"/>
        <v>0</v>
      </c>
      <c r="K754" s="125">
        <f t="shared" si="82"/>
        <v>0</v>
      </c>
      <c r="L754" s="125">
        <f t="shared" ca="1" si="83"/>
        <v>0</v>
      </c>
      <c r="P754">
        <f t="shared" si="84"/>
        <v>747</v>
      </c>
    </row>
    <row r="755" spans="4:16">
      <c r="D755">
        <v>748</v>
      </c>
      <c r="E755" s="6">
        <f t="shared" ca="1" si="79"/>
        <v>29983</v>
      </c>
      <c r="F755" s="7">
        <f t="shared" ca="1" si="80"/>
        <v>0</v>
      </c>
      <c r="G755" s="125">
        <f ca="1">IF('Simulador - 1º Pilar'!$E$99="Sí",IF('Aportaciones Poliza'!$B$13&lt;'Aportaciones Poliza'!E755,0,F755*$B$8/12),F755*$B$8/12)</f>
        <v>0</v>
      </c>
      <c r="H755" s="125">
        <f t="shared" ca="1" si="78"/>
        <v>0</v>
      </c>
      <c r="I755" s="125"/>
      <c r="J755" s="125">
        <f t="shared" ca="1" si="81"/>
        <v>0</v>
      </c>
      <c r="K755" s="125">
        <f t="shared" si="82"/>
        <v>0</v>
      </c>
      <c r="L755" s="125">
        <f t="shared" ca="1" si="83"/>
        <v>0</v>
      </c>
      <c r="P755">
        <f t="shared" si="84"/>
        <v>748</v>
      </c>
    </row>
    <row r="756" spans="4:16">
      <c r="D756">
        <v>749</v>
      </c>
      <c r="E756" s="6">
        <f t="shared" ca="1" si="79"/>
        <v>29952</v>
      </c>
      <c r="F756" s="7">
        <f t="shared" ca="1" si="80"/>
        <v>0</v>
      </c>
      <c r="G756" s="125">
        <f ca="1">IF('Simulador - 1º Pilar'!$E$99="Sí",IF('Aportaciones Poliza'!$B$13&lt;'Aportaciones Poliza'!E756,0,F756*$B$8/12),F756*$B$8/12)</f>
        <v>0</v>
      </c>
      <c r="H756" s="125">
        <f t="shared" ca="1" si="78"/>
        <v>0</v>
      </c>
      <c r="I756" s="125"/>
      <c r="J756" s="125">
        <f t="shared" ca="1" si="81"/>
        <v>0</v>
      </c>
      <c r="K756" s="125">
        <f t="shared" si="82"/>
        <v>0</v>
      </c>
      <c r="L756" s="125">
        <f t="shared" ca="1" si="83"/>
        <v>0</v>
      </c>
      <c r="P756">
        <f t="shared" si="84"/>
        <v>749</v>
      </c>
    </row>
    <row r="757" spans="4:16">
      <c r="D757">
        <v>750</v>
      </c>
      <c r="E757" s="6">
        <f t="shared" ca="1" si="79"/>
        <v>29921</v>
      </c>
      <c r="F757" s="7">
        <f t="shared" ca="1" si="80"/>
        <v>0</v>
      </c>
      <c r="G757" s="125">
        <f ca="1">IF('Simulador - 1º Pilar'!$E$99="Sí",IF('Aportaciones Poliza'!$B$13&lt;'Aportaciones Poliza'!E757,0,F757*$B$8/12),F757*$B$8/12)</f>
        <v>0</v>
      </c>
      <c r="H757" s="125">
        <f t="shared" ca="1" si="78"/>
        <v>0</v>
      </c>
      <c r="I757" s="125"/>
      <c r="J757" s="125">
        <f t="shared" ca="1" si="81"/>
        <v>0</v>
      </c>
      <c r="K757" s="125">
        <f t="shared" si="82"/>
        <v>0</v>
      </c>
      <c r="L757" s="125">
        <f t="shared" ca="1" si="83"/>
        <v>0</v>
      </c>
      <c r="P757">
        <f t="shared" si="84"/>
        <v>750</v>
      </c>
    </row>
    <row r="758" spans="4:16">
      <c r="D758">
        <v>751</v>
      </c>
      <c r="E758" s="6">
        <f t="shared" ca="1" si="79"/>
        <v>29891</v>
      </c>
      <c r="F758" s="7">
        <f t="shared" ca="1" si="80"/>
        <v>0</v>
      </c>
      <c r="G758" s="125">
        <f ca="1">IF('Simulador - 1º Pilar'!$E$99="Sí",IF('Aportaciones Poliza'!$B$13&lt;'Aportaciones Poliza'!E758,0,F758*$B$8/12),F758*$B$8/12)</f>
        <v>0</v>
      </c>
      <c r="H758" s="125">
        <f t="shared" ca="1" si="78"/>
        <v>0</v>
      </c>
      <c r="I758" s="125"/>
      <c r="J758" s="125">
        <f t="shared" ca="1" si="81"/>
        <v>0</v>
      </c>
      <c r="K758" s="125">
        <f t="shared" si="82"/>
        <v>0</v>
      </c>
      <c r="L758" s="125">
        <f t="shared" ca="1" si="83"/>
        <v>0</v>
      </c>
      <c r="P758">
        <f t="shared" si="84"/>
        <v>751</v>
      </c>
    </row>
    <row r="759" spans="4:16">
      <c r="D759">
        <v>752</v>
      </c>
      <c r="E759" s="6">
        <f t="shared" ca="1" si="79"/>
        <v>29860</v>
      </c>
      <c r="F759" s="7">
        <f t="shared" ca="1" si="80"/>
        <v>0</v>
      </c>
      <c r="G759" s="125">
        <f ca="1">IF('Simulador - 1º Pilar'!$E$99="Sí",IF('Aportaciones Poliza'!$B$13&lt;'Aportaciones Poliza'!E759,0,F759*$B$8/12),F759*$B$8/12)</f>
        <v>0</v>
      </c>
      <c r="H759" s="125">
        <f t="shared" ca="1" si="78"/>
        <v>0</v>
      </c>
      <c r="I759" s="125"/>
      <c r="J759" s="125">
        <f t="shared" ca="1" si="81"/>
        <v>0</v>
      </c>
      <c r="K759" s="125">
        <f t="shared" si="82"/>
        <v>0</v>
      </c>
      <c r="L759" s="125">
        <f t="shared" ca="1" si="83"/>
        <v>0</v>
      </c>
      <c r="P759">
        <f t="shared" si="84"/>
        <v>752</v>
      </c>
    </row>
    <row r="760" spans="4:16">
      <c r="D760">
        <v>753</v>
      </c>
      <c r="E760" s="6">
        <f t="shared" ca="1" si="79"/>
        <v>29830</v>
      </c>
      <c r="F760" s="7">
        <f t="shared" ca="1" si="80"/>
        <v>0</v>
      </c>
      <c r="G760" s="125">
        <f ca="1">IF('Simulador - 1º Pilar'!$E$99="Sí",IF('Aportaciones Poliza'!$B$13&lt;'Aportaciones Poliza'!E760,0,F760*$B$8/12),F760*$B$8/12)</f>
        <v>0</v>
      </c>
      <c r="H760" s="125">
        <f t="shared" ca="1" si="78"/>
        <v>0</v>
      </c>
      <c r="I760" s="125"/>
      <c r="J760" s="125">
        <f t="shared" ca="1" si="81"/>
        <v>0</v>
      </c>
      <c r="K760" s="125">
        <f t="shared" si="82"/>
        <v>0</v>
      </c>
      <c r="L760" s="125">
        <f t="shared" ca="1" si="83"/>
        <v>0</v>
      </c>
      <c r="P760">
        <f t="shared" si="84"/>
        <v>753</v>
      </c>
    </row>
    <row r="761" spans="4:16">
      <c r="D761">
        <v>754</v>
      </c>
      <c r="E761" s="6">
        <f t="shared" ca="1" si="79"/>
        <v>29799</v>
      </c>
      <c r="F761" s="7">
        <f t="shared" ca="1" si="80"/>
        <v>0</v>
      </c>
      <c r="G761" s="125">
        <f ca="1">IF('Simulador - 1º Pilar'!$E$99="Sí",IF('Aportaciones Poliza'!$B$13&lt;'Aportaciones Poliza'!E761,0,F761*$B$8/12),F761*$B$8/12)</f>
        <v>0</v>
      </c>
      <c r="H761" s="125">
        <f t="shared" ca="1" si="78"/>
        <v>0</v>
      </c>
      <c r="I761" s="125"/>
      <c r="J761" s="125">
        <f t="shared" ca="1" si="81"/>
        <v>0</v>
      </c>
      <c r="K761" s="125">
        <f t="shared" si="82"/>
        <v>0</v>
      </c>
      <c r="L761" s="125">
        <f t="shared" ca="1" si="83"/>
        <v>0</v>
      </c>
      <c r="P761">
        <f t="shared" si="84"/>
        <v>754</v>
      </c>
    </row>
    <row r="762" spans="4:16">
      <c r="D762">
        <v>755</v>
      </c>
      <c r="E762" s="6">
        <f t="shared" ca="1" si="79"/>
        <v>29768</v>
      </c>
      <c r="F762" s="7">
        <f t="shared" ca="1" si="80"/>
        <v>0</v>
      </c>
      <c r="G762" s="125">
        <f ca="1">IF('Simulador - 1º Pilar'!$E$99="Sí",IF('Aportaciones Poliza'!$B$13&lt;'Aportaciones Poliza'!E762,0,F762*$B$8/12),F762*$B$8/12)</f>
        <v>0</v>
      </c>
      <c r="H762" s="125">
        <f t="shared" ca="1" si="78"/>
        <v>0</v>
      </c>
      <c r="I762" s="125"/>
      <c r="J762" s="125">
        <f t="shared" ca="1" si="81"/>
        <v>0</v>
      </c>
      <c r="K762" s="125">
        <f t="shared" si="82"/>
        <v>0</v>
      </c>
      <c r="L762" s="125">
        <f t="shared" ca="1" si="83"/>
        <v>0</v>
      </c>
      <c r="P762">
        <f t="shared" si="84"/>
        <v>755</v>
      </c>
    </row>
    <row r="763" spans="4:16">
      <c r="D763">
        <v>756</v>
      </c>
      <c r="E763" s="6">
        <f t="shared" ca="1" si="79"/>
        <v>29738</v>
      </c>
      <c r="F763" s="7">
        <f t="shared" ca="1" si="80"/>
        <v>0</v>
      </c>
      <c r="G763" s="125">
        <f ca="1">IF('Simulador - 1º Pilar'!$E$99="Sí",IF('Aportaciones Poliza'!$B$13&lt;'Aportaciones Poliza'!E763,0,F763*$B$8/12),F763*$B$8/12)</f>
        <v>0</v>
      </c>
      <c r="H763" s="125">
        <f t="shared" ca="1" si="78"/>
        <v>0</v>
      </c>
      <c r="I763" s="125"/>
      <c r="J763" s="125">
        <f t="shared" ca="1" si="81"/>
        <v>0</v>
      </c>
      <c r="K763" s="125">
        <f t="shared" si="82"/>
        <v>0</v>
      </c>
      <c r="L763" s="125">
        <f t="shared" ca="1" si="83"/>
        <v>0</v>
      </c>
      <c r="P763">
        <f t="shared" si="84"/>
        <v>756</v>
      </c>
    </row>
    <row r="764" spans="4:16">
      <c r="D764">
        <v>757</v>
      </c>
      <c r="E764" s="6">
        <f t="shared" ca="1" si="79"/>
        <v>29707</v>
      </c>
      <c r="F764" s="7">
        <f t="shared" ca="1" si="80"/>
        <v>0</v>
      </c>
      <c r="G764" s="125">
        <f ca="1">IF('Simulador - 1º Pilar'!$E$99="Sí",IF('Aportaciones Poliza'!$B$13&lt;'Aportaciones Poliza'!E764,0,F764*$B$8/12),F764*$B$8/12)</f>
        <v>0</v>
      </c>
      <c r="H764" s="125">
        <f t="shared" ca="1" si="78"/>
        <v>0</v>
      </c>
      <c r="I764" s="125"/>
      <c r="J764" s="125">
        <f t="shared" ca="1" si="81"/>
        <v>0</v>
      </c>
      <c r="K764" s="125">
        <f t="shared" si="82"/>
        <v>0</v>
      </c>
      <c r="L764" s="125">
        <f t="shared" ca="1" si="83"/>
        <v>0</v>
      </c>
      <c r="P764">
        <f t="shared" si="84"/>
        <v>757</v>
      </c>
    </row>
    <row r="765" spans="4:16">
      <c r="D765">
        <v>758</v>
      </c>
      <c r="E765" s="6">
        <f t="shared" ca="1" si="79"/>
        <v>29677</v>
      </c>
      <c r="F765" s="7">
        <f t="shared" ca="1" si="80"/>
        <v>0</v>
      </c>
      <c r="G765" s="125">
        <f ca="1">IF('Simulador - 1º Pilar'!$E$99="Sí",IF('Aportaciones Poliza'!$B$13&lt;'Aportaciones Poliza'!E765,0,F765*$B$8/12),F765*$B$8/12)</f>
        <v>0</v>
      </c>
      <c r="H765" s="125">
        <f t="shared" ca="1" si="78"/>
        <v>0</v>
      </c>
      <c r="I765" s="125"/>
      <c r="J765" s="125">
        <f t="shared" ca="1" si="81"/>
        <v>0</v>
      </c>
      <c r="K765" s="125">
        <f t="shared" si="82"/>
        <v>0</v>
      </c>
      <c r="L765" s="125">
        <f t="shared" ca="1" si="83"/>
        <v>0</v>
      </c>
      <c r="P765">
        <f t="shared" si="84"/>
        <v>758</v>
      </c>
    </row>
    <row r="766" spans="4:16">
      <c r="D766">
        <v>759</v>
      </c>
      <c r="E766" s="6">
        <f t="shared" ca="1" si="79"/>
        <v>29646</v>
      </c>
      <c r="F766" s="7">
        <f t="shared" ca="1" si="80"/>
        <v>0</v>
      </c>
      <c r="G766" s="125">
        <f ca="1">IF('Simulador - 1º Pilar'!$E$99="Sí",IF('Aportaciones Poliza'!$B$13&lt;'Aportaciones Poliza'!E766,0,F766*$B$8/12),F766*$B$8/12)</f>
        <v>0</v>
      </c>
      <c r="H766" s="125">
        <f t="shared" ca="1" si="78"/>
        <v>0</v>
      </c>
      <c r="I766" s="125"/>
      <c r="J766" s="125">
        <f t="shared" ca="1" si="81"/>
        <v>0</v>
      </c>
      <c r="K766" s="125">
        <f t="shared" si="82"/>
        <v>0</v>
      </c>
      <c r="L766" s="125">
        <f t="shared" ca="1" si="83"/>
        <v>0</v>
      </c>
      <c r="P766">
        <f t="shared" si="84"/>
        <v>759</v>
      </c>
    </row>
    <row r="767" spans="4:16">
      <c r="D767">
        <v>760</v>
      </c>
      <c r="E767" s="6">
        <f t="shared" ca="1" si="79"/>
        <v>29618</v>
      </c>
      <c r="F767" s="7">
        <f t="shared" ca="1" si="80"/>
        <v>0</v>
      </c>
      <c r="G767" s="125">
        <f ca="1">IF('Simulador - 1º Pilar'!$E$99="Sí",IF('Aportaciones Poliza'!$B$13&lt;'Aportaciones Poliza'!E767,0,F767*$B$8/12),F767*$B$8/12)</f>
        <v>0</v>
      </c>
      <c r="H767" s="125">
        <f t="shared" ca="1" si="78"/>
        <v>0</v>
      </c>
      <c r="I767" s="125"/>
      <c r="J767" s="125">
        <f t="shared" ca="1" si="81"/>
        <v>0</v>
      </c>
      <c r="K767" s="125">
        <f t="shared" si="82"/>
        <v>0</v>
      </c>
      <c r="L767" s="125">
        <f t="shared" ca="1" si="83"/>
        <v>0</v>
      </c>
      <c r="P767">
        <f t="shared" si="84"/>
        <v>760</v>
      </c>
    </row>
    <row r="768" spans="4:16">
      <c r="D768">
        <v>761</v>
      </c>
      <c r="E768" s="6">
        <f t="shared" ca="1" si="79"/>
        <v>29587</v>
      </c>
      <c r="F768" s="7">
        <f t="shared" ca="1" si="80"/>
        <v>0</v>
      </c>
      <c r="G768" s="125">
        <f ca="1">IF('Simulador - 1º Pilar'!$E$99="Sí",IF('Aportaciones Poliza'!$B$13&lt;'Aportaciones Poliza'!E768,0,F768*$B$8/12),F768*$B$8/12)</f>
        <v>0</v>
      </c>
      <c r="H768" s="125">
        <f t="shared" ca="1" si="78"/>
        <v>0</v>
      </c>
      <c r="I768" s="125"/>
      <c r="J768" s="125">
        <f t="shared" ca="1" si="81"/>
        <v>0</v>
      </c>
      <c r="K768" s="125">
        <f t="shared" si="82"/>
        <v>0</v>
      </c>
      <c r="L768" s="125">
        <f t="shared" ca="1" si="83"/>
        <v>0</v>
      </c>
      <c r="P768">
        <f t="shared" si="84"/>
        <v>761</v>
      </c>
    </row>
    <row r="769" spans="4:16">
      <c r="D769">
        <v>762</v>
      </c>
      <c r="E769" s="6">
        <f t="shared" ca="1" si="79"/>
        <v>29556</v>
      </c>
      <c r="F769" s="7">
        <f t="shared" ca="1" si="80"/>
        <v>0</v>
      </c>
      <c r="G769" s="125">
        <f ca="1">IF('Simulador - 1º Pilar'!$E$99="Sí",IF('Aportaciones Poliza'!$B$13&lt;'Aportaciones Poliza'!E769,0,F769*$B$8/12),F769*$B$8/12)</f>
        <v>0</v>
      </c>
      <c r="H769" s="125">
        <f t="shared" ca="1" si="78"/>
        <v>0</v>
      </c>
      <c r="I769" s="125"/>
      <c r="J769" s="125">
        <f t="shared" ca="1" si="81"/>
        <v>0</v>
      </c>
      <c r="K769" s="125">
        <f t="shared" si="82"/>
        <v>0</v>
      </c>
      <c r="L769" s="125">
        <f t="shared" ca="1" si="83"/>
        <v>0</v>
      </c>
      <c r="P769">
        <f t="shared" si="84"/>
        <v>762</v>
      </c>
    </row>
    <row r="770" spans="4:16">
      <c r="D770">
        <v>763</v>
      </c>
      <c r="E770" s="6">
        <f t="shared" ca="1" si="79"/>
        <v>29526</v>
      </c>
      <c r="F770" s="7">
        <f t="shared" ca="1" si="80"/>
        <v>0</v>
      </c>
      <c r="G770" s="125">
        <f ca="1">IF('Simulador - 1º Pilar'!$E$99="Sí",IF('Aportaciones Poliza'!$B$13&lt;'Aportaciones Poliza'!E770,0,F770*$B$8/12),F770*$B$8/12)</f>
        <v>0</v>
      </c>
      <c r="H770" s="125">
        <f t="shared" ca="1" si="78"/>
        <v>0</v>
      </c>
      <c r="I770" s="125"/>
      <c r="J770" s="125">
        <f t="shared" ca="1" si="81"/>
        <v>0</v>
      </c>
      <c r="K770" s="125">
        <f t="shared" si="82"/>
        <v>0</v>
      </c>
      <c r="L770" s="125">
        <f t="shared" ca="1" si="83"/>
        <v>0</v>
      </c>
      <c r="P770">
        <f t="shared" si="84"/>
        <v>763</v>
      </c>
    </row>
    <row r="771" spans="4:16">
      <c r="D771">
        <v>764</v>
      </c>
      <c r="E771" s="6">
        <f t="shared" ca="1" si="79"/>
        <v>29495</v>
      </c>
      <c r="F771" s="7">
        <f t="shared" ca="1" si="80"/>
        <v>0</v>
      </c>
      <c r="G771" s="125">
        <f ca="1">IF('Simulador - 1º Pilar'!$E$99="Sí",IF('Aportaciones Poliza'!$B$13&lt;'Aportaciones Poliza'!E771,0,F771*$B$8/12),F771*$B$8/12)</f>
        <v>0</v>
      </c>
      <c r="H771" s="125">
        <f t="shared" ca="1" si="78"/>
        <v>0</v>
      </c>
      <c r="I771" s="125"/>
      <c r="J771" s="125">
        <f t="shared" ca="1" si="81"/>
        <v>0</v>
      </c>
      <c r="K771" s="125">
        <f t="shared" si="82"/>
        <v>0</v>
      </c>
      <c r="L771" s="125">
        <f t="shared" ca="1" si="83"/>
        <v>0</v>
      </c>
      <c r="P771">
        <f t="shared" si="84"/>
        <v>764</v>
      </c>
    </row>
    <row r="772" spans="4:16">
      <c r="D772">
        <v>765</v>
      </c>
      <c r="E772" s="6">
        <f t="shared" ca="1" si="79"/>
        <v>29465</v>
      </c>
      <c r="F772" s="7">
        <f t="shared" ca="1" si="80"/>
        <v>0</v>
      </c>
      <c r="G772" s="125">
        <f ca="1">IF('Simulador - 1º Pilar'!$E$99="Sí",IF('Aportaciones Poliza'!$B$13&lt;'Aportaciones Poliza'!E772,0,F772*$B$8/12),F772*$B$8/12)</f>
        <v>0</v>
      </c>
      <c r="H772" s="125">
        <f t="shared" ca="1" si="78"/>
        <v>0</v>
      </c>
      <c r="I772" s="125"/>
      <c r="J772" s="125">
        <f t="shared" ca="1" si="81"/>
        <v>0</v>
      </c>
      <c r="K772" s="125">
        <f t="shared" si="82"/>
        <v>0</v>
      </c>
      <c r="L772" s="125">
        <f t="shared" ca="1" si="83"/>
        <v>0</v>
      </c>
      <c r="P772">
        <f t="shared" si="84"/>
        <v>765</v>
      </c>
    </row>
    <row r="773" spans="4:16">
      <c r="D773">
        <v>766</v>
      </c>
      <c r="E773" s="6">
        <f t="shared" ca="1" si="79"/>
        <v>29434</v>
      </c>
      <c r="F773" s="7">
        <f t="shared" ca="1" si="80"/>
        <v>0</v>
      </c>
      <c r="G773" s="125">
        <f ca="1">IF('Simulador - 1º Pilar'!$E$99="Sí",IF('Aportaciones Poliza'!$B$13&lt;'Aportaciones Poliza'!E773,0,F773*$B$8/12),F773*$B$8/12)</f>
        <v>0</v>
      </c>
      <c r="H773" s="125">
        <f t="shared" ca="1" si="78"/>
        <v>0</v>
      </c>
      <c r="I773" s="125"/>
      <c r="J773" s="125">
        <f t="shared" ca="1" si="81"/>
        <v>0</v>
      </c>
      <c r="K773" s="125">
        <f t="shared" si="82"/>
        <v>0</v>
      </c>
      <c r="L773" s="125">
        <f t="shared" ca="1" si="83"/>
        <v>0</v>
      </c>
      <c r="P773">
        <f t="shared" si="84"/>
        <v>766</v>
      </c>
    </row>
    <row r="774" spans="4:16">
      <c r="D774">
        <v>767</v>
      </c>
      <c r="E774" s="6">
        <f t="shared" ca="1" si="79"/>
        <v>29403</v>
      </c>
      <c r="F774" s="7">
        <f t="shared" ca="1" si="80"/>
        <v>0</v>
      </c>
      <c r="G774" s="125">
        <f ca="1">IF('Simulador - 1º Pilar'!$E$99="Sí",IF('Aportaciones Poliza'!$B$13&lt;'Aportaciones Poliza'!E774,0,F774*$B$8/12),F774*$B$8/12)</f>
        <v>0</v>
      </c>
      <c r="H774" s="125">
        <f t="shared" ca="1" si="78"/>
        <v>0</v>
      </c>
      <c r="I774" s="125"/>
      <c r="J774" s="125">
        <f t="shared" ca="1" si="81"/>
        <v>0</v>
      </c>
      <c r="K774" s="125">
        <f t="shared" si="82"/>
        <v>0</v>
      </c>
      <c r="L774" s="125">
        <f t="shared" ca="1" si="83"/>
        <v>0</v>
      </c>
      <c r="P774">
        <f t="shared" si="84"/>
        <v>767</v>
      </c>
    </row>
    <row r="775" spans="4:16">
      <c r="D775">
        <v>768</v>
      </c>
      <c r="E775" s="6">
        <f t="shared" ca="1" si="79"/>
        <v>29373</v>
      </c>
      <c r="F775" s="7">
        <f t="shared" ca="1" si="80"/>
        <v>0</v>
      </c>
      <c r="G775" s="125">
        <f ca="1">IF('Simulador - 1º Pilar'!$E$99="Sí",IF('Aportaciones Poliza'!$B$13&lt;'Aportaciones Poliza'!E775,0,F775*$B$8/12),F775*$B$8/12)</f>
        <v>0</v>
      </c>
      <c r="H775" s="125">
        <f t="shared" ref="H775:H838" ca="1" si="85">$H$5*G775</f>
        <v>0</v>
      </c>
      <c r="I775" s="125"/>
      <c r="J775" s="125">
        <f t="shared" ca="1" si="81"/>
        <v>0</v>
      </c>
      <c r="K775" s="125">
        <f t="shared" si="82"/>
        <v>0</v>
      </c>
      <c r="L775" s="125">
        <f t="shared" ca="1" si="83"/>
        <v>0</v>
      </c>
      <c r="P775">
        <f t="shared" si="84"/>
        <v>768</v>
      </c>
    </row>
    <row r="776" spans="4:16">
      <c r="D776">
        <v>769</v>
      </c>
      <c r="E776" s="6">
        <f t="shared" ref="E776:E839" ca="1" si="86">+DATE(YEAR(E775),MONTH(E775)-1,DAY(E775))</f>
        <v>29342</v>
      </c>
      <c r="F776" s="7">
        <f t="shared" ref="F776:F839" ca="1" si="87">IF(DATE(YEAR($B$6),MONTH($B$6)+1,DAY(1))=E776,1,IF(MONTH(E776)=1,F777*(1+$F$5),F777))</f>
        <v>0</v>
      </c>
      <c r="G776" s="125">
        <f ca="1">IF('Simulador - 1º Pilar'!$E$99="Sí",IF('Aportaciones Poliza'!$B$13&lt;'Aportaciones Poliza'!E776,0,F776*$B$8/12),F776*$B$8/12)</f>
        <v>0</v>
      </c>
      <c r="H776" s="125">
        <f t="shared" ca="1" si="85"/>
        <v>0</v>
      </c>
      <c r="I776" s="125"/>
      <c r="J776" s="125">
        <f t="shared" ref="J776:J839" ca="1" si="88">(1+$M$5)^(D776/12)*(H776+IF(AND(F776=1,F777=0),$Q$4,0))</f>
        <v>0</v>
      </c>
      <c r="K776" s="125">
        <f t="shared" ref="K776:K839" si="89">(1+$M$5)^(D776/12)*(I776)</f>
        <v>0</v>
      </c>
      <c r="L776" s="125">
        <f t="shared" ref="L776:L839" ca="1" si="90">K776+J776</f>
        <v>0</v>
      </c>
      <c r="P776">
        <f t="shared" si="84"/>
        <v>769</v>
      </c>
    </row>
    <row r="777" spans="4:16">
      <c r="D777">
        <v>770</v>
      </c>
      <c r="E777" s="6">
        <f t="shared" ca="1" si="86"/>
        <v>29312</v>
      </c>
      <c r="F777" s="7">
        <f t="shared" ca="1" si="87"/>
        <v>0</v>
      </c>
      <c r="G777" s="125">
        <f ca="1">IF('Simulador - 1º Pilar'!$E$99="Sí",IF('Aportaciones Poliza'!$B$13&lt;'Aportaciones Poliza'!E777,0,F777*$B$8/12),F777*$B$8/12)</f>
        <v>0</v>
      </c>
      <c r="H777" s="125">
        <f t="shared" ca="1" si="85"/>
        <v>0</v>
      </c>
      <c r="I777" s="125"/>
      <c r="J777" s="125">
        <f t="shared" ca="1" si="88"/>
        <v>0</v>
      </c>
      <c r="K777" s="125">
        <f t="shared" si="89"/>
        <v>0</v>
      </c>
      <c r="L777" s="125">
        <f t="shared" ca="1" si="90"/>
        <v>0</v>
      </c>
      <c r="P777">
        <f t="shared" ref="P777:P840" si="91">D777</f>
        <v>770</v>
      </c>
    </row>
    <row r="778" spans="4:16">
      <c r="D778">
        <v>771</v>
      </c>
      <c r="E778" s="6">
        <f t="shared" ca="1" si="86"/>
        <v>29281</v>
      </c>
      <c r="F778" s="7">
        <f t="shared" ca="1" si="87"/>
        <v>0</v>
      </c>
      <c r="G778" s="125">
        <f ca="1">IF('Simulador - 1º Pilar'!$E$99="Sí",IF('Aportaciones Poliza'!$B$13&lt;'Aportaciones Poliza'!E778,0,F778*$B$8/12),F778*$B$8/12)</f>
        <v>0</v>
      </c>
      <c r="H778" s="125">
        <f t="shared" ca="1" si="85"/>
        <v>0</v>
      </c>
      <c r="I778" s="125"/>
      <c r="J778" s="125">
        <f t="shared" ca="1" si="88"/>
        <v>0</v>
      </c>
      <c r="K778" s="125">
        <f t="shared" si="89"/>
        <v>0</v>
      </c>
      <c r="L778" s="125">
        <f t="shared" ca="1" si="90"/>
        <v>0</v>
      </c>
      <c r="P778">
        <f t="shared" si="91"/>
        <v>771</v>
      </c>
    </row>
    <row r="779" spans="4:16">
      <c r="D779">
        <v>772</v>
      </c>
      <c r="E779" s="6">
        <f t="shared" ca="1" si="86"/>
        <v>29252</v>
      </c>
      <c r="F779" s="7">
        <f t="shared" ca="1" si="87"/>
        <v>0</v>
      </c>
      <c r="G779" s="125">
        <f ca="1">IF('Simulador - 1º Pilar'!$E$99="Sí",IF('Aportaciones Poliza'!$B$13&lt;'Aportaciones Poliza'!E779,0,F779*$B$8/12),F779*$B$8/12)</f>
        <v>0</v>
      </c>
      <c r="H779" s="125">
        <f t="shared" ca="1" si="85"/>
        <v>0</v>
      </c>
      <c r="I779" s="125"/>
      <c r="J779" s="125">
        <f t="shared" ca="1" si="88"/>
        <v>0</v>
      </c>
      <c r="K779" s="125">
        <f t="shared" si="89"/>
        <v>0</v>
      </c>
      <c r="L779" s="125">
        <f t="shared" ca="1" si="90"/>
        <v>0</v>
      </c>
      <c r="P779">
        <f t="shared" si="91"/>
        <v>772</v>
      </c>
    </row>
    <row r="780" spans="4:16">
      <c r="D780">
        <v>773</v>
      </c>
      <c r="E780" s="6">
        <f t="shared" ca="1" si="86"/>
        <v>29221</v>
      </c>
      <c r="F780" s="7">
        <f t="shared" ca="1" si="87"/>
        <v>0</v>
      </c>
      <c r="G780" s="125">
        <f ca="1">IF('Simulador - 1º Pilar'!$E$99="Sí",IF('Aportaciones Poliza'!$B$13&lt;'Aportaciones Poliza'!E780,0,F780*$B$8/12),F780*$B$8/12)</f>
        <v>0</v>
      </c>
      <c r="H780" s="125">
        <f t="shared" ca="1" si="85"/>
        <v>0</v>
      </c>
      <c r="I780" s="125"/>
      <c r="J780" s="125">
        <f t="shared" ca="1" si="88"/>
        <v>0</v>
      </c>
      <c r="K780" s="125">
        <f t="shared" si="89"/>
        <v>0</v>
      </c>
      <c r="L780" s="125">
        <f t="shared" ca="1" si="90"/>
        <v>0</v>
      </c>
      <c r="P780">
        <f t="shared" si="91"/>
        <v>773</v>
      </c>
    </row>
    <row r="781" spans="4:16">
      <c r="D781">
        <v>774</v>
      </c>
      <c r="E781" s="6">
        <f t="shared" ca="1" si="86"/>
        <v>29190</v>
      </c>
      <c r="F781" s="7">
        <f t="shared" ca="1" si="87"/>
        <v>0</v>
      </c>
      <c r="G781" s="125">
        <f ca="1">IF('Simulador - 1º Pilar'!$E$99="Sí",IF('Aportaciones Poliza'!$B$13&lt;'Aportaciones Poliza'!E781,0,F781*$B$8/12),F781*$B$8/12)</f>
        <v>0</v>
      </c>
      <c r="H781" s="125">
        <f t="shared" ca="1" si="85"/>
        <v>0</v>
      </c>
      <c r="I781" s="125"/>
      <c r="J781" s="125">
        <f t="shared" ca="1" si="88"/>
        <v>0</v>
      </c>
      <c r="K781" s="125">
        <f t="shared" si="89"/>
        <v>0</v>
      </c>
      <c r="L781" s="125">
        <f t="shared" ca="1" si="90"/>
        <v>0</v>
      </c>
      <c r="P781">
        <f t="shared" si="91"/>
        <v>774</v>
      </c>
    </row>
    <row r="782" spans="4:16">
      <c r="D782">
        <v>775</v>
      </c>
      <c r="E782" s="6">
        <f t="shared" ca="1" si="86"/>
        <v>29160</v>
      </c>
      <c r="F782" s="7">
        <f t="shared" ca="1" si="87"/>
        <v>0</v>
      </c>
      <c r="G782" s="125">
        <f ca="1">IF('Simulador - 1º Pilar'!$E$99="Sí",IF('Aportaciones Poliza'!$B$13&lt;'Aportaciones Poliza'!E782,0,F782*$B$8/12),F782*$B$8/12)</f>
        <v>0</v>
      </c>
      <c r="H782" s="125">
        <f t="shared" ca="1" si="85"/>
        <v>0</v>
      </c>
      <c r="I782" s="125"/>
      <c r="J782" s="125">
        <f t="shared" ca="1" si="88"/>
        <v>0</v>
      </c>
      <c r="K782" s="125">
        <f t="shared" si="89"/>
        <v>0</v>
      </c>
      <c r="L782" s="125">
        <f t="shared" ca="1" si="90"/>
        <v>0</v>
      </c>
      <c r="P782">
        <f t="shared" si="91"/>
        <v>775</v>
      </c>
    </row>
    <row r="783" spans="4:16">
      <c r="D783">
        <v>776</v>
      </c>
      <c r="E783" s="6">
        <f t="shared" ca="1" si="86"/>
        <v>29129</v>
      </c>
      <c r="F783" s="7">
        <f t="shared" ca="1" si="87"/>
        <v>0</v>
      </c>
      <c r="G783" s="125">
        <f ca="1">IF('Simulador - 1º Pilar'!$E$99="Sí",IF('Aportaciones Poliza'!$B$13&lt;'Aportaciones Poliza'!E783,0,F783*$B$8/12),F783*$B$8/12)</f>
        <v>0</v>
      </c>
      <c r="H783" s="125">
        <f t="shared" ca="1" si="85"/>
        <v>0</v>
      </c>
      <c r="I783" s="125"/>
      <c r="J783" s="125">
        <f t="shared" ca="1" si="88"/>
        <v>0</v>
      </c>
      <c r="K783" s="125">
        <f t="shared" si="89"/>
        <v>0</v>
      </c>
      <c r="L783" s="125">
        <f t="shared" ca="1" si="90"/>
        <v>0</v>
      </c>
      <c r="P783">
        <f t="shared" si="91"/>
        <v>776</v>
      </c>
    </row>
    <row r="784" spans="4:16">
      <c r="D784">
        <v>777</v>
      </c>
      <c r="E784" s="6">
        <f t="shared" ca="1" si="86"/>
        <v>29099</v>
      </c>
      <c r="F784" s="7">
        <f t="shared" ca="1" si="87"/>
        <v>0</v>
      </c>
      <c r="G784" s="125">
        <f ca="1">IF('Simulador - 1º Pilar'!$E$99="Sí",IF('Aportaciones Poliza'!$B$13&lt;'Aportaciones Poliza'!E784,0,F784*$B$8/12),F784*$B$8/12)</f>
        <v>0</v>
      </c>
      <c r="H784" s="125">
        <f t="shared" ca="1" si="85"/>
        <v>0</v>
      </c>
      <c r="I784" s="125"/>
      <c r="J784" s="125">
        <f t="shared" ca="1" si="88"/>
        <v>0</v>
      </c>
      <c r="K784" s="125">
        <f t="shared" si="89"/>
        <v>0</v>
      </c>
      <c r="L784" s="125">
        <f t="shared" ca="1" si="90"/>
        <v>0</v>
      </c>
      <c r="P784">
        <f t="shared" si="91"/>
        <v>777</v>
      </c>
    </row>
    <row r="785" spans="4:16">
      <c r="D785">
        <v>778</v>
      </c>
      <c r="E785" s="6">
        <f t="shared" ca="1" si="86"/>
        <v>29068</v>
      </c>
      <c r="F785" s="7">
        <f t="shared" ca="1" si="87"/>
        <v>0</v>
      </c>
      <c r="G785" s="125">
        <f ca="1">IF('Simulador - 1º Pilar'!$E$99="Sí",IF('Aportaciones Poliza'!$B$13&lt;'Aportaciones Poliza'!E785,0,F785*$B$8/12),F785*$B$8/12)</f>
        <v>0</v>
      </c>
      <c r="H785" s="125">
        <f t="shared" ca="1" si="85"/>
        <v>0</v>
      </c>
      <c r="I785" s="125"/>
      <c r="J785" s="125">
        <f t="shared" ca="1" si="88"/>
        <v>0</v>
      </c>
      <c r="K785" s="125">
        <f t="shared" si="89"/>
        <v>0</v>
      </c>
      <c r="L785" s="125">
        <f t="shared" ca="1" si="90"/>
        <v>0</v>
      </c>
      <c r="P785">
        <f t="shared" si="91"/>
        <v>778</v>
      </c>
    </row>
    <row r="786" spans="4:16">
      <c r="D786">
        <v>779</v>
      </c>
      <c r="E786" s="6">
        <f t="shared" ca="1" si="86"/>
        <v>29037</v>
      </c>
      <c r="F786" s="7">
        <f t="shared" ca="1" si="87"/>
        <v>0</v>
      </c>
      <c r="G786" s="125">
        <f ca="1">IF('Simulador - 1º Pilar'!$E$99="Sí",IF('Aportaciones Poliza'!$B$13&lt;'Aportaciones Poliza'!E786,0,F786*$B$8/12),F786*$B$8/12)</f>
        <v>0</v>
      </c>
      <c r="H786" s="125">
        <f t="shared" ca="1" si="85"/>
        <v>0</v>
      </c>
      <c r="I786" s="125"/>
      <c r="J786" s="125">
        <f t="shared" ca="1" si="88"/>
        <v>0</v>
      </c>
      <c r="K786" s="125">
        <f t="shared" si="89"/>
        <v>0</v>
      </c>
      <c r="L786" s="125">
        <f t="shared" ca="1" si="90"/>
        <v>0</v>
      </c>
      <c r="P786">
        <f t="shared" si="91"/>
        <v>779</v>
      </c>
    </row>
    <row r="787" spans="4:16">
      <c r="D787">
        <v>780</v>
      </c>
      <c r="E787" s="6">
        <f t="shared" ca="1" si="86"/>
        <v>29007</v>
      </c>
      <c r="F787" s="7">
        <f t="shared" ca="1" si="87"/>
        <v>0</v>
      </c>
      <c r="G787" s="125">
        <f ca="1">IF('Simulador - 1º Pilar'!$E$99="Sí",IF('Aportaciones Poliza'!$B$13&lt;'Aportaciones Poliza'!E787,0,F787*$B$8/12),F787*$B$8/12)</f>
        <v>0</v>
      </c>
      <c r="H787" s="125">
        <f t="shared" ca="1" si="85"/>
        <v>0</v>
      </c>
      <c r="I787" s="125"/>
      <c r="J787" s="125">
        <f t="shared" ca="1" si="88"/>
        <v>0</v>
      </c>
      <c r="K787" s="125">
        <f t="shared" si="89"/>
        <v>0</v>
      </c>
      <c r="L787" s="125">
        <f t="shared" ca="1" si="90"/>
        <v>0</v>
      </c>
      <c r="P787">
        <f t="shared" si="91"/>
        <v>780</v>
      </c>
    </row>
    <row r="788" spans="4:16">
      <c r="D788">
        <v>781</v>
      </c>
      <c r="E788" s="6">
        <f t="shared" ca="1" si="86"/>
        <v>28976</v>
      </c>
      <c r="F788" s="7">
        <f t="shared" ca="1" si="87"/>
        <v>0</v>
      </c>
      <c r="G788" s="125">
        <f ca="1">IF('Simulador - 1º Pilar'!$E$99="Sí",IF('Aportaciones Poliza'!$B$13&lt;'Aportaciones Poliza'!E788,0,F788*$B$8/12),F788*$B$8/12)</f>
        <v>0</v>
      </c>
      <c r="H788" s="125">
        <f t="shared" ca="1" si="85"/>
        <v>0</v>
      </c>
      <c r="I788" s="125"/>
      <c r="J788" s="125">
        <f t="shared" ca="1" si="88"/>
        <v>0</v>
      </c>
      <c r="K788" s="125">
        <f t="shared" si="89"/>
        <v>0</v>
      </c>
      <c r="L788" s="125">
        <f t="shared" ca="1" si="90"/>
        <v>0</v>
      </c>
      <c r="P788">
        <f t="shared" si="91"/>
        <v>781</v>
      </c>
    </row>
    <row r="789" spans="4:16">
      <c r="D789">
        <v>782</v>
      </c>
      <c r="E789" s="6">
        <f t="shared" ca="1" si="86"/>
        <v>28946</v>
      </c>
      <c r="F789" s="7">
        <f t="shared" ca="1" si="87"/>
        <v>0</v>
      </c>
      <c r="G789" s="125">
        <f ca="1">IF('Simulador - 1º Pilar'!$E$99="Sí",IF('Aportaciones Poliza'!$B$13&lt;'Aportaciones Poliza'!E789,0,F789*$B$8/12),F789*$B$8/12)</f>
        <v>0</v>
      </c>
      <c r="H789" s="125">
        <f t="shared" ca="1" si="85"/>
        <v>0</v>
      </c>
      <c r="I789" s="125"/>
      <c r="J789" s="125">
        <f t="shared" ca="1" si="88"/>
        <v>0</v>
      </c>
      <c r="K789" s="125">
        <f t="shared" si="89"/>
        <v>0</v>
      </c>
      <c r="L789" s="125">
        <f t="shared" ca="1" si="90"/>
        <v>0</v>
      </c>
      <c r="P789">
        <f t="shared" si="91"/>
        <v>782</v>
      </c>
    </row>
    <row r="790" spans="4:16">
      <c r="D790">
        <v>783</v>
      </c>
      <c r="E790" s="6">
        <f t="shared" ca="1" si="86"/>
        <v>28915</v>
      </c>
      <c r="F790" s="7">
        <f t="shared" ca="1" si="87"/>
        <v>0</v>
      </c>
      <c r="G790" s="125">
        <f ca="1">IF('Simulador - 1º Pilar'!$E$99="Sí",IF('Aportaciones Poliza'!$B$13&lt;'Aportaciones Poliza'!E790,0,F790*$B$8/12),F790*$B$8/12)</f>
        <v>0</v>
      </c>
      <c r="H790" s="125">
        <f t="shared" ca="1" si="85"/>
        <v>0</v>
      </c>
      <c r="I790" s="125"/>
      <c r="J790" s="125">
        <f t="shared" ca="1" si="88"/>
        <v>0</v>
      </c>
      <c r="K790" s="125">
        <f t="shared" si="89"/>
        <v>0</v>
      </c>
      <c r="L790" s="125">
        <f t="shared" ca="1" si="90"/>
        <v>0</v>
      </c>
      <c r="P790">
        <f t="shared" si="91"/>
        <v>783</v>
      </c>
    </row>
    <row r="791" spans="4:16">
      <c r="D791">
        <v>784</v>
      </c>
      <c r="E791" s="6">
        <f t="shared" ca="1" si="86"/>
        <v>28887</v>
      </c>
      <c r="F791" s="7">
        <f t="shared" ca="1" si="87"/>
        <v>0</v>
      </c>
      <c r="G791" s="125">
        <f ca="1">IF('Simulador - 1º Pilar'!$E$99="Sí",IF('Aportaciones Poliza'!$B$13&lt;'Aportaciones Poliza'!E791,0,F791*$B$8/12),F791*$B$8/12)</f>
        <v>0</v>
      </c>
      <c r="H791" s="125">
        <f t="shared" ca="1" si="85"/>
        <v>0</v>
      </c>
      <c r="I791" s="125"/>
      <c r="J791" s="125">
        <f t="shared" ca="1" si="88"/>
        <v>0</v>
      </c>
      <c r="K791" s="125">
        <f t="shared" si="89"/>
        <v>0</v>
      </c>
      <c r="L791" s="125">
        <f t="shared" ca="1" si="90"/>
        <v>0</v>
      </c>
      <c r="P791">
        <f t="shared" si="91"/>
        <v>784</v>
      </c>
    </row>
    <row r="792" spans="4:16">
      <c r="D792">
        <v>785</v>
      </c>
      <c r="E792" s="6">
        <f t="shared" ca="1" si="86"/>
        <v>28856</v>
      </c>
      <c r="F792" s="7">
        <f t="shared" ca="1" si="87"/>
        <v>0</v>
      </c>
      <c r="G792" s="125">
        <f ca="1">IF('Simulador - 1º Pilar'!$E$99="Sí",IF('Aportaciones Poliza'!$B$13&lt;'Aportaciones Poliza'!E792,0,F792*$B$8/12),F792*$B$8/12)</f>
        <v>0</v>
      </c>
      <c r="H792" s="125">
        <f t="shared" ca="1" si="85"/>
        <v>0</v>
      </c>
      <c r="I792" s="125"/>
      <c r="J792" s="125">
        <f t="shared" ca="1" si="88"/>
        <v>0</v>
      </c>
      <c r="K792" s="125">
        <f t="shared" si="89"/>
        <v>0</v>
      </c>
      <c r="L792" s="125">
        <f t="shared" ca="1" si="90"/>
        <v>0</v>
      </c>
      <c r="P792">
        <f t="shared" si="91"/>
        <v>785</v>
      </c>
    </row>
    <row r="793" spans="4:16">
      <c r="D793">
        <v>786</v>
      </c>
      <c r="E793" s="6">
        <f t="shared" ca="1" si="86"/>
        <v>28825</v>
      </c>
      <c r="F793" s="7">
        <f t="shared" ca="1" si="87"/>
        <v>0</v>
      </c>
      <c r="G793" s="125">
        <f ca="1">IF('Simulador - 1º Pilar'!$E$99="Sí",IF('Aportaciones Poliza'!$B$13&lt;'Aportaciones Poliza'!E793,0,F793*$B$8/12),F793*$B$8/12)</f>
        <v>0</v>
      </c>
      <c r="H793" s="125">
        <f t="shared" ca="1" si="85"/>
        <v>0</v>
      </c>
      <c r="I793" s="125"/>
      <c r="J793" s="125">
        <f t="shared" ca="1" si="88"/>
        <v>0</v>
      </c>
      <c r="K793" s="125">
        <f t="shared" si="89"/>
        <v>0</v>
      </c>
      <c r="L793" s="125">
        <f t="shared" ca="1" si="90"/>
        <v>0</v>
      </c>
      <c r="P793">
        <f t="shared" si="91"/>
        <v>786</v>
      </c>
    </row>
    <row r="794" spans="4:16">
      <c r="D794">
        <v>787</v>
      </c>
      <c r="E794" s="6">
        <f t="shared" ca="1" si="86"/>
        <v>28795</v>
      </c>
      <c r="F794" s="7">
        <f t="shared" ca="1" si="87"/>
        <v>0</v>
      </c>
      <c r="G794" s="125">
        <f ca="1">IF('Simulador - 1º Pilar'!$E$99="Sí",IF('Aportaciones Poliza'!$B$13&lt;'Aportaciones Poliza'!E794,0,F794*$B$8/12),F794*$B$8/12)</f>
        <v>0</v>
      </c>
      <c r="H794" s="125">
        <f t="shared" ca="1" si="85"/>
        <v>0</v>
      </c>
      <c r="I794" s="125"/>
      <c r="J794" s="125">
        <f t="shared" ca="1" si="88"/>
        <v>0</v>
      </c>
      <c r="K794" s="125">
        <f t="shared" si="89"/>
        <v>0</v>
      </c>
      <c r="L794" s="125">
        <f t="shared" ca="1" si="90"/>
        <v>0</v>
      </c>
      <c r="P794">
        <f t="shared" si="91"/>
        <v>787</v>
      </c>
    </row>
    <row r="795" spans="4:16">
      <c r="D795">
        <v>788</v>
      </c>
      <c r="E795" s="6">
        <f t="shared" ca="1" si="86"/>
        <v>28764</v>
      </c>
      <c r="F795" s="7">
        <f t="shared" ca="1" si="87"/>
        <v>0</v>
      </c>
      <c r="G795" s="125">
        <f ca="1">IF('Simulador - 1º Pilar'!$E$99="Sí",IF('Aportaciones Poliza'!$B$13&lt;'Aportaciones Poliza'!E795,0,F795*$B$8/12),F795*$B$8/12)</f>
        <v>0</v>
      </c>
      <c r="H795" s="125">
        <f t="shared" ca="1" si="85"/>
        <v>0</v>
      </c>
      <c r="I795" s="125"/>
      <c r="J795" s="125">
        <f t="shared" ca="1" si="88"/>
        <v>0</v>
      </c>
      <c r="K795" s="125">
        <f t="shared" si="89"/>
        <v>0</v>
      </c>
      <c r="L795" s="125">
        <f t="shared" ca="1" si="90"/>
        <v>0</v>
      </c>
      <c r="P795">
        <f t="shared" si="91"/>
        <v>788</v>
      </c>
    </row>
    <row r="796" spans="4:16">
      <c r="D796">
        <v>789</v>
      </c>
      <c r="E796" s="6">
        <f t="shared" ca="1" si="86"/>
        <v>28734</v>
      </c>
      <c r="F796" s="7">
        <f t="shared" ca="1" si="87"/>
        <v>0</v>
      </c>
      <c r="G796" s="125">
        <f ca="1">IF('Simulador - 1º Pilar'!$E$99="Sí",IF('Aportaciones Poliza'!$B$13&lt;'Aportaciones Poliza'!E796,0,F796*$B$8/12),F796*$B$8/12)</f>
        <v>0</v>
      </c>
      <c r="H796" s="125">
        <f t="shared" ca="1" si="85"/>
        <v>0</v>
      </c>
      <c r="I796" s="125"/>
      <c r="J796" s="125">
        <f t="shared" ca="1" si="88"/>
        <v>0</v>
      </c>
      <c r="K796" s="125">
        <f t="shared" si="89"/>
        <v>0</v>
      </c>
      <c r="L796" s="125">
        <f t="shared" ca="1" si="90"/>
        <v>0</v>
      </c>
      <c r="P796">
        <f t="shared" si="91"/>
        <v>789</v>
      </c>
    </row>
    <row r="797" spans="4:16">
      <c r="D797">
        <v>790</v>
      </c>
      <c r="E797" s="6">
        <f t="shared" ca="1" si="86"/>
        <v>28703</v>
      </c>
      <c r="F797" s="7">
        <f t="shared" ca="1" si="87"/>
        <v>0</v>
      </c>
      <c r="G797" s="125">
        <f ca="1">IF('Simulador - 1º Pilar'!$E$99="Sí",IF('Aportaciones Poliza'!$B$13&lt;'Aportaciones Poliza'!E797,0,F797*$B$8/12),F797*$B$8/12)</f>
        <v>0</v>
      </c>
      <c r="H797" s="125">
        <f t="shared" ca="1" si="85"/>
        <v>0</v>
      </c>
      <c r="I797" s="125"/>
      <c r="J797" s="125">
        <f t="shared" ca="1" si="88"/>
        <v>0</v>
      </c>
      <c r="K797" s="125">
        <f t="shared" si="89"/>
        <v>0</v>
      </c>
      <c r="L797" s="125">
        <f t="shared" ca="1" si="90"/>
        <v>0</v>
      </c>
      <c r="P797">
        <f t="shared" si="91"/>
        <v>790</v>
      </c>
    </row>
    <row r="798" spans="4:16">
      <c r="D798">
        <v>791</v>
      </c>
      <c r="E798" s="6">
        <f t="shared" ca="1" si="86"/>
        <v>28672</v>
      </c>
      <c r="F798" s="7">
        <f t="shared" ca="1" si="87"/>
        <v>0</v>
      </c>
      <c r="G798" s="125">
        <f ca="1">IF('Simulador - 1º Pilar'!$E$99="Sí",IF('Aportaciones Poliza'!$B$13&lt;'Aportaciones Poliza'!E798,0,F798*$B$8/12),F798*$B$8/12)</f>
        <v>0</v>
      </c>
      <c r="H798" s="125">
        <f t="shared" ca="1" si="85"/>
        <v>0</v>
      </c>
      <c r="I798" s="125"/>
      <c r="J798" s="125">
        <f t="shared" ca="1" si="88"/>
        <v>0</v>
      </c>
      <c r="K798" s="125">
        <f t="shared" si="89"/>
        <v>0</v>
      </c>
      <c r="L798" s="125">
        <f t="shared" ca="1" si="90"/>
        <v>0</v>
      </c>
      <c r="P798">
        <f t="shared" si="91"/>
        <v>791</v>
      </c>
    </row>
    <row r="799" spans="4:16">
      <c r="D799">
        <v>792</v>
      </c>
      <c r="E799" s="6">
        <f t="shared" ca="1" si="86"/>
        <v>28642</v>
      </c>
      <c r="F799" s="7">
        <f t="shared" ca="1" si="87"/>
        <v>0</v>
      </c>
      <c r="G799" s="125">
        <f ca="1">IF('Simulador - 1º Pilar'!$E$99="Sí",IF('Aportaciones Poliza'!$B$13&lt;'Aportaciones Poliza'!E799,0,F799*$B$8/12),F799*$B$8/12)</f>
        <v>0</v>
      </c>
      <c r="H799" s="125">
        <f t="shared" ca="1" si="85"/>
        <v>0</v>
      </c>
      <c r="I799" s="125"/>
      <c r="J799" s="125">
        <f t="shared" ca="1" si="88"/>
        <v>0</v>
      </c>
      <c r="K799" s="125">
        <f t="shared" si="89"/>
        <v>0</v>
      </c>
      <c r="L799" s="125">
        <f t="shared" ca="1" si="90"/>
        <v>0</v>
      </c>
      <c r="P799">
        <f t="shared" si="91"/>
        <v>792</v>
      </c>
    </row>
    <row r="800" spans="4:16">
      <c r="D800">
        <v>793</v>
      </c>
      <c r="E800" s="6">
        <f t="shared" ca="1" si="86"/>
        <v>28611</v>
      </c>
      <c r="F800" s="7">
        <f t="shared" ca="1" si="87"/>
        <v>0</v>
      </c>
      <c r="G800" s="125">
        <f ca="1">IF('Simulador - 1º Pilar'!$E$99="Sí",IF('Aportaciones Poliza'!$B$13&lt;'Aportaciones Poliza'!E800,0,F800*$B$8/12),F800*$B$8/12)</f>
        <v>0</v>
      </c>
      <c r="H800" s="125">
        <f t="shared" ca="1" si="85"/>
        <v>0</v>
      </c>
      <c r="I800" s="125"/>
      <c r="J800" s="125">
        <f t="shared" ca="1" si="88"/>
        <v>0</v>
      </c>
      <c r="K800" s="125">
        <f t="shared" si="89"/>
        <v>0</v>
      </c>
      <c r="L800" s="125">
        <f t="shared" ca="1" si="90"/>
        <v>0</v>
      </c>
      <c r="P800">
        <f t="shared" si="91"/>
        <v>793</v>
      </c>
    </row>
    <row r="801" spans="4:16">
      <c r="D801">
        <v>794</v>
      </c>
      <c r="E801" s="6">
        <f t="shared" ca="1" si="86"/>
        <v>28581</v>
      </c>
      <c r="F801" s="7">
        <f t="shared" ca="1" si="87"/>
        <v>0</v>
      </c>
      <c r="G801" s="125">
        <f ca="1">IF('Simulador - 1º Pilar'!$E$99="Sí",IF('Aportaciones Poliza'!$B$13&lt;'Aportaciones Poliza'!E801,0,F801*$B$8/12),F801*$B$8/12)</f>
        <v>0</v>
      </c>
      <c r="H801" s="125">
        <f t="shared" ca="1" si="85"/>
        <v>0</v>
      </c>
      <c r="I801" s="125"/>
      <c r="J801" s="125">
        <f t="shared" ca="1" si="88"/>
        <v>0</v>
      </c>
      <c r="K801" s="125">
        <f t="shared" si="89"/>
        <v>0</v>
      </c>
      <c r="L801" s="125">
        <f t="shared" ca="1" si="90"/>
        <v>0</v>
      </c>
      <c r="P801">
        <f t="shared" si="91"/>
        <v>794</v>
      </c>
    </row>
    <row r="802" spans="4:16">
      <c r="D802">
        <v>795</v>
      </c>
      <c r="E802" s="6">
        <f t="shared" ca="1" si="86"/>
        <v>28550</v>
      </c>
      <c r="F802" s="7">
        <f t="shared" ca="1" si="87"/>
        <v>0</v>
      </c>
      <c r="G802" s="125">
        <f ca="1">IF('Simulador - 1º Pilar'!$E$99="Sí",IF('Aportaciones Poliza'!$B$13&lt;'Aportaciones Poliza'!E802,0,F802*$B$8/12),F802*$B$8/12)</f>
        <v>0</v>
      </c>
      <c r="H802" s="125">
        <f t="shared" ca="1" si="85"/>
        <v>0</v>
      </c>
      <c r="I802" s="125"/>
      <c r="J802" s="125">
        <f t="shared" ca="1" si="88"/>
        <v>0</v>
      </c>
      <c r="K802" s="125">
        <f t="shared" si="89"/>
        <v>0</v>
      </c>
      <c r="L802" s="125">
        <f t="shared" ca="1" si="90"/>
        <v>0</v>
      </c>
      <c r="P802">
        <f t="shared" si="91"/>
        <v>795</v>
      </c>
    </row>
    <row r="803" spans="4:16">
      <c r="D803">
        <v>796</v>
      </c>
      <c r="E803" s="6">
        <f t="shared" ca="1" si="86"/>
        <v>28522</v>
      </c>
      <c r="F803" s="7">
        <f t="shared" ca="1" si="87"/>
        <v>0</v>
      </c>
      <c r="G803" s="125">
        <f ca="1">IF('Simulador - 1º Pilar'!$E$99="Sí",IF('Aportaciones Poliza'!$B$13&lt;'Aportaciones Poliza'!E803,0,F803*$B$8/12),F803*$B$8/12)</f>
        <v>0</v>
      </c>
      <c r="H803" s="125">
        <f t="shared" ca="1" si="85"/>
        <v>0</v>
      </c>
      <c r="I803" s="125"/>
      <c r="J803" s="125">
        <f t="shared" ca="1" si="88"/>
        <v>0</v>
      </c>
      <c r="K803" s="125">
        <f t="shared" si="89"/>
        <v>0</v>
      </c>
      <c r="L803" s="125">
        <f t="shared" ca="1" si="90"/>
        <v>0</v>
      </c>
      <c r="P803">
        <f t="shared" si="91"/>
        <v>796</v>
      </c>
    </row>
    <row r="804" spans="4:16">
      <c r="D804">
        <v>797</v>
      </c>
      <c r="E804" s="6">
        <f t="shared" ca="1" si="86"/>
        <v>28491</v>
      </c>
      <c r="F804" s="7">
        <f t="shared" ca="1" si="87"/>
        <v>0</v>
      </c>
      <c r="G804" s="125">
        <f ca="1">IF('Simulador - 1º Pilar'!$E$99="Sí",IF('Aportaciones Poliza'!$B$13&lt;'Aportaciones Poliza'!E804,0,F804*$B$8/12),F804*$B$8/12)</f>
        <v>0</v>
      </c>
      <c r="H804" s="125">
        <f t="shared" ca="1" si="85"/>
        <v>0</v>
      </c>
      <c r="I804" s="125"/>
      <c r="J804" s="125">
        <f t="shared" ca="1" si="88"/>
        <v>0</v>
      </c>
      <c r="K804" s="125">
        <f t="shared" si="89"/>
        <v>0</v>
      </c>
      <c r="L804" s="125">
        <f t="shared" ca="1" si="90"/>
        <v>0</v>
      </c>
      <c r="P804">
        <f t="shared" si="91"/>
        <v>797</v>
      </c>
    </row>
    <row r="805" spans="4:16">
      <c r="D805">
        <v>798</v>
      </c>
      <c r="E805" s="6">
        <f t="shared" ca="1" si="86"/>
        <v>28460</v>
      </c>
      <c r="F805" s="7">
        <f t="shared" ca="1" si="87"/>
        <v>0</v>
      </c>
      <c r="G805" s="125">
        <f ca="1">IF('Simulador - 1º Pilar'!$E$99="Sí",IF('Aportaciones Poliza'!$B$13&lt;'Aportaciones Poliza'!E805,0,F805*$B$8/12),F805*$B$8/12)</f>
        <v>0</v>
      </c>
      <c r="H805" s="125">
        <f t="shared" ca="1" si="85"/>
        <v>0</v>
      </c>
      <c r="I805" s="125"/>
      <c r="J805" s="125">
        <f t="shared" ca="1" si="88"/>
        <v>0</v>
      </c>
      <c r="K805" s="125">
        <f t="shared" si="89"/>
        <v>0</v>
      </c>
      <c r="L805" s="125">
        <f t="shared" ca="1" si="90"/>
        <v>0</v>
      </c>
      <c r="P805">
        <f t="shared" si="91"/>
        <v>798</v>
      </c>
    </row>
    <row r="806" spans="4:16">
      <c r="D806">
        <v>799</v>
      </c>
      <c r="E806" s="6">
        <f t="shared" ca="1" si="86"/>
        <v>28430</v>
      </c>
      <c r="F806" s="7">
        <f t="shared" ca="1" si="87"/>
        <v>0</v>
      </c>
      <c r="G806" s="125">
        <f ca="1">IF('Simulador - 1º Pilar'!$E$99="Sí",IF('Aportaciones Poliza'!$B$13&lt;'Aportaciones Poliza'!E806,0,F806*$B$8/12),F806*$B$8/12)</f>
        <v>0</v>
      </c>
      <c r="H806" s="125">
        <f t="shared" ca="1" si="85"/>
        <v>0</v>
      </c>
      <c r="I806" s="125"/>
      <c r="J806" s="125">
        <f t="shared" ca="1" si="88"/>
        <v>0</v>
      </c>
      <c r="K806" s="125">
        <f t="shared" si="89"/>
        <v>0</v>
      </c>
      <c r="L806" s="125">
        <f t="shared" ca="1" si="90"/>
        <v>0</v>
      </c>
      <c r="P806">
        <f t="shared" si="91"/>
        <v>799</v>
      </c>
    </row>
    <row r="807" spans="4:16">
      <c r="D807">
        <v>800</v>
      </c>
      <c r="E807" s="6">
        <f t="shared" ca="1" si="86"/>
        <v>28399</v>
      </c>
      <c r="F807" s="7">
        <f t="shared" ca="1" si="87"/>
        <v>0</v>
      </c>
      <c r="G807" s="125">
        <f ca="1">IF('Simulador - 1º Pilar'!$E$99="Sí",IF('Aportaciones Poliza'!$B$13&lt;'Aportaciones Poliza'!E807,0,F807*$B$8/12),F807*$B$8/12)</f>
        <v>0</v>
      </c>
      <c r="H807" s="125">
        <f t="shared" ca="1" si="85"/>
        <v>0</v>
      </c>
      <c r="I807" s="125"/>
      <c r="J807" s="125">
        <f t="shared" ca="1" si="88"/>
        <v>0</v>
      </c>
      <c r="K807" s="125">
        <f t="shared" si="89"/>
        <v>0</v>
      </c>
      <c r="L807" s="125">
        <f t="shared" ca="1" si="90"/>
        <v>0</v>
      </c>
      <c r="P807">
        <f t="shared" si="91"/>
        <v>800</v>
      </c>
    </row>
    <row r="808" spans="4:16">
      <c r="D808">
        <v>801</v>
      </c>
      <c r="E808" s="6">
        <f t="shared" ca="1" si="86"/>
        <v>28369</v>
      </c>
      <c r="F808" s="7">
        <f t="shared" ca="1" si="87"/>
        <v>0</v>
      </c>
      <c r="G808" s="125">
        <f ca="1">IF('Simulador - 1º Pilar'!$E$99="Sí",IF('Aportaciones Poliza'!$B$13&lt;'Aportaciones Poliza'!E808,0,F808*$B$8/12),F808*$B$8/12)</f>
        <v>0</v>
      </c>
      <c r="H808" s="125">
        <f t="shared" ca="1" si="85"/>
        <v>0</v>
      </c>
      <c r="I808" s="125"/>
      <c r="J808" s="125">
        <f t="shared" ca="1" si="88"/>
        <v>0</v>
      </c>
      <c r="K808" s="125">
        <f t="shared" si="89"/>
        <v>0</v>
      </c>
      <c r="L808" s="125">
        <f t="shared" ca="1" si="90"/>
        <v>0</v>
      </c>
      <c r="P808">
        <f t="shared" si="91"/>
        <v>801</v>
      </c>
    </row>
    <row r="809" spans="4:16">
      <c r="D809">
        <v>802</v>
      </c>
      <c r="E809" s="6">
        <f t="shared" ca="1" si="86"/>
        <v>28338</v>
      </c>
      <c r="F809" s="7">
        <f t="shared" ca="1" si="87"/>
        <v>0</v>
      </c>
      <c r="G809" s="125">
        <f ca="1">IF('Simulador - 1º Pilar'!$E$99="Sí",IF('Aportaciones Poliza'!$B$13&lt;'Aportaciones Poliza'!E809,0,F809*$B$8/12),F809*$B$8/12)</f>
        <v>0</v>
      </c>
      <c r="H809" s="125">
        <f t="shared" ca="1" si="85"/>
        <v>0</v>
      </c>
      <c r="I809" s="125"/>
      <c r="J809" s="125">
        <f t="shared" ca="1" si="88"/>
        <v>0</v>
      </c>
      <c r="K809" s="125">
        <f t="shared" si="89"/>
        <v>0</v>
      </c>
      <c r="L809" s="125">
        <f t="shared" ca="1" si="90"/>
        <v>0</v>
      </c>
      <c r="P809">
        <f t="shared" si="91"/>
        <v>802</v>
      </c>
    </row>
    <row r="810" spans="4:16">
      <c r="D810">
        <v>803</v>
      </c>
      <c r="E810" s="6">
        <f t="shared" ca="1" si="86"/>
        <v>28307</v>
      </c>
      <c r="F810" s="7">
        <f t="shared" ca="1" si="87"/>
        <v>0</v>
      </c>
      <c r="G810" s="125">
        <f ca="1">IF('Simulador - 1º Pilar'!$E$99="Sí",IF('Aportaciones Poliza'!$B$13&lt;'Aportaciones Poliza'!E810,0,F810*$B$8/12),F810*$B$8/12)</f>
        <v>0</v>
      </c>
      <c r="H810" s="125">
        <f t="shared" ca="1" si="85"/>
        <v>0</v>
      </c>
      <c r="I810" s="125"/>
      <c r="J810" s="125">
        <f t="shared" ca="1" si="88"/>
        <v>0</v>
      </c>
      <c r="K810" s="125">
        <f t="shared" si="89"/>
        <v>0</v>
      </c>
      <c r="L810" s="125">
        <f t="shared" ca="1" si="90"/>
        <v>0</v>
      </c>
      <c r="P810">
        <f t="shared" si="91"/>
        <v>803</v>
      </c>
    </row>
    <row r="811" spans="4:16">
      <c r="D811">
        <v>804</v>
      </c>
      <c r="E811" s="6">
        <f t="shared" ca="1" si="86"/>
        <v>28277</v>
      </c>
      <c r="F811" s="7">
        <f t="shared" ca="1" si="87"/>
        <v>0</v>
      </c>
      <c r="G811" s="125">
        <f ca="1">IF('Simulador - 1º Pilar'!$E$99="Sí",IF('Aportaciones Poliza'!$B$13&lt;'Aportaciones Poliza'!E811,0,F811*$B$8/12),F811*$B$8/12)</f>
        <v>0</v>
      </c>
      <c r="H811" s="125">
        <f t="shared" ca="1" si="85"/>
        <v>0</v>
      </c>
      <c r="I811" s="125"/>
      <c r="J811" s="125">
        <f t="shared" ca="1" si="88"/>
        <v>0</v>
      </c>
      <c r="K811" s="125">
        <f t="shared" si="89"/>
        <v>0</v>
      </c>
      <c r="L811" s="125">
        <f t="shared" ca="1" si="90"/>
        <v>0</v>
      </c>
      <c r="P811">
        <f t="shared" si="91"/>
        <v>804</v>
      </c>
    </row>
    <row r="812" spans="4:16">
      <c r="D812">
        <v>805</v>
      </c>
      <c r="E812" s="6">
        <f t="shared" ca="1" si="86"/>
        <v>28246</v>
      </c>
      <c r="F812" s="7">
        <f t="shared" ca="1" si="87"/>
        <v>0</v>
      </c>
      <c r="G812" s="125">
        <f ca="1">IF('Simulador - 1º Pilar'!$E$99="Sí",IF('Aportaciones Poliza'!$B$13&lt;'Aportaciones Poliza'!E812,0,F812*$B$8/12),F812*$B$8/12)</f>
        <v>0</v>
      </c>
      <c r="H812" s="125">
        <f t="shared" ca="1" si="85"/>
        <v>0</v>
      </c>
      <c r="I812" s="125"/>
      <c r="J812" s="125">
        <f t="shared" ca="1" si="88"/>
        <v>0</v>
      </c>
      <c r="K812" s="125">
        <f t="shared" si="89"/>
        <v>0</v>
      </c>
      <c r="L812" s="125">
        <f t="shared" ca="1" si="90"/>
        <v>0</v>
      </c>
      <c r="P812">
        <f t="shared" si="91"/>
        <v>805</v>
      </c>
    </row>
    <row r="813" spans="4:16">
      <c r="D813">
        <v>806</v>
      </c>
      <c r="E813" s="6">
        <f t="shared" ca="1" si="86"/>
        <v>28216</v>
      </c>
      <c r="F813" s="7">
        <f t="shared" ca="1" si="87"/>
        <v>0</v>
      </c>
      <c r="G813" s="125">
        <f ca="1">IF('Simulador - 1º Pilar'!$E$99="Sí",IF('Aportaciones Poliza'!$B$13&lt;'Aportaciones Poliza'!E813,0,F813*$B$8/12),F813*$B$8/12)</f>
        <v>0</v>
      </c>
      <c r="H813" s="125">
        <f t="shared" ca="1" si="85"/>
        <v>0</v>
      </c>
      <c r="I813" s="125"/>
      <c r="J813" s="125">
        <f t="shared" ca="1" si="88"/>
        <v>0</v>
      </c>
      <c r="K813" s="125">
        <f t="shared" si="89"/>
        <v>0</v>
      </c>
      <c r="L813" s="125">
        <f t="shared" ca="1" si="90"/>
        <v>0</v>
      </c>
      <c r="P813">
        <f t="shared" si="91"/>
        <v>806</v>
      </c>
    </row>
    <row r="814" spans="4:16">
      <c r="D814">
        <v>807</v>
      </c>
      <c r="E814" s="6">
        <f t="shared" ca="1" si="86"/>
        <v>28185</v>
      </c>
      <c r="F814" s="7">
        <f t="shared" ca="1" si="87"/>
        <v>0</v>
      </c>
      <c r="G814" s="125">
        <f ca="1">IF('Simulador - 1º Pilar'!$E$99="Sí",IF('Aportaciones Poliza'!$B$13&lt;'Aportaciones Poliza'!E814,0,F814*$B$8/12),F814*$B$8/12)</f>
        <v>0</v>
      </c>
      <c r="H814" s="125">
        <f t="shared" ca="1" si="85"/>
        <v>0</v>
      </c>
      <c r="I814" s="125"/>
      <c r="J814" s="125">
        <f t="shared" ca="1" si="88"/>
        <v>0</v>
      </c>
      <c r="K814" s="125">
        <f t="shared" si="89"/>
        <v>0</v>
      </c>
      <c r="L814" s="125">
        <f t="shared" ca="1" si="90"/>
        <v>0</v>
      </c>
      <c r="P814">
        <f t="shared" si="91"/>
        <v>807</v>
      </c>
    </row>
    <row r="815" spans="4:16">
      <c r="D815">
        <v>808</v>
      </c>
      <c r="E815" s="6">
        <f t="shared" ca="1" si="86"/>
        <v>28157</v>
      </c>
      <c r="F815" s="7">
        <f t="shared" ca="1" si="87"/>
        <v>0</v>
      </c>
      <c r="G815" s="125">
        <f ca="1">IF('Simulador - 1º Pilar'!$E$99="Sí",IF('Aportaciones Poliza'!$B$13&lt;'Aportaciones Poliza'!E815,0,F815*$B$8/12),F815*$B$8/12)</f>
        <v>0</v>
      </c>
      <c r="H815" s="125">
        <f t="shared" ca="1" si="85"/>
        <v>0</v>
      </c>
      <c r="I815" s="125"/>
      <c r="J815" s="125">
        <f t="shared" ca="1" si="88"/>
        <v>0</v>
      </c>
      <c r="K815" s="125">
        <f t="shared" si="89"/>
        <v>0</v>
      </c>
      <c r="L815" s="125">
        <f t="shared" ca="1" si="90"/>
        <v>0</v>
      </c>
      <c r="P815">
        <f t="shared" si="91"/>
        <v>808</v>
      </c>
    </row>
    <row r="816" spans="4:16">
      <c r="D816">
        <v>809</v>
      </c>
      <c r="E816" s="6">
        <f t="shared" ca="1" si="86"/>
        <v>28126</v>
      </c>
      <c r="F816" s="7">
        <f t="shared" ca="1" si="87"/>
        <v>0</v>
      </c>
      <c r="G816" s="125">
        <f ca="1">IF('Simulador - 1º Pilar'!$E$99="Sí",IF('Aportaciones Poliza'!$B$13&lt;'Aportaciones Poliza'!E816,0,F816*$B$8/12),F816*$B$8/12)</f>
        <v>0</v>
      </c>
      <c r="H816" s="125">
        <f t="shared" ca="1" si="85"/>
        <v>0</v>
      </c>
      <c r="I816" s="125"/>
      <c r="J816" s="125">
        <f t="shared" ca="1" si="88"/>
        <v>0</v>
      </c>
      <c r="K816" s="125">
        <f t="shared" si="89"/>
        <v>0</v>
      </c>
      <c r="L816" s="125">
        <f t="shared" ca="1" si="90"/>
        <v>0</v>
      </c>
      <c r="P816">
        <f t="shared" si="91"/>
        <v>809</v>
      </c>
    </row>
    <row r="817" spans="4:16">
      <c r="D817">
        <v>810</v>
      </c>
      <c r="E817" s="6">
        <f t="shared" ca="1" si="86"/>
        <v>28095</v>
      </c>
      <c r="F817" s="7">
        <f t="shared" ca="1" si="87"/>
        <v>0</v>
      </c>
      <c r="G817" s="125">
        <f ca="1">IF('Simulador - 1º Pilar'!$E$99="Sí",IF('Aportaciones Poliza'!$B$13&lt;'Aportaciones Poliza'!E817,0,F817*$B$8/12),F817*$B$8/12)</f>
        <v>0</v>
      </c>
      <c r="H817" s="125">
        <f t="shared" ca="1" si="85"/>
        <v>0</v>
      </c>
      <c r="I817" s="125"/>
      <c r="J817" s="125">
        <f t="shared" ca="1" si="88"/>
        <v>0</v>
      </c>
      <c r="K817" s="125">
        <f t="shared" si="89"/>
        <v>0</v>
      </c>
      <c r="L817" s="125">
        <f t="shared" ca="1" si="90"/>
        <v>0</v>
      </c>
      <c r="P817">
        <f t="shared" si="91"/>
        <v>810</v>
      </c>
    </row>
    <row r="818" spans="4:16">
      <c r="D818">
        <v>811</v>
      </c>
      <c r="E818" s="6">
        <f t="shared" ca="1" si="86"/>
        <v>28065</v>
      </c>
      <c r="F818" s="7">
        <f t="shared" ca="1" si="87"/>
        <v>0</v>
      </c>
      <c r="G818" s="125">
        <f ca="1">IF('Simulador - 1º Pilar'!$E$99="Sí",IF('Aportaciones Poliza'!$B$13&lt;'Aportaciones Poliza'!E818,0,F818*$B$8/12),F818*$B$8/12)</f>
        <v>0</v>
      </c>
      <c r="H818" s="125">
        <f t="shared" ca="1" si="85"/>
        <v>0</v>
      </c>
      <c r="I818" s="125"/>
      <c r="J818" s="125">
        <f t="shared" ca="1" si="88"/>
        <v>0</v>
      </c>
      <c r="K818" s="125">
        <f t="shared" si="89"/>
        <v>0</v>
      </c>
      <c r="L818" s="125">
        <f t="shared" ca="1" si="90"/>
        <v>0</v>
      </c>
      <c r="P818">
        <f t="shared" si="91"/>
        <v>811</v>
      </c>
    </row>
    <row r="819" spans="4:16">
      <c r="D819">
        <v>812</v>
      </c>
      <c r="E819" s="6">
        <f t="shared" ca="1" si="86"/>
        <v>28034</v>
      </c>
      <c r="F819" s="7">
        <f t="shared" ca="1" si="87"/>
        <v>0</v>
      </c>
      <c r="G819" s="125">
        <f ca="1">IF('Simulador - 1º Pilar'!$E$99="Sí",IF('Aportaciones Poliza'!$B$13&lt;'Aportaciones Poliza'!E819,0,F819*$B$8/12),F819*$B$8/12)</f>
        <v>0</v>
      </c>
      <c r="H819" s="125">
        <f t="shared" ca="1" si="85"/>
        <v>0</v>
      </c>
      <c r="I819" s="125"/>
      <c r="J819" s="125">
        <f t="shared" ca="1" si="88"/>
        <v>0</v>
      </c>
      <c r="K819" s="125">
        <f t="shared" si="89"/>
        <v>0</v>
      </c>
      <c r="L819" s="125">
        <f t="shared" ca="1" si="90"/>
        <v>0</v>
      </c>
      <c r="P819">
        <f t="shared" si="91"/>
        <v>812</v>
      </c>
    </row>
    <row r="820" spans="4:16">
      <c r="D820">
        <v>813</v>
      </c>
      <c r="E820" s="6">
        <f t="shared" ca="1" si="86"/>
        <v>28004</v>
      </c>
      <c r="F820" s="7">
        <f t="shared" ca="1" si="87"/>
        <v>0</v>
      </c>
      <c r="G820" s="125">
        <f ca="1">IF('Simulador - 1º Pilar'!$E$99="Sí",IF('Aportaciones Poliza'!$B$13&lt;'Aportaciones Poliza'!E820,0,F820*$B$8/12),F820*$B$8/12)</f>
        <v>0</v>
      </c>
      <c r="H820" s="125">
        <f t="shared" ca="1" si="85"/>
        <v>0</v>
      </c>
      <c r="I820" s="125"/>
      <c r="J820" s="125">
        <f t="shared" ca="1" si="88"/>
        <v>0</v>
      </c>
      <c r="K820" s="125">
        <f t="shared" si="89"/>
        <v>0</v>
      </c>
      <c r="L820" s="125">
        <f t="shared" ca="1" si="90"/>
        <v>0</v>
      </c>
      <c r="P820">
        <f t="shared" si="91"/>
        <v>813</v>
      </c>
    </row>
    <row r="821" spans="4:16">
      <c r="D821">
        <v>814</v>
      </c>
      <c r="E821" s="6">
        <f t="shared" ca="1" si="86"/>
        <v>27973</v>
      </c>
      <c r="F821" s="7">
        <f t="shared" ca="1" si="87"/>
        <v>0</v>
      </c>
      <c r="G821" s="125">
        <f ca="1">IF('Simulador - 1º Pilar'!$E$99="Sí",IF('Aportaciones Poliza'!$B$13&lt;'Aportaciones Poliza'!E821,0,F821*$B$8/12),F821*$B$8/12)</f>
        <v>0</v>
      </c>
      <c r="H821" s="125">
        <f t="shared" ca="1" si="85"/>
        <v>0</v>
      </c>
      <c r="I821" s="125"/>
      <c r="J821" s="125">
        <f t="shared" ca="1" si="88"/>
        <v>0</v>
      </c>
      <c r="K821" s="125">
        <f t="shared" si="89"/>
        <v>0</v>
      </c>
      <c r="L821" s="125">
        <f t="shared" ca="1" si="90"/>
        <v>0</v>
      </c>
      <c r="P821">
        <f t="shared" si="91"/>
        <v>814</v>
      </c>
    </row>
    <row r="822" spans="4:16">
      <c r="D822">
        <v>815</v>
      </c>
      <c r="E822" s="6">
        <f t="shared" ca="1" si="86"/>
        <v>27942</v>
      </c>
      <c r="F822" s="7">
        <f t="shared" ca="1" si="87"/>
        <v>0</v>
      </c>
      <c r="G822" s="125">
        <f ca="1">IF('Simulador - 1º Pilar'!$E$99="Sí",IF('Aportaciones Poliza'!$B$13&lt;'Aportaciones Poliza'!E822,0,F822*$B$8/12),F822*$B$8/12)</f>
        <v>0</v>
      </c>
      <c r="H822" s="125">
        <f t="shared" ca="1" si="85"/>
        <v>0</v>
      </c>
      <c r="I822" s="125"/>
      <c r="J822" s="125">
        <f t="shared" ca="1" si="88"/>
        <v>0</v>
      </c>
      <c r="K822" s="125">
        <f t="shared" si="89"/>
        <v>0</v>
      </c>
      <c r="L822" s="125">
        <f t="shared" ca="1" si="90"/>
        <v>0</v>
      </c>
      <c r="P822">
        <f t="shared" si="91"/>
        <v>815</v>
      </c>
    </row>
    <row r="823" spans="4:16">
      <c r="D823">
        <v>816</v>
      </c>
      <c r="E823" s="6">
        <f t="shared" ca="1" si="86"/>
        <v>27912</v>
      </c>
      <c r="F823" s="7">
        <f t="shared" ca="1" si="87"/>
        <v>0</v>
      </c>
      <c r="G823" s="125">
        <f ca="1">IF('Simulador - 1º Pilar'!$E$99="Sí",IF('Aportaciones Poliza'!$B$13&lt;'Aportaciones Poliza'!E823,0,F823*$B$8/12),F823*$B$8/12)</f>
        <v>0</v>
      </c>
      <c r="H823" s="125">
        <f t="shared" ca="1" si="85"/>
        <v>0</v>
      </c>
      <c r="I823" s="125"/>
      <c r="J823" s="125">
        <f t="shared" ca="1" si="88"/>
        <v>0</v>
      </c>
      <c r="K823" s="125">
        <f t="shared" si="89"/>
        <v>0</v>
      </c>
      <c r="L823" s="125">
        <f t="shared" ca="1" si="90"/>
        <v>0</v>
      </c>
      <c r="P823">
        <f t="shared" si="91"/>
        <v>816</v>
      </c>
    </row>
    <row r="824" spans="4:16">
      <c r="D824">
        <v>817</v>
      </c>
      <c r="E824" s="6">
        <f t="shared" ca="1" si="86"/>
        <v>27881</v>
      </c>
      <c r="F824" s="7">
        <f t="shared" ca="1" si="87"/>
        <v>0</v>
      </c>
      <c r="G824" s="125">
        <f ca="1">IF('Simulador - 1º Pilar'!$E$99="Sí",IF('Aportaciones Poliza'!$B$13&lt;'Aportaciones Poliza'!E824,0,F824*$B$8/12),F824*$B$8/12)</f>
        <v>0</v>
      </c>
      <c r="H824" s="125">
        <f t="shared" ca="1" si="85"/>
        <v>0</v>
      </c>
      <c r="I824" s="125"/>
      <c r="J824" s="125">
        <f t="shared" ca="1" si="88"/>
        <v>0</v>
      </c>
      <c r="K824" s="125">
        <f t="shared" si="89"/>
        <v>0</v>
      </c>
      <c r="L824" s="125">
        <f t="shared" ca="1" si="90"/>
        <v>0</v>
      </c>
      <c r="P824">
        <f t="shared" si="91"/>
        <v>817</v>
      </c>
    </row>
    <row r="825" spans="4:16">
      <c r="D825">
        <v>818</v>
      </c>
      <c r="E825" s="6">
        <f t="shared" ca="1" si="86"/>
        <v>27851</v>
      </c>
      <c r="F825" s="7">
        <f t="shared" ca="1" si="87"/>
        <v>0</v>
      </c>
      <c r="G825" s="125">
        <f ca="1">IF('Simulador - 1º Pilar'!$E$99="Sí",IF('Aportaciones Poliza'!$B$13&lt;'Aportaciones Poliza'!E825,0,F825*$B$8/12),F825*$B$8/12)</f>
        <v>0</v>
      </c>
      <c r="H825" s="125">
        <f t="shared" ca="1" si="85"/>
        <v>0</v>
      </c>
      <c r="I825" s="125"/>
      <c r="J825" s="125">
        <f t="shared" ca="1" si="88"/>
        <v>0</v>
      </c>
      <c r="K825" s="125">
        <f t="shared" si="89"/>
        <v>0</v>
      </c>
      <c r="L825" s="125">
        <f t="shared" ca="1" si="90"/>
        <v>0</v>
      </c>
      <c r="P825">
        <f t="shared" si="91"/>
        <v>818</v>
      </c>
    </row>
    <row r="826" spans="4:16">
      <c r="D826">
        <v>819</v>
      </c>
      <c r="E826" s="6">
        <f t="shared" ca="1" si="86"/>
        <v>27820</v>
      </c>
      <c r="F826" s="7">
        <f t="shared" ca="1" si="87"/>
        <v>0</v>
      </c>
      <c r="G826" s="125">
        <f ca="1">IF('Simulador - 1º Pilar'!$E$99="Sí",IF('Aportaciones Poliza'!$B$13&lt;'Aportaciones Poliza'!E826,0,F826*$B$8/12),F826*$B$8/12)</f>
        <v>0</v>
      </c>
      <c r="H826" s="125">
        <f t="shared" ca="1" si="85"/>
        <v>0</v>
      </c>
      <c r="I826" s="125"/>
      <c r="J826" s="125">
        <f t="shared" ca="1" si="88"/>
        <v>0</v>
      </c>
      <c r="K826" s="125">
        <f t="shared" si="89"/>
        <v>0</v>
      </c>
      <c r="L826" s="125">
        <f t="shared" ca="1" si="90"/>
        <v>0</v>
      </c>
      <c r="P826">
        <f t="shared" si="91"/>
        <v>819</v>
      </c>
    </row>
    <row r="827" spans="4:16">
      <c r="D827">
        <v>820</v>
      </c>
      <c r="E827" s="6">
        <f t="shared" ca="1" si="86"/>
        <v>27791</v>
      </c>
      <c r="F827" s="7">
        <f t="shared" ca="1" si="87"/>
        <v>0</v>
      </c>
      <c r="G827" s="125">
        <f ca="1">IF('Simulador - 1º Pilar'!$E$99="Sí",IF('Aportaciones Poliza'!$B$13&lt;'Aportaciones Poliza'!E827,0,F827*$B$8/12),F827*$B$8/12)</f>
        <v>0</v>
      </c>
      <c r="H827" s="125">
        <f t="shared" ca="1" si="85"/>
        <v>0</v>
      </c>
      <c r="I827" s="125"/>
      <c r="J827" s="125">
        <f t="shared" ca="1" si="88"/>
        <v>0</v>
      </c>
      <c r="K827" s="125">
        <f t="shared" si="89"/>
        <v>0</v>
      </c>
      <c r="L827" s="125">
        <f t="shared" ca="1" si="90"/>
        <v>0</v>
      </c>
      <c r="P827">
        <f t="shared" si="91"/>
        <v>820</v>
      </c>
    </row>
    <row r="828" spans="4:16">
      <c r="D828">
        <v>821</v>
      </c>
      <c r="E828" s="6">
        <f t="shared" ca="1" si="86"/>
        <v>27760</v>
      </c>
      <c r="F828" s="7">
        <f t="shared" ca="1" si="87"/>
        <v>0</v>
      </c>
      <c r="G828" s="125">
        <f ca="1">IF('Simulador - 1º Pilar'!$E$99="Sí",IF('Aportaciones Poliza'!$B$13&lt;'Aportaciones Poliza'!E828,0,F828*$B$8/12),F828*$B$8/12)</f>
        <v>0</v>
      </c>
      <c r="H828" s="125">
        <f t="shared" ca="1" si="85"/>
        <v>0</v>
      </c>
      <c r="I828" s="125"/>
      <c r="J828" s="125">
        <f t="shared" ca="1" si="88"/>
        <v>0</v>
      </c>
      <c r="K828" s="125">
        <f t="shared" si="89"/>
        <v>0</v>
      </c>
      <c r="L828" s="125">
        <f t="shared" ca="1" si="90"/>
        <v>0</v>
      </c>
      <c r="P828">
        <f t="shared" si="91"/>
        <v>821</v>
      </c>
    </row>
    <row r="829" spans="4:16">
      <c r="D829">
        <v>822</v>
      </c>
      <c r="E829" s="6">
        <f t="shared" ca="1" si="86"/>
        <v>27729</v>
      </c>
      <c r="F829" s="7">
        <f t="shared" ca="1" si="87"/>
        <v>0</v>
      </c>
      <c r="G829" s="125">
        <f ca="1">IF('Simulador - 1º Pilar'!$E$99="Sí",IF('Aportaciones Poliza'!$B$13&lt;'Aportaciones Poliza'!E829,0,F829*$B$8/12),F829*$B$8/12)</f>
        <v>0</v>
      </c>
      <c r="H829" s="125">
        <f t="shared" ca="1" si="85"/>
        <v>0</v>
      </c>
      <c r="I829" s="125"/>
      <c r="J829" s="125">
        <f t="shared" ca="1" si="88"/>
        <v>0</v>
      </c>
      <c r="K829" s="125">
        <f t="shared" si="89"/>
        <v>0</v>
      </c>
      <c r="L829" s="125">
        <f t="shared" ca="1" si="90"/>
        <v>0</v>
      </c>
      <c r="P829">
        <f t="shared" si="91"/>
        <v>822</v>
      </c>
    </row>
    <row r="830" spans="4:16">
      <c r="D830">
        <v>823</v>
      </c>
      <c r="E830" s="6">
        <f t="shared" ca="1" si="86"/>
        <v>27699</v>
      </c>
      <c r="F830" s="7">
        <f t="shared" ca="1" si="87"/>
        <v>0</v>
      </c>
      <c r="G830" s="125">
        <f ca="1">IF('Simulador - 1º Pilar'!$E$99="Sí",IF('Aportaciones Poliza'!$B$13&lt;'Aportaciones Poliza'!E830,0,F830*$B$8/12),F830*$B$8/12)</f>
        <v>0</v>
      </c>
      <c r="H830" s="125">
        <f t="shared" ca="1" si="85"/>
        <v>0</v>
      </c>
      <c r="I830" s="125"/>
      <c r="J830" s="125">
        <f t="shared" ca="1" si="88"/>
        <v>0</v>
      </c>
      <c r="K830" s="125">
        <f t="shared" si="89"/>
        <v>0</v>
      </c>
      <c r="L830" s="125">
        <f t="shared" ca="1" si="90"/>
        <v>0</v>
      </c>
      <c r="P830">
        <f t="shared" si="91"/>
        <v>823</v>
      </c>
    </row>
    <row r="831" spans="4:16">
      <c r="D831">
        <v>824</v>
      </c>
      <c r="E831" s="6">
        <f t="shared" ca="1" si="86"/>
        <v>27668</v>
      </c>
      <c r="F831" s="7">
        <f t="shared" ca="1" si="87"/>
        <v>0</v>
      </c>
      <c r="G831" s="125">
        <f ca="1">IF('Simulador - 1º Pilar'!$E$99="Sí",IF('Aportaciones Poliza'!$B$13&lt;'Aportaciones Poliza'!E831,0,F831*$B$8/12),F831*$B$8/12)</f>
        <v>0</v>
      </c>
      <c r="H831" s="125">
        <f t="shared" ca="1" si="85"/>
        <v>0</v>
      </c>
      <c r="I831" s="125"/>
      <c r="J831" s="125">
        <f t="shared" ca="1" si="88"/>
        <v>0</v>
      </c>
      <c r="K831" s="125">
        <f t="shared" si="89"/>
        <v>0</v>
      </c>
      <c r="L831" s="125">
        <f t="shared" ca="1" si="90"/>
        <v>0</v>
      </c>
      <c r="P831">
        <f t="shared" si="91"/>
        <v>824</v>
      </c>
    </row>
    <row r="832" spans="4:16">
      <c r="D832">
        <v>825</v>
      </c>
      <c r="E832" s="6">
        <f t="shared" ca="1" si="86"/>
        <v>27638</v>
      </c>
      <c r="F832" s="7">
        <f t="shared" ca="1" si="87"/>
        <v>0</v>
      </c>
      <c r="G832" s="125">
        <f ca="1">IF('Simulador - 1º Pilar'!$E$99="Sí",IF('Aportaciones Poliza'!$B$13&lt;'Aportaciones Poliza'!E832,0,F832*$B$8/12),F832*$B$8/12)</f>
        <v>0</v>
      </c>
      <c r="H832" s="125">
        <f t="shared" ca="1" si="85"/>
        <v>0</v>
      </c>
      <c r="I832" s="125"/>
      <c r="J832" s="125">
        <f t="shared" ca="1" si="88"/>
        <v>0</v>
      </c>
      <c r="K832" s="125">
        <f t="shared" si="89"/>
        <v>0</v>
      </c>
      <c r="L832" s="125">
        <f t="shared" ca="1" si="90"/>
        <v>0</v>
      </c>
      <c r="P832">
        <f t="shared" si="91"/>
        <v>825</v>
      </c>
    </row>
    <row r="833" spans="4:16">
      <c r="D833">
        <v>826</v>
      </c>
      <c r="E833" s="6">
        <f t="shared" ca="1" si="86"/>
        <v>27607</v>
      </c>
      <c r="F833" s="7">
        <f t="shared" ca="1" si="87"/>
        <v>0</v>
      </c>
      <c r="G833" s="125">
        <f ca="1">IF('Simulador - 1º Pilar'!$E$99="Sí",IF('Aportaciones Poliza'!$B$13&lt;'Aportaciones Poliza'!E833,0,F833*$B$8/12),F833*$B$8/12)</f>
        <v>0</v>
      </c>
      <c r="H833" s="125">
        <f t="shared" ca="1" si="85"/>
        <v>0</v>
      </c>
      <c r="I833" s="125"/>
      <c r="J833" s="125">
        <f t="shared" ca="1" si="88"/>
        <v>0</v>
      </c>
      <c r="K833" s="125">
        <f t="shared" si="89"/>
        <v>0</v>
      </c>
      <c r="L833" s="125">
        <f t="shared" ca="1" si="90"/>
        <v>0</v>
      </c>
      <c r="P833">
        <f t="shared" si="91"/>
        <v>826</v>
      </c>
    </row>
    <row r="834" spans="4:16">
      <c r="D834">
        <v>827</v>
      </c>
      <c r="E834" s="6">
        <f t="shared" ca="1" si="86"/>
        <v>27576</v>
      </c>
      <c r="F834" s="7">
        <f t="shared" ca="1" si="87"/>
        <v>0</v>
      </c>
      <c r="G834" s="125">
        <f ca="1">IF('Simulador - 1º Pilar'!$E$99="Sí",IF('Aportaciones Poliza'!$B$13&lt;'Aportaciones Poliza'!E834,0,F834*$B$8/12),F834*$B$8/12)</f>
        <v>0</v>
      </c>
      <c r="H834" s="125">
        <f t="shared" ca="1" si="85"/>
        <v>0</v>
      </c>
      <c r="I834" s="125"/>
      <c r="J834" s="125">
        <f t="shared" ca="1" si="88"/>
        <v>0</v>
      </c>
      <c r="K834" s="125">
        <f t="shared" si="89"/>
        <v>0</v>
      </c>
      <c r="L834" s="125">
        <f t="shared" ca="1" si="90"/>
        <v>0</v>
      </c>
      <c r="P834">
        <f t="shared" si="91"/>
        <v>827</v>
      </c>
    </row>
    <row r="835" spans="4:16">
      <c r="D835">
        <v>828</v>
      </c>
      <c r="E835" s="6">
        <f t="shared" ca="1" si="86"/>
        <v>27546</v>
      </c>
      <c r="F835" s="7">
        <f t="shared" ca="1" si="87"/>
        <v>0</v>
      </c>
      <c r="G835" s="125">
        <f ca="1">IF('Simulador - 1º Pilar'!$E$99="Sí",IF('Aportaciones Poliza'!$B$13&lt;'Aportaciones Poliza'!E835,0,F835*$B$8/12),F835*$B$8/12)</f>
        <v>0</v>
      </c>
      <c r="H835" s="125">
        <f t="shared" ca="1" si="85"/>
        <v>0</v>
      </c>
      <c r="I835" s="125"/>
      <c r="J835" s="125">
        <f t="shared" ca="1" si="88"/>
        <v>0</v>
      </c>
      <c r="K835" s="125">
        <f t="shared" si="89"/>
        <v>0</v>
      </c>
      <c r="L835" s="125">
        <f t="shared" ca="1" si="90"/>
        <v>0</v>
      </c>
      <c r="P835">
        <f t="shared" si="91"/>
        <v>828</v>
      </c>
    </row>
    <row r="836" spans="4:16">
      <c r="D836">
        <v>829</v>
      </c>
      <c r="E836" s="6">
        <f t="shared" ca="1" si="86"/>
        <v>27515</v>
      </c>
      <c r="F836" s="7">
        <f t="shared" ca="1" si="87"/>
        <v>0</v>
      </c>
      <c r="G836" s="125">
        <f ca="1">IF('Simulador - 1º Pilar'!$E$99="Sí",IF('Aportaciones Poliza'!$B$13&lt;'Aportaciones Poliza'!E836,0,F836*$B$8/12),F836*$B$8/12)</f>
        <v>0</v>
      </c>
      <c r="H836" s="125">
        <f t="shared" ca="1" si="85"/>
        <v>0</v>
      </c>
      <c r="I836" s="125"/>
      <c r="J836" s="125">
        <f t="shared" ca="1" si="88"/>
        <v>0</v>
      </c>
      <c r="K836" s="125">
        <f t="shared" si="89"/>
        <v>0</v>
      </c>
      <c r="L836" s="125">
        <f t="shared" ca="1" si="90"/>
        <v>0</v>
      </c>
      <c r="P836">
        <f t="shared" si="91"/>
        <v>829</v>
      </c>
    </row>
    <row r="837" spans="4:16">
      <c r="D837">
        <v>830</v>
      </c>
      <c r="E837" s="6">
        <f t="shared" ca="1" si="86"/>
        <v>27485</v>
      </c>
      <c r="F837" s="7">
        <f t="shared" ca="1" si="87"/>
        <v>0</v>
      </c>
      <c r="G837" s="125">
        <f ca="1">IF('Simulador - 1º Pilar'!$E$99="Sí",IF('Aportaciones Poliza'!$B$13&lt;'Aportaciones Poliza'!E837,0,F837*$B$8/12),F837*$B$8/12)</f>
        <v>0</v>
      </c>
      <c r="H837" s="125">
        <f t="shared" ca="1" si="85"/>
        <v>0</v>
      </c>
      <c r="I837" s="125"/>
      <c r="J837" s="125">
        <f t="shared" ca="1" si="88"/>
        <v>0</v>
      </c>
      <c r="K837" s="125">
        <f t="shared" si="89"/>
        <v>0</v>
      </c>
      <c r="L837" s="125">
        <f t="shared" ca="1" si="90"/>
        <v>0</v>
      </c>
      <c r="P837">
        <f t="shared" si="91"/>
        <v>830</v>
      </c>
    </row>
    <row r="838" spans="4:16">
      <c r="D838">
        <v>831</v>
      </c>
      <c r="E838" s="6">
        <f t="shared" ca="1" si="86"/>
        <v>27454</v>
      </c>
      <c r="F838" s="7">
        <f t="shared" ca="1" si="87"/>
        <v>0</v>
      </c>
      <c r="G838" s="125">
        <f ca="1">IF('Simulador - 1º Pilar'!$E$99="Sí",IF('Aportaciones Poliza'!$B$13&lt;'Aportaciones Poliza'!E838,0,F838*$B$8/12),F838*$B$8/12)</f>
        <v>0</v>
      </c>
      <c r="H838" s="125">
        <f t="shared" ca="1" si="85"/>
        <v>0</v>
      </c>
      <c r="I838" s="125"/>
      <c r="J838" s="125">
        <f t="shared" ca="1" si="88"/>
        <v>0</v>
      </c>
      <c r="K838" s="125">
        <f t="shared" si="89"/>
        <v>0</v>
      </c>
      <c r="L838" s="125">
        <f t="shared" ca="1" si="90"/>
        <v>0</v>
      </c>
      <c r="P838">
        <f t="shared" si="91"/>
        <v>831</v>
      </c>
    </row>
    <row r="839" spans="4:16">
      <c r="D839">
        <v>832</v>
      </c>
      <c r="E839" s="6">
        <f t="shared" ca="1" si="86"/>
        <v>27426</v>
      </c>
      <c r="F839" s="7">
        <f t="shared" ca="1" si="87"/>
        <v>0</v>
      </c>
      <c r="G839" s="125">
        <f ca="1">IF('Simulador - 1º Pilar'!$E$99="Sí",IF('Aportaciones Poliza'!$B$13&lt;'Aportaciones Poliza'!E839,0,F839*$B$8/12),F839*$B$8/12)</f>
        <v>0</v>
      </c>
      <c r="H839" s="125">
        <f t="shared" ref="H839:H902" ca="1" si="92">$H$5*G839</f>
        <v>0</v>
      </c>
      <c r="I839" s="125"/>
      <c r="J839" s="125">
        <f t="shared" ca="1" si="88"/>
        <v>0</v>
      </c>
      <c r="K839" s="125">
        <f t="shared" si="89"/>
        <v>0</v>
      </c>
      <c r="L839" s="125">
        <f t="shared" ca="1" si="90"/>
        <v>0</v>
      </c>
      <c r="P839">
        <f t="shared" si="91"/>
        <v>832</v>
      </c>
    </row>
    <row r="840" spans="4:16">
      <c r="D840">
        <v>833</v>
      </c>
      <c r="E840" s="6">
        <f t="shared" ref="E840:E903" ca="1" si="93">+DATE(YEAR(E839),MONTH(E839)-1,DAY(E839))</f>
        <v>27395</v>
      </c>
      <c r="F840" s="7">
        <f t="shared" ref="F840:F903" ca="1" si="94">IF(DATE(YEAR($B$6),MONTH($B$6)+1,DAY(1))=E840,1,IF(MONTH(E840)=1,F841*(1+$F$5),F841))</f>
        <v>0</v>
      </c>
      <c r="G840" s="125">
        <f ca="1">IF('Simulador - 1º Pilar'!$E$99="Sí",IF('Aportaciones Poliza'!$B$13&lt;'Aportaciones Poliza'!E840,0,F840*$B$8/12),F840*$B$8/12)</f>
        <v>0</v>
      </c>
      <c r="H840" s="125">
        <f t="shared" ca="1" si="92"/>
        <v>0</v>
      </c>
      <c r="I840" s="125"/>
      <c r="J840" s="125">
        <f t="shared" ref="J840:J903" ca="1" si="95">(1+$M$5)^(D840/12)*(H840+IF(AND(F840=1,F841=0),$Q$4,0))</f>
        <v>0</v>
      </c>
      <c r="K840" s="125">
        <f t="shared" ref="K840:K903" si="96">(1+$M$5)^(D840/12)*(I840)</f>
        <v>0</v>
      </c>
      <c r="L840" s="125">
        <f t="shared" ref="L840:L903" ca="1" si="97">K840+J840</f>
        <v>0</v>
      </c>
      <c r="P840">
        <f t="shared" si="91"/>
        <v>833</v>
      </c>
    </row>
    <row r="841" spans="4:16">
      <c r="D841">
        <v>834</v>
      </c>
      <c r="E841" s="6">
        <f t="shared" ca="1" si="93"/>
        <v>27364</v>
      </c>
      <c r="F841" s="7">
        <f t="shared" ca="1" si="94"/>
        <v>0</v>
      </c>
      <c r="G841" s="125">
        <f ca="1">IF('Simulador - 1º Pilar'!$E$99="Sí",IF('Aportaciones Poliza'!$B$13&lt;'Aportaciones Poliza'!E841,0,F841*$B$8/12),F841*$B$8/12)</f>
        <v>0</v>
      </c>
      <c r="H841" s="125">
        <f t="shared" ca="1" si="92"/>
        <v>0</v>
      </c>
      <c r="I841" s="125"/>
      <c r="J841" s="125">
        <f t="shared" ca="1" si="95"/>
        <v>0</v>
      </c>
      <c r="K841" s="125">
        <f t="shared" si="96"/>
        <v>0</v>
      </c>
      <c r="L841" s="125">
        <f t="shared" ca="1" si="97"/>
        <v>0</v>
      </c>
      <c r="P841">
        <f t="shared" ref="P841:P904" si="98">D841</f>
        <v>834</v>
      </c>
    </row>
    <row r="842" spans="4:16">
      <c r="D842">
        <v>835</v>
      </c>
      <c r="E842" s="6">
        <f t="shared" ca="1" si="93"/>
        <v>27334</v>
      </c>
      <c r="F842" s="7">
        <f t="shared" ca="1" si="94"/>
        <v>0</v>
      </c>
      <c r="G842" s="125">
        <f ca="1">IF('Simulador - 1º Pilar'!$E$99="Sí",IF('Aportaciones Poliza'!$B$13&lt;'Aportaciones Poliza'!E842,0,F842*$B$8/12),F842*$B$8/12)</f>
        <v>0</v>
      </c>
      <c r="H842" s="125">
        <f t="shared" ca="1" si="92"/>
        <v>0</v>
      </c>
      <c r="I842" s="125"/>
      <c r="J842" s="125">
        <f t="shared" ca="1" si="95"/>
        <v>0</v>
      </c>
      <c r="K842" s="125">
        <f t="shared" si="96"/>
        <v>0</v>
      </c>
      <c r="L842" s="125">
        <f t="shared" ca="1" si="97"/>
        <v>0</v>
      </c>
      <c r="P842">
        <f t="shared" si="98"/>
        <v>835</v>
      </c>
    </row>
    <row r="843" spans="4:16">
      <c r="D843">
        <v>836</v>
      </c>
      <c r="E843" s="6">
        <f t="shared" ca="1" si="93"/>
        <v>27303</v>
      </c>
      <c r="F843" s="7">
        <f t="shared" ca="1" si="94"/>
        <v>0</v>
      </c>
      <c r="G843" s="125">
        <f ca="1">IF('Simulador - 1º Pilar'!$E$99="Sí",IF('Aportaciones Poliza'!$B$13&lt;'Aportaciones Poliza'!E843,0,F843*$B$8/12),F843*$B$8/12)</f>
        <v>0</v>
      </c>
      <c r="H843" s="125">
        <f t="shared" ca="1" si="92"/>
        <v>0</v>
      </c>
      <c r="I843" s="125"/>
      <c r="J843" s="125">
        <f t="shared" ca="1" si="95"/>
        <v>0</v>
      </c>
      <c r="K843" s="125">
        <f t="shared" si="96"/>
        <v>0</v>
      </c>
      <c r="L843" s="125">
        <f t="shared" ca="1" si="97"/>
        <v>0</v>
      </c>
      <c r="P843">
        <f t="shared" si="98"/>
        <v>836</v>
      </c>
    </row>
    <row r="844" spans="4:16">
      <c r="D844">
        <v>837</v>
      </c>
      <c r="E844" s="6">
        <f t="shared" ca="1" si="93"/>
        <v>27273</v>
      </c>
      <c r="F844" s="7">
        <f t="shared" ca="1" si="94"/>
        <v>0</v>
      </c>
      <c r="G844" s="125">
        <f ca="1">IF('Simulador - 1º Pilar'!$E$99="Sí",IF('Aportaciones Poliza'!$B$13&lt;'Aportaciones Poliza'!E844,0,F844*$B$8/12),F844*$B$8/12)</f>
        <v>0</v>
      </c>
      <c r="H844" s="125">
        <f t="shared" ca="1" si="92"/>
        <v>0</v>
      </c>
      <c r="I844" s="125"/>
      <c r="J844" s="125">
        <f t="shared" ca="1" si="95"/>
        <v>0</v>
      </c>
      <c r="K844" s="125">
        <f t="shared" si="96"/>
        <v>0</v>
      </c>
      <c r="L844" s="125">
        <f t="shared" ca="1" si="97"/>
        <v>0</v>
      </c>
      <c r="P844">
        <f t="shared" si="98"/>
        <v>837</v>
      </c>
    </row>
    <row r="845" spans="4:16">
      <c r="D845">
        <v>838</v>
      </c>
      <c r="E845" s="6">
        <f t="shared" ca="1" si="93"/>
        <v>27242</v>
      </c>
      <c r="F845" s="7">
        <f t="shared" ca="1" si="94"/>
        <v>0</v>
      </c>
      <c r="G845" s="125">
        <f ca="1">IF('Simulador - 1º Pilar'!$E$99="Sí",IF('Aportaciones Poliza'!$B$13&lt;'Aportaciones Poliza'!E845,0,F845*$B$8/12),F845*$B$8/12)</f>
        <v>0</v>
      </c>
      <c r="H845" s="125">
        <f t="shared" ca="1" si="92"/>
        <v>0</v>
      </c>
      <c r="I845" s="125"/>
      <c r="J845" s="125">
        <f t="shared" ca="1" si="95"/>
        <v>0</v>
      </c>
      <c r="K845" s="125">
        <f t="shared" si="96"/>
        <v>0</v>
      </c>
      <c r="L845" s="125">
        <f t="shared" ca="1" si="97"/>
        <v>0</v>
      </c>
      <c r="P845">
        <f t="shared" si="98"/>
        <v>838</v>
      </c>
    </row>
    <row r="846" spans="4:16">
      <c r="D846">
        <v>839</v>
      </c>
      <c r="E846" s="6">
        <f t="shared" ca="1" si="93"/>
        <v>27211</v>
      </c>
      <c r="F846" s="7">
        <f t="shared" ca="1" si="94"/>
        <v>0</v>
      </c>
      <c r="G846" s="125">
        <f ca="1">IF('Simulador - 1º Pilar'!$E$99="Sí",IF('Aportaciones Poliza'!$B$13&lt;'Aportaciones Poliza'!E846,0,F846*$B$8/12),F846*$B$8/12)</f>
        <v>0</v>
      </c>
      <c r="H846" s="125">
        <f t="shared" ca="1" si="92"/>
        <v>0</v>
      </c>
      <c r="I846" s="125"/>
      <c r="J846" s="125">
        <f t="shared" ca="1" si="95"/>
        <v>0</v>
      </c>
      <c r="K846" s="125">
        <f t="shared" si="96"/>
        <v>0</v>
      </c>
      <c r="L846" s="125">
        <f t="shared" ca="1" si="97"/>
        <v>0</v>
      </c>
      <c r="P846">
        <f t="shared" si="98"/>
        <v>839</v>
      </c>
    </row>
    <row r="847" spans="4:16">
      <c r="D847">
        <v>840</v>
      </c>
      <c r="E847" s="6">
        <f t="shared" ca="1" si="93"/>
        <v>27181</v>
      </c>
      <c r="F847" s="7">
        <f t="shared" ca="1" si="94"/>
        <v>0</v>
      </c>
      <c r="G847" s="125">
        <f ca="1">IF('Simulador - 1º Pilar'!$E$99="Sí",IF('Aportaciones Poliza'!$B$13&lt;'Aportaciones Poliza'!E847,0,F847*$B$8/12),F847*$B$8/12)</f>
        <v>0</v>
      </c>
      <c r="H847" s="125">
        <f t="shared" ca="1" si="92"/>
        <v>0</v>
      </c>
      <c r="I847" s="125"/>
      <c r="J847" s="125">
        <f t="shared" ca="1" si="95"/>
        <v>0</v>
      </c>
      <c r="K847" s="125">
        <f t="shared" si="96"/>
        <v>0</v>
      </c>
      <c r="L847" s="125">
        <f t="shared" ca="1" si="97"/>
        <v>0</v>
      </c>
      <c r="P847">
        <f t="shared" si="98"/>
        <v>840</v>
      </c>
    </row>
    <row r="848" spans="4:16">
      <c r="D848">
        <v>841</v>
      </c>
      <c r="E848" s="6">
        <f t="shared" ca="1" si="93"/>
        <v>27150</v>
      </c>
      <c r="F848" s="7">
        <f t="shared" ca="1" si="94"/>
        <v>0</v>
      </c>
      <c r="G848" s="125">
        <f ca="1">IF('Simulador - 1º Pilar'!$E$99="Sí",IF('Aportaciones Poliza'!$B$13&lt;'Aportaciones Poliza'!E848,0,F848*$B$8/12),F848*$B$8/12)</f>
        <v>0</v>
      </c>
      <c r="H848" s="125">
        <f t="shared" ca="1" si="92"/>
        <v>0</v>
      </c>
      <c r="I848" s="125"/>
      <c r="J848" s="125">
        <f t="shared" ca="1" si="95"/>
        <v>0</v>
      </c>
      <c r="K848" s="125">
        <f t="shared" si="96"/>
        <v>0</v>
      </c>
      <c r="L848" s="125">
        <f t="shared" ca="1" si="97"/>
        <v>0</v>
      </c>
      <c r="P848">
        <f t="shared" si="98"/>
        <v>841</v>
      </c>
    </row>
    <row r="849" spans="4:16">
      <c r="D849">
        <v>842</v>
      </c>
      <c r="E849" s="6">
        <f t="shared" ca="1" si="93"/>
        <v>27120</v>
      </c>
      <c r="F849" s="7">
        <f t="shared" ca="1" si="94"/>
        <v>0</v>
      </c>
      <c r="G849" s="125">
        <f ca="1">IF('Simulador - 1º Pilar'!$E$99="Sí",IF('Aportaciones Poliza'!$B$13&lt;'Aportaciones Poliza'!E849,0,F849*$B$8/12),F849*$B$8/12)</f>
        <v>0</v>
      </c>
      <c r="H849" s="125">
        <f t="shared" ca="1" si="92"/>
        <v>0</v>
      </c>
      <c r="I849" s="125"/>
      <c r="J849" s="125">
        <f t="shared" ca="1" si="95"/>
        <v>0</v>
      </c>
      <c r="K849" s="125">
        <f t="shared" si="96"/>
        <v>0</v>
      </c>
      <c r="L849" s="125">
        <f t="shared" ca="1" si="97"/>
        <v>0</v>
      </c>
      <c r="P849">
        <f t="shared" si="98"/>
        <v>842</v>
      </c>
    </row>
    <row r="850" spans="4:16">
      <c r="D850">
        <v>843</v>
      </c>
      <c r="E850" s="6">
        <f t="shared" ca="1" si="93"/>
        <v>27089</v>
      </c>
      <c r="F850" s="7">
        <f t="shared" ca="1" si="94"/>
        <v>0</v>
      </c>
      <c r="G850" s="125">
        <f ca="1">IF('Simulador - 1º Pilar'!$E$99="Sí",IF('Aportaciones Poliza'!$B$13&lt;'Aportaciones Poliza'!E850,0,F850*$B$8/12),F850*$B$8/12)</f>
        <v>0</v>
      </c>
      <c r="H850" s="125">
        <f t="shared" ca="1" si="92"/>
        <v>0</v>
      </c>
      <c r="I850" s="125"/>
      <c r="J850" s="125">
        <f t="shared" ca="1" si="95"/>
        <v>0</v>
      </c>
      <c r="K850" s="125">
        <f t="shared" si="96"/>
        <v>0</v>
      </c>
      <c r="L850" s="125">
        <f t="shared" ca="1" si="97"/>
        <v>0</v>
      </c>
      <c r="P850">
        <f t="shared" si="98"/>
        <v>843</v>
      </c>
    </row>
    <row r="851" spans="4:16">
      <c r="D851">
        <v>844</v>
      </c>
      <c r="E851" s="6">
        <f t="shared" ca="1" si="93"/>
        <v>27061</v>
      </c>
      <c r="F851" s="7">
        <f t="shared" ca="1" si="94"/>
        <v>0</v>
      </c>
      <c r="G851" s="125">
        <f ca="1">IF('Simulador - 1º Pilar'!$E$99="Sí",IF('Aportaciones Poliza'!$B$13&lt;'Aportaciones Poliza'!E851,0,F851*$B$8/12),F851*$B$8/12)</f>
        <v>0</v>
      </c>
      <c r="H851" s="125">
        <f t="shared" ca="1" si="92"/>
        <v>0</v>
      </c>
      <c r="I851" s="125"/>
      <c r="J851" s="125">
        <f t="shared" ca="1" si="95"/>
        <v>0</v>
      </c>
      <c r="K851" s="125">
        <f t="shared" si="96"/>
        <v>0</v>
      </c>
      <c r="L851" s="125">
        <f t="shared" ca="1" si="97"/>
        <v>0</v>
      </c>
      <c r="P851">
        <f t="shared" si="98"/>
        <v>844</v>
      </c>
    </row>
    <row r="852" spans="4:16">
      <c r="D852">
        <v>845</v>
      </c>
      <c r="E852" s="6">
        <f t="shared" ca="1" si="93"/>
        <v>27030</v>
      </c>
      <c r="F852" s="7">
        <f t="shared" ca="1" si="94"/>
        <v>0</v>
      </c>
      <c r="G852" s="125">
        <f ca="1">IF('Simulador - 1º Pilar'!$E$99="Sí",IF('Aportaciones Poliza'!$B$13&lt;'Aportaciones Poliza'!E852,0,F852*$B$8/12),F852*$B$8/12)</f>
        <v>0</v>
      </c>
      <c r="H852" s="125">
        <f t="shared" ca="1" si="92"/>
        <v>0</v>
      </c>
      <c r="I852" s="125"/>
      <c r="J852" s="125">
        <f t="shared" ca="1" si="95"/>
        <v>0</v>
      </c>
      <c r="K852" s="125">
        <f t="shared" si="96"/>
        <v>0</v>
      </c>
      <c r="L852" s="125">
        <f t="shared" ca="1" si="97"/>
        <v>0</v>
      </c>
      <c r="P852">
        <f t="shared" si="98"/>
        <v>845</v>
      </c>
    </row>
    <row r="853" spans="4:16">
      <c r="D853">
        <v>846</v>
      </c>
      <c r="E853" s="6">
        <f t="shared" ca="1" si="93"/>
        <v>26999</v>
      </c>
      <c r="F853" s="7">
        <f t="shared" ca="1" si="94"/>
        <v>0</v>
      </c>
      <c r="G853" s="125">
        <f ca="1">IF('Simulador - 1º Pilar'!$E$99="Sí",IF('Aportaciones Poliza'!$B$13&lt;'Aportaciones Poliza'!E853,0,F853*$B$8/12),F853*$B$8/12)</f>
        <v>0</v>
      </c>
      <c r="H853" s="125">
        <f t="shared" ca="1" si="92"/>
        <v>0</v>
      </c>
      <c r="I853" s="125"/>
      <c r="J853" s="125">
        <f t="shared" ca="1" si="95"/>
        <v>0</v>
      </c>
      <c r="K853" s="125">
        <f t="shared" si="96"/>
        <v>0</v>
      </c>
      <c r="L853" s="125">
        <f t="shared" ca="1" si="97"/>
        <v>0</v>
      </c>
      <c r="P853">
        <f t="shared" si="98"/>
        <v>846</v>
      </c>
    </row>
    <row r="854" spans="4:16">
      <c r="D854">
        <v>847</v>
      </c>
      <c r="E854" s="6">
        <f t="shared" ca="1" si="93"/>
        <v>26969</v>
      </c>
      <c r="F854" s="7">
        <f t="shared" ca="1" si="94"/>
        <v>0</v>
      </c>
      <c r="G854" s="125">
        <f ca="1">IF('Simulador - 1º Pilar'!$E$99="Sí",IF('Aportaciones Poliza'!$B$13&lt;'Aportaciones Poliza'!E854,0,F854*$B$8/12),F854*$B$8/12)</f>
        <v>0</v>
      </c>
      <c r="H854" s="125">
        <f t="shared" ca="1" si="92"/>
        <v>0</v>
      </c>
      <c r="I854" s="125"/>
      <c r="J854" s="125">
        <f t="shared" ca="1" si="95"/>
        <v>0</v>
      </c>
      <c r="K854" s="125">
        <f t="shared" si="96"/>
        <v>0</v>
      </c>
      <c r="L854" s="125">
        <f t="shared" ca="1" si="97"/>
        <v>0</v>
      </c>
      <c r="P854">
        <f t="shared" si="98"/>
        <v>847</v>
      </c>
    </row>
    <row r="855" spans="4:16">
      <c r="D855">
        <v>848</v>
      </c>
      <c r="E855" s="6">
        <f t="shared" ca="1" si="93"/>
        <v>26938</v>
      </c>
      <c r="F855" s="7">
        <f t="shared" ca="1" si="94"/>
        <v>0</v>
      </c>
      <c r="G855" s="125">
        <f ca="1">IF('Simulador - 1º Pilar'!$E$99="Sí",IF('Aportaciones Poliza'!$B$13&lt;'Aportaciones Poliza'!E855,0,F855*$B$8/12),F855*$B$8/12)</f>
        <v>0</v>
      </c>
      <c r="H855" s="125">
        <f t="shared" ca="1" si="92"/>
        <v>0</v>
      </c>
      <c r="I855" s="125"/>
      <c r="J855" s="125">
        <f t="shared" ca="1" si="95"/>
        <v>0</v>
      </c>
      <c r="K855" s="125">
        <f t="shared" si="96"/>
        <v>0</v>
      </c>
      <c r="L855" s="125">
        <f t="shared" ca="1" si="97"/>
        <v>0</v>
      </c>
      <c r="P855">
        <f t="shared" si="98"/>
        <v>848</v>
      </c>
    </row>
    <row r="856" spans="4:16">
      <c r="D856">
        <v>849</v>
      </c>
      <c r="E856" s="6">
        <f t="shared" ca="1" si="93"/>
        <v>26908</v>
      </c>
      <c r="F856" s="7">
        <f t="shared" ca="1" si="94"/>
        <v>0</v>
      </c>
      <c r="G856" s="125">
        <f ca="1">IF('Simulador - 1º Pilar'!$E$99="Sí",IF('Aportaciones Poliza'!$B$13&lt;'Aportaciones Poliza'!E856,0,F856*$B$8/12),F856*$B$8/12)</f>
        <v>0</v>
      </c>
      <c r="H856" s="125">
        <f t="shared" ca="1" si="92"/>
        <v>0</v>
      </c>
      <c r="I856" s="125"/>
      <c r="J856" s="125">
        <f t="shared" ca="1" si="95"/>
        <v>0</v>
      </c>
      <c r="K856" s="125">
        <f t="shared" si="96"/>
        <v>0</v>
      </c>
      <c r="L856" s="125">
        <f t="shared" ca="1" si="97"/>
        <v>0</v>
      </c>
      <c r="P856">
        <f t="shared" si="98"/>
        <v>849</v>
      </c>
    </row>
    <row r="857" spans="4:16">
      <c r="D857">
        <v>850</v>
      </c>
      <c r="E857" s="6">
        <f t="shared" ca="1" si="93"/>
        <v>26877</v>
      </c>
      <c r="F857" s="7">
        <f t="shared" ca="1" si="94"/>
        <v>0</v>
      </c>
      <c r="G857" s="125">
        <f ca="1">IF('Simulador - 1º Pilar'!$E$99="Sí",IF('Aportaciones Poliza'!$B$13&lt;'Aportaciones Poliza'!E857,0,F857*$B$8/12),F857*$B$8/12)</f>
        <v>0</v>
      </c>
      <c r="H857" s="125">
        <f t="shared" ca="1" si="92"/>
        <v>0</v>
      </c>
      <c r="I857" s="125"/>
      <c r="J857" s="125">
        <f t="shared" ca="1" si="95"/>
        <v>0</v>
      </c>
      <c r="K857" s="125">
        <f t="shared" si="96"/>
        <v>0</v>
      </c>
      <c r="L857" s="125">
        <f t="shared" ca="1" si="97"/>
        <v>0</v>
      </c>
      <c r="P857">
        <f t="shared" si="98"/>
        <v>850</v>
      </c>
    </row>
    <row r="858" spans="4:16">
      <c r="D858">
        <v>851</v>
      </c>
      <c r="E858" s="6">
        <f t="shared" ca="1" si="93"/>
        <v>26846</v>
      </c>
      <c r="F858" s="7">
        <f t="shared" ca="1" si="94"/>
        <v>0</v>
      </c>
      <c r="G858" s="125">
        <f ca="1">IF('Simulador - 1º Pilar'!$E$99="Sí",IF('Aportaciones Poliza'!$B$13&lt;'Aportaciones Poliza'!E858,0,F858*$B$8/12),F858*$B$8/12)</f>
        <v>0</v>
      </c>
      <c r="H858" s="125">
        <f t="shared" ca="1" si="92"/>
        <v>0</v>
      </c>
      <c r="I858" s="125"/>
      <c r="J858" s="125">
        <f t="shared" ca="1" si="95"/>
        <v>0</v>
      </c>
      <c r="K858" s="125">
        <f t="shared" si="96"/>
        <v>0</v>
      </c>
      <c r="L858" s="125">
        <f t="shared" ca="1" si="97"/>
        <v>0</v>
      </c>
      <c r="P858">
        <f t="shared" si="98"/>
        <v>851</v>
      </c>
    </row>
    <row r="859" spans="4:16">
      <c r="D859">
        <v>852</v>
      </c>
      <c r="E859" s="6">
        <f t="shared" ca="1" si="93"/>
        <v>26816</v>
      </c>
      <c r="F859" s="7">
        <f t="shared" ca="1" si="94"/>
        <v>0</v>
      </c>
      <c r="G859" s="125">
        <f ca="1">IF('Simulador - 1º Pilar'!$E$99="Sí",IF('Aportaciones Poliza'!$B$13&lt;'Aportaciones Poliza'!E859,0,F859*$B$8/12),F859*$B$8/12)</f>
        <v>0</v>
      </c>
      <c r="H859" s="125">
        <f t="shared" ca="1" si="92"/>
        <v>0</v>
      </c>
      <c r="I859" s="125"/>
      <c r="J859" s="125">
        <f t="shared" ca="1" si="95"/>
        <v>0</v>
      </c>
      <c r="K859" s="125">
        <f t="shared" si="96"/>
        <v>0</v>
      </c>
      <c r="L859" s="125">
        <f t="shared" ca="1" si="97"/>
        <v>0</v>
      </c>
      <c r="P859">
        <f t="shared" si="98"/>
        <v>852</v>
      </c>
    </row>
    <row r="860" spans="4:16">
      <c r="D860">
        <v>853</v>
      </c>
      <c r="E860" s="6">
        <f t="shared" ca="1" si="93"/>
        <v>26785</v>
      </c>
      <c r="F860" s="7">
        <f t="shared" ca="1" si="94"/>
        <v>0</v>
      </c>
      <c r="G860" s="125">
        <f ca="1">IF('Simulador - 1º Pilar'!$E$99="Sí",IF('Aportaciones Poliza'!$B$13&lt;'Aportaciones Poliza'!E860,0,F860*$B$8/12),F860*$B$8/12)</f>
        <v>0</v>
      </c>
      <c r="H860" s="125">
        <f t="shared" ca="1" si="92"/>
        <v>0</v>
      </c>
      <c r="I860" s="125"/>
      <c r="J860" s="125">
        <f t="shared" ca="1" si="95"/>
        <v>0</v>
      </c>
      <c r="K860" s="125">
        <f t="shared" si="96"/>
        <v>0</v>
      </c>
      <c r="L860" s="125">
        <f t="shared" ca="1" si="97"/>
        <v>0</v>
      </c>
      <c r="P860">
        <f t="shared" si="98"/>
        <v>853</v>
      </c>
    </row>
    <row r="861" spans="4:16">
      <c r="D861">
        <v>854</v>
      </c>
      <c r="E861" s="6">
        <f t="shared" ca="1" si="93"/>
        <v>26755</v>
      </c>
      <c r="F861" s="7">
        <f t="shared" ca="1" si="94"/>
        <v>0</v>
      </c>
      <c r="G861" s="125">
        <f ca="1">IF('Simulador - 1º Pilar'!$E$99="Sí",IF('Aportaciones Poliza'!$B$13&lt;'Aportaciones Poliza'!E861,0,F861*$B$8/12),F861*$B$8/12)</f>
        <v>0</v>
      </c>
      <c r="H861" s="125">
        <f t="shared" ca="1" si="92"/>
        <v>0</v>
      </c>
      <c r="I861" s="125"/>
      <c r="J861" s="125">
        <f t="shared" ca="1" si="95"/>
        <v>0</v>
      </c>
      <c r="K861" s="125">
        <f t="shared" si="96"/>
        <v>0</v>
      </c>
      <c r="L861" s="125">
        <f t="shared" ca="1" si="97"/>
        <v>0</v>
      </c>
      <c r="P861">
        <f t="shared" si="98"/>
        <v>854</v>
      </c>
    </row>
    <row r="862" spans="4:16">
      <c r="D862">
        <v>855</v>
      </c>
      <c r="E862" s="6">
        <f t="shared" ca="1" si="93"/>
        <v>26724</v>
      </c>
      <c r="F862" s="7">
        <f t="shared" ca="1" si="94"/>
        <v>0</v>
      </c>
      <c r="G862" s="125">
        <f ca="1">IF('Simulador - 1º Pilar'!$E$99="Sí",IF('Aportaciones Poliza'!$B$13&lt;'Aportaciones Poliza'!E862,0,F862*$B$8/12),F862*$B$8/12)</f>
        <v>0</v>
      </c>
      <c r="H862" s="125">
        <f t="shared" ca="1" si="92"/>
        <v>0</v>
      </c>
      <c r="I862" s="125"/>
      <c r="J862" s="125">
        <f t="shared" ca="1" si="95"/>
        <v>0</v>
      </c>
      <c r="K862" s="125">
        <f t="shared" si="96"/>
        <v>0</v>
      </c>
      <c r="L862" s="125">
        <f t="shared" ca="1" si="97"/>
        <v>0</v>
      </c>
      <c r="P862">
        <f t="shared" si="98"/>
        <v>855</v>
      </c>
    </row>
    <row r="863" spans="4:16">
      <c r="D863">
        <v>856</v>
      </c>
      <c r="E863" s="6">
        <f t="shared" ca="1" si="93"/>
        <v>26696</v>
      </c>
      <c r="F863" s="7">
        <f t="shared" ca="1" si="94"/>
        <v>0</v>
      </c>
      <c r="G863" s="125">
        <f ca="1">IF('Simulador - 1º Pilar'!$E$99="Sí",IF('Aportaciones Poliza'!$B$13&lt;'Aportaciones Poliza'!E863,0,F863*$B$8/12),F863*$B$8/12)</f>
        <v>0</v>
      </c>
      <c r="H863" s="125">
        <f t="shared" ca="1" si="92"/>
        <v>0</v>
      </c>
      <c r="I863" s="125"/>
      <c r="J863" s="125">
        <f t="shared" ca="1" si="95"/>
        <v>0</v>
      </c>
      <c r="K863" s="125">
        <f t="shared" si="96"/>
        <v>0</v>
      </c>
      <c r="L863" s="125">
        <f t="shared" ca="1" si="97"/>
        <v>0</v>
      </c>
      <c r="P863">
        <f t="shared" si="98"/>
        <v>856</v>
      </c>
    </row>
    <row r="864" spans="4:16">
      <c r="D864">
        <v>857</v>
      </c>
      <c r="E864" s="6">
        <f t="shared" ca="1" si="93"/>
        <v>26665</v>
      </c>
      <c r="F864" s="7">
        <f t="shared" ca="1" si="94"/>
        <v>0</v>
      </c>
      <c r="G864" s="125">
        <f ca="1">IF('Simulador - 1º Pilar'!$E$99="Sí",IF('Aportaciones Poliza'!$B$13&lt;'Aportaciones Poliza'!E864,0,F864*$B$8/12),F864*$B$8/12)</f>
        <v>0</v>
      </c>
      <c r="H864" s="125">
        <f t="shared" ca="1" si="92"/>
        <v>0</v>
      </c>
      <c r="I864" s="125"/>
      <c r="J864" s="125">
        <f t="shared" ca="1" si="95"/>
        <v>0</v>
      </c>
      <c r="K864" s="125">
        <f t="shared" si="96"/>
        <v>0</v>
      </c>
      <c r="L864" s="125">
        <f t="shared" ca="1" si="97"/>
        <v>0</v>
      </c>
      <c r="P864">
        <f t="shared" si="98"/>
        <v>857</v>
      </c>
    </row>
    <row r="865" spans="4:16">
      <c r="D865">
        <v>858</v>
      </c>
      <c r="E865" s="6">
        <f t="shared" ca="1" si="93"/>
        <v>26634</v>
      </c>
      <c r="F865" s="7">
        <f t="shared" ca="1" si="94"/>
        <v>0</v>
      </c>
      <c r="G865" s="125">
        <f ca="1">IF('Simulador - 1º Pilar'!$E$99="Sí",IF('Aportaciones Poliza'!$B$13&lt;'Aportaciones Poliza'!E865,0,F865*$B$8/12),F865*$B$8/12)</f>
        <v>0</v>
      </c>
      <c r="H865" s="125">
        <f t="shared" ca="1" si="92"/>
        <v>0</v>
      </c>
      <c r="I865" s="125"/>
      <c r="J865" s="125">
        <f t="shared" ca="1" si="95"/>
        <v>0</v>
      </c>
      <c r="K865" s="125">
        <f t="shared" si="96"/>
        <v>0</v>
      </c>
      <c r="L865" s="125">
        <f t="shared" ca="1" si="97"/>
        <v>0</v>
      </c>
      <c r="P865">
        <f t="shared" si="98"/>
        <v>858</v>
      </c>
    </row>
    <row r="866" spans="4:16">
      <c r="D866">
        <v>859</v>
      </c>
      <c r="E866" s="6">
        <f t="shared" ca="1" si="93"/>
        <v>26604</v>
      </c>
      <c r="F866" s="7">
        <f t="shared" ca="1" si="94"/>
        <v>0</v>
      </c>
      <c r="G866" s="125">
        <f ca="1">IF('Simulador - 1º Pilar'!$E$99="Sí",IF('Aportaciones Poliza'!$B$13&lt;'Aportaciones Poliza'!E866,0,F866*$B$8/12),F866*$B$8/12)</f>
        <v>0</v>
      </c>
      <c r="H866" s="125">
        <f t="shared" ca="1" si="92"/>
        <v>0</v>
      </c>
      <c r="I866" s="125"/>
      <c r="J866" s="125">
        <f t="shared" ca="1" si="95"/>
        <v>0</v>
      </c>
      <c r="K866" s="125">
        <f t="shared" si="96"/>
        <v>0</v>
      </c>
      <c r="L866" s="125">
        <f t="shared" ca="1" si="97"/>
        <v>0</v>
      </c>
      <c r="P866">
        <f t="shared" si="98"/>
        <v>859</v>
      </c>
    </row>
    <row r="867" spans="4:16">
      <c r="D867">
        <v>860</v>
      </c>
      <c r="E867" s="6">
        <f t="shared" ca="1" si="93"/>
        <v>26573</v>
      </c>
      <c r="F867" s="7">
        <f t="shared" ca="1" si="94"/>
        <v>0</v>
      </c>
      <c r="G867" s="125">
        <f ca="1">IF('Simulador - 1º Pilar'!$E$99="Sí",IF('Aportaciones Poliza'!$B$13&lt;'Aportaciones Poliza'!E867,0,F867*$B$8/12),F867*$B$8/12)</f>
        <v>0</v>
      </c>
      <c r="H867" s="125">
        <f t="shared" ca="1" si="92"/>
        <v>0</v>
      </c>
      <c r="I867" s="125"/>
      <c r="J867" s="125">
        <f t="shared" ca="1" si="95"/>
        <v>0</v>
      </c>
      <c r="K867" s="125">
        <f t="shared" si="96"/>
        <v>0</v>
      </c>
      <c r="L867" s="125">
        <f t="shared" ca="1" si="97"/>
        <v>0</v>
      </c>
      <c r="P867">
        <f t="shared" si="98"/>
        <v>860</v>
      </c>
    </row>
    <row r="868" spans="4:16">
      <c r="D868">
        <v>861</v>
      </c>
      <c r="E868" s="6">
        <f t="shared" ca="1" si="93"/>
        <v>26543</v>
      </c>
      <c r="F868" s="7">
        <f t="shared" ca="1" si="94"/>
        <v>0</v>
      </c>
      <c r="G868" s="125">
        <f ca="1">IF('Simulador - 1º Pilar'!$E$99="Sí",IF('Aportaciones Poliza'!$B$13&lt;'Aportaciones Poliza'!E868,0,F868*$B$8/12),F868*$B$8/12)</f>
        <v>0</v>
      </c>
      <c r="H868" s="125">
        <f t="shared" ca="1" si="92"/>
        <v>0</v>
      </c>
      <c r="I868" s="125"/>
      <c r="J868" s="125">
        <f t="shared" ca="1" si="95"/>
        <v>0</v>
      </c>
      <c r="K868" s="125">
        <f t="shared" si="96"/>
        <v>0</v>
      </c>
      <c r="L868" s="125">
        <f t="shared" ca="1" si="97"/>
        <v>0</v>
      </c>
      <c r="P868">
        <f t="shared" si="98"/>
        <v>861</v>
      </c>
    </row>
    <row r="869" spans="4:16">
      <c r="D869">
        <v>862</v>
      </c>
      <c r="E869" s="6">
        <f t="shared" ca="1" si="93"/>
        <v>26512</v>
      </c>
      <c r="F869" s="7">
        <f t="shared" ca="1" si="94"/>
        <v>0</v>
      </c>
      <c r="G869" s="125">
        <f ca="1">IF('Simulador - 1º Pilar'!$E$99="Sí",IF('Aportaciones Poliza'!$B$13&lt;'Aportaciones Poliza'!E869,0,F869*$B$8/12),F869*$B$8/12)</f>
        <v>0</v>
      </c>
      <c r="H869" s="125">
        <f t="shared" ca="1" si="92"/>
        <v>0</v>
      </c>
      <c r="I869" s="125"/>
      <c r="J869" s="125">
        <f t="shared" ca="1" si="95"/>
        <v>0</v>
      </c>
      <c r="K869" s="125">
        <f t="shared" si="96"/>
        <v>0</v>
      </c>
      <c r="L869" s="125">
        <f t="shared" ca="1" si="97"/>
        <v>0</v>
      </c>
      <c r="P869">
        <f t="shared" si="98"/>
        <v>862</v>
      </c>
    </row>
    <row r="870" spans="4:16">
      <c r="D870">
        <v>863</v>
      </c>
      <c r="E870" s="6">
        <f t="shared" ca="1" si="93"/>
        <v>26481</v>
      </c>
      <c r="F870" s="7">
        <f t="shared" ca="1" si="94"/>
        <v>0</v>
      </c>
      <c r="G870" s="125">
        <f ca="1">IF('Simulador - 1º Pilar'!$E$99="Sí",IF('Aportaciones Poliza'!$B$13&lt;'Aportaciones Poliza'!E870,0,F870*$B$8/12),F870*$B$8/12)</f>
        <v>0</v>
      </c>
      <c r="H870" s="125">
        <f t="shared" ca="1" si="92"/>
        <v>0</v>
      </c>
      <c r="I870" s="125"/>
      <c r="J870" s="125">
        <f t="shared" ca="1" si="95"/>
        <v>0</v>
      </c>
      <c r="K870" s="125">
        <f t="shared" si="96"/>
        <v>0</v>
      </c>
      <c r="L870" s="125">
        <f t="shared" ca="1" si="97"/>
        <v>0</v>
      </c>
      <c r="P870">
        <f t="shared" si="98"/>
        <v>863</v>
      </c>
    </row>
    <row r="871" spans="4:16">
      <c r="D871">
        <v>864</v>
      </c>
      <c r="E871" s="6">
        <f t="shared" ca="1" si="93"/>
        <v>26451</v>
      </c>
      <c r="F871" s="7">
        <f t="shared" ca="1" si="94"/>
        <v>0</v>
      </c>
      <c r="G871" s="125">
        <f ca="1">IF('Simulador - 1º Pilar'!$E$99="Sí",IF('Aportaciones Poliza'!$B$13&lt;'Aportaciones Poliza'!E871,0,F871*$B$8/12),F871*$B$8/12)</f>
        <v>0</v>
      </c>
      <c r="H871" s="125">
        <f t="shared" ca="1" si="92"/>
        <v>0</v>
      </c>
      <c r="I871" s="125"/>
      <c r="J871" s="125">
        <f t="shared" ca="1" si="95"/>
        <v>0</v>
      </c>
      <c r="K871" s="125">
        <f t="shared" si="96"/>
        <v>0</v>
      </c>
      <c r="L871" s="125">
        <f t="shared" ca="1" si="97"/>
        <v>0</v>
      </c>
      <c r="P871">
        <f t="shared" si="98"/>
        <v>864</v>
      </c>
    </row>
    <row r="872" spans="4:16">
      <c r="D872">
        <v>865</v>
      </c>
      <c r="E872" s="6">
        <f t="shared" ca="1" si="93"/>
        <v>26420</v>
      </c>
      <c r="F872" s="7">
        <f t="shared" ca="1" si="94"/>
        <v>0</v>
      </c>
      <c r="G872" s="125">
        <f ca="1">IF('Simulador - 1º Pilar'!$E$99="Sí",IF('Aportaciones Poliza'!$B$13&lt;'Aportaciones Poliza'!E872,0,F872*$B$8/12),F872*$B$8/12)</f>
        <v>0</v>
      </c>
      <c r="H872" s="125">
        <f t="shared" ca="1" si="92"/>
        <v>0</v>
      </c>
      <c r="I872" s="125"/>
      <c r="J872" s="125">
        <f t="shared" ca="1" si="95"/>
        <v>0</v>
      </c>
      <c r="K872" s="125">
        <f t="shared" si="96"/>
        <v>0</v>
      </c>
      <c r="L872" s="125">
        <f t="shared" ca="1" si="97"/>
        <v>0</v>
      </c>
      <c r="P872">
        <f t="shared" si="98"/>
        <v>865</v>
      </c>
    </row>
    <row r="873" spans="4:16">
      <c r="D873">
        <v>866</v>
      </c>
      <c r="E873" s="6">
        <f t="shared" ca="1" si="93"/>
        <v>26390</v>
      </c>
      <c r="F873" s="7">
        <f t="shared" ca="1" si="94"/>
        <v>0</v>
      </c>
      <c r="G873" s="125">
        <f ca="1">IF('Simulador - 1º Pilar'!$E$99="Sí",IF('Aportaciones Poliza'!$B$13&lt;'Aportaciones Poliza'!E873,0,F873*$B$8/12),F873*$B$8/12)</f>
        <v>0</v>
      </c>
      <c r="H873" s="125">
        <f t="shared" ca="1" si="92"/>
        <v>0</v>
      </c>
      <c r="I873" s="125"/>
      <c r="J873" s="125">
        <f t="shared" ca="1" si="95"/>
        <v>0</v>
      </c>
      <c r="K873" s="125">
        <f t="shared" si="96"/>
        <v>0</v>
      </c>
      <c r="L873" s="125">
        <f t="shared" ca="1" si="97"/>
        <v>0</v>
      </c>
      <c r="P873">
        <f t="shared" si="98"/>
        <v>866</v>
      </c>
    </row>
    <row r="874" spans="4:16">
      <c r="D874">
        <v>867</v>
      </c>
      <c r="E874" s="6">
        <f t="shared" ca="1" si="93"/>
        <v>26359</v>
      </c>
      <c r="F874" s="7">
        <f t="shared" ca="1" si="94"/>
        <v>0</v>
      </c>
      <c r="G874" s="125">
        <f ca="1">IF('Simulador - 1º Pilar'!$E$99="Sí",IF('Aportaciones Poliza'!$B$13&lt;'Aportaciones Poliza'!E874,0,F874*$B$8/12),F874*$B$8/12)</f>
        <v>0</v>
      </c>
      <c r="H874" s="125">
        <f t="shared" ca="1" si="92"/>
        <v>0</v>
      </c>
      <c r="I874" s="125"/>
      <c r="J874" s="125">
        <f t="shared" ca="1" si="95"/>
        <v>0</v>
      </c>
      <c r="K874" s="125">
        <f t="shared" si="96"/>
        <v>0</v>
      </c>
      <c r="L874" s="125">
        <f t="shared" ca="1" si="97"/>
        <v>0</v>
      </c>
      <c r="P874">
        <f t="shared" si="98"/>
        <v>867</v>
      </c>
    </row>
    <row r="875" spans="4:16">
      <c r="D875">
        <v>868</v>
      </c>
      <c r="E875" s="6">
        <f t="shared" ca="1" si="93"/>
        <v>26330</v>
      </c>
      <c r="F875" s="7">
        <f t="shared" ca="1" si="94"/>
        <v>0</v>
      </c>
      <c r="G875" s="125">
        <f ca="1">IF('Simulador - 1º Pilar'!$E$99="Sí",IF('Aportaciones Poliza'!$B$13&lt;'Aportaciones Poliza'!E875,0,F875*$B$8/12),F875*$B$8/12)</f>
        <v>0</v>
      </c>
      <c r="H875" s="125">
        <f t="shared" ca="1" si="92"/>
        <v>0</v>
      </c>
      <c r="I875" s="125"/>
      <c r="J875" s="125">
        <f t="shared" ca="1" si="95"/>
        <v>0</v>
      </c>
      <c r="K875" s="125">
        <f t="shared" si="96"/>
        <v>0</v>
      </c>
      <c r="L875" s="125">
        <f t="shared" ca="1" si="97"/>
        <v>0</v>
      </c>
      <c r="P875">
        <f t="shared" si="98"/>
        <v>868</v>
      </c>
    </row>
    <row r="876" spans="4:16">
      <c r="D876">
        <v>869</v>
      </c>
      <c r="E876" s="6">
        <f t="shared" ca="1" si="93"/>
        <v>26299</v>
      </c>
      <c r="F876" s="7">
        <f t="shared" ca="1" si="94"/>
        <v>0</v>
      </c>
      <c r="G876" s="125">
        <f ca="1">IF('Simulador - 1º Pilar'!$E$99="Sí",IF('Aportaciones Poliza'!$B$13&lt;'Aportaciones Poliza'!E876,0,F876*$B$8/12),F876*$B$8/12)</f>
        <v>0</v>
      </c>
      <c r="H876" s="125">
        <f t="shared" ca="1" si="92"/>
        <v>0</v>
      </c>
      <c r="I876" s="125"/>
      <c r="J876" s="125">
        <f t="shared" ca="1" si="95"/>
        <v>0</v>
      </c>
      <c r="K876" s="125">
        <f t="shared" si="96"/>
        <v>0</v>
      </c>
      <c r="L876" s="125">
        <f t="shared" ca="1" si="97"/>
        <v>0</v>
      </c>
      <c r="P876">
        <f t="shared" si="98"/>
        <v>869</v>
      </c>
    </row>
    <row r="877" spans="4:16">
      <c r="D877">
        <v>870</v>
      </c>
      <c r="E877" s="6">
        <f t="shared" ca="1" si="93"/>
        <v>26268</v>
      </c>
      <c r="F877" s="7">
        <f t="shared" ca="1" si="94"/>
        <v>0</v>
      </c>
      <c r="G877" s="125">
        <f ca="1">IF('Simulador - 1º Pilar'!$E$99="Sí",IF('Aportaciones Poliza'!$B$13&lt;'Aportaciones Poliza'!E877,0,F877*$B$8/12),F877*$B$8/12)</f>
        <v>0</v>
      </c>
      <c r="H877" s="125">
        <f t="shared" ca="1" si="92"/>
        <v>0</v>
      </c>
      <c r="I877" s="125"/>
      <c r="J877" s="125">
        <f t="shared" ca="1" si="95"/>
        <v>0</v>
      </c>
      <c r="K877" s="125">
        <f t="shared" si="96"/>
        <v>0</v>
      </c>
      <c r="L877" s="125">
        <f t="shared" ca="1" si="97"/>
        <v>0</v>
      </c>
      <c r="P877">
        <f t="shared" si="98"/>
        <v>870</v>
      </c>
    </row>
    <row r="878" spans="4:16">
      <c r="D878">
        <v>871</v>
      </c>
      <c r="E878" s="6">
        <f t="shared" ca="1" si="93"/>
        <v>26238</v>
      </c>
      <c r="F878" s="7">
        <f t="shared" ca="1" si="94"/>
        <v>0</v>
      </c>
      <c r="G878" s="125">
        <f ca="1">IF('Simulador - 1º Pilar'!$E$99="Sí",IF('Aportaciones Poliza'!$B$13&lt;'Aportaciones Poliza'!E878,0,F878*$B$8/12),F878*$B$8/12)</f>
        <v>0</v>
      </c>
      <c r="H878" s="125">
        <f t="shared" ca="1" si="92"/>
        <v>0</v>
      </c>
      <c r="I878" s="125"/>
      <c r="J878" s="125">
        <f t="shared" ca="1" si="95"/>
        <v>0</v>
      </c>
      <c r="K878" s="125">
        <f t="shared" si="96"/>
        <v>0</v>
      </c>
      <c r="L878" s="125">
        <f t="shared" ca="1" si="97"/>
        <v>0</v>
      </c>
      <c r="P878">
        <f t="shared" si="98"/>
        <v>871</v>
      </c>
    </row>
    <row r="879" spans="4:16">
      <c r="D879">
        <v>872</v>
      </c>
      <c r="E879" s="6">
        <f t="shared" ca="1" si="93"/>
        <v>26207</v>
      </c>
      <c r="F879" s="7">
        <f t="shared" ca="1" si="94"/>
        <v>0</v>
      </c>
      <c r="G879" s="125">
        <f ca="1">IF('Simulador - 1º Pilar'!$E$99="Sí",IF('Aportaciones Poliza'!$B$13&lt;'Aportaciones Poliza'!E879,0,F879*$B$8/12),F879*$B$8/12)</f>
        <v>0</v>
      </c>
      <c r="H879" s="125">
        <f t="shared" ca="1" si="92"/>
        <v>0</v>
      </c>
      <c r="I879" s="125"/>
      <c r="J879" s="125">
        <f t="shared" ca="1" si="95"/>
        <v>0</v>
      </c>
      <c r="K879" s="125">
        <f t="shared" si="96"/>
        <v>0</v>
      </c>
      <c r="L879" s="125">
        <f t="shared" ca="1" si="97"/>
        <v>0</v>
      </c>
      <c r="P879">
        <f t="shared" si="98"/>
        <v>872</v>
      </c>
    </row>
    <row r="880" spans="4:16">
      <c r="D880">
        <v>873</v>
      </c>
      <c r="E880" s="6">
        <f t="shared" ca="1" si="93"/>
        <v>26177</v>
      </c>
      <c r="F880" s="7">
        <f t="shared" ca="1" si="94"/>
        <v>0</v>
      </c>
      <c r="G880" s="125">
        <f ca="1">IF('Simulador - 1º Pilar'!$E$99="Sí",IF('Aportaciones Poliza'!$B$13&lt;'Aportaciones Poliza'!E880,0,F880*$B$8/12),F880*$B$8/12)</f>
        <v>0</v>
      </c>
      <c r="H880" s="125">
        <f t="shared" ca="1" si="92"/>
        <v>0</v>
      </c>
      <c r="I880" s="125"/>
      <c r="J880" s="125">
        <f t="shared" ca="1" si="95"/>
        <v>0</v>
      </c>
      <c r="K880" s="125">
        <f t="shared" si="96"/>
        <v>0</v>
      </c>
      <c r="L880" s="125">
        <f t="shared" ca="1" si="97"/>
        <v>0</v>
      </c>
      <c r="P880">
        <f t="shared" si="98"/>
        <v>873</v>
      </c>
    </row>
    <row r="881" spans="4:16">
      <c r="D881">
        <v>874</v>
      </c>
      <c r="E881" s="6">
        <f t="shared" ca="1" si="93"/>
        <v>26146</v>
      </c>
      <c r="F881" s="7">
        <f t="shared" ca="1" si="94"/>
        <v>0</v>
      </c>
      <c r="G881" s="125">
        <f ca="1">IF('Simulador - 1º Pilar'!$E$99="Sí",IF('Aportaciones Poliza'!$B$13&lt;'Aportaciones Poliza'!E881,0,F881*$B$8/12),F881*$B$8/12)</f>
        <v>0</v>
      </c>
      <c r="H881" s="125">
        <f t="shared" ca="1" si="92"/>
        <v>0</v>
      </c>
      <c r="I881" s="125"/>
      <c r="J881" s="125">
        <f t="shared" ca="1" si="95"/>
        <v>0</v>
      </c>
      <c r="K881" s="125">
        <f t="shared" si="96"/>
        <v>0</v>
      </c>
      <c r="L881" s="125">
        <f t="shared" ca="1" si="97"/>
        <v>0</v>
      </c>
      <c r="P881">
        <f t="shared" si="98"/>
        <v>874</v>
      </c>
    </row>
    <row r="882" spans="4:16">
      <c r="D882">
        <v>875</v>
      </c>
      <c r="E882" s="6">
        <f t="shared" ca="1" si="93"/>
        <v>26115</v>
      </c>
      <c r="F882" s="7">
        <f t="shared" ca="1" si="94"/>
        <v>0</v>
      </c>
      <c r="G882" s="125">
        <f ca="1">IF('Simulador - 1º Pilar'!$E$99="Sí",IF('Aportaciones Poliza'!$B$13&lt;'Aportaciones Poliza'!E882,0,F882*$B$8/12),F882*$B$8/12)</f>
        <v>0</v>
      </c>
      <c r="H882" s="125">
        <f t="shared" ca="1" si="92"/>
        <v>0</v>
      </c>
      <c r="I882" s="125"/>
      <c r="J882" s="125">
        <f t="shared" ca="1" si="95"/>
        <v>0</v>
      </c>
      <c r="K882" s="125">
        <f t="shared" si="96"/>
        <v>0</v>
      </c>
      <c r="L882" s="125">
        <f t="shared" ca="1" si="97"/>
        <v>0</v>
      </c>
      <c r="P882">
        <f t="shared" si="98"/>
        <v>875</v>
      </c>
    </row>
    <row r="883" spans="4:16">
      <c r="D883">
        <v>876</v>
      </c>
      <c r="E883" s="6">
        <f t="shared" ca="1" si="93"/>
        <v>26085</v>
      </c>
      <c r="F883" s="7">
        <f t="shared" ca="1" si="94"/>
        <v>0</v>
      </c>
      <c r="G883" s="125">
        <f ca="1">IF('Simulador - 1º Pilar'!$E$99="Sí",IF('Aportaciones Poliza'!$B$13&lt;'Aportaciones Poliza'!E883,0,F883*$B$8/12),F883*$B$8/12)</f>
        <v>0</v>
      </c>
      <c r="H883" s="125">
        <f t="shared" ca="1" si="92"/>
        <v>0</v>
      </c>
      <c r="I883" s="125"/>
      <c r="J883" s="125">
        <f t="shared" ca="1" si="95"/>
        <v>0</v>
      </c>
      <c r="K883" s="125">
        <f t="shared" si="96"/>
        <v>0</v>
      </c>
      <c r="L883" s="125">
        <f t="shared" ca="1" si="97"/>
        <v>0</v>
      </c>
      <c r="P883">
        <f t="shared" si="98"/>
        <v>876</v>
      </c>
    </row>
    <row r="884" spans="4:16">
      <c r="D884">
        <v>877</v>
      </c>
      <c r="E884" s="6">
        <f t="shared" ca="1" si="93"/>
        <v>26054</v>
      </c>
      <c r="F884" s="7">
        <f t="shared" ca="1" si="94"/>
        <v>0</v>
      </c>
      <c r="G884" s="125">
        <f ca="1">IF('Simulador - 1º Pilar'!$E$99="Sí",IF('Aportaciones Poliza'!$B$13&lt;'Aportaciones Poliza'!E884,0,F884*$B$8/12),F884*$B$8/12)</f>
        <v>0</v>
      </c>
      <c r="H884" s="125">
        <f t="shared" ca="1" si="92"/>
        <v>0</v>
      </c>
      <c r="I884" s="125"/>
      <c r="J884" s="125">
        <f t="shared" ca="1" si="95"/>
        <v>0</v>
      </c>
      <c r="K884" s="125">
        <f t="shared" si="96"/>
        <v>0</v>
      </c>
      <c r="L884" s="125">
        <f t="shared" ca="1" si="97"/>
        <v>0</v>
      </c>
      <c r="P884">
        <f t="shared" si="98"/>
        <v>877</v>
      </c>
    </row>
    <row r="885" spans="4:16">
      <c r="D885">
        <v>878</v>
      </c>
      <c r="E885" s="6">
        <f t="shared" ca="1" si="93"/>
        <v>26024</v>
      </c>
      <c r="F885" s="7">
        <f t="shared" ca="1" si="94"/>
        <v>0</v>
      </c>
      <c r="G885" s="125">
        <f ca="1">IF('Simulador - 1º Pilar'!$E$99="Sí",IF('Aportaciones Poliza'!$B$13&lt;'Aportaciones Poliza'!E885,0,F885*$B$8/12),F885*$B$8/12)</f>
        <v>0</v>
      </c>
      <c r="H885" s="125">
        <f t="shared" ca="1" si="92"/>
        <v>0</v>
      </c>
      <c r="I885" s="125"/>
      <c r="J885" s="125">
        <f t="shared" ca="1" si="95"/>
        <v>0</v>
      </c>
      <c r="K885" s="125">
        <f t="shared" si="96"/>
        <v>0</v>
      </c>
      <c r="L885" s="125">
        <f t="shared" ca="1" si="97"/>
        <v>0</v>
      </c>
      <c r="P885">
        <f t="shared" si="98"/>
        <v>878</v>
      </c>
    </row>
    <row r="886" spans="4:16">
      <c r="D886">
        <v>879</v>
      </c>
      <c r="E886" s="6">
        <f t="shared" ca="1" si="93"/>
        <v>25993</v>
      </c>
      <c r="F886" s="7">
        <f t="shared" ca="1" si="94"/>
        <v>0</v>
      </c>
      <c r="G886" s="125">
        <f ca="1">IF('Simulador - 1º Pilar'!$E$99="Sí",IF('Aportaciones Poliza'!$B$13&lt;'Aportaciones Poliza'!E886,0,F886*$B$8/12),F886*$B$8/12)</f>
        <v>0</v>
      </c>
      <c r="H886" s="125">
        <f t="shared" ca="1" si="92"/>
        <v>0</v>
      </c>
      <c r="I886" s="125"/>
      <c r="J886" s="125">
        <f t="shared" ca="1" si="95"/>
        <v>0</v>
      </c>
      <c r="K886" s="125">
        <f t="shared" si="96"/>
        <v>0</v>
      </c>
      <c r="L886" s="125">
        <f t="shared" ca="1" si="97"/>
        <v>0</v>
      </c>
      <c r="P886">
        <f t="shared" si="98"/>
        <v>879</v>
      </c>
    </row>
    <row r="887" spans="4:16">
      <c r="D887">
        <v>880</v>
      </c>
      <c r="E887" s="6">
        <f t="shared" ca="1" si="93"/>
        <v>25965</v>
      </c>
      <c r="F887" s="7">
        <f t="shared" ca="1" si="94"/>
        <v>0</v>
      </c>
      <c r="G887" s="125">
        <f ca="1">IF('Simulador - 1º Pilar'!$E$99="Sí",IF('Aportaciones Poliza'!$B$13&lt;'Aportaciones Poliza'!E887,0,F887*$B$8/12),F887*$B$8/12)</f>
        <v>0</v>
      </c>
      <c r="H887" s="125">
        <f t="shared" ca="1" si="92"/>
        <v>0</v>
      </c>
      <c r="I887" s="125"/>
      <c r="J887" s="125">
        <f t="shared" ca="1" si="95"/>
        <v>0</v>
      </c>
      <c r="K887" s="125">
        <f t="shared" si="96"/>
        <v>0</v>
      </c>
      <c r="L887" s="125">
        <f t="shared" ca="1" si="97"/>
        <v>0</v>
      </c>
      <c r="P887">
        <f t="shared" si="98"/>
        <v>880</v>
      </c>
    </row>
    <row r="888" spans="4:16">
      <c r="D888">
        <v>881</v>
      </c>
      <c r="E888" s="6">
        <f t="shared" ca="1" si="93"/>
        <v>25934</v>
      </c>
      <c r="F888" s="7">
        <f t="shared" ca="1" si="94"/>
        <v>0</v>
      </c>
      <c r="G888" s="125">
        <f ca="1">IF('Simulador - 1º Pilar'!$E$99="Sí",IF('Aportaciones Poliza'!$B$13&lt;'Aportaciones Poliza'!E888,0,F888*$B$8/12),F888*$B$8/12)</f>
        <v>0</v>
      </c>
      <c r="H888" s="125">
        <f t="shared" ca="1" si="92"/>
        <v>0</v>
      </c>
      <c r="I888" s="125"/>
      <c r="J888" s="125">
        <f t="shared" ca="1" si="95"/>
        <v>0</v>
      </c>
      <c r="K888" s="125">
        <f t="shared" si="96"/>
        <v>0</v>
      </c>
      <c r="L888" s="125">
        <f t="shared" ca="1" si="97"/>
        <v>0</v>
      </c>
      <c r="P888">
        <f t="shared" si="98"/>
        <v>881</v>
      </c>
    </row>
    <row r="889" spans="4:16">
      <c r="D889">
        <v>882</v>
      </c>
      <c r="E889" s="6">
        <f t="shared" ca="1" si="93"/>
        <v>25903</v>
      </c>
      <c r="F889" s="7">
        <f t="shared" ca="1" si="94"/>
        <v>0</v>
      </c>
      <c r="G889" s="125">
        <f ca="1">IF('Simulador - 1º Pilar'!$E$99="Sí",IF('Aportaciones Poliza'!$B$13&lt;'Aportaciones Poliza'!E889,0,F889*$B$8/12),F889*$B$8/12)</f>
        <v>0</v>
      </c>
      <c r="H889" s="125">
        <f t="shared" ca="1" si="92"/>
        <v>0</v>
      </c>
      <c r="I889" s="125"/>
      <c r="J889" s="125">
        <f t="shared" ca="1" si="95"/>
        <v>0</v>
      </c>
      <c r="K889" s="125">
        <f t="shared" si="96"/>
        <v>0</v>
      </c>
      <c r="L889" s="125">
        <f t="shared" ca="1" si="97"/>
        <v>0</v>
      </c>
      <c r="P889">
        <f t="shared" si="98"/>
        <v>882</v>
      </c>
    </row>
    <row r="890" spans="4:16">
      <c r="D890">
        <v>883</v>
      </c>
      <c r="E890" s="6">
        <f t="shared" ca="1" si="93"/>
        <v>25873</v>
      </c>
      <c r="F890" s="7">
        <f t="shared" ca="1" si="94"/>
        <v>0</v>
      </c>
      <c r="G890" s="125">
        <f ca="1">IF('Simulador - 1º Pilar'!$E$99="Sí",IF('Aportaciones Poliza'!$B$13&lt;'Aportaciones Poliza'!E890,0,F890*$B$8/12),F890*$B$8/12)</f>
        <v>0</v>
      </c>
      <c r="H890" s="125">
        <f t="shared" ca="1" si="92"/>
        <v>0</v>
      </c>
      <c r="I890" s="125"/>
      <c r="J890" s="125">
        <f t="shared" ca="1" si="95"/>
        <v>0</v>
      </c>
      <c r="K890" s="125">
        <f t="shared" si="96"/>
        <v>0</v>
      </c>
      <c r="L890" s="125">
        <f t="shared" ca="1" si="97"/>
        <v>0</v>
      </c>
      <c r="P890">
        <f t="shared" si="98"/>
        <v>883</v>
      </c>
    </row>
    <row r="891" spans="4:16">
      <c r="D891">
        <v>884</v>
      </c>
      <c r="E891" s="6">
        <f t="shared" ca="1" si="93"/>
        <v>25842</v>
      </c>
      <c r="F891" s="7">
        <f t="shared" ca="1" si="94"/>
        <v>0</v>
      </c>
      <c r="G891" s="125">
        <f ca="1">IF('Simulador - 1º Pilar'!$E$99="Sí",IF('Aportaciones Poliza'!$B$13&lt;'Aportaciones Poliza'!E891,0,F891*$B$8/12),F891*$B$8/12)</f>
        <v>0</v>
      </c>
      <c r="H891" s="125">
        <f t="shared" ca="1" si="92"/>
        <v>0</v>
      </c>
      <c r="I891" s="125"/>
      <c r="J891" s="125">
        <f t="shared" ca="1" si="95"/>
        <v>0</v>
      </c>
      <c r="K891" s="125">
        <f t="shared" si="96"/>
        <v>0</v>
      </c>
      <c r="L891" s="125">
        <f t="shared" ca="1" si="97"/>
        <v>0</v>
      </c>
      <c r="P891">
        <f t="shared" si="98"/>
        <v>884</v>
      </c>
    </row>
    <row r="892" spans="4:16">
      <c r="D892">
        <v>885</v>
      </c>
      <c r="E892" s="6">
        <f t="shared" ca="1" si="93"/>
        <v>25812</v>
      </c>
      <c r="F892" s="7">
        <f t="shared" ca="1" si="94"/>
        <v>0</v>
      </c>
      <c r="G892" s="125">
        <f ca="1">IF('Simulador - 1º Pilar'!$E$99="Sí",IF('Aportaciones Poliza'!$B$13&lt;'Aportaciones Poliza'!E892,0,F892*$B$8/12),F892*$B$8/12)</f>
        <v>0</v>
      </c>
      <c r="H892" s="125">
        <f t="shared" ca="1" si="92"/>
        <v>0</v>
      </c>
      <c r="I892" s="125"/>
      <c r="J892" s="125">
        <f t="shared" ca="1" si="95"/>
        <v>0</v>
      </c>
      <c r="K892" s="125">
        <f t="shared" si="96"/>
        <v>0</v>
      </c>
      <c r="L892" s="125">
        <f t="shared" ca="1" si="97"/>
        <v>0</v>
      </c>
      <c r="P892">
        <f t="shared" si="98"/>
        <v>885</v>
      </c>
    </row>
    <row r="893" spans="4:16">
      <c r="D893">
        <v>886</v>
      </c>
      <c r="E893" s="6">
        <f t="shared" ca="1" si="93"/>
        <v>25781</v>
      </c>
      <c r="F893" s="7">
        <f t="shared" ca="1" si="94"/>
        <v>0</v>
      </c>
      <c r="G893" s="125">
        <f ca="1">IF('Simulador - 1º Pilar'!$E$99="Sí",IF('Aportaciones Poliza'!$B$13&lt;'Aportaciones Poliza'!E893,0,F893*$B$8/12),F893*$B$8/12)</f>
        <v>0</v>
      </c>
      <c r="H893" s="125">
        <f t="shared" ca="1" si="92"/>
        <v>0</v>
      </c>
      <c r="I893" s="125"/>
      <c r="J893" s="125">
        <f t="shared" ca="1" si="95"/>
        <v>0</v>
      </c>
      <c r="K893" s="125">
        <f t="shared" si="96"/>
        <v>0</v>
      </c>
      <c r="L893" s="125">
        <f t="shared" ca="1" si="97"/>
        <v>0</v>
      </c>
      <c r="P893">
        <f t="shared" si="98"/>
        <v>886</v>
      </c>
    </row>
    <row r="894" spans="4:16">
      <c r="D894">
        <v>887</v>
      </c>
      <c r="E894" s="6">
        <f t="shared" ca="1" si="93"/>
        <v>25750</v>
      </c>
      <c r="F894" s="7">
        <f t="shared" ca="1" si="94"/>
        <v>0</v>
      </c>
      <c r="G894" s="125">
        <f ca="1">IF('Simulador - 1º Pilar'!$E$99="Sí",IF('Aportaciones Poliza'!$B$13&lt;'Aportaciones Poliza'!E894,0,F894*$B$8/12),F894*$B$8/12)</f>
        <v>0</v>
      </c>
      <c r="H894" s="125">
        <f t="shared" ca="1" si="92"/>
        <v>0</v>
      </c>
      <c r="I894" s="125"/>
      <c r="J894" s="125">
        <f t="shared" ca="1" si="95"/>
        <v>0</v>
      </c>
      <c r="K894" s="125">
        <f t="shared" si="96"/>
        <v>0</v>
      </c>
      <c r="L894" s="125">
        <f t="shared" ca="1" si="97"/>
        <v>0</v>
      </c>
      <c r="P894">
        <f t="shared" si="98"/>
        <v>887</v>
      </c>
    </row>
    <row r="895" spans="4:16">
      <c r="D895">
        <v>888</v>
      </c>
      <c r="E895" s="6">
        <f t="shared" ca="1" si="93"/>
        <v>25720</v>
      </c>
      <c r="F895" s="7">
        <f t="shared" ca="1" si="94"/>
        <v>0</v>
      </c>
      <c r="G895" s="125">
        <f ca="1">IF('Simulador - 1º Pilar'!$E$99="Sí",IF('Aportaciones Poliza'!$B$13&lt;'Aportaciones Poliza'!E895,0,F895*$B$8/12),F895*$B$8/12)</f>
        <v>0</v>
      </c>
      <c r="H895" s="125">
        <f t="shared" ca="1" si="92"/>
        <v>0</v>
      </c>
      <c r="I895" s="125"/>
      <c r="J895" s="125">
        <f t="shared" ca="1" si="95"/>
        <v>0</v>
      </c>
      <c r="K895" s="125">
        <f t="shared" si="96"/>
        <v>0</v>
      </c>
      <c r="L895" s="125">
        <f t="shared" ca="1" si="97"/>
        <v>0</v>
      </c>
      <c r="P895">
        <f t="shared" si="98"/>
        <v>888</v>
      </c>
    </row>
    <row r="896" spans="4:16">
      <c r="D896">
        <v>889</v>
      </c>
      <c r="E896" s="6">
        <f t="shared" ca="1" si="93"/>
        <v>25689</v>
      </c>
      <c r="F896" s="7">
        <f t="shared" ca="1" si="94"/>
        <v>0</v>
      </c>
      <c r="G896" s="125">
        <f ca="1">IF('Simulador - 1º Pilar'!$E$99="Sí",IF('Aportaciones Poliza'!$B$13&lt;'Aportaciones Poliza'!E896,0,F896*$B$8/12),F896*$B$8/12)</f>
        <v>0</v>
      </c>
      <c r="H896" s="125">
        <f t="shared" ca="1" si="92"/>
        <v>0</v>
      </c>
      <c r="I896" s="125"/>
      <c r="J896" s="125">
        <f t="shared" ca="1" si="95"/>
        <v>0</v>
      </c>
      <c r="K896" s="125">
        <f t="shared" si="96"/>
        <v>0</v>
      </c>
      <c r="L896" s="125">
        <f t="shared" ca="1" si="97"/>
        <v>0</v>
      </c>
      <c r="P896">
        <f t="shared" si="98"/>
        <v>889</v>
      </c>
    </row>
    <row r="897" spans="4:16">
      <c r="D897">
        <v>890</v>
      </c>
      <c r="E897" s="6">
        <f t="shared" ca="1" si="93"/>
        <v>25659</v>
      </c>
      <c r="F897" s="7">
        <f t="shared" ca="1" si="94"/>
        <v>0</v>
      </c>
      <c r="G897" s="125">
        <f ca="1">IF('Simulador - 1º Pilar'!$E$99="Sí",IF('Aportaciones Poliza'!$B$13&lt;'Aportaciones Poliza'!E897,0,F897*$B$8/12),F897*$B$8/12)</f>
        <v>0</v>
      </c>
      <c r="H897" s="125">
        <f t="shared" ca="1" si="92"/>
        <v>0</v>
      </c>
      <c r="I897" s="125"/>
      <c r="J897" s="125">
        <f t="shared" ca="1" si="95"/>
        <v>0</v>
      </c>
      <c r="K897" s="125">
        <f t="shared" si="96"/>
        <v>0</v>
      </c>
      <c r="L897" s="125">
        <f t="shared" ca="1" si="97"/>
        <v>0</v>
      </c>
      <c r="P897">
        <f t="shared" si="98"/>
        <v>890</v>
      </c>
    </row>
    <row r="898" spans="4:16">
      <c r="D898">
        <v>891</v>
      </c>
      <c r="E898" s="6">
        <f t="shared" ca="1" si="93"/>
        <v>25628</v>
      </c>
      <c r="F898" s="7">
        <f t="shared" ca="1" si="94"/>
        <v>0</v>
      </c>
      <c r="G898" s="125">
        <f ca="1">IF('Simulador - 1º Pilar'!$E$99="Sí",IF('Aportaciones Poliza'!$B$13&lt;'Aportaciones Poliza'!E898,0,F898*$B$8/12),F898*$B$8/12)</f>
        <v>0</v>
      </c>
      <c r="H898" s="125">
        <f t="shared" ca="1" si="92"/>
        <v>0</v>
      </c>
      <c r="I898" s="125"/>
      <c r="J898" s="125">
        <f t="shared" ca="1" si="95"/>
        <v>0</v>
      </c>
      <c r="K898" s="125">
        <f t="shared" si="96"/>
        <v>0</v>
      </c>
      <c r="L898" s="125">
        <f t="shared" ca="1" si="97"/>
        <v>0</v>
      </c>
      <c r="P898">
        <f t="shared" si="98"/>
        <v>891</v>
      </c>
    </row>
    <row r="899" spans="4:16">
      <c r="D899">
        <v>892</v>
      </c>
      <c r="E899" s="6">
        <f t="shared" ca="1" si="93"/>
        <v>25600</v>
      </c>
      <c r="F899" s="7">
        <f t="shared" ca="1" si="94"/>
        <v>0</v>
      </c>
      <c r="G899" s="125">
        <f ca="1">IF('Simulador - 1º Pilar'!$E$99="Sí",IF('Aportaciones Poliza'!$B$13&lt;'Aportaciones Poliza'!E899,0,F899*$B$8/12),F899*$B$8/12)</f>
        <v>0</v>
      </c>
      <c r="H899" s="125">
        <f t="shared" ca="1" si="92"/>
        <v>0</v>
      </c>
      <c r="I899" s="125"/>
      <c r="J899" s="125">
        <f t="shared" ca="1" si="95"/>
        <v>0</v>
      </c>
      <c r="K899" s="125">
        <f t="shared" si="96"/>
        <v>0</v>
      </c>
      <c r="L899" s="125">
        <f t="shared" ca="1" si="97"/>
        <v>0</v>
      </c>
      <c r="P899">
        <f t="shared" si="98"/>
        <v>892</v>
      </c>
    </row>
    <row r="900" spans="4:16">
      <c r="D900">
        <v>893</v>
      </c>
      <c r="E900" s="6">
        <f t="shared" ca="1" si="93"/>
        <v>25569</v>
      </c>
      <c r="F900" s="7">
        <f t="shared" ca="1" si="94"/>
        <v>0</v>
      </c>
      <c r="G900" s="125">
        <f ca="1">IF('Simulador - 1º Pilar'!$E$99="Sí",IF('Aportaciones Poliza'!$B$13&lt;'Aportaciones Poliza'!E900,0,F900*$B$8/12),F900*$B$8/12)</f>
        <v>0</v>
      </c>
      <c r="H900" s="125">
        <f t="shared" ca="1" si="92"/>
        <v>0</v>
      </c>
      <c r="I900" s="125"/>
      <c r="J900" s="125">
        <f t="shared" ca="1" si="95"/>
        <v>0</v>
      </c>
      <c r="K900" s="125">
        <f t="shared" si="96"/>
        <v>0</v>
      </c>
      <c r="L900" s="125">
        <f t="shared" ca="1" si="97"/>
        <v>0</v>
      </c>
      <c r="P900">
        <f t="shared" si="98"/>
        <v>893</v>
      </c>
    </row>
    <row r="901" spans="4:16">
      <c r="D901">
        <v>894</v>
      </c>
      <c r="E901" s="6">
        <f t="shared" ca="1" si="93"/>
        <v>25538</v>
      </c>
      <c r="F901" s="7">
        <f t="shared" ca="1" si="94"/>
        <v>0</v>
      </c>
      <c r="G901" s="125">
        <f ca="1">IF('Simulador - 1º Pilar'!$E$99="Sí",IF('Aportaciones Poliza'!$B$13&lt;'Aportaciones Poliza'!E901,0,F901*$B$8/12),F901*$B$8/12)</f>
        <v>0</v>
      </c>
      <c r="H901" s="125">
        <f t="shared" ca="1" si="92"/>
        <v>0</v>
      </c>
      <c r="I901" s="125"/>
      <c r="J901" s="125">
        <f t="shared" ca="1" si="95"/>
        <v>0</v>
      </c>
      <c r="K901" s="125">
        <f t="shared" si="96"/>
        <v>0</v>
      </c>
      <c r="L901" s="125">
        <f t="shared" ca="1" si="97"/>
        <v>0</v>
      </c>
      <c r="P901">
        <f t="shared" si="98"/>
        <v>894</v>
      </c>
    </row>
    <row r="902" spans="4:16">
      <c r="D902">
        <v>895</v>
      </c>
      <c r="E902" s="6">
        <f t="shared" ca="1" si="93"/>
        <v>25508</v>
      </c>
      <c r="F902" s="7">
        <f t="shared" ca="1" si="94"/>
        <v>0</v>
      </c>
      <c r="G902" s="125">
        <f ca="1">IF('Simulador - 1º Pilar'!$E$99="Sí",IF('Aportaciones Poliza'!$B$13&lt;'Aportaciones Poliza'!E902,0,F902*$B$8/12),F902*$B$8/12)</f>
        <v>0</v>
      </c>
      <c r="H902" s="125">
        <f t="shared" ca="1" si="92"/>
        <v>0</v>
      </c>
      <c r="I902" s="125"/>
      <c r="J902" s="125">
        <f t="shared" ca="1" si="95"/>
        <v>0</v>
      </c>
      <c r="K902" s="125">
        <f t="shared" si="96"/>
        <v>0</v>
      </c>
      <c r="L902" s="125">
        <f t="shared" ca="1" si="97"/>
        <v>0</v>
      </c>
      <c r="P902">
        <f t="shared" si="98"/>
        <v>895</v>
      </c>
    </row>
    <row r="903" spans="4:16">
      <c r="D903">
        <v>896</v>
      </c>
      <c r="E903" s="6">
        <f t="shared" ca="1" si="93"/>
        <v>25477</v>
      </c>
      <c r="F903" s="7">
        <f t="shared" ca="1" si="94"/>
        <v>0</v>
      </c>
      <c r="G903" s="125">
        <f ca="1">IF('Simulador - 1º Pilar'!$E$99="Sí",IF('Aportaciones Poliza'!$B$13&lt;'Aportaciones Poliza'!E903,0,F903*$B$8/12),F903*$B$8/12)</f>
        <v>0</v>
      </c>
      <c r="H903" s="125">
        <f t="shared" ref="H903:H966" ca="1" si="99">$H$5*G903</f>
        <v>0</v>
      </c>
      <c r="I903" s="125"/>
      <c r="J903" s="125">
        <f t="shared" ca="1" si="95"/>
        <v>0</v>
      </c>
      <c r="K903" s="125">
        <f t="shared" si="96"/>
        <v>0</v>
      </c>
      <c r="L903" s="125">
        <f t="shared" ca="1" si="97"/>
        <v>0</v>
      </c>
      <c r="P903">
        <f t="shared" si="98"/>
        <v>896</v>
      </c>
    </row>
    <row r="904" spans="4:16">
      <c r="D904">
        <v>897</v>
      </c>
      <c r="E904" s="6">
        <f t="shared" ref="E904:E967" ca="1" si="100">+DATE(YEAR(E903),MONTH(E903)-1,DAY(E903))</f>
        <v>25447</v>
      </c>
      <c r="F904" s="7">
        <f t="shared" ref="F904:F967" ca="1" si="101">IF(DATE(YEAR($B$6),MONTH($B$6)+1,DAY(1))=E904,1,IF(MONTH(E904)=1,F905*(1+$F$5),F905))</f>
        <v>0</v>
      </c>
      <c r="G904" s="125">
        <f ca="1">IF('Simulador - 1º Pilar'!$E$99="Sí",IF('Aportaciones Poliza'!$B$13&lt;'Aportaciones Poliza'!E904,0,F904*$B$8/12),F904*$B$8/12)</f>
        <v>0</v>
      </c>
      <c r="H904" s="125">
        <f t="shared" ca="1" si="99"/>
        <v>0</v>
      </c>
      <c r="I904" s="125"/>
      <c r="J904" s="125">
        <f t="shared" ref="J904:J967" ca="1" si="102">(1+$M$5)^(D904/12)*(H904+IF(AND(F904=1,F905=0),$Q$4,0))</f>
        <v>0</v>
      </c>
      <c r="K904" s="125">
        <f t="shared" ref="K904:K967" si="103">(1+$M$5)^(D904/12)*(I904)</f>
        <v>0</v>
      </c>
      <c r="L904" s="125">
        <f t="shared" ref="L904:L967" ca="1" si="104">K904+J904</f>
        <v>0</v>
      </c>
      <c r="P904">
        <f t="shared" si="98"/>
        <v>897</v>
      </c>
    </row>
    <row r="905" spans="4:16">
      <c r="D905">
        <v>898</v>
      </c>
      <c r="E905" s="6">
        <f t="shared" ca="1" si="100"/>
        <v>25416</v>
      </c>
      <c r="F905" s="7">
        <f t="shared" ca="1" si="101"/>
        <v>0</v>
      </c>
      <c r="G905" s="125">
        <f ca="1">IF('Simulador - 1º Pilar'!$E$99="Sí",IF('Aportaciones Poliza'!$B$13&lt;'Aportaciones Poliza'!E905,0,F905*$B$8/12),F905*$B$8/12)</f>
        <v>0</v>
      </c>
      <c r="H905" s="125">
        <f t="shared" ca="1" si="99"/>
        <v>0</v>
      </c>
      <c r="I905" s="125"/>
      <c r="J905" s="125">
        <f t="shared" ca="1" si="102"/>
        <v>0</v>
      </c>
      <c r="K905" s="125">
        <f t="shared" si="103"/>
        <v>0</v>
      </c>
      <c r="L905" s="125">
        <f t="shared" ca="1" si="104"/>
        <v>0</v>
      </c>
      <c r="P905">
        <f t="shared" ref="P905:P968" si="105">D905</f>
        <v>898</v>
      </c>
    </row>
    <row r="906" spans="4:16">
      <c r="D906">
        <v>899</v>
      </c>
      <c r="E906" s="6">
        <f t="shared" ca="1" si="100"/>
        <v>25385</v>
      </c>
      <c r="F906" s="7">
        <f t="shared" ca="1" si="101"/>
        <v>0</v>
      </c>
      <c r="G906" s="125">
        <f ca="1">IF('Simulador - 1º Pilar'!$E$99="Sí",IF('Aportaciones Poliza'!$B$13&lt;'Aportaciones Poliza'!E906,0,F906*$B$8/12),F906*$B$8/12)</f>
        <v>0</v>
      </c>
      <c r="H906" s="125">
        <f t="shared" ca="1" si="99"/>
        <v>0</v>
      </c>
      <c r="I906" s="125"/>
      <c r="J906" s="125">
        <f t="shared" ca="1" si="102"/>
        <v>0</v>
      </c>
      <c r="K906" s="125">
        <f t="shared" si="103"/>
        <v>0</v>
      </c>
      <c r="L906" s="125">
        <f t="shared" ca="1" si="104"/>
        <v>0</v>
      </c>
      <c r="P906">
        <f t="shared" si="105"/>
        <v>899</v>
      </c>
    </row>
    <row r="907" spans="4:16">
      <c r="D907">
        <v>900</v>
      </c>
      <c r="E907" s="6">
        <f t="shared" ca="1" si="100"/>
        <v>25355</v>
      </c>
      <c r="F907" s="7">
        <f t="shared" ca="1" si="101"/>
        <v>0</v>
      </c>
      <c r="G907" s="125">
        <f ca="1">IF('Simulador - 1º Pilar'!$E$99="Sí",IF('Aportaciones Poliza'!$B$13&lt;'Aportaciones Poliza'!E907,0,F907*$B$8/12),F907*$B$8/12)</f>
        <v>0</v>
      </c>
      <c r="H907" s="125">
        <f t="shared" ca="1" si="99"/>
        <v>0</v>
      </c>
      <c r="I907" s="125"/>
      <c r="J907" s="125">
        <f t="shared" ca="1" si="102"/>
        <v>0</v>
      </c>
      <c r="K907" s="125">
        <f t="shared" si="103"/>
        <v>0</v>
      </c>
      <c r="L907" s="125">
        <f t="shared" ca="1" si="104"/>
        <v>0</v>
      </c>
      <c r="P907">
        <f t="shared" si="105"/>
        <v>900</v>
      </c>
    </row>
    <row r="908" spans="4:16">
      <c r="D908">
        <v>901</v>
      </c>
      <c r="E908" s="6">
        <f t="shared" ca="1" si="100"/>
        <v>25324</v>
      </c>
      <c r="F908" s="7">
        <f t="shared" ca="1" si="101"/>
        <v>0</v>
      </c>
      <c r="G908" s="125">
        <f ca="1">IF('Simulador - 1º Pilar'!$E$99="Sí",IF('Aportaciones Poliza'!$B$13&lt;'Aportaciones Poliza'!E908,0,F908*$B$8/12),F908*$B$8/12)</f>
        <v>0</v>
      </c>
      <c r="H908" s="125">
        <f t="shared" ca="1" si="99"/>
        <v>0</v>
      </c>
      <c r="I908" s="125"/>
      <c r="J908" s="125">
        <f t="shared" ca="1" si="102"/>
        <v>0</v>
      </c>
      <c r="K908" s="125">
        <f t="shared" si="103"/>
        <v>0</v>
      </c>
      <c r="L908" s="125">
        <f t="shared" ca="1" si="104"/>
        <v>0</v>
      </c>
      <c r="P908">
        <f t="shared" si="105"/>
        <v>901</v>
      </c>
    </row>
    <row r="909" spans="4:16">
      <c r="D909">
        <v>902</v>
      </c>
      <c r="E909" s="6">
        <f t="shared" ca="1" si="100"/>
        <v>25294</v>
      </c>
      <c r="F909" s="7">
        <f t="shared" ca="1" si="101"/>
        <v>0</v>
      </c>
      <c r="G909" s="125">
        <f ca="1">IF('Simulador - 1º Pilar'!$E$99="Sí",IF('Aportaciones Poliza'!$B$13&lt;'Aportaciones Poliza'!E909,0,F909*$B$8/12),F909*$B$8/12)</f>
        <v>0</v>
      </c>
      <c r="H909" s="125">
        <f t="shared" ca="1" si="99"/>
        <v>0</v>
      </c>
      <c r="I909" s="125"/>
      <c r="J909" s="125">
        <f t="shared" ca="1" si="102"/>
        <v>0</v>
      </c>
      <c r="K909" s="125">
        <f t="shared" si="103"/>
        <v>0</v>
      </c>
      <c r="L909" s="125">
        <f t="shared" ca="1" si="104"/>
        <v>0</v>
      </c>
      <c r="P909">
        <f t="shared" si="105"/>
        <v>902</v>
      </c>
    </row>
    <row r="910" spans="4:16">
      <c r="D910">
        <v>903</v>
      </c>
      <c r="E910" s="6">
        <f t="shared" ca="1" si="100"/>
        <v>25263</v>
      </c>
      <c r="F910" s="7">
        <f t="shared" ca="1" si="101"/>
        <v>0</v>
      </c>
      <c r="G910" s="125">
        <f ca="1">IF('Simulador - 1º Pilar'!$E$99="Sí",IF('Aportaciones Poliza'!$B$13&lt;'Aportaciones Poliza'!E910,0,F910*$B$8/12),F910*$B$8/12)</f>
        <v>0</v>
      </c>
      <c r="H910" s="125">
        <f t="shared" ca="1" si="99"/>
        <v>0</v>
      </c>
      <c r="I910" s="125"/>
      <c r="J910" s="125">
        <f t="shared" ca="1" si="102"/>
        <v>0</v>
      </c>
      <c r="K910" s="125">
        <f t="shared" si="103"/>
        <v>0</v>
      </c>
      <c r="L910" s="125">
        <f t="shared" ca="1" si="104"/>
        <v>0</v>
      </c>
      <c r="P910">
        <f t="shared" si="105"/>
        <v>903</v>
      </c>
    </row>
    <row r="911" spans="4:16">
      <c r="D911">
        <v>904</v>
      </c>
      <c r="E911" s="6">
        <f t="shared" ca="1" si="100"/>
        <v>25235</v>
      </c>
      <c r="F911" s="7">
        <f t="shared" ca="1" si="101"/>
        <v>0</v>
      </c>
      <c r="G911" s="125">
        <f ca="1">IF('Simulador - 1º Pilar'!$E$99="Sí",IF('Aportaciones Poliza'!$B$13&lt;'Aportaciones Poliza'!E911,0,F911*$B$8/12),F911*$B$8/12)</f>
        <v>0</v>
      </c>
      <c r="H911" s="125">
        <f t="shared" ca="1" si="99"/>
        <v>0</v>
      </c>
      <c r="I911" s="125"/>
      <c r="J911" s="125">
        <f t="shared" ca="1" si="102"/>
        <v>0</v>
      </c>
      <c r="K911" s="125">
        <f t="shared" si="103"/>
        <v>0</v>
      </c>
      <c r="L911" s="125">
        <f t="shared" ca="1" si="104"/>
        <v>0</v>
      </c>
      <c r="P911">
        <f t="shared" si="105"/>
        <v>904</v>
      </c>
    </row>
    <row r="912" spans="4:16">
      <c r="D912">
        <v>905</v>
      </c>
      <c r="E912" s="6">
        <f t="shared" ca="1" si="100"/>
        <v>25204</v>
      </c>
      <c r="F912" s="7">
        <f t="shared" ca="1" si="101"/>
        <v>0</v>
      </c>
      <c r="G912" s="125">
        <f ca="1">IF('Simulador - 1º Pilar'!$E$99="Sí",IF('Aportaciones Poliza'!$B$13&lt;'Aportaciones Poliza'!E912,0,F912*$B$8/12),F912*$B$8/12)</f>
        <v>0</v>
      </c>
      <c r="H912" s="125">
        <f t="shared" ca="1" si="99"/>
        <v>0</v>
      </c>
      <c r="I912" s="125"/>
      <c r="J912" s="125">
        <f t="shared" ca="1" si="102"/>
        <v>0</v>
      </c>
      <c r="K912" s="125">
        <f t="shared" si="103"/>
        <v>0</v>
      </c>
      <c r="L912" s="125">
        <f t="shared" ca="1" si="104"/>
        <v>0</v>
      </c>
      <c r="P912">
        <f t="shared" si="105"/>
        <v>905</v>
      </c>
    </row>
    <row r="913" spans="4:16">
      <c r="D913">
        <v>906</v>
      </c>
      <c r="E913" s="6">
        <f t="shared" ca="1" si="100"/>
        <v>25173</v>
      </c>
      <c r="F913" s="7">
        <f t="shared" ca="1" si="101"/>
        <v>0</v>
      </c>
      <c r="G913" s="125">
        <f ca="1">IF('Simulador - 1º Pilar'!$E$99="Sí",IF('Aportaciones Poliza'!$B$13&lt;'Aportaciones Poliza'!E913,0,F913*$B$8/12),F913*$B$8/12)</f>
        <v>0</v>
      </c>
      <c r="H913" s="125">
        <f t="shared" ca="1" si="99"/>
        <v>0</v>
      </c>
      <c r="I913" s="125"/>
      <c r="J913" s="125">
        <f t="shared" ca="1" si="102"/>
        <v>0</v>
      </c>
      <c r="K913" s="125">
        <f t="shared" si="103"/>
        <v>0</v>
      </c>
      <c r="L913" s="125">
        <f t="shared" ca="1" si="104"/>
        <v>0</v>
      </c>
      <c r="P913">
        <f t="shared" si="105"/>
        <v>906</v>
      </c>
    </row>
    <row r="914" spans="4:16">
      <c r="D914">
        <v>907</v>
      </c>
      <c r="E914" s="6">
        <f t="shared" ca="1" si="100"/>
        <v>25143</v>
      </c>
      <c r="F914" s="7">
        <f t="shared" ca="1" si="101"/>
        <v>0</v>
      </c>
      <c r="G914" s="125">
        <f ca="1">IF('Simulador - 1º Pilar'!$E$99="Sí",IF('Aportaciones Poliza'!$B$13&lt;'Aportaciones Poliza'!E914,0,F914*$B$8/12),F914*$B$8/12)</f>
        <v>0</v>
      </c>
      <c r="H914" s="125">
        <f t="shared" ca="1" si="99"/>
        <v>0</v>
      </c>
      <c r="I914" s="125"/>
      <c r="J914" s="125">
        <f t="shared" ca="1" si="102"/>
        <v>0</v>
      </c>
      <c r="K914" s="125">
        <f t="shared" si="103"/>
        <v>0</v>
      </c>
      <c r="L914" s="125">
        <f t="shared" ca="1" si="104"/>
        <v>0</v>
      </c>
      <c r="P914">
        <f t="shared" si="105"/>
        <v>907</v>
      </c>
    </row>
    <row r="915" spans="4:16">
      <c r="D915">
        <v>908</v>
      </c>
      <c r="E915" s="6">
        <f t="shared" ca="1" si="100"/>
        <v>25112</v>
      </c>
      <c r="F915" s="7">
        <f t="shared" ca="1" si="101"/>
        <v>0</v>
      </c>
      <c r="G915" s="125">
        <f ca="1">IF('Simulador - 1º Pilar'!$E$99="Sí",IF('Aportaciones Poliza'!$B$13&lt;'Aportaciones Poliza'!E915,0,F915*$B$8/12),F915*$B$8/12)</f>
        <v>0</v>
      </c>
      <c r="H915" s="125">
        <f t="shared" ca="1" si="99"/>
        <v>0</v>
      </c>
      <c r="I915" s="125"/>
      <c r="J915" s="125">
        <f t="shared" ca="1" si="102"/>
        <v>0</v>
      </c>
      <c r="K915" s="125">
        <f t="shared" si="103"/>
        <v>0</v>
      </c>
      <c r="L915" s="125">
        <f t="shared" ca="1" si="104"/>
        <v>0</v>
      </c>
      <c r="P915">
        <f t="shared" si="105"/>
        <v>908</v>
      </c>
    </row>
    <row r="916" spans="4:16">
      <c r="D916">
        <v>909</v>
      </c>
      <c r="E916" s="6">
        <f t="shared" ca="1" si="100"/>
        <v>25082</v>
      </c>
      <c r="F916" s="7">
        <f t="shared" ca="1" si="101"/>
        <v>0</v>
      </c>
      <c r="G916" s="125">
        <f ca="1">IF('Simulador - 1º Pilar'!$E$99="Sí",IF('Aportaciones Poliza'!$B$13&lt;'Aportaciones Poliza'!E916,0,F916*$B$8/12),F916*$B$8/12)</f>
        <v>0</v>
      </c>
      <c r="H916" s="125">
        <f t="shared" ca="1" si="99"/>
        <v>0</v>
      </c>
      <c r="I916" s="125"/>
      <c r="J916" s="125">
        <f t="shared" ca="1" si="102"/>
        <v>0</v>
      </c>
      <c r="K916" s="125">
        <f t="shared" si="103"/>
        <v>0</v>
      </c>
      <c r="L916" s="125">
        <f t="shared" ca="1" si="104"/>
        <v>0</v>
      </c>
      <c r="P916">
        <f t="shared" si="105"/>
        <v>909</v>
      </c>
    </row>
    <row r="917" spans="4:16">
      <c r="D917">
        <v>910</v>
      </c>
      <c r="E917" s="6">
        <f t="shared" ca="1" si="100"/>
        <v>25051</v>
      </c>
      <c r="F917" s="7">
        <f t="shared" ca="1" si="101"/>
        <v>0</v>
      </c>
      <c r="G917" s="125">
        <f ca="1">IF('Simulador - 1º Pilar'!$E$99="Sí",IF('Aportaciones Poliza'!$B$13&lt;'Aportaciones Poliza'!E917,0,F917*$B$8/12),F917*$B$8/12)</f>
        <v>0</v>
      </c>
      <c r="H917" s="125">
        <f t="shared" ca="1" si="99"/>
        <v>0</v>
      </c>
      <c r="I917" s="125"/>
      <c r="J917" s="125">
        <f t="shared" ca="1" si="102"/>
        <v>0</v>
      </c>
      <c r="K917" s="125">
        <f t="shared" si="103"/>
        <v>0</v>
      </c>
      <c r="L917" s="125">
        <f t="shared" ca="1" si="104"/>
        <v>0</v>
      </c>
      <c r="P917">
        <f t="shared" si="105"/>
        <v>910</v>
      </c>
    </row>
    <row r="918" spans="4:16">
      <c r="D918">
        <v>911</v>
      </c>
      <c r="E918" s="6">
        <f t="shared" ca="1" si="100"/>
        <v>25020</v>
      </c>
      <c r="F918" s="7">
        <f t="shared" ca="1" si="101"/>
        <v>0</v>
      </c>
      <c r="G918" s="125">
        <f ca="1">IF('Simulador - 1º Pilar'!$E$99="Sí",IF('Aportaciones Poliza'!$B$13&lt;'Aportaciones Poliza'!E918,0,F918*$B$8/12),F918*$B$8/12)</f>
        <v>0</v>
      </c>
      <c r="H918" s="125">
        <f t="shared" ca="1" si="99"/>
        <v>0</v>
      </c>
      <c r="I918" s="125"/>
      <c r="J918" s="125">
        <f t="shared" ca="1" si="102"/>
        <v>0</v>
      </c>
      <c r="K918" s="125">
        <f t="shared" si="103"/>
        <v>0</v>
      </c>
      <c r="L918" s="125">
        <f t="shared" ca="1" si="104"/>
        <v>0</v>
      </c>
      <c r="P918">
        <f t="shared" si="105"/>
        <v>911</v>
      </c>
    </row>
    <row r="919" spans="4:16">
      <c r="D919">
        <v>912</v>
      </c>
      <c r="E919" s="6">
        <f t="shared" ca="1" si="100"/>
        <v>24990</v>
      </c>
      <c r="F919" s="7">
        <f t="shared" ca="1" si="101"/>
        <v>0</v>
      </c>
      <c r="G919" s="125">
        <f ca="1">IF('Simulador - 1º Pilar'!$E$99="Sí",IF('Aportaciones Poliza'!$B$13&lt;'Aportaciones Poliza'!E919,0,F919*$B$8/12),F919*$B$8/12)</f>
        <v>0</v>
      </c>
      <c r="H919" s="125">
        <f t="shared" ca="1" si="99"/>
        <v>0</v>
      </c>
      <c r="I919" s="125"/>
      <c r="J919" s="125">
        <f t="shared" ca="1" si="102"/>
        <v>0</v>
      </c>
      <c r="K919" s="125">
        <f t="shared" si="103"/>
        <v>0</v>
      </c>
      <c r="L919" s="125">
        <f t="shared" ca="1" si="104"/>
        <v>0</v>
      </c>
      <c r="P919">
        <f t="shared" si="105"/>
        <v>912</v>
      </c>
    </row>
    <row r="920" spans="4:16">
      <c r="D920">
        <v>913</v>
      </c>
      <c r="E920" s="6">
        <f t="shared" ca="1" si="100"/>
        <v>24959</v>
      </c>
      <c r="F920" s="7">
        <f t="shared" ca="1" si="101"/>
        <v>0</v>
      </c>
      <c r="G920" s="125">
        <f ca="1">IF('Simulador - 1º Pilar'!$E$99="Sí",IF('Aportaciones Poliza'!$B$13&lt;'Aportaciones Poliza'!E920,0,F920*$B$8/12),F920*$B$8/12)</f>
        <v>0</v>
      </c>
      <c r="H920" s="125">
        <f t="shared" ca="1" si="99"/>
        <v>0</v>
      </c>
      <c r="I920" s="125"/>
      <c r="J920" s="125">
        <f t="shared" ca="1" si="102"/>
        <v>0</v>
      </c>
      <c r="K920" s="125">
        <f t="shared" si="103"/>
        <v>0</v>
      </c>
      <c r="L920" s="125">
        <f t="shared" ca="1" si="104"/>
        <v>0</v>
      </c>
      <c r="P920">
        <f t="shared" si="105"/>
        <v>913</v>
      </c>
    </row>
    <row r="921" spans="4:16">
      <c r="D921">
        <v>914</v>
      </c>
      <c r="E921" s="6">
        <f t="shared" ca="1" si="100"/>
        <v>24929</v>
      </c>
      <c r="F921" s="7">
        <f t="shared" ca="1" si="101"/>
        <v>0</v>
      </c>
      <c r="G921" s="125">
        <f ca="1">IF('Simulador - 1º Pilar'!$E$99="Sí",IF('Aportaciones Poliza'!$B$13&lt;'Aportaciones Poliza'!E921,0,F921*$B$8/12),F921*$B$8/12)</f>
        <v>0</v>
      </c>
      <c r="H921" s="125">
        <f t="shared" ca="1" si="99"/>
        <v>0</v>
      </c>
      <c r="I921" s="125"/>
      <c r="J921" s="125">
        <f t="shared" ca="1" si="102"/>
        <v>0</v>
      </c>
      <c r="K921" s="125">
        <f t="shared" si="103"/>
        <v>0</v>
      </c>
      <c r="L921" s="125">
        <f t="shared" ca="1" si="104"/>
        <v>0</v>
      </c>
      <c r="P921">
        <f t="shared" si="105"/>
        <v>914</v>
      </c>
    </row>
    <row r="922" spans="4:16">
      <c r="D922">
        <v>915</v>
      </c>
      <c r="E922" s="6">
        <f t="shared" ca="1" si="100"/>
        <v>24898</v>
      </c>
      <c r="F922" s="7">
        <f t="shared" ca="1" si="101"/>
        <v>0</v>
      </c>
      <c r="G922" s="125">
        <f ca="1">IF('Simulador - 1º Pilar'!$E$99="Sí",IF('Aportaciones Poliza'!$B$13&lt;'Aportaciones Poliza'!E922,0,F922*$B$8/12),F922*$B$8/12)</f>
        <v>0</v>
      </c>
      <c r="H922" s="125">
        <f t="shared" ca="1" si="99"/>
        <v>0</v>
      </c>
      <c r="I922" s="125"/>
      <c r="J922" s="125">
        <f t="shared" ca="1" si="102"/>
        <v>0</v>
      </c>
      <c r="K922" s="125">
        <f t="shared" si="103"/>
        <v>0</v>
      </c>
      <c r="L922" s="125">
        <f t="shared" ca="1" si="104"/>
        <v>0</v>
      </c>
      <c r="P922">
        <f t="shared" si="105"/>
        <v>915</v>
      </c>
    </row>
    <row r="923" spans="4:16">
      <c r="D923">
        <v>916</v>
      </c>
      <c r="E923" s="6">
        <f t="shared" ca="1" si="100"/>
        <v>24869</v>
      </c>
      <c r="F923" s="7">
        <f t="shared" ca="1" si="101"/>
        <v>0</v>
      </c>
      <c r="G923" s="125">
        <f ca="1">IF('Simulador - 1º Pilar'!$E$99="Sí",IF('Aportaciones Poliza'!$B$13&lt;'Aportaciones Poliza'!E923,0,F923*$B$8/12),F923*$B$8/12)</f>
        <v>0</v>
      </c>
      <c r="H923" s="125">
        <f t="shared" ca="1" si="99"/>
        <v>0</v>
      </c>
      <c r="I923" s="125"/>
      <c r="J923" s="125">
        <f t="shared" ca="1" si="102"/>
        <v>0</v>
      </c>
      <c r="K923" s="125">
        <f t="shared" si="103"/>
        <v>0</v>
      </c>
      <c r="L923" s="125">
        <f t="shared" ca="1" si="104"/>
        <v>0</v>
      </c>
      <c r="P923">
        <f t="shared" si="105"/>
        <v>916</v>
      </c>
    </row>
    <row r="924" spans="4:16">
      <c r="D924">
        <v>917</v>
      </c>
      <c r="E924" s="6">
        <f t="shared" ca="1" si="100"/>
        <v>24838</v>
      </c>
      <c r="F924" s="7">
        <f t="shared" ca="1" si="101"/>
        <v>0</v>
      </c>
      <c r="G924" s="125">
        <f ca="1">IF('Simulador - 1º Pilar'!$E$99="Sí",IF('Aportaciones Poliza'!$B$13&lt;'Aportaciones Poliza'!E924,0,F924*$B$8/12),F924*$B$8/12)</f>
        <v>0</v>
      </c>
      <c r="H924" s="125">
        <f t="shared" ca="1" si="99"/>
        <v>0</v>
      </c>
      <c r="I924" s="125"/>
      <c r="J924" s="125">
        <f t="shared" ca="1" si="102"/>
        <v>0</v>
      </c>
      <c r="K924" s="125">
        <f t="shared" si="103"/>
        <v>0</v>
      </c>
      <c r="L924" s="125">
        <f t="shared" ca="1" si="104"/>
        <v>0</v>
      </c>
      <c r="P924">
        <f t="shared" si="105"/>
        <v>917</v>
      </c>
    </row>
    <row r="925" spans="4:16">
      <c r="D925">
        <v>918</v>
      </c>
      <c r="E925" s="6">
        <f t="shared" ca="1" si="100"/>
        <v>24807</v>
      </c>
      <c r="F925" s="7">
        <f t="shared" ca="1" si="101"/>
        <v>0</v>
      </c>
      <c r="G925" s="125">
        <f ca="1">IF('Simulador - 1º Pilar'!$E$99="Sí",IF('Aportaciones Poliza'!$B$13&lt;'Aportaciones Poliza'!E925,0,F925*$B$8/12),F925*$B$8/12)</f>
        <v>0</v>
      </c>
      <c r="H925" s="125">
        <f t="shared" ca="1" si="99"/>
        <v>0</v>
      </c>
      <c r="I925" s="125"/>
      <c r="J925" s="125">
        <f t="shared" ca="1" si="102"/>
        <v>0</v>
      </c>
      <c r="K925" s="125">
        <f t="shared" si="103"/>
        <v>0</v>
      </c>
      <c r="L925" s="125">
        <f t="shared" ca="1" si="104"/>
        <v>0</v>
      </c>
      <c r="P925">
        <f t="shared" si="105"/>
        <v>918</v>
      </c>
    </row>
    <row r="926" spans="4:16">
      <c r="D926">
        <v>919</v>
      </c>
      <c r="E926" s="6">
        <f t="shared" ca="1" si="100"/>
        <v>24777</v>
      </c>
      <c r="F926" s="7">
        <f t="shared" ca="1" si="101"/>
        <v>0</v>
      </c>
      <c r="G926" s="125">
        <f ca="1">IF('Simulador - 1º Pilar'!$E$99="Sí",IF('Aportaciones Poliza'!$B$13&lt;'Aportaciones Poliza'!E926,0,F926*$B$8/12),F926*$B$8/12)</f>
        <v>0</v>
      </c>
      <c r="H926" s="125">
        <f t="shared" ca="1" si="99"/>
        <v>0</v>
      </c>
      <c r="I926" s="125"/>
      <c r="J926" s="125">
        <f t="shared" ca="1" si="102"/>
        <v>0</v>
      </c>
      <c r="K926" s="125">
        <f t="shared" si="103"/>
        <v>0</v>
      </c>
      <c r="L926" s="125">
        <f t="shared" ca="1" si="104"/>
        <v>0</v>
      </c>
      <c r="P926">
        <f t="shared" si="105"/>
        <v>919</v>
      </c>
    </row>
    <row r="927" spans="4:16">
      <c r="D927">
        <v>920</v>
      </c>
      <c r="E927" s="6">
        <f t="shared" ca="1" si="100"/>
        <v>24746</v>
      </c>
      <c r="F927" s="7">
        <f t="shared" ca="1" si="101"/>
        <v>0</v>
      </c>
      <c r="G927" s="125">
        <f ca="1">IF('Simulador - 1º Pilar'!$E$99="Sí",IF('Aportaciones Poliza'!$B$13&lt;'Aportaciones Poliza'!E927,0,F927*$B$8/12),F927*$B$8/12)</f>
        <v>0</v>
      </c>
      <c r="H927" s="125">
        <f t="shared" ca="1" si="99"/>
        <v>0</v>
      </c>
      <c r="I927" s="125"/>
      <c r="J927" s="125">
        <f t="shared" ca="1" si="102"/>
        <v>0</v>
      </c>
      <c r="K927" s="125">
        <f t="shared" si="103"/>
        <v>0</v>
      </c>
      <c r="L927" s="125">
        <f t="shared" ca="1" si="104"/>
        <v>0</v>
      </c>
      <c r="P927">
        <f t="shared" si="105"/>
        <v>920</v>
      </c>
    </row>
    <row r="928" spans="4:16">
      <c r="D928">
        <v>921</v>
      </c>
      <c r="E928" s="6">
        <f t="shared" ca="1" si="100"/>
        <v>24716</v>
      </c>
      <c r="F928" s="7">
        <f t="shared" ca="1" si="101"/>
        <v>0</v>
      </c>
      <c r="G928" s="125">
        <f ca="1">IF('Simulador - 1º Pilar'!$E$99="Sí",IF('Aportaciones Poliza'!$B$13&lt;'Aportaciones Poliza'!E928,0,F928*$B$8/12),F928*$B$8/12)</f>
        <v>0</v>
      </c>
      <c r="H928" s="125">
        <f t="shared" ca="1" si="99"/>
        <v>0</v>
      </c>
      <c r="I928" s="125"/>
      <c r="J928" s="125">
        <f t="shared" ca="1" si="102"/>
        <v>0</v>
      </c>
      <c r="K928" s="125">
        <f t="shared" si="103"/>
        <v>0</v>
      </c>
      <c r="L928" s="125">
        <f t="shared" ca="1" si="104"/>
        <v>0</v>
      </c>
      <c r="P928">
        <f t="shared" si="105"/>
        <v>921</v>
      </c>
    </row>
    <row r="929" spans="4:16">
      <c r="D929">
        <v>922</v>
      </c>
      <c r="E929" s="6">
        <f t="shared" ca="1" si="100"/>
        <v>24685</v>
      </c>
      <c r="F929" s="7">
        <f t="shared" ca="1" si="101"/>
        <v>0</v>
      </c>
      <c r="G929" s="125">
        <f ca="1">IF('Simulador - 1º Pilar'!$E$99="Sí",IF('Aportaciones Poliza'!$B$13&lt;'Aportaciones Poliza'!E929,0,F929*$B$8/12),F929*$B$8/12)</f>
        <v>0</v>
      </c>
      <c r="H929" s="125">
        <f t="shared" ca="1" si="99"/>
        <v>0</v>
      </c>
      <c r="I929" s="125"/>
      <c r="J929" s="125">
        <f t="shared" ca="1" si="102"/>
        <v>0</v>
      </c>
      <c r="K929" s="125">
        <f t="shared" si="103"/>
        <v>0</v>
      </c>
      <c r="L929" s="125">
        <f t="shared" ca="1" si="104"/>
        <v>0</v>
      </c>
      <c r="P929">
        <f t="shared" si="105"/>
        <v>922</v>
      </c>
    </row>
    <row r="930" spans="4:16">
      <c r="D930">
        <v>923</v>
      </c>
      <c r="E930" s="6">
        <f t="shared" ca="1" si="100"/>
        <v>24654</v>
      </c>
      <c r="F930" s="7">
        <f t="shared" ca="1" si="101"/>
        <v>0</v>
      </c>
      <c r="G930" s="125">
        <f ca="1">IF('Simulador - 1º Pilar'!$E$99="Sí",IF('Aportaciones Poliza'!$B$13&lt;'Aportaciones Poliza'!E930,0,F930*$B$8/12),F930*$B$8/12)</f>
        <v>0</v>
      </c>
      <c r="H930" s="125">
        <f t="shared" ca="1" si="99"/>
        <v>0</v>
      </c>
      <c r="I930" s="125"/>
      <c r="J930" s="125">
        <f t="shared" ca="1" si="102"/>
        <v>0</v>
      </c>
      <c r="K930" s="125">
        <f t="shared" si="103"/>
        <v>0</v>
      </c>
      <c r="L930" s="125">
        <f t="shared" ca="1" si="104"/>
        <v>0</v>
      </c>
      <c r="P930">
        <f t="shared" si="105"/>
        <v>923</v>
      </c>
    </row>
    <row r="931" spans="4:16">
      <c r="D931">
        <v>924</v>
      </c>
      <c r="E931" s="6">
        <f t="shared" ca="1" si="100"/>
        <v>24624</v>
      </c>
      <c r="F931" s="7">
        <f t="shared" ca="1" si="101"/>
        <v>0</v>
      </c>
      <c r="G931" s="125">
        <f ca="1">IF('Simulador - 1º Pilar'!$E$99="Sí",IF('Aportaciones Poliza'!$B$13&lt;'Aportaciones Poliza'!E931,0,F931*$B$8/12),F931*$B$8/12)</f>
        <v>0</v>
      </c>
      <c r="H931" s="125">
        <f t="shared" ca="1" si="99"/>
        <v>0</v>
      </c>
      <c r="I931" s="125"/>
      <c r="J931" s="125">
        <f t="shared" ca="1" si="102"/>
        <v>0</v>
      </c>
      <c r="K931" s="125">
        <f t="shared" si="103"/>
        <v>0</v>
      </c>
      <c r="L931" s="125">
        <f t="shared" ca="1" si="104"/>
        <v>0</v>
      </c>
      <c r="P931">
        <f t="shared" si="105"/>
        <v>924</v>
      </c>
    </row>
    <row r="932" spans="4:16">
      <c r="D932">
        <v>925</v>
      </c>
      <c r="E932" s="6">
        <f t="shared" ca="1" si="100"/>
        <v>24593</v>
      </c>
      <c r="F932" s="7">
        <f t="shared" ca="1" si="101"/>
        <v>0</v>
      </c>
      <c r="G932" s="125">
        <f ca="1">IF('Simulador - 1º Pilar'!$E$99="Sí",IF('Aportaciones Poliza'!$B$13&lt;'Aportaciones Poliza'!E932,0,F932*$B$8/12),F932*$B$8/12)</f>
        <v>0</v>
      </c>
      <c r="H932" s="125">
        <f t="shared" ca="1" si="99"/>
        <v>0</v>
      </c>
      <c r="I932" s="125"/>
      <c r="J932" s="125">
        <f t="shared" ca="1" si="102"/>
        <v>0</v>
      </c>
      <c r="K932" s="125">
        <f t="shared" si="103"/>
        <v>0</v>
      </c>
      <c r="L932" s="125">
        <f t="shared" ca="1" si="104"/>
        <v>0</v>
      </c>
      <c r="P932">
        <f t="shared" si="105"/>
        <v>925</v>
      </c>
    </row>
    <row r="933" spans="4:16">
      <c r="D933">
        <v>926</v>
      </c>
      <c r="E933" s="6">
        <f t="shared" ca="1" si="100"/>
        <v>24563</v>
      </c>
      <c r="F933" s="7">
        <f t="shared" ca="1" si="101"/>
        <v>0</v>
      </c>
      <c r="G933" s="125">
        <f ca="1">IF('Simulador - 1º Pilar'!$E$99="Sí",IF('Aportaciones Poliza'!$B$13&lt;'Aportaciones Poliza'!E933,0,F933*$B$8/12),F933*$B$8/12)</f>
        <v>0</v>
      </c>
      <c r="H933" s="125">
        <f t="shared" ca="1" si="99"/>
        <v>0</v>
      </c>
      <c r="I933" s="125"/>
      <c r="J933" s="125">
        <f t="shared" ca="1" si="102"/>
        <v>0</v>
      </c>
      <c r="K933" s="125">
        <f t="shared" si="103"/>
        <v>0</v>
      </c>
      <c r="L933" s="125">
        <f t="shared" ca="1" si="104"/>
        <v>0</v>
      </c>
      <c r="P933">
        <f t="shared" si="105"/>
        <v>926</v>
      </c>
    </row>
    <row r="934" spans="4:16">
      <c r="D934">
        <v>927</v>
      </c>
      <c r="E934" s="6">
        <f t="shared" ca="1" si="100"/>
        <v>24532</v>
      </c>
      <c r="F934" s="7">
        <f t="shared" ca="1" si="101"/>
        <v>0</v>
      </c>
      <c r="G934" s="125">
        <f ca="1">IF('Simulador - 1º Pilar'!$E$99="Sí",IF('Aportaciones Poliza'!$B$13&lt;'Aportaciones Poliza'!E934,0,F934*$B$8/12),F934*$B$8/12)</f>
        <v>0</v>
      </c>
      <c r="H934" s="125">
        <f t="shared" ca="1" si="99"/>
        <v>0</v>
      </c>
      <c r="I934" s="125"/>
      <c r="J934" s="125">
        <f t="shared" ca="1" si="102"/>
        <v>0</v>
      </c>
      <c r="K934" s="125">
        <f t="shared" si="103"/>
        <v>0</v>
      </c>
      <c r="L934" s="125">
        <f t="shared" ca="1" si="104"/>
        <v>0</v>
      </c>
      <c r="P934">
        <f t="shared" si="105"/>
        <v>927</v>
      </c>
    </row>
    <row r="935" spans="4:16">
      <c r="D935">
        <v>928</v>
      </c>
      <c r="E935" s="6">
        <f t="shared" ca="1" si="100"/>
        <v>24504</v>
      </c>
      <c r="F935" s="7">
        <f t="shared" ca="1" si="101"/>
        <v>0</v>
      </c>
      <c r="G935" s="125">
        <f ca="1">IF('Simulador - 1º Pilar'!$E$99="Sí",IF('Aportaciones Poliza'!$B$13&lt;'Aportaciones Poliza'!E935,0,F935*$B$8/12),F935*$B$8/12)</f>
        <v>0</v>
      </c>
      <c r="H935" s="125">
        <f t="shared" ca="1" si="99"/>
        <v>0</v>
      </c>
      <c r="I935" s="125"/>
      <c r="J935" s="125">
        <f t="shared" ca="1" si="102"/>
        <v>0</v>
      </c>
      <c r="K935" s="125">
        <f t="shared" si="103"/>
        <v>0</v>
      </c>
      <c r="L935" s="125">
        <f t="shared" ca="1" si="104"/>
        <v>0</v>
      </c>
      <c r="P935">
        <f t="shared" si="105"/>
        <v>928</v>
      </c>
    </row>
    <row r="936" spans="4:16">
      <c r="D936">
        <v>929</v>
      </c>
      <c r="E936" s="6">
        <f t="shared" ca="1" si="100"/>
        <v>24473</v>
      </c>
      <c r="F936" s="7">
        <f t="shared" ca="1" si="101"/>
        <v>0</v>
      </c>
      <c r="G936" s="125">
        <f ca="1">IF('Simulador - 1º Pilar'!$E$99="Sí",IF('Aportaciones Poliza'!$B$13&lt;'Aportaciones Poliza'!E936,0,F936*$B$8/12),F936*$B$8/12)</f>
        <v>0</v>
      </c>
      <c r="H936" s="125">
        <f t="shared" ca="1" si="99"/>
        <v>0</v>
      </c>
      <c r="I936" s="125"/>
      <c r="J936" s="125">
        <f t="shared" ca="1" si="102"/>
        <v>0</v>
      </c>
      <c r="K936" s="125">
        <f t="shared" si="103"/>
        <v>0</v>
      </c>
      <c r="L936" s="125">
        <f t="shared" ca="1" si="104"/>
        <v>0</v>
      </c>
      <c r="P936">
        <f t="shared" si="105"/>
        <v>929</v>
      </c>
    </row>
    <row r="937" spans="4:16">
      <c r="D937">
        <v>930</v>
      </c>
      <c r="E937" s="6">
        <f t="shared" ca="1" si="100"/>
        <v>24442</v>
      </c>
      <c r="F937" s="7">
        <f t="shared" ca="1" si="101"/>
        <v>0</v>
      </c>
      <c r="G937" s="125">
        <f ca="1">IF('Simulador - 1º Pilar'!$E$99="Sí",IF('Aportaciones Poliza'!$B$13&lt;'Aportaciones Poliza'!E937,0,F937*$B$8/12),F937*$B$8/12)</f>
        <v>0</v>
      </c>
      <c r="H937" s="125">
        <f t="shared" ca="1" si="99"/>
        <v>0</v>
      </c>
      <c r="I937" s="125"/>
      <c r="J937" s="125">
        <f t="shared" ca="1" si="102"/>
        <v>0</v>
      </c>
      <c r="K937" s="125">
        <f t="shared" si="103"/>
        <v>0</v>
      </c>
      <c r="L937" s="125">
        <f t="shared" ca="1" si="104"/>
        <v>0</v>
      </c>
      <c r="P937">
        <f t="shared" si="105"/>
        <v>930</v>
      </c>
    </row>
    <row r="938" spans="4:16">
      <c r="D938">
        <v>931</v>
      </c>
      <c r="E938" s="6">
        <f t="shared" ca="1" si="100"/>
        <v>24412</v>
      </c>
      <c r="F938" s="7">
        <f t="shared" ca="1" si="101"/>
        <v>0</v>
      </c>
      <c r="G938" s="125">
        <f ca="1">IF('Simulador - 1º Pilar'!$E$99="Sí",IF('Aportaciones Poliza'!$B$13&lt;'Aportaciones Poliza'!E938,0,F938*$B$8/12),F938*$B$8/12)</f>
        <v>0</v>
      </c>
      <c r="H938" s="125">
        <f t="shared" ca="1" si="99"/>
        <v>0</v>
      </c>
      <c r="I938" s="125"/>
      <c r="J938" s="125">
        <f t="shared" ca="1" si="102"/>
        <v>0</v>
      </c>
      <c r="K938" s="125">
        <f t="shared" si="103"/>
        <v>0</v>
      </c>
      <c r="L938" s="125">
        <f t="shared" ca="1" si="104"/>
        <v>0</v>
      </c>
      <c r="P938">
        <f t="shared" si="105"/>
        <v>931</v>
      </c>
    </row>
    <row r="939" spans="4:16">
      <c r="D939">
        <v>932</v>
      </c>
      <c r="E939" s="6">
        <f t="shared" ca="1" si="100"/>
        <v>24381</v>
      </c>
      <c r="F939" s="7">
        <f t="shared" ca="1" si="101"/>
        <v>0</v>
      </c>
      <c r="G939" s="125">
        <f ca="1">IF('Simulador - 1º Pilar'!$E$99="Sí",IF('Aportaciones Poliza'!$B$13&lt;'Aportaciones Poliza'!E939,0,F939*$B$8/12),F939*$B$8/12)</f>
        <v>0</v>
      </c>
      <c r="H939" s="125">
        <f t="shared" ca="1" si="99"/>
        <v>0</v>
      </c>
      <c r="I939" s="125"/>
      <c r="J939" s="125">
        <f t="shared" ca="1" si="102"/>
        <v>0</v>
      </c>
      <c r="K939" s="125">
        <f t="shared" si="103"/>
        <v>0</v>
      </c>
      <c r="L939" s="125">
        <f t="shared" ca="1" si="104"/>
        <v>0</v>
      </c>
      <c r="P939">
        <f t="shared" si="105"/>
        <v>932</v>
      </c>
    </row>
    <row r="940" spans="4:16">
      <c r="D940">
        <v>933</v>
      </c>
      <c r="E940" s="6">
        <f t="shared" ca="1" si="100"/>
        <v>24351</v>
      </c>
      <c r="F940" s="7">
        <f t="shared" ca="1" si="101"/>
        <v>0</v>
      </c>
      <c r="G940" s="125">
        <f ca="1">IF('Simulador - 1º Pilar'!$E$99="Sí",IF('Aportaciones Poliza'!$B$13&lt;'Aportaciones Poliza'!E940,0,F940*$B$8/12),F940*$B$8/12)</f>
        <v>0</v>
      </c>
      <c r="H940" s="125">
        <f t="shared" ca="1" si="99"/>
        <v>0</v>
      </c>
      <c r="I940" s="125"/>
      <c r="J940" s="125">
        <f t="shared" ca="1" si="102"/>
        <v>0</v>
      </c>
      <c r="K940" s="125">
        <f t="shared" si="103"/>
        <v>0</v>
      </c>
      <c r="L940" s="125">
        <f t="shared" ca="1" si="104"/>
        <v>0</v>
      </c>
      <c r="P940">
        <f t="shared" si="105"/>
        <v>933</v>
      </c>
    </row>
    <row r="941" spans="4:16">
      <c r="D941">
        <v>934</v>
      </c>
      <c r="E941" s="6">
        <f t="shared" ca="1" si="100"/>
        <v>24320</v>
      </c>
      <c r="F941" s="7">
        <f t="shared" ca="1" si="101"/>
        <v>0</v>
      </c>
      <c r="G941" s="125">
        <f ca="1">IF('Simulador - 1º Pilar'!$E$99="Sí",IF('Aportaciones Poliza'!$B$13&lt;'Aportaciones Poliza'!E941,0,F941*$B$8/12),F941*$B$8/12)</f>
        <v>0</v>
      </c>
      <c r="H941" s="125">
        <f t="shared" ca="1" si="99"/>
        <v>0</v>
      </c>
      <c r="I941" s="125"/>
      <c r="J941" s="125">
        <f t="shared" ca="1" si="102"/>
        <v>0</v>
      </c>
      <c r="K941" s="125">
        <f t="shared" si="103"/>
        <v>0</v>
      </c>
      <c r="L941" s="125">
        <f t="shared" ca="1" si="104"/>
        <v>0</v>
      </c>
      <c r="P941">
        <f t="shared" si="105"/>
        <v>934</v>
      </c>
    </row>
    <row r="942" spans="4:16">
      <c r="D942">
        <v>935</v>
      </c>
      <c r="E942" s="6">
        <f t="shared" ca="1" si="100"/>
        <v>24289</v>
      </c>
      <c r="F942" s="7">
        <f t="shared" ca="1" si="101"/>
        <v>0</v>
      </c>
      <c r="G942" s="125">
        <f ca="1">IF('Simulador - 1º Pilar'!$E$99="Sí",IF('Aportaciones Poliza'!$B$13&lt;'Aportaciones Poliza'!E942,0,F942*$B$8/12),F942*$B$8/12)</f>
        <v>0</v>
      </c>
      <c r="H942" s="125">
        <f t="shared" ca="1" si="99"/>
        <v>0</v>
      </c>
      <c r="I942" s="125"/>
      <c r="J942" s="125">
        <f t="shared" ca="1" si="102"/>
        <v>0</v>
      </c>
      <c r="K942" s="125">
        <f t="shared" si="103"/>
        <v>0</v>
      </c>
      <c r="L942" s="125">
        <f t="shared" ca="1" si="104"/>
        <v>0</v>
      </c>
      <c r="P942">
        <f t="shared" si="105"/>
        <v>935</v>
      </c>
    </row>
    <row r="943" spans="4:16">
      <c r="D943">
        <v>936</v>
      </c>
      <c r="E943" s="6">
        <f t="shared" ca="1" si="100"/>
        <v>24259</v>
      </c>
      <c r="F943" s="7">
        <f t="shared" ca="1" si="101"/>
        <v>0</v>
      </c>
      <c r="G943" s="125">
        <f ca="1">IF('Simulador - 1º Pilar'!$E$99="Sí",IF('Aportaciones Poliza'!$B$13&lt;'Aportaciones Poliza'!E943,0,F943*$B$8/12),F943*$B$8/12)</f>
        <v>0</v>
      </c>
      <c r="H943" s="125">
        <f t="shared" ca="1" si="99"/>
        <v>0</v>
      </c>
      <c r="I943" s="125"/>
      <c r="J943" s="125">
        <f t="shared" ca="1" si="102"/>
        <v>0</v>
      </c>
      <c r="K943" s="125">
        <f t="shared" si="103"/>
        <v>0</v>
      </c>
      <c r="L943" s="125">
        <f t="shared" ca="1" si="104"/>
        <v>0</v>
      </c>
      <c r="P943">
        <f t="shared" si="105"/>
        <v>936</v>
      </c>
    </row>
    <row r="944" spans="4:16">
      <c r="D944">
        <v>937</v>
      </c>
      <c r="E944" s="6">
        <f t="shared" ca="1" si="100"/>
        <v>24228</v>
      </c>
      <c r="F944" s="7">
        <f t="shared" ca="1" si="101"/>
        <v>0</v>
      </c>
      <c r="G944" s="125">
        <f ca="1">IF('Simulador - 1º Pilar'!$E$99="Sí",IF('Aportaciones Poliza'!$B$13&lt;'Aportaciones Poliza'!E944,0,F944*$B$8/12),F944*$B$8/12)</f>
        <v>0</v>
      </c>
      <c r="H944" s="125">
        <f t="shared" ca="1" si="99"/>
        <v>0</v>
      </c>
      <c r="I944" s="125"/>
      <c r="J944" s="125">
        <f t="shared" ca="1" si="102"/>
        <v>0</v>
      </c>
      <c r="K944" s="125">
        <f t="shared" si="103"/>
        <v>0</v>
      </c>
      <c r="L944" s="125">
        <f t="shared" ca="1" si="104"/>
        <v>0</v>
      </c>
      <c r="P944">
        <f t="shared" si="105"/>
        <v>937</v>
      </c>
    </row>
    <row r="945" spans="4:16">
      <c r="D945">
        <v>938</v>
      </c>
      <c r="E945" s="6">
        <f t="shared" ca="1" si="100"/>
        <v>24198</v>
      </c>
      <c r="F945" s="7">
        <f t="shared" ca="1" si="101"/>
        <v>0</v>
      </c>
      <c r="G945" s="125">
        <f ca="1">IF('Simulador - 1º Pilar'!$E$99="Sí",IF('Aportaciones Poliza'!$B$13&lt;'Aportaciones Poliza'!E945,0,F945*$B$8/12),F945*$B$8/12)</f>
        <v>0</v>
      </c>
      <c r="H945" s="125">
        <f t="shared" ca="1" si="99"/>
        <v>0</v>
      </c>
      <c r="I945" s="125"/>
      <c r="J945" s="125">
        <f t="shared" ca="1" si="102"/>
        <v>0</v>
      </c>
      <c r="K945" s="125">
        <f t="shared" si="103"/>
        <v>0</v>
      </c>
      <c r="L945" s="125">
        <f t="shared" ca="1" si="104"/>
        <v>0</v>
      </c>
      <c r="P945">
        <f t="shared" si="105"/>
        <v>938</v>
      </c>
    </row>
    <row r="946" spans="4:16">
      <c r="D946">
        <v>939</v>
      </c>
      <c r="E946" s="6">
        <f t="shared" ca="1" si="100"/>
        <v>24167</v>
      </c>
      <c r="F946" s="7">
        <f t="shared" ca="1" si="101"/>
        <v>0</v>
      </c>
      <c r="G946" s="125">
        <f ca="1">IF('Simulador - 1º Pilar'!$E$99="Sí",IF('Aportaciones Poliza'!$B$13&lt;'Aportaciones Poliza'!E946,0,F946*$B$8/12),F946*$B$8/12)</f>
        <v>0</v>
      </c>
      <c r="H946" s="125">
        <f t="shared" ca="1" si="99"/>
        <v>0</v>
      </c>
      <c r="I946" s="125"/>
      <c r="J946" s="125">
        <f t="shared" ca="1" si="102"/>
        <v>0</v>
      </c>
      <c r="K946" s="125">
        <f t="shared" si="103"/>
        <v>0</v>
      </c>
      <c r="L946" s="125">
        <f t="shared" ca="1" si="104"/>
        <v>0</v>
      </c>
      <c r="P946">
        <f t="shared" si="105"/>
        <v>939</v>
      </c>
    </row>
    <row r="947" spans="4:16">
      <c r="D947">
        <v>940</v>
      </c>
      <c r="E947" s="6">
        <f t="shared" ca="1" si="100"/>
        <v>24139</v>
      </c>
      <c r="F947" s="7">
        <f t="shared" ca="1" si="101"/>
        <v>0</v>
      </c>
      <c r="G947" s="125">
        <f ca="1">IF('Simulador - 1º Pilar'!$E$99="Sí",IF('Aportaciones Poliza'!$B$13&lt;'Aportaciones Poliza'!E947,0,F947*$B$8/12),F947*$B$8/12)</f>
        <v>0</v>
      </c>
      <c r="H947" s="125">
        <f t="shared" ca="1" si="99"/>
        <v>0</v>
      </c>
      <c r="I947" s="125"/>
      <c r="J947" s="125">
        <f t="shared" ca="1" si="102"/>
        <v>0</v>
      </c>
      <c r="K947" s="125">
        <f t="shared" si="103"/>
        <v>0</v>
      </c>
      <c r="L947" s="125">
        <f t="shared" ca="1" si="104"/>
        <v>0</v>
      </c>
      <c r="P947">
        <f t="shared" si="105"/>
        <v>940</v>
      </c>
    </row>
    <row r="948" spans="4:16">
      <c r="D948">
        <v>941</v>
      </c>
      <c r="E948" s="6">
        <f t="shared" ca="1" si="100"/>
        <v>24108</v>
      </c>
      <c r="F948" s="7">
        <f t="shared" ca="1" si="101"/>
        <v>0</v>
      </c>
      <c r="G948" s="125">
        <f ca="1">IF('Simulador - 1º Pilar'!$E$99="Sí",IF('Aportaciones Poliza'!$B$13&lt;'Aportaciones Poliza'!E948,0,F948*$B$8/12),F948*$B$8/12)</f>
        <v>0</v>
      </c>
      <c r="H948" s="125">
        <f t="shared" ca="1" si="99"/>
        <v>0</v>
      </c>
      <c r="I948" s="125"/>
      <c r="J948" s="125">
        <f t="shared" ca="1" si="102"/>
        <v>0</v>
      </c>
      <c r="K948" s="125">
        <f t="shared" si="103"/>
        <v>0</v>
      </c>
      <c r="L948" s="125">
        <f t="shared" ca="1" si="104"/>
        <v>0</v>
      </c>
      <c r="P948">
        <f t="shared" si="105"/>
        <v>941</v>
      </c>
    </row>
    <row r="949" spans="4:16">
      <c r="D949">
        <v>942</v>
      </c>
      <c r="E949" s="6">
        <f t="shared" ca="1" si="100"/>
        <v>24077</v>
      </c>
      <c r="F949" s="7">
        <f t="shared" ca="1" si="101"/>
        <v>0</v>
      </c>
      <c r="G949" s="125">
        <f ca="1">IF('Simulador - 1º Pilar'!$E$99="Sí",IF('Aportaciones Poliza'!$B$13&lt;'Aportaciones Poliza'!E949,0,F949*$B$8/12),F949*$B$8/12)</f>
        <v>0</v>
      </c>
      <c r="H949" s="125">
        <f t="shared" ca="1" si="99"/>
        <v>0</v>
      </c>
      <c r="I949" s="125"/>
      <c r="J949" s="125">
        <f t="shared" ca="1" si="102"/>
        <v>0</v>
      </c>
      <c r="K949" s="125">
        <f t="shared" si="103"/>
        <v>0</v>
      </c>
      <c r="L949" s="125">
        <f t="shared" ca="1" si="104"/>
        <v>0</v>
      </c>
      <c r="P949">
        <f t="shared" si="105"/>
        <v>942</v>
      </c>
    </row>
    <row r="950" spans="4:16">
      <c r="D950">
        <v>943</v>
      </c>
      <c r="E950" s="6">
        <f t="shared" ca="1" si="100"/>
        <v>24047</v>
      </c>
      <c r="F950" s="7">
        <f t="shared" ca="1" si="101"/>
        <v>0</v>
      </c>
      <c r="G950" s="125">
        <f ca="1">IF('Simulador - 1º Pilar'!$E$99="Sí",IF('Aportaciones Poliza'!$B$13&lt;'Aportaciones Poliza'!E950,0,F950*$B$8/12),F950*$B$8/12)</f>
        <v>0</v>
      </c>
      <c r="H950" s="125">
        <f t="shared" ca="1" si="99"/>
        <v>0</v>
      </c>
      <c r="I950" s="125"/>
      <c r="J950" s="125">
        <f t="shared" ca="1" si="102"/>
        <v>0</v>
      </c>
      <c r="K950" s="125">
        <f t="shared" si="103"/>
        <v>0</v>
      </c>
      <c r="L950" s="125">
        <f t="shared" ca="1" si="104"/>
        <v>0</v>
      </c>
      <c r="P950">
        <f t="shared" si="105"/>
        <v>943</v>
      </c>
    </row>
    <row r="951" spans="4:16">
      <c r="D951">
        <v>944</v>
      </c>
      <c r="E951" s="6">
        <f t="shared" ca="1" si="100"/>
        <v>24016</v>
      </c>
      <c r="F951" s="7">
        <f t="shared" ca="1" si="101"/>
        <v>0</v>
      </c>
      <c r="G951" s="125">
        <f ca="1">IF('Simulador - 1º Pilar'!$E$99="Sí",IF('Aportaciones Poliza'!$B$13&lt;'Aportaciones Poliza'!E951,0,F951*$B$8/12),F951*$B$8/12)</f>
        <v>0</v>
      </c>
      <c r="H951" s="125">
        <f t="shared" ca="1" si="99"/>
        <v>0</v>
      </c>
      <c r="I951" s="125"/>
      <c r="J951" s="125">
        <f t="shared" ca="1" si="102"/>
        <v>0</v>
      </c>
      <c r="K951" s="125">
        <f t="shared" si="103"/>
        <v>0</v>
      </c>
      <c r="L951" s="125">
        <f t="shared" ca="1" si="104"/>
        <v>0</v>
      </c>
      <c r="P951">
        <f t="shared" si="105"/>
        <v>944</v>
      </c>
    </row>
    <row r="952" spans="4:16">
      <c r="D952">
        <v>945</v>
      </c>
      <c r="E952" s="6">
        <f t="shared" ca="1" si="100"/>
        <v>23986</v>
      </c>
      <c r="F952" s="7">
        <f t="shared" ca="1" si="101"/>
        <v>0</v>
      </c>
      <c r="G952" s="125">
        <f ca="1">IF('Simulador - 1º Pilar'!$E$99="Sí",IF('Aportaciones Poliza'!$B$13&lt;'Aportaciones Poliza'!E952,0,F952*$B$8/12),F952*$B$8/12)</f>
        <v>0</v>
      </c>
      <c r="H952" s="125">
        <f t="shared" ca="1" si="99"/>
        <v>0</v>
      </c>
      <c r="I952" s="125"/>
      <c r="J952" s="125">
        <f t="shared" ca="1" si="102"/>
        <v>0</v>
      </c>
      <c r="K952" s="125">
        <f t="shared" si="103"/>
        <v>0</v>
      </c>
      <c r="L952" s="125">
        <f t="shared" ca="1" si="104"/>
        <v>0</v>
      </c>
      <c r="P952">
        <f t="shared" si="105"/>
        <v>945</v>
      </c>
    </row>
    <row r="953" spans="4:16">
      <c r="D953">
        <v>946</v>
      </c>
      <c r="E953" s="6">
        <f t="shared" ca="1" si="100"/>
        <v>23955</v>
      </c>
      <c r="F953" s="7">
        <f t="shared" ca="1" si="101"/>
        <v>0</v>
      </c>
      <c r="G953" s="125">
        <f ca="1">IF('Simulador - 1º Pilar'!$E$99="Sí",IF('Aportaciones Poliza'!$B$13&lt;'Aportaciones Poliza'!E953,0,F953*$B$8/12),F953*$B$8/12)</f>
        <v>0</v>
      </c>
      <c r="H953" s="125">
        <f t="shared" ca="1" si="99"/>
        <v>0</v>
      </c>
      <c r="I953" s="125"/>
      <c r="J953" s="125">
        <f t="shared" ca="1" si="102"/>
        <v>0</v>
      </c>
      <c r="K953" s="125">
        <f t="shared" si="103"/>
        <v>0</v>
      </c>
      <c r="L953" s="125">
        <f t="shared" ca="1" si="104"/>
        <v>0</v>
      </c>
      <c r="P953">
        <f t="shared" si="105"/>
        <v>946</v>
      </c>
    </row>
    <row r="954" spans="4:16">
      <c r="D954">
        <v>947</v>
      </c>
      <c r="E954" s="6">
        <f t="shared" ca="1" si="100"/>
        <v>23924</v>
      </c>
      <c r="F954" s="7">
        <f t="shared" ca="1" si="101"/>
        <v>0</v>
      </c>
      <c r="G954" s="125">
        <f ca="1">IF('Simulador - 1º Pilar'!$E$99="Sí",IF('Aportaciones Poliza'!$B$13&lt;'Aportaciones Poliza'!E954,0,F954*$B$8/12),F954*$B$8/12)</f>
        <v>0</v>
      </c>
      <c r="H954" s="125">
        <f t="shared" ca="1" si="99"/>
        <v>0</v>
      </c>
      <c r="I954" s="125"/>
      <c r="J954" s="125">
        <f t="shared" ca="1" si="102"/>
        <v>0</v>
      </c>
      <c r="K954" s="125">
        <f t="shared" si="103"/>
        <v>0</v>
      </c>
      <c r="L954" s="125">
        <f t="shared" ca="1" si="104"/>
        <v>0</v>
      </c>
      <c r="P954">
        <f t="shared" si="105"/>
        <v>947</v>
      </c>
    </row>
    <row r="955" spans="4:16">
      <c r="D955">
        <v>948</v>
      </c>
      <c r="E955" s="6">
        <f t="shared" ca="1" si="100"/>
        <v>23894</v>
      </c>
      <c r="F955" s="7">
        <f t="shared" ca="1" si="101"/>
        <v>0</v>
      </c>
      <c r="G955" s="125">
        <f ca="1">IF('Simulador - 1º Pilar'!$E$99="Sí",IF('Aportaciones Poliza'!$B$13&lt;'Aportaciones Poliza'!E955,0,F955*$B$8/12),F955*$B$8/12)</f>
        <v>0</v>
      </c>
      <c r="H955" s="125">
        <f t="shared" ca="1" si="99"/>
        <v>0</v>
      </c>
      <c r="I955" s="125"/>
      <c r="J955" s="125">
        <f t="shared" ca="1" si="102"/>
        <v>0</v>
      </c>
      <c r="K955" s="125">
        <f t="shared" si="103"/>
        <v>0</v>
      </c>
      <c r="L955" s="125">
        <f t="shared" ca="1" si="104"/>
        <v>0</v>
      </c>
      <c r="P955">
        <f t="shared" si="105"/>
        <v>948</v>
      </c>
    </row>
    <row r="956" spans="4:16">
      <c r="D956">
        <v>949</v>
      </c>
      <c r="E956" s="6">
        <f t="shared" ca="1" si="100"/>
        <v>23863</v>
      </c>
      <c r="F956" s="7">
        <f t="shared" ca="1" si="101"/>
        <v>0</v>
      </c>
      <c r="G956" s="125">
        <f ca="1">IF('Simulador - 1º Pilar'!$E$99="Sí",IF('Aportaciones Poliza'!$B$13&lt;'Aportaciones Poliza'!E956,0,F956*$B$8/12),F956*$B$8/12)</f>
        <v>0</v>
      </c>
      <c r="H956" s="125">
        <f t="shared" ca="1" si="99"/>
        <v>0</v>
      </c>
      <c r="I956" s="125"/>
      <c r="J956" s="125">
        <f t="shared" ca="1" si="102"/>
        <v>0</v>
      </c>
      <c r="K956" s="125">
        <f t="shared" si="103"/>
        <v>0</v>
      </c>
      <c r="L956" s="125">
        <f t="shared" ca="1" si="104"/>
        <v>0</v>
      </c>
      <c r="P956">
        <f t="shared" si="105"/>
        <v>949</v>
      </c>
    </row>
    <row r="957" spans="4:16">
      <c r="D957">
        <v>950</v>
      </c>
      <c r="E957" s="6">
        <f t="shared" ca="1" si="100"/>
        <v>23833</v>
      </c>
      <c r="F957" s="7">
        <f t="shared" ca="1" si="101"/>
        <v>0</v>
      </c>
      <c r="G957" s="125">
        <f ca="1">IF('Simulador - 1º Pilar'!$E$99="Sí",IF('Aportaciones Poliza'!$B$13&lt;'Aportaciones Poliza'!E957,0,F957*$B$8/12),F957*$B$8/12)</f>
        <v>0</v>
      </c>
      <c r="H957" s="125">
        <f t="shared" ca="1" si="99"/>
        <v>0</v>
      </c>
      <c r="I957" s="125"/>
      <c r="J957" s="125">
        <f t="shared" ca="1" si="102"/>
        <v>0</v>
      </c>
      <c r="K957" s="125">
        <f t="shared" si="103"/>
        <v>0</v>
      </c>
      <c r="L957" s="125">
        <f t="shared" ca="1" si="104"/>
        <v>0</v>
      </c>
      <c r="P957">
        <f t="shared" si="105"/>
        <v>950</v>
      </c>
    </row>
    <row r="958" spans="4:16">
      <c r="D958">
        <v>951</v>
      </c>
      <c r="E958" s="6">
        <f t="shared" ca="1" si="100"/>
        <v>23802</v>
      </c>
      <c r="F958" s="7">
        <f t="shared" ca="1" si="101"/>
        <v>0</v>
      </c>
      <c r="G958" s="125">
        <f ca="1">IF('Simulador - 1º Pilar'!$E$99="Sí",IF('Aportaciones Poliza'!$B$13&lt;'Aportaciones Poliza'!E958,0,F958*$B$8/12),F958*$B$8/12)</f>
        <v>0</v>
      </c>
      <c r="H958" s="125">
        <f t="shared" ca="1" si="99"/>
        <v>0</v>
      </c>
      <c r="I958" s="125"/>
      <c r="J958" s="125">
        <f t="shared" ca="1" si="102"/>
        <v>0</v>
      </c>
      <c r="K958" s="125">
        <f t="shared" si="103"/>
        <v>0</v>
      </c>
      <c r="L958" s="125">
        <f t="shared" ca="1" si="104"/>
        <v>0</v>
      </c>
      <c r="P958">
        <f t="shared" si="105"/>
        <v>951</v>
      </c>
    </row>
    <row r="959" spans="4:16">
      <c r="D959">
        <v>952</v>
      </c>
      <c r="E959" s="6">
        <f t="shared" ca="1" si="100"/>
        <v>23774</v>
      </c>
      <c r="F959" s="7">
        <f t="shared" ca="1" si="101"/>
        <v>0</v>
      </c>
      <c r="G959" s="125">
        <f ca="1">IF('Simulador - 1º Pilar'!$E$99="Sí",IF('Aportaciones Poliza'!$B$13&lt;'Aportaciones Poliza'!E959,0,F959*$B$8/12),F959*$B$8/12)</f>
        <v>0</v>
      </c>
      <c r="H959" s="125">
        <f t="shared" ca="1" si="99"/>
        <v>0</v>
      </c>
      <c r="I959" s="125"/>
      <c r="J959" s="125">
        <f t="shared" ca="1" si="102"/>
        <v>0</v>
      </c>
      <c r="K959" s="125">
        <f t="shared" si="103"/>
        <v>0</v>
      </c>
      <c r="L959" s="125">
        <f t="shared" ca="1" si="104"/>
        <v>0</v>
      </c>
      <c r="P959">
        <f t="shared" si="105"/>
        <v>952</v>
      </c>
    </row>
    <row r="960" spans="4:16">
      <c r="D960">
        <v>953</v>
      </c>
      <c r="E960" s="6">
        <f t="shared" ca="1" si="100"/>
        <v>23743</v>
      </c>
      <c r="F960" s="7">
        <f t="shared" ca="1" si="101"/>
        <v>0</v>
      </c>
      <c r="G960" s="125">
        <f ca="1">IF('Simulador - 1º Pilar'!$E$99="Sí",IF('Aportaciones Poliza'!$B$13&lt;'Aportaciones Poliza'!E960,0,F960*$B$8/12),F960*$B$8/12)</f>
        <v>0</v>
      </c>
      <c r="H960" s="125">
        <f t="shared" ca="1" si="99"/>
        <v>0</v>
      </c>
      <c r="I960" s="125"/>
      <c r="J960" s="125">
        <f t="shared" ca="1" si="102"/>
        <v>0</v>
      </c>
      <c r="K960" s="125">
        <f t="shared" si="103"/>
        <v>0</v>
      </c>
      <c r="L960" s="125">
        <f t="shared" ca="1" si="104"/>
        <v>0</v>
      </c>
      <c r="P960">
        <f t="shared" si="105"/>
        <v>953</v>
      </c>
    </row>
    <row r="961" spans="4:16">
      <c r="D961">
        <v>954</v>
      </c>
      <c r="E961" s="6">
        <f t="shared" ca="1" si="100"/>
        <v>23712</v>
      </c>
      <c r="F961" s="7">
        <f t="shared" ca="1" si="101"/>
        <v>0</v>
      </c>
      <c r="G961" s="125">
        <f ca="1">IF('Simulador - 1º Pilar'!$E$99="Sí",IF('Aportaciones Poliza'!$B$13&lt;'Aportaciones Poliza'!E961,0,F961*$B$8/12),F961*$B$8/12)</f>
        <v>0</v>
      </c>
      <c r="H961" s="125">
        <f t="shared" ca="1" si="99"/>
        <v>0</v>
      </c>
      <c r="I961" s="125"/>
      <c r="J961" s="125">
        <f t="shared" ca="1" si="102"/>
        <v>0</v>
      </c>
      <c r="K961" s="125">
        <f t="shared" si="103"/>
        <v>0</v>
      </c>
      <c r="L961" s="125">
        <f t="shared" ca="1" si="104"/>
        <v>0</v>
      </c>
      <c r="P961">
        <f t="shared" si="105"/>
        <v>954</v>
      </c>
    </row>
    <row r="962" spans="4:16">
      <c r="D962">
        <v>955</v>
      </c>
      <c r="E962" s="6">
        <f t="shared" ca="1" si="100"/>
        <v>23682</v>
      </c>
      <c r="F962" s="7">
        <f t="shared" ca="1" si="101"/>
        <v>0</v>
      </c>
      <c r="G962" s="125">
        <f ca="1">IF('Simulador - 1º Pilar'!$E$99="Sí",IF('Aportaciones Poliza'!$B$13&lt;'Aportaciones Poliza'!E962,0,F962*$B$8/12),F962*$B$8/12)</f>
        <v>0</v>
      </c>
      <c r="H962" s="125">
        <f t="shared" ca="1" si="99"/>
        <v>0</v>
      </c>
      <c r="I962" s="125"/>
      <c r="J962" s="125">
        <f t="shared" ca="1" si="102"/>
        <v>0</v>
      </c>
      <c r="K962" s="125">
        <f t="shared" si="103"/>
        <v>0</v>
      </c>
      <c r="L962" s="125">
        <f t="shared" ca="1" si="104"/>
        <v>0</v>
      </c>
      <c r="P962">
        <f t="shared" si="105"/>
        <v>955</v>
      </c>
    </row>
    <row r="963" spans="4:16">
      <c r="D963">
        <v>956</v>
      </c>
      <c r="E963" s="6">
        <f t="shared" ca="1" si="100"/>
        <v>23651</v>
      </c>
      <c r="F963" s="7">
        <f t="shared" ca="1" si="101"/>
        <v>0</v>
      </c>
      <c r="G963" s="125">
        <f ca="1">IF('Simulador - 1º Pilar'!$E$99="Sí",IF('Aportaciones Poliza'!$B$13&lt;'Aportaciones Poliza'!E963,0,F963*$B$8/12),F963*$B$8/12)</f>
        <v>0</v>
      </c>
      <c r="H963" s="125">
        <f t="shared" ca="1" si="99"/>
        <v>0</v>
      </c>
      <c r="I963" s="125"/>
      <c r="J963" s="125">
        <f t="shared" ca="1" si="102"/>
        <v>0</v>
      </c>
      <c r="K963" s="125">
        <f t="shared" si="103"/>
        <v>0</v>
      </c>
      <c r="L963" s="125">
        <f t="shared" ca="1" si="104"/>
        <v>0</v>
      </c>
      <c r="P963">
        <f t="shared" si="105"/>
        <v>956</v>
      </c>
    </row>
    <row r="964" spans="4:16">
      <c r="D964">
        <v>957</v>
      </c>
      <c r="E964" s="6">
        <f t="shared" ca="1" si="100"/>
        <v>23621</v>
      </c>
      <c r="F964" s="7">
        <f t="shared" ca="1" si="101"/>
        <v>0</v>
      </c>
      <c r="G964" s="125">
        <f ca="1">IF('Simulador - 1º Pilar'!$E$99="Sí",IF('Aportaciones Poliza'!$B$13&lt;'Aportaciones Poliza'!E964,0,F964*$B$8/12),F964*$B$8/12)</f>
        <v>0</v>
      </c>
      <c r="H964" s="125">
        <f t="shared" ca="1" si="99"/>
        <v>0</v>
      </c>
      <c r="I964" s="125"/>
      <c r="J964" s="125">
        <f t="shared" ca="1" si="102"/>
        <v>0</v>
      </c>
      <c r="K964" s="125">
        <f t="shared" si="103"/>
        <v>0</v>
      </c>
      <c r="L964" s="125">
        <f t="shared" ca="1" si="104"/>
        <v>0</v>
      </c>
      <c r="P964">
        <f t="shared" si="105"/>
        <v>957</v>
      </c>
    </row>
    <row r="965" spans="4:16">
      <c r="D965">
        <v>958</v>
      </c>
      <c r="E965" s="6">
        <f t="shared" ca="1" si="100"/>
        <v>23590</v>
      </c>
      <c r="F965" s="7">
        <f t="shared" ca="1" si="101"/>
        <v>0</v>
      </c>
      <c r="G965" s="125">
        <f ca="1">IF('Simulador - 1º Pilar'!$E$99="Sí",IF('Aportaciones Poliza'!$B$13&lt;'Aportaciones Poliza'!E965,0,F965*$B$8/12),F965*$B$8/12)</f>
        <v>0</v>
      </c>
      <c r="H965" s="125">
        <f t="shared" ca="1" si="99"/>
        <v>0</v>
      </c>
      <c r="I965" s="125"/>
      <c r="J965" s="125">
        <f t="shared" ca="1" si="102"/>
        <v>0</v>
      </c>
      <c r="K965" s="125">
        <f t="shared" si="103"/>
        <v>0</v>
      </c>
      <c r="L965" s="125">
        <f t="shared" ca="1" si="104"/>
        <v>0</v>
      </c>
      <c r="P965">
        <f t="shared" si="105"/>
        <v>958</v>
      </c>
    </row>
    <row r="966" spans="4:16">
      <c r="D966">
        <v>959</v>
      </c>
      <c r="E966" s="6">
        <f t="shared" ca="1" si="100"/>
        <v>23559</v>
      </c>
      <c r="F966" s="7">
        <f t="shared" ca="1" si="101"/>
        <v>0</v>
      </c>
      <c r="G966" s="125">
        <f ca="1">IF('Simulador - 1º Pilar'!$E$99="Sí",IF('Aportaciones Poliza'!$B$13&lt;'Aportaciones Poliza'!E966,0,F966*$B$8/12),F966*$B$8/12)</f>
        <v>0</v>
      </c>
      <c r="H966" s="125">
        <f t="shared" ca="1" si="99"/>
        <v>0</v>
      </c>
      <c r="I966" s="125"/>
      <c r="J966" s="125">
        <f t="shared" ca="1" si="102"/>
        <v>0</v>
      </c>
      <c r="K966" s="125">
        <f t="shared" si="103"/>
        <v>0</v>
      </c>
      <c r="L966" s="125">
        <f t="shared" ca="1" si="104"/>
        <v>0</v>
      </c>
      <c r="P966">
        <f t="shared" si="105"/>
        <v>959</v>
      </c>
    </row>
    <row r="967" spans="4:16">
      <c r="D967">
        <v>960</v>
      </c>
      <c r="E967" s="6">
        <f t="shared" ca="1" si="100"/>
        <v>23529</v>
      </c>
      <c r="F967" s="7">
        <f t="shared" ca="1" si="101"/>
        <v>0</v>
      </c>
      <c r="G967" s="125">
        <f ca="1">IF('Simulador - 1º Pilar'!$E$99="Sí",IF('Aportaciones Poliza'!$B$13&lt;'Aportaciones Poliza'!E967,0,F967*$B$8/12),F967*$B$8/12)</f>
        <v>0</v>
      </c>
      <c r="H967" s="125">
        <f t="shared" ref="H967:H1030" ca="1" si="106">$H$5*G967</f>
        <v>0</v>
      </c>
      <c r="I967" s="125"/>
      <c r="J967" s="125">
        <f t="shared" ca="1" si="102"/>
        <v>0</v>
      </c>
      <c r="K967" s="125">
        <f t="shared" si="103"/>
        <v>0</v>
      </c>
      <c r="L967" s="125">
        <f t="shared" ca="1" si="104"/>
        <v>0</v>
      </c>
      <c r="P967">
        <f t="shared" si="105"/>
        <v>960</v>
      </c>
    </row>
    <row r="968" spans="4:16">
      <c r="D968">
        <v>961</v>
      </c>
      <c r="E968" s="6">
        <f t="shared" ref="E968:E1031" ca="1" si="107">+DATE(YEAR(E967),MONTH(E967)-1,DAY(E967))</f>
        <v>23498</v>
      </c>
      <c r="F968" s="7">
        <f t="shared" ref="F968:F1031" ca="1" si="108">IF(DATE(YEAR($B$6),MONTH($B$6)+1,DAY(1))=E968,1,IF(MONTH(E968)=1,F969*(1+$F$5),F969))</f>
        <v>0</v>
      </c>
      <c r="G968" s="125">
        <f ca="1">IF('Simulador - 1º Pilar'!$E$99="Sí",IF('Aportaciones Poliza'!$B$13&lt;'Aportaciones Poliza'!E968,0,F968*$B$8/12),F968*$B$8/12)</f>
        <v>0</v>
      </c>
      <c r="H968" s="125">
        <f t="shared" ca="1" si="106"/>
        <v>0</v>
      </c>
      <c r="I968" s="125"/>
      <c r="J968" s="125">
        <f t="shared" ref="J968:J1031" ca="1" si="109">(1+$M$5)^(D968/12)*(H968+IF(AND(F968=1,F969=0),$Q$4,0))</f>
        <v>0</v>
      </c>
      <c r="K968" s="125">
        <f t="shared" ref="K968:K1031" si="110">(1+$M$5)^(D968/12)*(I968)</f>
        <v>0</v>
      </c>
      <c r="L968" s="125">
        <f t="shared" ref="L968:L1031" ca="1" si="111">K968+J968</f>
        <v>0</v>
      </c>
      <c r="P968">
        <f t="shared" si="105"/>
        <v>961</v>
      </c>
    </row>
    <row r="969" spans="4:16">
      <c r="D969">
        <v>962</v>
      </c>
      <c r="E969" s="6">
        <f t="shared" ca="1" si="107"/>
        <v>23468</v>
      </c>
      <c r="F969" s="7">
        <f t="shared" ca="1" si="108"/>
        <v>0</v>
      </c>
      <c r="G969" s="125">
        <f ca="1">IF('Simulador - 1º Pilar'!$E$99="Sí",IF('Aportaciones Poliza'!$B$13&lt;'Aportaciones Poliza'!E969,0,F969*$B$8/12),F969*$B$8/12)</f>
        <v>0</v>
      </c>
      <c r="H969" s="125">
        <f t="shared" ca="1" si="106"/>
        <v>0</v>
      </c>
      <c r="I969" s="125"/>
      <c r="J969" s="125">
        <f t="shared" ca="1" si="109"/>
        <v>0</v>
      </c>
      <c r="K969" s="125">
        <f t="shared" si="110"/>
        <v>0</v>
      </c>
      <c r="L969" s="125">
        <f t="shared" ca="1" si="111"/>
        <v>0</v>
      </c>
      <c r="P969">
        <f t="shared" ref="P969:P1032" si="112">D969</f>
        <v>962</v>
      </c>
    </row>
    <row r="970" spans="4:16">
      <c r="D970">
        <v>963</v>
      </c>
      <c r="E970" s="6">
        <f t="shared" ca="1" si="107"/>
        <v>23437</v>
      </c>
      <c r="F970" s="7">
        <f t="shared" ca="1" si="108"/>
        <v>0</v>
      </c>
      <c r="G970" s="125">
        <f ca="1">IF('Simulador - 1º Pilar'!$E$99="Sí",IF('Aportaciones Poliza'!$B$13&lt;'Aportaciones Poliza'!E970,0,F970*$B$8/12),F970*$B$8/12)</f>
        <v>0</v>
      </c>
      <c r="H970" s="125">
        <f t="shared" ca="1" si="106"/>
        <v>0</v>
      </c>
      <c r="I970" s="125"/>
      <c r="J970" s="125">
        <f t="shared" ca="1" si="109"/>
        <v>0</v>
      </c>
      <c r="K970" s="125">
        <f t="shared" si="110"/>
        <v>0</v>
      </c>
      <c r="L970" s="125">
        <f t="shared" ca="1" si="111"/>
        <v>0</v>
      </c>
      <c r="P970">
        <f t="shared" si="112"/>
        <v>963</v>
      </c>
    </row>
    <row r="971" spans="4:16">
      <c r="D971">
        <v>964</v>
      </c>
      <c r="E971" s="6">
        <f t="shared" ca="1" si="107"/>
        <v>23408</v>
      </c>
      <c r="F971" s="7">
        <f t="shared" ca="1" si="108"/>
        <v>0</v>
      </c>
      <c r="G971" s="125">
        <f ca="1">IF('Simulador - 1º Pilar'!$E$99="Sí",IF('Aportaciones Poliza'!$B$13&lt;'Aportaciones Poliza'!E971,0,F971*$B$8/12),F971*$B$8/12)</f>
        <v>0</v>
      </c>
      <c r="H971" s="125">
        <f t="shared" ca="1" si="106"/>
        <v>0</v>
      </c>
      <c r="I971" s="125"/>
      <c r="J971" s="125">
        <f t="shared" ca="1" si="109"/>
        <v>0</v>
      </c>
      <c r="K971" s="125">
        <f t="shared" si="110"/>
        <v>0</v>
      </c>
      <c r="L971" s="125">
        <f t="shared" ca="1" si="111"/>
        <v>0</v>
      </c>
      <c r="P971">
        <f t="shared" si="112"/>
        <v>964</v>
      </c>
    </row>
    <row r="972" spans="4:16">
      <c r="D972">
        <v>965</v>
      </c>
      <c r="E972" s="6">
        <f t="shared" ca="1" si="107"/>
        <v>23377</v>
      </c>
      <c r="F972" s="7">
        <f t="shared" ca="1" si="108"/>
        <v>0</v>
      </c>
      <c r="G972" s="125">
        <f ca="1">IF('Simulador - 1º Pilar'!$E$99="Sí",IF('Aportaciones Poliza'!$B$13&lt;'Aportaciones Poliza'!E972,0,F972*$B$8/12),F972*$B$8/12)</f>
        <v>0</v>
      </c>
      <c r="H972" s="125">
        <f t="shared" ca="1" si="106"/>
        <v>0</v>
      </c>
      <c r="I972" s="125"/>
      <c r="J972" s="125">
        <f t="shared" ca="1" si="109"/>
        <v>0</v>
      </c>
      <c r="K972" s="125">
        <f t="shared" si="110"/>
        <v>0</v>
      </c>
      <c r="L972" s="125">
        <f t="shared" ca="1" si="111"/>
        <v>0</v>
      </c>
      <c r="P972">
        <f t="shared" si="112"/>
        <v>965</v>
      </c>
    </row>
    <row r="973" spans="4:16">
      <c r="D973">
        <v>966</v>
      </c>
      <c r="E973" s="6">
        <f t="shared" ca="1" si="107"/>
        <v>23346</v>
      </c>
      <c r="F973" s="7">
        <f t="shared" ca="1" si="108"/>
        <v>0</v>
      </c>
      <c r="G973" s="125">
        <f ca="1">IF('Simulador - 1º Pilar'!$E$99="Sí",IF('Aportaciones Poliza'!$B$13&lt;'Aportaciones Poliza'!E973,0,F973*$B$8/12),F973*$B$8/12)</f>
        <v>0</v>
      </c>
      <c r="H973" s="125">
        <f t="shared" ca="1" si="106"/>
        <v>0</v>
      </c>
      <c r="I973" s="125"/>
      <c r="J973" s="125">
        <f t="shared" ca="1" si="109"/>
        <v>0</v>
      </c>
      <c r="K973" s="125">
        <f t="shared" si="110"/>
        <v>0</v>
      </c>
      <c r="L973" s="125">
        <f t="shared" ca="1" si="111"/>
        <v>0</v>
      </c>
      <c r="P973">
        <f t="shared" si="112"/>
        <v>966</v>
      </c>
    </row>
    <row r="974" spans="4:16">
      <c r="D974">
        <v>967</v>
      </c>
      <c r="E974" s="6">
        <f t="shared" ca="1" si="107"/>
        <v>23316</v>
      </c>
      <c r="F974" s="7">
        <f t="shared" ca="1" si="108"/>
        <v>0</v>
      </c>
      <c r="G974" s="125">
        <f ca="1">IF('Simulador - 1º Pilar'!$E$99="Sí",IF('Aportaciones Poliza'!$B$13&lt;'Aportaciones Poliza'!E974,0,F974*$B$8/12),F974*$B$8/12)</f>
        <v>0</v>
      </c>
      <c r="H974" s="125">
        <f t="shared" ca="1" si="106"/>
        <v>0</v>
      </c>
      <c r="I974" s="125"/>
      <c r="J974" s="125">
        <f t="shared" ca="1" si="109"/>
        <v>0</v>
      </c>
      <c r="K974" s="125">
        <f t="shared" si="110"/>
        <v>0</v>
      </c>
      <c r="L974" s="125">
        <f t="shared" ca="1" si="111"/>
        <v>0</v>
      </c>
      <c r="P974">
        <f t="shared" si="112"/>
        <v>967</v>
      </c>
    </row>
    <row r="975" spans="4:16">
      <c r="D975">
        <v>968</v>
      </c>
      <c r="E975" s="6">
        <f t="shared" ca="1" si="107"/>
        <v>23285</v>
      </c>
      <c r="F975" s="7">
        <f t="shared" ca="1" si="108"/>
        <v>0</v>
      </c>
      <c r="G975" s="125">
        <f ca="1">IF('Simulador - 1º Pilar'!$E$99="Sí",IF('Aportaciones Poliza'!$B$13&lt;'Aportaciones Poliza'!E975,0,F975*$B$8/12),F975*$B$8/12)</f>
        <v>0</v>
      </c>
      <c r="H975" s="125">
        <f t="shared" ca="1" si="106"/>
        <v>0</v>
      </c>
      <c r="I975" s="125"/>
      <c r="J975" s="125">
        <f t="shared" ca="1" si="109"/>
        <v>0</v>
      </c>
      <c r="K975" s="125">
        <f t="shared" si="110"/>
        <v>0</v>
      </c>
      <c r="L975" s="125">
        <f t="shared" ca="1" si="111"/>
        <v>0</v>
      </c>
      <c r="P975">
        <f t="shared" si="112"/>
        <v>968</v>
      </c>
    </row>
    <row r="976" spans="4:16">
      <c r="D976">
        <v>969</v>
      </c>
      <c r="E976" s="6">
        <f t="shared" ca="1" si="107"/>
        <v>23255</v>
      </c>
      <c r="F976" s="7">
        <f t="shared" ca="1" si="108"/>
        <v>0</v>
      </c>
      <c r="G976" s="125">
        <f ca="1">IF('Simulador - 1º Pilar'!$E$99="Sí",IF('Aportaciones Poliza'!$B$13&lt;'Aportaciones Poliza'!E976,0,F976*$B$8/12),F976*$B$8/12)</f>
        <v>0</v>
      </c>
      <c r="H976" s="125">
        <f t="shared" ca="1" si="106"/>
        <v>0</v>
      </c>
      <c r="I976" s="125"/>
      <c r="J976" s="125">
        <f t="shared" ca="1" si="109"/>
        <v>0</v>
      </c>
      <c r="K976" s="125">
        <f t="shared" si="110"/>
        <v>0</v>
      </c>
      <c r="L976" s="125">
        <f t="shared" ca="1" si="111"/>
        <v>0</v>
      </c>
      <c r="P976">
        <f t="shared" si="112"/>
        <v>969</v>
      </c>
    </row>
    <row r="977" spans="4:16">
      <c r="D977">
        <v>970</v>
      </c>
      <c r="E977" s="6">
        <f t="shared" ca="1" si="107"/>
        <v>23224</v>
      </c>
      <c r="F977" s="7">
        <f t="shared" ca="1" si="108"/>
        <v>0</v>
      </c>
      <c r="G977" s="125">
        <f ca="1">IF('Simulador - 1º Pilar'!$E$99="Sí",IF('Aportaciones Poliza'!$B$13&lt;'Aportaciones Poliza'!E977,0,F977*$B$8/12),F977*$B$8/12)</f>
        <v>0</v>
      </c>
      <c r="H977" s="125">
        <f t="shared" ca="1" si="106"/>
        <v>0</v>
      </c>
      <c r="I977" s="125"/>
      <c r="J977" s="125">
        <f t="shared" ca="1" si="109"/>
        <v>0</v>
      </c>
      <c r="K977" s="125">
        <f t="shared" si="110"/>
        <v>0</v>
      </c>
      <c r="L977" s="125">
        <f t="shared" ca="1" si="111"/>
        <v>0</v>
      </c>
      <c r="P977">
        <f t="shared" si="112"/>
        <v>970</v>
      </c>
    </row>
    <row r="978" spans="4:16">
      <c r="D978">
        <v>971</v>
      </c>
      <c r="E978" s="6">
        <f t="shared" ca="1" si="107"/>
        <v>23193</v>
      </c>
      <c r="F978" s="7">
        <f t="shared" ca="1" si="108"/>
        <v>0</v>
      </c>
      <c r="G978" s="125">
        <f ca="1">IF('Simulador - 1º Pilar'!$E$99="Sí",IF('Aportaciones Poliza'!$B$13&lt;'Aportaciones Poliza'!E978,0,F978*$B$8/12),F978*$B$8/12)</f>
        <v>0</v>
      </c>
      <c r="H978" s="125">
        <f t="shared" ca="1" si="106"/>
        <v>0</v>
      </c>
      <c r="I978" s="125"/>
      <c r="J978" s="125">
        <f t="shared" ca="1" si="109"/>
        <v>0</v>
      </c>
      <c r="K978" s="125">
        <f t="shared" si="110"/>
        <v>0</v>
      </c>
      <c r="L978" s="125">
        <f t="shared" ca="1" si="111"/>
        <v>0</v>
      </c>
      <c r="P978">
        <f t="shared" si="112"/>
        <v>971</v>
      </c>
    </row>
    <row r="979" spans="4:16">
      <c r="D979">
        <v>972</v>
      </c>
      <c r="E979" s="6">
        <f t="shared" ca="1" si="107"/>
        <v>23163</v>
      </c>
      <c r="F979" s="7">
        <f t="shared" ca="1" si="108"/>
        <v>0</v>
      </c>
      <c r="G979" s="125">
        <f ca="1">IF('Simulador - 1º Pilar'!$E$99="Sí",IF('Aportaciones Poliza'!$B$13&lt;'Aportaciones Poliza'!E979,0,F979*$B$8/12),F979*$B$8/12)</f>
        <v>0</v>
      </c>
      <c r="H979" s="125">
        <f t="shared" ca="1" si="106"/>
        <v>0</v>
      </c>
      <c r="I979" s="125"/>
      <c r="J979" s="125">
        <f t="shared" ca="1" si="109"/>
        <v>0</v>
      </c>
      <c r="K979" s="125">
        <f t="shared" si="110"/>
        <v>0</v>
      </c>
      <c r="L979" s="125">
        <f t="shared" ca="1" si="111"/>
        <v>0</v>
      </c>
      <c r="P979">
        <f t="shared" si="112"/>
        <v>972</v>
      </c>
    </row>
    <row r="980" spans="4:16">
      <c r="D980">
        <v>973</v>
      </c>
      <c r="E980" s="6">
        <f t="shared" ca="1" si="107"/>
        <v>23132</v>
      </c>
      <c r="F980" s="7">
        <f t="shared" ca="1" si="108"/>
        <v>0</v>
      </c>
      <c r="G980" s="125">
        <f ca="1">IF('Simulador - 1º Pilar'!$E$99="Sí",IF('Aportaciones Poliza'!$B$13&lt;'Aportaciones Poliza'!E980,0,F980*$B$8/12),F980*$B$8/12)</f>
        <v>0</v>
      </c>
      <c r="H980" s="125">
        <f t="shared" ca="1" si="106"/>
        <v>0</v>
      </c>
      <c r="I980" s="125"/>
      <c r="J980" s="125">
        <f t="shared" ca="1" si="109"/>
        <v>0</v>
      </c>
      <c r="K980" s="125">
        <f t="shared" si="110"/>
        <v>0</v>
      </c>
      <c r="L980" s="125">
        <f t="shared" ca="1" si="111"/>
        <v>0</v>
      </c>
      <c r="P980">
        <f t="shared" si="112"/>
        <v>973</v>
      </c>
    </row>
    <row r="981" spans="4:16">
      <c r="D981">
        <v>974</v>
      </c>
      <c r="E981" s="6">
        <f t="shared" ca="1" si="107"/>
        <v>23102</v>
      </c>
      <c r="F981" s="7">
        <f t="shared" ca="1" si="108"/>
        <v>0</v>
      </c>
      <c r="G981" s="125">
        <f ca="1">IF('Simulador - 1º Pilar'!$E$99="Sí",IF('Aportaciones Poliza'!$B$13&lt;'Aportaciones Poliza'!E981,0,F981*$B$8/12),F981*$B$8/12)</f>
        <v>0</v>
      </c>
      <c r="H981" s="125">
        <f t="shared" ca="1" si="106"/>
        <v>0</v>
      </c>
      <c r="I981" s="125"/>
      <c r="J981" s="125">
        <f t="shared" ca="1" si="109"/>
        <v>0</v>
      </c>
      <c r="K981" s="125">
        <f t="shared" si="110"/>
        <v>0</v>
      </c>
      <c r="L981" s="125">
        <f t="shared" ca="1" si="111"/>
        <v>0</v>
      </c>
      <c r="P981">
        <f t="shared" si="112"/>
        <v>974</v>
      </c>
    </row>
    <row r="982" spans="4:16">
      <c r="D982">
        <v>975</v>
      </c>
      <c r="E982" s="6">
        <f t="shared" ca="1" si="107"/>
        <v>23071</v>
      </c>
      <c r="F982" s="7">
        <f t="shared" ca="1" si="108"/>
        <v>0</v>
      </c>
      <c r="G982" s="125">
        <f ca="1">IF('Simulador - 1º Pilar'!$E$99="Sí",IF('Aportaciones Poliza'!$B$13&lt;'Aportaciones Poliza'!E982,0,F982*$B$8/12),F982*$B$8/12)</f>
        <v>0</v>
      </c>
      <c r="H982" s="125">
        <f t="shared" ca="1" si="106"/>
        <v>0</v>
      </c>
      <c r="I982" s="125"/>
      <c r="J982" s="125">
        <f t="shared" ca="1" si="109"/>
        <v>0</v>
      </c>
      <c r="K982" s="125">
        <f t="shared" si="110"/>
        <v>0</v>
      </c>
      <c r="L982" s="125">
        <f t="shared" ca="1" si="111"/>
        <v>0</v>
      </c>
      <c r="P982">
        <f t="shared" si="112"/>
        <v>975</v>
      </c>
    </row>
    <row r="983" spans="4:16">
      <c r="D983">
        <v>976</v>
      </c>
      <c r="E983" s="6">
        <f t="shared" ca="1" si="107"/>
        <v>23043</v>
      </c>
      <c r="F983" s="7">
        <f t="shared" ca="1" si="108"/>
        <v>0</v>
      </c>
      <c r="G983" s="125">
        <f ca="1">IF('Simulador - 1º Pilar'!$E$99="Sí",IF('Aportaciones Poliza'!$B$13&lt;'Aportaciones Poliza'!E983,0,F983*$B$8/12),F983*$B$8/12)</f>
        <v>0</v>
      </c>
      <c r="H983" s="125">
        <f t="shared" ca="1" si="106"/>
        <v>0</v>
      </c>
      <c r="I983" s="125"/>
      <c r="J983" s="125">
        <f t="shared" ca="1" si="109"/>
        <v>0</v>
      </c>
      <c r="K983" s="125">
        <f t="shared" si="110"/>
        <v>0</v>
      </c>
      <c r="L983" s="125">
        <f t="shared" ca="1" si="111"/>
        <v>0</v>
      </c>
      <c r="P983">
        <f t="shared" si="112"/>
        <v>976</v>
      </c>
    </row>
    <row r="984" spans="4:16">
      <c r="D984">
        <v>977</v>
      </c>
      <c r="E984" s="6">
        <f t="shared" ca="1" si="107"/>
        <v>23012</v>
      </c>
      <c r="F984" s="7">
        <f t="shared" ca="1" si="108"/>
        <v>0</v>
      </c>
      <c r="G984" s="125">
        <f ca="1">IF('Simulador - 1º Pilar'!$E$99="Sí",IF('Aportaciones Poliza'!$B$13&lt;'Aportaciones Poliza'!E984,0,F984*$B$8/12),F984*$B$8/12)</f>
        <v>0</v>
      </c>
      <c r="H984" s="125">
        <f t="shared" ca="1" si="106"/>
        <v>0</v>
      </c>
      <c r="I984" s="125"/>
      <c r="J984" s="125">
        <f t="shared" ca="1" si="109"/>
        <v>0</v>
      </c>
      <c r="K984" s="125">
        <f t="shared" si="110"/>
        <v>0</v>
      </c>
      <c r="L984" s="125">
        <f t="shared" ca="1" si="111"/>
        <v>0</v>
      </c>
      <c r="P984">
        <f t="shared" si="112"/>
        <v>977</v>
      </c>
    </row>
    <row r="985" spans="4:16">
      <c r="D985">
        <v>978</v>
      </c>
      <c r="E985" s="6">
        <f t="shared" ca="1" si="107"/>
        <v>22981</v>
      </c>
      <c r="F985" s="7">
        <f t="shared" ca="1" si="108"/>
        <v>0</v>
      </c>
      <c r="G985" s="125">
        <f ca="1">IF('Simulador - 1º Pilar'!$E$99="Sí",IF('Aportaciones Poliza'!$B$13&lt;'Aportaciones Poliza'!E985,0,F985*$B$8/12),F985*$B$8/12)</f>
        <v>0</v>
      </c>
      <c r="H985" s="125">
        <f t="shared" ca="1" si="106"/>
        <v>0</v>
      </c>
      <c r="I985" s="125"/>
      <c r="J985" s="125">
        <f t="shared" ca="1" si="109"/>
        <v>0</v>
      </c>
      <c r="K985" s="125">
        <f t="shared" si="110"/>
        <v>0</v>
      </c>
      <c r="L985" s="125">
        <f t="shared" ca="1" si="111"/>
        <v>0</v>
      </c>
      <c r="P985">
        <f t="shared" si="112"/>
        <v>978</v>
      </c>
    </row>
    <row r="986" spans="4:16">
      <c r="D986">
        <v>979</v>
      </c>
      <c r="E986" s="6">
        <f t="shared" ca="1" si="107"/>
        <v>22951</v>
      </c>
      <c r="F986" s="7">
        <f t="shared" ca="1" si="108"/>
        <v>0</v>
      </c>
      <c r="G986" s="125">
        <f ca="1">IF('Simulador - 1º Pilar'!$E$99="Sí",IF('Aportaciones Poliza'!$B$13&lt;'Aportaciones Poliza'!E986,0,F986*$B$8/12),F986*$B$8/12)</f>
        <v>0</v>
      </c>
      <c r="H986" s="125">
        <f t="shared" ca="1" si="106"/>
        <v>0</v>
      </c>
      <c r="I986" s="125"/>
      <c r="J986" s="125">
        <f t="shared" ca="1" si="109"/>
        <v>0</v>
      </c>
      <c r="K986" s="125">
        <f t="shared" si="110"/>
        <v>0</v>
      </c>
      <c r="L986" s="125">
        <f t="shared" ca="1" si="111"/>
        <v>0</v>
      </c>
      <c r="P986">
        <f t="shared" si="112"/>
        <v>979</v>
      </c>
    </row>
    <row r="987" spans="4:16">
      <c r="D987">
        <v>980</v>
      </c>
      <c r="E987" s="6">
        <f t="shared" ca="1" si="107"/>
        <v>22920</v>
      </c>
      <c r="F987" s="7">
        <f t="shared" ca="1" si="108"/>
        <v>0</v>
      </c>
      <c r="G987" s="125">
        <f ca="1">IF('Simulador - 1º Pilar'!$E$99="Sí",IF('Aportaciones Poliza'!$B$13&lt;'Aportaciones Poliza'!E987,0,F987*$B$8/12),F987*$B$8/12)</f>
        <v>0</v>
      </c>
      <c r="H987" s="125">
        <f t="shared" ca="1" si="106"/>
        <v>0</v>
      </c>
      <c r="I987" s="125"/>
      <c r="J987" s="125">
        <f t="shared" ca="1" si="109"/>
        <v>0</v>
      </c>
      <c r="K987" s="125">
        <f t="shared" si="110"/>
        <v>0</v>
      </c>
      <c r="L987" s="125">
        <f t="shared" ca="1" si="111"/>
        <v>0</v>
      </c>
      <c r="P987">
        <f t="shared" si="112"/>
        <v>980</v>
      </c>
    </row>
    <row r="988" spans="4:16">
      <c r="D988">
        <v>981</v>
      </c>
      <c r="E988" s="6">
        <f t="shared" ca="1" si="107"/>
        <v>22890</v>
      </c>
      <c r="F988" s="7">
        <f t="shared" ca="1" si="108"/>
        <v>0</v>
      </c>
      <c r="G988" s="125">
        <f ca="1">IF('Simulador - 1º Pilar'!$E$99="Sí",IF('Aportaciones Poliza'!$B$13&lt;'Aportaciones Poliza'!E988,0,F988*$B$8/12),F988*$B$8/12)</f>
        <v>0</v>
      </c>
      <c r="H988" s="125">
        <f t="shared" ca="1" si="106"/>
        <v>0</v>
      </c>
      <c r="I988" s="125"/>
      <c r="J988" s="125">
        <f t="shared" ca="1" si="109"/>
        <v>0</v>
      </c>
      <c r="K988" s="125">
        <f t="shared" si="110"/>
        <v>0</v>
      </c>
      <c r="L988" s="125">
        <f t="shared" ca="1" si="111"/>
        <v>0</v>
      </c>
      <c r="P988">
        <f t="shared" si="112"/>
        <v>981</v>
      </c>
    </row>
    <row r="989" spans="4:16">
      <c r="D989">
        <v>982</v>
      </c>
      <c r="E989" s="6">
        <f t="shared" ca="1" si="107"/>
        <v>22859</v>
      </c>
      <c r="F989" s="7">
        <f t="shared" ca="1" si="108"/>
        <v>0</v>
      </c>
      <c r="G989" s="125">
        <f ca="1">IF('Simulador - 1º Pilar'!$E$99="Sí",IF('Aportaciones Poliza'!$B$13&lt;'Aportaciones Poliza'!E989,0,F989*$B$8/12),F989*$B$8/12)</f>
        <v>0</v>
      </c>
      <c r="H989" s="125">
        <f t="shared" ca="1" si="106"/>
        <v>0</v>
      </c>
      <c r="I989" s="125"/>
      <c r="J989" s="125">
        <f t="shared" ca="1" si="109"/>
        <v>0</v>
      </c>
      <c r="K989" s="125">
        <f t="shared" si="110"/>
        <v>0</v>
      </c>
      <c r="L989" s="125">
        <f t="shared" ca="1" si="111"/>
        <v>0</v>
      </c>
      <c r="P989">
        <f t="shared" si="112"/>
        <v>982</v>
      </c>
    </row>
    <row r="990" spans="4:16">
      <c r="D990">
        <v>983</v>
      </c>
      <c r="E990" s="6">
        <f t="shared" ca="1" si="107"/>
        <v>22828</v>
      </c>
      <c r="F990" s="7">
        <f t="shared" ca="1" si="108"/>
        <v>0</v>
      </c>
      <c r="G990" s="125">
        <f ca="1">IF('Simulador - 1º Pilar'!$E$99="Sí",IF('Aportaciones Poliza'!$B$13&lt;'Aportaciones Poliza'!E990,0,F990*$B$8/12),F990*$B$8/12)</f>
        <v>0</v>
      </c>
      <c r="H990" s="125">
        <f t="shared" ca="1" si="106"/>
        <v>0</v>
      </c>
      <c r="I990" s="125"/>
      <c r="J990" s="125">
        <f t="shared" ca="1" si="109"/>
        <v>0</v>
      </c>
      <c r="K990" s="125">
        <f t="shared" si="110"/>
        <v>0</v>
      </c>
      <c r="L990" s="125">
        <f t="shared" ca="1" si="111"/>
        <v>0</v>
      </c>
      <c r="P990">
        <f t="shared" si="112"/>
        <v>983</v>
      </c>
    </row>
    <row r="991" spans="4:16">
      <c r="D991">
        <v>984</v>
      </c>
      <c r="E991" s="6">
        <f t="shared" ca="1" si="107"/>
        <v>22798</v>
      </c>
      <c r="F991" s="7">
        <f t="shared" ca="1" si="108"/>
        <v>0</v>
      </c>
      <c r="G991" s="125">
        <f ca="1">IF('Simulador - 1º Pilar'!$E$99="Sí",IF('Aportaciones Poliza'!$B$13&lt;'Aportaciones Poliza'!E991,0,F991*$B$8/12),F991*$B$8/12)</f>
        <v>0</v>
      </c>
      <c r="H991" s="125">
        <f t="shared" ca="1" si="106"/>
        <v>0</v>
      </c>
      <c r="I991" s="125"/>
      <c r="J991" s="125">
        <f t="shared" ca="1" si="109"/>
        <v>0</v>
      </c>
      <c r="K991" s="125">
        <f t="shared" si="110"/>
        <v>0</v>
      </c>
      <c r="L991" s="125">
        <f t="shared" ca="1" si="111"/>
        <v>0</v>
      </c>
      <c r="P991">
        <f t="shared" si="112"/>
        <v>984</v>
      </c>
    </row>
    <row r="992" spans="4:16">
      <c r="D992">
        <v>985</v>
      </c>
      <c r="E992" s="6">
        <f t="shared" ca="1" si="107"/>
        <v>22767</v>
      </c>
      <c r="F992" s="7">
        <f t="shared" ca="1" si="108"/>
        <v>0</v>
      </c>
      <c r="G992" s="125">
        <f ca="1">IF('Simulador - 1º Pilar'!$E$99="Sí",IF('Aportaciones Poliza'!$B$13&lt;'Aportaciones Poliza'!E992,0,F992*$B$8/12),F992*$B$8/12)</f>
        <v>0</v>
      </c>
      <c r="H992" s="125">
        <f t="shared" ca="1" si="106"/>
        <v>0</v>
      </c>
      <c r="I992" s="125"/>
      <c r="J992" s="125">
        <f t="shared" ca="1" si="109"/>
        <v>0</v>
      </c>
      <c r="K992" s="125">
        <f t="shared" si="110"/>
        <v>0</v>
      </c>
      <c r="L992" s="125">
        <f t="shared" ca="1" si="111"/>
        <v>0</v>
      </c>
      <c r="P992">
        <f t="shared" si="112"/>
        <v>985</v>
      </c>
    </row>
    <row r="993" spans="4:16">
      <c r="D993">
        <v>986</v>
      </c>
      <c r="E993" s="6">
        <f t="shared" ca="1" si="107"/>
        <v>22737</v>
      </c>
      <c r="F993" s="7">
        <f t="shared" ca="1" si="108"/>
        <v>0</v>
      </c>
      <c r="G993" s="125">
        <f ca="1">IF('Simulador - 1º Pilar'!$E$99="Sí",IF('Aportaciones Poliza'!$B$13&lt;'Aportaciones Poliza'!E993,0,F993*$B$8/12),F993*$B$8/12)</f>
        <v>0</v>
      </c>
      <c r="H993" s="125">
        <f t="shared" ca="1" si="106"/>
        <v>0</v>
      </c>
      <c r="I993" s="125"/>
      <c r="J993" s="125">
        <f t="shared" ca="1" si="109"/>
        <v>0</v>
      </c>
      <c r="K993" s="125">
        <f t="shared" si="110"/>
        <v>0</v>
      </c>
      <c r="L993" s="125">
        <f t="shared" ca="1" si="111"/>
        <v>0</v>
      </c>
      <c r="P993">
        <f t="shared" si="112"/>
        <v>986</v>
      </c>
    </row>
    <row r="994" spans="4:16">
      <c r="D994">
        <v>987</v>
      </c>
      <c r="E994" s="6">
        <f t="shared" ca="1" si="107"/>
        <v>22706</v>
      </c>
      <c r="F994" s="7">
        <f t="shared" ca="1" si="108"/>
        <v>0</v>
      </c>
      <c r="G994" s="125">
        <f ca="1">IF('Simulador - 1º Pilar'!$E$99="Sí",IF('Aportaciones Poliza'!$B$13&lt;'Aportaciones Poliza'!E994,0,F994*$B$8/12),F994*$B$8/12)</f>
        <v>0</v>
      </c>
      <c r="H994" s="125">
        <f t="shared" ca="1" si="106"/>
        <v>0</v>
      </c>
      <c r="I994" s="125"/>
      <c r="J994" s="125">
        <f t="shared" ca="1" si="109"/>
        <v>0</v>
      </c>
      <c r="K994" s="125">
        <f t="shared" si="110"/>
        <v>0</v>
      </c>
      <c r="L994" s="125">
        <f t="shared" ca="1" si="111"/>
        <v>0</v>
      </c>
      <c r="P994">
        <f t="shared" si="112"/>
        <v>987</v>
      </c>
    </row>
    <row r="995" spans="4:16">
      <c r="D995">
        <v>988</v>
      </c>
      <c r="E995" s="6">
        <f t="shared" ca="1" si="107"/>
        <v>22678</v>
      </c>
      <c r="F995" s="7">
        <f t="shared" ca="1" si="108"/>
        <v>0</v>
      </c>
      <c r="G995" s="125">
        <f ca="1">IF('Simulador - 1º Pilar'!$E$99="Sí",IF('Aportaciones Poliza'!$B$13&lt;'Aportaciones Poliza'!E995,0,F995*$B$8/12),F995*$B$8/12)</f>
        <v>0</v>
      </c>
      <c r="H995" s="125">
        <f t="shared" ca="1" si="106"/>
        <v>0</v>
      </c>
      <c r="I995" s="125"/>
      <c r="J995" s="125">
        <f t="shared" ca="1" si="109"/>
        <v>0</v>
      </c>
      <c r="K995" s="125">
        <f t="shared" si="110"/>
        <v>0</v>
      </c>
      <c r="L995" s="125">
        <f t="shared" ca="1" si="111"/>
        <v>0</v>
      </c>
      <c r="P995">
        <f t="shared" si="112"/>
        <v>988</v>
      </c>
    </row>
    <row r="996" spans="4:16">
      <c r="D996">
        <v>989</v>
      </c>
      <c r="E996" s="6">
        <f t="shared" ca="1" si="107"/>
        <v>22647</v>
      </c>
      <c r="F996" s="7">
        <f t="shared" ca="1" si="108"/>
        <v>0</v>
      </c>
      <c r="G996" s="125">
        <f ca="1">IF('Simulador - 1º Pilar'!$E$99="Sí",IF('Aportaciones Poliza'!$B$13&lt;'Aportaciones Poliza'!E996,0,F996*$B$8/12),F996*$B$8/12)</f>
        <v>0</v>
      </c>
      <c r="H996" s="125">
        <f t="shared" ca="1" si="106"/>
        <v>0</v>
      </c>
      <c r="I996" s="125"/>
      <c r="J996" s="125">
        <f t="shared" ca="1" si="109"/>
        <v>0</v>
      </c>
      <c r="K996" s="125">
        <f t="shared" si="110"/>
        <v>0</v>
      </c>
      <c r="L996" s="125">
        <f t="shared" ca="1" si="111"/>
        <v>0</v>
      </c>
      <c r="P996">
        <f t="shared" si="112"/>
        <v>989</v>
      </c>
    </row>
    <row r="997" spans="4:16">
      <c r="D997">
        <v>990</v>
      </c>
      <c r="E997" s="6">
        <f t="shared" ca="1" si="107"/>
        <v>22616</v>
      </c>
      <c r="F997" s="7">
        <f t="shared" ca="1" si="108"/>
        <v>0</v>
      </c>
      <c r="G997" s="125">
        <f ca="1">IF('Simulador - 1º Pilar'!$E$99="Sí",IF('Aportaciones Poliza'!$B$13&lt;'Aportaciones Poliza'!E997,0,F997*$B$8/12),F997*$B$8/12)</f>
        <v>0</v>
      </c>
      <c r="H997" s="125">
        <f t="shared" ca="1" si="106"/>
        <v>0</v>
      </c>
      <c r="I997" s="125"/>
      <c r="J997" s="125">
        <f t="shared" ca="1" si="109"/>
        <v>0</v>
      </c>
      <c r="K997" s="125">
        <f t="shared" si="110"/>
        <v>0</v>
      </c>
      <c r="L997" s="125">
        <f t="shared" ca="1" si="111"/>
        <v>0</v>
      </c>
      <c r="P997">
        <f t="shared" si="112"/>
        <v>990</v>
      </c>
    </row>
    <row r="998" spans="4:16">
      <c r="D998">
        <v>991</v>
      </c>
      <c r="E998" s="6">
        <f t="shared" ca="1" si="107"/>
        <v>22586</v>
      </c>
      <c r="F998" s="7">
        <f t="shared" ca="1" si="108"/>
        <v>0</v>
      </c>
      <c r="G998" s="125">
        <f ca="1">IF('Simulador - 1º Pilar'!$E$99="Sí",IF('Aportaciones Poliza'!$B$13&lt;'Aportaciones Poliza'!E998,0,F998*$B$8/12),F998*$B$8/12)</f>
        <v>0</v>
      </c>
      <c r="H998" s="125">
        <f t="shared" ca="1" si="106"/>
        <v>0</v>
      </c>
      <c r="I998" s="125"/>
      <c r="J998" s="125">
        <f t="shared" ca="1" si="109"/>
        <v>0</v>
      </c>
      <c r="K998" s="125">
        <f t="shared" si="110"/>
        <v>0</v>
      </c>
      <c r="L998" s="125">
        <f t="shared" ca="1" si="111"/>
        <v>0</v>
      </c>
      <c r="P998">
        <f t="shared" si="112"/>
        <v>991</v>
      </c>
    </row>
    <row r="999" spans="4:16">
      <c r="D999">
        <v>992</v>
      </c>
      <c r="E999" s="6">
        <f t="shared" ca="1" si="107"/>
        <v>22555</v>
      </c>
      <c r="F999" s="7">
        <f t="shared" ca="1" si="108"/>
        <v>0</v>
      </c>
      <c r="G999" s="125">
        <f ca="1">IF('Simulador - 1º Pilar'!$E$99="Sí",IF('Aportaciones Poliza'!$B$13&lt;'Aportaciones Poliza'!E999,0,F999*$B$8/12),F999*$B$8/12)</f>
        <v>0</v>
      </c>
      <c r="H999" s="125">
        <f t="shared" ca="1" si="106"/>
        <v>0</v>
      </c>
      <c r="I999" s="125"/>
      <c r="J999" s="125">
        <f t="shared" ca="1" si="109"/>
        <v>0</v>
      </c>
      <c r="K999" s="125">
        <f t="shared" si="110"/>
        <v>0</v>
      </c>
      <c r="L999" s="125">
        <f t="shared" ca="1" si="111"/>
        <v>0</v>
      </c>
      <c r="P999">
        <f t="shared" si="112"/>
        <v>992</v>
      </c>
    </row>
    <row r="1000" spans="4:16">
      <c r="D1000">
        <v>993</v>
      </c>
      <c r="E1000" s="6">
        <f t="shared" ca="1" si="107"/>
        <v>22525</v>
      </c>
      <c r="F1000" s="7">
        <f t="shared" ca="1" si="108"/>
        <v>0</v>
      </c>
      <c r="G1000" s="125">
        <f ca="1">IF('Simulador - 1º Pilar'!$E$99="Sí",IF('Aportaciones Poliza'!$B$13&lt;'Aportaciones Poliza'!E1000,0,F1000*$B$8/12),F1000*$B$8/12)</f>
        <v>0</v>
      </c>
      <c r="H1000" s="125">
        <f t="shared" ca="1" si="106"/>
        <v>0</v>
      </c>
      <c r="I1000" s="125"/>
      <c r="J1000" s="125">
        <f t="shared" ca="1" si="109"/>
        <v>0</v>
      </c>
      <c r="K1000" s="125">
        <f t="shared" si="110"/>
        <v>0</v>
      </c>
      <c r="L1000" s="125">
        <f t="shared" ca="1" si="111"/>
        <v>0</v>
      </c>
      <c r="P1000">
        <f t="shared" si="112"/>
        <v>993</v>
      </c>
    </row>
    <row r="1001" spans="4:16">
      <c r="D1001">
        <v>994</v>
      </c>
      <c r="E1001" s="6">
        <f t="shared" ca="1" si="107"/>
        <v>22494</v>
      </c>
      <c r="F1001" s="7">
        <f t="shared" ca="1" si="108"/>
        <v>0</v>
      </c>
      <c r="G1001" s="125">
        <f ca="1">IF('Simulador - 1º Pilar'!$E$99="Sí",IF('Aportaciones Poliza'!$B$13&lt;'Aportaciones Poliza'!E1001,0,F1001*$B$8/12),F1001*$B$8/12)</f>
        <v>0</v>
      </c>
      <c r="H1001" s="125">
        <f t="shared" ca="1" si="106"/>
        <v>0</v>
      </c>
      <c r="I1001" s="125"/>
      <c r="J1001" s="125">
        <f t="shared" ca="1" si="109"/>
        <v>0</v>
      </c>
      <c r="K1001" s="125">
        <f t="shared" si="110"/>
        <v>0</v>
      </c>
      <c r="L1001" s="125">
        <f t="shared" ca="1" si="111"/>
        <v>0</v>
      </c>
      <c r="P1001">
        <f t="shared" si="112"/>
        <v>994</v>
      </c>
    </row>
    <row r="1002" spans="4:16">
      <c r="D1002">
        <v>995</v>
      </c>
      <c r="E1002" s="6">
        <f t="shared" ca="1" si="107"/>
        <v>22463</v>
      </c>
      <c r="F1002" s="7">
        <f t="shared" ca="1" si="108"/>
        <v>0</v>
      </c>
      <c r="G1002" s="125">
        <f ca="1">IF('Simulador - 1º Pilar'!$E$99="Sí",IF('Aportaciones Poliza'!$B$13&lt;'Aportaciones Poliza'!E1002,0,F1002*$B$8/12),F1002*$B$8/12)</f>
        <v>0</v>
      </c>
      <c r="H1002" s="125">
        <f t="shared" ca="1" si="106"/>
        <v>0</v>
      </c>
      <c r="I1002" s="125"/>
      <c r="J1002" s="125">
        <f t="shared" ca="1" si="109"/>
        <v>0</v>
      </c>
      <c r="K1002" s="125">
        <f t="shared" si="110"/>
        <v>0</v>
      </c>
      <c r="L1002" s="125">
        <f t="shared" ca="1" si="111"/>
        <v>0</v>
      </c>
      <c r="P1002">
        <f t="shared" si="112"/>
        <v>995</v>
      </c>
    </row>
    <row r="1003" spans="4:16">
      <c r="D1003">
        <v>996</v>
      </c>
      <c r="E1003" s="6">
        <f t="shared" ca="1" si="107"/>
        <v>22433</v>
      </c>
      <c r="F1003" s="7">
        <f t="shared" ca="1" si="108"/>
        <v>0</v>
      </c>
      <c r="G1003" s="125">
        <f ca="1">IF('Simulador - 1º Pilar'!$E$99="Sí",IF('Aportaciones Poliza'!$B$13&lt;'Aportaciones Poliza'!E1003,0,F1003*$B$8/12),F1003*$B$8/12)</f>
        <v>0</v>
      </c>
      <c r="H1003" s="125">
        <f t="shared" ca="1" si="106"/>
        <v>0</v>
      </c>
      <c r="I1003" s="125"/>
      <c r="J1003" s="125">
        <f t="shared" ca="1" si="109"/>
        <v>0</v>
      </c>
      <c r="K1003" s="125">
        <f t="shared" si="110"/>
        <v>0</v>
      </c>
      <c r="L1003" s="125">
        <f t="shared" ca="1" si="111"/>
        <v>0</v>
      </c>
      <c r="P1003">
        <f t="shared" si="112"/>
        <v>996</v>
      </c>
    </row>
    <row r="1004" spans="4:16">
      <c r="D1004">
        <v>997</v>
      </c>
      <c r="E1004" s="6">
        <f t="shared" ca="1" si="107"/>
        <v>22402</v>
      </c>
      <c r="F1004" s="7">
        <f t="shared" ca="1" si="108"/>
        <v>0</v>
      </c>
      <c r="G1004" s="125">
        <f ca="1">IF('Simulador - 1º Pilar'!$E$99="Sí",IF('Aportaciones Poliza'!$B$13&lt;'Aportaciones Poliza'!E1004,0,F1004*$B$8/12),F1004*$B$8/12)</f>
        <v>0</v>
      </c>
      <c r="H1004" s="125">
        <f t="shared" ca="1" si="106"/>
        <v>0</v>
      </c>
      <c r="I1004" s="125"/>
      <c r="J1004" s="125">
        <f t="shared" ca="1" si="109"/>
        <v>0</v>
      </c>
      <c r="K1004" s="125">
        <f t="shared" si="110"/>
        <v>0</v>
      </c>
      <c r="L1004" s="125">
        <f t="shared" ca="1" si="111"/>
        <v>0</v>
      </c>
      <c r="P1004">
        <f t="shared" si="112"/>
        <v>997</v>
      </c>
    </row>
    <row r="1005" spans="4:16">
      <c r="D1005">
        <v>998</v>
      </c>
      <c r="E1005" s="6">
        <f t="shared" ca="1" si="107"/>
        <v>22372</v>
      </c>
      <c r="F1005" s="7">
        <f t="shared" ca="1" si="108"/>
        <v>0</v>
      </c>
      <c r="G1005" s="125">
        <f ca="1">IF('Simulador - 1º Pilar'!$E$99="Sí",IF('Aportaciones Poliza'!$B$13&lt;'Aportaciones Poliza'!E1005,0,F1005*$B$8/12),F1005*$B$8/12)</f>
        <v>0</v>
      </c>
      <c r="H1005" s="125">
        <f t="shared" ca="1" si="106"/>
        <v>0</v>
      </c>
      <c r="I1005" s="125"/>
      <c r="J1005" s="125">
        <f t="shared" ca="1" si="109"/>
        <v>0</v>
      </c>
      <c r="K1005" s="125">
        <f t="shared" si="110"/>
        <v>0</v>
      </c>
      <c r="L1005" s="125">
        <f t="shared" ca="1" si="111"/>
        <v>0</v>
      </c>
      <c r="P1005">
        <f t="shared" si="112"/>
        <v>998</v>
      </c>
    </row>
    <row r="1006" spans="4:16">
      <c r="D1006">
        <v>999</v>
      </c>
      <c r="E1006" s="6">
        <f t="shared" ca="1" si="107"/>
        <v>22341</v>
      </c>
      <c r="F1006" s="7">
        <f t="shared" ca="1" si="108"/>
        <v>0</v>
      </c>
      <c r="G1006" s="125">
        <f ca="1">IF('Simulador - 1º Pilar'!$E$99="Sí",IF('Aportaciones Poliza'!$B$13&lt;'Aportaciones Poliza'!E1006,0,F1006*$B$8/12),F1006*$B$8/12)</f>
        <v>0</v>
      </c>
      <c r="H1006" s="125">
        <f t="shared" ca="1" si="106"/>
        <v>0</v>
      </c>
      <c r="I1006" s="125"/>
      <c r="J1006" s="125">
        <f t="shared" ca="1" si="109"/>
        <v>0</v>
      </c>
      <c r="K1006" s="125">
        <f t="shared" si="110"/>
        <v>0</v>
      </c>
      <c r="L1006" s="125">
        <f t="shared" ca="1" si="111"/>
        <v>0</v>
      </c>
      <c r="P1006">
        <f t="shared" si="112"/>
        <v>999</v>
      </c>
    </row>
    <row r="1007" spans="4:16">
      <c r="D1007">
        <v>1000</v>
      </c>
      <c r="E1007" s="6">
        <f t="shared" ca="1" si="107"/>
        <v>22313</v>
      </c>
      <c r="F1007" s="7">
        <f t="shared" ca="1" si="108"/>
        <v>0</v>
      </c>
      <c r="G1007" s="125">
        <f ca="1">IF('Simulador - 1º Pilar'!$E$99="Sí",IF('Aportaciones Poliza'!$B$13&lt;'Aportaciones Poliza'!E1007,0,F1007*$B$8/12),F1007*$B$8/12)</f>
        <v>0</v>
      </c>
      <c r="H1007" s="125">
        <f t="shared" ca="1" si="106"/>
        <v>0</v>
      </c>
      <c r="I1007" s="125"/>
      <c r="J1007" s="125">
        <f t="shared" ca="1" si="109"/>
        <v>0</v>
      </c>
      <c r="K1007" s="125">
        <f t="shared" si="110"/>
        <v>0</v>
      </c>
      <c r="L1007" s="125">
        <f t="shared" ca="1" si="111"/>
        <v>0</v>
      </c>
      <c r="P1007">
        <f t="shared" si="112"/>
        <v>1000</v>
      </c>
    </row>
    <row r="1008" spans="4:16">
      <c r="D1008">
        <v>1001</v>
      </c>
      <c r="E1008" s="6">
        <f t="shared" ca="1" si="107"/>
        <v>22282</v>
      </c>
      <c r="F1008" s="7">
        <f t="shared" ca="1" si="108"/>
        <v>0</v>
      </c>
      <c r="G1008" s="125">
        <f ca="1">IF('Simulador - 1º Pilar'!$E$99="Sí",IF('Aportaciones Poliza'!$B$13&lt;'Aportaciones Poliza'!E1008,0,F1008*$B$8/12),F1008*$B$8/12)</f>
        <v>0</v>
      </c>
      <c r="H1008" s="125">
        <f t="shared" ca="1" si="106"/>
        <v>0</v>
      </c>
      <c r="I1008" s="125"/>
      <c r="J1008" s="125">
        <f t="shared" ca="1" si="109"/>
        <v>0</v>
      </c>
      <c r="K1008" s="125">
        <f t="shared" si="110"/>
        <v>0</v>
      </c>
      <c r="L1008" s="125">
        <f t="shared" ca="1" si="111"/>
        <v>0</v>
      </c>
      <c r="P1008">
        <f t="shared" si="112"/>
        <v>1001</v>
      </c>
    </row>
    <row r="1009" spans="4:16">
      <c r="D1009">
        <v>1002</v>
      </c>
      <c r="E1009" s="6">
        <f t="shared" ca="1" si="107"/>
        <v>22251</v>
      </c>
      <c r="F1009" s="7">
        <f t="shared" ca="1" si="108"/>
        <v>0</v>
      </c>
      <c r="G1009" s="125">
        <f ca="1">IF('Simulador - 1º Pilar'!$E$99="Sí",IF('Aportaciones Poliza'!$B$13&lt;'Aportaciones Poliza'!E1009,0,F1009*$B$8/12),F1009*$B$8/12)</f>
        <v>0</v>
      </c>
      <c r="H1009" s="125">
        <f t="shared" ca="1" si="106"/>
        <v>0</v>
      </c>
      <c r="I1009" s="125"/>
      <c r="J1009" s="125">
        <f t="shared" ca="1" si="109"/>
        <v>0</v>
      </c>
      <c r="K1009" s="125">
        <f t="shared" si="110"/>
        <v>0</v>
      </c>
      <c r="L1009" s="125">
        <f t="shared" ca="1" si="111"/>
        <v>0</v>
      </c>
      <c r="P1009">
        <f t="shared" si="112"/>
        <v>1002</v>
      </c>
    </row>
    <row r="1010" spans="4:16">
      <c r="D1010">
        <v>1003</v>
      </c>
      <c r="E1010" s="6">
        <f t="shared" ca="1" si="107"/>
        <v>22221</v>
      </c>
      <c r="F1010" s="7">
        <f t="shared" ca="1" si="108"/>
        <v>0</v>
      </c>
      <c r="G1010" s="125">
        <f ca="1">IF('Simulador - 1º Pilar'!$E$99="Sí",IF('Aportaciones Poliza'!$B$13&lt;'Aportaciones Poliza'!E1010,0,F1010*$B$8/12),F1010*$B$8/12)</f>
        <v>0</v>
      </c>
      <c r="H1010" s="125">
        <f t="shared" ca="1" si="106"/>
        <v>0</v>
      </c>
      <c r="I1010" s="125"/>
      <c r="J1010" s="125">
        <f t="shared" ca="1" si="109"/>
        <v>0</v>
      </c>
      <c r="K1010" s="125">
        <f t="shared" si="110"/>
        <v>0</v>
      </c>
      <c r="L1010" s="125">
        <f t="shared" ca="1" si="111"/>
        <v>0</v>
      </c>
      <c r="P1010">
        <f t="shared" si="112"/>
        <v>1003</v>
      </c>
    </row>
    <row r="1011" spans="4:16">
      <c r="D1011">
        <v>1004</v>
      </c>
      <c r="E1011" s="6">
        <f t="shared" ca="1" si="107"/>
        <v>22190</v>
      </c>
      <c r="F1011" s="7">
        <f t="shared" ca="1" si="108"/>
        <v>0</v>
      </c>
      <c r="G1011" s="125">
        <f ca="1">IF('Simulador - 1º Pilar'!$E$99="Sí",IF('Aportaciones Poliza'!$B$13&lt;'Aportaciones Poliza'!E1011,0,F1011*$B$8/12),F1011*$B$8/12)</f>
        <v>0</v>
      </c>
      <c r="H1011" s="125">
        <f t="shared" ca="1" si="106"/>
        <v>0</v>
      </c>
      <c r="I1011" s="125"/>
      <c r="J1011" s="125">
        <f t="shared" ca="1" si="109"/>
        <v>0</v>
      </c>
      <c r="K1011" s="125">
        <f t="shared" si="110"/>
        <v>0</v>
      </c>
      <c r="L1011" s="125">
        <f t="shared" ca="1" si="111"/>
        <v>0</v>
      </c>
      <c r="P1011">
        <f t="shared" si="112"/>
        <v>1004</v>
      </c>
    </row>
    <row r="1012" spans="4:16">
      <c r="D1012">
        <v>1005</v>
      </c>
      <c r="E1012" s="6">
        <f t="shared" ca="1" si="107"/>
        <v>22160</v>
      </c>
      <c r="F1012" s="7">
        <f t="shared" ca="1" si="108"/>
        <v>0</v>
      </c>
      <c r="G1012" s="125">
        <f ca="1">IF('Simulador - 1º Pilar'!$E$99="Sí",IF('Aportaciones Poliza'!$B$13&lt;'Aportaciones Poliza'!E1012,0,F1012*$B$8/12),F1012*$B$8/12)</f>
        <v>0</v>
      </c>
      <c r="H1012" s="125">
        <f t="shared" ca="1" si="106"/>
        <v>0</v>
      </c>
      <c r="I1012" s="125"/>
      <c r="J1012" s="125">
        <f t="shared" ca="1" si="109"/>
        <v>0</v>
      </c>
      <c r="K1012" s="125">
        <f t="shared" si="110"/>
        <v>0</v>
      </c>
      <c r="L1012" s="125">
        <f t="shared" ca="1" si="111"/>
        <v>0</v>
      </c>
      <c r="P1012">
        <f t="shared" si="112"/>
        <v>1005</v>
      </c>
    </row>
    <row r="1013" spans="4:16">
      <c r="D1013">
        <v>1006</v>
      </c>
      <c r="E1013" s="6">
        <f t="shared" ca="1" si="107"/>
        <v>22129</v>
      </c>
      <c r="F1013" s="7">
        <f t="shared" ca="1" si="108"/>
        <v>0</v>
      </c>
      <c r="G1013" s="125">
        <f ca="1">IF('Simulador - 1º Pilar'!$E$99="Sí",IF('Aportaciones Poliza'!$B$13&lt;'Aportaciones Poliza'!E1013,0,F1013*$B$8/12),F1013*$B$8/12)</f>
        <v>0</v>
      </c>
      <c r="H1013" s="125">
        <f t="shared" ca="1" si="106"/>
        <v>0</v>
      </c>
      <c r="I1013" s="125"/>
      <c r="J1013" s="125">
        <f t="shared" ca="1" si="109"/>
        <v>0</v>
      </c>
      <c r="K1013" s="125">
        <f t="shared" si="110"/>
        <v>0</v>
      </c>
      <c r="L1013" s="125">
        <f t="shared" ca="1" si="111"/>
        <v>0</v>
      </c>
      <c r="P1013">
        <f t="shared" si="112"/>
        <v>1006</v>
      </c>
    </row>
    <row r="1014" spans="4:16">
      <c r="D1014">
        <v>1007</v>
      </c>
      <c r="E1014" s="6">
        <f t="shared" ca="1" si="107"/>
        <v>22098</v>
      </c>
      <c r="F1014" s="7">
        <f t="shared" ca="1" si="108"/>
        <v>0</v>
      </c>
      <c r="G1014" s="125">
        <f ca="1">IF('Simulador - 1º Pilar'!$E$99="Sí",IF('Aportaciones Poliza'!$B$13&lt;'Aportaciones Poliza'!E1014,0,F1014*$B$8/12),F1014*$B$8/12)</f>
        <v>0</v>
      </c>
      <c r="H1014" s="125">
        <f t="shared" ca="1" si="106"/>
        <v>0</v>
      </c>
      <c r="I1014" s="125"/>
      <c r="J1014" s="125">
        <f t="shared" ca="1" si="109"/>
        <v>0</v>
      </c>
      <c r="K1014" s="125">
        <f t="shared" si="110"/>
        <v>0</v>
      </c>
      <c r="L1014" s="125">
        <f t="shared" ca="1" si="111"/>
        <v>0</v>
      </c>
      <c r="P1014">
        <f t="shared" si="112"/>
        <v>1007</v>
      </c>
    </row>
    <row r="1015" spans="4:16">
      <c r="D1015">
        <v>1008</v>
      </c>
      <c r="E1015" s="6">
        <f t="shared" ca="1" si="107"/>
        <v>22068</v>
      </c>
      <c r="F1015" s="7">
        <f t="shared" ca="1" si="108"/>
        <v>0</v>
      </c>
      <c r="G1015" s="125">
        <f ca="1">IF('Simulador - 1º Pilar'!$E$99="Sí",IF('Aportaciones Poliza'!$B$13&lt;'Aportaciones Poliza'!E1015,0,F1015*$B$8/12),F1015*$B$8/12)</f>
        <v>0</v>
      </c>
      <c r="H1015" s="125">
        <f t="shared" ca="1" si="106"/>
        <v>0</v>
      </c>
      <c r="I1015" s="125"/>
      <c r="J1015" s="125">
        <f t="shared" ca="1" si="109"/>
        <v>0</v>
      </c>
      <c r="K1015" s="125">
        <f t="shared" si="110"/>
        <v>0</v>
      </c>
      <c r="L1015" s="125">
        <f t="shared" ca="1" si="111"/>
        <v>0</v>
      </c>
      <c r="P1015">
        <f t="shared" si="112"/>
        <v>1008</v>
      </c>
    </row>
    <row r="1016" spans="4:16">
      <c r="D1016">
        <v>1009</v>
      </c>
      <c r="E1016" s="6">
        <f t="shared" ca="1" si="107"/>
        <v>22037</v>
      </c>
      <c r="F1016" s="7">
        <f t="shared" ca="1" si="108"/>
        <v>0</v>
      </c>
      <c r="G1016" s="125">
        <f ca="1">IF('Simulador - 1º Pilar'!$E$99="Sí",IF('Aportaciones Poliza'!$B$13&lt;'Aportaciones Poliza'!E1016,0,F1016*$B$8/12),F1016*$B$8/12)</f>
        <v>0</v>
      </c>
      <c r="H1016" s="125">
        <f t="shared" ca="1" si="106"/>
        <v>0</v>
      </c>
      <c r="I1016" s="125"/>
      <c r="J1016" s="125">
        <f t="shared" ca="1" si="109"/>
        <v>0</v>
      </c>
      <c r="K1016" s="125">
        <f t="shared" si="110"/>
        <v>0</v>
      </c>
      <c r="L1016" s="125">
        <f t="shared" ca="1" si="111"/>
        <v>0</v>
      </c>
      <c r="P1016">
        <f t="shared" si="112"/>
        <v>1009</v>
      </c>
    </row>
    <row r="1017" spans="4:16">
      <c r="D1017">
        <v>1010</v>
      </c>
      <c r="E1017" s="6">
        <f t="shared" ca="1" si="107"/>
        <v>22007</v>
      </c>
      <c r="F1017" s="7">
        <f t="shared" ca="1" si="108"/>
        <v>0</v>
      </c>
      <c r="G1017" s="125">
        <f ca="1">IF('Simulador - 1º Pilar'!$E$99="Sí",IF('Aportaciones Poliza'!$B$13&lt;'Aportaciones Poliza'!E1017,0,F1017*$B$8/12),F1017*$B$8/12)</f>
        <v>0</v>
      </c>
      <c r="H1017" s="125">
        <f t="shared" ca="1" si="106"/>
        <v>0</v>
      </c>
      <c r="I1017" s="125"/>
      <c r="J1017" s="125">
        <f t="shared" ca="1" si="109"/>
        <v>0</v>
      </c>
      <c r="K1017" s="125">
        <f t="shared" si="110"/>
        <v>0</v>
      </c>
      <c r="L1017" s="125">
        <f t="shared" ca="1" si="111"/>
        <v>0</v>
      </c>
      <c r="P1017">
        <f t="shared" si="112"/>
        <v>1010</v>
      </c>
    </row>
    <row r="1018" spans="4:16">
      <c r="D1018">
        <v>1011</v>
      </c>
      <c r="E1018" s="6">
        <f t="shared" ca="1" si="107"/>
        <v>21976</v>
      </c>
      <c r="F1018" s="7">
        <f t="shared" ca="1" si="108"/>
        <v>0</v>
      </c>
      <c r="G1018" s="125">
        <f ca="1">IF('Simulador - 1º Pilar'!$E$99="Sí",IF('Aportaciones Poliza'!$B$13&lt;'Aportaciones Poliza'!E1018,0,F1018*$B$8/12),F1018*$B$8/12)</f>
        <v>0</v>
      </c>
      <c r="H1018" s="125">
        <f t="shared" ca="1" si="106"/>
        <v>0</v>
      </c>
      <c r="I1018" s="125"/>
      <c r="J1018" s="125">
        <f t="shared" ca="1" si="109"/>
        <v>0</v>
      </c>
      <c r="K1018" s="125">
        <f t="shared" si="110"/>
        <v>0</v>
      </c>
      <c r="L1018" s="125">
        <f t="shared" ca="1" si="111"/>
        <v>0</v>
      </c>
      <c r="P1018">
        <f t="shared" si="112"/>
        <v>1011</v>
      </c>
    </row>
    <row r="1019" spans="4:16">
      <c r="D1019">
        <v>1012</v>
      </c>
      <c r="E1019" s="6">
        <f t="shared" ca="1" si="107"/>
        <v>21947</v>
      </c>
      <c r="F1019" s="7">
        <f t="shared" ca="1" si="108"/>
        <v>0</v>
      </c>
      <c r="G1019" s="125">
        <f ca="1">IF('Simulador - 1º Pilar'!$E$99="Sí",IF('Aportaciones Poliza'!$B$13&lt;'Aportaciones Poliza'!E1019,0,F1019*$B$8/12),F1019*$B$8/12)</f>
        <v>0</v>
      </c>
      <c r="H1019" s="125">
        <f t="shared" ca="1" si="106"/>
        <v>0</v>
      </c>
      <c r="I1019" s="125"/>
      <c r="J1019" s="125">
        <f t="shared" ca="1" si="109"/>
        <v>0</v>
      </c>
      <c r="K1019" s="125">
        <f t="shared" si="110"/>
        <v>0</v>
      </c>
      <c r="L1019" s="125">
        <f t="shared" ca="1" si="111"/>
        <v>0</v>
      </c>
      <c r="P1019">
        <f t="shared" si="112"/>
        <v>1012</v>
      </c>
    </row>
    <row r="1020" spans="4:16">
      <c r="D1020">
        <v>1013</v>
      </c>
      <c r="E1020" s="6">
        <f t="shared" ca="1" si="107"/>
        <v>21916</v>
      </c>
      <c r="F1020" s="7">
        <f t="shared" ca="1" si="108"/>
        <v>0</v>
      </c>
      <c r="G1020" s="125">
        <f ca="1">IF('Simulador - 1º Pilar'!$E$99="Sí",IF('Aportaciones Poliza'!$B$13&lt;'Aportaciones Poliza'!E1020,0,F1020*$B$8/12),F1020*$B$8/12)</f>
        <v>0</v>
      </c>
      <c r="H1020" s="125">
        <f t="shared" ca="1" si="106"/>
        <v>0</v>
      </c>
      <c r="I1020" s="125"/>
      <c r="J1020" s="125">
        <f t="shared" ca="1" si="109"/>
        <v>0</v>
      </c>
      <c r="K1020" s="125">
        <f t="shared" si="110"/>
        <v>0</v>
      </c>
      <c r="L1020" s="125">
        <f t="shared" ca="1" si="111"/>
        <v>0</v>
      </c>
      <c r="P1020">
        <f t="shared" si="112"/>
        <v>1013</v>
      </c>
    </row>
    <row r="1021" spans="4:16">
      <c r="D1021">
        <v>1014</v>
      </c>
      <c r="E1021" s="6">
        <f t="shared" ca="1" si="107"/>
        <v>21885</v>
      </c>
      <c r="F1021" s="7">
        <f t="shared" ca="1" si="108"/>
        <v>0</v>
      </c>
      <c r="G1021" s="125">
        <f ca="1">IF('Simulador - 1º Pilar'!$E$99="Sí",IF('Aportaciones Poliza'!$B$13&lt;'Aportaciones Poliza'!E1021,0,F1021*$B$8/12),F1021*$B$8/12)</f>
        <v>0</v>
      </c>
      <c r="H1021" s="125">
        <f t="shared" ca="1" si="106"/>
        <v>0</v>
      </c>
      <c r="I1021" s="125"/>
      <c r="J1021" s="125">
        <f t="shared" ca="1" si="109"/>
        <v>0</v>
      </c>
      <c r="K1021" s="125">
        <f t="shared" si="110"/>
        <v>0</v>
      </c>
      <c r="L1021" s="125">
        <f t="shared" ca="1" si="111"/>
        <v>0</v>
      </c>
      <c r="P1021">
        <f t="shared" si="112"/>
        <v>1014</v>
      </c>
    </row>
    <row r="1022" spans="4:16">
      <c r="D1022">
        <v>1015</v>
      </c>
      <c r="E1022" s="6">
        <f t="shared" ca="1" si="107"/>
        <v>21855</v>
      </c>
      <c r="F1022" s="7">
        <f t="shared" ca="1" si="108"/>
        <v>0</v>
      </c>
      <c r="G1022" s="125">
        <f ca="1">IF('Simulador - 1º Pilar'!$E$99="Sí",IF('Aportaciones Poliza'!$B$13&lt;'Aportaciones Poliza'!E1022,0,F1022*$B$8/12),F1022*$B$8/12)</f>
        <v>0</v>
      </c>
      <c r="H1022" s="125">
        <f t="shared" ca="1" si="106"/>
        <v>0</v>
      </c>
      <c r="I1022" s="125"/>
      <c r="J1022" s="125">
        <f t="shared" ca="1" si="109"/>
        <v>0</v>
      </c>
      <c r="K1022" s="125">
        <f t="shared" si="110"/>
        <v>0</v>
      </c>
      <c r="L1022" s="125">
        <f t="shared" ca="1" si="111"/>
        <v>0</v>
      </c>
      <c r="P1022">
        <f t="shared" si="112"/>
        <v>1015</v>
      </c>
    </row>
    <row r="1023" spans="4:16">
      <c r="D1023">
        <v>1016</v>
      </c>
      <c r="E1023" s="6">
        <f t="shared" ca="1" si="107"/>
        <v>21824</v>
      </c>
      <c r="F1023" s="7">
        <f t="shared" ca="1" si="108"/>
        <v>0</v>
      </c>
      <c r="G1023" s="125">
        <f ca="1">IF('Simulador - 1º Pilar'!$E$99="Sí",IF('Aportaciones Poliza'!$B$13&lt;'Aportaciones Poliza'!E1023,0,F1023*$B$8/12),F1023*$B$8/12)</f>
        <v>0</v>
      </c>
      <c r="H1023" s="125">
        <f t="shared" ca="1" si="106"/>
        <v>0</v>
      </c>
      <c r="I1023" s="125"/>
      <c r="J1023" s="125">
        <f t="shared" ca="1" si="109"/>
        <v>0</v>
      </c>
      <c r="K1023" s="125">
        <f t="shared" si="110"/>
        <v>0</v>
      </c>
      <c r="L1023" s="125">
        <f t="shared" ca="1" si="111"/>
        <v>0</v>
      </c>
      <c r="P1023">
        <f t="shared" si="112"/>
        <v>1016</v>
      </c>
    </row>
    <row r="1024" spans="4:16">
      <c r="D1024">
        <v>1017</v>
      </c>
      <c r="E1024" s="6">
        <f t="shared" ca="1" si="107"/>
        <v>21794</v>
      </c>
      <c r="F1024" s="7">
        <f t="shared" ca="1" si="108"/>
        <v>0</v>
      </c>
      <c r="G1024" s="125">
        <f ca="1">IF('Simulador - 1º Pilar'!$E$99="Sí",IF('Aportaciones Poliza'!$B$13&lt;'Aportaciones Poliza'!E1024,0,F1024*$B$8/12),F1024*$B$8/12)</f>
        <v>0</v>
      </c>
      <c r="H1024" s="125">
        <f t="shared" ca="1" si="106"/>
        <v>0</v>
      </c>
      <c r="I1024" s="125"/>
      <c r="J1024" s="125">
        <f t="shared" ca="1" si="109"/>
        <v>0</v>
      </c>
      <c r="K1024" s="125">
        <f t="shared" si="110"/>
        <v>0</v>
      </c>
      <c r="L1024" s="125">
        <f t="shared" ca="1" si="111"/>
        <v>0</v>
      </c>
      <c r="P1024">
        <f t="shared" si="112"/>
        <v>1017</v>
      </c>
    </row>
    <row r="1025" spans="4:16">
      <c r="D1025">
        <v>1018</v>
      </c>
      <c r="E1025" s="6">
        <f t="shared" ca="1" si="107"/>
        <v>21763</v>
      </c>
      <c r="F1025" s="7">
        <f t="shared" ca="1" si="108"/>
        <v>0</v>
      </c>
      <c r="G1025" s="125">
        <f ca="1">IF('Simulador - 1º Pilar'!$E$99="Sí",IF('Aportaciones Poliza'!$B$13&lt;'Aportaciones Poliza'!E1025,0,F1025*$B$8/12),F1025*$B$8/12)</f>
        <v>0</v>
      </c>
      <c r="H1025" s="125">
        <f t="shared" ca="1" si="106"/>
        <v>0</v>
      </c>
      <c r="I1025" s="125"/>
      <c r="J1025" s="125">
        <f t="shared" ca="1" si="109"/>
        <v>0</v>
      </c>
      <c r="K1025" s="125">
        <f t="shared" si="110"/>
        <v>0</v>
      </c>
      <c r="L1025" s="125">
        <f t="shared" ca="1" si="111"/>
        <v>0</v>
      </c>
      <c r="P1025">
        <f t="shared" si="112"/>
        <v>1018</v>
      </c>
    </row>
    <row r="1026" spans="4:16">
      <c r="D1026">
        <v>1019</v>
      </c>
      <c r="E1026" s="6">
        <f t="shared" ca="1" si="107"/>
        <v>21732</v>
      </c>
      <c r="F1026" s="7">
        <f t="shared" ca="1" si="108"/>
        <v>0</v>
      </c>
      <c r="G1026" s="125">
        <f ca="1">IF('Simulador - 1º Pilar'!$E$99="Sí",IF('Aportaciones Poliza'!$B$13&lt;'Aportaciones Poliza'!E1026,0,F1026*$B$8/12),F1026*$B$8/12)</f>
        <v>0</v>
      </c>
      <c r="H1026" s="125">
        <f t="shared" ca="1" si="106"/>
        <v>0</v>
      </c>
      <c r="I1026" s="125"/>
      <c r="J1026" s="125">
        <f t="shared" ca="1" si="109"/>
        <v>0</v>
      </c>
      <c r="K1026" s="125">
        <f t="shared" si="110"/>
        <v>0</v>
      </c>
      <c r="L1026" s="125">
        <f t="shared" ca="1" si="111"/>
        <v>0</v>
      </c>
      <c r="P1026">
        <f t="shared" si="112"/>
        <v>1019</v>
      </c>
    </row>
    <row r="1027" spans="4:16">
      <c r="D1027">
        <v>1020</v>
      </c>
      <c r="E1027" s="6">
        <f t="shared" ca="1" si="107"/>
        <v>21702</v>
      </c>
      <c r="F1027" s="7">
        <f t="shared" ca="1" si="108"/>
        <v>0</v>
      </c>
      <c r="G1027" s="125">
        <f ca="1">IF('Simulador - 1º Pilar'!$E$99="Sí",IF('Aportaciones Poliza'!$B$13&lt;'Aportaciones Poliza'!E1027,0,F1027*$B$8/12),F1027*$B$8/12)</f>
        <v>0</v>
      </c>
      <c r="H1027" s="125">
        <f t="shared" ca="1" si="106"/>
        <v>0</v>
      </c>
      <c r="I1027" s="125"/>
      <c r="J1027" s="125">
        <f t="shared" ca="1" si="109"/>
        <v>0</v>
      </c>
      <c r="K1027" s="125">
        <f t="shared" si="110"/>
        <v>0</v>
      </c>
      <c r="L1027" s="125">
        <f t="shared" ca="1" si="111"/>
        <v>0</v>
      </c>
      <c r="P1027">
        <f t="shared" si="112"/>
        <v>1020</v>
      </c>
    </row>
    <row r="1028" spans="4:16">
      <c r="D1028">
        <v>1021</v>
      </c>
      <c r="E1028" s="6">
        <f t="shared" ca="1" si="107"/>
        <v>21671</v>
      </c>
      <c r="F1028" s="7">
        <f t="shared" ca="1" si="108"/>
        <v>0</v>
      </c>
      <c r="G1028" s="125">
        <f ca="1">IF('Simulador - 1º Pilar'!$E$99="Sí",IF('Aportaciones Poliza'!$B$13&lt;'Aportaciones Poliza'!E1028,0,F1028*$B$8/12),F1028*$B$8/12)</f>
        <v>0</v>
      </c>
      <c r="H1028" s="125">
        <f t="shared" ca="1" si="106"/>
        <v>0</v>
      </c>
      <c r="I1028" s="125"/>
      <c r="J1028" s="125">
        <f t="shared" ca="1" si="109"/>
        <v>0</v>
      </c>
      <c r="K1028" s="125">
        <f t="shared" si="110"/>
        <v>0</v>
      </c>
      <c r="L1028" s="125">
        <f t="shared" ca="1" si="111"/>
        <v>0</v>
      </c>
      <c r="P1028">
        <f t="shared" si="112"/>
        <v>1021</v>
      </c>
    </row>
    <row r="1029" spans="4:16">
      <c r="D1029">
        <v>1022</v>
      </c>
      <c r="E1029" s="6">
        <f t="shared" ca="1" si="107"/>
        <v>21641</v>
      </c>
      <c r="F1029" s="7">
        <f t="shared" ca="1" si="108"/>
        <v>0</v>
      </c>
      <c r="G1029" s="125">
        <f ca="1">IF('Simulador - 1º Pilar'!$E$99="Sí",IF('Aportaciones Poliza'!$B$13&lt;'Aportaciones Poliza'!E1029,0,F1029*$B$8/12),F1029*$B$8/12)</f>
        <v>0</v>
      </c>
      <c r="H1029" s="125">
        <f t="shared" ca="1" si="106"/>
        <v>0</v>
      </c>
      <c r="I1029" s="125"/>
      <c r="J1029" s="125">
        <f t="shared" ca="1" si="109"/>
        <v>0</v>
      </c>
      <c r="K1029" s="125">
        <f t="shared" si="110"/>
        <v>0</v>
      </c>
      <c r="L1029" s="125">
        <f t="shared" ca="1" si="111"/>
        <v>0</v>
      </c>
      <c r="P1029">
        <f t="shared" si="112"/>
        <v>1022</v>
      </c>
    </row>
    <row r="1030" spans="4:16">
      <c r="D1030">
        <v>1023</v>
      </c>
      <c r="E1030" s="6">
        <f t="shared" ca="1" si="107"/>
        <v>21610</v>
      </c>
      <c r="F1030" s="7">
        <f t="shared" ca="1" si="108"/>
        <v>0</v>
      </c>
      <c r="G1030" s="125">
        <f ca="1">IF('Simulador - 1º Pilar'!$E$99="Sí",IF('Aportaciones Poliza'!$B$13&lt;'Aportaciones Poliza'!E1030,0,F1030*$B$8/12),F1030*$B$8/12)</f>
        <v>0</v>
      </c>
      <c r="H1030" s="125">
        <f t="shared" ca="1" si="106"/>
        <v>0</v>
      </c>
      <c r="I1030" s="125"/>
      <c r="J1030" s="125">
        <f t="shared" ca="1" si="109"/>
        <v>0</v>
      </c>
      <c r="K1030" s="125">
        <f t="shared" si="110"/>
        <v>0</v>
      </c>
      <c r="L1030" s="125">
        <f t="shared" ca="1" si="111"/>
        <v>0</v>
      </c>
      <c r="P1030">
        <f t="shared" si="112"/>
        <v>1023</v>
      </c>
    </row>
    <row r="1031" spans="4:16">
      <c r="D1031">
        <v>1024</v>
      </c>
      <c r="E1031" s="6">
        <f t="shared" ca="1" si="107"/>
        <v>21582</v>
      </c>
      <c r="F1031" s="7">
        <f t="shared" ca="1" si="108"/>
        <v>0</v>
      </c>
      <c r="G1031" s="125">
        <f ca="1">IF('Simulador - 1º Pilar'!$E$99="Sí",IF('Aportaciones Poliza'!$B$13&lt;'Aportaciones Poliza'!E1031,0,F1031*$B$8/12),F1031*$B$8/12)</f>
        <v>0</v>
      </c>
      <c r="H1031" s="125">
        <f t="shared" ref="H1031:H1066" ca="1" si="113">$H$5*G1031</f>
        <v>0</v>
      </c>
      <c r="I1031" s="125"/>
      <c r="J1031" s="125">
        <f t="shared" ca="1" si="109"/>
        <v>0</v>
      </c>
      <c r="K1031" s="125">
        <f t="shared" si="110"/>
        <v>0</v>
      </c>
      <c r="L1031" s="125">
        <f t="shared" ca="1" si="111"/>
        <v>0</v>
      </c>
      <c r="P1031">
        <f t="shared" si="112"/>
        <v>1024</v>
      </c>
    </row>
    <row r="1032" spans="4:16">
      <c r="D1032">
        <v>1025</v>
      </c>
      <c r="E1032" s="6">
        <f t="shared" ref="E1032:E1066" ca="1" si="114">+DATE(YEAR(E1031),MONTH(E1031)-1,DAY(E1031))</f>
        <v>21551</v>
      </c>
      <c r="F1032" s="7">
        <f t="shared" ref="F1032:F1066" ca="1" si="115">IF(DATE(YEAR($B$6),MONTH($B$6)+1,DAY(1))=E1032,1,IF(MONTH(E1032)=1,F1033*(1+$F$5),F1033))</f>
        <v>0</v>
      </c>
      <c r="G1032" s="125">
        <f ca="1">IF('Simulador - 1º Pilar'!$E$99="Sí",IF('Aportaciones Poliza'!$B$13&lt;'Aportaciones Poliza'!E1032,0,F1032*$B$8/12),F1032*$B$8/12)</f>
        <v>0</v>
      </c>
      <c r="H1032" s="125">
        <f t="shared" ca="1" si="113"/>
        <v>0</v>
      </c>
      <c r="I1032" s="125"/>
      <c r="J1032" s="125">
        <f t="shared" ref="J1032:J1066" ca="1" si="116">(1+$M$5)^(D1032/12)*(H1032+IF(AND(F1032=1,F1033=0),$Q$4,0))</f>
        <v>0</v>
      </c>
      <c r="K1032" s="125">
        <f t="shared" ref="K1032:K1066" si="117">(1+$M$5)^(D1032/12)*(I1032)</f>
        <v>0</v>
      </c>
      <c r="L1032" s="125">
        <f t="shared" ref="L1032:L1066" ca="1" si="118">K1032+J1032</f>
        <v>0</v>
      </c>
      <c r="P1032">
        <f t="shared" si="112"/>
        <v>1025</v>
      </c>
    </row>
    <row r="1033" spans="4:16">
      <c r="D1033">
        <v>1026</v>
      </c>
      <c r="E1033" s="6">
        <f t="shared" ca="1" si="114"/>
        <v>21520</v>
      </c>
      <c r="F1033" s="7">
        <f t="shared" ca="1" si="115"/>
        <v>0</v>
      </c>
      <c r="G1033" s="125">
        <f ca="1">IF('Simulador - 1º Pilar'!$E$99="Sí",IF('Aportaciones Poliza'!$B$13&lt;'Aportaciones Poliza'!E1033,0,F1033*$B$8/12),F1033*$B$8/12)</f>
        <v>0</v>
      </c>
      <c r="H1033" s="125">
        <f t="shared" ca="1" si="113"/>
        <v>0</v>
      </c>
      <c r="I1033" s="125"/>
      <c r="J1033" s="125">
        <f t="shared" ca="1" si="116"/>
        <v>0</v>
      </c>
      <c r="K1033" s="125">
        <f t="shared" si="117"/>
        <v>0</v>
      </c>
      <c r="L1033" s="125">
        <f t="shared" ca="1" si="118"/>
        <v>0</v>
      </c>
      <c r="P1033">
        <f t="shared" ref="P1033:P1066" si="119">D1033</f>
        <v>1026</v>
      </c>
    </row>
    <row r="1034" spans="4:16">
      <c r="D1034">
        <v>1027</v>
      </c>
      <c r="E1034" s="6">
        <f t="shared" ca="1" si="114"/>
        <v>21490</v>
      </c>
      <c r="F1034" s="7">
        <f t="shared" ca="1" si="115"/>
        <v>0</v>
      </c>
      <c r="G1034" s="125">
        <f ca="1">IF('Simulador - 1º Pilar'!$E$99="Sí",IF('Aportaciones Poliza'!$B$13&lt;'Aportaciones Poliza'!E1034,0,F1034*$B$8/12),F1034*$B$8/12)</f>
        <v>0</v>
      </c>
      <c r="H1034" s="125">
        <f t="shared" ca="1" si="113"/>
        <v>0</v>
      </c>
      <c r="I1034" s="125"/>
      <c r="J1034" s="125">
        <f t="shared" ca="1" si="116"/>
        <v>0</v>
      </c>
      <c r="K1034" s="125">
        <f t="shared" si="117"/>
        <v>0</v>
      </c>
      <c r="L1034" s="125">
        <f t="shared" ca="1" si="118"/>
        <v>0</v>
      </c>
      <c r="P1034">
        <f t="shared" si="119"/>
        <v>1027</v>
      </c>
    </row>
    <row r="1035" spans="4:16">
      <c r="D1035">
        <v>1028</v>
      </c>
      <c r="E1035" s="6">
        <f t="shared" ca="1" si="114"/>
        <v>21459</v>
      </c>
      <c r="F1035" s="7">
        <f t="shared" ca="1" si="115"/>
        <v>0</v>
      </c>
      <c r="G1035" s="125">
        <f ca="1">IF('Simulador - 1º Pilar'!$E$99="Sí",IF('Aportaciones Poliza'!$B$13&lt;'Aportaciones Poliza'!E1035,0,F1035*$B$8/12),F1035*$B$8/12)</f>
        <v>0</v>
      </c>
      <c r="H1035" s="125">
        <f t="shared" ca="1" si="113"/>
        <v>0</v>
      </c>
      <c r="I1035" s="125"/>
      <c r="J1035" s="125">
        <f t="shared" ca="1" si="116"/>
        <v>0</v>
      </c>
      <c r="K1035" s="125">
        <f t="shared" si="117"/>
        <v>0</v>
      </c>
      <c r="L1035" s="125">
        <f t="shared" ca="1" si="118"/>
        <v>0</v>
      </c>
      <c r="P1035">
        <f t="shared" si="119"/>
        <v>1028</v>
      </c>
    </row>
    <row r="1036" spans="4:16">
      <c r="D1036">
        <v>1029</v>
      </c>
      <c r="E1036" s="6">
        <f t="shared" ca="1" si="114"/>
        <v>21429</v>
      </c>
      <c r="F1036" s="7">
        <f t="shared" ca="1" si="115"/>
        <v>0</v>
      </c>
      <c r="G1036" s="125">
        <f ca="1">IF('Simulador - 1º Pilar'!$E$99="Sí",IF('Aportaciones Poliza'!$B$13&lt;'Aportaciones Poliza'!E1036,0,F1036*$B$8/12),F1036*$B$8/12)</f>
        <v>0</v>
      </c>
      <c r="H1036" s="125">
        <f t="shared" ca="1" si="113"/>
        <v>0</v>
      </c>
      <c r="I1036" s="125"/>
      <c r="J1036" s="125">
        <f t="shared" ca="1" si="116"/>
        <v>0</v>
      </c>
      <c r="K1036" s="125">
        <f t="shared" si="117"/>
        <v>0</v>
      </c>
      <c r="L1036" s="125">
        <f t="shared" ca="1" si="118"/>
        <v>0</v>
      </c>
      <c r="P1036">
        <f t="shared" si="119"/>
        <v>1029</v>
      </c>
    </row>
    <row r="1037" spans="4:16">
      <c r="D1037">
        <v>1030</v>
      </c>
      <c r="E1037" s="6">
        <f t="shared" ca="1" si="114"/>
        <v>21398</v>
      </c>
      <c r="F1037" s="7">
        <f t="shared" ca="1" si="115"/>
        <v>0</v>
      </c>
      <c r="G1037" s="125">
        <f ca="1">IF('Simulador - 1º Pilar'!$E$99="Sí",IF('Aportaciones Poliza'!$B$13&lt;'Aportaciones Poliza'!E1037,0,F1037*$B$8/12),F1037*$B$8/12)</f>
        <v>0</v>
      </c>
      <c r="H1037" s="125">
        <f t="shared" ca="1" si="113"/>
        <v>0</v>
      </c>
      <c r="I1037" s="125"/>
      <c r="J1037" s="125">
        <f t="shared" ca="1" si="116"/>
        <v>0</v>
      </c>
      <c r="K1037" s="125">
        <f t="shared" si="117"/>
        <v>0</v>
      </c>
      <c r="L1037" s="125">
        <f t="shared" ca="1" si="118"/>
        <v>0</v>
      </c>
      <c r="P1037">
        <f t="shared" si="119"/>
        <v>1030</v>
      </c>
    </row>
    <row r="1038" spans="4:16">
      <c r="D1038">
        <v>1031</v>
      </c>
      <c r="E1038" s="6">
        <f t="shared" ca="1" si="114"/>
        <v>21367</v>
      </c>
      <c r="F1038" s="7">
        <f t="shared" ca="1" si="115"/>
        <v>0</v>
      </c>
      <c r="G1038" s="125">
        <f ca="1">IF('Simulador - 1º Pilar'!$E$99="Sí",IF('Aportaciones Poliza'!$B$13&lt;'Aportaciones Poliza'!E1038,0,F1038*$B$8/12),F1038*$B$8/12)</f>
        <v>0</v>
      </c>
      <c r="H1038" s="125">
        <f t="shared" ca="1" si="113"/>
        <v>0</v>
      </c>
      <c r="I1038" s="125"/>
      <c r="J1038" s="125">
        <f t="shared" ca="1" si="116"/>
        <v>0</v>
      </c>
      <c r="K1038" s="125">
        <f t="shared" si="117"/>
        <v>0</v>
      </c>
      <c r="L1038" s="125">
        <f t="shared" ca="1" si="118"/>
        <v>0</v>
      </c>
      <c r="P1038">
        <f t="shared" si="119"/>
        <v>1031</v>
      </c>
    </row>
    <row r="1039" spans="4:16">
      <c r="D1039">
        <v>1032</v>
      </c>
      <c r="E1039" s="6">
        <f t="shared" ca="1" si="114"/>
        <v>21337</v>
      </c>
      <c r="F1039" s="7">
        <f t="shared" ca="1" si="115"/>
        <v>0</v>
      </c>
      <c r="G1039" s="125">
        <f ca="1">IF('Simulador - 1º Pilar'!$E$99="Sí",IF('Aportaciones Poliza'!$B$13&lt;'Aportaciones Poliza'!E1039,0,F1039*$B$8/12),F1039*$B$8/12)</f>
        <v>0</v>
      </c>
      <c r="H1039" s="125">
        <f t="shared" ca="1" si="113"/>
        <v>0</v>
      </c>
      <c r="I1039" s="125"/>
      <c r="J1039" s="125">
        <f t="shared" ca="1" si="116"/>
        <v>0</v>
      </c>
      <c r="K1039" s="125">
        <f t="shared" si="117"/>
        <v>0</v>
      </c>
      <c r="L1039" s="125">
        <f t="shared" ca="1" si="118"/>
        <v>0</v>
      </c>
      <c r="P1039">
        <f t="shared" si="119"/>
        <v>1032</v>
      </c>
    </row>
    <row r="1040" spans="4:16">
      <c r="D1040">
        <v>1033</v>
      </c>
      <c r="E1040" s="6">
        <f t="shared" ca="1" si="114"/>
        <v>21306</v>
      </c>
      <c r="F1040" s="7">
        <f t="shared" ca="1" si="115"/>
        <v>0</v>
      </c>
      <c r="G1040" s="125">
        <f ca="1">IF('Simulador - 1º Pilar'!$E$99="Sí",IF('Aportaciones Poliza'!$B$13&lt;'Aportaciones Poliza'!E1040,0,F1040*$B$8/12),F1040*$B$8/12)</f>
        <v>0</v>
      </c>
      <c r="H1040" s="125">
        <f t="shared" ca="1" si="113"/>
        <v>0</v>
      </c>
      <c r="I1040" s="125"/>
      <c r="J1040" s="125">
        <f t="shared" ca="1" si="116"/>
        <v>0</v>
      </c>
      <c r="K1040" s="125">
        <f t="shared" si="117"/>
        <v>0</v>
      </c>
      <c r="L1040" s="125">
        <f t="shared" ca="1" si="118"/>
        <v>0</v>
      </c>
      <c r="P1040">
        <f t="shared" si="119"/>
        <v>1033</v>
      </c>
    </row>
    <row r="1041" spans="4:16">
      <c r="D1041">
        <v>1034</v>
      </c>
      <c r="E1041" s="6">
        <f t="shared" ca="1" si="114"/>
        <v>21276</v>
      </c>
      <c r="F1041" s="7">
        <f t="shared" ca="1" si="115"/>
        <v>0</v>
      </c>
      <c r="G1041" s="125">
        <f ca="1">IF('Simulador - 1º Pilar'!$E$99="Sí",IF('Aportaciones Poliza'!$B$13&lt;'Aportaciones Poliza'!E1041,0,F1041*$B$8/12),F1041*$B$8/12)</f>
        <v>0</v>
      </c>
      <c r="H1041" s="125">
        <f t="shared" ca="1" si="113"/>
        <v>0</v>
      </c>
      <c r="I1041" s="125"/>
      <c r="J1041" s="125">
        <f t="shared" ca="1" si="116"/>
        <v>0</v>
      </c>
      <c r="K1041" s="125">
        <f t="shared" si="117"/>
        <v>0</v>
      </c>
      <c r="L1041" s="125">
        <f t="shared" ca="1" si="118"/>
        <v>0</v>
      </c>
      <c r="P1041">
        <f t="shared" si="119"/>
        <v>1034</v>
      </c>
    </row>
    <row r="1042" spans="4:16">
      <c r="D1042">
        <v>1035</v>
      </c>
      <c r="E1042" s="6">
        <f t="shared" ca="1" si="114"/>
        <v>21245</v>
      </c>
      <c r="F1042" s="7">
        <f t="shared" ca="1" si="115"/>
        <v>0</v>
      </c>
      <c r="G1042" s="125">
        <f ca="1">IF('Simulador - 1º Pilar'!$E$99="Sí",IF('Aportaciones Poliza'!$B$13&lt;'Aportaciones Poliza'!E1042,0,F1042*$B$8/12),F1042*$B$8/12)</f>
        <v>0</v>
      </c>
      <c r="H1042" s="125">
        <f t="shared" ca="1" si="113"/>
        <v>0</v>
      </c>
      <c r="I1042" s="125"/>
      <c r="J1042" s="125">
        <f t="shared" ca="1" si="116"/>
        <v>0</v>
      </c>
      <c r="K1042" s="125">
        <f t="shared" si="117"/>
        <v>0</v>
      </c>
      <c r="L1042" s="125">
        <f t="shared" ca="1" si="118"/>
        <v>0</v>
      </c>
      <c r="P1042">
        <f t="shared" si="119"/>
        <v>1035</v>
      </c>
    </row>
    <row r="1043" spans="4:16">
      <c r="D1043">
        <v>1036</v>
      </c>
      <c r="E1043" s="6">
        <f t="shared" ca="1" si="114"/>
        <v>21217</v>
      </c>
      <c r="F1043" s="7">
        <f t="shared" ca="1" si="115"/>
        <v>0</v>
      </c>
      <c r="G1043" s="125">
        <f ca="1">IF('Simulador - 1º Pilar'!$E$99="Sí",IF('Aportaciones Poliza'!$B$13&lt;'Aportaciones Poliza'!E1043,0,F1043*$B$8/12),F1043*$B$8/12)</f>
        <v>0</v>
      </c>
      <c r="H1043" s="125">
        <f t="shared" ca="1" si="113"/>
        <v>0</v>
      </c>
      <c r="I1043" s="125"/>
      <c r="J1043" s="125">
        <f t="shared" ca="1" si="116"/>
        <v>0</v>
      </c>
      <c r="K1043" s="125">
        <f t="shared" si="117"/>
        <v>0</v>
      </c>
      <c r="L1043" s="125">
        <f t="shared" ca="1" si="118"/>
        <v>0</v>
      </c>
      <c r="P1043">
        <f t="shared" si="119"/>
        <v>1036</v>
      </c>
    </row>
    <row r="1044" spans="4:16">
      <c r="D1044">
        <v>1037</v>
      </c>
      <c r="E1044" s="6">
        <f t="shared" ca="1" si="114"/>
        <v>21186</v>
      </c>
      <c r="F1044" s="7">
        <f t="shared" ca="1" si="115"/>
        <v>0</v>
      </c>
      <c r="G1044" s="125">
        <f ca="1">IF('Simulador - 1º Pilar'!$E$99="Sí",IF('Aportaciones Poliza'!$B$13&lt;'Aportaciones Poliza'!E1044,0,F1044*$B$8/12),F1044*$B$8/12)</f>
        <v>0</v>
      </c>
      <c r="H1044" s="125">
        <f t="shared" ca="1" si="113"/>
        <v>0</v>
      </c>
      <c r="I1044" s="125"/>
      <c r="J1044" s="125">
        <f t="shared" ca="1" si="116"/>
        <v>0</v>
      </c>
      <c r="K1044" s="125">
        <f t="shared" si="117"/>
        <v>0</v>
      </c>
      <c r="L1044" s="125">
        <f t="shared" ca="1" si="118"/>
        <v>0</v>
      </c>
      <c r="P1044">
        <f t="shared" si="119"/>
        <v>1037</v>
      </c>
    </row>
    <row r="1045" spans="4:16">
      <c r="D1045">
        <v>1038</v>
      </c>
      <c r="E1045" s="6">
        <f t="shared" ca="1" si="114"/>
        <v>21155</v>
      </c>
      <c r="F1045" s="7">
        <f t="shared" ca="1" si="115"/>
        <v>0</v>
      </c>
      <c r="G1045" s="125">
        <f ca="1">IF('Simulador - 1º Pilar'!$E$99="Sí",IF('Aportaciones Poliza'!$B$13&lt;'Aportaciones Poliza'!E1045,0,F1045*$B$8/12),F1045*$B$8/12)</f>
        <v>0</v>
      </c>
      <c r="H1045" s="125">
        <f t="shared" ca="1" si="113"/>
        <v>0</v>
      </c>
      <c r="I1045" s="125"/>
      <c r="J1045" s="125">
        <f t="shared" ca="1" si="116"/>
        <v>0</v>
      </c>
      <c r="K1045" s="125">
        <f t="shared" si="117"/>
        <v>0</v>
      </c>
      <c r="L1045" s="125">
        <f t="shared" ca="1" si="118"/>
        <v>0</v>
      </c>
      <c r="P1045">
        <f t="shared" si="119"/>
        <v>1038</v>
      </c>
    </row>
    <row r="1046" spans="4:16">
      <c r="D1046">
        <v>1039</v>
      </c>
      <c r="E1046" s="6">
        <f t="shared" ca="1" si="114"/>
        <v>21125</v>
      </c>
      <c r="F1046" s="7">
        <f t="shared" ca="1" si="115"/>
        <v>0</v>
      </c>
      <c r="G1046" s="125">
        <f ca="1">IF('Simulador - 1º Pilar'!$E$99="Sí",IF('Aportaciones Poliza'!$B$13&lt;'Aportaciones Poliza'!E1046,0,F1046*$B$8/12),F1046*$B$8/12)</f>
        <v>0</v>
      </c>
      <c r="H1046" s="125">
        <f t="shared" ca="1" si="113"/>
        <v>0</v>
      </c>
      <c r="I1046" s="125"/>
      <c r="J1046" s="125">
        <f t="shared" ca="1" si="116"/>
        <v>0</v>
      </c>
      <c r="K1046" s="125">
        <f t="shared" si="117"/>
        <v>0</v>
      </c>
      <c r="L1046" s="125">
        <f t="shared" ca="1" si="118"/>
        <v>0</v>
      </c>
      <c r="P1046">
        <f t="shared" si="119"/>
        <v>1039</v>
      </c>
    </row>
    <row r="1047" spans="4:16">
      <c r="D1047">
        <v>1040</v>
      </c>
      <c r="E1047" s="6">
        <f t="shared" ca="1" si="114"/>
        <v>21094</v>
      </c>
      <c r="F1047" s="7">
        <f t="shared" ca="1" si="115"/>
        <v>0</v>
      </c>
      <c r="G1047" s="125">
        <f ca="1">IF('Simulador - 1º Pilar'!$E$99="Sí",IF('Aportaciones Poliza'!$B$13&lt;'Aportaciones Poliza'!E1047,0,F1047*$B$8/12),F1047*$B$8/12)</f>
        <v>0</v>
      </c>
      <c r="H1047" s="125">
        <f t="shared" ca="1" si="113"/>
        <v>0</v>
      </c>
      <c r="I1047" s="125"/>
      <c r="J1047" s="125">
        <f t="shared" ca="1" si="116"/>
        <v>0</v>
      </c>
      <c r="K1047" s="125">
        <f t="shared" si="117"/>
        <v>0</v>
      </c>
      <c r="L1047" s="125">
        <f t="shared" ca="1" si="118"/>
        <v>0</v>
      </c>
      <c r="P1047">
        <f t="shared" si="119"/>
        <v>1040</v>
      </c>
    </row>
    <row r="1048" spans="4:16">
      <c r="D1048">
        <v>1041</v>
      </c>
      <c r="E1048" s="6">
        <f t="shared" ca="1" si="114"/>
        <v>21064</v>
      </c>
      <c r="F1048" s="7">
        <f t="shared" ca="1" si="115"/>
        <v>0</v>
      </c>
      <c r="G1048" s="125">
        <f ca="1">IF('Simulador - 1º Pilar'!$E$99="Sí",IF('Aportaciones Poliza'!$B$13&lt;'Aportaciones Poliza'!E1048,0,F1048*$B$8/12),F1048*$B$8/12)</f>
        <v>0</v>
      </c>
      <c r="H1048" s="125">
        <f t="shared" ca="1" si="113"/>
        <v>0</v>
      </c>
      <c r="I1048" s="125"/>
      <c r="J1048" s="125">
        <f t="shared" ca="1" si="116"/>
        <v>0</v>
      </c>
      <c r="K1048" s="125">
        <f t="shared" si="117"/>
        <v>0</v>
      </c>
      <c r="L1048" s="125">
        <f t="shared" ca="1" si="118"/>
        <v>0</v>
      </c>
      <c r="P1048">
        <f t="shared" si="119"/>
        <v>1041</v>
      </c>
    </row>
    <row r="1049" spans="4:16">
      <c r="D1049">
        <v>1042</v>
      </c>
      <c r="E1049" s="6">
        <f t="shared" ca="1" si="114"/>
        <v>21033</v>
      </c>
      <c r="F1049" s="7">
        <f t="shared" ca="1" si="115"/>
        <v>0</v>
      </c>
      <c r="G1049" s="125">
        <f ca="1">IF('Simulador - 1º Pilar'!$E$99="Sí",IF('Aportaciones Poliza'!$B$13&lt;'Aportaciones Poliza'!E1049,0,F1049*$B$8/12),F1049*$B$8/12)</f>
        <v>0</v>
      </c>
      <c r="H1049" s="125">
        <f t="shared" ca="1" si="113"/>
        <v>0</v>
      </c>
      <c r="I1049" s="125"/>
      <c r="J1049" s="125">
        <f t="shared" ca="1" si="116"/>
        <v>0</v>
      </c>
      <c r="K1049" s="125">
        <f t="shared" si="117"/>
        <v>0</v>
      </c>
      <c r="L1049" s="125">
        <f t="shared" ca="1" si="118"/>
        <v>0</v>
      </c>
      <c r="P1049">
        <f t="shared" si="119"/>
        <v>1042</v>
      </c>
    </row>
    <row r="1050" spans="4:16">
      <c r="D1050">
        <v>1043</v>
      </c>
      <c r="E1050" s="6">
        <f t="shared" ca="1" si="114"/>
        <v>21002</v>
      </c>
      <c r="F1050" s="7">
        <f t="shared" ca="1" si="115"/>
        <v>0</v>
      </c>
      <c r="G1050" s="125">
        <f ca="1">IF('Simulador - 1º Pilar'!$E$99="Sí",IF('Aportaciones Poliza'!$B$13&lt;'Aportaciones Poliza'!E1050,0,F1050*$B$8/12),F1050*$B$8/12)</f>
        <v>0</v>
      </c>
      <c r="H1050" s="125">
        <f t="shared" ca="1" si="113"/>
        <v>0</v>
      </c>
      <c r="I1050" s="125"/>
      <c r="J1050" s="125">
        <f t="shared" ca="1" si="116"/>
        <v>0</v>
      </c>
      <c r="K1050" s="125">
        <f t="shared" si="117"/>
        <v>0</v>
      </c>
      <c r="L1050" s="125">
        <f t="shared" ca="1" si="118"/>
        <v>0</v>
      </c>
      <c r="P1050">
        <f t="shared" si="119"/>
        <v>1043</v>
      </c>
    </row>
    <row r="1051" spans="4:16">
      <c r="D1051">
        <v>1044</v>
      </c>
      <c r="E1051" s="6">
        <f t="shared" ca="1" si="114"/>
        <v>20972</v>
      </c>
      <c r="F1051" s="7">
        <f t="shared" ca="1" si="115"/>
        <v>0</v>
      </c>
      <c r="G1051" s="125">
        <f ca="1">IF('Simulador - 1º Pilar'!$E$99="Sí",IF('Aportaciones Poliza'!$B$13&lt;'Aportaciones Poliza'!E1051,0,F1051*$B$8/12),F1051*$B$8/12)</f>
        <v>0</v>
      </c>
      <c r="H1051" s="125">
        <f t="shared" ca="1" si="113"/>
        <v>0</v>
      </c>
      <c r="I1051" s="125"/>
      <c r="J1051" s="125">
        <f t="shared" ca="1" si="116"/>
        <v>0</v>
      </c>
      <c r="K1051" s="125">
        <f t="shared" si="117"/>
        <v>0</v>
      </c>
      <c r="L1051" s="125">
        <f t="shared" ca="1" si="118"/>
        <v>0</v>
      </c>
      <c r="P1051">
        <f t="shared" si="119"/>
        <v>1044</v>
      </c>
    </row>
    <row r="1052" spans="4:16">
      <c r="D1052">
        <v>1045</v>
      </c>
      <c r="E1052" s="6">
        <f t="shared" ca="1" si="114"/>
        <v>20941</v>
      </c>
      <c r="F1052" s="7">
        <f t="shared" ca="1" si="115"/>
        <v>0</v>
      </c>
      <c r="G1052" s="125">
        <f ca="1">IF('Simulador - 1º Pilar'!$E$99="Sí",IF('Aportaciones Poliza'!$B$13&lt;'Aportaciones Poliza'!E1052,0,F1052*$B$8/12),F1052*$B$8/12)</f>
        <v>0</v>
      </c>
      <c r="H1052" s="125">
        <f t="shared" ca="1" si="113"/>
        <v>0</v>
      </c>
      <c r="I1052" s="125"/>
      <c r="J1052" s="125">
        <f t="shared" ca="1" si="116"/>
        <v>0</v>
      </c>
      <c r="K1052" s="125">
        <f t="shared" si="117"/>
        <v>0</v>
      </c>
      <c r="L1052" s="125">
        <f t="shared" ca="1" si="118"/>
        <v>0</v>
      </c>
      <c r="P1052">
        <f t="shared" si="119"/>
        <v>1045</v>
      </c>
    </row>
    <row r="1053" spans="4:16">
      <c r="D1053">
        <v>1046</v>
      </c>
      <c r="E1053" s="6">
        <f t="shared" ca="1" si="114"/>
        <v>20911</v>
      </c>
      <c r="F1053" s="7">
        <f t="shared" ca="1" si="115"/>
        <v>0</v>
      </c>
      <c r="G1053" s="125">
        <f ca="1">IF('Simulador - 1º Pilar'!$E$99="Sí",IF('Aportaciones Poliza'!$B$13&lt;'Aportaciones Poliza'!E1053,0,F1053*$B$8/12),F1053*$B$8/12)</f>
        <v>0</v>
      </c>
      <c r="H1053" s="125">
        <f t="shared" ca="1" si="113"/>
        <v>0</v>
      </c>
      <c r="I1053" s="125"/>
      <c r="J1053" s="125">
        <f t="shared" ca="1" si="116"/>
        <v>0</v>
      </c>
      <c r="K1053" s="125">
        <f t="shared" si="117"/>
        <v>0</v>
      </c>
      <c r="L1053" s="125">
        <f t="shared" ca="1" si="118"/>
        <v>0</v>
      </c>
      <c r="P1053">
        <f t="shared" si="119"/>
        <v>1046</v>
      </c>
    </row>
    <row r="1054" spans="4:16">
      <c r="D1054">
        <v>1047</v>
      </c>
      <c r="E1054" s="6">
        <f t="shared" ca="1" si="114"/>
        <v>20880</v>
      </c>
      <c r="F1054" s="7">
        <f t="shared" ca="1" si="115"/>
        <v>0</v>
      </c>
      <c r="G1054" s="125">
        <f ca="1">IF('Simulador - 1º Pilar'!$E$99="Sí",IF('Aportaciones Poliza'!$B$13&lt;'Aportaciones Poliza'!E1054,0,F1054*$B$8/12),F1054*$B$8/12)</f>
        <v>0</v>
      </c>
      <c r="H1054" s="125">
        <f t="shared" ca="1" si="113"/>
        <v>0</v>
      </c>
      <c r="I1054" s="125"/>
      <c r="J1054" s="125">
        <f t="shared" ca="1" si="116"/>
        <v>0</v>
      </c>
      <c r="K1054" s="125">
        <f t="shared" si="117"/>
        <v>0</v>
      </c>
      <c r="L1054" s="125">
        <f t="shared" ca="1" si="118"/>
        <v>0</v>
      </c>
      <c r="P1054">
        <f t="shared" si="119"/>
        <v>1047</v>
      </c>
    </row>
    <row r="1055" spans="4:16">
      <c r="D1055">
        <v>1048</v>
      </c>
      <c r="E1055" s="6">
        <f t="shared" ca="1" si="114"/>
        <v>20852</v>
      </c>
      <c r="F1055" s="7">
        <f t="shared" ca="1" si="115"/>
        <v>0</v>
      </c>
      <c r="G1055" s="125">
        <f ca="1">IF('Simulador - 1º Pilar'!$E$99="Sí",IF('Aportaciones Poliza'!$B$13&lt;'Aportaciones Poliza'!E1055,0,F1055*$B$8/12),F1055*$B$8/12)</f>
        <v>0</v>
      </c>
      <c r="H1055" s="125">
        <f t="shared" ca="1" si="113"/>
        <v>0</v>
      </c>
      <c r="I1055" s="125"/>
      <c r="J1055" s="125">
        <f t="shared" ca="1" si="116"/>
        <v>0</v>
      </c>
      <c r="K1055" s="125">
        <f t="shared" si="117"/>
        <v>0</v>
      </c>
      <c r="L1055" s="125">
        <f t="shared" ca="1" si="118"/>
        <v>0</v>
      </c>
      <c r="P1055">
        <f t="shared" si="119"/>
        <v>1048</v>
      </c>
    </row>
    <row r="1056" spans="4:16">
      <c r="D1056">
        <v>1049</v>
      </c>
      <c r="E1056" s="6">
        <f t="shared" ca="1" si="114"/>
        <v>20821</v>
      </c>
      <c r="F1056" s="7">
        <f t="shared" ca="1" si="115"/>
        <v>0</v>
      </c>
      <c r="G1056" s="125">
        <f ca="1">IF('Simulador - 1º Pilar'!$E$99="Sí",IF('Aportaciones Poliza'!$B$13&lt;'Aportaciones Poliza'!E1056,0,F1056*$B$8/12),F1056*$B$8/12)</f>
        <v>0</v>
      </c>
      <c r="H1056" s="125">
        <f t="shared" ca="1" si="113"/>
        <v>0</v>
      </c>
      <c r="I1056" s="125"/>
      <c r="J1056" s="125">
        <f t="shared" ca="1" si="116"/>
        <v>0</v>
      </c>
      <c r="K1056" s="125">
        <f t="shared" si="117"/>
        <v>0</v>
      </c>
      <c r="L1056" s="125">
        <f t="shared" ca="1" si="118"/>
        <v>0</v>
      </c>
      <c r="P1056">
        <f t="shared" si="119"/>
        <v>1049</v>
      </c>
    </row>
    <row r="1057" spans="4:16">
      <c r="D1057">
        <v>1050</v>
      </c>
      <c r="E1057" s="6">
        <f t="shared" ca="1" si="114"/>
        <v>20790</v>
      </c>
      <c r="F1057" s="7">
        <f t="shared" ca="1" si="115"/>
        <v>0</v>
      </c>
      <c r="G1057" s="125">
        <f ca="1">IF('Simulador - 1º Pilar'!$E$99="Sí",IF('Aportaciones Poliza'!$B$13&lt;'Aportaciones Poliza'!E1057,0,F1057*$B$8/12),F1057*$B$8/12)</f>
        <v>0</v>
      </c>
      <c r="H1057" s="125">
        <f t="shared" ca="1" si="113"/>
        <v>0</v>
      </c>
      <c r="I1057" s="125"/>
      <c r="J1057" s="125">
        <f t="shared" ca="1" si="116"/>
        <v>0</v>
      </c>
      <c r="K1057" s="125">
        <f t="shared" si="117"/>
        <v>0</v>
      </c>
      <c r="L1057" s="125">
        <f t="shared" ca="1" si="118"/>
        <v>0</v>
      </c>
      <c r="P1057">
        <f t="shared" si="119"/>
        <v>1050</v>
      </c>
    </row>
    <row r="1058" spans="4:16">
      <c r="D1058">
        <v>1051</v>
      </c>
      <c r="E1058" s="6">
        <f t="shared" ca="1" si="114"/>
        <v>20760</v>
      </c>
      <c r="F1058" s="7">
        <f t="shared" ca="1" si="115"/>
        <v>0</v>
      </c>
      <c r="G1058" s="125">
        <f ca="1">IF('Simulador - 1º Pilar'!$E$99="Sí",IF('Aportaciones Poliza'!$B$13&lt;'Aportaciones Poliza'!E1058,0,F1058*$B$8/12),F1058*$B$8/12)</f>
        <v>0</v>
      </c>
      <c r="H1058" s="125">
        <f t="shared" ca="1" si="113"/>
        <v>0</v>
      </c>
      <c r="I1058" s="125"/>
      <c r="J1058" s="125">
        <f t="shared" ca="1" si="116"/>
        <v>0</v>
      </c>
      <c r="K1058" s="125">
        <f t="shared" si="117"/>
        <v>0</v>
      </c>
      <c r="L1058" s="125">
        <f t="shared" ca="1" si="118"/>
        <v>0</v>
      </c>
      <c r="P1058">
        <f t="shared" si="119"/>
        <v>1051</v>
      </c>
    </row>
    <row r="1059" spans="4:16">
      <c r="D1059">
        <v>1052</v>
      </c>
      <c r="E1059" s="6">
        <f t="shared" ca="1" si="114"/>
        <v>20729</v>
      </c>
      <c r="F1059" s="7">
        <f t="shared" ca="1" si="115"/>
        <v>0</v>
      </c>
      <c r="G1059" s="125">
        <f ca="1">IF('Simulador - 1º Pilar'!$E$99="Sí",IF('Aportaciones Poliza'!$B$13&lt;'Aportaciones Poliza'!E1059,0,F1059*$B$8/12),F1059*$B$8/12)</f>
        <v>0</v>
      </c>
      <c r="H1059" s="125">
        <f t="shared" ca="1" si="113"/>
        <v>0</v>
      </c>
      <c r="I1059" s="125"/>
      <c r="J1059" s="125">
        <f t="shared" ca="1" si="116"/>
        <v>0</v>
      </c>
      <c r="K1059" s="125">
        <f t="shared" si="117"/>
        <v>0</v>
      </c>
      <c r="L1059" s="125">
        <f t="shared" ca="1" si="118"/>
        <v>0</v>
      </c>
      <c r="P1059">
        <f t="shared" si="119"/>
        <v>1052</v>
      </c>
    </row>
    <row r="1060" spans="4:16">
      <c r="D1060">
        <v>1053</v>
      </c>
      <c r="E1060" s="6">
        <f t="shared" ca="1" si="114"/>
        <v>20699</v>
      </c>
      <c r="F1060" s="7">
        <f t="shared" ca="1" si="115"/>
        <v>0</v>
      </c>
      <c r="G1060" s="125">
        <f ca="1">IF('Simulador - 1º Pilar'!$E$99="Sí",IF('Aportaciones Poliza'!$B$13&lt;'Aportaciones Poliza'!E1060,0,F1060*$B$8/12),F1060*$B$8/12)</f>
        <v>0</v>
      </c>
      <c r="H1060" s="125">
        <f t="shared" ca="1" si="113"/>
        <v>0</v>
      </c>
      <c r="I1060" s="125"/>
      <c r="J1060" s="125">
        <f t="shared" ca="1" si="116"/>
        <v>0</v>
      </c>
      <c r="K1060" s="125">
        <f t="shared" si="117"/>
        <v>0</v>
      </c>
      <c r="L1060" s="125">
        <f t="shared" ca="1" si="118"/>
        <v>0</v>
      </c>
      <c r="P1060">
        <f t="shared" si="119"/>
        <v>1053</v>
      </c>
    </row>
    <row r="1061" spans="4:16">
      <c r="D1061">
        <v>1054</v>
      </c>
      <c r="E1061" s="6">
        <f t="shared" ca="1" si="114"/>
        <v>20668</v>
      </c>
      <c r="F1061" s="7">
        <f t="shared" ca="1" si="115"/>
        <v>0</v>
      </c>
      <c r="G1061" s="125">
        <f ca="1">IF('Simulador - 1º Pilar'!$E$99="Sí",IF('Aportaciones Poliza'!$B$13&lt;'Aportaciones Poliza'!E1061,0,F1061*$B$8/12),F1061*$B$8/12)</f>
        <v>0</v>
      </c>
      <c r="H1061" s="125">
        <f t="shared" ca="1" si="113"/>
        <v>0</v>
      </c>
      <c r="I1061" s="125"/>
      <c r="J1061" s="125">
        <f t="shared" ca="1" si="116"/>
        <v>0</v>
      </c>
      <c r="K1061" s="125">
        <f t="shared" si="117"/>
        <v>0</v>
      </c>
      <c r="L1061" s="125">
        <f t="shared" ca="1" si="118"/>
        <v>0</v>
      </c>
      <c r="P1061">
        <f t="shared" si="119"/>
        <v>1054</v>
      </c>
    </row>
    <row r="1062" spans="4:16">
      <c r="D1062">
        <v>1055</v>
      </c>
      <c r="E1062" s="6">
        <f t="shared" ca="1" si="114"/>
        <v>20637</v>
      </c>
      <c r="F1062" s="7">
        <f t="shared" ca="1" si="115"/>
        <v>0</v>
      </c>
      <c r="G1062" s="125">
        <f ca="1">IF('Simulador - 1º Pilar'!$E$99="Sí",IF('Aportaciones Poliza'!$B$13&lt;'Aportaciones Poliza'!E1062,0,F1062*$B$8/12),F1062*$B$8/12)</f>
        <v>0</v>
      </c>
      <c r="H1062" s="125">
        <f t="shared" ca="1" si="113"/>
        <v>0</v>
      </c>
      <c r="I1062" s="125"/>
      <c r="J1062" s="125">
        <f t="shared" ca="1" si="116"/>
        <v>0</v>
      </c>
      <c r="K1062" s="125">
        <f t="shared" si="117"/>
        <v>0</v>
      </c>
      <c r="L1062" s="125">
        <f t="shared" ca="1" si="118"/>
        <v>0</v>
      </c>
      <c r="P1062">
        <f t="shared" si="119"/>
        <v>1055</v>
      </c>
    </row>
    <row r="1063" spans="4:16">
      <c r="D1063">
        <v>1056</v>
      </c>
      <c r="E1063" s="6">
        <f t="shared" ca="1" si="114"/>
        <v>20607</v>
      </c>
      <c r="F1063" s="7">
        <f t="shared" ca="1" si="115"/>
        <v>0</v>
      </c>
      <c r="G1063" s="125">
        <f ca="1">IF('Simulador - 1º Pilar'!$E$99="Sí",IF('Aportaciones Poliza'!$B$13&lt;'Aportaciones Poliza'!E1063,0,F1063*$B$8/12),F1063*$B$8/12)</f>
        <v>0</v>
      </c>
      <c r="H1063" s="125">
        <f t="shared" ca="1" si="113"/>
        <v>0</v>
      </c>
      <c r="I1063" s="125"/>
      <c r="J1063" s="125">
        <f t="shared" ca="1" si="116"/>
        <v>0</v>
      </c>
      <c r="K1063" s="125">
        <f t="shared" si="117"/>
        <v>0</v>
      </c>
      <c r="L1063" s="125">
        <f t="shared" ca="1" si="118"/>
        <v>0</v>
      </c>
      <c r="P1063">
        <f t="shared" si="119"/>
        <v>1056</v>
      </c>
    </row>
    <row r="1064" spans="4:16">
      <c r="D1064">
        <v>1057</v>
      </c>
      <c r="E1064" s="6">
        <f t="shared" ca="1" si="114"/>
        <v>20576</v>
      </c>
      <c r="F1064" s="7">
        <f t="shared" ca="1" si="115"/>
        <v>0</v>
      </c>
      <c r="G1064" s="125">
        <f ca="1">IF('Simulador - 1º Pilar'!$E$99="Sí",IF('Aportaciones Poliza'!$B$13&lt;'Aportaciones Poliza'!E1064,0,F1064*$B$8/12),F1064*$B$8/12)</f>
        <v>0</v>
      </c>
      <c r="H1064" s="125">
        <f t="shared" ca="1" si="113"/>
        <v>0</v>
      </c>
      <c r="I1064" s="125"/>
      <c r="J1064" s="125">
        <f t="shared" ca="1" si="116"/>
        <v>0</v>
      </c>
      <c r="K1064" s="125">
        <f t="shared" si="117"/>
        <v>0</v>
      </c>
      <c r="L1064" s="125">
        <f t="shared" ca="1" si="118"/>
        <v>0</v>
      </c>
      <c r="P1064">
        <f t="shared" si="119"/>
        <v>1057</v>
      </c>
    </row>
    <row r="1065" spans="4:16">
      <c r="D1065">
        <v>1058</v>
      </c>
      <c r="E1065" s="6">
        <f t="shared" ca="1" si="114"/>
        <v>20546</v>
      </c>
      <c r="F1065" s="7">
        <f t="shared" ca="1" si="115"/>
        <v>0</v>
      </c>
      <c r="G1065" s="125">
        <f ca="1">IF('Simulador - 1º Pilar'!$E$99="Sí",IF('Aportaciones Poliza'!$B$13&lt;'Aportaciones Poliza'!E1065,0,F1065*$B$8/12),F1065*$B$8/12)</f>
        <v>0</v>
      </c>
      <c r="H1065" s="125">
        <f t="shared" ca="1" si="113"/>
        <v>0</v>
      </c>
      <c r="I1065" s="125"/>
      <c r="J1065" s="125">
        <f t="shared" ca="1" si="116"/>
        <v>0</v>
      </c>
      <c r="K1065" s="125">
        <f t="shared" si="117"/>
        <v>0</v>
      </c>
      <c r="L1065" s="125">
        <f t="shared" ca="1" si="118"/>
        <v>0</v>
      </c>
      <c r="P1065">
        <f t="shared" si="119"/>
        <v>1058</v>
      </c>
    </row>
    <row r="1066" spans="4:16">
      <c r="D1066">
        <v>1059</v>
      </c>
      <c r="E1066" s="6">
        <f t="shared" ca="1" si="114"/>
        <v>20515</v>
      </c>
      <c r="F1066" s="7">
        <f t="shared" ca="1" si="115"/>
        <v>0</v>
      </c>
      <c r="G1066" s="125">
        <f ca="1">IF('Simulador - 1º Pilar'!$E$99="Sí",IF('Aportaciones Poliza'!$B$13&lt;'Aportaciones Poliza'!E1066,0,F1066*$B$8/12),F1066*$B$8/12)</f>
        <v>0</v>
      </c>
      <c r="H1066" s="125">
        <f t="shared" ca="1" si="113"/>
        <v>0</v>
      </c>
      <c r="I1066" s="125"/>
      <c r="J1066" s="125">
        <f t="shared" ca="1" si="116"/>
        <v>0</v>
      </c>
      <c r="K1066" s="125">
        <f t="shared" si="117"/>
        <v>0</v>
      </c>
      <c r="L1066" s="125">
        <f t="shared" ca="1" si="118"/>
        <v>0</v>
      </c>
      <c r="P1066">
        <f t="shared" si="119"/>
        <v>1059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T1078"/>
  <sheetViews>
    <sheetView zoomScaleNormal="100" workbookViewId="0">
      <pane ySplit="6" topLeftCell="A181" activePane="bottomLeft" state="frozen"/>
      <selection pane="bottomLeft" activeCell="H5" sqref="H5"/>
    </sheetView>
  </sheetViews>
  <sheetFormatPr defaultColWidth="14.88671875" defaultRowHeight="14.4"/>
  <cols>
    <col min="1" max="1" width="21.33203125" bestFit="1" customWidth="1"/>
    <col min="5" max="5" width="14.109375" customWidth="1"/>
    <col min="6" max="6" width="17.88671875" customWidth="1"/>
    <col min="9" max="9" width="28.33203125" customWidth="1"/>
    <col min="10" max="10" width="20.5546875" customWidth="1"/>
    <col min="11" max="11" width="19.33203125" bestFit="1" customWidth="1"/>
    <col min="12" max="12" width="17.5546875" bestFit="1" customWidth="1"/>
    <col min="16" max="16" width="15.88671875" bestFit="1" customWidth="1"/>
  </cols>
  <sheetData>
    <row r="1" spans="1:20">
      <c r="K1" s="763" t="s">
        <v>612</v>
      </c>
      <c r="L1" s="763" t="s">
        <v>612</v>
      </c>
      <c r="M1" s="764"/>
      <c r="N1" s="764"/>
      <c r="O1" s="764"/>
      <c r="P1" s="764"/>
      <c r="Q1" s="764"/>
      <c r="R1" s="764"/>
      <c r="S1" s="763" t="s">
        <v>612</v>
      </c>
      <c r="T1" s="763" t="s">
        <v>612</v>
      </c>
    </row>
    <row r="2" spans="1:20">
      <c r="I2" s="123"/>
      <c r="K2" s="149" t="s">
        <v>444</v>
      </c>
      <c r="L2" s="126"/>
    </row>
    <row r="3" spans="1:20">
      <c r="A3" s="145" t="s">
        <v>218</v>
      </c>
      <c r="B3" s="145"/>
      <c r="L3" s="126"/>
    </row>
    <row r="4" spans="1:20">
      <c r="F4" s="127" t="s">
        <v>163</v>
      </c>
      <c r="H4" s="760" t="s">
        <v>609</v>
      </c>
      <c r="I4" s="761" t="s">
        <v>608</v>
      </c>
      <c r="J4" s="760" t="s">
        <v>610</v>
      </c>
      <c r="K4" s="152" t="s">
        <v>443</v>
      </c>
      <c r="L4" s="152" t="s">
        <v>167</v>
      </c>
      <c r="M4" s="127" t="s">
        <v>166</v>
      </c>
      <c r="P4" s="198" t="s">
        <v>216</v>
      </c>
      <c r="Q4" s="4">
        <f>VLOOKUP('Simulador - Datos personales'!E5,BBDD!$C$5:$GF$34,7,0)</f>
        <v>3200</v>
      </c>
    </row>
    <row r="5" spans="1:20">
      <c r="F5" s="146">
        <f>Hipótesis!E7</f>
        <v>2.5000000000000001E-2</v>
      </c>
      <c r="H5" s="486">
        <f>IF('Simulador - 2º Pilar'!J47&gt;30%*'Simulador - Datos personales'!E13,"Límite alcanzado",'Simulador - 2º Pilar'!J47/12)</f>
        <v>0</v>
      </c>
      <c r="I5" s="487">
        <f>+'Simulador - 2º Pilar'!F61</f>
        <v>0</v>
      </c>
      <c r="J5" s="496">
        <f ca="1">SUM(J7:J33001)</f>
        <v>4988.1230914451753</v>
      </c>
      <c r="K5" s="488">
        <f ca="1">SUM(I7:I1066)</f>
        <v>4988.1230914451753</v>
      </c>
      <c r="L5" s="199">
        <f ca="1">IF('Simulador - 1º Pilar'!$E$99="Sí",SUM(L7:L1066)*(1+$M$5)^(C14/12),SUM(L7:L1066))</f>
        <v>4988.1230914451753</v>
      </c>
      <c r="M5" s="146">
        <f>Hipótesis!E15</f>
        <v>0.02</v>
      </c>
      <c r="S5" s="125">
        <f ca="1">SUM(S8:S33001)</f>
        <v>4988.1230914451753</v>
      </c>
      <c r="T5" s="125">
        <f ca="1">SUM(T7:T1067)</f>
        <v>4988.1230914451753</v>
      </c>
    </row>
    <row r="6" spans="1:20">
      <c r="A6" s="4" t="s">
        <v>175</v>
      </c>
      <c r="B6" s="244">
        <f>+'Aportaciones PPE'!B6</f>
        <v>44561</v>
      </c>
      <c r="C6" s="123">
        <f>DATE(YEAR(B6),MONTH(B6)+1,DAY(1))</f>
        <v>44562</v>
      </c>
      <c r="E6" s="198" t="s">
        <v>161</v>
      </c>
      <c r="F6" s="198" t="s">
        <v>164</v>
      </c>
      <c r="G6" s="198" t="s">
        <v>165</v>
      </c>
      <c r="H6" s="152" t="s">
        <v>325</v>
      </c>
      <c r="J6" s="152" t="s">
        <v>232</v>
      </c>
      <c r="K6" s="151"/>
      <c r="L6" s="152" t="s">
        <v>231</v>
      </c>
      <c r="M6" s="198" t="s">
        <v>162</v>
      </c>
      <c r="P6" s="537" t="s">
        <v>611</v>
      </c>
      <c r="S6" s="490" t="s">
        <v>455</v>
      </c>
      <c r="T6" s="490" t="s">
        <v>456</v>
      </c>
    </row>
    <row r="7" spans="1:20">
      <c r="A7" s="4" t="s">
        <v>176</v>
      </c>
      <c r="B7" s="6">
        <f ca="1">DATE(YEAR('Simulador - 1º Pilar'!G20),MONTH('Simulador - 1º Pilar'!G20),DAY(1))</f>
        <v>52779</v>
      </c>
      <c r="C7" s="123">
        <f ca="1">DATE(YEAR(PJSS!B7),MONTH(PJSS!B7),DAY(1))</f>
        <v>52779</v>
      </c>
      <c r="E7" s="6">
        <f ca="1">DATE(YEAR($B$7),MONTH($B$7)-1,DAY($B$7))</f>
        <v>52749</v>
      </c>
      <c r="F7" s="7">
        <f ca="1">MAX(IF(DATE(YEAR($B$6),MONTH($B$6)+1,DAY(1))=E7,1,IF(MONTH(E7)=1,F8*(1+$F$5),F8)),1)</f>
        <v>1.721571397580095</v>
      </c>
      <c r="G7" s="125">
        <f ca="1">IF('Simulador - 1º Pilar'!$E$99="Sí",IF('Aportaciones Flex'!$B$13&lt;'Aportaciones Flex'!E7,0,F7*$B$8/12),F7*$B$8/12)</f>
        <v>30127.499457651662</v>
      </c>
      <c r="H7" s="125">
        <f ca="1">IF(G7&gt;0,1,0)*$H$5*IF(AND($I$5="NO",YEAR(E7)=YEAR($B$6)+1),1,IF($I$5="SI",1,0))</f>
        <v>0</v>
      </c>
      <c r="I7" s="126">
        <f ca="1">(1+$M$5)^(D7/12)*(H7*(12-IF(MONTH(E8)=12,0,MONTH(E8)))+IF(AND(F7=1,F8=0),$Q$4,0))*IF(AND(F7=1,F8=0),1,0)</f>
        <v>0</v>
      </c>
      <c r="J7" s="125">
        <f ca="1">H7+IF(AND(F7=1,F8=0),$Q$4,0)</f>
        <v>0</v>
      </c>
      <c r="K7" s="151"/>
      <c r="L7" s="125">
        <f ca="1">K7+J7</f>
        <v>0</v>
      </c>
      <c r="M7" s="124">
        <f>IF('Simulador - Datos personales'!G58="Si",0.06,0.04)</f>
        <v>0.04</v>
      </c>
      <c r="N7" s="6">
        <v>2958282</v>
      </c>
      <c r="S7" s="126">
        <f t="shared" ref="S7:S70" ca="1" si="0">(1+$M$5)^(D7/12)*(IF(E7=$C$6,$Q$4+$H$5*12,0))</f>
        <v>0</v>
      </c>
      <c r="T7" s="126">
        <f ca="1">L7</f>
        <v>0</v>
      </c>
    </row>
    <row r="8" spans="1:20">
      <c r="A8" s="4" t="s">
        <v>4</v>
      </c>
      <c r="B8" s="4">
        <f>'Simulador - Datos personales'!E15</f>
        <v>210000</v>
      </c>
      <c r="C8" s="7">
        <f>B8/12</f>
        <v>17500</v>
      </c>
      <c r="D8">
        <v>1</v>
      </c>
      <c r="E8" s="6">
        <f ca="1">+DATE(YEAR(E7),MONTH(E7)-1,DAY(E7))</f>
        <v>52718</v>
      </c>
      <c r="F8" s="7">
        <f t="shared" ref="F8:F71" ca="1" si="1">IF(DATE(YEAR($B$6),MONTH($B$6)+1,DAY(1))=E8,1,IF(MONTH(E8)=1,F9*(1+$F$5),F9))</f>
        <v>1.721571397580095</v>
      </c>
      <c r="G8" s="125">
        <f ca="1">IF('Simulador - 1º Pilar'!$E$99="Sí",IF('Aportaciones Flex'!$B$13&lt;'Aportaciones Flex'!E8,0,F8*$B$8/12),F8*$B$8/12)</f>
        <v>30127.499457651662</v>
      </c>
      <c r="H8" s="125">
        <f ca="1">IF(G8&gt;0,1,0)*$H$5*IF(AND($I$5="NO",YEAR(E8)=YEAR($B$6)+1),1,IF($I$5="SI",1,0))</f>
        <v>0</v>
      </c>
      <c r="I8" s="126">
        <f t="shared" ref="I8:I70" ca="1" si="2">(1+$M$5)^(D8/12)*(H8*(12-IF(MONTH(E9)=12,0,MONTH(E9)))+IF(AND(F8=1,F9=0),$Q$4,0))*IF(AND(F8=1,F9=0),1,0)</f>
        <v>0</v>
      </c>
      <c r="J8" s="125">
        <f ca="1">(1+$M$5)^(D8/12)*(H8+IF(AND(F8=1,F9=0),$Q$4,0))</f>
        <v>0</v>
      </c>
      <c r="K8" s="151"/>
      <c r="L8" s="125">
        <f ca="1">K8+J8</f>
        <v>0</v>
      </c>
      <c r="M8" s="124">
        <v>0.02</v>
      </c>
      <c r="N8" s="6">
        <v>47300</v>
      </c>
      <c r="P8">
        <f t="shared" ref="P8:P71" si="3">D8</f>
        <v>1</v>
      </c>
      <c r="S8" s="126">
        <f t="shared" ca="1" si="0"/>
        <v>0</v>
      </c>
      <c r="T8" s="126">
        <f t="shared" ref="T8:T71" ca="1" si="4">(1+$M$5)^(D8/12)*(IF(YEAR(E8)&gt;YEAR($C$6),L8,0)+IF(E8=$C$6,$H$5*12+$Q$4,0))</f>
        <v>0</v>
      </c>
    </row>
    <row r="9" spans="1:20">
      <c r="D9">
        <v>2</v>
      </c>
      <c r="E9" s="6">
        <f t="shared" ref="E9:E72" ca="1" si="5">+DATE(YEAR(E8),MONTH(E8)-1,DAY(E8))</f>
        <v>52688</v>
      </c>
      <c r="F9" s="7">
        <f ca="1">IF(DATE(YEAR($B$6),MONTH($B$6)+1,DAY(1))=E9,1,IF(MONTH(E9)=1,F10*(1+$F$5),F10))</f>
        <v>1.721571397580095</v>
      </c>
      <c r="G9" s="125">
        <f ca="1">IF('Simulador - 1º Pilar'!$E$99="Sí",IF('Aportaciones Flex'!$B$13&lt;'Aportaciones Flex'!E9,0,F9*$B$8/12),F9*$B$8/12)</f>
        <v>30127.499457651662</v>
      </c>
      <c r="H9" s="125">
        <f t="shared" ref="H9:H70" ca="1" si="6">IF(G9&gt;0,1,0)*$H$5*IF(AND($I$5="NO",YEAR(E9)=YEAR($B$6)+1),1,IF($I$5="SI",1,0))</f>
        <v>0</v>
      </c>
      <c r="I9" s="126">
        <f t="shared" ca="1" si="2"/>
        <v>0</v>
      </c>
      <c r="J9" s="125">
        <f t="shared" ref="J9:J71" ca="1" si="7">(1+$M$5)^(D9/12)*(H9+IF(AND(F9=1,F10=0),$Q$4,0))</f>
        <v>0</v>
      </c>
      <c r="K9" s="151"/>
      <c r="L9" s="125">
        <f t="shared" ref="L9:L71" ca="1" si="8">K9+J9</f>
        <v>0</v>
      </c>
      <c r="M9" s="124">
        <v>0.03</v>
      </c>
      <c r="P9">
        <f t="shared" si="3"/>
        <v>2</v>
      </c>
      <c r="S9" s="126">
        <f t="shared" ca="1" si="0"/>
        <v>0</v>
      </c>
      <c r="T9" s="126">
        <f t="shared" ca="1" si="4"/>
        <v>0</v>
      </c>
    </row>
    <row r="10" spans="1:20">
      <c r="A10" s="4" t="s">
        <v>226</v>
      </c>
      <c r="B10" s="4">
        <f>'Simulador - Datos personales'!E13</f>
        <v>220000</v>
      </c>
      <c r="D10">
        <v>3</v>
      </c>
      <c r="E10" s="6">
        <f t="shared" ca="1" si="5"/>
        <v>52657</v>
      </c>
      <c r="F10" s="7">
        <f t="shared" ca="1" si="1"/>
        <v>1.721571397580095</v>
      </c>
      <c r="G10" s="125">
        <f ca="1">IF('Simulador - 1º Pilar'!$E$99="Sí",IF('Aportaciones Flex'!$B$13&lt;'Aportaciones Flex'!E10,0,F10*$B$8/12),F10*$B$8/12)</f>
        <v>30127.499457651662</v>
      </c>
      <c r="H10" s="125">
        <f t="shared" ca="1" si="6"/>
        <v>0</v>
      </c>
      <c r="I10" s="126">
        <f t="shared" ca="1" si="2"/>
        <v>0</v>
      </c>
      <c r="J10" s="125">
        <f t="shared" ca="1" si="7"/>
        <v>0</v>
      </c>
      <c r="K10" s="151"/>
      <c r="L10" s="125">
        <f t="shared" ca="1" si="8"/>
        <v>0</v>
      </c>
      <c r="M10" s="762"/>
      <c r="P10">
        <f t="shared" si="3"/>
        <v>3</v>
      </c>
      <c r="S10" s="126">
        <f t="shared" ca="1" si="0"/>
        <v>0</v>
      </c>
      <c r="T10" s="126">
        <f t="shared" ca="1" si="4"/>
        <v>0</v>
      </c>
    </row>
    <row r="11" spans="1:20">
      <c r="A11" s="9" t="s">
        <v>227</v>
      </c>
      <c r="B11" s="147">
        <f ca="1">IF(F7=0,C11*B10/12,F7*B10/12)</f>
        <v>31562.142288968407</v>
      </c>
      <c r="C11" s="7">
        <f ca="1">_xlfn.IFNA(VLOOKUP(B14,$E$7:$G$1066,2,0),1)</f>
        <v>1</v>
      </c>
      <c r="D11">
        <v>4</v>
      </c>
      <c r="E11" s="6">
        <f t="shared" ca="1" si="5"/>
        <v>52628</v>
      </c>
      <c r="F11" s="7">
        <f t="shared" ca="1" si="1"/>
        <v>1.721571397580095</v>
      </c>
      <c r="G11" s="125">
        <f ca="1">IF('Simulador - 1º Pilar'!$E$99="Sí",IF('Aportaciones Flex'!$B$13&lt;'Aportaciones Flex'!E11,0,F11*$B$8/12),F11*$B$8/12)</f>
        <v>30127.499457651662</v>
      </c>
      <c r="H11" s="125">
        <f t="shared" ca="1" si="6"/>
        <v>0</v>
      </c>
      <c r="I11" s="126">
        <f t="shared" ca="1" si="2"/>
        <v>0</v>
      </c>
      <c r="J11" s="125">
        <f t="shared" ca="1" si="7"/>
        <v>0</v>
      </c>
      <c r="K11" s="151"/>
      <c r="L11" s="125">
        <f t="shared" ca="1" si="8"/>
        <v>0</v>
      </c>
      <c r="M11" s="762"/>
      <c r="P11">
        <f t="shared" si="3"/>
        <v>4</v>
      </c>
      <c r="S11" s="126">
        <f t="shared" ca="1" si="0"/>
        <v>0</v>
      </c>
      <c r="T11" s="126">
        <f t="shared" ca="1" si="4"/>
        <v>0</v>
      </c>
    </row>
    <row r="12" spans="1:20">
      <c r="D12">
        <v>5</v>
      </c>
      <c r="E12" s="6">
        <f t="shared" ca="1" si="5"/>
        <v>52597</v>
      </c>
      <c r="F12" s="7">
        <f t="shared" ca="1" si="1"/>
        <v>1.721571397580095</v>
      </c>
      <c r="G12" s="125">
        <f ca="1">IF('Simulador - 1º Pilar'!$E$99="Sí",IF('Aportaciones Flex'!$B$13&lt;'Aportaciones Flex'!E12,0,F12*$B$8/12),F12*$B$8/12)</f>
        <v>30127.499457651662</v>
      </c>
      <c r="H12" s="125">
        <f t="shared" ca="1" si="6"/>
        <v>0</v>
      </c>
      <c r="I12" s="126">
        <f t="shared" ca="1" si="2"/>
        <v>0</v>
      </c>
      <c r="J12" s="125">
        <f t="shared" ca="1" si="7"/>
        <v>0</v>
      </c>
      <c r="K12" s="151"/>
      <c r="L12" s="125">
        <f t="shared" ca="1" si="8"/>
        <v>0</v>
      </c>
      <c r="M12" s="762"/>
      <c r="P12">
        <f t="shared" si="3"/>
        <v>5</v>
      </c>
      <c r="S12" s="126">
        <f t="shared" ca="1" si="0"/>
        <v>0</v>
      </c>
      <c r="T12" s="126">
        <f t="shared" ca="1" si="4"/>
        <v>0</v>
      </c>
    </row>
    <row r="13" spans="1:20">
      <c r="A13" s="4" t="s">
        <v>270</v>
      </c>
      <c r="B13" s="6">
        <f>'Simulador - 1º Pilar'!G16</f>
        <v>0</v>
      </c>
      <c r="D13">
        <v>6</v>
      </c>
      <c r="E13" s="6">
        <f t="shared" ca="1" si="5"/>
        <v>52566</v>
      </c>
      <c r="F13" s="7">
        <f t="shared" ca="1" si="1"/>
        <v>1.6795818512976539</v>
      </c>
      <c r="G13" s="125">
        <f ca="1">IF('Simulador - 1º Pilar'!$E$99="Sí",IF('Aportaciones Flex'!$B$13&lt;'Aportaciones Flex'!E13,0,F13*$B$8/12),F13*$B$8/12)</f>
        <v>29392.682397708941</v>
      </c>
      <c r="H13" s="125">
        <f t="shared" ca="1" si="6"/>
        <v>0</v>
      </c>
      <c r="I13" s="126">
        <f t="shared" ca="1" si="2"/>
        <v>0</v>
      </c>
      <c r="J13" s="125">
        <f t="shared" ca="1" si="7"/>
        <v>0</v>
      </c>
      <c r="K13" s="151"/>
      <c r="L13" s="125">
        <f t="shared" ca="1" si="8"/>
        <v>0</v>
      </c>
      <c r="M13" s="762"/>
      <c r="P13">
        <f t="shared" si="3"/>
        <v>6</v>
      </c>
      <c r="S13" s="126">
        <f t="shared" ca="1" si="0"/>
        <v>0</v>
      </c>
      <c r="T13" s="126">
        <f t="shared" ca="1" si="4"/>
        <v>0</v>
      </c>
    </row>
    <row r="14" spans="1:20">
      <c r="B14" s="123">
        <f>DATE(YEAR(B13),MONTH(B13),DAY(1))</f>
        <v>1</v>
      </c>
      <c r="C14" t="e">
        <f ca="1">VLOOKUP(B14,E7:P1066,12,0)</f>
        <v>#N/A</v>
      </c>
      <c r="D14">
        <v>7</v>
      </c>
      <c r="E14" s="6">
        <f t="shared" ca="1" si="5"/>
        <v>52536</v>
      </c>
      <c r="F14" s="7">
        <f t="shared" ca="1" si="1"/>
        <v>1.6795818512976539</v>
      </c>
      <c r="G14" s="125">
        <f ca="1">IF('Simulador - 1º Pilar'!$E$99="Sí",IF('Aportaciones Flex'!$B$13&lt;'Aportaciones Flex'!E14,0,F14*$B$8/12),F14*$B$8/12)</f>
        <v>29392.682397708941</v>
      </c>
      <c r="H14" s="125">
        <f t="shared" ca="1" si="6"/>
        <v>0</v>
      </c>
      <c r="I14" s="126">
        <f t="shared" ca="1" si="2"/>
        <v>0</v>
      </c>
      <c r="J14" s="125">
        <f t="shared" ca="1" si="7"/>
        <v>0</v>
      </c>
      <c r="K14" s="151"/>
      <c r="L14" s="125">
        <f t="shared" ca="1" si="8"/>
        <v>0</v>
      </c>
      <c r="M14" s="762"/>
      <c r="P14">
        <f t="shared" si="3"/>
        <v>7</v>
      </c>
      <c r="S14" s="126">
        <f t="shared" ca="1" si="0"/>
        <v>0</v>
      </c>
      <c r="T14" s="126">
        <f t="shared" ca="1" si="4"/>
        <v>0</v>
      </c>
    </row>
    <row r="15" spans="1:20">
      <c r="D15">
        <v>8</v>
      </c>
      <c r="E15" s="6">
        <f t="shared" ca="1" si="5"/>
        <v>52505</v>
      </c>
      <c r="F15" s="7">
        <f t="shared" ca="1" si="1"/>
        <v>1.6795818512976539</v>
      </c>
      <c r="G15" s="125">
        <f ca="1">IF('Simulador - 1º Pilar'!$E$99="Sí",IF('Aportaciones Flex'!$B$13&lt;'Aportaciones Flex'!E15,0,F15*$B$8/12),F15*$B$8/12)</f>
        <v>29392.682397708941</v>
      </c>
      <c r="H15" s="125">
        <f t="shared" ca="1" si="6"/>
        <v>0</v>
      </c>
      <c r="I15" s="126">
        <f t="shared" ca="1" si="2"/>
        <v>0</v>
      </c>
      <c r="J15" s="125">
        <f t="shared" ca="1" si="7"/>
        <v>0</v>
      </c>
      <c r="K15" s="151"/>
      <c r="L15" s="125">
        <f t="shared" ca="1" si="8"/>
        <v>0</v>
      </c>
      <c r="M15" s="762"/>
      <c r="P15">
        <f t="shared" si="3"/>
        <v>8</v>
      </c>
      <c r="S15" s="126">
        <f t="shared" ca="1" si="0"/>
        <v>0</v>
      </c>
      <c r="T15" s="126">
        <f t="shared" ca="1" si="4"/>
        <v>0</v>
      </c>
    </row>
    <row r="16" spans="1:20">
      <c r="D16">
        <v>9</v>
      </c>
      <c r="E16" s="6">
        <f t="shared" ca="1" si="5"/>
        <v>52475</v>
      </c>
      <c r="F16" s="7">
        <f t="shared" ca="1" si="1"/>
        <v>1.6795818512976539</v>
      </c>
      <c r="G16" s="125">
        <f ca="1">IF('Simulador - 1º Pilar'!$E$99="Sí",IF('Aportaciones Flex'!$B$13&lt;'Aportaciones Flex'!E16,0,F16*$B$8/12),F16*$B$8/12)</f>
        <v>29392.682397708941</v>
      </c>
      <c r="H16" s="125">
        <f t="shared" ca="1" si="6"/>
        <v>0</v>
      </c>
      <c r="I16" s="126">
        <f t="shared" ca="1" si="2"/>
        <v>0</v>
      </c>
      <c r="J16" s="125">
        <f t="shared" ca="1" si="7"/>
        <v>0</v>
      </c>
      <c r="K16" s="151"/>
      <c r="L16" s="125">
        <f t="shared" ca="1" si="8"/>
        <v>0</v>
      </c>
      <c r="M16" s="762"/>
      <c r="P16">
        <f t="shared" si="3"/>
        <v>9</v>
      </c>
      <c r="S16" s="126">
        <f t="shared" ca="1" si="0"/>
        <v>0</v>
      </c>
      <c r="T16" s="126">
        <f t="shared" ca="1" si="4"/>
        <v>0</v>
      </c>
    </row>
    <row r="17" spans="4:20">
      <c r="D17">
        <v>10</v>
      </c>
      <c r="E17" s="6">
        <f t="shared" ca="1" si="5"/>
        <v>52444</v>
      </c>
      <c r="F17" s="7">
        <f t="shared" ca="1" si="1"/>
        <v>1.6795818512976539</v>
      </c>
      <c r="G17" s="125">
        <f ca="1">IF('Simulador - 1º Pilar'!$E$99="Sí",IF('Aportaciones Flex'!$B$13&lt;'Aportaciones Flex'!E17,0,F17*$B$8/12),F17*$B$8/12)</f>
        <v>29392.682397708941</v>
      </c>
      <c r="H17" s="125">
        <f t="shared" ca="1" si="6"/>
        <v>0</v>
      </c>
      <c r="I17" s="126">
        <f t="shared" ca="1" si="2"/>
        <v>0</v>
      </c>
      <c r="J17" s="125">
        <f t="shared" ca="1" si="7"/>
        <v>0</v>
      </c>
      <c r="K17" s="151"/>
      <c r="L17" s="125">
        <f t="shared" ca="1" si="8"/>
        <v>0</v>
      </c>
      <c r="M17" s="762"/>
      <c r="P17">
        <f t="shared" si="3"/>
        <v>10</v>
      </c>
      <c r="S17" s="126">
        <f t="shared" ca="1" si="0"/>
        <v>0</v>
      </c>
      <c r="T17" s="126">
        <f t="shared" ca="1" si="4"/>
        <v>0</v>
      </c>
    </row>
    <row r="18" spans="4:20">
      <c r="D18">
        <v>11</v>
      </c>
      <c r="E18" s="6">
        <f t="shared" ca="1" si="5"/>
        <v>52413</v>
      </c>
      <c r="F18" s="7">
        <f t="shared" ca="1" si="1"/>
        <v>1.6795818512976539</v>
      </c>
      <c r="G18" s="125">
        <f ca="1">IF('Simulador - 1º Pilar'!$E$99="Sí",IF('Aportaciones Flex'!$B$13&lt;'Aportaciones Flex'!E18,0,F18*$B$8/12),F18*$B$8/12)</f>
        <v>29392.682397708941</v>
      </c>
      <c r="H18" s="125">
        <f t="shared" ca="1" si="6"/>
        <v>0</v>
      </c>
      <c r="I18" s="126">
        <f t="shared" ca="1" si="2"/>
        <v>0</v>
      </c>
      <c r="J18" s="125">
        <f t="shared" ca="1" si="7"/>
        <v>0</v>
      </c>
      <c r="K18" s="151"/>
      <c r="L18" s="125">
        <f t="shared" ca="1" si="8"/>
        <v>0</v>
      </c>
      <c r="M18" s="762"/>
      <c r="P18">
        <f t="shared" si="3"/>
        <v>11</v>
      </c>
      <c r="S18" s="126">
        <f t="shared" ca="1" si="0"/>
        <v>0</v>
      </c>
      <c r="T18" s="126">
        <f t="shared" ca="1" si="4"/>
        <v>0</v>
      </c>
    </row>
    <row r="19" spans="4:20">
      <c r="D19">
        <v>12</v>
      </c>
      <c r="E19" s="6">
        <f t="shared" ca="1" si="5"/>
        <v>52383</v>
      </c>
      <c r="F19" s="7">
        <f t="shared" ca="1" si="1"/>
        <v>1.6795818512976539</v>
      </c>
      <c r="G19" s="125">
        <f ca="1">IF('Simulador - 1º Pilar'!$E$99="Sí",IF('Aportaciones Flex'!$B$13&lt;'Aportaciones Flex'!E19,0,F19*$B$8/12),F19*$B$8/12)</f>
        <v>29392.682397708941</v>
      </c>
      <c r="H19" s="125">
        <f t="shared" ca="1" si="6"/>
        <v>0</v>
      </c>
      <c r="I19" s="126">
        <f t="shared" ca="1" si="2"/>
        <v>0</v>
      </c>
      <c r="J19" s="125">
        <f t="shared" ca="1" si="7"/>
        <v>0</v>
      </c>
      <c r="K19" s="151"/>
      <c r="L19" s="125">
        <f t="shared" ca="1" si="8"/>
        <v>0</v>
      </c>
      <c r="M19" s="762"/>
      <c r="P19">
        <f t="shared" si="3"/>
        <v>12</v>
      </c>
      <c r="S19" s="126">
        <f t="shared" ca="1" si="0"/>
        <v>0</v>
      </c>
      <c r="T19" s="126">
        <f t="shared" ca="1" si="4"/>
        <v>0</v>
      </c>
    </row>
    <row r="20" spans="4:20">
      <c r="D20">
        <v>13</v>
      </c>
      <c r="E20" s="6">
        <f t="shared" ca="1" si="5"/>
        <v>52352</v>
      </c>
      <c r="F20" s="7">
        <f t="shared" ca="1" si="1"/>
        <v>1.6795818512976539</v>
      </c>
      <c r="G20" s="125">
        <f ca="1">IF('Simulador - 1º Pilar'!$E$99="Sí",IF('Aportaciones Flex'!$B$13&lt;'Aportaciones Flex'!E20,0,F20*$B$8/12),F20*$B$8/12)</f>
        <v>29392.682397708941</v>
      </c>
      <c r="H20" s="125">
        <f t="shared" ca="1" si="6"/>
        <v>0</v>
      </c>
      <c r="I20" s="126">
        <f t="shared" ca="1" si="2"/>
        <v>0</v>
      </c>
      <c r="J20" s="125">
        <f t="shared" ca="1" si="7"/>
        <v>0</v>
      </c>
      <c r="K20" s="151"/>
      <c r="L20" s="125">
        <f t="shared" ca="1" si="8"/>
        <v>0</v>
      </c>
      <c r="M20" s="762"/>
      <c r="P20">
        <f t="shared" si="3"/>
        <v>13</v>
      </c>
      <c r="S20" s="126">
        <f t="shared" ca="1" si="0"/>
        <v>0</v>
      </c>
      <c r="T20" s="126">
        <f t="shared" ca="1" si="4"/>
        <v>0</v>
      </c>
    </row>
    <row r="21" spans="4:20">
      <c r="D21">
        <v>14</v>
      </c>
      <c r="E21" s="6">
        <f t="shared" ca="1" si="5"/>
        <v>52322</v>
      </c>
      <c r="F21" s="7">
        <f t="shared" ca="1" si="1"/>
        <v>1.6795818512976539</v>
      </c>
      <c r="G21" s="125">
        <f ca="1">IF('Simulador - 1º Pilar'!$E$99="Sí",IF('Aportaciones Flex'!$B$13&lt;'Aportaciones Flex'!E21,0,F21*$B$8/12),F21*$B$8/12)</f>
        <v>29392.682397708941</v>
      </c>
      <c r="H21" s="125">
        <f t="shared" ca="1" si="6"/>
        <v>0</v>
      </c>
      <c r="I21" s="126">
        <f t="shared" ca="1" si="2"/>
        <v>0</v>
      </c>
      <c r="J21" s="125">
        <f t="shared" ca="1" si="7"/>
        <v>0</v>
      </c>
      <c r="K21" s="151"/>
      <c r="L21" s="125">
        <f t="shared" ca="1" si="8"/>
        <v>0</v>
      </c>
      <c r="M21" s="762"/>
      <c r="P21">
        <f t="shared" si="3"/>
        <v>14</v>
      </c>
      <c r="S21" s="126">
        <f t="shared" ca="1" si="0"/>
        <v>0</v>
      </c>
      <c r="T21" s="126">
        <f t="shared" ca="1" si="4"/>
        <v>0</v>
      </c>
    </row>
    <row r="22" spans="4:20">
      <c r="D22">
        <v>15</v>
      </c>
      <c r="E22" s="6">
        <f t="shared" ca="1" si="5"/>
        <v>52291</v>
      </c>
      <c r="F22" s="7">
        <f t="shared" ca="1" si="1"/>
        <v>1.6795818512976539</v>
      </c>
      <c r="G22" s="125">
        <f ca="1">IF('Simulador - 1º Pilar'!$E$99="Sí",IF('Aportaciones Flex'!$B$13&lt;'Aportaciones Flex'!E22,0,F22*$B$8/12),F22*$B$8/12)</f>
        <v>29392.682397708941</v>
      </c>
      <c r="H22" s="125">
        <f t="shared" ca="1" si="6"/>
        <v>0</v>
      </c>
      <c r="I22" s="126">
        <f t="shared" ca="1" si="2"/>
        <v>0</v>
      </c>
      <c r="J22" s="125">
        <f t="shared" ca="1" si="7"/>
        <v>0</v>
      </c>
      <c r="K22" s="151"/>
      <c r="L22" s="125">
        <f t="shared" ca="1" si="8"/>
        <v>0</v>
      </c>
      <c r="M22" s="762"/>
      <c r="P22">
        <f t="shared" si="3"/>
        <v>15</v>
      </c>
      <c r="S22" s="126">
        <f t="shared" ca="1" si="0"/>
        <v>0</v>
      </c>
      <c r="T22" s="126">
        <f t="shared" ca="1" si="4"/>
        <v>0</v>
      </c>
    </row>
    <row r="23" spans="4:20">
      <c r="D23">
        <v>16</v>
      </c>
      <c r="E23" s="6">
        <f t="shared" ca="1" si="5"/>
        <v>52263</v>
      </c>
      <c r="F23" s="7">
        <f t="shared" ca="1" si="1"/>
        <v>1.6795818512976539</v>
      </c>
      <c r="G23" s="125">
        <f ca="1">IF('Simulador - 1º Pilar'!$E$99="Sí",IF('Aportaciones Flex'!$B$13&lt;'Aportaciones Flex'!E23,0,F23*$B$8/12),F23*$B$8/12)</f>
        <v>29392.682397708941</v>
      </c>
      <c r="H23" s="125">
        <f t="shared" ca="1" si="6"/>
        <v>0</v>
      </c>
      <c r="I23" s="126">
        <f t="shared" ca="1" si="2"/>
        <v>0</v>
      </c>
      <c r="J23" s="125">
        <f t="shared" ca="1" si="7"/>
        <v>0</v>
      </c>
      <c r="K23" s="151"/>
      <c r="L23" s="125">
        <f t="shared" ca="1" si="8"/>
        <v>0</v>
      </c>
      <c r="M23" s="762"/>
      <c r="P23">
        <f t="shared" si="3"/>
        <v>16</v>
      </c>
      <c r="S23" s="126">
        <f t="shared" ca="1" si="0"/>
        <v>0</v>
      </c>
      <c r="T23" s="126">
        <f t="shared" ca="1" si="4"/>
        <v>0</v>
      </c>
    </row>
    <row r="24" spans="4:20">
      <c r="D24">
        <v>17</v>
      </c>
      <c r="E24" s="6">
        <f t="shared" ca="1" si="5"/>
        <v>52232</v>
      </c>
      <c r="F24" s="7">
        <f t="shared" ca="1" si="1"/>
        <v>1.6795818512976539</v>
      </c>
      <c r="G24" s="125">
        <f ca="1">IF('Simulador - 1º Pilar'!$E$99="Sí",IF('Aportaciones Flex'!$B$13&lt;'Aportaciones Flex'!E24,0,F24*$B$8/12),F24*$B$8/12)</f>
        <v>29392.682397708941</v>
      </c>
      <c r="H24" s="125">
        <f t="shared" ca="1" si="6"/>
        <v>0</v>
      </c>
      <c r="I24" s="126">
        <f t="shared" ca="1" si="2"/>
        <v>0</v>
      </c>
      <c r="J24" s="125">
        <f t="shared" ca="1" si="7"/>
        <v>0</v>
      </c>
      <c r="K24" s="151"/>
      <c r="L24" s="125">
        <f t="shared" ca="1" si="8"/>
        <v>0</v>
      </c>
      <c r="M24" s="762"/>
      <c r="P24">
        <f t="shared" si="3"/>
        <v>17</v>
      </c>
      <c r="S24" s="126">
        <f t="shared" ca="1" si="0"/>
        <v>0</v>
      </c>
      <c r="T24" s="126">
        <f t="shared" ca="1" si="4"/>
        <v>0</v>
      </c>
    </row>
    <row r="25" spans="4:20">
      <c r="D25">
        <v>18</v>
      </c>
      <c r="E25" s="6">
        <f t="shared" ca="1" si="5"/>
        <v>52201</v>
      </c>
      <c r="F25" s="7">
        <f t="shared" ca="1" si="1"/>
        <v>1.6386164402903942</v>
      </c>
      <c r="G25" s="125">
        <f ca="1">IF('Simulador - 1º Pilar'!$E$99="Sí",IF('Aportaciones Flex'!$B$13&lt;'Aportaciones Flex'!E25,0,F25*$B$8/12),F25*$B$8/12)</f>
        <v>28675.787705081897</v>
      </c>
      <c r="H25" s="125">
        <f t="shared" ca="1" si="6"/>
        <v>0</v>
      </c>
      <c r="I25" s="126">
        <f t="shared" ca="1" si="2"/>
        <v>0</v>
      </c>
      <c r="J25" s="125">
        <f t="shared" ca="1" si="7"/>
        <v>0</v>
      </c>
      <c r="K25" s="151"/>
      <c r="L25" s="125">
        <f t="shared" ca="1" si="8"/>
        <v>0</v>
      </c>
      <c r="M25" s="762"/>
      <c r="P25">
        <f t="shared" si="3"/>
        <v>18</v>
      </c>
      <c r="S25" s="126">
        <f t="shared" ca="1" si="0"/>
        <v>0</v>
      </c>
      <c r="T25" s="126">
        <f t="shared" ca="1" si="4"/>
        <v>0</v>
      </c>
    </row>
    <row r="26" spans="4:20">
      <c r="D26">
        <v>19</v>
      </c>
      <c r="E26" s="6">
        <f t="shared" ca="1" si="5"/>
        <v>52171</v>
      </c>
      <c r="F26" s="7">
        <f t="shared" ca="1" si="1"/>
        <v>1.6386164402903942</v>
      </c>
      <c r="G26" s="125">
        <f ca="1">IF('Simulador - 1º Pilar'!$E$99="Sí",IF('Aportaciones Flex'!$B$13&lt;'Aportaciones Flex'!E26,0,F26*$B$8/12),F26*$B$8/12)</f>
        <v>28675.787705081897</v>
      </c>
      <c r="H26" s="125">
        <f t="shared" ca="1" si="6"/>
        <v>0</v>
      </c>
      <c r="I26" s="126">
        <f t="shared" ca="1" si="2"/>
        <v>0</v>
      </c>
      <c r="J26" s="125">
        <f t="shared" ca="1" si="7"/>
        <v>0</v>
      </c>
      <c r="K26" s="151"/>
      <c r="L26" s="125">
        <f t="shared" ca="1" si="8"/>
        <v>0</v>
      </c>
      <c r="M26" s="762"/>
      <c r="P26">
        <f t="shared" si="3"/>
        <v>19</v>
      </c>
      <c r="S26" s="126">
        <f t="shared" ca="1" si="0"/>
        <v>0</v>
      </c>
      <c r="T26" s="126">
        <f t="shared" ca="1" si="4"/>
        <v>0</v>
      </c>
    </row>
    <row r="27" spans="4:20">
      <c r="D27">
        <v>20</v>
      </c>
      <c r="E27" s="6">
        <f t="shared" ca="1" si="5"/>
        <v>52140</v>
      </c>
      <c r="F27" s="7">
        <f t="shared" ca="1" si="1"/>
        <v>1.6386164402903942</v>
      </c>
      <c r="G27" s="125">
        <f ca="1">IF('Simulador - 1º Pilar'!$E$99="Sí",IF('Aportaciones Flex'!$B$13&lt;'Aportaciones Flex'!E27,0,F27*$B$8/12),F27*$B$8/12)</f>
        <v>28675.787705081897</v>
      </c>
      <c r="H27" s="125">
        <f t="shared" ca="1" si="6"/>
        <v>0</v>
      </c>
      <c r="I27" s="126">
        <f t="shared" ca="1" si="2"/>
        <v>0</v>
      </c>
      <c r="J27" s="125">
        <f t="shared" ca="1" si="7"/>
        <v>0</v>
      </c>
      <c r="K27" s="151"/>
      <c r="L27" s="125">
        <f t="shared" ca="1" si="8"/>
        <v>0</v>
      </c>
      <c r="M27" s="762"/>
      <c r="P27">
        <f t="shared" si="3"/>
        <v>20</v>
      </c>
      <c r="S27" s="126">
        <f t="shared" ca="1" si="0"/>
        <v>0</v>
      </c>
      <c r="T27" s="126">
        <f t="shared" ca="1" si="4"/>
        <v>0</v>
      </c>
    </row>
    <row r="28" spans="4:20">
      <c r="D28">
        <v>21</v>
      </c>
      <c r="E28" s="6">
        <f t="shared" ca="1" si="5"/>
        <v>52110</v>
      </c>
      <c r="F28" s="7">
        <f t="shared" ca="1" si="1"/>
        <v>1.6386164402903942</v>
      </c>
      <c r="G28" s="125">
        <f ca="1">IF('Simulador - 1º Pilar'!$E$99="Sí",IF('Aportaciones Flex'!$B$13&lt;'Aportaciones Flex'!E28,0,F28*$B$8/12),F28*$B$8/12)</f>
        <v>28675.787705081897</v>
      </c>
      <c r="H28" s="125">
        <f t="shared" ca="1" si="6"/>
        <v>0</v>
      </c>
      <c r="I28" s="126">
        <f t="shared" ca="1" si="2"/>
        <v>0</v>
      </c>
      <c r="J28" s="125">
        <f t="shared" ca="1" si="7"/>
        <v>0</v>
      </c>
      <c r="K28" s="151"/>
      <c r="L28" s="125">
        <f t="shared" ca="1" si="8"/>
        <v>0</v>
      </c>
      <c r="M28" s="762"/>
      <c r="P28">
        <f t="shared" si="3"/>
        <v>21</v>
      </c>
      <c r="S28" s="126">
        <f t="shared" ca="1" si="0"/>
        <v>0</v>
      </c>
      <c r="T28" s="126">
        <f t="shared" ca="1" si="4"/>
        <v>0</v>
      </c>
    </row>
    <row r="29" spans="4:20">
      <c r="D29">
        <v>22</v>
      </c>
      <c r="E29" s="6">
        <f t="shared" ca="1" si="5"/>
        <v>52079</v>
      </c>
      <c r="F29" s="7">
        <f t="shared" ca="1" si="1"/>
        <v>1.6386164402903942</v>
      </c>
      <c r="G29" s="125">
        <f ca="1">IF('Simulador - 1º Pilar'!$E$99="Sí",IF('Aportaciones Flex'!$B$13&lt;'Aportaciones Flex'!E29,0,F29*$B$8/12),F29*$B$8/12)</f>
        <v>28675.787705081897</v>
      </c>
      <c r="H29" s="125">
        <f t="shared" ca="1" si="6"/>
        <v>0</v>
      </c>
      <c r="I29" s="126">
        <f t="shared" ca="1" si="2"/>
        <v>0</v>
      </c>
      <c r="J29" s="125">
        <f t="shared" ca="1" si="7"/>
        <v>0</v>
      </c>
      <c r="K29" s="151"/>
      <c r="L29" s="125">
        <f t="shared" ca="1" si="8"/>
        <v>0</v>
      </c>
      <c r="M29" s="762"/>
      <c r="P29">
        <f t="shared" si="3"/>
        <v>22</v>
      </c>
      <c r="S29" s="126">
        <f t="shared" ca="1" si="0"/>
        <v>0</v>
      </c>
      <c r="T29" s="126">
        <f t="shared" ca="1" si="4"/>
        <v>0</v>
      </c>
    </row>
    <row r="30" spans="4:20">
      <c r="D30">
        <v>23</v>
      </c>
      <c r="E30" s="6">
        <f t="shared" ca="1" si="5"/>
        <v>52048</v>
      </c>
      <c r="F30" s="7">
        <f t="shared" ca="1" si="1"/>
        <v>1.6386164402903942</v>
      </c>
      <c r="G30" s="125">
        <f ca="1">IF('Simulador - 1º Pilar'!$E$99="Sí",IF('Aportaciones Flex'!$B$13&lt;'Aportaciones Flex'!E30,0,F30*$B$8/12),F30*$B$8/12)</f>
        <v>28675.787705081897</v>
      </c>
      <c r="H30" s="125">
        <f t="shared" ca="1" si="6"/>
        <v>0</v>
      </c>
      <c r="I30" s="126">
        <f t="shared" ca="1" si="2"/>
        <v>0</v>
      </c>
      <c r="J30" s="125">
        <f t="shared" ca="1" si="7"/>
        <v>0</v>
      </c>
      <c r="K30" s="151"/>
      <c r="L30" s="125">
        <f t="shared" ca="1" si="8"/>
        <v>0</v>
      </c>
      <c r="M30" s="762"/>
      <c r="P30">
        <f t="shared" si="3"/>
        <v>23</v>
      </c>
      <c r="S30" s="126">
        <f t="shared" ca="1" si="0"/>
        <v>0</v>
      </c>
      <c r="T30" s="126">
        <f t="shared" ca="1" si="4"/>
        <v>0</v>
      </c>
    </row>
    <row r="31" spans="4:20">
      <c r="D31">
        <v>24</v>
      </c>
      <c r="E31" s="6">
        <f t="shared" ca="1" si="5"/>
        <v>52018</v>
      </c>
      <c r="F31" s="7">
        <f t="shared" ca="1" si="1"/>
        <v>1.6386164402903942</v>
      </c>
      <c r="G31" s="125">
        <f ca="1">IF('Simulador - 1º Pilar'!$E$99="Sí",IF('Aportaciones Flex'!$B$13&lt;'Aportaciones Flex'!E31,0,F31*$B$8/12),F31*$B$8/12)</f>
        <v>28675.787705081897</v>
      </c>
      <c r="H31" s="125">
        <f t="shared" ca="1" si="6"/>
        <v>0</v>
      </c>
      <c r="I31" s="126">
        <f t="shared" ca="1" si="2"/>
        <v>0</v>
      </c>
      <c r="J31" s="125">
        <f t="shared" ca="1" si="7"/>
        <v>0</v>
      </c>
      <c r="K31" s="151"/>
      <c r="L31" s="125">
        <f t="shared" ca="1" si="8"/>
        <v>0</v>
      </c>
      <c r="M31" s="762"/>
      <c r="P31">
        <f t="shared" si="3"/>
        <v>24</v>
      </c>
      <c r="S31" s="126">
        <f t="shared" ca="1" si="0"/>
        <v>0</v>
      </c>
      <c r="T31" s="126">
        <f t="shared" ca="1" si="4"/>
        <v>0</v>
      </c>
    </row>
    <row r="32" spans="4:20">
      <c r="D32">
        <v>25</v>
      </c>
      <c r="E32" s="6">
        <f t="shared" ca="1" si="5"/>
        <v>51987</v>
      </c>
      <c r="F32" s="7">
        <f t="shared" ca="1" si="1"/>
        <v>1.6386164402903942</v>
      </c>
      <c r="G32" s="125">
        <f ca="1">IF('Simulador - 1º Pilar'!$E$99="Sí",IF('Aportaciones Flex'!$B$13&lt;'Aportaciones Flex'!E32,0,F32*$B$8/12),F32*$B$8/12)</f>
        <v>28675.787705081897</v>
      </c>
      <c r="H32" s="125">
        <f t="shared" ca="1" si="6"/>
        <v>0</v>
      </c>
      <c r="I32" s="126">
        <f t="shared" ca="1" si="2"/>
        <v>0</v>
      </c>
      <c r="J32" s="125">
        <f t="shared" ca="1" si="7"/>
        <v>0</v>
      </c>
      <c r="K32" s="151"/>
      <c r="L32" s="125">
        <f t="shared" ca="1" si="8"/>
        <v>0</v>
      </c>
      <c r="M32" s="762"/>
      <c r="P32">
        <f t="shared" si="3"/>
        <v>25</v>
      </c>
      <c r="S32" s="126">
        <f t="shared" ca="1" si="0"/>
        <v>0</v>
      </c>
      <c r="T32" s="126">
        <f t="shared" ca="1" si="4"/>
        <v>0</v>
      </c>
    </row>
    <row r="33" spans="4:20">
      <c r="D33">
        <v>26</v>
      </c>
      <c r="E33" s="6">
        <f t="shared" ca="1" si="5"/>
        <v>51957</v>
      </c>
      <c r="F33" s="7">
        <f ca="1">IF(DATE(YEAR($B$6),MONTH($B$6)+1,DAY(1))=E33,1,IF(MONTH(E33)=1,F34*(1+$F$5),F34))</f>
        <v>1.6386164402903942</v>
      </c>
      <c r="G33" s="125">
        <f ca="1">IF('Simulador - 1º Pilar'!$E$99="Sí",IF('Aportaciones Flex'!$B$13&lt;'Aportaciones Flex'!E33,0,F33*$B$8/12),F33*$B$8/12)</f>
        <v>28675.787705081897</v>
      </c>
      <c r="H33" s="125">
        <f t="shared" ca="1" si="6"/>
        <v>0</v>
      </c>
      <c r="I33" s="126">
        <f t="shared" ca="1" si="2"/>
        <v>0</v>
      </c>
      <c r="J33" s="125">
        <f t="shared" ca="1" si="7"/>
        <v>0</v>
      </c>
      <c r="K33" s="151"/>
      <c r="L33" s="125">
        <f t="shared" ca="1" si="8"/>
        <v>0</v>
      </c>
      <c r="M33" s="762"/>
      <c r="P33">
        <f t="shared" si="3"/>
        <v>26</v>
      </c>
      <c r="S33" s="126">
        <f t="shared" ca="1" si="0"/>
        <v>0</v>
      </c>
      <c r="T33" s="126">
        <f t="shared" ca="1" si="4"/>
        <v>0</v>
      </c>
    </row>
    <row r="34" spans="4:20">
      <c r="D34">
        <v>27</v>
      </c>
      <c r="E34" s="6">
        <f t="shared" ca="1" si="5"/>
        <v>51926</v>
      </c>
      <c r="F34" s="7">
        <f t="shared" ca="1" si="1"/>
        <v>1.6386164402903942</v>
      </c>
      <c r="G34" s="125">
        <f ca="1">IF('Simulador - 1º Pilar'!$E$99="Sí",IF('Aportaciones Flex'!$B$13&lt;'Aportaciones Flex'!E34,0,F34*$B$8/12),F34*$B$8/12)</f>
        <v>28675.787705081897</v>
      </c>
      <c r="H34" s="125">
        <f t="shared" ca="1" si="6"/>
        <v>0</v>
      </c>
      <c r="I34" s="126">
        <f t="shared" ca="1" si="2"/>
        <v>0</v>
      </c>
      <c r="J34" s="125">
        <f t="shared" ca="1" si="7"/>
        <v>0</v>
      </c>
      <c r="K34" s="151"/>
      <c r="L34" s="125">
        <f t="shared" ca="1" si="8"/>
        <v>0</v>
      </c>
      <c r="M34" s="762"/>
      <c r="P34">
        <f t="shared" si="3"/>
        <v>27</v>
      </c>
      <c r="S34" s="126">
        <f t="shared" ca="1" si="0"/>
        <v>0</v>
      </c>
      <c r="T34" s="126">
        <f t="shared" ca="1" si="4"/>
        <v>0</v>
      </c>
    </row>
    <row r="35" spans="4:20">
      <c r="D35">
        <v>28</v>
      </c>
      <c r="E35" s="6">
        <f t="shared" ca="1" si="5"/>
        <v>51898</v>
      </c>
      <c r="F35" s="7">
        <f t="shared" ca="1" si="1"/>
        <v>1.6386164402903942</v>
      </c>
      <c r="G35" s="125">
        <f ca="1">IF('Simulador - 1º Pilar'!$E$99="Sí",IF('Aportaciones Flex'!$B$13&lt;'Aportaciones Flex'!E35,0,F35*$B$8/12),F35*$B$8/12)</f>
        <v>28675.787705081897</v>
      </c>
      <c r="H35" s="125">
        <f t="shared" ca="1" si="6"/>
        <v>0</v>
      </c>
      <c r="I35" s="126">
        <f t="shared" ca="1" si="2"/>
        <v>0</v>
      </c>
      <c r="J35" s="125">
        <f t="shared" ca="1" si="7"/>
        <v>0</v>
      </c>
      <c r="K35" s="151"/>
      <c r="L35" s="125">
        <f t="shared" ca="1" si="8"/>
        <v>0</v>
      </c>
      <c r="M35" s="762"/>
      <c r="P35">
        <f t="shared" si="3"/>
        <v>28</v>
      </c>
      <c r="S35" s="126">
        <f t="shared" ca="1" si="0"/>
        <v>0</v>
      </c>
      <c r="T35" s="126">
        <f t="shared" ca="1" si="4"/>
        <v>0</v>
      </c>
    </row>
    <row r="36" spans="4:20">
      <c r="D36">
        <v>29</v>
      </c>
      <c r="E36" s="6">
        <f t="shared" ca="1" si="5"/>
        <v>51867</v>
      </c>
      <c r="F36" s="7">
        <f t="shared" ca="1" si="1"/>
        <v>1.6386164402903942</v>
      </c>
      <c r="G36" s="125">
        <f ca="1">IF('Simulador - 1º Pilar'!$E$99="Sí",IF('Aportaciones Flex'!$B$13&lt;'Aportaciones Flex'!E36,0,F36*$B$8/12),F36*$B$8/12)</f>
        <v>28675.787705081897</v>
      </c>
      <c r="H36" s="125">
        <f t="shared" ca="1" si="6"/>
        <v>0</v>
      </c>
      <c r="I36" s="126">
        <f t="shared" ca="1" si="2"/>
        <v>0</v>
      </c>
      <c r="J36" s="125">
        <f t="shared" ca="1" si="7"/>
        <v>0</v>
      </c>
      <c r="K36" s="151"/>
      <c r="L36" s="125">
        <f t="shared" ca="1" si="8"/>
        <v>0</v>
      </c>
      <c r="M36" s="762"/>
      <c r="P36">
        <f t="shared" si="3"/>
        <v>29</v>
      </c>
      <c r="S36" s="126">
        <f t="shared" ca="1" si="0"/>
        <v>0</v>
      </c>
      <c r="T36" s="126">
        <f t="shared" ca="1" si="4"/>
        <v>0</v>
      </c>
    </row>
    <row r="37" spans="4:20">
      <c r="D37">
        <v>30</v>
      </c>
      <c r="E37" s="6">
        <f t="shared" ca="1" si="5"/>
        <v>51836</v>
      </c>
      <c r="F37" s="7">
        <f t="shared" ca="1" si="1"/>
        <v>1.5986501856491653</v>
      </c>
      <c r="G37" s="125">
        <f ca="1">IF('Simulador - 1º Pilar'!$E$99="Sí",IF('Aportaciones Flex'!$B$13&lt;'Aportaciones Flex'!E37,0,F37*$B$8/12),F37*$B$8/12)</f>
        <v>27976.37824886039</v>
      </c>
      <c r="H37" s="125">
        <f t="shared" ca="1" si="6"/>
        <v>0</v>
      </c>
      <c r="I37" s="126">
        <f t="shared" ca="1" si="2"/>
        <v>0</v>
      </c>
      <c r="J37" s="125">
        <f t="shared" ca="1" si="7"/>
        <v>0</v>
      </c>
      <c r="K37" s="151"/>
      <c r="L37" s="125">
        <f t="shared" ca="1" si="8"/>
        <v>0</v>
      </c>
      <c r="M37" s="762"/>
      <c r="P37">
        <f t="shared" si="3"/>
        <v>30</v>
      </c>
      <c r="S37" s="126">
        <f t="shared" ca="1" si="0"/>
        <v>0</v>
      </c>
      <c r="T37" s="126">
        <f t="shared" ca="1" si="4"/>
        <v>0</v>
      </c>
    </row>
    <row r="38" spans="4:20">
      <c r="D38">
        <v>31</v>
      </c>
      <c r="E38" s="6">
        <f t="shared" ca="1" si="5"/>
        <v>51806</v>
      </c>
      <c r="F38" s="7">
        <f t="shared" ca="1" si="1"/>
        <v>1.5986501856491653</v>
      </c>
      <c r="G38" s="125">
        <f ca="1">IF('Simulador - 1º Pilar'!$E$99="Sí",IF('Aportaciones Flex'!$B$13&lt;'Aportaciones Flex'!E38,0,F38*$B$8/12),F38*$B$8/12)</f>
        <v>27976.37824886039</v>
      </c>
      <c r="H38" s="125">
        <f t="shared" ca="1" si="6"/>
        <v>0</v>
      </c>
      <c r="I38" s="126">
        <f t="shared" ca="1" si="2"/>
        <v>0</v>
      </c>
      <c r="J38" s="125">
        <f t="shared" ca="1" si="7"/>
        <v>0</v>
      </c>
      <c r="K38" s="151"/>
      <c r="L38" s="125">
        <f t="shared" ca="1" si="8"/>
        <v>0</v>
      </c>
      <c r="M38" s="762"/>
      <c r="P38">
        <f t="shared" si="3"/>
        <v>31</v>
      </c>
      <c r="S38" s="126">
        <f t="shared" ca="1" si="0"/>
        <v>0</v>
      </c>
      <c r="T38" s="126">
        <f t="shared" ca="1" si="4"/>
        <v>0</v>
      </c>
    </row>
    <row r="39" spans="4:20">
      <c r="D39">
        <v>32</v>
      </c>
      <c r="E39" s="6">
        <f t="shared" ca="1" si="5"/>
        <v>51775</v>
      </c>
      <c r="F39" s="7">
        <f t="shared" ca="1" si="1"/>
        <v>1.5986501856491653</v>
      </c>
      <c r="G39" s="125">
        <f ca="1">IF('Simulador - 1º Pilar'!$E$99="Sí",IF('Aportaciones Flex'!$B$13&lt;'Aportaciones Flex'!E39,0,F39*$B$8/12),F39*$B$8/12)</f>
        <v>27976.37824886039</v>
      </c>
      <c r="H39" s="125">
        <f t="shared" ca="1" si="6"/>
        <v>0</v>
      </c>
      <c r="I39" s="126">
        <f t="shared" ca="1" si="2"/>
        <v>0</v>
      </c>
      <c r="J39" s="125">
        <f t="shared" ca="1" si="7"/>
        <v>0</v>
      </c>
      <c r="K39" s="151"/>
      <c r="L39" s="125">
        <f t="shared" ca="1" si="8"/>
        <v>0</v>
      </c>
      <c r="M39" s="762"/>
      <c r="P39">
        <f t="shared" si="3"/>
        <v>32</v>
      </c>
      <c r="S39" s="126">
        <f t="shared" ca="1" si="0"/>
        <v>0</v>
      </c>
      <c r="T39" s="126">
        <f t="shared" ca="1" si="4"/>
        <v>0</v>
      </c>
    </row>
    <row r="40" spans="4:20">
      <c r="D40">
        <v>33</v>
      </c>
      <c r="E40" s="6">
        <f t="shared" ca="1" si="5"/>
        <v>51745</v>
      </c>
      <c r="F40" s="7">
        <f t="shared" ca="1" si="1"/>
        <v>1.5986501856491653</v>
      </c>
      <c r="G40" s="125">
        <f ca="1">IF('Simulador - 1º Pilar'!$E$99="Sí",IF('Aportaciones Flex'!$B$13&lt;'Aportaciones Flex'!E40,0,F40*$B$8/12),F40*$B$8/12)</f>
        <v>27976.37824886039</v>
      </c>
      <c r="H40" s="125">
        <f t="shared" ca="1" si="6"/>
        <v>0</v>
      </c>
      <c r="I40" s="126">
        <f t="shared" ca="1" si="2"/>
        <v>0</v>
      </c>
      <c r="J40" s="125">
        <f t="shared" ca="1" si="7"/>
        <v>0</v>
      </c>
      <c r="K40" s="151"/>
      <c r="L40" s="125">
        <f t="shared" ca="1" si="8"/>
        <v>0</v>
      </c>
      <c r="M40" s="762"/>
      <c r="P40">
        <f t="shared" si="3"/>
        <v>33</v>
      </c>
      <c r="S40" s="126">
        <f t="shared" ca="1" si="0"/>
        <v>0</v>
      </c>
      <c r="T40" s="126">
        <f t="shared" ca="1" si="4"/>
        <v>0</v>
      </c>
    </row>
    <row r="41" spans="4:20">
      <c r="D41">
        <v>34</v>
      </c>
      <c r="E41" s="6">
        <f t="shared" ca="1" si="5"/>
        <v>51714</v>
      </c>
      <c r="F41" s="7">
        <f t="shared" ca="1" si="1"/>
        <v>1.5986501856491653</v>
      </c>
      <c r="G41" s="125">
        <f ca="1">IF('Simulador - 1º Pilar'!$E$99="Sí",IF('Aportaciones Flex'!$B$13&lt;'Aportaciones Flex'!E41,0,F41*$B$8/12),F41*$B$8/12)</f>
        <v>27976.37824886039</v>
      </c>
      <c r="H41" s="125">
        <f t="shared" ca="1" si="6"/>
        <v>0</v>
      </c>
      <c r="I41" s="126">
        <f t="shared" ca="1" si="2"/>
        <v>0</v>
      </c>
      <c r="J41" s="125">
        <f t="shared" ca="1" si="7"/>
        <v>0</v>
      </c>
      <c r="K41" s="151"/>
      <c r="L41" s="125">
        <f t="shared" ca="1" si="8"/>
        <v>0</v>
      </c>
      <c r="M41" s="762"/>
      <c r="P41">
        <f t="shared" si="3"/>
        <v>34</v>
      </c>
      <c r="S41" s="126">
        <f t="shared" ca="1" si="0"/>
        <v>0</v>
      </c>
      <c r="T41" s="126">
        <f t="shared" ca="1" si="4"/>
        <v>0</v>
      </c>
    </row>
    <row r="42" spans="4:20">
      <c r="D42">
        <v>35</v>
      </c>
      <c r="E42" s="6">
        <f t="shared" ca="1" si="5"/>
        <v>51683</v>
      </c>
      <c r="F42" s="7">
        <f t="shared" ca="1" si="1"/>
        <v>1.5986501856491653</v>
      </c>
      <c r="G42" s="125">
        <f ca="1">IF('Simulador - 1º Pilar'!$E$99="Sí",IF('Aportaciones Flex'!$B$13&lt;'Aportaciones Flex'!E42,0,F42*$B$8/12),F42*$B$8/12)</f>
        <v>27976.37824886039</v>
      </c>
      <c r="H42" s="125">
        <f t="shared" ca="1" si="6"/>
        <v>0</v>
      </c>
      <c r="I42" s="126">
        <f t="shared" ca="1" si="2"/>
        <v>0</v>
      </c>
      <c r="J42" s="125">
        <f t="shared" ca="1" si="7"/>
        <v>0</v>
      </c>
      <c r="K42" s="151"/>
      <c r="L42" s="125">
        <f t="shared" ca="1" si="8"/>
        <v>0</v>
      </c>
      <c r="M42" s="762"/>
      <c r="P42">
        <f t="shared" si="3"/>
        <v>35</v>
      </c>
      <c r="S42" s="126">
        <f t="shared" ca="1" si="0"/>
        <v>0</v>
      </c>
      <c r="T42" s="126">
        <f t="shared" ca="1" si="4"/>
        <v>0</v>
      </c>
    </row>
    <row r="43" spans="4:20">
      <c r="D43">
        <v>36</v>
      </c>
      <c r="E43" s="6">
        <f t="shared" ca="1" si="5"/>
        <v>51653</v>
      </c>
      <c r="F43" s="7">
        <f t="shared" ca="1" si="1"/>
        <v>1.5986501856491653</v>
      </c>
      <c r="G43" s="125">
        <f ca="1">IF('Simulador - 1º Pilar'!$E$99="Sí",IF('Aportaciones Flex'!$B$13&lt;'Aportaciones Flex'!E43,0,F43*$B$8/12),F43*$B$8/12)</f>
        <v>27976.37824886039</v>
      </c>
      <c r="H43" s="125">
        <f t="shared" ca="1" si="6"/>
        <v>0</v>
      </c>
      <c r="I43" s="126">
        <f t="shared" ca="1" si="2"/>
        <v>0</v>
      </c>
      <c r="J43" s="125">
        <f t="shared" ca="1" si="7"/>
        <v>0</v>
      </c>
      <c r="K43" s="151"/>
      <c r="L43" s="125">
        <f t="shared" ca="1" si="8"/>
        <v>0</v>
      </c>
      <c r="M43" s="762"/>
      <c r="P43">
        <f t="shared" si="3"/>
        <v>36</v>
      </c>
      <c r="S43" s="126">
        <f t="shared" ca="1" si="0"/>
        <v>0</v>
      </c>
      <c r="T43" s="126">
        <f t="shared" ca="1" si="4"/>
        <v>0</v>
      </c>
    </row>
    <row r="44" spans="4:20">
      <c r="D44">
        <v>37</v>
      </c>
      <c r="E44" s="6">
        <f t="shared" ca="1" si="5"/>
        <v>51622</v>
      </c>
      <c r="F44" s="7">
        <f t="shared" ca="1" si="1"/>
        <v>1.5986501856491653</v>
      </c>
      <c r="G44" s="125">
        <f ca="1">IF('Simulador - 1º Pilar'!$E$99="Sí",IF('Aportaciones Flex'!$B$13&lt;'Aportaciones Flex'!E44,0,F44*$B$8/12),F44*$B$8/12)</f>
        <v>27976.37824886039</v>
      </c>
      <c r="H44" s="125">
        <f t="shared" ca="1" si="6"/>
        <v>0</v>
      </c>
      <c r="I44" s="126">
        <f t="shared" ca="1" si="2"/>
        <v>0</v>
      </c>
      <c r="J44" s="125">
        <f t="shared" ca="1" si="7"/>
        <v>0</v>
      </c>
      <c r="K44" s="151"/>
      <c r="L44" s="125">
        <f t="shared" ca="1" si="8"/>
        <v>0</v>
      </c>
      <c r="M44" s="762"/>
      <c r="P44">
        <f t="shared" si="3"/>
        <v>37</v>
      </c>
      <c r="S44" s="126">
        <f t="shared" ca="1" si="0"/>
        <v>0</v>
      </c>
      <c r="T44" s="126">
        <f t="shared" ca="1" si="4"/>
        <v>0</v>
      </c>
    </row>
    <row r="45" spans="4:20">
      <c r="D45">
        <v>38</v>
      </c>
      <c r="E45" s="6">
        <f t="shared" ca="1" si="5"/>
        <v>51592</v>
      </c>
      <c r="F45" s="7">
        <f t="shared" ca="1" si="1"/>
        <v>1.5986501856491653</v>
      </c>
      <c r="G45" s="125">
        <f ca="1">IF('Simulador - 1º Pilar'!$E$99="Sí",IF('Aportaciones Flex'!$B$13&lt;'Aportaciones Flex'!E45,0,F45*$B$8/12),F45*$B$8/12)</f>
        <v>27976.37824886039</v>
      </c>
      <c r="H45" s="125">
        <f t="shared" ca="1" si="6"/>
        <v>0</v>
      </c>
      <c r="I45" s="126">
        <f t="shared" ca="1" si="2"/>
        <v>0</v>
      </c>
      <c r="J45" s="125">
        <f t="shared" ca="1" si="7"/>
        <v>0</v>
      </c>
      <c r="K45" s="151"/>
      <c r="L45" s="125">
        <f t="shared" ca="1" si="8"/>
        <v>0</v>
      </c>
      <c r="M45" s="762"/>
      <c r="P45">
        <f t="shared" si="3"/>
        <v>38</v>
      </c>
      <c r="S45" s="126">
        <f t="shared" ca="1" si="0"/>
        <v>0</v>
      </c>
      <c r="T45" s="126">
        <f t="shared" ca="1" si="4"/>
        <v>0</v>
      </c>
    </row>
    <row r="46" spans="4:20">
      <c r="D46">
        <v>39</v>
      </c>
      <c r="E46" s="6">
        <f t="shared" ca="1" si="5"/>
        <v>51561</v>
      </c>
      <c r="F46" s="7">
        <f t="shared" ca="1" si="1"/>
        <v>1.5986501856491653</v>
      </c>
      <c r="G46" s="125">
        <f ca="1">IF('Simulador - 1º Pilar'!$E$99="Sí",IF('Aportaciones Flex'!$B$13&lt;'Aportaciones Flex'!E46,0,F46*$B$8/12),F46*$B$8/12)</f>
        <v>27976.37824886039</v>
      </c>
      <c r="H46" s="125">
        <f t="shared" ca="1" si="6"/>
        <v>0</v>
      </c>
      <c r="I46" s="126">
        <f t="shared" ca="1" si="2"/>
        <v>0</v>
      </c>
      <c r="J46" s="125">
        <f t="shared" ca="1" si="7"/>
        <v>0</v>
      </c>
      <c r="K46" s="151"/>
      <c r="L46" s="125">
        <f t="shared" ca="1" si="8"/>
        <v>0</v>
      </c>
      <c r="M46" s="762"/>
      <c r="P46">
        <f t="shared" si="3"/>
        <v>39</v>
      </c>
      <c r="S46" s="126">
        <f t="shared" ca="1" si="0"/>
        <v>0</v>
      </c>
      <c r="T46" s="126">
        <f t="shared" ca="1" si="4"/>
        <v>0</v>
      </c>
    </row>
    <row r="47" spans="4:20">
      <c r="D47">
        <v>40</v>
      </c>
      <c r="E47" s="6">
        <f t="shared" ca="1" si="5"/>
        <v>51533</v>
      </c>
      <c r="F47" s="7">
        <f t="shared" ca="1" si="1"/>
        <v>1.5986501856491653</v>
      </c>
      <c r="G47" s="125">
        <f ca="1">IF('Simulador - 1º Pilar'!$E$99="Sí",IF('Aportaciones Flex'!$B$13&lt;'Aportaciones Flex'!E47,0,F47*$B$8/12),F47*$B$8/12)</f>
        <v>27976.37824886039</v>
      </c>
      <c r="H47" s="125">
        <f t="shared" ca="1" si="6"/>
        <v>0</v>
      </c>
      <c r="I47" s="126">
        <f t="shared" ca="1" si="2"/>
        <v>0</v>
      </c>
      <c r="J47" s="125">
        <f t="shared" ca="1" si="7"/>
        <v>0</v>
      </c>
      <c r="K47" s="151"/>
      <c r="L47" s="125">
        <f t="shared" ca="1" si="8"/>
        <v>0</v>
      </c>
      <c r="M47" s="762"/>
      <c r="P47">
        <f t="shared" si="3"/>
        <v>40</v>
      </c>
      <c r="S47" s="126">
        <f t="shared" ca="1" si="0"/>
        <v>0</v>
      </c>
      <c r="T47" s="126">
        <f t="shared" ca="1" si="4"/>
        <v>0</v>
      </c>
    </row>
    <row r="48" spans="4:20">
      <c r="D48">
        <v>41</v>
      </c>
      <c r="E48" s="6">
        <f t="shared" ca="1" si="5"/>
        <v>51502</v>
      </c>
      <c r="F48" s="7">
        <f t="shared" ca="1" si="1"/>
        <v>1.5986501856491653</v>
      </c>
      <c r="G48" s="125">
        <f ca="1">IF('Simulador - 1º Pilar'!$E$99="Sí",IF('Aportaciones Flex'!$B$13&lt;'Aportaciones Flex'!E48,0,F48*$B$8/12),F48*$B$8/12)</f>
        <v>27976.37824886039</v>
      </c>
      <c r="H48" s="125">
        <f t="shared" ca="1" si="6"/>
        <v>0</v>
      </c>
      <c r="I48" s="126">
        <f t="shared" ca="1" si="2"/>
        <v>0</v>
      </c>
      <c r="J48" s="125">
        <f t="shared" ca="1" si="7"/>
        <v>0</v>
      </c>
      <c r="K48" s="151"/>
      <c r="L48" s="125">
        <f t="shared" ca="1" si="8"/>
        <v>0</v>
      </c>
      <c r="M48" s="762"/>
      <c r="P48">
        <f t="shared" si="3"/>
        <v>41</v>
      </c>
      <c r="S48" s="126">
        <f t="shared" ca="1" si="0"/>
        <v>0</v>
      </c>
      <c r="T48" s="126">
        <f t="shared" ca="1" si="4"/>
        <v>0</v>
      </c>
    </row>
    <row r="49" spans="4:20">
      <c r="D49">
        <v>42</v>
      </c>
      <c r="E49" s="6">
        <f t="shared" ca="1" si="5"/>
        <v>51471</v>
      </c>
      <c r="F49" s="7">
        <f t="shared" ca="1" si="1"/>
        <v>1.5596587177065029</v>
      </c>
      <c r="G49" s="125">
        <f ca="1">IF('Simulador - 1º Pilar'!$E$99="Sí",IF('Aportaciones Flex'!$B$13&lt;'Aportaciones Flex'!E49,0,F49*$B$8/12),F49*$B$8/12)</f>
        <v>27294.0275598638</v>
      </c>
      <c r="H49" s="125">
        <f t="shared" ca="1" si="6"/>
        <v>0</v>
      </c>
      <c r="I49" s="126">
        <f t="shared" ca="1" si="2"/>
        <v>0</v>
      </c>
      <c r="J49" s="125">
        <f t="shared" ca="1" si="7"/>
        <v>0</v>
      </c>
      <c r="K49" s="151"/>
      <c r="L49" s="125">
        <f t="shared" ca="1" si="8"/>
        <v>0</v>
      </c>
      <c r="M49" s="762"/>
      <c r="P49">
        <f t="shared" si="3"/>
        <v>42</v>
      </c>
      <c r="S49" s="126">
        <f t="shared" ca="1" si="0"/>
        <v>0</v>
      </c>
      <c r="T49" s="126">
        <f t="shared" ca="1" si="4"/>
        <v>0</v>
      </c>
    </row>
    <row r="50" spans="4:20">
      <c r="D50">
        <v>43</v>
      </c>
      <c r="E50" s="6">
        <f t="shared" ca="1" si="5"/>
        <v>51441</v>
      </c>
      <c r="F50" s="7">
        <f t="shared" ca="1" si="1"/>
        <v>1.5596587177065029</v>
      </c>
      <c r="G50" s="125">
        <f ca="1">IF('Simulador - 1º Pilar'!$E$99="Sí",IF('Aportaciones Flex'!$B$13&lt;'Aportaciones Flex'!E50,0,F50*$B$8/12),F50*$B$8/12)</f>
        <v>27294.0275598638</v>
      </c>
      <c r="H50" s="125">
        <f t="shared" ca="1" si="6"/>
        <v>0</v>
      </c>
      <c r="I50" s="126">
        <f t="shared" ca="1" si="2"/>
        <v>0</v>
      </c>
      <c r="J50" s="125">
        <f t="shared" ca="1" si="7"/>
        <v>0</v>
      </c>
      <c r="K50" s="151"/>
      <c r="L50" s="125">
        <f t="shared" ca="1" si="8"/>
        <v>0</v>
      </c>
      <c r="M50" s="762"/>
      <c r="P50">
        <f t="shared" si="3"/>
        <v>43</v>
      </c>
      <c r="S50" s="126">
        <f t="shared" ca="1" si="0"/>
        <v>0</v>
      </c>
      <c r="T50" s="126">
        <f t="shared" ca="1" si="4"/>
        <v>0</v>
      </c>
    </row>
    <row r="51" spans="4:20">
      <c r="D51">
        <v>44</v>
      </c>
      <c r="E51" s="6">
        <f t="shared" ca="1" si="5"/>
        <v>51410</v>
      </c>
      <c r="F51" s="7">
        <f t="shared" ca="1" si="1"/>
        <v>1.5596587177065029</v>
      </c>
      <c r="G51" s="125">
        <f ca="1">IF('Simulador - 1º Pilar'!$E$99="Sí",IF('Aportaciones Flex'!$B$13&lt;'Aportaciones Flex'!E51,0,F51*$B$8/12),F51*$B$8/12)</f>
        <v>27294.0275598638</v>
      </c>
      <c r="H51" s="125">
        <f t="shared" ca="1" si="6"/>
        <v>0</v>
      </c>
      <c r="I51" s="126">
        <f t="shared" ca="1" si="2"/>
        <v>0</v>
      </c>
      <c r="J51" s="125">
        <f t="shared" ca="1" si="7"/>
        <v>0</v>
      </c>
      <c r="K51" s="151"/>
      <c r="L51" s="125">
        <f t="shared" ca="1" si="8"/>
        <v>0</v>
      </c>
      <c r="M51" s="762"/>
      <c r="P51">
        <f t="shared" si="3"/>
        <v>44</v>
      </c>
      <c r="S51" s="126">
        <f t="shared" ca="1" si="0"/>
        <v>0</v>
      </c>
      <c r="T51" s="126">
        <f t="shared" ca="1" si="4"/>
        <v>0</v>
      </c>
    </row>
    <row r="52" spans="4:20">
      <c r="D52">
        <v>45</v>
      </c>
      <c r="E52" s="6">
        <f t="shared" ca="1" si="5"/>
        <v>51380</v>
      </c>
      <c r="F52" s="7">
        <f t="shared" ca="1" si="1"/>
        <v>1.5596587177065029</v>
      </c>
      <c r="G52" s="125">
        <f ca="1">IF('Simulador - 1º Pilar'!$E$99="Sí",IF('Aportaciones Flex'!$B$13&lt;'Aportaciones Flex'!E52,0,F52*$B$8/12),F52*$B$8/12)</f>
        <v>27294.0275598638</v>
      </c>
      <c r="H52" s="125">
        <f t="shared" ca="1" si="6"/>
        <v>0</v>
      </c>
      <c r="I52" s="126">
        <f t="shared" ca="1" si="2"/>
        <v>0</v>
      </c>
      <c r="J52" s="125">
        <f t="shared" ca="1" si="7"/>
        <v>0</v>
      </c>
      <c r="K52" s="151"/>
      <c r="L52" s="125">
        <f t="shared" ca="1" si="8"/>
        <v>0</v>
      </c>
      <c r="M52" s="762"/>
      <c r="P52">
        <f t="shared" si="3"/>
        <v>45</v>
      </c>
      <c r="S52" s="126">
        <f t="shared" ca="1" si="0"/>
        <v>0</v>
      </c>
      <c r="T52" s="126">
        <f t="shared" ca="1" si="4"/>
        <v>0</v>
      </c>
    </row>
    <row r="53" spans="4:20">
      <c r="D53">
        <v>46</v>
      </c>
      <c r="E53" s="6">
        <f t="shared" ca="1" si="5"/>
        <v>51349</v>
      </c>
      <c r="F53" s="7">
        <f t="shared" ca="1" si="1"/>
        <v>1.5596587177065029</v>
      </c>
      <c r="G53" s="125">
        <f ca="1">IF('Simulador - 1º Pilar'!$E$99="Sí",IF('Aportaciones Flex'!$B$13&lt;'Aportaciones Flex'!E53,0,F53*$B$8/12),F53*$B$8/12)</f>
        <v>27294.0275598638</v>
      </c>
      <c r="H53" s="125">
        <f t="shared" ca="1" si="6"/>
        <v>0</v>
      </c>
      <c r="I53" s="126">
        <f t="shared" ca="1" si="2"/>
        <v>0</v>
      </c>
      <c r="J53" s="125">
        <f t="shared" ca="1" si="7"/>
        <v>0</v>
      </c>
      <c r="K53" s="151"/>
      <c r="L53" s="125">
        <f t="shared" ca="1" si="8"/>
        <v>0</v>
      </c>
      <c r="M53" s="762"/>
      <c r="P53">
        <f t="shared" si="3"/>
        <v>46</v>
      </c>
      <c r="S53" s="126">
        <f t="shared" ca="1" si="0"/>
        <v>0</v>
      </c>
      <c r="T53" s="126">
        <f t="shared" ca="1" si="4"/>
        <v>0</v>
      </c>
    </row>
    <row r="54" spans="4:20">
      <c r="D54">
        <v>47</v>
      </c>
      <c r="E54" s="6">
        <f t="shared" ca="1" si="5"/>
        <v>51318</v>
      </c>
      <c r="F54" s="7">
        <f t="shared" ca="1" si="1"/>
        <v>1.5596587177065029</v>
      </c>
      <c r="G54" s="125">
        <f ca="1">IF('Simulador - 1º Pilar'!$E$99="Sí",IF('Aportaciones Flex'!$B$13&lt;'Aportaciones Flex'!E54,0,F54*$B$8/12),F54*$B$8/12)</f>
        <v>27294.0275598638</v>
      </c>
      <c r="H54" s="125">
        <f t="shared" ca="1" si="6"/>
        <v>0</v>
      </c>
      <c r="I54" s="126">
        <f t="shared" ca="1" si="2"/>
        <v>0</v>
      </c>
      <c r="J54" s="125">
        <f t="shared" ca="1" si="7"/>
        <v>0</v>
      </c>
      <c r="K54" s="151"/>
      <c r="L54" s="125">
        <f t="shared" ca="1" si="8"/>
        <v>0</v>
      </c>
      <c r="M54" s="762"/>
      <c r="P54">
        <f t="shared" si="3"/>
        <v>47</v>
      </c>
      <c r="S54" s="126">
        <f t="shared" ca="1" si="0"/>
        <v>0</v>
      </c>
      <c r="T54" s="126">
        <f t="shared" ca="1" si="4"/>
        <v>0</v>
      </c>
    </row>
    <row r="55" spans="4:20">
      <c r="D55">
        <v>48</v>
      </c>
      <c r="E55" s="6">
        <f t="shared" ca="1" si="5"/>
        <v>51288</v>
      </c>
      <c r="F55" s="7">
        <f t="shared" ca="1" si="1"/>
        <v>1.5596587177065029</v>
      </c>
      <c r="G55" s="125">
        <f ca="1">IF('Simulador - 1º Pilar'!$E$99="Sí",IF('Aportaciones Flex'!$B$13&lt;'Aportaciones Flex'!E55,0,F55*$B$8/12),F55*$B$8/12)</f>
        <v>27294.0275598638</v>
      </c>
      <c r="H55" s="125">
        <f t="shared" ca="1" si="6"/>
        <v>0</v>
      </c>
      <c r="I55" s="126">
        <f t="shared" ca="1" si="2"/>
        <v>0</v>
      </c>
      <c r="J55" s="125">
        <f t="shared" ca="1" si="7"/>
        <v>0</v>
      </c>
      <c r="K55" s="151"/>
      <c r="L55" s="125">
        <f t="shared" ca="1" si="8"/>
        <v>0</v>
      </c>
      <c r="M55" s="762"/>
      <c r="P55">
        <f t="shared" si="3"/>
        <v>48</v>
      </c>
      <c r="S55" s="126">
        <f t="shared" ca="1" si="0"/>
        <v>0</v>
      </c>
      <c r="T55" s="126">
        <f t="shared" ca="1" si="4"/>
        <v>0</v>
      </c>
    </row>
    <row r="56" spans="4:20">
      <c r="D56">
        <v>49</v>
      </c>
      <c r="E56" s="6">
        <f t="shared" ca="1" si="5"/>
        <v>51257</v>
      </c>
      <c r="F56" s="7">
        <f t="shared" ca="1" si="1"/>
        <v>1.5596587177065029</v>
      </c>
      <c r="G56" s="125">
        <f ca="1">IF('Simulador - 1º Pilar'!$E$99="Sí",IF('Aportaciones Flex'!$B$13&lt;'Aportaciones Flex'!E56,0,F56*$B$8/12),F56*$B$8/12)</f>
        <v>27294.0275598638</v>
      </c>
      <c r="H56" s="125">
        <f t="shared" ca="1" si="6"/>
        <v>0</v>
      </c>
      <c r="I56" s="126">
        <f t="shared" ca="1" si="2"/>
        <v>0</v>
      </c>
      <c r="J56" s="125">
        <f t="shared" ca="1" si="7"/>
        <v>0</v>
      </c>
      <c r="K56" s="151"/>
      <c r="L56" s="125">
        <f t="shared" ca="1" si="8"/>
        <v>0</v>
      </c>
      <c r="M56" s="762"/>
      <c r="P56">
        <f t="shared" si="3"/>
        <v>49</v>
      </c>
      <c r="S56" s="126">
        <f t="shared" ca="1" si="0"/>
        <v>0</v>
      </c>
      <c r="T56" s="126">
        <f t="shared" ca="1" si="4"/>
        <v>0</v>
      </c>
    </row>
    <row r="57" spans="4:20">
      <c r="D57">
        <v>50</v>
      </c>
      <c r="E57" s="6">
        <f t="shared" ca="1" si="5"/>
        <v>51227</v>
      </c>
      <c r="F57" s="7">
        <f t="shared" ca="1" si="1"/>
        <v>1.5596587177065029</v>
      </c>
      <c r="G57" s="125">
        <f ca="1">IF('Simulador - 1º Pilar'!$E$99="Sí",IF('Aportaciones Flex'!$B$13&lt;'Aportaciones Flex'!E57,0,F57*$B$8/12),F57*$B$8/12)</f>
        <v>27294.0275598638</v>
      </c>
      <c r="H57" s="125">
        <f t="shared" ca="1" si="6"/>
        <v>0</v>
      </c>
      <c r="I57" s="126">
        <f t="shared" ca="1" si="2"/>
        <v>0</v>
      </c>
      <c r="J57" s="125">
        <f t="shared" ca="1" si="7"/>
        <v>0</v>
      </c>
      <c r="K57" s="151"/>
      <c r="L57" s="125">
        <f t="shared" ca="1" si="8"/>
        <v>0</v>
      </c>
      <c r="M57" s="762"/>
      <c r="P57">
        <f t="shared" si="3"/>
        <v>50</v>
      </c>
      <c r="S57" s="126">
        <f t="shared" ca="1" si="0"/>
        <v>0</v>
      </c>
      <c r="T57" s="126">
        <f t="shared" ca="1" si="4"/>
        <v>0</v>
      </c>
    </row>
    <row r="58" spans="4:20">
      <c r="D58">
        <v>51</v>
      </c>
      <c r="E58" s="6">
        <f t="shared" ca="1" si="5"/>
        <v>51196</v>
      </c>
      <c r="F58" s="7">
        <f t="shared" ca="1" si="1"/>
        <v>1.5596587177065029</v>
      </c>
      <c r="G58" s="125">
        <f ca="1">IF('Simulador - 1º Pilar'!$E$99="Sí",IF('Aportaciones Flex'!$B$13&lt;'Aportaciones Flex'!E58,0,F58*$B$8/12),F58*$B$8/12)</f>
        <v>27294.0275598638</v>
      </c>
      <c r="H58" s="125">
        <f t="shared" ca="1" si="6"/>
        <v>0</v>
      </c>
      <c r="I58" s="126">
        <f t="shared" ca="1" si="2"/>
        <v>0</v>
      </c>
      <c r="J58" s="125">
        <f t="shared" ca="1" si="7"/>
        <v>0</v>
      </c>
      <c r="K58" s="151"/>
      <c r="L58" s="125">
        <f t="shared" ca="1" si="8"/>
        <v>0</v>
      </c>
      <c r="M58" s="762"/>
      <c r="P58">
        <f t="shared" si="3"/>
        <v>51</v>
      </c>
      <c r="S58" s="126">
        <f t="shared" ca="1" si="0"/>
        <v>0</v>
      </c>
      <c r="T58" s="126">
        <f t="shared" ca="1" si="4"/>
        <v>0</v>
      </c>
    </row>
    <row r="59" spans="4:20">
      <c r="D59">
        <v>52</v>
      </c>
      <c r="E59" s="6">
        <f t="shared" ca="1" si="5"/>
        <v>51167</v>
      </c>
      <c r="F59" s="7">
        <f t="shared" ca="1" si="1"/>
        <v>1.5596587177065029</v>
      </c>
      <c r="G59" s="125">
        <f ca="1">IF('Simulador - 1º Pilar'!$E$99="Sí",IF('Aportaciones Flex'!$B$13&lt;'Aportaciones Flex'!E59,0,F59*$B$8/12),F59*$B$8/12)</f>
        <v>27294.0275598638</v>
      </c>
      <c r="H59" s="125">
        <f t="shared" ca="1" si="6"/>
        <v>0</v>
      </c>
      <c r="I59" s="126">
        <f t="shared" ca="1" si="2"/>
        <v>0</v>
      </c>
      <c r="J59" s="125">
        <f t="shared" ca="1" si="7"/>
        <v>0</v>
      </c>
      <c r="K59" s="151"/>
      <c r="L59" s="125">
        <f t="shared" ca="1" si="8"/>
        <v>0</v>
      </c>
      <c r="M59" s="762"/>
      <c r="P59">
        <f t="shared" si="3"/>
        <v>52</v>
      </c>
      <c r="S59" s="126">
        <f t="shared" ca="1" si="0"/>
        <v>0</v>
      </c>
      <c r="T59" s="126">
        <f t="shared" ca="1" si="4"/>
        <v>0</v>
      </c>
    </row>
    <row r="60" spans="4:20">
      <c r="D60">
        <v>53</v>
      </c>
      <c r="E60" s="6">
        <f t="shared" ca="1" si="5"/>
        <v>51136</v>
      </c>
      <c r="F60" s="7">
        <f t="shared" ca="1" si="1"/>
        <v>1.5596587177065029</v>
      </c>
      <c r="G60" s="125">
        <f ca="1">IF('Simulador - 1º Pilar'!$E$99="Sí",IF('Aportaciones Flex'!$B$13&lt;'Aportaciones Flex'!E60,0,F60*$B$8/12),F60*$B$8/12)</f>
        <v>27294.0275598638</v>
      </c>
      <c r="H60" s="125">
        <f t="shared" ca="1" si="6"/>
        <v>0</v>
      </c>
      <c r="I60" s="126">
        <f t="shared" ca="1" si="2"/>
        <v>0</v>
      </c>
      <c r="J60" s="125">
        <f t="shared" ca="1" si="7"/>
        <v>0</v>
      </c>
      <c r="K60" s="151"/>
      <c r="L60" s="125">
        <f t="shared" ca="1" si="8"/>
        <v>0</v>
      </c>
      <c r="M60" s="762"/>
      <c r="P60">
        <f t="shared" si="3"/>
        <v>53</v>
      </c>
      <c r="S60" s="126">
        <f t="shared" ca="1" si="0"/>
        <v>0</v>
      </c>
      <c r="T60" s="126">
        <f t="shared" ca="1" si="4"/>
        <v>0</v>
      </c>
    </row>
    <row r="61" spans="4:20">
      <c r="D61">
        <v>54</v>
      </c>
      <c r="E61" s="6">
        <f t="shared" ca="1" si="5"/>
        <v>51105</v>
      </c>
      <c r="F61" s="7">
        <f t="shared" ca="1" si="1"/>
        <v>1.5216182611770761</v>
      </c>
      <c r="G61" s="125">
        <f ca="1">IF('Simulador - 1º Pilar'!$E$99="Sí",IF('Aportaciones Flex'!$B$13&lt;'Aportaciones Flex'!E61,0,F61*$B$8/12),F61*$B$8/12)</f>
        <v>26628.319570598833</v>
      </c>
      <c r="H61" s="125">
        <f t="shared" ca="1" si="6"/>
        <v>0</v>
      </c>
      <c r="I61" s="126">
        <f t="shared" ca="1" si="2"/>
        <v>0</v>
      </c>
      <c r="J61" s="125">
        <f t="shared" ca="1" si="7"/>
        <v>0</v>
      </c>
      <c r="K61" s="151"/>
      <c r="L61" s="125">
        <f t="shared" ca="1" si="8"/>
        <v>0</v>
      </c>
      <c r="M61" s="762"/>
      <c r="P61">
        <f t="shared" si="3"/>
        <v>54</v>
      </c>
      <c r="S61" s="126">
        <f t="shared" ca="1" si="0"/>
        <v>0</v>
      </c>
      <c r="T61" s="126">
        <f t="shared" ca="1" si="4"/>
        <v>0</v>
      </c>
    </row>
    <row r="62" spans="4:20">
      <c r="D62">
        <v>55</v>
      </c>
      <c r="E62" s="6">
        <f t="shared" ca="1" si="5"/>
        <v>51075</v>
      </c>
      <c r="F62" s="7">
        <f t="shared" ca="1" si="1"/>
        <v>1.5216182611770761</v>
      </c>
      <c r="G62" s="125">
        <f ca="1">IF('Simulador - 1º Pilar'!$E$99="Sí",IF('Aportaciones Flex'!$B$13&lt;'Aportaciones Flex'!E62,0,F62*$B$8/12),F62*$B$8/12)</f>
        <v>26628.319570598833</v>
      </c>
      <c r="H62" s="125">
        <f t="shared" ca="1" si="6"/>
        <v>0</v>
      </c>
      <c r="I62" s="126">
        <f t="shared" ca="1" si="2"/>
        <v>0</v>
      </c>
      <c r="J62" s="125">
        <f t="shared" ca="1" si="7"/>
        <v>0</v>
      </c>
      <c r="K62" s="151"/>
      <c r="L62" s="125">
        <f t="shared" ca="1" si="8"/>
        <v>0</v>
      </c>
      <c r="M62" s="762"/>
      <c r="P62">
        <f t="shared" si="3"/>
        <v>55</v>
      </c>
      <c r="S62" s="126">
        <f t="shared" ca="1" si="0"/>
        <v>0</v>
      </c>
      <c r="T62" s="126">
        <f t="shared" ca="1" si="4"/>
        <v>0</v>
      </c>
    </row>
    <row r="63" spans="4:20">
      <c r="D63">
        <v>56</v>
      </c>
      <c r="E63" s="6">
        <f t="shared" ca="1" si="5"/>
        <v>51044</v>
      </c>
      <c r="F63" s="7">
        <f t="shared" ca="1" si="1"/>
        <v>1.5216182611770761</v>
      </c>
      <c r="G63" s="125">
        <f ca="1">IF('Simulador - 1º Pilar'!$E$99="Sí",IF('Aportaciones Flex'!$B$13&lt;'Aportaciones Flex'!E63,0,F63*$B$8/12),F63*$B$8/12)</f>
        <v>26628.319570598833</v>
      </c>
      <c r="H63" s="125">
        <f t="shared" ca="1" si="6"/>
        <v>0</v>
      </c>
      <c r="I63" s="126">
        <f t="shared" ca="1" si="2"/>
        <v>0</v>
      </c>
      <c r="J63" s="125">
        <f t="shared" ca="1" si="7"/>
        <v>0</v>
      </c>
      <c r="K63" s="151"/>
      <c r="L63" s="125">
        <f t="shared" ca="1" si="8"/>
        <v>0</v>
      </c>
      <c r="M63" s="762"/>
      <c r="P63">
        <f t="shared" si="3"/>
        <v>56</v>
      </c>
      <c r="S63" s="126">
        <f t="shared" ca="1" si="0"/>
        <v>0</v>
      </c>
      <c r="T63" s="126">
        <f t="shared" ca="1" si="4"/>
        <v>0</v>
      </c>
    </row>
    <row r="64" spans="4:20">
      <c r="D64">
        <v>57</v>
      </c>
      <c r="E64" s="6">
        <f t="shared" ca="1" si="5"/>
        <v>51014</v>
      </c>
      <c r="F64" s="7">
        <f t="shared" ca="1" si="1"/>
        <v>1.5216182611770761</v>
      </c>
      <c r="G64" s="125">
        <f ca="1">IF('Simulador - 1º Pilar'!$E$99="Sí",IF('Aportaciones Flex'!$B$13&lt;'Aportaciones Flex'!E64,0,F64*$B$8/12),F64*$B$8/12)</f>
        <v>26628.319570598833</v>
      </c>
      <c r="H64" s="125">
        <f t="shared" ca="1" si="6"/>
        <v>0</v>
      </c>
      <c r="I64" s="126">
        <f t="shared" ca="1" si="2"/>
        <v>0</v>
      </c>
      <c r="J64" s="125">
        <f t="shared" ca="1" si="7"/>
        <v>0</v>
      </c>
      <c r="K64" s="151"/>
      <c r="L64" s="125">
        <f t="shared" ca="1" si="8"/>
        <v>0</v>
      </c>
      <c r="M64" s="762"/>
      <c r="P64">
        <f t="shared" si="3"/>
        <v>57</v>
      </c>
      <c r="S64" s="126">
        <f t="shared" ca="1" si="0"/>
        <v>0</v>
      </c>
      <c r="T64" s="126">
        <f t="shared" ca="1" si="4"/>
        <v>0</v>
      </c>
    </row>
    <row r="65" spans="4:20">
      <c r="D65">
        <v>58</v>
      </c>
      <c r="E65" s="6">
        <f t="shared" ca="1" si="5"/>
        <v>50983</v>
      </c>
      <c r="F65" s="7">
        <f t="shared" ca="1" si="1"/>
        <v>1.5216182611770761</v>
      </c>
      <c r="G65" s="125">
        <f ca="1">IF('Simulador - 1º Pilar'!$E$99="Sí",IF('Aportaciones Flex'!$B$13&lt;'Aportaciones Flex'!E65,0,F65*$B$8/12),F65*$B$8/12)</f>
        <v>26628.319570598833</v>
      </c>
      <c r="H65" s="125">
        <f t="shared" ca="1" si="6"/>
        <v>0</v>
      </c>
      <c r="I65" s="126">
        <f t="shared" ca="1" si="2"/>
        <v>0</v>
      </c>
      <c r="J65" s="125">
        <f t="shared" ca="1" si="7"/>
        <v>0</v>
      </c>
      <c r="K65" s="151"/>
      <c r="L65" s="125">
        <f t="shared" ca="1" si="8"/>
        <v>0</v>
      </c>
      <c r="M65" s="762"/>
      <c r="P65">
        <f t="shared" si="3"/>
        <v>58</v>
      </c>
      <c r="S65" s="126">
        <f t="shared" ca="1" si="0"/>
        <v>0</v>
      </c>
      <c r="T65" s="126">
        <f t="shared" ca="1" si="4"/>
        <v>0</v>
      </c>
    </row>
    <row r="66" spans="4:20">
      <c r="D66">
        <v>59</v>
      </c>
      <c r="E66" s="6">
        <f t="shared" ca="1" si="5"/>
        <v>50952</v>
      </c>
      <c r="F66" s="7">
        <f t="shared" ca="1" si="1"/>
        <v>1.5216182611770761</v>
      </c>
      <c r="G66" s="125">
        <f ca="1">IF('Simulador - 1º Pilar'!$E$99="Sí",IF('Aportaciones Flex'!$B$13&lt;'Aportaciones Flex'!E66,0,F66*$B$8/12),F66*$B$8/12)</f>
        <v>26628.319570598833</v>
      </c>
      <c r="H66" s="125">
        <f t="shared" ca="1" si="6"/>
        <v>0</v>
      </c>
      <c r="I66" s="126">
        <f t="shared" ca="1" si="2"/>
        <v>0</v>
      </c>
      <c r="J66" s="125">
        <f t="shared" ca="1" si="7"/>
        <v>0</v>
      </c>
      <c r="K66" s="151"/>
      <c r="L66" s="125">
        <f t="shared" ca="1" si="8"/>
        <v>0</v>
      </c>
      <c r="M66" s="762"/>
      <c r="P66">
        <f t="shared" si="3"/>
        <v>59</v>
      </c>
      <c r="S66" s="126">
        <f t="shared" ca="1" si="0"/>
        <v>0</v>
      </c>
      <c r="T66" s="126">
        <f t="shared" ca="1" si="4"/>
        <v>0</v>
      </c>
    </row>
    <row r="67" spans="4:20">
      <c r="D67">
        <v>60</v>
      </c>
      <c r="E67" s="6">
        <f t="shared" ca="1" si="5"/>
        <v>50922</v>
      </c>
      <c r="F67" s="7">
        <f t="shared" ca="1" si="1"/>
        <v>1.5216182611770761</v>
      </c>
      <c r="G67" s="125">
        <f ca="1">IF('Simulador - 1º Pilar'!$E$99="Sí",IF('Aportaciones Flex'!$B$13&lt;'Aportaciones Flex'!E67,0,F67*$B$8/12),F67*$B$8/12)</f>
        <v>26628.319570598833</v>
      </c>
      <c r="H67" s="125">
        <f t="shared" ca="1" si="6"/>
        <v>0</v>
      </c>
      <c r="I67" s="126">
        <f t="shared" ca="1" si="2"/>
        <v>0</v>
      </c>
      <c r="J67" s="125">
        <f t="shared" ca="1" si="7"/>
        <v>0</v>
      </c>
      <c r="K67" s="151"/>
      <c r="L67" s="125">
        <f t="shared" ca="1" si="8"/>
        <v>0</v>
      </c>
      <c r="M67" s="762"/>
      <c r="P67">
        <f t="shared" si="3"/>
        <v>60</v>
      </c>
      <c r="S67" s="126">
        <f t="shared" ca="1" si="0"/>
        <v>0</v>
      </c>
      <c r="T67" s="126">
        <f t="shared" ca="1" si="4"/>
        <v>0</v>
      </c>
    </row>
    <row r="68" spans="4:20">
      <c r="D68">
        <v>61</v>
      </c>
      <c r="E68" s="6">
        <f t="shared" ca="1" si="5"/>
        <v>50891</v>
      </c>
      <c r="F68" s="7">
        <f t="shared" ca="1" si="1"/>
        <v>1.5216182611770761</v>
      </c>
      <c r="G68" s="125">
        <f ca="1">IF('Simulador - 1º Pilar'!$E$99="Sí",IF('Aportaciones Flex'!$B$13&lt;'Aportaciones Flex'!E68,0,F68*$B$8/12),F68*$B$8/12)</f>
        <v>26628.319570598833</v>
      </c>
      <c r="H68" s="125">
        <f t="shared" ca="1" si="6"/>
        <v>0</v>
      </c>
      <c r="I68" s="126">
        <f t="shared" ca="1" si="2"/>
        <v>0</v>
      </c>
      <c r="J68" s="125">
        <f t="shared" ca="1" si="7"/>
        <v>0</v>
      </c>
      <c r="K68" s="151"/>
      <c r="L68" s="125">
        <f t="shared" ca="1" si="8"/>
        <v>0</v>
      </c>
      <c r="M68" s="762"/>
      <c r="P68">
        <f t="shared" si="3"/>
        <v>61</v>
      </c>
      <c r="S68" s="126">
        <f t="shared" ca="1" si="0"/>
        <v>0</v>
      </c>
      <c r="T68" s="126">
        <f t="shared" ca="1" si="4"/>
        <v>0</v>
      </c>
    </row>
    <row r="69" spans="4:20">
      <c r="D69">
        <v>62</v>
      </c>
      <c r="E69" s="6">
        <f t="shared" ca="1" si="5"/>
        <v>50861</v>
      </c>
      <c r="F69" s="7">
        <f t="shared" ca="1" si="1"/>
        <v>1.5216182611770761</v>
      </c>
      <c r="G69" s="125">
        <f ca="1">IF('Simulador - 1º Pilar'!$E$99="Sí",IF('Aportaciones Flex'!$B$13&lt;'Aportaciones Flex'!E69,0,F69*$B$8/12),F69*$B$8/12)</f>
        <v>26628.319570598833</v>
      </c>
      <c r="H69" s="125">
        <f t="shared" ca="1" si="6"/>
        <v>0</v>
      </c>
      <c r="I69" s="126">
        <f t="shared" ca="1" si="2"/>
        <v>0</v>
      </c>
      <c r="J69" s="125">
        <f t="shared" ca="1" si="7"/>
        <v>0</v>
      </c>
      <c r="K69" s="151"/>
      <c r="L69" s="125">
        <f t="shared" ca="1" si="8"/>
        <v>0</v>
      </c>
      <c r="M69" s="762"/>
      <c r="P69">
        <f t="shared" si="3"/>
        <v>62</v>
      </c>
      <c r="S69" s="126">
        <f t="shared" ca="1" si="0"/>
        <v>0</v>
      </c>
      <c r="T69" s="126">
        <f t="shared" ca="1" si="4"/>
        <v>0</v>
      </c>
    </row>
    <row r="70" spans="4:20">
      <c r="D70">
        <v>63</v>
      </c>
      <c r="E70" s="6">
        <f t="shared" ca="1" si="5"/>
        <v>50830</v>
      </c>
      <c r="F70" s="7">
        <f t="shared" ca="1" si="1"/>
        <v>1.5216182611770761</v>
      </c>
      <c r="G70" s="125">
        <f ca="1">IF('Simulador - 1º Pilar'!$E$99="Sí",IF('Aportaciones Flex'!$B$13&lt;'Aportaciones Flex'!E70,0,F70*$B$8/12),F70*$B$8/12)</f>
        <v>26628.319570598833</v>
      </c>
      <c r="H70" s="125">
        <f t="shared" ca="1" si="6"/>
        <v>0</v>
      </c>
      <c r="I70" s="126">
        <f t="shared" ca="1" si="2"/>
        <v>0</v>
      </c>
      <c r="J70" s="125">
        <f t="shared" ca="1" si="7"/>
        <v>0</v>
      </c>
      <c r="K70" s="151"/>
      <c r="L70" s="125">
        <f t="shared" ca="1" si="8"/>
        <v>0</v>
      </c>
      <c r="M70" s="762"/>
      <c r="P70">
        <f t="shared" si="3"/>
        <v>63</v>
      </c>
      <c r="S70" s="126">
        <f t="shared" ca="1" si="0"/>
        <v>0</v>
      </c>
      <c r="T70" s="126">
        <f t="shared" ca="1" si="4"/>
        <v>0</v>
      </c>
    </row>
    <row r="71" spans="4:20">
      <c r="D71">
        <v>64</v>
      </c>
      <c r="E71" s="6">
        <f t="shared" ca="1" si="5"/>
        <v>50802</v>
      </c>
      <c r="F71" s="7">
        <f t="shared" ca="1" si="1"/>
        <v>1.5216182611770761</v>
      </c>
      <c r="G71" s="125">
        <f ca="1">IF('Simulador - 1º Pilar'!$E$99="Sí",IF('Aportaciones Flex'!$B$13&lt;'Aportaciones Flex'!E71,0,F71*$B$8/12),F71*$B$8/12)</f>
        <v>26628.319570598833</v>
      </c>
      <c r="H71" s="125">
        <f t="shared" ref="H71:H134" ca="1" si="9">IF(G71&gt;0,1,0)*$H$5*IF(AND($I$5="NO",YEAR(E71)=YEAR($B$6)+1),1,IF($I$5="SI",1,0))</f>
        <v>0</v>
      </c>
      <c r="I71" s="126">
        <f t="shared" ref="I71:I134" ca="1" si="10">(1+$M$5)^(D71/12)*(H71*(12-IF(MONTH(E72)=12,0,MONTH(E72)))+IF(AND(F71=1,F72=0),$Q$4,0))*IF(AND(F71=1,F72=0),1,0)</f>
        <v>0</v>
      </c>
      <c r="J71" s="125">
        <f t="shared" ca="1" si="7"/>
        <v>0</v>
      </c>
      <c r="K71" s="151"/>
      <c r="L71" s="125">
        <f t="shared" ca="1" si="8"/>
        <v>0</v>
      </c>
      <c r="M71" s="762"/>
      <c r="P71">
        <f t="shared" si="3"/>
        <v>64</v>
      </c>
      <c r="S71" s="126">
        <f t="shared" ref="S71:S134" ca="1" si="11">(1+$M$5)^(D71/12)*(IF(E71=$C$6,$Q$4+$H$5*12,0))</f>
        <v>0</v>
      </c>
      <c r="T71" s="126">
        <f t="shared" ca="1" si="4"/>
        <v>0</v>
      </c>
    </row>
    <row r="72" spans="4:20">
      <c r="D72">
        <v>65</v>
      </c>
      <c r="E72" s="6">
        <f t="shared" ca="1" si="5"/>
        <v>50771</v>
      </c>
      <c r="F72" s="7">
        <f t="shared" ref="F72:F135" ca="1" si="12">IF(DATE(YEAR($B$6),MONTH($B$6)+1,DAY(1))=E72,1,IF(MONTH(E72)=1,F73*(1+$F$5),F73))</f>
        <v>1.5216182611770761</v>
      </c>
      <c r="G72" s="125">
        <f ca="1">IF('Simulador - 1º Pilar'!$E$99="Sí",IF('Aportaciones Flex'!$B$13&lt;'Aportaciones Flex'!E72,0,F72*$B$8/12),F72*$B$8/12)</f>
        <v>26628.319570598833</v>
      </c>
      <c r="H72" s="125">
        <f t="shared" ca="1" si="9"/>
        <v>0</v>
      </c>
      <c r="I72" s="126">
        <f t="shared" ca="1" si="10"/>
        <v>0</v>
      </c>
      <c r="J72" s="125">
        <f t="shared" ref="J72:J135" ca="1" si="13">(1+$M$5)^(D72/12)*(H72+IF(AND(F72=1,F73=0),$Q$4,0))</f>
        <v>0</v>
      </c>
      <c r="K72" s="151"/>
      <c r="L72" s="125">
        <f t="shared" ref="L72:L135" ca="1" si="14">K72+J72</f>
        <v>0</v>
      </c>
      <c r="M72" s="762"/>
      <c r="P72">
        <f t="shared" ref="P72:P135" si="15">D72</f>
        <v>65</v>
      </c>
      <c r="S72" s="126">
        <f t="shared" ca="1" si="11"/>
        <v>0</v>
      </c>
      <c r="T72" s="126">
        <f t="shared" ref="T72:T135" ca="1" si="16">(1+$M$5)^(D72/12)*(IF(YEAR(E72)&gt;YEAR($C$6),L72,0)+IF(E72=$C$6,$H$5*12+$Q$4,0))</f>
        <v>0</v>
      </c>
    </row>
    <row r="73" spans="4:20">
      <c r="D73">
        <v>66</v>
      </c>
      <c r="E73" s="6">
        <f t="shared" ref="E73:E136" ca="1" si="17">+DATE(YEAR(E72),MONTH(E72)-1,DAY(E72))</f>
        <v>50740</v>
      </c>
      <c r="F73" s="7">
        <f t="shared" ca="1" si="12"/>
        <v>1.4845056206605622</v>
      </c>
      <c r="G73" s="125">
        <f ca="1">IF('Simulador - 1º Pilar'!$E$99="Sí",IF('Aportaciones Flex'!$B$13&lt;'Aportaciones Flex'!E73,0,F73*$B$8/12),F73*$B$8/12)</f>
        <v>25978.848361559838</v>
      </c>
      <c r="H73" s="125">
        <f t="shared" ca="1" si="9"/>
        <v>0</v>
      </c>
      <c r="I73" s="126">
        <f t="shared" ca="1" si="10"/>
        <v>0</v>
      </c>
      <c r="J73" s="125">
        <f t="shared" ca="1" si="13"/>
        <v>0</v>
      </c>
      <c r="K73" s="151"/>
      <c r="L73" s="125">
        <f t="shared" ca="1" si="14"/>
        <v>0</v>
      </c>
      <c r="M73" s="762"/>
      <c r="P73">
        <f t="shared" si="15"/>
        <v>66</v>
      </c>
      <c r="S73" s="126">
        <f t="shared" ca="1" si="11"/>
        <v>0</v>
      </c>
      <c r="T73" s="126">
        <f t="shared" ca="1" si="16"/>
        <v>0</v>
      </c>
    </row>
    <row r="74" spans="4:20">
      <c r="D74">
        <v>67</v>
      </c>
      <c r="E74" s="6">
        <f t="shared" ca="1" si="17"/>
        <v>50710</v>
      </c>
      <c r="F74" s="7">
        <f t="shared" ca="1" si="12"/>
        <v>1.4845056206605622</v>
      </c>
      <c r="G74" s="125">
        <f ca="1">IF('Simulador - 1º Pilar'!$E$99="Sí",IF('Aportaciones Flex'!$B$13&lt;'Aportaciones Flex'!E74,0,F74*$B$8/12),F74*$B$8/12)</f>
        <v>25978.848361559838</v>
      </c>
      <c r="H74" s="125">
        <f t="shared" ca="1" si="9"/>
        <v>0</v>
      </c>
      <c r="I74" s="126">
        <f t="shared" ca="1" si="10"/>
        <v>0</v>
      </c>
      <c r="J74" s="125">
        <f t="shared" ca="1" si="13"/>
        <v>0</v>
      </c>
      <c r="K74" s="151"/>
      <c r="L74" s="125">
        <f t="shared" ca="1" si="14"/>
        <v>0</v>
      </c>
      <c r="M74" s="762"/>
      <c r="P74">
        <f t="shared" si="15"/>
        <v>67</v>
      </c>
      <c r="S74" s="126">
        <f t="shared" ca="1" si="11"/>
        <v>0</v>
      </c>
      <c r="T74" s="126">
        <f t="shared" ca="1" si="16"/>
        <v>0</v>
      </c>
    </row>
    <row r="75" spans="4:20">
      <c r="D75">
        <v>68</v>
      </c>
      <c r="E75" s="6">
        <f t="shared" ca="1" si="17"/>
        <v>50679</v>
      </c>
      <c r="F75" s="7">
        <f t="shared" ca="1" si="12"/>
        <v>1.4845056206605622</v>
      </c>
      <c r="G75" s="125">
        <f ca="1">IF('Simulador - 1º Pilar'!$E$99="Sí",IF('Aportaciones Flex'!$B$13&lt;'Aportaciones Flex'!E75,0,F75*$B$8/12),F75*$B$8/12)</f>
        <v>25978.848361559838</v>
      </c>
      <c r="H75" s="125">
        <f t="shared" ca="1" si="9"/>
        <v>0</v>
      </c>
      <c r="I75" s="126">
        <f t="shared" ca="1" si="10"/>
        <v>0</v>
      </c>
      <c r="J75" s="125">
        <f t="shared" ca="1" si="13"/>
        <v>0</v>
      </c>
      <c r="K75" s="151"/>
      <c r="L75" s="125">
        <f t="shared" ca="1" si="14"/>
        <v>0</v>
      </c>
      <c r="M75" s="762"/>
      <c r="P75">
        <f t="shared" si="15"/>
        <v>68</v>
      </c>
      <c r="S75" s="126">
        <f t="shared" ca="1" si="11"/>
        <v>0</v>
      </c>
      <c r="T75" s="126">
        <f t="shared" ca="1" si="16"/>
        <v>0</v>
      </c>
    </row>
    <row r="76" spans="4:20">
      <c r="D76">
        <v>69</v>
      </c>
      <c r="E76" s="6">
        <f t="shared" ca="1" si="17"/>
        <v>50649</v>
      </c>
      <c r="F76" s="7">
        <f t="shared" ca="1" si="12"/>
        <v>1.4845056206605622</v>
      </c>
      <c r="G76" s="125">
        <f ca="1">IF('Simulador - 1º Pilar'!$E$99="Sí",IF('Aportaciones Flex'!$B$13&lt;'Aportaciones Flex'!E76,0,F76*$B$8/12),F76*$B$8/12)</f>
        <v>25978.848361559838</v>
      </c>
      <c r="H76" s="125">
        <f t="shared" ca="1" si="9"/>
        <v>0</v>
      </c>
      <c r="I76" s="126">
        <f t="shared" ca="1" si="10"/>
        <v>0</v>
      </c>
      <c r="J76" s="125">
        <f t="shared" ca="1" si="13"/>
        <v>0</v>
      </c>
      <c r="K76" s="151"/>
      <c r="L76" s="125">
        <f t="shared" ca="1" si="14"/>
        <v>0</v>
      </c>
      <c r="M76" s="762"/>
      <c r="P76">
        <f t="shared" si="15"/>
        <v>69</v>
      </c>
      <c r="S76" s="126">
        <f t="shared" ca="1" si="11"/>
        <v>0</v>
      </c>
      <c r="T76" s="126">
        <f t="shared" ca="1" si="16"/>
        <v>0</v>
      </c>
    </row>
    <row r="77" spans="4:20">
      <c r="D77">
        <v>70</v>
      </c>
      <c r="E77" s="6">
        <f t="shared" ca="1" si="17"/>
        <v>50618</v>
      </c>
      <c r="F77" s="7">
        <f t="shared" ca="1" si="12"/>
        <v>1.4845056206605622</v>
      </c>
      <c r="G77" s="125">
        <f ca="1">IF('Simulador - 1º Pilar'!$E$99="Sí",IF('Aportaciones Flex'!$B$13&lt;'Aportaciones Flex'!E77,0,F77*$B$8/12),F77*$B$8/12)</f>
        <v>25978.848361559838</v>
      </c>
      <c r="H77" s="125">
        <f t="shared" ca="1" si="9"/>
        <v>0</v>
      </c>
      <c r="I77" s="126">
        <f t="shared" ca="1" si="10"/>
        <v>0</v>
      </c>
      <c r="J77" s="125">
        <f t="shared" ca="1" si="13"/>
        <v>0</v>
      </c>
      <c r="K77" s="151"/>
      <c r="L77" s="125">
        <f t="shared" ca="1" si="14"/>
        <v>0</v>
      </c>
      <c r="M77" s="762"/>
      <c r="P77">
        <f t="shared" si="15"/>
        <v>70</v>
      </c>
      <c r="S77" s="126">
        <f t="shared" ca="1" si="11"/>
        <v>0</v>
      </c>
      <c r="T77" s="126">
        <f t="shared" ca="1" si="16"/>
        <v>0</v>
      </c>
    </row>
    <row r="78" spans="4:20">
      <c r="D78">
        <v>71</v>
      </c>
      <c r="E78" s="6">
        <f t="shared" ca="1" si="17"/>
        <v>50587</v>
      </c>
      <c r="F78" s="7">
        <f t="shared" ca="1" si="12"/>
        <v>1.4845056206605622</v>
      </c>
      <c r="G78" s="125">
        <f ca="1">IF('Simulador - 1º Pilar'!$E$99="Sí",IF('Aportaciones Flex'!$B$13&lt;'Aportaciones Flex'!E78,0,F78*$B$8/12),F78*$B$8/12)</f>
        <v>25978.848361559838</v>
      </c>
      <c r="H78" s="125">
        <f t="shared" ca="1" si="9"/>
        <v>0</v>
      </c>
      <c r="I78" s="126">
        <f t="shared" ca="1" si="10"/>
        <v>0</v>
      </c>
      <c r="J78" s="125">
        <f t="shared" ca="1" si="13"/>
        <v>0</v>
      </c>
      <c r="K78" s="151"/>
      <c r="L78" s="125">
        <f t="shared" ca="1" si="14"/>
        <v>0</v>
      </c>
      <c r="M78" s="762"/>
      <c r="P78">
        <f t="shared" si="15"/>
        <v>71</v>
      </c>
      <c r="S78" s="126">
        <f t="shared" ca="1" si="11"/>
        <v>0</v>
      </c>
      <c r="T78" s="126">
        <f t="shared" ca="1" si="16"/>
        <v>0</v>
      </c>
    </row>
    <row r="79" spans="4:20">
      <c r="D79">
        <v>72</v>
      </c>
      <c r="E79" s="6">
        <f t="shared" ca="1" si="17"/>
        <v>50557</v>
      </c>
      <c r="F79" s="7">
        <f t="shared" ca="1" si="12"/>
        <v>1.4845056206605622</v>
      </c>
      <c r="G79" s="125">
        <f ca="1">IF('Simulador - 1º Pilar'!$E$99="Sí",IF('Aportaciones Flex'!$B$13&lt;'Aportaciones Flex'!E79,0,F79*$B$8/12),F79*$B$8/12)</f>
        <v>25978.848361559838</v>
      </c>
      <c r="H79" s="125">
        <f t="shared" ca="1" si="9"/>
        <v>0</v>
      </c>
      <c r="I79" s="126">
        <f t="shared" ca="1" si="10"/>
        <v>0</v>
      </c>
      <c r="J79" s="125">
        <f t="shared" ca="1" si="13"/>
        <v>0</v>
      </c>
      <c r="K79" s="151"/>
      <c r="L79" s="125">
        <f t="shared" ca="1" si="14"/>
        <v>0</v>
      </c>
      <c r="M79" s="762"/>
      <c r="P79">
        <f t="shared" si="15"/>
        <v>72</v>
      </c>
      <c r="S79" s="126">
        <f t="shared" ca="1" si="11"/>
        <v>0</v>
      </c>
      <c r="T79" s="126">
        <f t="shared" ca="1" si="16"/>
        <v>0</v>
      </c>
    </row>
    <row r="80" spans="4:20">
      <c r="D80">
        <v>73</v>
      </c>
      <c r="E80" s="6">
        <f t="shared" ca="1" si="17"/>
        <v>50526</v>
      </c>
      <c r="F80" s="7">
        <f t="shared" ca="1" si="12"/>
        <v>1.4845056206605622</v>
      </c>
      <c r="G80" s="125">
        <f ca="1">IF('Simulador - 1º Pilar'!$E$99="Sí",IF('Aportaciones Flex'!$B$13&lt;'Aportaciones Flex'!E80,0,F80*$B$8/12),F80*$B$8/12)</f>
        <v>25978.848361559838</v>
      </c>
      <c r="H80" s="125">
        <f t="shared" ca="1" si="9"/>
        <v>0</v>
      </c>
      <c r="I80" s="126">
        <f t="shared" ca="1" si="10"/>
        <v>0</v>
      </c>
      <c r="J80" s="125">
        <f t="shared" ca="1" si="13"/>
        <v>0</v>
      </c>
      <c r="K80" s="151"/>
      <c r="L80" s="125">
        <f t="shared" ca="1" si="14"/>
        <v>0</v>
      </c>
      <c r="M80" s="762"/>
      <c r="P80">
        <f t="shared" si="15"/>
        <v>73</v>
      </c>
      <c r="S80" s="126">
        <f t="shared" ca="1" si="11"/>
        <v>0</v>
      </c>
      <c r="T80" s="126">
        <f t="shared" ca="1" si="16"/>
        <v>0</v>
      </c>
    </row>
    <row r="81" spans="4:20">
      <c r="D81">
        <v>74</v>
      </c>
      <c r="E81" s="6">
        <f t="shared" ca="1" si="17"/>
        <v>50496</v>
      </c>
      <c r="F81" s="7">
        <f t="shared" ca="1" si="12"/>
        <v>1.4845056206605622</v>
      </c>
      <c r="G81" s="125">
        <f ca="1">IF('Simulador - 1º Pilar'!$E$99="Sí",IF('Aportaciones Flex'!$B$13&lt;'Aportaciones Flex'!E81,0,F81*$B$8/12),F81*$B$8/12)</f>
        <v>25978.848361559838</v>
      </c>
      <c r="H81" s="125">
        <f t="shared" ca="1" si="9"/>
        <v>0</v>
      </c>
      <c r="I81" s="126">
        <f t="shared" ca="1" si="10"/>
        <v>0</v>
      </c>
      <c r="J81" s="125">
        <f t="shared" ca="1" si="13"/>
        <v>0</v>
      </c>
      <c r="K81" s="151"/>
      <c r="L81" s="125">
        <f ca="1">K81+J81</f>
        <v>0</v>
      </c>
      <c r="M81" s="762"/>
      <c r="P81">
        <f t="shared" si="15"/>
        <v>74</v>
      </c>
      <c r="S81" s="126">
        <f t="shared" ca="1" si="11"/>
        <v>0</v>
      </c>
      <c r="T81" s="126">
        <f t="shared" ca="1" si="16"/>
        <v>0</v>
      </c>
    </row>
    <row r="82" spans="4:20">
      <c r="D82">
        <v>75</v>
      </c>
      <c r="E82" s="6">
        <f t="shared" ca="1" si="17"/>
        <v>50465</v>
      </c>
      <c r="F82" s="7">
        <f t="shared" ca="1" si="12"/>
        <v>1.4845056206605622</v>
      </c>
      <c r="G82" s="125">
        <f ca="1">IF('Simulador - 1º Pilar'!$E$99="Sí",IF('Aportaciones Flex'!$B$13&lt;'Aportaciones Flex'!E82,0,F82*$B$8/12),F82*$B$8/12)</f>
        <v>25978.848361559838</v>
      </c>
      <c r="H82" s="125">
        <f t="shared" ca="1" si="9"/>
        <v>0</v>
      </c>
      <c r="I82" s="126">
        <f t="shared" ca="1" si="10"/>
        <v>0</v>
      </c>
      <c r="J82" s="125">
        <f t="shared" ca="1" si="13"/>
        <v>0</v>
      </c>
      <c r="K82" s="151"/>
      <c r="L82" s="125">
        <f t="shared" ca="1" si="14"/>
        <v>0</v>
      </c>
      <c r="M82" s="762"/>
      <c r="P82">
        <f t="shared" si="15"/>
        <v>75</v>
      </c>
      <c r="S82" s="126">
        <f t="shared" ca="1" si="11"/>
        <v>0</v>
      </c>
      <c r="T82" s="126">
        <f t="shared" ca="1" si="16"/>
        <v>0</v>
      </c>
    </row>
    <row r="83" spans="4:20">
      <c r="D83">
        <v>76</v>
      </c>
      <c r="E83" s="6">
        <f t="shared" ca="1" si="17"/>
        <v>50437</v>
      </c>
      <c r="F83" s="7">
        <f t="shared" ca="1" si="12"/>
        <v>1.4845056206605622</v>
      </c>
      <c r="G83" s="125">
        <f ca="1">IF('Simulador - 1º Pilar'!$E$99="Sí",IF('Aportaciones Flex'!$B$13&lt;'Aportaciones Flex'!E83,0,F83*$B$8/12),F83*$B$8/12)</f>
        <v>25978.848361559838</v>
      </c>
      <c r="H83" s="125">
        <f t="shared" ca="1" si="9"/>
        <v>0</v>
      </c>
      <c r="I83" s="126">
        <f t="shared" ca="1" si="10"/>
        <v>0</v>
      </c>
      <c r="J83" s="125">
        <f t="shared" ca="1" si="13"/>
        <v>0</v>
      </c>
      <c r="K83" s="151"/>
      <c r="L83" s="125">
        <f t="shared" ca="1" si="14"/>
        <v>0</v>
      </c>
      <c r="M83" s="762"/>
      <c r="P83">
        <f t="shared" si="15"/>
        <v>76</v>
      </c>
      <c r="S83" s="126">
        <f t="shared" ca="1" si="11"/>
        <v>0</v>
      </c>
      <c r="T83" s="126">
        <f t="shared" ca="1" si="16"/>
        <v>0</v>
      </c>
    </row>
    <row r="84" spans="4:20">
      <c r="D84">
        <v>77</v>
      </c>
      <c r="E84" s="6">
        <f t="shared" ca="1" si="17"/>
        <v>50406</v>
      </c>
      <c r="F84" s="7">
        <f t="shared" ca="1" si="12"/>
        <v>1.4845056206605622</v>
      </c>
      <c r="G84" s="125">
        <f ca="1">IF('Simulador - 1º Pilar'!$E$99="Sí",IF('Aportaciones Flex'!$B$13&lt;'Aportaciones Flex'!E84,0,F84*$B$8/12),F84*$B$8/12)</f>
        <v>25978.848361559838</v>
      </c>
      <c r="H84" s="125">
        <f t="shared" ca="1" si="9"/>
        <v>0</v>
      </c>
      <c r="I84" s="126">
        <f t="shared" ca="1" si="10"/>
        <v>0</v>
      </c>
      <c r="J84" s="125">
        <f t="shared" ca="1" si="13"/>
        <v>0</v>
      </c>
      <c r="K84" s="151"/>
      <c r="L84" s="125">
        <f t="shared" ca="1" si="14"/>
        <v>0</v>
      </c>
      <c r="M84" s="762"/>
      <c r="P84">
        <f t="shared" si="15"/>
        <v>77</v>
      </c>
      <c r="S84" s="126">
        <f t="shared" ca="1" si="11"/>
        <v>0</v>
      </c>
      <c r="T84" s="126">
        <f t="shared" ca="1" si="16"/>
        <v>0</v>
      </c>
    </row>
    <row r="85" spans="4:20">
      <c r="D85">
        <v>78</v>
      </c>
      <c r="E85" s="6">
        <f t="shared" ca="1" si="17"/>
        <v>50375</v>
      </c>
      <c r="F85" s="7">
        <f t="shared" ca="1" si="12"/>
        <v>1.4482981664981096</v>
      </c>
      <c r="G85" s="125">
        <f ca="1">IF('Simulador - 1º Pilar'!$E$99="Sí",IF('Aportaciones Flex'!$B$13&lt;'Aportaciones Flex'!E85,0,F85*$B$8/12),F85*$B$8/12)</f>
        <v>25345.217913716919</v>
      </c>
      <c r="H85" s="125">
        <f t="shared" ca="1" si="9"/>
        <v>0</v>
      </c>
      <c r="I85" s="126">
        <f t="shared" ca="1" si="10"/>
        <v>0</v>
      </c>
      <c r="J85" s="125">
        <f t="shared" ca="1" si="13"/>
        <v>0</v>
      </c>
      <c r="K85" s="151"/>
      <c r="L85" s="125">
        <f t="shared" ca="1" si="14"/>
        <v>0</v>
      </c>
      <c r="M85" s="762"/>
      <c r="P85">
        <f t="shared" si="15"/>
        <v>78</v>
      </c>
      <c r="S85" s="126">
        <f t="shared" ca="1" si="11"/>
        <v>0</v>
      </c>
      <c r="T85" s="126">
        <f t="shared" ca="1" si="16"/>
        <v>0</v>
      </c>
    </row>
    <row r="86" spans="4:20">
      <c r="D86">
        <v>79</v>
      </c>
      <c r="E86" s="6">
        <f t="shared" ca="1" si="17"/>
        <v>50345</v>
      </c>
      <c r="F86" s="7">
        <f ca="1">IF(DATE(YEAR($B$6),MONTH($B$6)+1,DAY(1))=E86,1,IF(MONTH(E86)=1,F87*(1+$F$5),F87))</f>
        <v>1.4482981664981096</v>
      </c>
      <c r="G86" s="125">
        <f ca="1">IF('Simulador - 1º Pilar'!$E$99="Sí",IF('Aportaciones Flex'!$B$13&lt;'Aportaciones Flex'!E86,0,F86*$B$8/12),F86*$B$8/12)</f>
        <v>25345.217913716919</v>
      </c>
      <c r="H86" s="125">
        <f t="shared" ca="1" si="9"/>
        <v>0</v>
      </c>
      <c r="I86" s="126">
        <f t="shared" ca="1" si="10"/>
        <v>0</v>
      </c>
      <c r="J86" s="125">
        <f t="shared" ca="1" si="13"/>
        <v>0</v>
      </c>
      <c r="K86" s="151"/>
      <c r="L86" s="125">
        <f t="shared" ca="1" si="14"/>
        <v>0</v>
      </c>
      <c r="M86" s="762"/>
      <c r="P86">
        <f t="shared" si="15"/>
        <v>79</v>
      </c>
      <c r="S86" s="126">
        <f t="shared" ca="1" si="11"/>
        <v>0</v>
      </c>
      <c r="T86" s="126">
        <f t="shared" ca="1" si="16"/>
        <v>0</v>
      </c>
    </row>
    <row r="87" spans="4:20">
      <c r="D87">
        <v>80</v>
      </c>
      <c r="E87" s="6">
        <f t="shared" ca="1" si="17"/>
        <v>50314</v>
      </c>
      <c r="F87" s="7">
        <f t="shared" ca="1" si="12"/>
        <v>1.4482981664981096</v>
      </c>
      <c r="G87" s="125">
        <f ca="1">IF('Simulador - 1º Pilar'!$E$99="Sí",IF('Aportaciones Flex'!$B$13&lt;'Aportaciones Flex'!E87,0,F87*$B$8/12),F87*$B$8/12)</f>
        <v>25345.217913716919</v>
      </c>
      <c r="H87" s="125">
        <f t="shared" ca="1" si="9"/>
        <v>0</v>
      </c>
      <c r="I87" s="126">
        <f t="shared" ca="1" si="10"/>
        <v>0</v>
      </c>
      <c r="J87" s="125">
        <f t="shared" ca="1" si="13"/>
        <v>0</v>
      </c>
      <c r="K87" s="151"/>
      <c r="L87" s="125">
        <f t="shared" ca="1" si="14"/>
        <v>0</v>
      </c>
      <c r="M87" s="762"/>
      <c r="P87">
        <f t="shared" si="15"/>
        <v>80</v>
      </c>
      <c r="S87" s="126">
        <f t="shared" ca="1" si="11"/>
        <v>0</v>
      </c>
      <c r="T87" s="126">
        <f t="shared" ca="1" si="16"/>
        <v>0</v>
      </c>
    </row>
    <row r="88" spans="4:20">
      <c r="D88">
        <v>81</v>
      </c>
      <c r="E88" s="6">
        <f t="shared" ca="1" si="17"/>
        <v>50284</v>
      </c>
      <c r="F88" s="7">
        <f t="shared" ca="1" si="12"/>
        <v>1.4482981664981096</v>
      </c>
      <c r="G88" s="125">
        <f ca="1">IF('Simulador - 1º Pilar'!$E$99="Sí",IF('Aportaciones Flex'!$B$13&lt;'Aportaciones Flex'!E88,0,F88*$B$8/12),F88*$B$8/12)</f>
        <v>25345.217913716919</v>
      </c>
      <c r="H88" s="125">
        <f t="shared" ca="1" si="9"/>
        <v>0</v>
      </c>
      <c r="I88" s="126">
        <f t="shared" ca="1" si="10"/>
        <v>0</v>
      </c>
      <c r="J88" s="125">
        <f t="shared" ca="1" si="13"/>
        <v>0</v>
      </c>
      <c r="K88" s="151"/>
      <c r="L88" s="125">
        <f t="shared" ca="1" si="14"/>
        <v>0</v>
      </c>
      <c r="M88" s="762"/>
      <c r="P88">
        <f t="shared" si="15"/>
        <v>81</v>
      </c>
      <c r="S88" s="126">
        <f t="shared" ca="1" si="11"/>
        <v>0</v>
      </c>
      <c r="T88" s="126">
        <f t="shared" ca="1" si="16"/>
        <v>0</v>
      </c>
    </row>
    <row r="89" spans="4:20">
      <c r="D89">
        <v>82</v>
      </c>
      <c r="E89" s="6">
        <f t="shared" ca="1" si="17"/>
        <v>50253</v>
      </c>
      <c r="F89" s="7">
        <f t="shared" ca="1" si="12"/>
        <v>1.4482981664981096</v>
      </c>
      <c r="G89" s="125">
        <f ca="1">IF('Simulador - 1º Pilar'!$E$99="Sí",IF('Aportaciones Flex'!$B$13&lt;'Aportaciones Flex'!E89,0,F89*$B$8/12),F89*$B$8/12)</f>
        <v>25345.217913716919</v>
      </c>
      <c r="H89" s="125">
        <f t="shared" ca="1" si="9"/>
        <v>0</v>
      </c>
      <c r="I89" s="126">
        <f t="shared" ca="1" si="10"/>
        <v>0</v>
      </c>
      <c r="J89" s="125">
        <f t="shared" ca="1" si="13"/>
        <v>0</v>
      </c>
      <c r="K89" s="151"/>
      <c r="L89" s="125">
        <f t="shared" ca="1" si="14"/>
        <v>0</v>
      </c>
      <c r="M89" s="762"/>
      <c r="P89">
        <f t="shared" si="15"/>
        <v>82</v>
      </c>
      <c r="S89" s="126">
        <f t="shared" ca="1" si="11"/>
        <v>0</v>
      </c>
      <c r="T89" s="126">
        <f t="shared" ca="1" si="16"/>
        <v>0</v>
      </c>
    </row>
    <row r="90" spans="4:20">
      <c r="D90">
        <v>83</v>
      </c>
      <c r="E90" s="6">
        <f t="shared" ca="1" si="17"/>
        <v>50222</v>
      </c>
      <c r="F90" s="7">
        <f t="shared" ca="1" si="12"/>
        <v>1.4482981664981096</v>
      </c>
      <c r="G90" s="125">
        <f ca="1">IF('Simulador - 1º Pilar'!$E$99="Sí",IF('Aportaciones Flex'!$B$13&lt;'Aportaciones Flex'!E90,0,F90*$B$8/12),F90*$B$8/12)</f>
        <v>25345.217913716919</v>
      </c>
      <c r="H90" s="125">
        <f t="shared" ca="1" si="9"/>
        <v>0</v>
      </c>
      <c r="I90" s="126">
        <f t="shared" ca="1" si="10"/>
        <v>0</v>
      </c>
      <c r="J90" s="125">
        <f t="shared" ca="1" si="13"/>
        <v>0</v>
      </c>
      <c r="K90" s="151"/>
      <c r="L90" s="125">
        <f t="shared" ca="1" si="14"/>
        <v>0</v>
      </c>
      <c r="M90" s="762"/>
      <c r="P90">
        <f t="shared" si="15"/>
        <v>83</v>
      </c>
      <c r="S90" s="126">
        <f t="shared" ca="1" si="11"/>
        <v>0</v>
      </c>
      <c r="T90" s="126">
        <f t="shared" ca="1" si="16"/>
        <v>0</v>
      </c>
    </row>
    <row r="91" spans="4:20">
      <c r="D91">
        <v>84</v>
      </c>
      <c r="E91" s="6">
        <f t="shared" ca="1" si="17"/>
        <v>50192</v>
      </c>
      <c r="F91" s="7">
        <f t="shared" ca="1" si="12"/>
        <v>1.4482981664981096</v>
      </c>
      <c r="G91" s="125">
        <f ca="1">IF('Simulador - 1º Pilar'!$E$99="Sí",IF('Aportaciones Flex'!$B$13&lt;'Aportaciones Flex'!E91,0,F91*$B$8/12),F91*$B$8/12)</f>
        <v>25345.217913716919</v>
      </c>
      <c r="H91" s="125">
        <f t="shared" ca="1" si="9"/>
        <v>0</v>
      </c>
      <c r="I91" s="126">
        <f t="shared" ca="1" si="10"/>
        <v>0</v>
      </c>
      <c r="J91" s="125">
        <f t="shared" ca="1" si="13"/>
        <v>0</v>
      </c>
      <c r="K91" s="151"/>
      <c r="L91" s="125">
        <f t="shared" ca="1" si="14"/>
        <v>0</v>
      </c>
      <c r="M91" s="762"/>
      <c r="P91">
        <f t="shared" si="15"/>
        <v>84</v>
      </c>
      <c r="S91" s="126">
        <f t="shared" ca="1" si="11"/>
        <v>0</v>
      </c>
      <c r="T91" s="126">
        <f t="shared" ca="1" si="16"/>
        <v>0</v>
      </c>
    </row>
    <row r="92" spans="4:20">
      <c r="D92">
        <v>85</v>
      </c>
      <c r="E92" s="6">
        <f t="shared" ca="1" si="17"/>
        <v>50161</v>
      </c>
      <c r="F92" s="7">
        <f t="shared" ca="1" si="12"/>
        <v>1.4482981664981096</v>
      </c>
      <c r="G92" s="125">
        <f ca="1">IF('Simulador - 1º Pilar'!$E$99="Sí",IF('Aportaciones Flex'!$B$13&lt;'Aportaciones Flex'!E92,0,F92*$B$8/12),F92*$B$8/12)</f>
        <v>25345.217913716919</v>
      </c>
      <c r="H92" s="125">
        <f t="shared" ca="1" si="9"/>
        <v>0</v>
      </c>
      <c r="I92" s="126">
        <f t="shared" ca="1" si="10"/>
        <v>0</v>
      </c>
      <c r="J92" s="125">
        <f t="shared" ca="1" si="13"/>
        <v>0</v>
      </c>
      <c r="K92" s="151"/>
      <c r="L92" s="125">
        <f t="shared" ca="1" si="14"/>
        <v>0</v>
      </c>
      <c r="M92" s="762"/>
      <c r="P92">
        <f t="shared" si="15"/>
        <v>85</v>
      </c>
      <c r="S92" s="126">
        <f t="shared" ca="1" si="11"/>
        <v>0</v>
      </c>
      <c r="T92" s="126">
        <f t="shared" ca="1" si="16"/>
        <v>0</v>
      </c>
    </row>
    <row r="93" spans="4:20">
      <c r="D93">
        <v>86</v>
      </c>
      <c r="E93" s="6">
        <f t="shared" ca="1" si="17"/>
        <v>50131</v>
      </c>
      <c r="F93" s="7">
        <f t="shared" ca="1" si="12"/>
        <v>1.4482981664981096</v>
      </c>
      <c r="G93" s="125">
        <f ca="1">IF('Simulador - 1º Pilar'!$E$99="Sí",IF('Aportaciones Flex'!$B$13&lt;'Aportaciones Flex'!E93,0,F93*$B$8/12),F93*$B$8/12)</f>
        <v>25345.217913716919</v>
      </c>
      <c r="H93" s="125">
        <f t="shared" ca="1" si="9"/>
        <v>0</v>
      </c>
      <c r="I93" s="126">
        <f t="shared" ca="1" si="10"/>
        <v>0</v>
      </c>
      <c r="J93" s="125">
        <f t="shared" ca="1" si="13"/>
        <v>0</v>
      </c>
      <c r="K93" s="151"/>
      <c r="L93" s="125">
        <f t="shared" ca="1" si="14"/>
        <v>0</v>
      </c>
      <c r="M93" s="762"/>
      <c r="P93">
        <f t="shared" si="15"/>
        <v>86</v>
      </c>
      <c r="S93" s="126">
        <f t="shared" ca="1" si="11"/>
        <v>0</v>
      </c>
      <c r="T93" s="126">
        <f t="shared" ca="1" si="16"/>
        <v>0</v>
      </c>
    </row>
    <row r="94" spans="4:20">
      <c r="D94">
        <v>87</v>
      </c>
      <c r="E94" s="6">
        <f t="shared" ca="1" si="17"/>
        <v>50100</v>
      </c>
      <c r="F94" s="7">
        <f t="shared" ca="1" si="12"/>
        <v>1.4482981664981096</v>
      </c>
      <c r="G94" s="125">
        <f ca="1">IF('Simulador - 1º Pilar'!$E$99="Sí",IF('Aportaciones Flex'!$B$13&lt;'Aportaciones Flex'!E94,0,F94*$B$8/12),F94*$B$8/12)</f>
        <v>25345.217913716919</v>
      </c>
      <c r="H94" s="125">
        <f t="shared" ca="1" si="9"/>
        <v>0</v>
      </c>
      <c r="I94" s="126">
        <f t="shared" ca="1" si="10"/>
        <v>0</v>
      </c>
      <c r="J94" s="125">
        <f t="shared" ca="1" si="13"/>
        <v>0</v>
      </c>
      <c r="K94" s="151"/>
      <c r="L94" s="125">
        <f t="shared" ca="1" si="14"/>
        <v>0</v>
      </c>
      <c r="M94" s="762"/>
      <c r="P94">
        <f t="shared" si="15"/>
        <v>87</v>
      </c>
      <c r="S94" s="126">
        <f t="shared" ca="1" si="11"/>
        <v>0</v>
      </c>
      <c r="T94" s="126">
        <f t="shared" ca="1" si="16"/>
        <v>0</v>
      </c>
    </row>
    <row r="95" spans="4:20">
      <c r="D95">
        <v>88</v>
      </c>
      <c r="E95" s="6">
        <f t="shared" ca="1" si="17"/>
        <v>50072</v>
      </c>
      <c r="F95" s="7">
        <f t="shared" ca="1" si="12"/>
        <v>1.4482981664981096</v>
      </c>
      <c r="G95" s="125">
        <f ca="1">IF('Simulador - 1º Pilar'!$E$99="Sí",IF('Aportaciones Flex'!$B$13&lt;'Aportaciones Flex'!E95,0,F95*$B$8/12),F95*$B$8/12)</f>
        <v>25345.217913716919</v>
      </c>
      <c r="H95" s="125">
        <f t="shared" ca="1" si="9"/>
        <v>0</v>
      </c>
      <c r="I95" s="126">
        <f t="shared" ca="1" si="10"/>
        <v>0</v>
      </c>
      <c r="J95" s="125">
        <f t="shared" ca="1" si="13"/>
        <v>0</v>
      </c>
      <c r="K95" s="151"/>
      <c r="L95" s="125">
        <f t="shared" ca="1" si="14"/>
        <v>0</v>
      </c>
      <c r="M95" s="762"/>
      <c r="P95">
        <f t="shared" si="15"/>
        <v>88</v>
      </c>
      <c r="S95" s="126">
        <f t="shared" ca="1" si="11"/>
        <v>0</v>
      </c>
      <c r="T95" s="126">
        <f t="shared" ca="1" si="16"/>
        <v>0</v>
      </c>
    </row>
    <row r="96" spans="4:20">
      <c r="D96">
        <v>89</v>
      </c>
      <c r="E96" s="6">
        <f t="shared" ca="1" si="17"/>
        <v>50041</v>
      </c>
      <c r="F96" s="7">
        <f t="shared" ca="1" si="12"/>
        <v>1.4482981664981096</v>
      </c>
      <c r="G96" s="125">
        <f ca="1">IF('Simulador - 1º Pilar'!$E$99="Sí",IF('Aportaciones Flex'!$B$13&lt;'Aportaciones Flex'!E96,0,F96*$B$8/12),F96*$B$8/12)</f>
        <v>25345.217913716919</v>
      </c>
      <c r="H96" s="125">
        <f t="shared" ca="1" si="9"/>
        <v>0</v>
      </c>
      <c r="I96" s="126">
        <f t="shared" ca="1" si="10"/>
        <v>0</v>
      </c>
      <c r="J96" s="125">
        <f t="shared" ca="1" si="13"/>
        <v>0</v>
      </c>
      <c r="K96" s="151"/>
      <c r="L96" s="125">
        <f t="shared" ca="1" si="14"/>
        <v>0</v>
      </c>
      <c r="M96" s="762"/>
      <c r="P96">
        <f t="shared" si="15"/>
        <v>89</v>
      </c>
      <c r="S96" s="126">
        <f t="shared" ca="1" si="11"/>
        <v>0</v>
      </c>
      <c r="T96" s="126">
        <f t="shared" ca="1" si="16"/>
        <v>0</v>
      </c>
    </row>
    <row r="97" spans="4:20">
      <c r="D97">
        <v>90</v>
      </c>
      <c r="E97" s="6">
        <f t="shared" ca="1" si="17"/>
        <v>50010</v>
      </c>
      <c r="F97" s="7">
        <f t="shared" ca="1" si="12"/>
        <v>1.4129738209737657</v>
      </c>
      <c r="G97" s="125">
        <f ca="1">IF('Simulador - 1º Pilar'!$E$99="Sí",IF('Aportaciones Flex'!$B$13&lt;'Aportaciones Flex'!E97,0,F97*$B$8/12),F97*$B$8/12)</f>
        <v>24727.041867040898</v>
      </c>
      <c r="H97" s="125">
        <f t="shared" ca="1" si="9"/>
        <v>0</v>
      </c>
      <c r="I97" s="126">
        <f t="shared" ca="1" si="10"/>
        <v>0</v>
      </c>
      <c r="J97" s="125">
        <f t="shared" ca="1" si="13"/>
        <v>0</v>
      </c>
      <c r="K97" s="151"/>
      <c r="L97" s="125">
        <f t="shared" ca="1" si="14"/>
        <v>0</v>
      </c>
      <c r="M97" s="762"/>
      <c r="P97">
        <f t="shared" si="15"/>
        <v>90</v>
      </c>
      <c r="S97" s="126">
        <f t="shared" ca="1" si="11"/>
        <v>0</v>
      </c>
      <c r="T97" s="126">
        <f t="shared" ca="1" si="16"/>
        <v>0</v>
      </c>
    </row>
    <row r="98" spans="4:20">
      <c r="D98">
        <v>91</v>
      </c>
      <c r="E98" s="6">
        <f t="shared" ca="1" si="17"/>
        <v>49980</v>
      </c>
      <c r="F98" s="7">
        <f t="shared" ca="1" si="12"/>
        <v>1.4129738209737657</v>
      </c>
      <c r="G98" s="125">
        <f ca="1">IF('Simulador - 1º Pilar'!$E$99="Sí",IF('Aportaciones Flex'!$B$13&lt;'Aportaciones Flex'!E98,0,F98*$B$8/12),F98*$B$8/12)</f>
        <v>24727.041867040898</v>
      </c>
      <c r="H98" s="125">
        <f t="shared" ca="1" si="9"/>
        <v>0</v>
      </c>
      <c r="I98" s="126">
        <f t="shared" ca="1" si="10"/>
        <v>0</v>
      </c>
      <c r="J98" s="125">
        <f t="shared" ca="1" si="13"/>
        <v>0</v>
      </c>
      <c r="K98" s="151"/>
      <c r="L98" s="125">
        <f t="shared" ca="1" si="14"/>
        <v>0</v>
      </c>
      <c r="M98" s="762"/>
      <c r="P98">
        <f t="shared" si="15"/>
        <v>91</v>
      </c>
      <c r="S98" s="126">
        <f t="shared" ca="1" si="11"/>
        <v>0</v>
      </c>
      <c r="T98" s="126">
        <f t="shared" ca="1" si="16"/>
        <v>0</v>
      </c>
    </row>
    <row r="99" spans="4:20">
      <c r="D99">
        <v>92</v>
      </c>
      <c r="E99" s="6">
        <f t="shared" ca="1" si="17"/>
        <v>49949</v>
      </c>
      <c r="F99" s="7">
        <f t="shared" ca="1" si="12"/>
        <v>1.4129738209737657</v>
      </c>
      <c r="G99" s="125">
        <f ca="1">IF('Simulador - 1º Pilar'!$E$99="Sí",IF('Aportaciones Flex'!$B$13&lt;'Aportaciones Flex'!E99,0,F99*$B$8/12),F99*$B$8/12)</f>
        <v>24727.041867040898</v>
      </c>
      <c r="H99" s="125">
        <f t="shared" ca="1" si="9"/>
        <v>0</v>
      </c>
      <c r="I99" s="126">
        <f t="shared" ca="1" si="10"/>
        <v>0</v>
      </c>
      <c r="J99" s="125">
        <f t="shared" ca="1" si="13"/>
        <v>0</v>
      </c>
      <c r="K99" s="151"/>
      <c r="L99" s="125">
        <f t="shared" ca="1" si="14"/>
        <v>0</v>
      </c>
      <c r="M99" s="762"/>
      <c r="P99">
        <f t="shared" si="15"/>
        <v>92</v>
      </c>
      <c r="S99" s="126">
        <f t="shared" ca="1" si="11"/>
        <v>0</v>
      </c>
      <c r="T99" s="126">
        <f t="shared" ca="1" si="16"/>
        <v>0</v>
      </c>
    </row>
    <row r="100" spans="4:20">
      <c r="D100">
        <v>93</v>
      </c>
      <c r="E100" s="6">
        <f t="shared" ca="1" si="17"/>
        <v>49919</v>
      </c>
      <c r="F100" s="7">
        <f t="shared" ca="1" si="12"/>
        <v>1.4129738209737657</v>
      </c>
      <c r="G100" s="125">
        <f ca="1">IF('Simulador - 1º Pilar'!$E$99="Sí",IF('Aportaciones Flex'!$B$13&lt;'Aportaciones Flex'!E100,0,F100*$B$8/12),F100*$B$8/12)</f>
        <v>24727.041867040898</v>
      </c>
      <c r="H100" s="125">
        <f t="shared" ca="1" si="9"/>
        <v>0</v>
      </c>
      <c r="I100" s="126">
        <f t="shared" ca="1" si="10"/>
        <v>0</v>
      </c>
      <c r="J100" s="125">
        <f t="shared" ca="1" si="13"/>
        <v>0</v>
      </c>
      <c r="K100" s="151"/>
      <c r="L100" s="125">
        <f t="shared" ca="1" si="14"/>
        <v>0</v>
      </c>
      <c r="M100" s="762"/>
      <c r="P100">
        <f t="shared" si="15"/>
        <v>93</v>
      </c>
      <c r="S100" s="126">
        <f t="shared" ca="1" si="11"/>
        <v>0</v>
      </c>
      <c r="T100" s="126">
        <f t="shared" ca="1" si="16"/>
        <v>0</v>
      </c>
    </row>
    <row r="101" spans="4:20">
      <c r="D101">
        <v>94</v>
      </c>
      <c r="E101" s="6">
        <f t="shared" ca="1" si="17"/>
        <v>49888</v>
      </c>
      <c r="F101" s="7">
        <f t="shared" ca="1" si="12"/>
        <v>1.4129738209737657</v>
      </c>
      <c r="G101" s="125">
        <f ca="1">IF('Simulador - 1º Pilar'!$E$99="Sí",IF('Aportaciones Flex'!$B$13&lt;'Aportaciones Flex'!E101,0,F101*$B$8/12),F101*$B$8/12)</f>
        <v>24727.041867040898</v>
      </c>
      <c r="H101" s="125">
        <f t="shared" ca="1" si="9"/>
        <v>0</v>
      </c>
      <c r="I101" s="126">
        <f t="shared" ca="1" si="10"/>
        <v>0</v>
      </c>
      <c r="J101" s="125">
        <f t="shared" ca="1" si="13"/>
        <v>0</v>
      </c>
      <c r="K101" s="151"/>
      <c r="L101" s="125">
        <f t="shared" ca="1" si="14"/>
        <v>0</v>
      </c>
      <c r="M101" s="762"/>
      <c r="P101">
        <f t="shared" si="15"/>
        <v>94</v>
      </c>
      <c r="S101" s="126">
        <f t="shared" ca="1" si="11"/>
        <v>0</v>
      </c>
      <c r="T101" s="126">
        <f t="shared" ca="1" si="16"/>
        <v>0</v>
      </c>
    </row>
    <row r="102" spans="4:20">
      <c r="D102">
        <v>95</v>
      </c>
      <c r="E102" s="6">
        <f t="shared" ca="1" si="17"/>
        <v>49857</v>
      </c>
      <c r="F102" s="7">
        <f t="shared" ca="1" si="12"/>
        <v>1.4129738209737657</v>
      </c>
      <c r="G102" s="125">
        <f ca="1">IF('Simulador - 1º Pilar'!$E$99="Sí",IF('Aportaciones Flex'!$B$13&lt;'Aportaciones Flex'!E102,0,F102*$B$8/12),F102*$B$8/12)</f>
        <v>24727.041867040898</v>
      </c>
      <c r="H102" s="125">
        <f t="shared" ca="1" si="9"/>
        <v>0</v>
      </c>
      <c r="I102" s="126">
        <f t="shared" ca="1" si="10"/>
        <v>0</v>
      </c>
      <c r="J102" s="125">
        <f t="shared" ca="1" si="13"/>
        <v>0</v>
      </c>
      <c r="K102" s="151"/>
      <c r="L102" s="125">
        <f t="shared" ca="1" si="14"/>
        <v>0</v>
      </c>
      <c r="M102" s="762"/>
      <c r="P102">
        <f t="shared" si="15"/>
        <v>95</v>
      </c>
      <c r="S102" s="126">
        <f t="shared" ca="1" si="11"/>
        <v>0</v>
      </c>
      <c r="T102" s="126">
        <f t="shared" ca="1" si="16"/>
        <v>0</v>
      </c>
    </row>
    <row r="103" spans="4:20">
      <c r="D103">
        <v>96</v>
      </c>
      <c r="E103" s="6">
        <f t="shared" ca="1" si="17"/>
        <v>49827</v>
      </c>
      <c r="F103" s="7">
        <f t="shared" ca="1" si="12"/>
        <v>1.4129738209737657</v>
      </c>
      <c r="G103" s="125">
        <f ca="1">IF('Simulador - 1º Pilar'!$E$99="Sí",IF('Aportaciones Flex'!$B$13&lt;'Aportaciones Flex'!E103,0,F103*$B$8/12),F103*$B$8/12)</f>
        <v>24727.041867040898</v>
      </c>
      <c r="H103" s="125">
        <f t="shared" ca="1" si="9"/>
        <v>0</v>
      </c>
      <c r="I103" s="126">
        <f t="shared" ca="1" si="10"/>
        <v>0</v>
      </c>
      <c r="J103" s="125">
        <f t="shared" ca="1" si="13"/>
        <v>0</v>
      </c>
      <c r="K103" s="151"/>
      <c r="L103" s="125">
        <f t="shared" ca="1" si="14"/>
        <v>0</v>
      </c>
      <c r="M103" s="762"/>
      <c r="P103">
        <f t="shared" si="15"/>
        <v>96</v>
      </c>
      <c r="S103" s="126">
        <f t="shared" ca="1" si="11"/>
        <v>0</v>
      </c>
      <c r="T103" s="126">
        <f t="shared" ca="1" si="16"/>
        <v>0</v>
      </c>
    </row>
    <row r="104" spans="4:20">
      <c r="D104">
        <v>97</v>
      </c>
      <c r="E104" s="6">
        <f t="shared" ca="1" si="17"/>
        <v>49796</v>
      </c>
      <c r="F104" s="7">
        <f t="shared" ca="1" si="12"/>
        <v>1.4129738209737657</v>
      </c>
      <c r="G104" s="125">
        <f ca="1">IF('Simulador - 1º Pilar'!$E$99="Sí",IF('Aportaciones Flex'!$B$13&lt;'Aportaciones Flex'!E104,0,F104*$B$8/12),F104*$B$8/12)</f>
        <v>24727.041867040898</v>
      </c>
      <c r="H104" s="125">
        <f t="shared" ca="1" si="9"/>
        <v>0</v>
      </c>
      <c r="I104" s="126">
        <f t="shared" ca="1" si="10"/>
        <v>0</v>
      </c>
      <c r="J104" s="125">
        <f t="shared" ca="1" si="13"/>
        <v>0</v>
      </c>
      <c r="K104" s="151"/>
      <c r="L104" s="125">
        <f t="shared" ca="1" si="14"/>
        <v>0</v>
      </c>
      <c r="M104" s="762"/>
      <c r="P104">
        <f t="shared" si="15"/>
        <v>97</v>
      </c>
      <c r="S104" s="126">
        <f t="shared" ca="1" si="11"/>
        <v>0</v>
      </c>
      <c r="T104" s="126">
        <f t="shared" ca="1" si="16"/>
        <v>0</v>
      </c>
    </row>
    <row r="105" spans="4:20">
      <c r="D105">
        <v>98</v>
      </c>
      <c r="E105" s="6">
        <f t="shared" ca="1" si="17"/>
        <v>49766</v>
      </c>
      <c r="F105" s="7">
        <f t="shared" ca="1" si="12"/>
        <v>1.4129738209737657</v>
      </c>
      <c r="G105" s="125">
        <f ca="1">IF('Simulador - 1º Pilar'!$E$99="Sí",IF('Aportaciones Flex'!$B$13&lt;'Aportaciones Flex'!E105,0,F105*$B$8/12),F105*$B$8/12)</f>
        <v>24727.041867040898</v>
      </c>
      <c r="H105" s="125">
        <f t="shared" ca="1" si="9"/>
        <v>0</v>
      </c>
      <c r="I105" s="126">
        <f t="shared" ca="1" si="10"/>
        <v>0</v>
      </c>
      <c r="J105" s="125">
        <f t="shared" ca="1" si="13"/>
        <v>0</v>
      </c>
      <c r="K105" s="151"/>
      <c r="L105" s="125">
        <f t="shared" ca="1" si="14"/>
        <v>0</v>
      </c>
      <c r="M105" s="762"/>
      <c r="P105">
        <f t="shared" si="15"/>
        <v>98</v>
      </c>
      <c r="S105" s="126">
        <f t="shared" ca="1" si="11"/>
        <v>0</v>
      </c>
      <c r="T105" s="126">
        <f t="shared" ca="1" si="16"/>
        <v>0</v>
      </c>
    </row>
    <row r="106" spans="4:20">
      <c r="D106">
        <v>99</v>
      </c>
      <c r="E106" s="6">
        <f t="shared" ca="1" si="17"/>
        <v>49735</v>
      </c>
      <c r="F106" s="7">
        <f t="shared" ca="1" si="12"/>
        <v>1.4129738209737657</v>
      </c>
      <c r="G106" s="125">
        <f ca="1">IF('Simulador - 1º Pilar'!$E$99="Sí",IF('Aportaciones Flex'!$B$13&lt;'Aportaciones Flex'!E106,0,F106*$B$8/12),F106*$B$8/12)</f>
        <v>24727.041867040898</v>
      </c>
      <c r="H106" s="125">
        <f t="shared" ca="1" si="9"/>
        <v>0</v>
      </c>
      <c r="I106" s="126">
        <f t="shared" ca="1" si="10"/>
        <v>0</v>
      </c>
      <c r="J106" s="125">
        <f t="shared" ca="1" si="13"/>
        <v>0</v>
      </c>
      <c r="K106" s="151"/>
      <c r="L106" s="125">
        <f t="shared" ca="1" si="14"/>
        <v>0</v>
      </c>
      <c r="M106" s="762"/>
      <c r="P106">
        <f t="shared" si="15"/>
        <v>99</v>
      </c>
      <c r="S106" s="126">
        <f t="shared" ca="1" si="11"/>
        <v>0</v>
      </c>
      <c r="T106" s="126">
        <f t="shared" ca="1" si="16"/>
        <v>0</v>
      </c>
    </row>
    <row r="107" spans="4:20">
      <c r="D107">
        <v>100</v>
      </c>
      <c r="E107" s="6">
        <f t="shared" ca="1" si="17"/>
        <v>49706</v>
      </c>
      <c r="F107" s="7">
        <f t="shared" ca="1" si="12"/>
        <v>1.4129738209737657</v>
      </c>
      <c r="G107" s="125">
        <f ca="1">IF('Simulador - 1º Pilar'!$E$99="Sí",IF('Aportaciones Flex'!$B$13&lt;'Aportaciones Flex'!E107,0,F107*$B$8/12),F107*$B$8/12)</f>
        <v>24727.041867040898</v>
      </c>
      <c r="H107" s="125">
        <f t="shared" ca="1" si="9"/>
        <v>0</v>
      </c>
      <c r="I107" s="126">
        <f t="shared" ca="1" si="10"/>
        <v>0</v>
      </c>
      <c r="J107" s="125">
        <f t="shared" ca="1" si="13"/>
        <v>0</v>
      </c>
      <c r="K107" s="151"/>
      <c r="L107" s="125">
        <f t="shared" ca="1" si="14"/>
        <v>0</v>
      </c>
      <c r="M107" s="762"/>
      <c r="P107">
        <f t="shared" si="15"/>
        <v>100</v>
      </c>
      <c r="S107" s="126">
        <f t="shared" ca="1" si="11"/>
        <v>0</v>
      </c>
      <c r="T107" s="126">
        <f t="shared" ca="1" si="16"/>
        <v>0</v>
      </c>
    </row>
    <row r="108" spans="4:20">
      <c r="D108">
        <v>101</v>
      </c>
      <c r="E108" s="6">
        <f t="shared" ca="1" si="17"/>
        <v>49675</v>
      </c>
      <c r="F108" s="7">
        <f t="shared" ca="1" si="12"/>
        <v>1.4129738209737657</v>
      </c>
      <c r="G108" s="125">
        <f ca="1">IF('Simulador - 1º Pilar'!$E$99="Sí",IF('Aportaciones Flex'!$B$13&lt;'Aportaciones Flex'!E108,0,F108*$B$8/12),F108*$B$8/12)</f>
        <v>24727.041867040898</v>
      </c>
      <c r="H108" s="125">
        <f t="shared" ca="1" si="9"/>
        <v>0</v>
      </c>
      <c r="I108" s="126">
        <f t="shared" ca="1" si="10"/>
        <v>0</v>
      </c>
      <c r="J108" s="125">
        <f t="shared" ca="1" si="13"/>
        <v>0</v>
      </c>
      <c r="K108" s="151"/>
      <c r="L108" s="125">
        <f t="shared" ca="1" si="14"/>
        <v>0</v>
      </c>
      <c r="M108" s="762"/>
      <c r="P108">
        <f t="shared" si="15"/>
        <v>101</v>
      </c>
      <c r="S108" s="126">
        <f t="shared" ca="1" si="11"/>
        <v>0</v>
      </c>
      <c r="T108" s="126">
        <f t="shared" ca="1" si="16"/>
        <v>0</v>
      </c>
    </row>
    <row r="109" spans="4:20">
      <c r="D109">
        <v>102</v>
      </c>
      <c r="E109" s="6">
        <f t="shared" ca="1" si="17"/>
        <v>49644</v>
      </c>
      <c r="F109" s="7">
        <f t="shared" ca="1" si="12"/>
        <v>1.3785110448524545</v>
      </c>
      <c r="G109" s="125">
        <f ca="1">IF('Simulador - 1º Pilar'!$E$99="Sí",IF('Aportaciones Flex'!$B$13&lt;'Aportaciones Flex'!E109,0,F109*$B$8/12),F109*$B$8/12)</f>
        <v>24123.943284917954</v>
      </c>
      <c r="H109" s="125">
        <f t="shared" ca="1" si="9"/>
        <v>0</v>
      </c>
      <c r="I109" s="126">
        <f t="shared" ca="1" si="10"/>
        <v>0</v>
      </c>
      <c r="J109" s="125">
        <f t="shared" ca="1" si="13"/>
        <v>0</v>
      </c>
      <c r="K109" s="151"/>
      <c r="L109" s="125">
        <f t="shared" ca="1" si="14"/>
        <v>0</v>
      </c>
      <c r="M109" s="762"/>
      <c r="P109">
        <f t="shared" si="15"/>
        <v>102</v>
      </c>
      <c r="S109" s="126">
        <f t="shared" ca="1" si="11"/>
        <v>0</v>
      </c>
      <c r="T109" s="126">
        <f t="shared" ca="1" si="16"/>
        <v>0</v>
      </c>
    </row>
    <row r="110" spans="4:20">
      <c r="D110">
        <v>103</v>
      </c>
      <c r="E110" s="6">
        <f t="shared" ca="1" si="17"/>
        <v>49614</v>
      </c>
      <c r="F110" s="7">
        <f t="shared" ca="1" si="12"/>
        <v>1.3785110448524545</v>
      </c>
      <c r="G110" s="125">
        <f ca="1">IF('Simulador - 1º Pilar'!$E$99="Sí",IF('Aportaciones Flex'!$B$13&lt;'Aportaciones Flex'!E110,0,F110*$B$8/12),F110*$B$8/12)</f>
        <v>24123.943284917954</v>
      </c>
      <c r="H110" s="125">
        <f t="shared" ca="1" si="9"/>
        <v>0</v>
      </c>
      <c r="I110" s="126">
        <f t="shared" ca="1" si="10"/>
        <v>0</v>
      </c>
      <c r="J110" s="125">
        <f t="shared" ca="1" si="13"/>
        <v>0</v>
      </c>
      <c r="K110" s="151"/>
      <c r="L110" s="125">
        <f t="shared" ca="1" si="14"/>
        <v>0</v>
      </c>
      <c r="M110" s="762"/>
      <c r="P110">
        <f t="shared" si="15"/>
        <v>103</v>
      </c>
      <c r="S110" s="126">
        <f t="shared" ca="1" si="11"/>
        <v>0</v>
      </c>
      <c r="T110" s="126">
        <f t="shared" ca="1" si="16"/>
        <v>0</v>
      </c>
    </row>
    <row r="111" spans="4:20">
      <c r="D111">
        <v>104</v>
      </c>
      <c r="E111" s="6">
        <f t="shared" ca="1" si="17"/>
        <v>49583</v>
      </c>
      <c r="F111" s="7">
        <f t="shared" ca="1" si="12"/>
        <v>1.3785110448524545</v>
      </c>
      <c r="G111" s="125">
        <f ca="1">IF('Simulador - 1º Pilar'!$E$99="Sí",IF('Aportaciones Flex'!$B$13&lt;'Aportaciones Flex'!E111,0,F111*$B$8/12),F111*$B$8/12)</f>
        <v>24123.943284917954</v>
      </c>
      <c r="H111" s="125">
        <f t="shared" ca="1" si="9"/>
        <v>0</v>
      </c>
      <c r="I111" s="126">
        <f t="shared" ca="1" si="10"/>
        <v>0</v>
      </c>
      <c r="J111" s="125">
        <f t="shared" ca="1" si="13"/>
        <v>0</v>
      </c>
      <c r="K111" s="151"/>
      <c r="L111" s="125">
        <f t="shared" ca="1" si="14"/>
        <v>0</v>
      </c>
      <c r="M111" s="762"/>
      <c r="P111">
        <f t="shared" si="15"/>
        <v>104</v>
      </c>
      <c r="S111" s="126">
        <f t="shared" ca="1" si="11"/>
        <v>0</v>
      </c>
      <c r="T111" s="126">
        <f t="shared" ca="1" si="16"/>
        <v>0</v>
      </c>
    </row>
    <row r="112" spans="4:20">
      <c r="D112">
        <v>105</v>
      </c>
      <c r="E112" s="6">
        <f t="shared" ca="1" si="17"/>
        <v>49553</v>
      </c>
      <c r="F112" s="7">
        <f t="shared" ca="1" si="12"/>
        <v>1.3785110448524545</v>
      </c>
      <c r="G112" s="125">
        <f ca="1">IF('Simulador - 1º Pilar'!$E$99="Sí",IF('Aportaciones Flex'!$B$13&lt;'Aportaciones Flex'!E112,0,F112*$B$8/12),F112*$B$8/12)</f>
        <v>24123.943284917954</v>
      </c>
      <c r="H112" s="125">
        <f t="shared" ca="1" si="9"/>
        <v>0</v>
      </c>
      <c r="I112" s="126">
        <f t="shared" ca="1" si="10"/>
        <v>0</v>
      </c>
      <c r="J112" s="125">
        <f t="shared" ca="1" si="13"/>
        <v>0</v>
      </c>
      <c r="K112" s="151"/>
      <c r="L112" s="125">
        <f t="shared" ca="1" si="14"/>
        <v>0</v>
      </c>
      <c r="M112" s="762"/>
      <c r="P112">
        <f t="shared" si="15"/>
        <v>105</v>
      </c>
      <c r="S112" s="126">
        <f t="shared" ca="1" si="11"/>
        <v>0</v>
      </c>
      <c r="T112" s="126">
        <f t="shared" ca="1" si="16"/>
        <v>0</v>
      </c>
    </row>
    <row r="113" spans="4:20">
      <c r="D113">
        <v>106</v>
      </c>
      <c r="E113" s="6">
        <f t="shared" ca="1" si="17"/>
        <v>49522</v>
      </c>
      <c r="F113" s="7">
        <f t="shared" ca="1" si="12"/>
        <v>1.3785110448524545</v>
      </c>
      <c r="G113" s="125">
        <f ca="1">IF('Simulador - 1º Pilar'!$E$99="Sí",IF('Aportaciones Flex'!$B$13&lt;'Aportaciones Flex'!E113,0,F113*$B$8/12),F113*$B$8/12)</f>
        <v>24123.943284917954</v>
      </c>
      <c r="H113" s="125">
        <f t="shared" ca="1" si="9"/>
        <v>0</v>
      </c>
      <c r="I113" s="126">
        <f t="shared" ca="1" si="10"/>
        <v>0</v>
      </c>
      <c r="J113" s="125">
        <f t="shared" ca="1" si="13"/>
        <v>0</v>
      </c>
      <c r="K113" s="151"/>
      <c r="L113" s="125">
        <f t="shared" ca="1" si="14"/>
        <v>0</v>
      </c>
      <c r="M113" s="762"/>
      <c r="P113">
        <f t="shared" si="15"/>
        <v>106</v>
      </c>
      <c r="S113" s="126">
        <f t="shared" ca="1" si="11"/>
        <v>0</v>
      </c>
      <c r="T113" s="126">
        <f t="shared" ca="1" si="16"/>
        <v>0</v>
      </c>
    </row>
    <row r="114" spans="4:20">
      <c r="D114">
        <v>107</v>
      </c>
      <c r="E114" s="6">
        <f t="shared" ca="1" si="17"/>
        <v>49491</v>
      </c>
      <c r="F114" s="7">
        <f t="shared" ca="1" si="12"/>
        <v>1.3785110448524545</v>
      </c>
      <c r="G114" s="125">
        <f ca="1">IF('Simulador - 1º Pilar'!$E$99="Sí",IF('Aportaciones Flex'!$B$13&lt;'Aportaciones Flex'!E114,0,F114*$B$8/12),F114*$B$8/12)</f>
        <v>24123.943284917954</v>
      </c>
      <c r="H114" s="125">
        <f t="shared" ca="1" si="9"/>
        <v>0</v>
      </c>
      <c r="I114" s="126">
        <f t="shared" ca="1" si="10"/>
        <v>0</v>
      </c>
      <c r="J114" s="125">
        <f t="shared" ca="1" si="13"/>
        <v>0</v>
      </c>
      <c r="K114" s="151"/>
      <c r="L114" s="125">
        <f t="shared" ca="1" si="14"/>
        <v>0</v>
      </c>
      <c r="M114" s="762"/>
      <c r="P114">
        <f t="shared" si="15"/>
        <v>107</v>
      </c>
      <c r="S114" s="126">
        <f t="shared" ca="1" si="11"/>
        <v>0</v>
      </c>
      <c r="T114" s="126">
        <f t="shared" ca="1" si="16"/>
        <v>0</v>
      </c>
    </row>
    <row r="115" spans="4:20">
      <c r="D115">
        <v>108</v>
      </c>
      <c r="E115" s="6">
        <f t="shared" ca="1" si="17"/>
        <v>49461</v>
      </c>
      <c r="F115" s="7">
        <f t="shared" ca="1" si="12"/>
        <v>1.3785110448524545</v>
      </c>
      <c r="G115" s="125">
        <f ca="1">IF('Simulador - 1º Pilar'!$E$99="Sí",IF('Aportaciones Flex'!$B$13&lt;'Aportaciones Flex'!E115,0,F115*$B$8/12),F115*$B$8/12)</f>
        <v>24123.943284917954</v>
      </c>
      <c r="H115" s="125">
        <f t="shared" ca="1" si="9"/>
        <v>0</v>
      </c>
      <c r="I115" s="126">
        <f t="shared" ca="1" si="10"/>
        <v>0</v>
      </c>
      <c r="J115" s="125">
        <f t="shared" ca="1" si="13"/>
        <v>0</v>
      </c>
      <c r="K115" s="151"/>
      <c r="L115" s="125">
        <f t="shared" ca="1" si="14"/>
        <v>0</v>
      </c>
      <c r="M115" s="762"/>
      <c r="P115">
        <f t="shared" si="15"/>
        <v>108</v>
      </c>
      <c r="S115" s="126">
        <f t="shared" ca="1" si="11"/>
        <v>0</v>
      </c>
      <c r="T115" s="126">
        <f t="shared" ca="1" si="16"/>
        <v>0</v>
      </c>
    </row>
    <row r="116" spans="4:20">
      <c r="D116">
        <v>109</v>
      </c>
      <c r="E116" s="6">
        <f t="shared" ca="1" si="17"/>
        <v>49430</v>
      </c>
      <c r="F116" s="7">
        <f t="shared" ca="1" si="12"/>
        <v>1.3785110448524545</v>
      </c>
      <c r="G116" s="125">
        <f ca="1">IF('Simulador - 1º Pilar'!$E$99="Sí",IF('Aportaciones Flex'!$B$13&lt;'Aportaciones Flex'!E116,0,F116*$B$8/12),F116*$B$8/12)</f>
        <v>24123.943284917954</v>
      </c>
      <c r="H116" s="125">
        <f t="shared" ca="1" si="9"/>
        <v>0</v>
      </c>
      <c r="I116" s="126">
        <f t="shared" ca="1" si="10"/>
        <v>0</v>
      </c>
      <c r="J116" s="125">
        <f t="shared" ca="1" si="13"/>
        <v>0</v>
      </c>
      <c r="K116" s="151"/>
      <c r="L116" s="125">
        <f t="shared" ca="1" si="14"/>
        <v>0</v>
      </c>
      <c r="M116" s="762"/>
      <c r="P116">
        <f t="shared" si="15"/>
        <v>109</v>
      </c>
      <c r="S116" s="126">
        <f t="shared" ca="1" si="11"/>
        <v>0</v>
      </c>
      <c r="T116" s="126">
        <f t="shared" ca="1" si="16"/>
        <v>0</v>
      </c>
    </row>
    <row r="117" spans="4:20">
      <c r="D117">
        <v>110</v>
      </c>
      <c r="E117" s="6">
        <f t="shared" ca="1" si="17"/>
        <v>49400</v>
      </c>
      <c r="F117" s="7">
        <f t="shared" ca="1" si="12"/>
        <v>1.3785110448524545</v>
      </c>
      <c r="G117" s="125">
        <f ca="1">IF('Simulador - 1º Pilar'!$E$99="Sí",IF('Aportaciones Flex'!$B$13&lt;'Aportaciones Flex'!E117,0,F117*$B$8/12),F117*$B$8/12)</f>
        <v>24123.943284917954</v>
      </c>
      <c r="H117" s="125">
        <f t="shared" ca="1" si="9"/>
        <v>0</v>
      </c>
      <c r="I117" s="126">
        <f t="shared" ca="1" si="10"/>
        <v>0</v>
      </c>
      <c r="J117" s="125">
        <f t="shared" ca="1" si="13"/>
        <v>0</v>
      </c>
      <c r="K117" s="151"/>
      <c r="L117" s="125">
        <f t="shared" ca="1" si="14"/>
        <v>0</v>
      </c>
      <c r="M117" s="762"/>
      <c r="P117">
        <f t="shared" si="15"/>
        <v>110</v>
      </c>
      <c r="S117" s="126">
        <f t="shared" ca="1" si="11"/>
        <v>0</v>
      </c>
      <c r="T117" s="126">
        <f t="shared" ca="1" si="16"/>
        <v>0</v>
      </c>
    </row>
    <row r="118" spans="4:20">
      <c r="D118">
        <v>111</v>
      </c>
      <c r="E118" s="6">
        <f t="shared" ca="1" si="17"/>
        <v>49369</v>
      </c>
      <c r="F118" s="7">
        <f t="shared" ca="1" si="12"/>
        <v>1.3785110448524545</v>
      </c>
      <c r="G118" s="125">
        <f ca="1">IF('Simulador - 1º Pilar'!$E$99="Sí",IF('Aportaciones Flex'!$B$13&lt;'Aportaciones Flex'!E118,0,F118*$B$8/12),F118*$B$8/12)</f>
        <v>24123.943284917954</v>
      </c>
      <c r="H118" s="125">
        <f t="shared" ca="1" si="9"/>
        <v>0</v>
      </c>
      <c r="I118" s="126">
        <f t="shared" ca="1" si="10"/>
        <v>0</v>
      </c>
      <c r="J118" s="125">
        <f t="shared" ca="1" si="13"/>
        <v>0</v>
      </c>
      <c r="K118" s="151"/>
      <c r="L118" s="125">
        <f t="shared" ca="1" si="14"/>
        <v>0</v>
      </c>
      <c r="M118" s="762"/>
      <c r="P118">
        <f t="shared" si="15"/>
        <v>111</v>
      </c>
      <c r="S118" s="126">
        <f t="shared" ca="1" si="11"/>
        <v>0</v>
      </c>
      <c r="T118" s="126">
        <f t="shared" ca="1" si="16"/>
        <v>0</v>
      </c>
    </row>
    <row r="119" spans="4:20">
      <c r="D119">
        <v>112</v>
      </c>
      <c r="E119" s="6">
        <f t="shared" ca="1" si="17"/>
        <v>49341</v>
      </c>
      <c r="F119" s="7">
        <f t="shared" ca="1" si="12"/>
        <v>1.3785110448524545</v>
      </c>
      <c r="G119" s="125">
        <f ca="1">IF('Simulador - 1º Pilar'!$E$99="Sí",IF('Aportaciones Flex'!$B$13&lt;'Aportaciones Flex'!E119,0,F119*$B$8/12),F119*$B$8/12)</f>
        <v>24123.943284917954</v>
      </c>
      <c r="H119" s="125">
        <f t="shared" ca="1" si="9"/>
        <v>0</v>
      </c>
      <c r="I119" s="126">
        <f t="shared" ca="1" si="10"/>
        <v>0</v>
      </c>
      <c r="J119" s="125">
        <f t="shared" ca="1" si="13"/>
        <v>0</v>
      </c>
      <c r="K119" s="151"/>
      <c r="L119" s="125">
        <f t="shared" ca="1" si="14"/>
        <v>0</v>
      </c>
      <c r="M119" s="762"/>
      <c r="P119">
        <f t="shared" si="15"/>
        <v>112</v>
      </c>
      <c r="S119" s="126">
        <f t="shared" ca="1" si="11"/>
        <v>0</v>
      </c>
      <c r="T119" s="126">
        <f t="shared" ca="1" si="16"/>
        <v>0</v>
      </c>
    </row>
    <row r="120" spans="4:20">
      <c r="D120">
        <v>113</v>
      </c>
      <c r="E120" s="6">
        <f t="shared" ca="1" si="17"/>
        <v>49310</v>
      </c>
      <c r="F120" s="7">
        <f t="shared" ca="1" si="12"/>
        <v>1.3785110448524545</v>
      </c>
      <c r="G120" s="125">
        <f ca="1">IF('Simulador - 1º Pilar'!$E$99="Sí",IF('Aportaciones Flex'!$B$13&lt;'Aportaciones Flex'!E120,0,F120*$B$8/12),F120*$B$8/12)</f>
        <v>24123.943284917954</v>
      </c>
      <c r="H120" s="125">
        <f t="shared" ca="1" si="9"/>
        <v>0</v>
      </c>
      <c r="I120" s="126">
        <f t="shared" ca="1" si="10"/>
        <v>0</v>
      </c>
      <c r="J120" s="125">
        <f t="shared" ca="1" si="13"/>
        <v>0</v>
      </c>
      <c r="K120" s="151"/>
      <c r="L120" s="125">
        <f t="shared" ca="1" si="14"/>
        <v>0</v>
      </c>
      <c r="M120" s="762"/>
      <c r="P120">
        <f t="shared" si="15"/>
        <v>113</v>
      </c>
      <c r="S120" s="126">
        <f t="shared" ca="1" si="11"/>
        <v>0</v>
      </c>
      <c r="T120" s="126">
        <f t="shared" ca="1" si="16"/>
        <v>0</v>
      </c>
    </row>
    <row r="121" spans="4:20">
      <c r="D121">
        <v>114</v>
      </c>
      <c r="E121" s="6">
        <f t="shared" ca="1" si="17"/>
        <v>49279</v>
      </c>
      <c r="F121" s="7">
        <f t="shared" ca="1" si="12"/>
        <v>1.3448888242462971</v>
      </c>
      <c r="G121" s="125">
        <f ca="1">IF('Simulador - 1º Pilar'!$E$99="Sí",IF('Aportaciones Flex'!$B$13&lt;'Aportaciones Flex'!E121,0,F121*$B$8/12),F121*$B$8/12)</f>
        <v>23535.554424310201</v>
      </c>
      <c r="H121" s="125">
        <f t="shared" ca="1" si="9"/>
        <v>0</v>
      </c>
      <c r="I121" s="126">
        <f t="shared" ca="1" si="10"/>
        <v>0</v>
      </c>
      <c r="J121" s="125">
        <f t="shared" ca="1" si="13"/>
        <v>0</v>
      </c>
      <c r="K121" s="151"/>
      <c r="L121" s="125">
        <f t="shared" ca="1" si="14"/>
        <v>0</v>
      </c>
      <c r="M121" s="762"/>
      <c r="P121">
        <f t="shared" si="15"/>
        <v>114</v>
      </c>
      <c r="S121" s="126">
        <f t="shared" ca="1" si="11"/>
        <v>0</v>
      </c>
      <c r="T121" s="126">
        <f t="shared" ca="1" si="16"/>
        <v>0</v>
      </c>
    </row>
    <row r="122" spans="4:20">
      <c r="D122">
        <v>115</v>
      </c>
      <c r="E122" s="6">
        <f t="shared" ca="1" si="17"/>
        <v>49249</v>
      </c>
      <c r="F122" s="7">
        <f t="shared" ca="1" si="12"/>
        <v>1.3448888242462971</v>
      </c>
      <c r="G122" s="125">
        <f ca="1">IF('Simulador - 1º Pilar'!$E$99="Sí",IF('Aportaciones Flex'!$B$13&lt;'Aportaciones Flex'!E122,0,F122*$B$8/12),F122*$B$8/12)</f>
        <v>23535.554424310201</v>
      </c>
      <c r="H122" s="125">
        <f t="shared" ca="1" si="9"/>
        <v>0</v>
      </c>
      <c r="I122" s="126">
        <f t="shared" ca="1" si="10"/>
        <v>0</v>
      </c>
      <c r="J122" s="125">
        <f t="shared" ca="1" si="13"/>
        <v>0</v>
      </c>
      <c r="K122" s="151"/>
      <c r="L122" s="125">
        <f t="shared" ca="1" si="14"/>
        <v>0</v>
      </c>
      <c r="M122" s="762"/>
      <c r="P122">
        <f t="shared" si="15"/>
        <v>115</v>
      </c>
      <c r="S122" s="126">
        <f t="shared" ca="1" si="11"/>
        <v>0</v>
      </c>
      <c r="T122" s="126">
        <f t="shared" ca="1" si="16"/>
        <v>0</v>
      </c>
    </row>
    <row r="123" spans="4:20">
      <c r="D123">
        <v>116</v>
      </c>
      <c r="E123" s="6">
        <f t="shared" ca="1" si="17"/>
        <v>49218</v>
      </c>
      <c r="F123" s="7">
        <f t="shared" ca="1" si="12"/>
        <v>1.3448888242462971</v>
      </c>
      <c r="G123" s="125">
        <f ca="1">IF('Simulador - 1º Pilar'!$E$99="Sí",IF('Aportaciones Flex'!$B$13&lt;'Aportaciones Flex'!E123,0,F123*$B$8/12),F123*$B$8/12)</f>
        <v>23535.554424310201</v>
      </c>
      <c r="H123" s="125">
        <f t="shared" ca="1" si="9"/>
        <v>0</v>
      </c>
      <c r="I123" s="126">
        <f t="shared" ca="1" si="10"/>
        <v>0</v>
      </c>
      <c r="J123" s="125">
        <f t="shared" ca="1" si="13"/>
        <v>0</v>
      </c>
      <c r="K123" s="151"/>
      <c r="L123" s="125">
        <f t="shared" ca="1" si="14"/>
        <v>0</v>
      </c>
      <c r="M123" s="762"/>
      <c r="P123">
        <f t="shared" si="15"/>
        <v>116</v>
      </c>
      <c r="S123" s="126">
        <f t="shared" ca="1" si="11"/>
        <v>0</v>
      </c>
      <c r="T123" s="126">
        <f t="shared" ca="1" si="16"/>
        <v>0</v>
      </c>
    </row>
    <row r="124" spans="4:20">
      <c r="D124">
        <v>117</v>
      </c>
      <c r="E124" s="6">
        <f t="shared" ca="1" si="17"/>
        <v>49188</v>
      </c>
      <c r="F124" s="7">
        <f t="shared" ca="1" si="12"/>
        <v>1.3448888242462971</v>
      </c>
      <c r="G124" s="125">
        <f ca="1">IF('Simulador - 1º Pilar'!$E$99="Sí",IF('Aportaciones Flex'!$B$13&lt;'Aportaciones Flex'!E124,0,F124*$B$8/12),F124*$B$8/12)</f>
        <v>23535.554424310201</v>
      </c>
      <c r="H124" s="125">
        <f t="shared" ca="1" si="9"/>
        <v>0</v>
      </c>
      <c r="I124" s="126">
        <f t="shared" ca="1" si="10"/>
        <v>0</v>
      </c>
      <c r="J124" s="125">
        <f t="shared" ca="1" si="13"/>
        <v>0</v>
      </c>
      <c r="K124" s="151"/>
      <c r="L124" s="125">
        <f t="shared" ca="1" si="14"/>
        <v>0</v>
      </c>
      <c r="M124" s="762"/>
      <c r="P124">
        <f t="shared" si="15"/>
        <v>117</v>
      </c>
      <c r="S124" s="126">
        <f t="shared" ca="1" si="11"/>
        <v>0</v>
      </c>
      <c r="T124" s="126">
        <f t="shared" ca="1" si="16"/>
        <v>0</v>
      </c>
    </row>
    <row r="125" spans="4:20">
      <c r="D125">
        <v>118</v>
      </c>
      <c r="E125" s="6">
        <f t="shared" ca="1" si="17"/>
        <v>49157</v>
      </c>
      <c r="F125" s="7">
        <f t="shared" ca="1" si="12"/>
        <v>1.3448888242462971</v>
      </c>
      <c r="G125" s="125">
        <f ca="1">IF('Simulador - 1º Pilar'!$E$99="Sí",IF('Aportaciones Flex'!$B$13&lt;'Aportaciones Flex'!E125,0,F125*$B$8/12),F125*$B$8/12)</f>
        <v>23535.554424310201</v>
      </c>
      <c r="H125" s="125">
        <f t="shared" ca="1" si="9"/>
        <v>0</v>
      </c>
      <c r="I125" s="126">
        <f t="shared" ca="1" si="10"/>
        <v>0</v>
      </c>
      <c r="J125" s="125">
        <f t="shared" ca="1" si="13"/>
        <v>0</v>
      </c>
      <c r="K125" s="151"/>
      <c r="L125" s="125">
        <f t="shared" ca="1" si="14"/>
        <v>0</v>
      </c>
      <c r="M125" s="762"/>
      <c r="P125">
        <f t="shared" si="15"/>
        <v>118</v>
      </c>
      <c r="S125" s="126">
        <f t="shared" ca="1" si="11"/>
        <v>0</v>
      </c>
      <c r="T125" s="126">
        <f t="shared" ca="1" si="16"/>
        <v>0</v>
      </c>
    </row>
    <row r="126" spans="4:20">
      <c r="D126">
        <v>119</v>
      </c>
      <c r="E126" s="6">
        <f t="shared" ca="1" si="17"/>
        <v>49126</v>
      </c>
      <c r="F126" s="7">
        <f t="shared" ca="1" si="12"/>
        <v>1.3448888242462971</v>
      </c>
      <c r="G126" s="125">
        <f ca="1">IF('Simulador - 1º Pilar'!$E$99="Sí",IF('Aportaciones Flex'!$B$13&lt;'Aportaciones Flex'!E126,0,F126*$B$8/12),F126*$B$8/12)</f>
        <v>23535.554424310201</v>
      </c>
      <c r="H126" s="125">
        <f t="shared" ca="1" si="9"/>
        <v>0</v>
      </c>
      <c r="I126" s="126">
        <f t="shared" ca="1" si="10"/>
        <v>0</v>
      </c>
      <c r="J126" s="125">
        <f t="shared" ca="1" si="13"/>
        <v>0</v>
      </c>
      <c r="K126" s="151"/>
      <c r="L126" s="125">
        <f t="shared" ca="1" si="14"/>
        <v>0</v>
      </c>
      <c r="M126" s="762"/>
      <c r="P126">
        <f t="shared" si="15"/>
        <v>119</v>
      </c>
      <c r="S126" s="126">
        <f t="shared" ca="1" si="11"/>
        <v>0</v>
      </c>
      <c r="T126" s="126">
        <f t="shared" ca="1" si="16"/>
        <v>0</v>
      </c>
    </row>
    <row r="127" spans="4:20">
      <c r="D127">
        <v>120</v>
      </c>
      <c r="E127" s="6">
        <f t="shared" ca="1" si="17"/>
        <v>49096</v>
      </c>
      <c r="F127" s="7">
        <f t="shared" ca="1" si="12"/>
        <v>1.3448888242462971</v>
      </c>
      <c r="G127" s="125">
        <f ca="1">IF('Simulador - 1º Pilar'!$E$99="Sí",IF('Aportaciones Flex'!$B$13&lt;'Aportaciones Flex'!E127,0,F127*$B$8/12),F127*$B$8/12)</f>
        <v>23535.554424310201</v>
      </c>
      <c r="H127" s="125">
        <f t="shared" ca="1" si="9"/>
        <v>0</v>
      </c>
      <c r="I127" s="126">
        <f t="shared" ca="1" si="10"/>
        <v>0</v>
      </c>
      <c r="J127" s="125">
        <f t="shared" ca="1" si="13"/>
        <v>0</v>
      </c>
      <c r="K127" s="151"/>
      <c r="L127" s="125">
        <f t="shared" ca="1" si="14"/>
        <v>0</v>
      </c>
      <c r="M127" s="762"/>
      <c r="P127">
        <f t="shared" si="15"/>
        <v>120</v>
      </c>
      <c r="S127" s="126">
        <f t="shared" ca="1" si="11"/>
        <v>0</v>
      </c>
      <c r="T127" s="126">
        <f t="shared" ca="1" si="16"/>
        <v>0</v>
      </c>
    </row>
    <row r="128" spans="4:20">
      <c r="D128">
        <v>121</v>
      </c>
      <c r="E128" s="6">
        <f t="shared" ca="1" si="17"/>
        <v>49065</v>
      </c>
      <c r="F128" s="7">
        <f t="shared" ca="1" si="12"/>
        <v>1.3448888242462971</v>
      </c>
      <c r="G128" s="125">
        <f ca="1">IF('Simulador - 1º Pilar'!$E$99="Sí",IF('Aportaciones Flex'!$B$13&lt;'Aportaciones Flex'!E128,0,F128*$B$8/12),F128*$B$8/12)</f>
        <v>23535.554424310201</v>
      </c>
      <c r="H128" s="125">
        <f t="shared" ca="1" si="9"/>
        <v>0</v>
      </c>
      <c r="I128" s="126">
        <f t="shared" ca="1" si="10"/>
        <v>0</v>
      </c>
      <c r="J128" s="125">
        <f t="shared" ca="1" si="13"/>
        <v>0</v>
      </c>
      <c r="K128" s="151"/>
      <c r="L128" s="125">
        <f t="shared" ca="1" si="14"/>
        <v>0</v>
      </c>
      <c r="M128" s="762"/>
      <c r="P128">
        <f t="shared" si="15"/>
        <v>121</v>
      </c>
      <c r="S128" s="126">
        <f t="shared" ca="1" si="11"/>
        <v>0</v>
      </c>
      <c r="T128" s="126">
        <f t="shared" ca="1" si="16"/>
        <v>0</v>
      </c>
    </row>
    <row r="129" spans="4:20">
      <c r="D129">
        <v>122</v>
      </c>
      <c r="E129" s="6">
        <f t="shared" ca="1" si="17"/>
        <v>49035</v>
      </c>
      <c r="F129" s="7">
        <f t="shared" ca="1" si="12"/>
        <v>1.3448888242462971</v>
      </c>
      <c r="G129" s="125">
        <f ca="1">IF('Simulador - 1º Pilar'!$E$99="Sí",IF('Aportaciones Flex'!$B$13&lt;'Aportaciones Flex'!E129,0,F129*$B$8/12),F129*$B$8/12)</f>
        <v>23535.554424310201</v>
      </c>
      <c r="H129" s="125">
        <f t="shared" ca="1" si="9"/>
        <v>0</v>
      </c>
      <c r="I129" s="126">
        <f t="shared" ca="1" si="10"/>
        <v>0</v>
      </c>
      <c r="J129" s="125">
        <f t="shared" ca="1" si="13"/>
        <v>0</v>
      </c>
      <c r="K129" s="151"/>
      <c r="L129" s="125">
        <f t="shared" ca="1" si="14"/>
        <v>0</v>
      </c>
      <c r="M129" s="762"/>
      <c r="P129">
        <f t="shared" si="15"/>
        <v>122</v>
      </c>
      <c r="S129" s="126">
        <f t="shared" ca="1" si="11"/>
        <v>0</v>
      </c>
      <c r="T129" s="126">
        <f t="shared" ca="1" si="16"/>
        <v>0</v>
      </c>
    </row>
    <row r="130" spans="4:20">
      <c r="D130">
        <v>123</v>
      </c>
      <c r="E130" s="6">
        <f t="shared" ca="1" si="17"/>
        <v>49004</v>
      </c>
      <c r="F130" s="7">
        <f t="shared" ca="1" si="12"/>
        <v>1.3448888242462971</v>
      </c>
      <c r="G130" s="125">
        <f ca="1">IF('Simulador - 1º Pilar'!$E$99="Sí",IF('Aportaciones Flex'!$B$13&lt;'Aportaciones Flex'!E130,0,F130*$B$8/12),F130*$B$8/12)</f>
        <v>23535.554424310201</v>
      </c>
      <c r="H130" s="125">
        <f t="shared" ca="1" si="9"/>
        <v>0</v>
      </c>
      <c r="I130" s="126">
        <f t="shared" ca="1" si="10"/>
        <v>0</v>
      </c>
      <c r="J130" s="125">
        <f t="shared" ca="1" si="13"/>
        <v>0</v>
      </c>
      <c r="K130" s="151"/>
      <c r="L130" s="125">
        <f t="shared" ca="1" si="14"/>
        <v>0</v>
      </c>
      <c r="M130" s="762"/>
      <c r="P130">
        <f t="shared" si="15"/>
        <v>123</v>
      </c>
      <c r="S130" s="126">
        <f t="shared" ca="1" si="11"/>
        <v>0</v>
      </c>
      <c r="T130" s="126">
        <f t="shared" ca="1" si="16"/>
        <v>0</v>
      </c>
    </row>
    <row r="131" spans="4:20">
      <c r="D131">
        <v>124</v>
      </c>
      <c r="E131" s="6">
        <f t="shared" ca="1" si="17"/>
        <v>48976</v>
      </c>
      <c r="F131" s="7">
        <f t="shared" ca="1" si="12"/>
        <v>1.3448888242462971</v>
      </c>
      <c r="G131" s="125">
        <f ca="1">IF('Simulador - 1º Pilar'!$E$99="Sí",IF('Aportaciones Flex'!$B$13&lt;'Aportaciones Flex'!E131,0,F131*$B$8/12),F131*$B$8/12)</f>
        <v>23535.554424310201</v>
      </c>
      <c r="H131" s="125">
        <f t="shared" ca="1" si="9"/>
        <v>0</v>
      </c>
      <c r="I131" s="126">
        <f t="shared" ca="1" si="10"/>
        <v>0</v>
      </c>
      <c r="J131" s="125">
        <f t="shared" ca="1" si="13"/>
        <v>0</v>
      </c>
      <c r="K131" s="151"/>
      <c r="L131" s="125">
        <f t="shared" ca="1" si="14"/>
        <v>0</v>
      </c>
      <c r="M131" s="762"/>
      <c r="P131">
        <f t="shared" si="15"/>
        <v>124</v>
      </c>
      <c r="S131" s="126">
        <f t="shared" ca="1" si="11"/>
        <v>0</v>
      </c>
      <c r="T131" s="126">
        <f t="shared" ca="1" si="16"/>
        <v>0</v>
      </c>
    </row>
    <row r="132" spans="4:20">
      <c r="D132">
        <v>125</v>
      </c>
      <c r="E132" s="6">
        <f t="shared" ca="1" si="17"/>
        <v>48945</v>
      </c>
      <c r="F132" s="7">
        <f t="shared" ca="1" si="12"/>
        <v>1.3448888242462971</v>
      </c>
      <c r="G132" s="125">
        <f ca="1">IF('Simulador - 1º Pilar'!$E$99="Sí",IF('Aportaciones Flex'!$B$13&lt;'Aportaciones Flex'!E132,0,F132*$B$8/12),F132*$B$8/12)</f>
        <v>23535.554424310201</v>
      </c>
      <c r="H132" s="125">
        <f t="shared" ca="1" si="9"/>
        <v>0</v>
      </c>
      <c r="I132" s="126">
        <f t="shared" ca="1" si="10"/>
        <v>0</v>
      </c>
      <c r="J132" s="125">
        <f t="shared" ca="1" si="13"/>
        <v>0</v>
      </c>
      <c r="K132" s="151"/>
      <c r="L132" s="125">
        <f t="shared" ca="1" si="14"/>
        <v>0</v>
      </c>
      <c r="M132" s="762"/>
      <c r="P132">
        <f t="shared" si="15"/>
        <v>125</v>
      </c>
      <c r="S132" s="126">
        <f t="shared" ca="1" si="11"/>
        <v>0</v>
      </c>
      <c r="T132" s="126">
        <f t="shared" ca="1" si="16"/>
        <v>0</v>
      </c>
    </row>
    <row r="133" spans="4:20">
      <c r="D133">
        <v>126</v>
      </c>
      <c r="E133" s="6">
        <f t="shared" ca="1" si="17"/>
        <v>48914</v>
      </c>
      <c r="F133" s="7">
        <f t="shared" ca="1" si="12"/>
        <v>1.3120866578012655</v>
      </c>
      <c r="G133" s="125">
        <f ca="1">IF('Simulador - 1º Pilar'!$E$99="Sí",IF('Aportaciones Flex'!$B$13&lt;'Aportaciones Flex'!E133,0,F133*$B$8/12),F133*$B$8/12)</f>
        <v>22961.516511522146</v>
      </c>
      <c r="H133" s="125">
        <f t="shared" ca="1" si="9"/>
        <v>0</v>
      </c>
      <c r="I133" s="126">
        <f t="shared" ca="1" si="10"/>
        <v>0</v>
      </c>
      <c r="J133" s="125">
        <f t="shared" ca="1" si="13"/>
        <v>0</v>
      </c>
      <c r="K133" s="151"/>
      <c r="L133" s="125">
        <f t="shared" ca="1" si="14"/>
        <v>0</v>
      </c>
      <c r="M133" s="762"/>
      <c r="P133">
        <f t="shared" si="15"/>
        <v>126</v>
      </c>
      <c r="S133" s="126">
        <f t="shared" ca="1" si="11"/>
        <v>0</v>
      </c>
      <c r="T133" s="126">
        <f t="shared" ca="1" si="16"/>
        <v>0</v>
      </c>
    </row>
    <row r="134" spans="4:20">
      <c r="D134">
        <v>127</v>
      </c>
      <c r="E134" s="6">
        <f t="shared" ca="1" si="17"/>
        <v>48884</v>
      </c>
      <c r="F134" s="7">
        <f t="shared" ca="1" si="12"/>
        <v>1.3120866578012655</v>
      </c>
      <c r="G134" s="125">
        <f ca="1">IF('Simulador - 1º Pilar'!$E$99="Sí",IF('Aportaciones Flex'!$B$13&lt;'Aportaciones Flex'!E134,0,F134*$B$8/12),F134*$B$8/12)</f>
        <v>22961.516511522146</v>
      </c>
      <c r="H134" s="125">
        <f t="shared" ca="1" si="9"/>
        <v>0</v>
      </c>
      <c r="I134" s="126">
        <f t="shared" ca="1" si="10"/>
        <v>0</v>
      </c>
      <c r="J134" s="125">
        <f t="shared" ca="1" si="13"/>
        <v>0</v>
      </c>
      <c r="K134" s="151"/>
      <c r="L134" s="125">
        <f t="shared" ca="1" si="14"/>
        <v>0</v>
      </c>
      <c r="M134" s="762"/>
      <c r="P134">
        <f t="shared" si="15"/>
        <v>127</v>
      </c>
      <c r="S134" s="126">
        <f t="shared" ca="1" si="11"/>
        <v>0</v>
      </c>
      <c r="T134" s="126">
        <f t="shared" ca="1" si="16"/>
        <v>0</v>
      </c>
    </row>
    <row r="135" spans="4:20">
      <c r="D135">
        <v>128</v>
      </c>
      <c r="E135" s="6">
        <f t="shared" ca="1" si="17"/>
        <v>48853</v>
      </c>
      <c r="F135" s="7">
        <f t="shared" ca="1" si="12"/>
        <v>1.3120866578012655</v>
      </c>
      <c r="G135" s="125">
        <f ca="1">IF('Simulador - 1º Pilar'!$E$99="Sí",IF('Aportaciones Flex'!$B$13&lt;'Aportaciones Flex'!E135,0,F135*$B$8/12),F135*$B$8/12)</f>
        <v>22961.516511522146</v>
      </c>
      <c r="H135" s="125">
        <f t="shared" ref="H135:H181" ca="1" si="18">IF(G135&gt;0,1,0)*$H$5*IF(AND($I$5="NO",YEAR(E135)=YEAR($B$6)+1),1,IF($I$5="SI",1,0))</f>
        <v>0</v>
      </c>
      <c r="I135" s="126">
        <f t="shared" ref="I135:I198" ca="1" si="19">(1+$M$5)^(D135/12)*(H135*(12-IF(MONTH(E136)=12,0,MONTH(E136)))+IF(AND(F135=1,F136=0),$Q$4,0))*IF(AND(F135=1,F136=0),1,0)</f>
        <v>0</v>
      </c>
      <c r="J135" s="125">
        <f t="shared" ca="1" si="13"/>
        <v>0</v>
      </c>
      <c r="K135" s="151"/>
      <c r="L135" s="125">
        <f t="shared" ca="1" si="14"/>
        <v>0</v>
      </c>
      <c r="M135" s="762"/>
      <c r="P135">
        <f t="shared" si="15"/>
        <v>128</v>
      </c>
      <c r="S135" s="126">
        <f t="shared" ref="S135:S198" ca="1" si="20">(1+$M$5)^(D135/12)*(IF(E135=$C$6,$Q$4+$H$5*12,0))</f>
        <v>0</v>
      </c>
      <c r="T135" s="126">
        <f t="shared" ca="1" si="16"/>
        <v>0</v>
      </c>
    </row>
    <row r="136" spans="4:20">
      <c r="D136">
        <v>129</v>
      </c>
      <c r="E136" s="6">
        <f t="shared" ca="1" si="17"/>
        <v>48823</v>
      </c>
      <c r="F136" s="7">
        <f t="shared" ref="F136:F199" ca="1" si="21">IF(DATE(YEAR($B$6),MONTH($B$6)+1,DAY(1))=E136,1,IF(MONTH(E136)=1,F137*(1+$F$5),F137))</f>
        <v>1.3120866578012655</v>
      </c>
      <c r="G136" s="125">
        <f ca="1">IF('Simulador - 1º Pilar'!$E$99="Sí",IF('Aportaciones Flex'!$B$13&lt;'Aportaciones Flex'!E136,0,F136*$B$8/12),F136*$B$8/12)</f>
        <v>22961.516511522146</v>
      </c>
      <c r="H136" s="125">
        <f t="shared" ca="1" si="18"/>
        <v>0</v>
      </c>
      <c r="I136" s="126">
        <f t="shared" ca="1" si="19"/>
        <v>0</v>
      </c>
      <c r="J136" s="125">
        <f t="shared" ref="J136:J199" ca="1" si="22">(1+$M$5)^(D136/12)*(H136+IF(AND(F136=1,F137=0),$Q$4,0))</f>
        <v>0</v>
      </c>
      <c r="K136" s="151"/>
      <c r="L136" s="125">
        <f t="shared" ref="L136:L199" ca="1" si="23">K136+J136</f>
        <v>0</v>
      </c>
      <c r="M136" s="762"/>
      <c r="P136">
        <f t="shared" ref="P136:P199" si="24">D136</f>
        <v>129</v>
      </c>
      <c r="S136" s="126">
        <f t="shared" ca="1" si="20"/>
        <v>0</v>
      </c>
      <c r="T136" s="126">
        <f t="shared" ref="T136:T199" ca="1" si="25">(1+$M$5)^(D136/12)*(IF(YEAR(E136)&gt;YEAR($C$6),L136,0)+IF(E136=$C$6,$H$5*12+$Q$4,0))</f>
        <v>0</v>
      </c>
    </row>
    <row r="137" spans="4:20">
      <c r="D137">
        <v>130</v>
      </c>
      <c r="E137" s="6">
        <f t="shared" ref="E137:E200" ca="1" si="26">+DATE(YEAR(E136),MONTH(E136)-1,DAY(E136))</f>
        <v>48792</v>
      </c>
      <c r="F137" s="7">
        <f t="shared" ca="1" si="21"/>
        <v>1.3120866578012655</v>
      </c>
      <c r="G137" s="125">
        <f ca="1">IF('Simulador - 1º Pilar'!$E$99="Sí",IF('Aportaciones Flex'!$B$13&lt;'Aportaciones Flex'!E137,0,F137*$B$8/12),F137*$B$8/12)</f>
        <v>22961.516511522146</v>
      </c>
      <c r="H137" s="125">
        <f t="shared" ca="1" si="18"/>
        <v>0</v>
      </c>
      <c r="I137" s="126">
        <f t="shared" ca="1" si="19"/>
        <v>0</v>
      </c>
      <c r="J137" s="125">
        <f t="shared" ca="1" si="22"/>
        <v>0</v>
      </c>
      <c r="K137" s="151"/>
      <c r="L137" s="125">
        <f t="shared" ca="1" si="23"/>
        <v>0</v>
      </c>
      <c r="M137" s="762"/>
      <c r="P137">
        <f t="shared" si="24"/>
        <v>130</v>
      </c>
      <c r="S137" s="126">
        <f t="shared" ca="1" si="20"/>
        <v>0</v>
      </c>
      <c r="T137" s="126">
        <f t="shared" ca="1" si="25"/>
        <v>0</v>
      </c>
    </row>
    <row r="138" spans="4:20">
      <c r="D138">
        <v>131</v>
      </c>
      <c r="E138" s="6">
        <f t="shared" ca="1" si="26"/>
        <v>48761</v>
      </c>
      <c r="F138" s="7">
        <f t="shared" ca="1" si="21"/>
        <v>1.3120866578012655</v>
      </c>
      <c r="G138" s="125">
        <f ca="1">IF('Simulador - 1º Pilar'!$E$99="Sí",IF('Aportaciones Flex'!$B$13&lt;'Aportaciones Flex'!E138,0,F138*$B$8/12),F138*$B$8/12)</f>
        <v>22961.516511522146</v>
      </c>
      <c r="H138" s="125">
        <f t="shared" ca="1" si="18"/>
        <v>0</v>
      </c>
      <c r="I138" s="126">
        <f t="shared" ca="1" si="19"/>
        <v>0</v>
      </c>
      <c r="J138" s="125">
        <f t="shared" ca="1" si="22"/>
        <v>0</v>
      </c>
      <c r="K138" s="151"/>
      <c r="L138" s="125">
        <f t="shared" ca="1" si="23"/>
        <v>0</v>
      </c>
      <c r="M138" s="762"/>
      <c r="P138">
        <f t="shared" si="24"/>
        <v>131</v>
      </c>
      <c r="S138" s="126">
        <f t="shared" ca="1" si="20"/>
        <v>0</v>
      </c>
      <c r="T138" s="126">
        <f t="shared" ca="1" si="25"/>
        <v>0</v>
      </c>
    </row>
    <row r="139" spans="4:20">
      <c r="D139">
        <v>132</v>
      </c>
      <c r="E139" s="6">
        <f t="shared" ca="1" si="26"/>
        <v>48731</v>
      </c>
      <c r="F139" s="7">
        <f t="shared" ca="1" si="21"/>
        <v>1.3120866578012655</v>
      </c>
      <c r="G139" s="125">
        <f ca="1">IF('Simulador - 1º Pilar'!$E$99="Sí",IF('Aportaciones Flex'!$B$13&lt;'Aportaciones Flex'!E139,0,F139*$B$8/12),F139*$B$8/12)</f>
        <v>22961.516511522146</v>
      </c>
      <c r="H139" s="125">
        <f t="shared" ca="1" si="18"/>
        <v>0</v>
      </c>
      <c r="I139" s="126">
        <f t="shared" ca="1" si="19"/>
        <v>0</v>
      </c>
      <c r="J139" s="125">
        <f t="shared" ca="1" si="22"/>
        <v>0</v>
      </c>
      <c r="K139" s="151"/>
      <c r="L139" s="125">
        <f t="shared" ca="1" si="23"/>
        <v>0</v>
      </c>
      <c r="M139" s="762"/>
      <c r="P139">
        <f t="shared" si="24"/>
        <v>132</v>
      </c>
      <c r="S139" s="126">
        <f t="shared" ca="1" si="20"/>
        <v>0</v>
      </c>
      <c r="T139" s="126">
        <f t="shared" ca="1" si="25"/>
        <v>0</v>
      </c>
    </row>
    <row r="140" spans="4:20">
      <c r="D140">
        <v>133</v>
      </c>
      <c r="E140" s="6">
        <f t="shared" ca="1" si="26"/>
        <v>48700</v>
      </c>
      <c r="F140" s="7">
        <f t="shared" ca="1" si="21"/>
        <v>1.3120866578012655</v>
      </c>
      <c r="G140" s="125">
        <f ca="1">IF('Simulador - 1º Pilar'!$E$99="Sí",IF('Aportaciones Flex'!$B$13&lt;'Aportaciones Flex'!E140,0,F140*$B$8/12),F140*$B$8/12)</f>
        <v>22961.516511522146</v>
      </c>
      <c r="H140" s="125">
        <f t="shared" ca="1" si="18"/>
        <v>0</v>
      </c>
      <c r="I140" s="126">
        <f t="shared" ca="1" si="19"/>
        <v>0</v>
      </c>
      <c r="J140" s="125">
        <f t="shared" ca="1" si="22"/>
        <v>0</v>
      </c>
      <c r="K140" s="151"/>
      <c r="L140" s="125">
        <f t="shared" ca="1" si="23"/>
        <v>0</v>
      </c>
      <c r="M140" s="762"/>
      <c r="P140">
        <f t="shared" si="24"/>
        <v>133</v>
      </c>
      <c r="S140" s="126">
        <f t="shared" ca="1" si="20"/>
        <v>0</v>
      </c>
      <c r="T140" s="126">
        <f t="shared" ca="1" si="25"/>
        <v>0</v>
      </c>
    </row>
    <row r="141" spans="4:20">
      <c r="D141">
        <v>134</v>
      </c>
      <c r="E141" s="6">
        <f t="shared" ca="1" si="26"/>
        <v>48670</v>
      </c>
      <c r="F141" s="7">
        <f t="shared" ca="1" si="21"/>
        <v>1.3120866578012655</v>
      </c>
      <c r="G141" s="125">
        <f ca="1">IF('Simulador - 1º Pilar'!$E$99="Sí",IF('Aportaciones Flex'!$B$13&lt;'Aportaciones Flex'!E141,0,F141*$B$8/12),F141*$B$8/12)</f>
        <v>22961.516511522146</v>
      </c>
      <c r="H141" s="125">
        <f t="shared" ca="1" si="18"/>
        <v>0</v>
      </c>
      <c r="I141" s="126">
        <f t="shared" ca="1" si="19"/>
        <v>0</v>
      </c>
      <c r="J141" s="125">
        <f t="shared" ca="1" si="22"/>
        <v>0</v>
      </c>
      <c r="K141" s="151"/>
      <c r="L141" s="125">
        <f t="shared" ca="1" si="23"/>
        <v>0</v>
      </c>
      <c r="M141" s="762"/>
      <c r="P141">
        <f t="shared" si="24"/>
        <v>134</v>
      </c>
      <c r="S141" s="126">
        <f t="shared" ca="1" si="20"/>
        <v>0</v>
      </c>
      <c r="T141" s="126">
        <f t="shared" ca="1" si="25"/>
        <v>0</v>
      </c>
    </row>
    <row r="142" spans="4:20">
      <c r="D142">
        <v>135</v>
      </c>
      <c r="E142" s="6">
        <f t="shared" ca="1" si="26"/>
        <v>48639</v>
      </c>
      <c r="F142" s="7">
        <f t="shared" ca="1" si="21"/>
        <v>1.3120866578012655</v>
      </c>
      <c r="G142" s="125">
        <f ca="1">IF('Simulador - 1º Pilar'!$E$99="Sí",IF('Aportaciones Flex'!$B$13&lt;'Aportaciones Flex'!E142,0,F142*$B$8/12),F142*$B$8/12)</f>
        <v>22961.516511522146</v>
      </c>
      <c r="H142" s="125">
        <f t="shared" ca="1" si="18"/>
        <v>0</v>
      </c>
      <c r="I142" s="126">
        <f t="shared" ca="1" si="19"/>
        <v>0</v>
      </c>
      <c r="J142" s="125">
        <f t="shared" ca="1" si="22"/>
        <v>0</v>
      </c>
      <c r="K142" s="151"/>
      <c r="L142" s="125">
        <f t="shared" ca="1" si="23"/>
        <v>0</v>
      </c>
      <c r="M142" s="762"/>
      <c r="P142">
        <f t="shared" si="24"/>
        <v>135</v>
      </c>
      <c r="S142" s="126">
        <f t="shared" ca="1" si="20"/>
        <v>0</v>
      </c>
      <c r="T142" s="126">
        <f t="shared" ca="1" si="25"/>
        <v>0</v>
      </c>
    </row>
    <row r="143" spans="4:20">
      <c r="D143">
        <v>136</v>
      </c>
      <c r="E143" s="6">
        <f t="shared" ca="1" si="26"/>
        <v>48611</v>
      </c>
      <c r="F143" s="7">
        <f t="shared" ca="1" si="21"/>
        <v>1.3120866578012655</v>
      </c>
      <c r="G143" s="125">
        <f ca="1">IF('Simulador - 1º Pilar'!$E$99="Sí",IF('Aportaciones Flex'!$B$13&lt;'Aportaciones Flex'!E143,0,F143*$B$8/12),F143*$B$8/12)</f>
        <v>22961.516511522146</v>
      </c>
      <c r="H143" s="125">
        <f t="shared" ca="1" si="18"/>
        <v>0</v>
      </c>
      <c r="I143" s="126">
        <f t="shared" ca="1" si="19"/>
        <v>0</v>
      </c>
      <c r="J143" s="125">
        <f t="shared" ca="1" si="22"/>
        <v>0</v>
      </c>
      <c r="K143" s="151"/>
      <c r="L143" s="125">
        <f t="shared" ca="1" si="23"/>
        <v>0</v>
      </c>
      <c r="M143" s="762"/>
      <c r="P143">
        <f t="shared" si="24"/>
        <v>136</v>
      </c>
      <c r="S143" s="126">
        <f t="shared" ca="1" si="20"/>
        <v>0</v>
      </c>
      <c r="T143" s="126">
        <f t="shared" ca="1" si="25"/>
        <v>0</v>
      </c>
    </row>
    <row r="144" spans="4:20">
      <c r="D144">
        <v>137</v>
      </c>
      <c r="E144" s="6">
        <f t="shared" ca="1" si="26"/>
        <v>48580</v>
      </c>
      <c r="F144" s="7">
        <f t="shared" ca="1" si="21"/>
        <v>1.3120866578012655</v>
      </c>
      <c r="G144" s="125">
        <f ca="1">IF('Simulador - 1º Pilar'!$E$99="Sí",IF('Aportaciones Flex'!$B$13&lt;'Aportaciones Flex'!E144,0,F144*$B$8/12),F144*$B$8/12)</f>
        <v>22961.516511522146</v>
      </c>
      <c r="H144" s="125">
        <f t="shared" ca="1" si="18"/>
        <v>0</v>
      </c>
      <c r="I144" s="126">
        <f t="shared" ca="1" si="19"/>
        <v>0</v>
      </c>
      <c r="J144" s="125">
        <f t="shared" ca="1" si="22"/>
        <v>0</v>
      </c>
      <c r="K144" s="151"/>
      <c r="L144" s="125">
        <f t="shared" ca="1" si="23"/>
        <v>0</v>
      </c>
      <c r="M144" s="762"/>
      <c r="P144">
        <f t="shared" si="24"/>
        <v>137</v>
      </c>
      <c r="S144" s="126">
        <f t="shared" ca="1" si="20"/>
        <v>0</v>
      </c>
      <c r="T144" s="126">
        <f t="shared" ca="1" si="25"/>
        <v>0</v>
      </c>
    </row>
    <row r="145" spans="4:20">
      <c r="D145">
        <v>138</v>
      </c>
      <c r="E145" s="6">
        <f t="shared" ca="1" si="26"/>
        <v>48549</v>
      </c>
      <c r="F145" s="7">
        <f t="shared" ca="1" si="21"/>
        <v>1.2800845441963566</v>
      </c>
      <c r="G145" s="125">
        <f ca="1">IF('Simulador - 1º Pilar'!$E$99="Sí",IF('Aportaciones Flex'!$B$13&lt;'Aportaciones Flex'!E145,0,F145*$B$8/12),F145*$B$8/12)</f>
        <v>22401.479523436239</v>
      </c>
      <c r="H145" s="125">
        <f t="shared" ca="1" si="18"/>
        <v>0</v>
      </c>
      <c r="I145" s="126">
        <f t="shared" ca="1" si="19"/>
        <v>0</v>
      </c>
      <c r="J145" s="125">
        <f t="shared" ca="1" si="22"/>
        <v>0</v>
      </c>
      <c r="K145" s="151"/>
      <c r="L145" s="125">
        <f t="shared" ca="1" si="23"/>
        <v>0</v>
      </c>
      <c r="M145" s="762"/>
      <c r="P145">
        <f t="shared" si="24"/>
        <v>138</v>
      </c>
      <c r="S145" s="126">
        <f t="shared" ca="1" si="20"/>
        <v>0</v>
      </c>
      <c r="T145" s="126">
        <f t="shared" ca="1" si="25"/>
        <v>0</v>
      </c>
    </row>
    <row r="146" spans="4:20">
      <c r="D146">
        <v>139</v>
      </c>
      <c r="E146" s="6">
        <f t="shared" ca="1" si="26"/>
        <v>48519</v>
      </c>
      <c r="F146" s="7">
        <f t="shared" ca="1" si="21"/>
        <v>1.2800845441963566</v>
      </c>
      <c r="G146" s="125">
        <f ca="1">IF('Simulador - 1º Pilar'!$E$99="Sí",IF('Aportaciones Flex'!$B$13&lt;'Aportaciones Flex'!E146,0,F146*$B$8/12),F146*$B$8/12)</f>
        <v>22401.479523436239</v>
      </c>
      <c r="H146" s="125">
        <f t="shared" ca="1" si="18"/>
        <v>0</v>
      </c>
      <c r="I146" s="126">
        <f t="shared" ca="1" si="19"/>
        <v>0</v>
      </c>
      <c r="J146" s="125">
        <f t="shared" ca="1" si="22"/>
        <v>0</v>
      </c>
      <c r="K146" s="151"/>
      <c r="L146" s="125">
        <f t="shared" ca="1" si="23"/>
        <v>0</v>
      </c>
      <c r="M146" s="762"/>
      <c r="P146">
        <f t="shared" si="24"/>
        <v>139</v>
      </c>
      <c r="S146" s="126">
        <f t="shared" ca="1" si="20"/>
        <v>0</v>
      </c>
      <c r="T146" s="126">
        <f t="shared" ca="1" si="25"/>
        <v>0</v>
      </c>
    </row>
    <row r="147" spans="4:20">
      <c r="D147">
        <v>140</v>
      </c>
      <c r="E147" s="6">
        <f t="shared" ca="1" si="26"/>
        <v>48488</v>
      </c>
      <c r="F147" s="7">
        <f t="shared" ca="1" si="21"/>
        <v>1.2800845441963566</v>
      </c>
      <c r="G147" s="125">
        <f ca="1">IF('Simulador - 1º Pilar'!$E$99="Sí",IF('Aportaciones Flex'!$B$13&lt;'Aportaciones Flex'!E147,0,F147*$B$8/12),F147*$B$8/12)</f>
        <v>22401.479523436239</v>
      </c>
      <c r="H147" s="125">
        <f t="shared" ca="1" si="18"/>
        <v>0</v>
      </c>
      <c r="I147" s="126">
        <f t="shared" ca="1" si="19"/>
        <v>0</v>
      </c>
      <c r="J147" s="125">
        <f t="shared" ca="1" si="22"/>
        <v>0</v>
      </c>
      <c r="K147" s="151"/>
      <c r="L147" s="125">
        <f t="shared" ca="1" si="23"/>
        <v>0</v>
      </c>
      <c r="M147" s="762"/>
      <c r="P147">
        <f t="shared" si="24"/>
        <v>140</v>
      </c>
      <c r="S147" s="126">
        <f t="shared" ca="1" si="20"/>
        <v>0</v>
      </c>
      <c r="T147" s="126">
        <f t="shared" ca="1" si="25"/>
        <v>0</v>
      </c>
    </row>
    <row r="148" spans="4:20">
      <c r="D148">
        <v>141</v>
      </c>
      <c r="E148" s="6">
        <f t="shared" ca="1" si="26"/>
        <v>48458</v>
      </c>
      <c r="F148" s="7">
        <f t="shared" ca="1" si="21"/>
        <v>1.2800845441963566</v>
      </c>
      <c r="G148" s="125">
        <f ca="1">IF('Simulador - 1º Pilar'!$E$99="Sí",IF('Aportaciones Flex'!$B$13&lt;'Aportaciones Flex'!E148,0,F148*$B$8/12),F148*$B$8/12)</f>
        <v>22401.479523436239</v>
      </c>
      <c r="H148" s="125">
        <f t="shared" ca="1" si="18"/>
        <v>0</v>
      </c>
      <c r="I148" s="126">
        <f t="shared" ca="1" si="19"/>
        <v>0</v>
      </c>
      <c r="J148" s="125">
        <f t="shared" ca="1" si="22"/>
        <v>0</v>
      </c>
      <c r="K148" s="151"/>
      <c r="L148" s="125">
        <f t="shared" ca="1" si="23"/>
        <v>0</v>
      </c>
      <c r="M148" s="762"/>
      <c r="P148">
        <f t="shared" si="24"/>
        <v>141</v>
      </c>
      <c r="S148" s="126">
        <f t="shared" ca="1" si="20"/>
        <v>0</v>
      </c>
      <c r="T148" s="126">
        <f t="shared" ca="1" si="25"/>
        <v>0</v>
      </c>
    </row>
    <row r="149" spans="4:20">
      <c r="D149">
        <v>142</v>
      </c>
      <c r="E149" s="6">
        <f t="shared" ca="1" si="26"/>
        <v>48427</v>
      </c>
      <c r="F149" s="7">
        <f t="shared" ca="1" si="21"/>
        <v>1.2800845441963566</v>
      </c>
      <c r="G149" s="125">
        <f ca="1">IF('Simulador - 1º Pilar'!$E$99="Sí",IF('Aportaciones Flex'!$B$13&lt;'Aportaciones Flex'!E149,0,F149*$B$8/12),F149*$B$8/12)</f>
        <v>22401.479523436239</v>
      </c>
      <c r="H149" s="125">
        <f t="shared" ca="1" si="18"/>
        <v>0</v>
      </c>
      <c r="I149" s="126">
        <f t="shared" ca="1" si="19"/>
        <v>0</v>
      </c>
      <c r="J149" s="125">
        <f t="shared" ca="1" si="22"/>
        <v>0</v>
      </c>
      <c r="K149" s="151"/>
      <c r="L149" s="125">
        <f t="shared" ca="1" si="23"/>
        <v>0</v>
      </c>
      <c r="M149" s="762"/>
      <c r="P149">
        <f t="shared" si="24"/>
        <v>142</v>
      </c>
      <c r="S149" s="126">
        <f t="shared" ca="1" si="20"/>
        <v>0</v>
      </c>
      <c r="T149" s="126">
        <f t="shared" ca="1" si="25"/>
        <v>0</v>
      </c>
    </row>
    <row r="150" spans="4:20">
      <c r="D150">
        <v>143</v>
      </c>
      <c r="E150" s="6">
        <f t="shared" ca="1" si="26"/>
        <v>48396</v>
      </c>
      <c r="F150" s="7">
        <f t="shared" ca="1" si="21"/>
        <v>1.2800845441963566</v>
      </c>
      <c r="G150" s="125">
        <f ca="1">IF('Simulador - 1º Pilar'!$E$99="Sí",IF('Aportaciones Flex'!$B$13&lt;'Aportaciones Flex'!E150,0,F150*$B$8/12),F150*$B$8/12)</f>
        <v>22401.479523436239</v>
      </c>
      <c r="H150" s="125">
        <f t="shared" ca="1" si="18"/>
        <v>0</v>
      </c>
      <c r="I150" s="126">
        <f t="shared" ca="1" si="19"/>
        <v>0</v>
      </c>
      <c r="J150" s="125">
        <f t="shared" ca="1" si="22"/>
        <v>0</v>
      </c>
      <c r="K150" s="151"/>
      <c r="L150" s="125">
        <f t="shared" ca="1" si="23"/>
        <v>0</v>
      </c>
      <c r="M150" s="762"/>
      <c r="P150">
        <f t="shared" si="24"/>
        <v>143</v>
      </c>
      <c r="S150" s="126">
        <f t="shared" ca="1" si="20"/>
        <v>0</v>
      </c>
      <c r="T150" s="126">
        <f t="shared" ca="1" si="25"/>
        <v>0</v>
      </c>
    </row>
    <row r="151" spans="4:20">
      <c r="D151">
        <v>144</v>
      </c>
      <c r="E151" s="6">
        <f t="shared" ca="1" si="26"/>
        <v>48366</v>
      </c>
      <c r="F151" s="7">
        <f t="shared" ca="1" si="21"/>
        <v>1.2800845441963566</v>
      </c>
      <c r="G151" s="125">
        <f ca="1">IF('Simulador - 1º Pilar'!$E$99="Sí",IF('Aportaciones Flex'!$B$13&lt;'Aportaciones Flex'!E151,0,F151*$B$8/12),F151*$B$8/12)</f>
        <v>22401.479523436239</v>
      </c>
      <c r="H151" s="125">
        <f t="shared" ca="1" si="18"/>
        <v>0</v>
      </c>
      <c r="I151" s="126">
        <f t="shared" ca="1" si="19"/>
        <v>0</v>
      </c>
      <c r="J151" s="125">
        <f t="shared" ca="1" si="22"/>
        <v>0</v>
      </c>
      <c r="K151" s="151"/>
      <c r="L151" s="125">
        <f t="shared" ca="1" si="23"/>
        <v>0</v>
      </c>
      <c r="M151" s="762"/>
      <c r="P151">
        <f t="shared" si="24"/>
        <v>144</v>
      </c>
      <c r="S151" s="126">
        <f t="shared" ca="1" si="20"/>
        <v>0</v>
      </c>
      <c r="T151" s="126">
        <f t="shared" ca="1" si="25"/>
        <v>0</v>
      </c>
    </row>
    <row r="152" spans="4:20">
      <c r="D152">
        <v>145</v>
      </c>
      <c r="E152" s="6">
        <f t="shared" ca="1" si="26"/>
        <v>48335</v>
      </c>
      <c r="F152" s="7">
        <f t="shared" ca="1" si="21"/>
        <v>1.2800845441963566</v>
      </c>
      <c r="G152" s="125">
        <f ca="1">IF('Simulador - 1º Pilar'!$E$99="Sí",IF('Aportaciones Flex'!$B$13&lt;'Aportaciones Flex'!E152,0,F152*$B$8/12),F152*$B$8/12)</f>
        <v>22401.479523436239</v>
      </c>
      <c r="H152" s="125">
        <f t="shared" ca="1" si="18"/>
        <v>0</v>
      </c>
      <c r="I152" s="126">
        <f t="shared" ca="1" si="19"/>
        <v>0</v>
      </c>
      <c r="J152" s="125">
        <f t="shared" ca="1" si="22"/>
        <v>0</v>
      </c>
      <c r="K152" s="151"/>
      <c r="L152" s="125">
        <f t="shared" ca="1" si="23"/>
        <v>0</v>
      </c>
      <c r="M152" s="762"/>
      <c r="P152">
        <f t="shared" si="24"/>
        <v>145</v>
      </c>
      <c r="S152" s="126">
        <f t="shared" ca="1" si="20"/>
        <v>0</v>
      </c>
      <c r="T152" s="126">
        <f t="shared" ca="1" si="25"/>
        <v>0</v>
      </c>
    </row>
    <row r="153" spans="4:20">
      <c r="D153">
        <v>146</v>
      </c>
      <c r="E153" s="6">
        <f t="shared" ca="1" si="26"/>
        <v>48305</v>
      </c>
      <c r="F153" s="7">
        <f t="shared" ca="1" si="21"/>
        <v>1.2800845441963566</v>
      </c>
      <c r="G153" s="125">
        <f ca="1">IF('Simulador - 1º Pilar'!$E$99="Sí",IF('Aportaciones Flex'!$B$13&lt;'Aportaciones Flex'!E153,0,F153*$B$8/12),F153*$B$8/12)</f>
        <v>22401.479523436239</v>
      </c>
      <c r="H153" s="125">
        <f t="shared" ca="1" si="18"/>
        <v>0</v>
      </c>
      <c r="I153" s="126">
        <f t="shared" ca="1" si="19"/>
        <v>0</v>
      </c>
      <c r="J153" s="125">
        <f t="shared" ca="1" si="22"/>
        <v>0</v>
      </c>
      <c r="K153" s="151"/>
      <c r="L153" s="125">
        <f t="shared" ca="1" si="23"/>
        <v>0</v>
      </c>
      <c r="M153" s="762"/>
      <c r="P153">
        <f t="shared" si="24"/>
        <v>146</v>
      </c>
      <c r="S153" s="126">
        <f t="shared" ca="1" si="20"/>
        <v>0</v>
      </c>
      <c r="T153" s="126">
        <f t="shared" ca="1" si="25"/>
        <v>0</v>
      </c>
    </row>
    <row r="154" spans="4:20">
      <c r="D154">
        <v>147</v>
      </c>
      <c r="E154" s="6">
        <f t="shared" ca="1" si="26"/>
        <v>48274</v>
      </c>
      <c r="F154" s="7">
        <f t="shared" ca="1" si="21"/>
        <v>1.2800845441963566</v>
      </c>
      <c r="G154" s="125">
        <f ca="1">IF('Simulador - 1º Pilar'!$E$99="Sí",IF('Aportaciones Flex'!$B$13&lt;'Aportaciones Flex'!E154,0,F154*$B$8/12),F154*$B$8/12)</f>
        <v>22401.479523436239</v>
      </c>
      <c r="H154" s="125">
        <f t="shared" ca="1" si="18"/>
        <v>0</v>
      </c>
      <c r="I154" s="126">
        <f t="shared" ca="1" si="19"/>
        <v>0</v>
      </c>
      <c r="J154" s="125">
        <f t="shared" ca="1" si="22"/>
        <v>0</v>
      </c>
      <c r="K154" s="151"/>
      <c r="L154" s="125">
        <f t="shared" ca="1" si="23"/>
        <v>0</v>
      </c>
      <c r="M154" s="762"/>
      <c r="P154">
        <f t="shared" si="24"/>
        <v>147</v>
      </c>
      <c r="S154" s="126">
        <f t="shared" ca="1" si="20"/>
        <v>0</v>
      </c>
      <c r="T154" s="126">
        <f t="shared" ca="1" si="25"/>
        <v>0</v>
      </c>
    </row>
    <row r="155" spans="4:20">
      <c r="D155">
        <v>148</v>
      </c>
      <c r="E155" s="6">
        <f t="shared" ca="1" si="26"/>
        <v>48245</v>
      </c>
      <c r="F155" s="7">
        <f t="shared" ca="1" si="21"/>
        <v>1.2800845441963566</v>
      </c>
      <c r="G155" s="125">
        <f ca="1">IF('Simulador - 1º Pilar'!$E$99="Sí",IF('Aportaciones Flex'!$B$13&lt;'Aportaciones Flex'!E155,0,F155*$B$8/12),F155*$B$8/12)</f>
        <v>22401.479523436239</v>
      </c>
      <c r="H155" s="125">
        <f t="shared" ca="1" si="18"/>
        <v>0</v>
      </c>
      <c r="I155" s="126">
        <f t="shared" ca="1" si="19"/>
        <v>0</v>
      </c>
      <c r="J155" s="125">
        <f t="shared" ca="1" si="22"/>
        <v>0</v>
      </c>
      <c r="K155" s="151"/>
      <c r="L155" s="125">
        <f t="shared" ca="1" si="23"/>
        <v>0</v>
      </c>
      <c r="M155" s="762"/>
      <c r="P155">
        <f t="shared" si="24"/>
        <v>148</v>
      </c>
      <c r="S155" s="126">
        <f t="shared" ca="1" si="20"/>
        <v>0</v>
      </c>
      <c r="T155" s="126">
        <f t="shared" ca="1" si="25"/>
        <v>0</v>
      </c>
    </row>
    <row r="156" spans="4:20">
      <c r="D156">
        <v>149</v>
      </c>
      <c r="E156" s="6">
        <f t="shared" ca="1" si="26"/>
        <v>48214</v>
      </c>
      <c r="F156" s="7">
        <f t="shared" ca="1" si="21"/>
        <v>1.2800845441963566</v>
      </c>
      <c r="G156" s="125">
        <f ca="1">IF('Simulador - 1º Pilar'!$E$99="Sí",IF('Aportaciones Flex'!$B$13&lt;'Aportaciones Flex'!E156,0,F156*$B$8/12),F156*$B$8/12)</f>
        <v>22401.479523436239</v>
      </c>
      <c r="H156" s="125">
        <f t="shared" ca="1" si="18"/>
        <v>0</v>
      </c>
      <c r="I156" s="126">
        <f t="shared" ca="1" si="19"/>
        <v>0</v>
      </c>
      <c r="J156" s="125">
        <f t="shared" ca="1" si="22"/>
        <v>0</v>
      </c>
      <c r="K156" s="151"/>
      <c r="L156" s="125">
        <f t="shared" ca="1" si="23"/>
        <v>0</v>
      </c>
      <c r="M156" s="762"/>
      <c r="P156">
        <f t="shared" si="24"/>
        <v>149</v>
      </c>
      <c r="S156" s="126">
        <f t="shared" ca="1" si="20"/>
        <v>0</v>
      </c>
      <c r="T156" s="126">
        <f t="shared" ca="1" si="25"/>
        <v>0</v>
      </c>
    </row>
    <row r="157" spans="4:20">
      <c r="D157">
        <v>150</v>
      </c>
      <c r="E157" s="6">
        <f t="shared" ca="1" si="26"/>
        <v>48183</v>
      </c>
      <c r="F157" s="7">
        <f t="shared" ca="1" si="21"/>
        <v>1.2488629699476652</v>
      </c>
      <c r="G157" s="125">
        <f ca="1">IF('Simulador - 1º Pilar'!$E$99="Sí",IF('Aportaciones Flex'!$B$13&lt;'Aportaciones Flex'!E157,0,F157*$B$8/12),F157*$B$8/12)</f>
        <v>21855.10197408414</v>
      </c>
      <c r="H157" s="125">
        <f t="shared" ca="1" si="18"/>
        <v>0</v>
      </c>
      <c r="I157" s="126">
        <f t="shared" ca="1" si="19"/>
        <v>0</v>
      </c>
      <c r="J157" s="125">
        <f t="shared" ca="1" si="22"/>
        <v>0</v>
      </c>
      <c r="K157" s="151"/>
      <c r="L157" s="125">
        <f t="shared" ca="1" si="23"/>
        <v>0</v>
      </c>
      <c r="M157" s="762"/>
      <c r="P157">
        <f t="shared" si="24"/>
        <v>150</v>
      </c>
      <c r="S157" s="126">
        <f t="shared" ca="1" si="20"/>
        <v>0</v>
      </c>
      <c r="T157" s="126">
        <f t="shared" ca="1" si="25"/>
        <v>0</v>
      </c>
    </row>
    <row r="158" spans="4:20">
      <c r="D158">
        <v>151</v>
      </c>
      <c r="E158" s="6">
        <f t="shared" ca="1" si="26"/>
        <v>48153</v>
      </c>
      <c r="F158" s="7">
        <f t="shared" ca="1" si="21"/>
        <v>1.2488629699476652</v>
      </c>
      <c r="G158" s="125">
        <f ca="1">IF('Simulador - 1º Pilar'!$E$99="Sí",IF('Aportaciones Flex'!$B$13&lt;'Aportaciones Flex'!E158,0,F158*$B$8/12),F158*$B$8/12)</f>
        <v>21855.10197408414</v>
      </c>
      <c r="H158" s="125">
        <f t="shared" ca="1" si="18"/>
        <v>0</v>
      </c>
      <c r="I158" s="126">
        <f t="shared" ca="1" si="19"/>
        <v>0</v>
      </c>
      <c r="J158" s="125">
        <f t="shared" ca="1" si="22"/>
        <v>0</v>
      </c>
      <c r="K158" s="151"/>
      <c r="L158" s="125">
        <f t="shared" ca="1" si="23"/>
        <v>0</v>
      </c>
      <c r="M158" s="762"/>
      <c r="P158">
        <f t="shared" si="24"/>
        <v>151</v>
      </c>
      <c r="S158" s="126">
        <f t="shared" ca="1" si="20"/>
        <v>0</v>
      </c>
      <c r="T158" s="126">
        <f t="shared" ca="1" si="25"/>
        <v>0</v>
      </c>
    </row>
    <row r="159" spans="4:20">
      <c r="D159">
        <v>152</v>
      </c>
      <c r="E159" s="6">
        <f t="shared" ca="1" si="26"/>
        <v>48122</v>
      </c>
      <c r="F159" s="7">
        <f t="shared" ca="1" si="21"/>
        <v>1.2488629699476652</v>
      </c>
      <c r="G159" s="125">
        <f ca="1">IF('Simulador - 1º Pilar'!$E$99="Sí",IF('Aportaciones Flex'!$B$13&lt;'Aportaciones Flex'!E159,0,F159*$B$8/12),F159*$B$8/12)</f>
        <v>21855.10197408414</v>
      </c>
      <c r="H159" s="125">
        <f t="shared" ca="1" si="18"/>
        <v>0</v>
      </c>
      <c r="I159" s="126">
        <f t="shared" ca="1" si="19"/>
        <v>0</v>
      </c>
      <c r="J159" s="125">
        <f t="shared" ca="1" si="22"/>
        <v>0</v>
      </c>
      <c r="K159" s="151"/>
      <c r="L159" s="125">
        <f t="shared" ca="1" si="23"/>
        <v>0</v>
      </c>
      <c r="M159" s="762"/>
      <c r="P159">
        <f t="shared" si="24"/>
        <v>152</v>
      </c>
      <c r="S159" s="126">
        <f t="shared" ca="1" si="20"/>
        <v>0</v>
      </c>
      <c r="T159" s="126">
        <f t="shared" ca="1" si="25"/>
        <v>0</v>
      </c>
    </row>
    <row r="160" spans="4:20">
      <c r="D160">
        <v>153</v>
      </c>
      <c r="E160" s="6">
        <f t="shared" ca="1" si="26"/>
        <v>48092</v>
      </c>
      <c r="F160" s="7">
        <f t="shared" ca="1" si="21"/>
        <v>1.2488629699476652</v>
      </c>
      <c r="G160" s="125">
        <f ca="1">IF('Simulador - 1º Pilar'!$E$99="Sí",IF('Aportaciones Flex'!$B$13&lt;'Aportaciones Flex'!E160,0,F160*$B$8/12),F160*$B$8/12)</f>
        <v>21855.10197408414</v>
      </c>
      <c r="H160" s="125">
        <f t="shared" ca="1" si="18"/>
        <v>0</v>
      </c>
      <c r="I160" s="126">
        <f t="shared" ca="1" si="19"/>
        <v>0</v>
      </c>
      <c r="J160" s="125">
        <f t="shared" ca="1" si="22"/>
        <v>0</v>
      </c>
      <c r="K160" s="151"/>
      <c r="L160" s="125">
        <f t="shared" ca="1" si="23"/>
        <v>0</v>
      </c>
      <c r="M160" s="762"/>
      <c r="P160">
        <f t="shared" si="24"/>
        <v>153</v>
      </c>
      <c r="S160" s="126">
        <f t="shared" ca="1" si="20"/>
        <v>0</v>
      </c>
      <c r="T160" s="126">
        <f t="shared" ca="1" si="25"/>
        <v>0</v>
      </c>
    </row>
    <row r="161" spans="4:20">
      <c r="D161">
        <v>154</v>
      </c>
      <c r="E161" s="6">
        <f t="shared" ca="1" si="26"/>
        <v>48061</v>
      </c>
      <c r="F161" s="7">
        <f t="shared" ca="1" si="21"/>
        <v>1.2488629699476652</v>
      </c>
      <c r="G161" s="125">
        <f ca="1">IF('Simulador - 1º Pilar'!$E$99="Sí",IF('Aportaciones Flex'!$B$13&lt;'Aportaciones Flex'!E161,0,F161*$B$8/12),F161*$B$8/12)</f>
        <v>21855.10197408414</v>
      </c>
      <c r="H161" s="125">
        <f t="shared" ca="1" si="18"/>
        <v>0</v>
      </c>
      <c r="I161" s="126">
        <f t="shared" ca="1" si="19"/>
        <v>0</v>
      </c>
      <c r="J161" s="125">
        <f t="shared" ca="1" si="22"/>
        <v>0</v>
      </c>
      <c r="K161" s="151"/>
      <c r="L161" s="125">
        <f t="shared" ca="1" si="23"/>
        <v>0</v>
      </c>
      <c r="M161" s="762"/>
      <c r="P161">
        <f t="shared" si="24"/>
        <v>154</v>
      </c>
      <c r="S161" s="126">
        <f t="shared" ca="1" si="20"/>
        <v>0</v>
      </c>
      <c r="T161" s="126">
        <f t="shared" ca="1" si="25"/>
        <v>0</v>
      </c>
    </row>
    <row r="162" spans="4:20">
      <c r="D162">
        <v>155</v>
      </c>
      <c r="E162" s="6">
        <f t="shared" ca="1" si="26"/>
        <v>48030</v>
      </c>
      <c r="F162" s="7">
        <f t="shared" ca="1" si="21"/>
        <v>1.2488629699476652</v>
      </c>
      <c r="G162" s="125">
        <f ca="1">IF('Simulador - 1º Pilar'!$E$99="Sí",IF('Aportaciones Flex'!$B$13&lt;'Aportaciones Flex'!E162,0,F162*$B$8/12),F162*$B$8/12)</f>
        <v>21855.10197408414</v>
      </c>
      <c r="H162" s="125">
        <f t="shared" ca="1" si="18"/>
        <v>0</v>
      </c>
      <c r="I162" s="126">
        <f t="shared" ca="1" si="19"/>
        <v>0</v>
      </c>
      <c r="J162" s="125">
        <f t="shared" ca="1" si="22"/>
        <v>0</v>
      </c>
      <c r="K162" s="151"/>
      <c r="L162" s="125">
        <f t="shared" ca="1" si="23"/>
        <v>0</v>
      </c>
      <c r="M162" s="762"/>
      <c r="P162">
        <f t="shared" si="24"/>
        <v>155</v>
      </c>
      <c r="S162" s="126">
        <f t="shared" ca="1" si="20"/>
        <v>0</v>
      </c>
      <c r="T162" s="126">
        <f t="shared" ca="1" si="25"/>
        <v>0</v>
      </c>
    </row>
    <row r="163" spans="4:20">
      <c r="D163">
        <v>156</v>
      </c>
      <c r="E163" s="6">
        <f t="shared" ca="1" si="26"/>
        <v>48000</v>
      </c>
      <c r="F163" s="7">
        <f t="shared" ca="1" si="21"/>
        <v>1.2488629699476652</v>
      </c>
      <c r="G163" s="125">
        <f ca="1">IF('Simulador - 1º Pilar'!$E$99="Sí",IF('Aportaciones Flex'!$B$13&lt;'Aportaciones Flex'!E163,0,F163*$B$8/12),F163*$B$8/12)</f>
        <v>21855.10197408414</v>
      </c>
      <c r="H163" s="125">
        <f t="shared" ca="1" si="18"/>
        <v>0</v>
      </c>
      <c r="I163" s="126">
        <f t="shared" ca="1" si="19"/>
        <v>0</v>
      </c>
      <c r="J163" s="125">
        <f t="shared" ca="1" si="22"/>
        <v>0</v>
      </c>
      <c r="K163" s="151"/>
      <c r="L163" s="125">
        <f t="shared" ca="1" si="23"/>
        <v>0</v>
      </c>
      <c r="M163" s="762"/>
      <c r="P163">
        <f t="shared" si="24"/>
        <v>156</v>
      </c>
      <c r="S163" s="126">
        <f t="shared" ca="1" si="20"/>
        <v>0</v>
      </c>
      <c r="T163" s="126">
        <f t="shared" ca="1" si="25"/>
        <v>0</v>
      </c>
    </row>
    <row r="164" spans="4:20">
      <c r="D164">
        <v>157</v>
      </c>
      <c r="E164" s="6">
        <f t="shared" ca="1" si="26"/>
        <v>47969</v>
      </c>
      <c r="F164" s="7">
        <f t="shared" ca="1" si="21"/>
        <v>1.2488629699476652</v>
      </c>
      <c r="G164" s="125">
        <f ca="1">IF('Simulador - 1º Pilar'!$E$99="Sí",IF('Aportaciones Flex'!$B$13&lt;'Aportaciones Flex'!E164,0,F164*$B$8/12),F164*$B$8/12)</f>
        <v>21855.10197408414</v>
      </c>
      <c r="H164" s="125">
        <f t="shared" ca="1" si="18"/>
        <v>0</v>
      </c>
      <c r="I164" s="126">
        <f t="shared" ca="1" si="19"/>
        <v>0</v>
      </c>
      <c r="J164" s="125">
        <f t="shared" ca="1" si="22"/>
        <v>0</v>
      </c>
      <c r="K164" s="151"/>
      <c r="L164" s="125">
        <f t="shared" ca="1" si="23"/>
        <v>0</v>
      </c>
      <c r="M164" s="762"/>
      <c r="P164">
        <f t="shared" si="24"/>
        <v>157</v>
      </c>
      <c r="S164" s="126">
        <f t="shared" ca="1" si="20"/>
        <v>0</v>
      </c>
      <c r="T164" s="126">
        <f t="shared" ca="1" si="25"/>
        <v>0</v>
      </c>
    </row>
    <row r="165" spans="4:20">
      <c r="D165">
        <v>158</v>
      </c>
      <c r="E165" s="6">
        <f t="shared" ca="1" si="26"/>
        <v>47939</v>
      </c>
      <c r="F165" s="7">
        <f t="shared" ca="1" si="21"/>
        <v>1.2488629699476652</v>
      </c>
      <c r="G165" s="125">
        <f ca="1">IF('Simulador - 1º Pilar'!$E$99="Sí",IF('Aportaciones Flex'!$B$13&lt;'Aportaciones Flex'!E165,0,F165*$B$8/12),F165*$B$8/12)</f>
        <v>21855.10197408414</v>
      </c>
      <c r="H165" s="125">
        <f t="shared" ca="1" si="18"/>
        <v>0</v>
      </c>
      <c r="I165" s="126">
        <f t="shared" ca="1" si="19"/>
        <v>0</v>
      </c>
      <c r="J165" s="125">
        <f t="shared" ca="1" si="22"/>
        <v>0</v>
      </c>
      <c r="K165" s="151"/>
      <c r="L165" s="125">
        <f t="shared" ca="1" si="23"/>
        <v>0</v>
      </c>
      <c r="M165" s="762"/>
      <c r="P165">
        <f t="shared" si="24"/>
        <v>158</v>
      </c>
      <c r="S165" s="126">
        <f t="shared" ca="1" si="20"/>
        <v>0</v>
      </c>
      <c r="T165" s="126">
        <f t="shared" ca="1" si="25"/>
        <v>0</v>
      </c>
    </row>
    <row r="166" spans="4:20">
      <c r="D166">
        <v>159</v>
      </c>
      <c r="E166" s="6">
        <f t="shared" ca="1" si="26"/>
        <v>47908</v>
      </c>
      <c r="F166" s="7">
        <f t="shared" ca="1" si="21"/>
        <v>1.2488629699476652</v>
      </c>
      <c r="G166" s="125">
        <f ca="1">IF('Simulador - 1º Pilar'!$E$99="Sí",IF('Aportaciones Flex'!$B$13&lt;'Aportaciones Flex'!E166,0,F166*$B$8/12),F166*$B$8/12)</f>
        <v>21855.10197408414</v>
      </c>
      <c r="H166" s="125">
        <f t="shared" ca="1" si="18"/>
        <v>0</v>
      </c>
      <c r="I166" s="126">
        <f t="shared" ca="1" si="19"/>
        <v>0</v>
      </c>
      <c r="J166" s="125">
        <f t="shared" ca="1" si="22"/>
        <v>0</v>
      </c>
      <c r="K166" s="151"/>
      <c r="L166" s="125">
        <f t="shared" ca="1" si="23"/>
        <v>0</v>
      </c>
      <c r="M166" s="762"/>
      <c r="P166">
        <f t="shared" si="24"/>
        <v>159</v>
      </c>
      <c r="S166" s="126">
        <f t="shared" ca="1" si="20"/>
        <v>0</v>
      </c>
      <c r="T166" s="126">
        <f t="shared" ca="1" si="25"/>
        <v>0</v>
      </c>
    </row>
    <row r="167" spans="4:20">
      <c r="D167">
        <v>160</v>
      </c>
      <c r="E167" s="6">
        <f t="shared" ca="1" si="26"/>
        <v>47880</v>
      </c>
      <c r="F167" s="7">
        <f t="shared" ca="1" si="21"/>
        <v>1.2488629699476652</v>
      </c>
      <c r="G167" s="125">
        <f ca="1">IF('Simulador - 1º Pilar'!$E$99="Sí",IF('Aportaciones Flex'!$B$13&lt;'Aportaciones Flex'!E167,0,F167*$B$8/12),F167*$B$8/12)</f>
        <v>21855.10197408414</v>
      </c>
      <c r="H167" s="125">
        <f t="shared" ca="1" si="18"/>
        <v>0</v>
      </c>
      <c r="I167" s="126">
        <f t="shared" ca="1" si="19"/>
        <v>0</v>
      </c>
      <c r="J167" s="125">
        <f t="shared" ca="1" si="22"/>
        <v>0</v>
      </c>
      <c r="K167" s="151"/>
      <c r="L167" s="125">
        <f t="shared" ca="1" si="23"/>
        <v>0</v>
      </c>
      <c r="M167" s="762"/>
      <c r="P167">
        <f t="shared" si="24"/>
        <v>160</v>
      </c>
      <c r="S167" s="126">
        <f t="shared" ca="1" si="20"/>
        <v>0</v>
      </c>
      <c r="T167" s="126">
        <f t="shared" ca="1" si="25"/>
        <v>0</v>
      </c>
    </row>
    <row r="168" spans="4:20">
      <c r="D168">
        <v>161</v>
      </c>
      <c r="E168" s="6">
        <f t="shared" ca="1" si="26"/>
        <v>47849</v>
      </c>
      <c r="F168" s="7">
        <f t="shared" ca="1" si="21"/>
        <v>1.2488629699476652</v>
      </c>
      <c r="G168" s="125">
        <f ca="1">IF('Simulador - 1º Pilar'!$E$99="Sí",IF('Aportaciones Flex'!$B$13&lt;'Aportaciones Flex'!E168,0,F168*$B$8/12),F168*$B$8/12)</f>
        <v>21855.10197408414</v>
      </c>
      <c r="H168" s="125">
        <f t="shared" ca="1" si="18"/>
        <v>0</v>
      </c>
      <c r="I168" s="126">
        <f t="shared" ca="1" si="19"/>
        <v>0</v>
      </c>
      <c r="J168" s="125">
        <f t="shared" ca="1" si="22"/>
        <v>0</v>
      </c>
      <c r="K168" s="151"/>
      <c r="L168" s="125">
        <f t="shared" ca="1" si="23"/>
        <v>0</v>
      </c>
      <c r="M168" s="762"/>
      <c r="P168">
        <f t="shared" si="24"/>
        <v>161</v>
      </c>
      <c r="S168" s="126">
        <f t="shared" ca="1" si="20"/>
        <v>0</v>
      </c>
      <c r="T168" s="126">
        <f t="shared" ca="1" si="25"/>
        <v>0</v>
      </c>
    </row>
    <row r="169" spans="4:20">
      <c r="D169">
        <v>162</v>
      </c>
      <c r="E169" s="6">
        <f t="shared" ca="1" si="26"/>
        <v>47818</v>
      </c>
      <c r="F169" s="7">
        <f t="shared" ca="1" si="21"/>
        <v>1.2184028975099175</v>
      </c>
      <c r="G169" s="125">
        <f ca="1">IF('Simulador - 1º Pilar'!$E$99="Sí",IF('Aportaciones Flex'!$B$13&lt;'Aportaciones Flex'!E169,0,F169*$B$8/12),F169*$B$8/12)</f>
        <v>21322.050706423557</v>
      </c>
      <c r="H169" s="125">
        <f t="shared" ca="1" si="18"/>
        <v>0</v>
      </c>
      <c r="I169" s="126">
        <f t="shared" ca="1" si="19"/>
        <v>0</v>
      </c>
      <c r="J169" s="125">
        <f t="shared" ca="1" si="22"/>
        <v>0</v>
      </c>
      <c r="K169" s="151"/>
      <c r="L169" s="125">
        <f t="shared" ca="1" si="23"/>
        <v>0</v>
      </c>
      <c r="M169" s="762"/>
      <c r="P169">
        <f t="shared" si="24"/>
        <v>162</v>
      </c>
      <c r="S169" s="126">
        <f t="shared" ca="1" si="20"/>
        <v>0</v>
      </c>
      <c r="T169" s="126">
        <f t="shared" ca="1" si="25"/>
        <v>0</v>
      </c>
    </row>
    <row r="170" spans="4:20">
      <c r="D170">
        <v>163</v>
      </c>
      <c r="E170" s="6">
        <f t="shared" ca="1" si="26"/>
        <v>47788</v>
      </c>
      <c r="F170" s="7">
        <f t="shared" ca="1" si="21"/>
        <v>1.2184028975099175</v>
      </c>
      <c r="G170" s="125">
        <f ca="1">IF('Simulador - 1º Pilar'!$E$99="Sí",IF('Aportaciones Flex'!$B$13&lt;'Aportaciones Flex'!E170,0,F170*$B$8/12),F170*$B$8/12)</f>
        <v>21322.050706423557</v>
      </c>
      <c r="H170" s="125">
        <f t="shared" ca="1" si="18"/>
        <v>0</v>
      </c>
      <c r="I170" s="126">
        <f t="shared" ca="1" si="19"/>
        <v>0</v>
      </c>
      <c r="J170" s="125">
        <f t="shared" ca="1" si="22"/>
        <v>0</v>
      </c>
      <c r="K170" s="151"/>
      <c r="L170" s="125">
        <f t="shared" ca="1" si="23"/>
        <v>0</v>
      </c>
      <c r="M170" s="762"/>
      <c r="P170">
        <f t="shared" si="24"/>
        <v>163</v>
      </c>
      <c r="S170" s="126">
        <f t="shared" ca="1" si="20"/>
        <v>0</v>
      </c>
      <c r="T170" s="126">
        <f t="shared" ca="1" si="25"/>
        <v>0</v>
      </c>
    </row>
    <row r="171" spans="4:20">
      <c r="D171">
        <v>164</v>
      </c>
      <c r="E171" s="6">
        <f t="shared" ca="1" si="26"/>
        <v>47757</v>
      </c>
      <c r="F171" s="7">
        <f t="shared" ca="1" si="21"/>
        <v>1.2184028975099175</v>
      </c>
      <c r="G171" s="125">
        <f ca="1">IF('Simulador - 1º Pilar'!$E$99="Sí",IF('Aportaciones Flex'!$B$13&lt;'Aportaciones Flex'!E171,0,F171*$B$8/12),F171*$B$8/12)</f>
        <v>21322.050706423557</v>
      </c>
      <c r="H171" s="125">
        <f t="shared" ca="1" si="18"/>
        <v>0</v>
      </c>
      <c r="I171" s="126">
        <f t="shared" ca="1" si="19"/>
        <v>0</v>
      </c>
      <c r="J171" s="125">
        <f t="shared" ca="1" si="22"/>
        <v>0</v>
      </c>
      <c r="K171" s="151"/>
      <c r="L171" s="125">
        <f t="shared" ca="1" si="23"/>
        <v>0</v>
      </c>
      <c r="M171" s="762"/>
      <c r="P171">
        <f t="shared" si="24"/>
        <v>164</v>
      </c>
      <c r="S171" s="126">
        <f t="shared" ca="1" si="20"/>
        <v>0</v>
      </c>
      <c r="T171" s="126">
        <f t="shared" ca="1" si="25"/>
        <v>0</v>
      </c>
    </row>
    <row r="172" spans="4:20">
      <c r="D172">
        <v>165</v>
      </c>
      <c r="E172" s="6">
        <f t="shared" ca="1" si="26"/>
        <v>47727</v>
      </c>
      <c r="F172" s="7">
        <f t="shared" ca="1" si="21"/>
        <v>1.2184028975099175</v>
      </c>
      <c r="G172" s="125">
        <f ca="1">IF('Simulador - 1º Pilar'!$E$99="Sí",IF('Aportaciones Flex'!$B$13&lt;'Aportaciones Flex'!E172,0,F172*$B$8/12),F172*$B$8/12)</f>
        <v>21322.050706423557</v>
      </c>
      <c r="H172" s="125">
        <f t="shared" ca="1" si="18"/>
        <v>0</v>
      </c>
      <c r="I172" s="126">
        <f t="shared" ca="1" si="19"/>
        <v>0</v>
      </c>
      <c r="J172" s="125">
        <f t="shared" ca="1" si="22"/>
        <v>0</v>
      </c>
      <c r="K172" s="151"/>
      <c r="L172" s="125">
        <f t="shared" ca="1" si="23"/>
        <v>0</v>
      </c>
      <c r="M172" s="762"/>
      <c r="P172">
        <f t="shared" si="24"/>
        <v>165</v>
      </c>
      <c r="S172" s="126">
        <f t="shared" ca="1" si="20"/>
        <v>0</v>
      </c>
      <c r="T172" s="126">
        <f t="shared" ca="1" si="25"/>
        <v>0</v>
      </c>
    </row>
    <row r="173" spans="4:20">
      <c r="D173">
        <v>166</v>
      </c>
      <c r="E173" s="6">
        <f t="shared" ca="1" si="26"/>
        <v>47696</v>
      </c>
      <c r="F173" s="7">
        <f t="shared" ca="1" si="21"/>
        <v>1.2184028975099175</v>
      </c>
      <c r="G173" s="125">
        <f ca="1">IF('Simulador - 1º Pilar'!$E$99="Sí",IF('Aportaciones Flex'!$B$13&lt;'Aportaciones Flex'!E173,0,F173*$B$8/12),F173*$B$8/12)</f>
        <v>21322.050706423557</v>
      </c>
      <c r="H173" s="125">
        <f t="shared" ca="1" si="18"/>
        <v>0</v>
      </c>
      <c r="I173" s="126">
        <f t="shared" ca="1" si="19"/>
        <v>0</v>
      </c>
      <c r="J173" s="125">
        <f t="shared" ca="1" si="22"/>
        <v>0</v>
      </c>
      <c r="K173" s="151"/>
      <c r="L173" s="125">
        <f t="shared" ca="1" si="23"/>
        <v>0</v>
      </c>
      <c r="M173" s="762"/>
      <c r="P173">
        <f t="shared" si="24"/>
        <v>166</v>
      </c>
      <c r="S173" s="126">
        <f t="shared" ca="1" si="20"/>
        <v>0</v>
      </c>
      <c r="T173" s="126">
        <f t="shared" ca="1" si="25"/>
        <v>0</v>
      </c>
    </row>
    <row r="174" spans="4:20">
      <c r="D174">
        <v>167</v>
      </c>
      <c r="E174" s="6">
        <f t="shared" ca="1" si="26"/>
        <v>47665</v>
      </c>
      <c r="F174" s="7">
        <f t="shared" ca="1" si="21"/>
        <v>1.2184028975099175</v>
      </c>
      <c r="G174" s="125">
        <f ca="1">IF('Simulador - 1º Pilar'!$E$99="Sí",IF('Aportaciones Flex'!$B$13&lt;'Aportaciones Flex'!E174,0,F174*$B$8/12),F174*$B$8/12)</f>
        <v>21322.050706423557</v>
      </c>
      <c r="H174" s="125">
        <f t="shared" ca="1" si="18"/>
        <v>0</v>
      </c>
      <c r="I174" s="126">
        <f t="shared" ca="1" si="19"/>
        <v>0</v>
      </c>
      <c r="J174" s="125">
        <f t="shared" ca="1" si="22"/>
        <v>0</v>
      </c>
      <c r="K174" s="151"/>
      <c r="L174" s="125">
        <f t="shared" ca="1" si="23"/>
        <v>0</v>
      </c>
      <c r="M174" s="762"/>
      <c r="P174">
        <f t="shared" si="24"/>
        <v>167</v>
      </c>
      <c r="S174" s="126">
        <f t="shared" ca="1" si="20"/>
        <v>0</v>
      </c>
      <c r="T174" s="126">
        <f t="shared" ca="1" si="25"/>
        <v>0</v>
      </c>
    </row>
    <row r="175" spans="4:20">
      <c r="D175">
        <v>168</v>
      </c>
      <c r="E175" s="6">
        <f t="shared" ca="1" si="26"/>
        <v>47635</v>
      </c>
      <c r="F175" s="7">
        <f t="shared" ca="1" si="21"/>
        <v>1.2184028975099175</v>
      </c>
      <c r="G175" s="125">
        <f ca="1">IF('Simulador - 1º Pilar'!$E$99="Sí",IF('Aportaciones Flex'!$B$13&lt;'Aportaciones Flex'!E175,0,F175*$B$8/12),F175*$B$8/12)</f>
        <v>21322.050706423557</v>
      </c>
      <c r="H175" s="125">
        <f t="shared" ca="1" si="18"/>
        <v>0</v>
      </c>
      <c r="I175" s="126">
        <f t="shared" ca="1" si="19"/>
        <v>0</v>
      </c>
      <c r="J175" s="125">
        <f t="shared" ca="1" si="22"/>
        <v>0</v>
      </c>
      <c r="K175" s="151"/>
      <c r="L175" s="125">
        <f t="shared" ca="1" si="23"/>
        <v>0</v>
      </c>
      <c r="M175" s="762"/>
      <c r="P175">
        <f t="shared" si="24"/>
        <v>168</v>
      </c>
      <c r="S175" s="126">
        <f t="shared" ca="1" si="20"/>
        <v>0</v>
      </c>
      <c r="T175" s="126">
        <f t="shared" ca="1" si="25"/>
        <v>0</v>
      </c>
    </row>
    <row r="176" spans="4:20">
      <c r="D176">
        <v>169</v>
      </c>
      <c r="E176" s="6">
        <f t="shared" ca="1" si="26"/>
        <v>47604</v>
      </c>
      <c r="F176" s="7">
        <f t="shared" ca="1" si="21"/>
        <v>1.2184028975099175</v>
      </c>
      <c r="G176" s="125">
        <f ca="1">IF('Simulador - 1º Pilar'!$E$99="Sí",IF('Aportaciones Flex'!$B$13&lt;'Aportaciones Flex'!E176,0,F176*$B$8/12),F176*$B$8/12)</f>
        <v>21322.050706423557</v>
      </c>
      <c r="H176" s="125">
        <f t="shared" ca="1" si="18"/>
        <v>0</v>
      </c>
      <c r="I176" s="126">
        <f t="shared" ca="1" si="19"/>
        <v>0</v>
      </c>
      <c r="J176" s="125">
        <f t="shared" ca="1" si="22"/>
        <v>0</v>
      </c>
      <c r="K176" s="151"/>
      <c r="L176" s="125">
        <f t="shared" ca="1" si="23"/>
        <v>0</v>
      </c>
      <c r="M176" s="762"/>
      <c r="P176">
        <f t="shared" si="24"/>
        <v>169</v>
      </c>
      <c r="S176" s="126">
        <f t="shared" ca="1" si="20"/>
        <v>0</v>
      </c>
      <c r="T176" s="126">
        <f t="shared" ca="1" si="25"/>
        <v>0</v>
      </c>
    </row>
    <row r="177" spans="4:20">
      <c r="D177">
        <v>170</v>
      </c>
      <c r="E177" s="6">
        <f t="shared" ca="1" si="26"/>
        <v>47574</v>
      </c>
      <c r="F177" s="7">
        <f t="shared" ca="1" si="21"/>
        <v>1.2184028975099175</v>
      </c>
      <c r="G177" s="125">
        <f ca="1">IF('Simulador - 1º Pilar'!$E$99="Sí",IF('Aportaciones Flex'!$B$13&lt;'Aportaciones Flex'!E177,0,F177*$B$8/12),F177*$B$8/12)</f>
        <v>21322.050706423557</v>
      </c>
      <c r="H177" s="125">
        <f t="shared" ca="1" si="18"/>
        <v>0</v>
      </c>
      <c r="I177" s="126">
        <f t="shared" ca="1" si="19"/>
        <v>0</v>
      </c>
      <c r="J177" s="125">
        <f t="shared" ca="1" si="22"/>
        <v>0</v>
      </c>
      <c r="K177" s="151"/>
      <c r="L177" s="125">
        <f t="shared" ca="1" si="23"/>
        <v>0</v>
      </c>
      <c r="M177" s="762"/>
      <c r="P177">
        <f t="shared" si="24"/>
        <v>170</v>
      </c>
      <c r="S177" s="126">
        <f t="shared" ca="1" si="20"/>
        <v>0</v>
      </c>
      <c r="T177" s="126">
        <f t="shared" ca="1" si="25"/>
        <v>0</v>
      </c>
    </row>
    <row r="178" spans="4:20">
      <c r="D178">
        <v>171</v>
      </c>
      <c r="E178" s="6">
        <f t="shared" ca="1" si="26"/>
        <v>47543</v>
      </c>
      <c r="F178" s="7">
        <f t="shared" ca="1" si="21"/>
        <v>1.2184028975099175</v>
      </c>
      <c r="G178" s="125">
        <f ca="1">IF('Simulador - 1º Pilar'!$E$99="Sí",IF('Aportaciones Flex'!$B$13&lt;'Aportaciones Flex'!E178,0,F178*$B$8/12),F178*$B$8/12)</f>
        <v>21322.050706423557</v>
      </c>
      <c r="H178" s="125">
        <f t="shared" ca="1" si="18"/>
        <v>0</v>
      </c>
      <c r="I178" s="126">
        <f t="shared" ca="1" si="19"/>
        <v>0</v>
      </c>
      <c r="J178" s="125">
        <f t="shared" ca="1" si="22"/>
        <v>0</v>
      </c>
      <c r="K178" s="151"/>
      <c r="L178" s="125">
        <f t="shared" ca="1" si="23"/>
        <v>0</v>
      </c>
      <c r="M178" s="762"/>
      <c r="P178">
        <f t="shared" si="24"/>
        <v>171</v>
      </c>
      <c r="S178" s="126">
        <f t="shared" ca="1" si="20"/>
        <v>0</v>
      </c>
      <c r="T178" s="126">
        <f t="shared" ca="1" si="25"/>
        <v>0</v>
      </c>
    </row>
    <row r="179" spans="4:20">
      <c r="D179">
        <v>172</v>
      </c>
      <c r="E179" s="6">
        <f t="shared" ca="1" si="26"/>
        <v>47515</v>
      </c>
      <c r="F179" s="7">
        <f t="shared" ca="1" si="21"/>
        <v>1.2184028975099175</v>
      </c>
      <c r="G179" s="125">
        <f ca="1">IF('Simulador - 1º Pilar'!$E$99="Sí",IF('Aportaciones Flex'!$B$13&lt;'Aportaciones Flex'!E179,0,F179*$B$8/12),F179*$B$8/12)</f>
        <v>21322.050706423557</v>
      </c>
      <c r="H179" s="125">
        <f t="shared" ca="1" si="18"/>
        <v>0</v>
      </c>
      <c r="I179" s="126">
        <f t="shared" ca="1" si="19"/>
        <v>0</v>
      </c>
      <c r="J179" s="125">
        <f t="shared" ca="1" si="22"/>
        <v>0</v>
      </c>
      <c r="K179" s="151"/>
      <c r="L179" s="125">
        <f t="shared" ca="1" si="23"/>
        <v>0</v>
      </c>
      <c r="M179" s="762"/>
      <c r="P179">
        <f t="shared" si="24"/>
        <v>172</v>
      </c>
      <c r="S179" s="126">
        <f t="shared" ca="1" si="20"/>
        <v>0</v>
      </c>
      <c r="T179" s="126">
        <f t="shared" ca="1" si="25"/>
        <v>0</v>
      </c>
    </row>
    <row r="180" spans="4:20">
      <c r="D180">
        <v>173</v>
      </c>
      <c r="E180" s="6">
        <f t="shared" ca="1" si="26"/>
        <v>47484</v>
      </c>
      <c r="F180" s="7">
        <f t="shared" ca="1" si="21"/>
        <v>1.2184028975099175</v>
      </c>
      <c r="G180" s="125">
        <f ca="1">IF('Simulador - 1º Pilar'!$E$99="Sí",IF('Aportaciones Flex'!$B$13&lt;'Aportaciones Flex'!E180,0,F180*$B$8/12),F180*$B$8/12)</f>
        <v>21322.050706423557</v>
      </c>
      <c r="H180" s="125">
        <f t="shared" ca="1" si="18"/>
        <v>0</v>
      </c>
      <c r="I180" s="126">
        <f t="shared" ca="1" si="19"/>
        <v>0</v>
      </c>
      <c r="J180" s="125">
        <f t="shared" ca="1" si="22"/>
        <v>0</v>
      </c>
      <c r="K180" s="151"/>
      <c r="L180" s="125">
        <f t="shared" ca="1" si="23"/>
        <v>0</v>
      </c>
      <c r="M180" s="762"/>
      <c r="P180">
        <f t="shared" si="24"/>
        <v>173</v>
      </c>
      <c r="S180" s="126">
        <f t="shared" ca="1" si="20"/>
        <v>0</v>
      </c>
      <c r="T180" s="126">
        <f t="shared" ca="1" si="25"/>
        <v>0</v>
      </c>
    </row>
    <row r="181" spans="4:20">
      <c r="D181">
        <v>174</v>
      </c>
      <c r="E181" s="6">
        <f t="shared" ca="1" si="26"/>
        <v>47453</v>
      </c>
      <c r="F181" s="7">
        <f t="shared" ca="1" si="21"/>
        <v>1.1886857536682123</v>
      </c>
      <c r="G181" s="125">
        <f ca="1">IF('Simulador - 1º Pilar'!$E$99="Sí",IF('Aportaciones Flex'!$B$13&lt;'Aportaciones Flex'!E181,0,F181*$B$8/12),F181*$B$8/12)</f>
        <v>20802.000689193716</v>
      </c>
      <c r="H181" s="125">
        <f t="shared" ca="1" si="18"/>
        <v>0</v>
      </c>
      <c r="I181" s="126">
        <f t="shared" ca="1" si="19"/>
        <v>0</v>
      </c>
      <c r="J181" s="125">
        <f t="shared" ca="1" si="22"/>
        <v>0</v>
      </c>
      <c r="K181" s="151"/>
      <c r="L181" s="125">
        <f t="shared" ca="1" si="23"/>
        <v>0</v>
      </c>
      <c r="M181" s="762"/>
      <c r="P181">
        <f t="shared" si="24"/>
        <v>174</v>
      </c>
      <c r="S181" s="126">
        <f t="shared" ca="1" si="20"/>
        <v>0</v>
      </c>
      <c r="T181" s="126">
        <f t="shared" ca="1" si="25"/>
        <v>0</v>
      </c>
    </row>
    <row r="182" spans="4:20">
      <c r="D182">
        <v>175</v>
      </c>
      <c r="E182" s="6">
        <f t="shared" ca="1" si="26"/>
        <v>47423</v>
      </c>
      <c r="F182" s="7">
        <f t="shared" ca="1" si="21"/>
        <v>1.1886857536682123</v>
      </c>
      <c r="G182" s="125">
        <f ca="1">IF('Simulador - 1º Pilar'!$E$99="Sí",IF('Aportaciones Flex'!$B$13&lt;'Aportaciones Flex'!E182,0,F182*$B$8/12),F182*$B$8/12)</f>
        <v>20802.000689193716</v>
      </c>
      <c r="H182" s="125">
        <f t="shared" ref="H182:H192" ca="1" si="27">IF(G182&gt;0,1,0)*$H$5*IF(AND($I$5="NO",YEAR(E182)=YEAR($B$6)+1),1,IF($I$5="SI",1,0))</f>
        <v>0</v>
      </c>
      <c r="I182" s="126">
        <f t="shared" ca="1" si="19"/>
        <v>0</v>
      </c>
      <c r="J182" s="125">
        <f t="shared" ca="1" si="22"/>
        <v>0</v>
      </c>
      <c r="K182" s="151"/>
      <c r="L182" s="125">
        <f t="shared" ca="1" si="23"/>
        <v>0</v>
      </c>
      <c r="P182">
        <f t="shared" si="24"/>
        <v>175</v>
      </c>
      <c r="S182" s="126">
        <f t="shared" ca="1" si="20"/>
        <v>0</v>
      </c>
      <c r="T182" s="126">
        <f t="shared" ca="1" si="25"/>
        <v>0</v>
      </c>
    </row>
    <row r="183" spans="4:20">
      <c r="D183">
        <v>176</v>
      </c>
      <c r="E183" s="6">
        <f t="shared" ca="1" si="26"/>
        <v>47392</v>
      </c>
      <c r="F183" s="7">
        <f t="shared" ca="1" si="21"/>
        <v>1.1886857536682123</v>
      </c>
      <c r="G183" s="125">
        <f ca="1">IF('Simulador - 1º Pilar'!$E$99="Sí",IF('Aportaciones Flex'!$B$13&lt;'Aportaciones Flex'!E183,0,F183*$B$8/12),F183*$B$8/12)</f>
        <v>20802.000689193716</v>
      </c>
      <c r="H183" s="125">
        <f t="shared" ca="1" si="27"/>
        <v>0</v>
      </c>
      <c r="I183" s="126">
        <f t="shared" ca="1" si="19"/>
        <v>0</v>
      </c>
      <c r="J183" s="125">
        <f t="shared" ca="1" si="22"/>
        <v>0</v>
      </c>
      <c r="K183" s="151"/>
      <c r="L183" s="125">
        <f t="shared" ca="1" si="23"/>
        <v>0</v>
      </c>
      <c r="P183">
        <f t="shared" si="24"/>
        <v>176</v>
      </c>
      <c r="S183" s="126">
        <f t="shared" ca="1" si="20"/>
        <v>0</v>
      </c>
      <c r="T183" s="126">
        <f t="shared" ca="1" si="25"/>
        <v>0</v>
      </c>
    </row>
    <row r="184" spans="4:20">
      <c r="D184">
        <v>177</v>
      </c>
      <c r="E184" s="6">
        <f t="shared" ca="1" si="26"/>
        <v>47362</v>
      </c>
      <c r="F184" s="7">
        <f t="shared" ca="1" si="21"/>
        <v>1.1886857536682123</v>
      </c>
      <c r="G184" s="125">
        <f ca="1">IF('Simulador - 1º Pilar'!$E$99="Sí",IF('Aportaciones Flex'!$B$13&lt;'Aportaciones Flex'!E184,0,F184*$B$8/12),F184*$B$8/12)</f>
        <v>20802.000689193716</v>
      </c>
      <c r="H184" s="125">
        <f t="shared" ca="1" si="27"/>
        <v>0</v>
      </c>
      <c r="I184" s="126">
        <f t="shared" ca="1" si="19"/>
        <v>0</v>
      </c>
      <c r="J184" s="125">
        <f t="shared" ca="1" si="22"/>
        <v>0</v>
      </c>
      <c r="K184" s="151"/>
      <c r="L184" s="125">
        <f t="shared" ca="1" si="23"/>
        <v>0</v>
      </c>
      <c r="P184">
        <f t="shared" si="24"/>
        <v>177</v>
      </c>
      <c r="S184" s="126">
        <f t="shared" ca="1" si="20"/>
        <v>0</v>
      </c>
      <c r="T184" s="126">
        <f t="shared" ca="1" si="25"/>
        <v>0</v>
      </c>
    </row>
    <row r="185" spans="4:20">
      <c r="D185">
        <v>178</v>
      </c>
      <c r="E185" s="6">
        <f t="shared" ca="1" si="26"/>
        <v>47331</v>
      </c>
      <c r="F185" s="7">
        <f t="shared" ca="1" si="21"/>
        <v>1.1886857536682123</v>
      </c>
      <c r="G185" s="125">
        <f ca="1">IF('Simulador - 1º Pilar'!$E$99="Sí",IF('Aportaciones Flex'!$B$13&lt;'Aportaciones Flex'!E185,0,F185*$B$8/12),F185*$B$8/12)</f>
        <v>20802.000689193716</v>
      </c>
      <c r="H185" s="125">
        <f t="shared" ca="1" si="27"/>
        <v>0</v>
      </c>
      <c r="I185" s="126">
        <f t="shared" ca="1" si="19"/>
        <v>0</v>
      </c>
      <c r="J185" s="125">
        <f t="shared" ca="1" si="22"/>
        <v>0</v>
      </c>
      <c r="K185" s="151"/>
      <c r="L185" s="125">
        <f t="shared" ca="1" si="23"/>
        <v>0</v>
      </c>
      <c r="P185">
        <f t="shared" si="24"/>
        <v>178</v>
      </c>
      <c r="S185" s="126">
        <f t="shared" ca="1" si="20"/>
        <v>0</v>
      </c>
      <c r="T185" s="126">
        <f t="shared" ca="1" si="25"/>
        <v>0</v>
      </c>
    </row>
    <row r="186" spans="4:20">
      <c r="D186">
        <v>179</v>
      </c>
      <c r="E186" s="6">
        <f t="shared" ca="1" si="26"/>
        <v>47300</v>
      </c>
      <c r="F186" s="7">
        <f t="shared" ca="1" si="21"/>
        <v>1.1886857536682123</v>
      </c>
      <c r="G186" s="125">
        <f ca="1">IF('Simulador - 1º Pilar'!$E$99="Sí",IF('Aportaciones Flex'!$B$13&lt;'Aportaciones Flex'!E186,0,F186*$B$8/12),F186*$B$8/12)</f>
        <v>20802.000689193716</v>
      </c>
      <c r="H186" s="125">
        <f t="shared" ca="1" si="27"/>
        <v>0</v>
      </c>
      <c r="I186" s="126">
        <f t="shared" ca="1" si="19"/>
        <v>0</v>
      </c>
      <c r="J186" s="125">
        <f t="shared" ca="1" si="22"/>
        <v>0</v>
      </c>
      <c r="K186" s="151"/>
      <c r="L186" s="125">
        <f t="shared" ca="1" si="23"/>
        <v>0</v>
      </c>
      <c r="P186">
        <f t="shared" si="24"/>
        <v>179</v>
      </c>
      <c r="S186" s="126">
        <f t="shared" ca="1" si="20"/>
        <v>0</v>
      </c>
      <c r="T186" s="126">
        <f t="shared" ca="1" si="25"/>
        <v>0</v>
      </c>
    </row>
    <row r="187" spans="4:20">
      <c r="D187">
        <v>180</v>
      </c>
      <c r="E187" s="6">
        <f t="shared" ca="1" si="26"/>
        <v>47270</v>
      </c>
      <c r="F187" s="7">
        <f t="shared" ca="1" si="21"/>
        <v>1.1886857536682123</v>
      </c>
      <c r="G187" s="125">
        <f ca="1">IF('Simulador - 1º Pilar'!$E$99="Sí",IF('Aportaciones Flex'!$B$13&lt;'Aportaciones Flex'!E187,0,F187*$B$8/12),F187*$B$8/12)</f>
        <v>20802.000689193716</v>
      </c>
      <c r="H187" s="125">
        <f t="shared" ca="1" si="27"/>
        <v>0</v>
      </c>
      <c r="I187" s="126">
        <f t="shared" ca="1" si="19"/>
        <v>0</v>
      </c>
      <c r="J187" s="125">
        <f t="shared" ca="1" si="22"/>
        <v>0</v>
      </c>
      <c r="K187" s="151"/>
      <c r="L187" s="125">
        <f t="shared" ca="1" si="23"/>
        <v>0</v>
      </c>
      <c r="P187">
        <f t="shared" si="24"/>
        <v>180</v>
      </c>
      <c r="S187" s="126">
        <f t="shared" ca="1" si="20"/>
        <v>0</v>
      </c>
      <c r="T187" s="126">
        <f t="shared" ca="1" si="25"/>
        <v>0</v>
      </c>
    </row>
    <row r="188" spans="4:20">
      <c r="D188">
        <v>181</v>
      </c>
      <c r="E188" s="6">
        <f t="shared" ca="1" si="26"/>
        <v>47239</v>
      </c>
      <c r="F188" s="7">
        <f t="shared" ca="1" si="21"/>
        <v>1.1886857536682123</v>
      </c>
      <c r="G188" s="125">
        <f ca="1">IF('Simulador - 1º Pilar'!$E$99="Sí",IF('Aportaciones Flex'!$B$13&lt;'Aportaciones Flex'!E188,0,F188*$B$8/12),F188*$B$8/12)</f>
        <v>20802.000689193716</v>
      </c>
      <c r="H188" s="125">
        <f t="shared" ca="1" si="27"/>
        <v>0</v>
      </c>
      <c r="I188" s="126">
        <f t="shared" ca="1" si="19"/>
        <v>0</v>
      </c>
      <c r="J188" s="125">
        <f t="shared" ca="1" si="22"/>
        <v>0</v>
      </c>
      <c r="K188" s="151"/>
      <c r="L188" s="125">
        <f t="shared" ca="1" si="23"/>
        <v>0</v>
      </c>
      <c r="P188">
        <f t="shared" si="24"/>
        <v>181</v>
      </c>
      <c r="S188" s="126">
        <f t="shared" ca="1" si="20"/>
        <v>0</v>
      </c>
      <c r="T188" s="126">
        <f t="shared" ca="1" si="25"/>
        <v>0</v>
      </c>
    </row>
    <row r="189" spans="4:20">
      <c r="D189">
        <v>182</v>
      </c>
      <c r="E189" s="6">
        <f t="shared" ca="1" si="26"/>
        <v>47209</v>
      </c>
      <c r="F189" s="7">
        <f t="shared" ca="1" si="21"/>
        <v>1.1886857536682123</v>
      </c>
      <c r="G189" s="125">
        <f ca="1">IF('Simulador - 1º Pilar'!$E$99="Sí",IF('Aportaciones Flex'!$B$13&lt;'Aportaciones Flex'!E189,0,F189*$B$8/12),F189*$B$8/12)</f>
        <v>20802.000689193716</v>
      </c>
      <c r="H189" s="125">
        <f t="shared" ca="1" si="27"/>
        <v>0</v>
      </c>
      <c r="I189" s="126">
        <f t="shared" ca="1" si="19"/>
        <v>0</v>
      </c>
      <c r="J189" s="125">
        <f t="shared" ca="1" si="22"/>
        <v>0</v>
      </c>
      <c r="K189" s="151"/>
      <c r="L189" s="125">
        <f t="shared" ca="1" si="23"/>
        <v>0</v>
      </c>
      <c r="P189">
        <f t="shared" si="24"/>
        <v>182</v>
      </c>
      <c r="S189" s="126">
        <f t="shared" ca="1" si="20"/>
        <v>0</v>
      </c>
      <c r="T189" s="126">
        <f t="shared" ca="1" si="25"/>
        <v>0</v>
      </c>
    </row>
    <row r="190" spans="4:20">
      <c r="D190">
        <v>183</v>
      </c>
      <c r="E190" s="6">
        <f t="shared" ca="1" si="26"/>
        <v>47178</v>
      </c>
      <c r="F190" s="7">
        <f t="shared" ca="1" si="21"/>
        <v>1.1886857536682123</v>
      </c>
      <c r="G190" s="125">
        <f ca="1">IF('Simulador - 1º Pilar'!$E$99="Sí",IF('Aportaciones Flex'!$B$13&lt;'Aportaciones Flex'!E190,0,F190*$B$8/12),F190*$B$8/12)</f>
        <v>20802.000689193716</v>
      </c>
      <c r="H190" s="125">
        <f t="shared" ca="1" si="27"/>
        <v>0</v>
      </c>
      <c r="I190" s="126">
        <f t="shared" ca="1" si="19"/>
        <v>0</v>
      </c>
      <c r="J190" s="125">
        <f t="shared" ca="1" si="22"/>
        <v>0</v>
      </c>
      <c r="K190" s="151"/>
      <c r="L190" s="125">
        <f t="shared" ca="1" si="23"/>
        <v>0</v>
      </c>
      <c r="P190">
        <f t="shared" si="24"/>
        <v>183</v>
      </c>
      <c r="S190" s="126">
        <f t="shared" ca="1" si="20"/>
        <v>0</v>
      </c>
      <c r="T190" s="126">
        <f t="shared" ca="1" si="25"/>
        <v>0</v>
      </c>
    </row>
    <row r="191" spans="4:20">
      <c r="D191">
        <v>184</v>
      </c>
      <c r="E191" s="6">
        <f t="shared" ca="1" si="26"/>
        <v>47150</v>
      </c>
      <c r="F191" s="7">
        <f t="shared" ca="1" si="21"/>
        <v>1.1886857536682123</v>
      </c>
      <c r="G191" s="125">
        <f ca="1">IF('Simulador - 1º Pilar'!$E$99="Sí",IF('Aportaciones Flex'!$B$13&lt;'Aportaciones Flex'!E191,0,F191*$B$8/12),F191*$B$8/12)</f>
        <v>20802.000689193716</v>
      </c>
      <c r="H191" s="125">
        <f t="shared" ca="1" si="27"/>
        <v>0</v>
      </c>
      <c r="I191" s="126">
        <f t="shared" ca="1" si="19"/>
        <v>0</v>
      </c>
      <c r="J191" s="125">
        <f t="shared" ca="1" si="22"/>
        <v>0</v>
      </c>
      <c r="K191" s="151"/>
      <c r="L191" s="125">
        <f t="shared" ca="1" si="23"/>
        <v>0</v>
      </c>
      <c r="P191">
        <f t="shared" si="24"/>
        <v>184</v>
      </c>
      <c r="S191" s="126">
        <f t="shared" ca="1" si="20"/>
        <v>0</v>
      </c>
      <c r="T191" s="126">
        <f t="shared" ca="1" si="25"/>
        <v>0</v>
      </c>
    </row>
    <row r="192" spans="4:20">
      <c r="D192">
        <v>185</v>
      </c>
      <c r="E192" s="6">
        <f t="shared" ca="1" si="26"/>
        <v>47119</v>
      </c>
      <c r="F192" s="7">
        <f t="shared" ca="1" si="21"/>
        <v>1.1886857536682123</v>
      </c>
      <c r="G192" s="125">
        <f ca="1">IF('Simulador - 1º Pilar'!$E$99="Sí",IF('Aportaciones Flex'!$B$13&lt;'Aportaciones Flex'!E192,0,F192*$B$8/12),F192*$B$8/12)</f>
        <v>20802.000689193716</v>
      </c>
      <c r="H192" s="125">
        <f t="shared" ca="1" si="27"/>
        <v>0</v>
      </c>
      <c r="I192" s="126">
        <f t="shared" ca="1" si="19"/>
        <v>0</v>
      </c>
      <c r="J192" s="125">
        <f t="shared" ca="1" si="22"/>
        <v>0</v>
      </c>
      <c r="K192" s="151"/>
      <c r="L192" s="125">
        <f t="shared" ca="1" si="23"/>
        <v>0</v>
      </c>
      <c r="P192">
        <f t="shared" si="24"/>
        <v>185</v>
      </c>
      <c r="S192" s="126">
        <f t="shared" ca="1" si="20"/>
        <v>0</v>
      </c>
      <c r="T192" s="126">
        <f t="shared" ca="1" si="25"/>
        <v>0</v>
      </c>
    </row>
    <row r="193" spans="4:20">
      <c r="D193">
        <v>186</v>
      </c>
      <c r="E193" s="6">
        <f t="shared" ca="1" si="26"/>
        <v>47088</v>
      </c>
      <c r="F193" s="7">
        <f t="shared" ca="1" si="21"/>
        <v>1.1596934182128902</v>
      </c>
      <c r="G193" s="125">
        <f ca="1">IF('Simulador - 1º Pilar'!$E$99="Sí",IF('Aportaciones Flex'!$B$13&lt;'Aportaciones Flex'!E193,0,F193*$B$8/12),F193*$B$8/12)</f>
        <v>20294.634818725579</v>
      </c>
      <c r="H193" s="125">
        <f ca="1">IF(G193&gt;0,1,0)*$H$5*IF(AND($I$5="NO",YEAR(E193)=YEAR($B$6)+1),1,IF($I$5="SI",1,0))</f>
        <v>0</v>
      </c>
      <c r="I193" s="126">
        <f t="shared" ca="1" si="19"/>
        <v>0</v>
      </c>
      <c r="J193" s="125">
        <f t="shared" ca="1" si="22"/>
        <v>0</v>
      </c>
      <c r="K193" s="151"/>
      <c r="L193" s="125">
        <f t="shared" ca="1" si="23"/>
        <v>0</v>
      </c>
      <c r="M193" s="126"/>
      <c r="P193">
        <f t="shared" si="24"/>
        <v>186</v>
      </c>
      <c r="S193" s="126">
        <f t="shared" ca="1" si="20"/>
        <v>0</v>
      </c>
      <c r="T193" s="126">
        <f t="shared" ca="1" si="25"/>
        <v>0</v>
      </c>
    </row>
    <row r="194" spans="4:20">
      <c r="D194">
        <v>187</v>
      </c>
      <c r="E194" s="6">
        <f t="shared" ca="1" si="26"/>
        <v>47058</v>
      </c>
      <c r="F194" s="7">
        <f t="shared" ca="1" si="21"/>
        <v>1.1596934182128902</v>
      </c>
      <c r="G194" s="125">
        <f ca="1">IF('Simulador - 1º Pilar'!$E$99="Sí",IF('Aportaciones Flex'!$B$13&lt;'Aportaciones Flex'!E194,0,F194*$B$8/12),F194*$B$8/12)</f>
        <v>20294.634818725579</v>
      </c>
      <c r="H194" s="125">
        <f t="shared" ref="H194:H257" ca="1" si="28">IF(G194&gt;0,1,0)*$H$5*IF(AND($I$5="NO",YEAR(E194)=YEAR($B$6)+1),1,IF($I$5="SI",1,0))</f>
        <v>0</v>
      </c>
      <c r="I194" s="126">
        <f t="shared" ca="1" si="19"/>
        <v>0</v>
      </c>
      <c r="J194" s="125">
        <f t="shared" ca="1" si="22"/>
        <v>0</v>
      </c>
      <c r="K194" s="151"/>
      <c r="L194" s="125">
        <f t="shared" ca="1" si="23"/>
        <v>0</v>
      </c>
      <c r="P194">
        <f t="shared" si="24"/>
        <v>187</v>
      </c>
      <c r="S194" s="126">
        <f t="shared" ca="1" si="20"/>
        <v>0</v>
      </c>
      <c r="T194" s="126">
        <f t="shared" ca="1" si="25"/>
        <v>0</v>
      </c>
    </row>
    <row r="195" spans="4:20">
      <c r="D195">
        <v>188</v>
      </c>
      <c r="E195" s="6">
        <f t="shared" ca="1" si="26"/>
        <v>47027</v>
      </c>
      <c r="F195" s="7">
        <f t="shared" ca="1" si="21"/>
        <v>1.1596934182128902</v>
      </c>
      <c r="G195" s="125">
        <f ca="1">IF('Simulador - 1º Pilar'!$E$99="Sí",IF('Aportaciones Flex'!$B$13&lt;'Aportaciones Flex'!E195,0,F195*$B$8/12),F195*$B$8/12)</f>
        <v>20294.634818725579</v>
      </c>
      <c r="H195" s="125">
        <f t="shared" ca="1" si="28"/>
        <v>0</v>
      </c>
      <c r="I195" s="126">
        <f t="shared" ca="1" si="19"/>
        <v>0</v>
      </c>
      <c r="J195" s="125">
        <f t="shared" ca="1" si="22"/>
        <v>0</v>
      </c>
      <c r="K195" s="151"/>
      <c r="L195" s="125">
        <f t="shared" ca="1" si="23"/>
        <v>0</v>
      </c>
      <c r="P195">
        <f t="shared" si="24"/>
        <v>188</v>
      </c>
      <c r="S195" s="126">
        <f t="shared" ca="1" si="20"/>
        <v>0</v>
      </c>
      <c r="T195" s="126">
        <f t="shared" ca="1" si="25"/>
        <v>0</v>
      </c>
    </row>
    <row r="196" spans="4:20">
      <c r="D196">
        <v>189</v>
      </c>
      <c r="E196" s="6">
        <f t="shared" ca="1" si="26"/>
        <v>46997</v>
      </c>
      <c r="F196" s="7">
        <f t="shared" ca="1" si="21"/>
        <v>1.1596934182128902</v>
      </c>
      <c r="G196" s="125">
        <f ca="1">IF('Simulador - 1º Pilar'!$E$99="Sí",IF('Aportaciones Flex'!$B$13&lt;'Aportaciones Flex'!E196,0,F196*$B$8/12),F196*$B$8/12)</f>
        <v>20294.634818725579</v>
      </c>
      <c r="H196" s="125">
        <f t="shared" ca="1" si="28"/>
        <v>0</v>
      </c>
      <c r="I196" s="126">
        <f t="shared" ca="1" si="19"/>
        <v>0</v>
      </c>
      <c r="J196" s="125">
        <f t="shared" ca="1" si="22"/>
        <v>0</v>
      </c>
      <c r="K196" s="151"/>
      <c r="L196" s="125">
        <f t="shared" ca="1" si="23"/>
        <v>0</v>
      </c>
      <c r="P196">
        <f t="shared" si="24"/>
        <v>189</v>
      </c>
      <c r="S196" s="126">
        <f t="shared" ca="1" si="20"/>
        <v>0</v>
      </c>
      <c r="T196" s="126">
        <f t="shared" ca="1" si="25"/>
        <v>0</v>
      </c>
    </row>
    <row r="197" spans="4:20">
      <c r="D197">
        <v>190</v>
      </c>
      <c r="E197" s="6">
        <f t="shared" ca="1" si="26"/>
        <v>46966</v>
      </c>
      <c r="F197" s="7">
        <f t="shared" ca="1" si="21"/>
        <v>1.1596934182128902</v>
      </c>
      <c r="G197" s="125">
        <f ca="1">IF('Simulador - 1º Pilar'!$E$99="Sí",IF('Aportaciones Flex'!$B$13&lt;'Aportaciones Flex'!E197,0,F197*$B$8/12),F197*$B$8/12)</f>
        <v>20294.634818725579</v>
      </c>
      <c r="H197" s="125">
        <f t="shared" ca="1" si="28"/>
        <v>0</v>
      </c>
      <c r="I197" s="126">
        <f t="shared" ca="1" si="19"/>
        <v>0</v>
      </c>
      <c r="J197" s="125">
        <f t="shared" ca="1" si="22"/>
        <v>0</v>
      </c>
      <c r="K197" s="151"/>
      <c r="L197" s="125">
        <f ca="1">K197+J197</f>
        <v>0</v>
      </c>
      <c r="P197">
        <f t="shared" si="24"/>
        <v>190</v>
      </c>
      <c r="S197" s="126">
        <f t="shared" ca="1" si="20"/>
        <v>0</v>
      </c>
      <c r="T197" s="126">
        <f t="shared" ca="1" si="25"/>
        <v>0</v>
      </c>
    </row>
    <row r="198" spans="4:20">
      <c r="D198">
        <v>191</v>
      </c>
      <c r="E198" s="6">
        <f t="shared" ca="1" si="26"/>
        <v>46935</v>
      </c>
      <c r="F198" s="7">
        <f t="shared" ca="1" si="21"/>
        <v>1.1596934182128902</v>
      </c>
      <c r="G198" s="125">
        <f ca="1">IF('Simulador - 1º Pilar'!$E$99="Sí",IF('Aportaciones Flex'!$B$13&lt;'Aportaciones Flex'!E198,0,F198*$B$8/12),F198*$B$8/12)</f>
        <v>20294.634818725579</v>
      </c>
      <c r="H198" s="125">
        <f t="shared" ca="1" si="28"/>
        <v>0</v>
      </c>
      <c r="I198" s="126">
        <f t="shared" ca="1" si="19"/>
        <v>0</v>
      </c>
      <c r="J198" s="125">
        <f t="shared" ca="1" si="22"/>
        <v>0</v>
      </c>
      <c r="K198" s="151"/>
      <c r="L198" s="125">
        <f t="shared" ca="1" si="23"/>
        <v>0</v>
      </c>
      <c r="P198">
        <f t="shared" si="24"/>
        <v>191</v>
      </c>
      <c r="S198" s="126">
        <f t="shared" ca="1" si="20"/>
        <v>0</v>
      </c>
      <c r="T198" s="126">
        <f t="shared" ca="1" si="25"/>
        <v>0</v>
      </c>
    </row>
    <row r="199" spans="4:20">
      <c r="D199">
        <v>192</v>
      </c>
      <c r="E199" s="6">
        <f t="shared" ca="1" si="26"/>
        <v>46905</v>
      </c>
      <c r="F199" s="7">
        <f t="shared" ca="1" si="21"/>
        <v>1.1596934182128902</v>
      </c>
      <c r="G199" s="125">
        <f ca="1">IF('Simulador - 1º Pilar'!$E$99="Sí",IF('Aportaciones Flex'!$B$13&lt;'Aportaciones Flex'!E199,0,F199*$B$8/12),F199*$B$8/12)</f>
        <v>20294.634818725579</v>
      </c>
      <c r="H199" s="125">
        <f t="shared" ca="1" si="28"/>
        <v>0</v>
      </c>
      <c r="I199" s="126">
        <f t="shared" ref="I199:I262" ca="1" si="29">(1+$M$5)^(D199/12)*(H199*(12-IF(MONTH(E200)=12,0,MONTH(E200)))+IF(AND(F199=1,F200=0),$Q$4,0))*IF(AND(F199=1,F200=0),1,0)</f>
        <v>0</v>
      </c>
      <c r="J199" s="125">
        <f t="shared" ca="1" si="22"/>
        <v>0</v>
      </c>
      <c r="K199" s="151"/>
      <c r="L199" s="125">
        <f t="shared" ca="1" si="23"/>
        <v>0</v>
      </c>
      <c r="P199">
        <f t="shared" si="24"/>
        <v>192</v>
      </c>
      <c r="S199" s="126">
        <f t="shared" ref="S199:S262" ca="1" si="30">(1+$M$5)^(D199/12)*(IF(E199=$C$6,$Q$4+$H$5*12,0))</f>
        <v>0</v>
      </c>
      <c r="T199" s="126">
        <f t="shared" ca="1" si="25"/>
        <v>0</v>
      </c>
    </row>
    <row r="200" spans="4:20">
      <c r="D200">
        <v>193</v>
      </c>
      <c r="E200" s="6">
        <f t="shared" ca="1" si="26"/>
        <v>46874</v>
      </c>
      <c r="F200" s="7">
        <f t="shared" ref="F200:F263" ca="1" si="31">IF(DATE(YEAR($B$6),MONTH($B$6)+1,DAY(1))=E200,1,IF(MONTH(E200)=1,F201*(1+$F$5),F201))</f>
        <v>1.1596934182128902</v>
      </c>
      <c r="G200" s="125">
        <f ca="1">IF('Simulador - 1º Pilar'!$E$99="Sí",IF('Aportaciones Flex'!$B$13&lt;'Aportaciones Flex'!E200,0,F200*$B$8/12),F200*$B$8/12)</f>
        <v>20294.634818725579</v>
      </c>
      <c r="H200" s="125">
        <f t="shared" ca="1" si="28"/>
        <v>0</v>
      </c>
      <c r="I200" s="126">
        <f t="shared" ca="1" si="29"/>
        <v>0</v>
      </c>
      <c r="J200" s="125">
        <f t="shared" ref="J200:J263" ca="1" si="32">(1+$M$5)^(D200/12)*(H200+IF(AND(F200=1,F201=0),$Q$4,0))</f>
        <v>0</v>
      </c>
      <c r="K200" s="151"/>
      <c r="L200" s="125">
        <f t="shared" ref="L200:L263" ca="1" si="33">K200+J200</f>
        <v>0</v>
      </c>
      <c r="P200">
        <f t="shared" ref="P200:P263" si="34">D200</f>
        <v>193</v>
      </c>
      <c r="S200" s="126">
        <f t="shared" ca="1" si="30"/>
        <v>0</v>
      </c>
      <c r="T200" s="126">
        <f t="shared" ref="T200:T263" ca="1" si="35">(1+$M$5)^(D200/12)*(IF(YEAR(E200)&gt;YEAR($C$6),L200,0)+IF(E200=$C$6,$H$5*12+$Q$4,0))</f>
        <v>0</v>
      </c>
    </row>
    <row r="201" spans="4:20">
      <c r="D201">
        <v>194</v>
      </c>
      <c r="E201" s="6">
        <f t="shared" ref="E201:E264" ca="1" si="36">+DATE(YEAR(E200),MONTH(E200)-1,DAY(E200))</f>
        <v>46844</v>
      </c>
      <c r="F201" s="7">
        <f t="shared" ca="1" si="31"/>
        <v>1.1596934182128902</v>
      </c>
      <c r="G201" s="125">
        <f ca="1">IF('Simulador - 1º Pilar'!$E$99="Sí",IF('Aportaciones Flex'!$B$13&lt;'Aportaciones Flex'!E201,0,F201*$B$8/12),F201*$B$8/12)</f>
        <v>20294.634818725579</v>
      </c>
      <c r="H201" s="125">
        <f t="shared" ca="1" si="28"/>
        <v>0</v>
      </c>
      <c r="I201" s="126">
        <f t="shared" ca="1" si="29"/>
        <v>0</v>
      </c>
      <c r="J201" s="125">
        <f t="shared" ca="1" si="32"/>
        <v>0</v>
      </c>
      <c r="K201" s="151"/>
      <c r="L201" s="125">
        <f t="shared" ca="1" si="33"/>
        <v>0</v>
      </c>
      <c r="P201">
        <f t="shared" si="34"/>
        <v>194</v>
      </c>
      <c r="S201" s="126">
        <f t="shared" ca="1" si="30"/>
        <v>0</v>
      </c>
      <c r="T201" s="126">
        <f t="shared" ca="1" si="35"/>
        <v>0</v>
      </c>
    </row>
    <row r="202" spans="4:20">
      <c r="D202">
        <v>195</v>
      </c>
      <c r="E202" s="6">
        <f t="shared" ca="1" si="36"/>
        <v>46813</v>
      </c>
      <c r="F202" s="7">
        <f t="shared" ca="1" si="31"/>
        <v>1.1596934182128902</v>
      </c>
      <c r="G202" s="125">
        <f ca="1">IF('Simulador - 1º Pilar'!$E$99="Sí",IF('Aportaciones Flex'!$B$13&lt;'Aportaciones Flex'!E202,0,F202*$B$8/12),F202*$B$8/12)</f>
        <v>20294.634818725579</v>
      </c>
      <c r="H202" s="125">
        <f t="shared" ca="1" si="28"/>
        <v>0</v>
      </c>
      <c r="I202" s="126">
        <f t="shared" ca="1" si="29"/>
        <v>0</v>
      </c>
      <c r="J202" s="125">
        <f t="shared" ca="1" si="32"/>
        <v>0</v>
      </c>
      <c r="K202" s="151"/>
      <c r="L202" s="125">
        <f t="shared" ca="1" si="33"/>
        <v>0</v>
      </c>
      <c r="P202">
        <f t="shared" si="34"/>
        <v>195</v>
      </c>
      <c r="S202" s="126">
        <f t="shared" ca="1" si="30"/>
        <v>0</v>
      </c>
      <c r="T202" s="126">
        <f t="shared" ca="1" si="35"/>
        <v>0</v>
      </c>
    </row>
    <row r="203" spans="4:20">
      <c r="D203">
        <v>196</v>
      </c>
      <c r="E203" s="6">
        <f t="shared" ca="1" si="36"/>
        <v>46784</v>
      </c>
      <c r="F203" s="7">
        <f t="shared" ca="1" si="31"/>
        <v>1.1596934182128902</v>
      </c>
      <c r="G203" s="125">
        <f ca="1">IF('Simulador - 1º Pilar'!$E$99="Sí",IF('Aportaciones Flex'!$B$13&lt;'Aportaciones Flex'!E203,0,F203*$B$8/12),F203*$B$8/12)</f>
        <v>20294.634818725579</v>
      </c>
      <c r="H203" s="125">
        <f t="shared" ca="1" si="28"/>
        <v>0</v>
      </c>
      <c r="I203" s="126">
        <f t="shared" ca="1" si="29"/>
        <v>0</v>
      </c>
      <c r="J203" s="125">
        <f t="shared" ca="1" si="32"/>
        <v>0</v>
      </c>
      <c r="K203" s="151"/>
      <c r="L203" s="125">
        <f t="shared" ca="1" si="33"/>
        <v>0</v>
      </c>
      <c r="P203">
        <f t="shared" si="34"/>
        <v>196</v>
      </c>
      <c r="S203" s="126">
        <f t="shared" ca="1" si="30"/>
        <v>0</v>
      </c>
      <c r="T203" s="126">
        <f t="shared" ca="1" si="35"/>
        <v>0</v>
      </c>
    </row>
    <row r="204" spans="4:20">
      <c r="D204">
        <v>197</v>
      </c>
      <c r="E204" s="6">
        <f t="shared" ca="1" si="36"/>
        <v>46753</v>
      </c>
      <c r="F204" s="7">
        <f t="shared" ca="1" si="31"/>
        <v>1.1596934182128902</v>
      </c>
      <c r="G204" s="125">
        <f ca="1">IF('Simulador - 1º Pilar'!$E$99="Sí",IF('Aportaciones Flex'!$B$13&lt;'Aportaciones Flex'!E204,0,F204*$B$8/12),F204*$B$8/12)</f>
        <v>20294.634818725579</v>
      </c>
      <c r="H204" s="125">
        <f t="shared" ca="1" si="28"/>
        <v>0</v>
      </c>
      <c r="I204" s="126">
        <f t="shared" ca="1" si="29"/>
        <v>0</v>
      </c>
      <c r="J204" s="125">
        <f t="shared" ca="1" si="32"/>
        <v>0</v>
      </c>
      <c r="K204" s="151"/>
      <c r="L204" s="125">
        <f t="shared" ca="1" si="33"/>
        <v>0</v>
      </c>
      <c r="P204">
        <f t="shared" si="34"/>
        <v>197</v>
      </c>
      <c r="S204" s="126">
        <f t="shared" ca="1" si="30"/>
        <v>0</v>
      </c>
      <c r="T204" s="126">
        <f t="shared" ca="1" si="35"/>
        <v>0</v>
      </c>
    </row>
    <row r="205" spans="4:20">
      <c r="D205">
        <v>198</v>
      </c>
      <c r="E205" s="6">
        <f t="shared" ca="1" si="36"/>
        <v>46722</v>
      </c>
      <c r="F205" s="7">
        <f t="shared" ca="1" si="31"/>
        <v>1.1314082128906247</v>
      </c>
      <c r="G205" s="125">
        <f ca="1">IF('Simulador - 1º Pilar'!$E$99="Sí",IF('Aportaciones Flex'!$B$13&lt;'Aportaciones Flex'!E205,0,F205*$B$8/12),F205*$B$8/12)</f>
        <v>19799.643725585931</v>
      </c>
      <c r="H205" s="125">
        <f t="shared" ca="1" si="28"/>
        <v>0</v>
      </c>
      <c r="I205" s="126">
        <f t="shared" ca="1" si="29"/>
        <v>0</v>
      </c>
      <c r="J205" s="125">
        <f t="shared" ca="1" si="32"/>
        <v>0</v>
      </c>
      <c r="K205" s="151"/>
      <c r="L205" s="125">
        <f t="shared" ca="1" si="33"/>
        <v>0</v>
      </c>
      <c r="P205">
        <f t="shared" si="34"/>
        <v>198</v>
      </c>
      <c r="S205" s="126">
        <f t="shared" ca="1" si="30"/>
        <v>0</v>
      </c>
      <c r="T205" s="126">
        <f t="shared" ca="1" si="35"/>
        <v>0</v>
      </c>
    </row>
    <row r="206" spans="4:20">
      <c r="D206">
        <v>199</v>
      </c>
      <c r="E206" s="6">
        <f t="shared" ca="1" si="36"/>
        <v>46692</v>
      </c>
      <c r="F206" s="7">
        <f t="shared" ca="1" si="31"/>
        <v>1.1314082128906247</v>
      </c>
      <c r="G206" s="125">
        <f ca="1">IF('Simulador - 1º Pilar'!$E$99="Sí",IF('Aportaciones Flex'!$B$13&lt;'Aportaciones Flex'!E206,0,F206*$B$8/12),F206*$B$8/12)</f>
        <v>19799.643725585931</v>
      </c>
      <c r="H206" s="125">
        <f t="shared" ca="1" si="28"/>
        <v>0</v>
      </c>
      <c r="I206" s="126">
        <f t="shared" ca="1" si="29"/>
        <v>0</v>
      </c>
      <c r="J206" s="125">
        <f t="shared" ca="1" si="32"/>
        <v>0</v>
      </c>
      <c r="K206" s="151"/>
      <c r="L206" s="125">
        <f t="shared" ca="1" si="33"/>
        <v>0</v>
      </c>
      <c r="P206">
        <f t="shared" si="34"/>
        <v>199</v>
      </c>
      <c r="S206" s="126">
        <f t="shared" ca="1" si="30"/>
        <v>0</v>
      </c>
      <c r="T206" s="126">
        <f t="shared" ca="1" si="35"/>
        <v>0</v>
      </c>
    </row>
    <row r="207" spans="4:20">
      <c r="D207">
        <v>200</v>
      </c>
      <c r="E207" s="6">
        <f t="shared" ca="1" si="36"/>
        <v>46661</v>
      </c>
      <c r="F207" s="7">
        <f t="shared" ca="1" si="31"/>
        <v>1.1314082128906247</v>
      </c>
      <c r="G207" s="125">
        <f ca="1">IF('Simulador - 1º Pilar'!$E$99="Sí",IF('Aportaciones Flex'!$B$13&lt;'Aportaciones Flex'!E207,0,F207*$B$8/12),F207*$B$8/12)</f>
        <v>19799.643725585931</v>
      </c>
      <c r="H207" s="125">
        <f t="shared" ca="1" si="28"/>
        <v>0</v>
      </c>
      <c r="I207" s="126">
        <f t="shared" ca="1" si="29"/>
        <v>0</v>
      </c>
      <c r="J207" s="125">
        <f t="shared" ca="1" si="32"/>
        <v>0</v>
      </c>
      <c r="K207" s="151"/>
      <c r="L207" s="125">
        <f t="shared" ca="1" si="33"/>
        <v>0</v>
      </c>
      <c r="P207">
        <f t="shared" si="34"/>
        <v>200</v>
      </c>
      <c r="S207" s="126">
        <f t="shared" ca="1" si="30"/>
        <v>0</v>
      </c>
      <c r="T207" s="126">
        <f t="shared" ca="1" si="35"/>
        <v>0</v>
      </c>
    </row>
    <row r="208" spans="4:20">
      <c r="D208">
        <v>201</v>
      </c>
      <c r="E208" s="6">
        <f t="shared" ca="1" si="36"/>
        <v>46631</v>
      </c>
      <c r="F208" s="7">
        <f t="shared" ca="1" si="31"/>
        <v>1.1314082128906247</v>
      </c>
      <c r="G208" s="125">
        <f ca="1">IF('Simulador - 1º Pilar'!$E$99="Sí",IF('Aportaciones Flex'!$B$13&lt;'Aportaciones Flex'!E208,0,F208*$B$8/12),F208*$B$8/12)</f>
        <v>19799.643725585931</v>
      </c>
      <c r="H208" s="125">
        <f t="shared" ca="1" si="28"/>
        <v>0</v>
      </c>
      <c r="I208" s="126">
        <f t="shared" ca="1" si="29"/>
        <v>0</v>
      </c>
      <c r="J208" s="125">
        <f t="shared" ca="1" si="32"/>
        <v>0</v>
      </c>
      <c r="K208" s="151"/>
      <c r="L208" s="125">
        <f t="shared" ca="1" si="33"/>
        <v>0</v>
      </c>
      <c r="P208">
        <f t="shared" si="34"/>
        <v>201</v>
      </c>
      <c r="S208" s="126">
        <f t="shared" ca="1" si="30"/>
        <v>0</v>
      </c>
      <c r="T208" s="126">
        <f t="shared" ca="1" si="35"/>
        <v>0</v>
      </c>
    </row>
    <row r="209" spans="4:20">
      <c r="D209">
        <v>202</v>
      </c>
      <c r="E209" s="6">
        <f t="shared" ca="1" si="36"/>
        <v>46600</v>
      </c>
      <c r="F209" s="7">
        <f t="shared" ca="1" si="31"/>
        <v>1.1314082128906247</v>
      </c>
      <c r="G209" s="125">
        <f ca="1">IF('Simulador - 1º Pilar'!$E$99="Sí",IF('Aportaciones Flex'!$B$13&lt;'Aportaciones Flex'!E209,0,F209*$B$8/12),F209*$B$8/12)</f>
        <v>19799.643725585931</v>
      </c>
      <c r="H209" s="125">
        <f t="shared" ca="1" si="28"/>
        <v>0</v>
      </c>
      <c r="I209" s="126">
        <f t="shared" ca="1" si="29"/>
        <v>0</v>
      </c>
      <c r="J209" s="125">
        <f t="shared" ca="1" si="32"/>
        <v>0</v>
      </c>
      <c r="K209" s="151"/>
      <c r="L209" s="125">
        <f t="shared" ca="1" si="33"/>
        <v>0</v>
      </c>
      <c r="P209">
        <f t="shared" si="34"/>
        <v>202</v>
      </c>
      <c r="S209" s="126">
        <f t="shared" ca="1" si="30"/>
        <v>0</v>
      </c>
      <c r="T209" s="126">
        <f t="shared" ca="1" si="35"/>
        <v>0</v>
      </c>
    </row>
    <row r="210" spans="4:20">
      <c r="D210">
        <v>203</v>
      </c>
      <c r="E210" s="6">
        <f t="shared" ca="1" si="36"/>
        <v>46569</v>
      </c>
      <c r="F210" s="7">
        <f t="shared" ca="1" si="31"/>
        <v>1.1314082128906247</v>
      </c>
      <c r="G210" s="125">
        <f ca="1">IF('Simulador - 1º Pilar'!$E$99="Sí",IF('Aportaciones Flex'!$B$13&lt;'Aportaciones Flex'!E210,0,F210*$B$8/12),F210*$B$8/12)</f>
        <v>19799.643725585931</v>
      </c>
      <c r="H210" s="125">
        <f t="shared" ca="1" si="28"/>
        <v>0</v>
      </c>
      <c r="I210" s="126">
        <f t="shared" ca="1" si="29"/>
        <v>0</v>
      </c>
      <c r="J210" s="125">
        <f t="shared" ca="1" si="32"/>
        <v>0</v>
      </c>
      <c r="K210" s="151"/>
      <c r="L210" s="125">
        <f t="shared" ca="1" si="33"/>
        <v>0</v>
      </c>
      <c r="P210">
        <f t="shared" si="34"/>
        <v>203</v>
      </c>
      <c r="S210" s="126">
        <f t="shared" ca="1" si="30"/>
        <v>0</v>
      </c>
      <c r="T210" s="126">
        <f t="shared" ca="1" si="35"/>
        <v>0</v>
      </c>
    </row>
    <row r="211" spans="4:20">
      <c r="D211">
        <v>204</v>
      </c>
      <c r="E211" s="6">
        <f t="shared" ca="1" si="36"/>
        <v>46539</v>
      </c>
      <c r="F211" s="7">
        <f t="shared" ca="1" si="31"/>
        <v>1.1314082128906247</v>
      </c>
      <c r="G211" s="125">
        <f ca="1">IF('Simulador - 1º Pilar'!$E$99="Sí",IF('Aportaciones Flex'!$B$13&lt;'Aportaciones Flex'!E211,0,F211*$B$8/12),F211*$B$8/12)</f>
        <v>19799.643725585931</v>
      </c>
      <c r="H211" s="125">
        <f t="shared" ca="1" si="28"/>
        <v>0</v>
      </c>
      <c r="I211" s="126">
        <f t="shared" ca="1" si="29"/>
        <v>0</v>
      </c>
      <c r="J211" s="125">
        <f t="shared" ca="1" si="32"/>
        <v>0</v>
      </c>
      <c r="K211" s="151"/>
      <c r="L211" s="125">
        <f t="shared" ca="1" si="33"/>
        <v>0</v>
      </c>
      <c r="P211">
        <f t="shared" si="34"/>
        <v>204</v>
      </c>
      <c r="S211" s="126">
        <f t="shared" ca="1" si="30"/>
        <v>0</v>
      </c>
      <c r="T211" s="126">
        <f t="shared" ca="1" si="35"/>
        <v>0</v>
      </c>
    </row>
    <row r="212" spans="4:20">
      <c r="D212">
        <v>205</v>
      </c>
      <c r="E212" s="6">
        <f t="shared" ca="1" si="36"/>
        <v>46508</v>
      </c>
      <c r="F212" s="7">
        <f t="shared" ca="1" si="31"/>
        <v>1.1314082128906247</v>
      </c>
      <c r="G212" s="125">
        <f ca="1">IF('Simulador - 1º Pilar'!$E$99="Sí",IF('Aportaciones Flex'!$B$13&lt;'Aportaciones Flex'!E212,0,F212*$B$8/12),F212*$B$8/12)</f>
        <v>19799.643725585931</v>
      </c>
      <c r="H212" s="125">
        <f t="shared" ca="1" si="28"/>
        <v>0</v>
      </c>
      <c r="I212" s="126">
        <f t="shared" ca="1" si="29"/>
        <v>0</v>
      </c>
      <c r="J212" s="125">
        <f t="shared" ca="1" si="32"/>
        <v>0</v>
      </c>
      <c r="K212" s="151"/>
      <c r="L212" s="125">
        <f t="shared" ca="1" si="33"/>
        <v>0</v>
      </c>
      <c r="P212">
        <f t="shared" si="34"/>
        <v>205</v>
      </c>
      <c r="S212" s="126">
        <f t="shared" ca="1" si="30"/>
        <v>0</v>
      </c>
      <c r="T212" s="126">
        <f t="shared" ca="1" si="35"/>
        <v>0</v>
      </c>
    </row>
    <row r="213" spans="4:20">
      <c r="D213">
        <v>206</v>
      </c>
      <c r="E213" s="6">
        <f t="shared" ca="1" si="36"/>
        <v>46478</v>
      </c>
      <c r="F213" s="7">
        <f t="shared" ca="1" si="31"/>
        <v>1.1314082128906247</v>
      </c>
      <c r="G213" s="125">
        <f ca="1">IF('Simulador - 1º Pilar'!$E$99="Sí",IF('Aportaciones Flex'!$B$13&lt;'Aportaciones Flex'!E213,0,F213*$B$8/12),F213*$B$8/12)</f>
        <v>19799.643725585931</v>
      </c>
      <c r="H213" s="125">
        <f t="shared" ca="1" si="28"/>
        <v>0</v>
      </c>
      <c r="I213" s="126">
        <f t="shared" ca="1" si="29"/>
        <v>0</v>
      </c>
      <c r="J213" s="125">
        <f t="shared" ca="1" si="32"/>
        <v>0</v>
      </c>
      <c r="K213" s="151"/>
      <c r="L213" s="125">
        <f t="shared" ca="1" si="33"/>
        <v>0</v>
      </c>
      <c r="P213">
        <f t="shared" si="34"/>
        <v>206</v>
      </c>
      <c r="S213" s="126">
        <f t="shared" ca="1" si="30"/>
        <v>0</v>
      </c>
      <c r="T213" s="126">
        <f t="shared" ca="1" si="35"/>
        <v>0</v>
      </c>
    </row>
    <row r="214" spans="4:20">
      <c r="D214">
        <v>207</v>
      </c>
      <c r="E214" s="6">
        <f t="shared" ca="1" si="36"/>
        <v>46447</v>
      </c>
      <c r="F214" s="7">
        <f t="shared" ca="1" si="31"/>
        <v>1.1314082128906247</v>
      </c>
      <c r="G214" s="125">
        <f ca="1">IF('Simulador - 1º Pilar'!$E$99="Sí",IF('Aportaciones Flex'!$B$13&lt;'Aportaciones Flex'!E214,0,F214*$B$8/12),F214*$B$8/12)</f>
        <v>19799.643725585931</v>
      </c>
      <c r="H214" s="125">
        <f t="shared" ca="1" si="28"/>
        <v>0</v>
      </c>
      <c r="I214" s="126">
        <f t="shared" ca="1" si="29"/>
        <v>0</v>
      </c>
      <c r="J214" s="125">
        <f t="shared" ca="1" si="32"/>
        <v>0</v>
      </c>
      <c r="K214" s="151"/>
      <c r="L214" s="125">
        <f t="shared" ca="1" si="33"/>
        <v>0</v>
      </c>
      <c r="P214">
        <f t="shared" si="34"/>
        <v>207</v>
      </c>
      <c r="S214" s="126">
        <f t="shared" ca="1" si="30"/>
        <v>0</v>
      </c>
      <c r="T214" s="126">
        <f t="shared" ca="1" si="35"/>
        <v>0</v>
      </c>
    </row>
    <row r="215" spans="4:20">
      <c r="D215">
        <v>208</v>
      </c>
      <c r="E215" s="6">
        <f t="shared" ca="1" si="36"/>
        <v>46419</v>
      </c>
      <c r="F215" s="7">
        <f t="shared" ca="1" si="31"/>
        <v>1.1314082128906247</v>
      </c>
      <c r="G215" s="125">
        <f ca="1">IF('Simulador - 1º Pilar'!$E$99="Sí",IF('Aportaciones Flex'!$B$13&lt;'Aportaciones Flex'!E215,0,F215*$B$8/12),F215*$B$8/12)</f>
        <v>19799.643725585931</v>
      </c>
      <c r="H215" s="125">
        <f t="shared" ca="1" si="28"/>
        <v>0</v>
      </c>
      <c r="I215" s="126">
        <f t="shared" ca="1" si="29"/>
        <v>0</v>
      </c>
      <c r="J215" s="125">
        <f t="shared" ca="1" si="32"/>
        <v>0</v>
      </c>
      <c r="K215" s="151"/>
      <c r="L215" s="125">
        <f t="shared" ca="1" si="33"/>
        <v>0</v>
      </c>
      <c r="P215">
        <f t="shared" si="34"/>
        <v>208</v>
      </c>
      <c r="S215" s="126">
        <f t="shared" ca="1" si="30"/>
        <v>0</v>
      </c>
      <c r="T215" s="126">
        <f t="shared" ca="1" si="35"/>
        <v>0</v>
      </c>
    </row>
    <row r="216" spans="4:20">
      <c r="D216">
        <v>209</v>
      </c>
      <c r="E216" s="6">
        <f t="shared" ca="1" si="36"/>
        <v>46388</v>
      </c>
      <c r="F216" s="7">
        <f t="shared" ca="1" si="31"/>
        <v>1.1314082128906247</v>
      </c>
      <c r="G216" s="125">
        <f ca="1">IF('Simulador - 1º Pilar'!$E$99="Sí",IF('Aportaciones Flex'!$B$13&lt;'Aportaciones Flex'!E216,0,F216*$B$8/12),F216*$B$8/12)</f>
        <v>19799.643725585931</v>
      </c>
      <c r="H216" s="125">
        <f t="shared" ca="1" si="28"/>
        <v>0</v>
      </c>
      <c r="I216" s="126">
        <f t="shared" ca="1" si="29"/>
        <v>0</v>
      </c>
      <c r="J216" s="125">
        <f t="shared" ca="1" si="32"/>
        <v>0</v>
      </c>
      <c r="K216" s="151"/>
      <c r="L216" s="125">
        <f t="shared" ca="1" si="33"/>
        <v>0</v>
      </c>
      <c r="P216">
        <f t="shared" si="34"/>
        <v>209</v>
      </c>
      <c r="S216" s="126">
        <f t="shared" ca="1" si="30"/>
        <v>0</v>
      </c>
      <c r="T216" s="126">
        <f t="shared" ca="1" si="35"/>
        <v>0</v>
      </c>
    </row>
    <row r="217" spans="4:20">
      <c r="D217">
        <v>210</v>
      </c>
      <c r="E217" s="6">
        <f t="shared" ca="1" si="36"/>
        <v>46357</v>
      </c>
      <c r="F217" s="7">
        <f t="shared" ca="1" si="31"/>
        <v>1.1038128906249998</v>
      </c>
      <c r="G217" s="125">
        <f ca="1">IF('Simulador - 1º Pilar'!$E$99="Sí",IF('Aportaciones Flex'!$B$13&lt;'Aportaciones Flex'!E217,0,F217*$B$8/12),F217*$B$8/12)</f>
        <v>19316.725585937496</v>
      </c>
      <c r="H217" s="125">
        <f t="shared" ca="1" si="28"/>
        <v>0</v>
      </c>
      <c r="I217" s="126">
        <f t="shared" ca="1" si="29"/>
        <v>0</v>
      </c>
      <c r="J217" s="125">
        <f t="shared" ca="1" si="32"/>
        <v>0</v>
      </c>
      <c r="K217" s="151"/>
      <c r="L217" s="125">
        <f t="shared" ca="1" si="33"/>
        <v>0</v>
      </c>
      <c r="P217">
        <f t="shared" si="34"/>
        <v>210</v>
      </c>
      <c r="S217" s="126">
        <f t="shared" ca="1" si="30"/>
        <v>0</v>
      </c>
      <c r="T217" s="126">
        <f t="shared" ca="1" si="35"/>
        <v>0</v>
      </c>
    </row>
    <row r="218" spans="4:20">
      <c r="D218">
        <v>211</v>
      </c>
      <c r="E218" s="6">
        <f t="shared" ca="1" si="36"/>
        <v>46327</v>
      </c>
      <c r="F218" s="7">
        <f t="shared" ca="1" si="31"/>
        <v>1.1038128906249998</v>
      </c>
      <c r="G218" s="125">
        <f ca="1">IF('Simulador - 1º Pilar'!$E$99="Sí",IF('Aportaciones Flex'!$B$13&lt;'Aportaciones Flex'!E218,0,F218*$B$8/12),F218*$B$8/12)</f>
        <v>19316.725585937496</v>
      </c>
      <c r="H218" s="125">
        <f t="shared" ca="1" si="28"/>
        <v>0</v>
      </c>
      <c r="I218" s="126">
        <f t="shared" ca="1" si="29"/>
        <v>0</v>
      </c>
      <c r="J218" s="125">
        <f t="shared" ca="1" si="32"/>
        <v>0</v>
      </c>
      <c r="K218" s="151"/>
      <c r="L218" s="125">
        <f t="shared" ca="1" si="33"/>
        <v>0</v>
      </c>
      <c r="P218">
        <f t="shared" si="34"/>
        <v>211</v>
      </c>
      <c r="S218" s="126">
        <f t="shared" ca="1" si="30"/>
        <v>0</v>
      </c>
      <c r="T218" s="126">
        <f t="shared" ca="1" si="35"/>
        <v>0</v>
      </c>
    </row>
    <row r="219" spans="4:20">
      <c r="D219">
        <v>212</v>
      </c>
      <c r="E219" s="6">
        <f t="shared" ca="1" si="36"/>
        <v>46296</v>
      </c>
      <c r="F219" s="7">
        <f t="shared" ca="1" si="31"/>
        <v>1.1038128906249998</v>
      </c>
      <c r="G219" s="125">
        <f ca="1">IF('Simulador - 1º Pilar'!$E$99="Sí",IF('Aportaciones Flex'!$B$13&lt;'Aportaciones Flex'!E219,0,F219*$B$8/12),F219*$B$8/12)</f>
        <v>19316.725585937496</v>
      </c>
      <c r="H219" s="125">
        <f t="shared" ca="1" si="28"/>
        <v>0</v>
      </c>
      <c r="I219" s="126">
        <f t="shared" ca="1" si="29"/>
        <v>0</v>
      </c>
      <c r="J219" s="125">
        <f t="shared" ca="1" si="32"/>
        <v>0</v>
      </c>
      <c r="K219" s="151"/>
      <c r="L219" s="125">
        <f t="shared" ca="1" si="33"/>
        <v>0</v>
      </c>
      <c r="P219">
        <f t="shared" si="34"/>
        <v>212</v>
      </c>
      <c r="S219" s="126">
        <f t="shared" ca="1" si="30"/>
        <v>0</v>
      </c>
      <c r="T219" s="126">
        <f t="shared" ca="1" si="35"/>
        <v>0</v>
      </c>
    </row>
    <row r="220" spans="4:20">
      <c r="D220">
        <v>213</v>
      </c>
      <c r="E220" s="6">
        <f t="shared" ca="1" si="36"/>
        <v>46266</v>
      </c>
      <c r="F220" s="7">
        <f t="shared" ca="1" si="31"/>
        <v>1.1038128906249998</v>
      </c>
      <c r="G220" s="125">
        <f ca="1">IF('Simulador - 1º Pilar'!$E$99="Sí",IF('Aportaciones Flex'!$B$13&lt;'Aportaciones Flex'!E220,0,F220*$B$8/12),F220*$B$8/12)</f>
        <v>19316.725585937496</v>
      </c>
      <c r="H220" s="125">
        <f t="shared" ca="1" si="28"/>
        <v>0</v>
      </c>
      <c r="I220" s="126">
        <f t="shared" ca="1" si="29"/>
        <v>0</v>
      </c>
      <c r="J220" s="125">
        <f t="shared" ca="1" si="32"/>
        <v>0</v>
      </c>
      <c r="K220" s="151"/>
      <c r="L220" s="125">
        <f t="shared" ca="1" si="33"/>
        <v>0</v>
      </c>
      <c r="P220">
        <f t="shared" si="34"/>
        <v>213</v>
      </c>
      <c r="S220" s="126">
        <f t="shared" ca="1" si="30"/>
        <v>0</v>
      </c>
      <c r="T220" s="126">
        <f t="shared" ca="1" si="35"/>
        <v>0</v>
      </c>
    </row>
    <row r="221" spans="4:20">
      <c r="D221">
        <v>214</v>
      </c>
      <c r="E221" s="6">
        <f t="shared" ca="1" si="36"/>
        <v>46235</v>
      </c>
      <c r="F221" s="7">
        <f t="shared" ca="1" si="31"/>
        <v>1.1038128906249998</v>
      </c>
      <c r="G221" s="125">
        <f ca="1">IF('Simulador - 1º Pilar'!$E$99="Sí",IF('Aportaciones Flex'!$B$13&lt;'Aportaciones Flex'!E221,0,F221*$B$8/12),F221*$B$8/12)</f>
        <v>19316.725585937496</v>
      </c>
      <c r="H221" s="125">
        <f t="shared" ca="1" si="28"/>
        <v>0</v>
      </c>
      <c r="I221" s="126">
        <f t="shared" ca="1" si="29"/>
        <v>0</v>
      </c>
      <c r="J221" s="125">
        <f t="shared" ca="1" si="32"/>
        <v>0</v>
      </c>
      <c r="K221" s="151"/>
      <c r="L221" s="125">
        <f t="shared" ca="1" si="33"/>
        <v>0</v>
      </c>
      <c r="P221">
        <f t="shared" si="34"/>
        <v>214</v>
      </c>
      <c r="S221" s="126">
        <f t="shared" ca="1" si="30"/>
        <v>0</v>
      </c>
      <c r="T221" s="126">
        <f t="shared" ca="1" si="35"/>
        <v>0</v>
      </c>
    </row>
    <row r="222" spans="4:20">
      <c r="D222">
        <v>215</v>
      </c>
      <c r="E222" s="6">
        <f t="shared" ca="1" si="36"/>
        <v>46204</v>
      </c>
      <c r="F222" s="7">
        <f t="shared" ca="1" si="31"/>
        <v>1.1038128906249998</v>
      </c>
      <c r="G222" s="125">
        <f ca="1">IF('Simulador - 1º Pilar'!$E$99="Sí",IF('Aportaciones Flex'!$B$13&lt;'Aportaciones Flex'!E222,0,F222*$B$8/12),F222*$B$8/12)</f>
        <v>19316.725585937496</v>
      </c>
      <c r="H222" s="125">
        <f t="shared" ca="1" si="28"/>
        <v>0</v>
      </c>
      <c r="I222" s="126">
        <f t="shared" ca="1" si="29"/>
        <v>0</v>
      </c>
      <c r="J222" s="125">
        <f t="shared" ca="1" si="32"/>
        <v>0</v>
      </c>
      <c r="K222" s="151"/>
      <c r="L222" s="125">
        <f t="shared" ca="1" si="33"/>
        <v>0</v>
      </c>
      <c r="P222">
        <f t="shared" si="34"/>
        <v>215</v>
      </c>
      <c r="S222" s="126">
        <f t="shared" ca="1" si="30"/>
        <v>0</v>
      </c>
      <c r="T222" s="126">
        <f t="shared" ca="1" si="35"/>
        <v>0</v>
      </c>
    </row>
    <row r="223" spans="4:20">
      <c r="D223">
        <v>216</v>
      </c>
      <c r="E223" s="6">
        <f t="shared" ca="1" si="36"/>
        <v>46174</v>
      </c>
      <c r="F223" s="7">
        <f t="shared" ca="1" si="31"/>
        <v>1.1038128906249998</v>
      </c>
      <c r="G223" s="125">
        <f ca="1">IF('Simulador - 1º Pilar'!$E$99="Sí",IF('Aportaciones Flex'!$B$13&lt;'Aportaciones Flex'!E223,0,F223*$B$8/12),F223*$B$8/12)</f>
        <v>19316.725585937496</v>
      </c>
      <c r="H223" s="125">
        <f t="shared" ca="1" si="28"/>
        <v>0</v>
      </c>
      <c r="I223" s="126">
        <f t="shared" ca="1" si="29"/>
        <v>0</v>
      </c>
      <c r="J223" s="125">
        <f t="shared" ca="1" si="32"/>
        <v>0</v>
      </c>
      <c r="K223" s="151"/>
      <c r="L223" s="125">
        <f t="shared" ca="1" si="33"/>
        <v>0</v>
      </c>
      <c r="P223">
        <f t="shared" si="34"/>
        <v>216</v>
      </c>
      <c r="S223" s="126">
        <f t="shared" ca="1" si="30"/>
        <v>0</v>
      </c>
      <c r="T223" s="126">
        <f t="shared" ca="1" si="35"/>
        <v>0</v>
      </c>
    </row>
    <row r="224" spans="4:20">
      <c r="D224">
        <v>217</v>
      </c>
      <c r="E224" s="6">
        <f t="shared" ca="1" si="36"/>
        <v>46143</v>
      </c>
      <c r="F224" s="7">
        <f t="shared" ca="1" si="31"/>
        <v>1.1038128906249998</v>
      </c>
      <c r="G224" s="125">
        <f ca="1">IF('Simulador - 1º Pilar'!$E$99="Sí",IF('Aportaciones Flex'!$B$13&lt;'Aportaciones Flex'!E224,0,F224*$B$8/12),F224*$B$8/12)</f>
        <v>19316.725585937496</v>
      </c>
      <c r="H224" s="125">
        <f t="shared" ca="1" si="28"/>
        <v>0</v>
      </c>
      <c r="I224" s="126">
        <f t="shared" ca="1" si="29"/>
        <v>0</v>
      </c>
      <c r="J224" s="125">
        <f t="shared" ca="1" si="32"/>
        <v>0</v>
      </c>
      <c r="K224" s="151"/>
      <c r="L224" s="125">
        <f t="shared" ca="1" si="33"/>
        <v>0</v>
      </c>
      <c r="P224">
        <f t="shared" si="34"/>
        <v>217</v>
      </c>
      <c r="S224" s="126">
        <f t="shared" ca="1" si="30"/>
        <v>0</v>
      </c>
      <c r="T224" s="126">
        <f t="shared" ca="1" si="35"/>
        <v>0</v>
      </c>
    </row>
    <row r="225" spans="4:20">
      <c r="D225">
        <v>218</v>
      </c>
      <c r="E225" s="6">
        <f t="shared" ca="1" si="36"/>
        <v>46113</v>
      </c>
      <c r="F225" s="7">
        <f t="shared" ca="1" si="31"/>
        <v>1.1038128906249998</v>
      </c>
      <c r="G225" s="125">
        <f ca="1">IF('Simulador - 1º Pilar'!$E$99="Sí",IF('Aportaciones Flex'!$B$13&lt;'Aportaciones Flex'!E225,0,F225*$B$8/12),F225*$B$8/12)</f>
        <v>19316.725585937496</v>
      </c>
      <c r="H225" s="125">
        <f t="shared" ca="1" si="28"/>
        <v>0</v>
      </c>
      <c r="I225" s="126">
        <f t="shared" ca="1" si="29"/>
        <v>0</v>
      </c>
      <c r="J225" s="125">
        <f t="shared" ca="1" si="32"/>
        <v>0</v>
      </c>
      <c r="K225" s="151"/>
      <c r="L225" s="125">
        <f t="shared" ca="1" si="33"/>
        <v>0</v>
      </c>
      <c r="P225">
        <f t="shared" si="34"/>
        <v>218</v>
      </c>
      <c r="S225" s="126">
        <f t="shared" ca="1" si="30"/>
        <v>0</v>
      </c>
      <c r="T225" s="126">
        <f t="shared" ca="1" si="35"/>
        <v>0</v>
      </c>
    </row>
    <row r="226" spans="4:20">
      <c r="D226">
        <v>219</v>
      </c>
      <c r="E226" s="6">
        <f t="shared" ca="1" si="36"/>
        <v>46082</v>
      </c>
      <c r="F226" s="7">
        <f t="shared" ca="1" si="31"/>
        <v>1.1038128906249998</v>
      </c>
      <c r="G226" s="125">
        <f ca="1">IF('Simulador - 1º Pilar'!$E$99="Sí",IF('Aportaciones Flex'!$B$13&lt;'Aportaciones Flex'!E226,0,F226*$B$8/12),F226*$B$8/12)</f>
        <v>19316.725585937496</v>
      </c>
      <c r="H226" s="125">
        <f t="shared" ca="1" si="28"/>
        <v>0</v>
      </c>
      <c r="I226" s="126">
        <f t="shared" ca="1" si="29"/>
        <v>0</v>
      </c>
      <c r="J226" s="125">
        <f t="shared" ca="1" si="32"/>
        <v>0</v>
      </c>
      <c r="K226" s="151"/>
      <c r="L226" s="125">
        <f t="shared" ca="1" si="33"/>
        <v>0</v>
      </c>
      <c r="P226">
        <f t="shared" si="34"/>
        <v>219</v>
      </c>
      <c r="S226" s="126">
        <f t="shared" ca="1" si="30"/>
        <v>0</v>
      </c>
      <c r="T226" s="126">
        <f t="shared" ca="1" si="35"/>
        <v>0</v>
      </c>
    </row>
    <row r="227" spans="4:20">
      <c r="D227">
        <v>220</v>
      </c>
      <c r="E227" s="6">
        <f t="shared" ca="1" si="36"/>
        <v>46054</v>
      </c>
      <c r="F227" s="7">
        <f t="shared" ca="1" si="31"/>
        <v>1.1038128906249998</v>
      </c>
      <c r="G227" s="125">
        <f ca="1">IF('Simulador - 1º Pilar'!$E$99="Sí",IF('Aportaciones Flex'!$B$13&lt;'Aportaciones Flex'!E227,0,F227*$B$8/12),F227*$B$8/12)</f>
        <v>19316.725585937496</v>
      </c>
      <c r="H227" s="125">
        <f t="shared" ca="1" si="28"/>
        <v>0</v>
      </c>
      <c r="I227" s="126">
        <f t="shared" ca="1" si="29"/>
        <v>0</v>
      </c>
      <c r="J227" s="125">
        <f t="shared" ca="1" si="32"/>
        <v>0</v>
      </c>
      <c r="K227" s="151"/>
      <c r="L227" s="125">
        <f t="shared" ca="1" si="33"/>
        <v>0</v>
      </c>
      <c r="P227">
        <f t="shared" si="34"/>
        <v>220</v>
      </c>
      <c r="S227" s="126">
        <f t="shared" ca="1" si="30"/>
        <v>0</v>
      </c>
      <c r="T227" s="126">
        <f t="shared" ca="1" si="35"/>
        <v>0</v>
      </c>
    </row>
    <row r="228" spans="4:20">
      <c r="D228">
        <v>221</v>
      </c>
      <c r="E228" s="6">
        <f t="shared" ca="1" si="36"/>
        <v>46023</v>
      </c>
      <c r="F228" s="7">
        <f t="shared" ca="1" si="31"/>
        <v>1.1038128906249998</v>
      </c>
      <c r="G228" s="125">
        <f ca="1">IF('Simulador - 1º Pilar'!$E$99="Sí",IF('Aportaciones Flex'!$B$13&lt;'Aportaciones Flex'!E228,0,F228*$B$8/12),F228*$B$8/12)</f>
        <v>19316.725585937496</v>
      </c>
      <c r="H228" s="125">
        <f t="shared" ca="1" si="28"/>
        <v>0</v>
      </c>
      <c r="I228" s="126">
        <f t="shared" ca="1" si="29"/>
        <v>0</v>
      </c>
      <c r="J228" s="125">
        <f t="shared" ca="1" si="32"/>
        <v>0</v>
      </c>
      <c r="K228" s="151"/>
      <c r="L228" s="125">
        <f t="shared" ca="1" si="33"/>
        <v>0</v>
      </c>
      <c r="P228">
        <f t="shared" si="34"/>
        <v>221</v>
      </c>
      <c r="S228" s="126">
        <f t="shared" ca="1" si="30"/>
        <v>0</v>
      </c>
      <c r="T228" s="126">
        <f t="shared" ca="1" si="35"/>
        <v>0</v>
      </c>
    </row>
    <row r="229" spans="4:20">
      <c r="D229">
        <v>222</v>
      </c>
      <c r="E229" s="6">
        <f t="shared" ca="1" si="36"/>
        <v>45992</v>
      </c>
      <c r="F229" s="7">
        <f t="shared" ca="1" si="31"/>
        <v>1.0768906249999999</v>
      </c>
      <c r="G229" s="125">
        <f ca="1">IF('Simulador - 1º Pilar'!$E$99="Sí",IF('Aportaciones Flex'!$B$13&lt;'Aportaciones Flex'!E229,0,F229*$B$8/12),F229*$B$8/12)</f>
        <v>18845.585937499996</v>
      </c>
      <c r="H229" s="125">
        <f t="shared" ca="1" si="28"/>
        <v>0</v>
      </c>
      <c r="I229" s="126">
        <f t="shared" ca="1" si="29"/>
        <v>0</v>
      </c>
      <c r="J229" s="125">
        <f t="shared" ca="1" si="32"/>
        <v>0</v>
      </c>
      <c r="K229" s="151"/>
      <c r="L229" s="125">
        <f t="shared" ca="1" si="33"/>
        <v>0</v>
      </c>
      <c r="P229">
        <f t="shared" si="34"/>
        <v>222</v>
      </c>
      <c r="S229" s="126">
        <f t="shared" ca="1" si="30"/>
        <v>0</v>
      </c>
      <c r="T229" s="126">
        <f t="shared" ca="1" si="35"/>
        <v>0</v>
      </c>
    </row>
    <row r="230" spans="4:20">
      <c r="D230">
        <v>223</v>
      </c>
      <c r="E230" s="6">
        <f t="shared" ca="1" si="36"/>
        <v>45962</v>
      </c>
      <c r="F230" s="7">
        <f t="shared" ca="1" si="31"/>
        <v>1.0768906249999999</v>
      </c>
      <c r="G230" s="125">
        <f ca="1">IF('Simulador - 1º Pilar'!$E$99="Sí",IF('Aportaciones Flex'!$B$13&lt;'Aportaciones Flex'!E230,0,F230*$B$8/12),F230*$B$8/12)</f>
        <v>18845.585937499996</v>
      </c>
      <c r="H230" s="125">
        <f t="shared" ca="1" si="28"/>
        <v>0</v>
      </c>
      <c r="I230" s="126">
        <f t="shared" ca="1" si="29"/>
        <v>0</v>
      </c>
      <c r="J230" s="125">
        <f t="shared" ca="1" si="32"/>
        <v>0</v>
      </c>
      <c r="K230" s="151"/>
      <c r="L230" s="125">
        <f t="shared" ca="1" si="33"/>
        <v>0</v>
      </c>
      <c r="P230">
        <f t="shared" si="34"/>
        <v>223</v>
      </c>
      <c r="S230" s="126">
        <f t="shared" ca="1" si="30"/>
        <v>0</v>
      </c>
      <c r="T230" s="126">
        <f t="shared" ca="1" si="35"/>
        <v>0</v>
      </c>
    </row>
    <row r="231" spans="4:20">
      <c r="D231">
        <v>224</v>
      </c>
      <c r="E231" s="6">
        <f t="shared" ca="1" si="36"/>
        <v>45931</v>
      </c>
      <c r="F231" s="7">
        <f t="shared" ca="1" si="31"/>
        <v>1.0768906249999999</v>
      </c>
      <c r="G231" s="125">
        <f ca="1">IF('Simulador - 1º Pilar'!$E$99="Sí",IF('Aportaciones Flex'!$B$13&lt;'Aportaciones Flex'!E231,0,F231*$B$8/12),F231*$B$8/12)</f>
        <v>18845.585937499996</v>
      </c>
      <c r="H231" s="125">
        <f t="shared" ca="1" si="28"/>
        <v>0</v>
      </c>
      <c r="I231" s="126">
        <f t="shared" ca="1" si="29"/>
        <v>0</v>
      </c>
      <c r="J231" s="125">
        <f t="shared" ca="1" si="32"/>
        <v>0</v>
      </c>
      <c r="K231" s="151"/>
      <c r="L231" s="125">
        <f t="shared" ca="1" si="33"/>
        <v>0</v>
      </c>
      <c r="P231">
        <f t="shared" si="34"/>
        <v>224</v>
      </c>
      <c r="S231" s="126">
        <f t="shared" ca="1" si="30"/>
        <v>0</v>
      </c>
      <c r="T231" s="126">
        <f t="shared" ca="1" si="35"/>
        <v>0</v>
      </c>
    </row>
    <row r="232" spans="4:20">
      <c r="D232">
        <v>225</v>
      </c>
      <c r="E232" s="6">
        <f t="shared" ca="1" si="36"/>
        <v>45901</v>
      </c>
      <c r="F232" s="7">
        <f t="shared" ca="1" si="31"/>
        <v>1.0768906249999999</v>
      </c>
      <c r="G232" s="125">
        <f ca="1">IF('Simulador - 1º Pilar'!$E$99="Sí",IF('Aportaciones Flex'!$B$13&lt;'Aportaciones Flex'!E232,0,F232*$B$8/12),F232*$B$8/12)</f>
        <v>18845.585937499996</v>
      </c>
      <c r="H232" s="125">
        <f t="shared" ca="1" si="28"/>
        <v>0</v>
      </c>
      <c r="I232" s="126">
        <f t="shared" ca="1" si="29"/>
        <v>0</v>
      </c>
      <c r="J232" s="125">
        <f t="shared" ca="1" si="32"/>
        <v>0</v>
      </c>
      <c r="K232" s="151"/>
      <c r="L232" s="125">
        <f t="shared" ca="1" si="33"/>
        <v>0</v>
      </c>
      <c r="P232">
        <f t="shared" si="34"/>
        <v>225</v>
      </c>
      <c r="S232" s="126">
        <f t="shared" ca="1" si="30"/>
        <v>0</v>
      </c>
      <c r="T232" s="126">
        <f t="shared" ca="1" si="35"/>
        <v>0</v>
      </c>
    </row>
    <row r="233" spans="4:20">
      <c r="D233">
        <v>226</v>
      </c>
      <c r="E233" s="6">
        <f t="shared" ca="1" si="36"/>
        <v>45870</v>
      </c>
      <c r="F233" s="7">
        <f t="shared" ca="1" si="31"/>
        <v>1.0768906249999999</v>
      </c>
      <c r="G233" s="125">
        <f ca="1">IF('Simulador - 1º Pilar'!$E$99="Sí",IF('Aportaciones Flex'!$B$13&lt;'Aportaciones Flex'!E233,0,F233*$B$8/12),F233*$B$8/12)</f>
        <v>18845.585937499996</v>
      </c>
      <c r="H233" s="125">
        <f t="shared" ca="1" si="28"/>
        <v>0</v>
      </c>
      <c r="I233" s="126">
        <f t="shared" ca="1" si="29"/>
        <v>0</v>
      </c>
      <c r="J233" s="125">
        <f t="shared" ca="1" si="32"/>
        <v>0</v>
      </c>
      <c r="K233" s="151"/>
      <c r="L233" s="125">
        <f t="shared" ca="1" si="33"/>
        <v>0</v>
      </c>
      <c r="P233">
        <f t="shared" si="34"/>
        <v>226</v>
      </c>
      <c r="S233" s="126">
        <f t="shared" ca="1" si="30"/>
        <v>0</v>
      </c>
      <c r="T233" s="126">
        <f t="shared" ca="1" si="35"/>
        <v>0</v>
      </c>
    </row>
    <row r="234" spans="4:20">
      <c r="D234">
        <v>227</v>
      </c>
      <c r="E234" s="6">
        <f t="shared" ca="1" si="36"/>
        <v>45839</v>
      </c>
      <c r="F234" s="7">
        <f t="shared" ca="1" si="31"/>
        <v>1.0768906249999999</v>
      </c>
      <c r="G234" s="125">
        <f ca="1">IF('Simulador - 1º Pilar'!$E$99="Sí",IF('Aportaciones Flex'!$B$13&lt;'Aportaciones Flex'!E234,0,F234*$B$8/12),F234*$B$8/12)</f>
        <v>18845.585937499996</v>
      </c>
      <c r="H234" s="125">
        <f t="shared" ca="1" si="28"/>
        <v>0</v>
      </c>
      <c r="I234" s="126">
        <f t="shared" ca="1" si="29"/>
        <v>0</v>
      </c>
      <c r="J234" s="125">
        <f t="shared" ca="1" si="32"/>
        <v>0</v>
      </c>
      <c r="K234" s="151"/>
      <c r="L234" s="125">
        <f t="shared" ca="1" si="33"/>
        <v>0</v>
      </c>
      <c r="P234">
        <f t="shared" si="34"/>
        <v>227</v>
      </c>
      <c r="S234" s="126">
        <f t="shared" ca="1" si="30"/>
        <v>0</v>
      </c>
      <c r="T234" s="126">
        <f t="shared" ca="1" si="35"/>
        <v>0</v>
      </c>
    </row>
    <row r="235" spans="4:20">
      <c r="D235">
        <v>228</v>
      </c>
      <c r="E235" s="6">
        <f t="shared" ca="1" si="36"/>
        <v>45809</v>
      </c>
      <c r="F235" s="7">
        <f t="shared" ca="1" si="31"/>
        <v>1.0768906249999999</v>
      </c>
      <c r="G235" s="125">
        <f ca="1">IF('Simulador - 1º Pilar'!$E$99="Sí",IF('Aportaciones Flex'!$B$13&lt;'Aportaciones Flex'!E235,0,F235*$B$8/12),F235*$B$8/12)</f>
        <v>18845.585937499996</v>
      </c>
      <c r="H235" s="125">
        <f t="shared" ca="1" si="28"/>
        <v>0</v>
      </c>
      <c r="I235" s="126">
        <f t="shared" ca="1" si="29"/>
        <v>0</v>
      </c>
      <c r="J235" s="125">
        <f t="shared" ca="1" si="32"/>
        <v>0</v>
      </c>
      <c r="K235" s="151"/>
      <c r="L235" s="125">
        <f t="shared" ca="1" si="33"/>
        <v>0</v>
      </c>
      <c r="P235">
        <f t="shared" si="34"/>
        <v>228</v>
      </c>
      <c r="S235" s="126">
        <f t="shared" ca="1" si="30"/>
        <v>0</v>
      </c>
      <c r="T235" s="126">
        <f t="shared" ca="1" si="35"/>
        <v>0</v>
      </c>
    </row>
    <row r="236" spans="4:20">
      <c r="D236">
        <v>229</v>
      </c>
      <c r="E236" s="6">
        <f t="shared" ca="1" si="36"/>
        <v>45778</v>
      </c>
      <c r="F236" s="7">
        <f t="shared" ca="1" si="31"/>
        <v>1.0768906249999999</v>
      </c>
      <c r="G236" s="125">
        <f ca="1">IF('Simulador - 1º Pilar'!$E$99="Sí",IF('Aportaciones Flex'!$B$13&lt;'Aportaciones Flex'!E236,0,F236*$B$8/12),F236*$B$8/12)</f>
        <v>18845.585937499996</v>
      </c>
      <c r="H236" s="125">
        <f t="shared" ca="1" si="28"/>
        <v>0</v>
      </c>
      <c r="I236" s="126">
        <f t="shared" ca="1" si="29"/>
        <v>0</v>
      </c>
      <c r="J236" s="125">
        <f t="shared" ca="1" si="32"/>
        <v>0</v>
      </c>
      <c r="K236" s="151"/>
      <c r="L236" s="125">
        <f t="shared" ca="1" si="33"/>
        <v>0</v>
      </c>
      <c r="P236">
        <f t="shared" si="34"/>
        <v>229</v>
      </c>
      <c r="S236" s="126">
        <f t="shared" ca="1" si="30"/>
        <v>0</v>
      </c>
      <c r="T236" s="126">
        <f t="shared" ca="1" si="35"/>
        <v>0</v>
      </c>
    </row>
    <row r="237" spans="4:20">
      <c r="D237">
        <v>230</v>
      </c>
      <c r="E237" s="6">
        <f t="shared" ca="1" si="36"/>
        <v>45748</v>
      </c>
      <c r="F237" s="7">
        <f t="shared" ca="1" si="31"/>
        <v>1.0768906249999999</v>
      </c>
      <c r="G237" s="125">
        <f ca="1">IF('Simulador - 1º Pilar'!$E$99="Sí",IF('Aportaciones Flex'!$B$13&lt;'Aportaciones Flex'!E237,0,F237*$B$8/12),F237*$B$8/12)</f>
        <v>18845.585937499996</v>
      </c>
      <c r="H237" s="125">
        <f t="shared" ca="1" si="28"/>
        <v>0</v>
      </c>
      <c r="I237" s="126">
        <f t="shared" ca="1" si="29"/>
        <v>0</v>
      </c>
      <c r="J237" s="125">
        <f t="shared" ca="1" si="32"/>
        <v>0</v>
      </c>
      <c r="K237" s="151"/>
      <c r="L237" s="125">
        <f t="shared" ca="1" si="33"/>
        <v>0</v>
      </c>
      <c r="P237">
        <f t="shared" si="34"/>
        <v>230</v>
      </c>
      <c r="S237" s="126">
        <f t="shared" ca="1" si="30"/>
        <v>0</v>
      </c>
      <c r="T237" s="126">
        <f t="shared" ca="1" si="35"/>
        <v>0</v>
      </c>
    </row>
    <row r="238" spans="4:20">
      <c r="D238">
        <v>231</v>
      </c>
      <c r="E238" s="6">
        <f t="shared" ca="1" si="36"/>
        <v>45717</v>
      </c>
      <c r="F238" s="7">
        <f t="shared" ca="1" si="31"/>
        <v>1.0768906249999999</v>
      </c>
      <c r="G238" s="125">
        <f ca="1">IF('Simulador - 1º Pilar'!$E$99="Sí",IF('Aportaciones Flex'!$B$13&lt;'Aportaciones Flex'!E238,0,F238*$B$8/12),F238*$B$8/12)</f>
        <v>18845.585937499996</v>
      </c>
      <c r="H238" s="125">
        <f t="shared" ca="1" si="28"/>
        <v>0</v>
      </c>
      <c r="I238" s="126">
        <f t="shared" ca="1" si="29"/>
        <v>0</v>
      </c>
      <c r="J238" s="125">
        <f t="shared" ca="1" si="32"/>
        <v>0</v>
      </c>
      <c r="K238" s="151"/>
      <c r="L238" s="125">
        <f t="shared" ca="1" si="33"/>
        <v>0</v>
      </c>
      <c r="P238">
        <f t="shared" si="34"/>
        <v>231</v>
      </c>
      <c r="S238" s="126">
        <f t="shared" ca="1" si="30"/>
        <v>0</v>
      </c>
      <c r="T238" s="126">
        <f t="shared" ca="1" si="35"/>
        <v>0</v>
      </c>
    </row>
    <row r="239" spans="4:20">
      <c r="D239">
        <v>232</v>
      </c>
      <c r="E239" s="6">
        <f t="shared" ca="1" si="36"/>
        <v>45689</v>
      </c>
      <c r="F239" s="7">
        <f t="shared" ca="1" si="31"/>
        <v>1.0768906249999999</v>
      </c>
      <c r="G239" s="125">
        <f ca="1">IF('Simulador - 1º Pilar'!$E$99="Sí",IF('Aportaciones Flex'!$B$13&lt;'Aportaciones Flex'!E239,0,F239*$B$8/12),F239*$B$8/12)</f>
        <v>18845.585937499996</v>
      </c>
      <c r="H239" s="125">
        <f t="shared" ca="1" si="28"/>
        <v>0</v>
      </c>
      <c r="I239" s="126">
        <f t="shared" ca="1" si="29"/>
        <v>0</v>
      </c>
      <c r="J239" s="125">
        <f t="shared" ca="1" si="32"/>
        <v>0</v>
      </c>
      <c r="K239" s="151"/>
      <c r="L239" s="125">
        <f t="shared" ca="1" si="33"/>
        <v>0</v>
      </c>
      <c r="P239">
        <f t="shared" si="34"/>
        <v>232</v>
      </c>
      <c r="S239" s="126">
        <f t="shared" ca="1" si="30"/>
        <v>0</v>
      </c>
      <c r="T239" s="126">
        <f t="shared" ca="1" si="35"/>
        <v>0</v>
      </c>
    </row>
    <row r="240" spans="4:20">
      <c r="D240">
        <v>233</v>
      </c>
      <c r="E240" s="6">
        <f t="shared" ca="1" si="36"/>
        <v>45658</v>
      </c>
      <c r="F240" s="7">
        <f t="shared" ca="1" si="31"/>
        <v>1.0768906249999999</v>
      </c>
      <c r="G240" s="125">
        <f ca="1">IF('Simulador - 1º Pilar'!$E$99="Sí",IF('Aportaciones Flex'!$B$13&lt;'Aportaciones Flex'!E240,0,F240*$B$8/12),F240*$B$8/12)</f>
        <v>18845.585937499996</v>
      </c>
      <c r="H240" s="125">
        <f t="shared" ca="1" si="28"/>
        <v>0</v>
      </c>
      <c r="I240" s="126">
        <f t="shared" ca="1" si="29"/>
        <v>0</v>
      </c>
      <c r="J240" s="125">
        <f t="shared" ca="1" si="32"/>
        <v>0</v>
      </c>
      <c r="K240" s="151"/>
      <c r="L240" s="125">
        <f t="shared" ca="1" si="33"/>
        <v>0</v>
      </c>
      <c r="P240">
        <f t="shared" si="34"/>
        <v>233</v>
      </c>
      <c r="S240" s="126">
        <f t="shared" ca="1" si="30"/>
        <v>0</v>
      </c>
      <c r="T240" s="126">
        <f t="shared" ca="1" si="35"/>
        <v>0</v>
      </c>
    </row>
    <row r="241" spans="4:20">
      <c r="D241">
        <v>234</v>
      </c>
      <c r="E241" s="6">
        <f t="shared" ca="1" si="36"/>
        <v>45627</v>
      </c>
      <c r="F241" s="7">
        <f t="shared" ca="1" si="31"/>
        <v>1.0506249999999999</v>
      </c>
      <c r="G241" s="125">
        <f ca="1">IF('Simulador - 1º Pilar'!$E$99="Sí",IF('Aportaciones Flex'!$B$13&lt;'Aportaciones Flex'!E241,0,F241*$B$8/12),F241*$B$8/12)</f>
        <v>18385.937499999996</v>
      </c>
      <c r="H241" s="125">
        <f t="shared" ca="1" si="28"/>
        <v>0</v>
      </c>
      <c r="I241" s="126">
        <f t="shared" ca="1" si="29"/>
        <v>0</v>
      </c>
      <c r="J241" s="125">
        <f t="shared" ca="1" si="32"/>
        <v>0</v>
      </c>
      <c r="K241" s="151"/>
      <c r="L241" s="125">
        <f t="shared" ca="1" si="33"/>
        <v>0</v>
      </c>
      <c r="P241">
        <f t="shared" si="34"/>
        <v>234</v>
      </c>
      <c r="S241" s="126">
        <f t="shared" ca="1" si="30"/>
        <v>0</v>
      </c>
      <c r="T241" s="126">
        <f t="shared" ca="1" si="35"/>
        <v>0</v>
      </c>
    </row>
    <row r="242" spans="4:20">
      <c r="D242">
        <v>235</v>
      </c>
      <c r="E242" s="6">
        <f t="shared" ca="1" si="36"/>
        <v>45597</v>
      </c>
      <c r="F242" s="7">
        <f t="shared" ca="1" si="31"/>
        <v>1.0506249999999999</v>
      </c>
      <c r="G242" s="125">
        <f ca="1">IF('Simulador - 1º Pilar'!$E$99="Sí",IF('Aportaciones Flex'!$B$13&lt;'Aportaciones Flex'!E242,0,F242*$B$8/12),F242*$B$8/12)</f>
        <v>18385.937499999996</v>
      </c>
      <c r="H242" s="125">
        <f t="shared" ca="1" si="28"/>
        <v>0</v>
      </c>
      <c r="I242" s="126">
        <f t="shared" ca="1" si="29"/>
        <v>0</v>
      </c>
      <c r="J242" s="125">
        <f t="shared" ca="1" si="32"/>
        <v>0</v>
      </c>
      <c r="K242" s="151"/>
      <c r="L242" s="125">
        <f t="shared" ca="1" si="33"/>
        <v>0</v>
      </c>
      <c r="P242">
        <f t="shared" si="34"/>
        <v>235</v>
      </c>
      <c r="S242" s="126">
        <f t="shared" ca="1" si="30"/>
        <v>0</v>
      </c>
      <c r="T242" s="126">
        <f t="shared" ca="1" si="35"/>
        <v>0</v>
      </c>
    </row>
    <row r="243" spans="4:20">
      <c r="D243">
        <v>236</v>
      </c>
      <c r="E243" s="6">
        <f t="shared" ca="1" si="36"/>
        <v>45566</v>
      </c>
      <c r="F243" s="7">
        <f t="shared" ca="1" si="31"/>
        <v>1.0506249999999999</v>
      </c>
      <c r="G243" s="125">
        <f ca="1">IF('Simulador - 1º Pilar'!$E$99="Sí",IF('Aportaciones Flex'!$B$13&lt;'Aportaciones Flex'!E243,0,F243*$B$8/12),F243*$B$8/12)</f>
        <v>18385.937499999996</v>
      </c>
      <c r="H243" s="125">
        <f t="shared" ca="1" si="28"/>
        <v>0</v>
      </c>
      <c r="I243" s="126">
        <f t="shared" ca="1" si="29"/>
        <v>0</v>
      </c>
      <c r="J243" s="125">
        <f t="shared" ca="1" si="32"/>
        <v>0</v>
      </c>
      <c r="K243" s="151"/>
      <c r="L243" s="125">
        <f t="shared" ca="1" si="33"/>
        <v>0</v>
      </c>
      <c r="P243">
        <f t="shared" si="34"/>
        <v>236</v>
      </c>
      <c r="S243" s="126">
        <f t="shared" ca="1" si="30"/>
        <v>0</v>
      </c>
      <c r="T243" s="126">
        <f t="shared" ca="1" si="35"/>
        <v>0</v>
      </c>
    </row>
    <row r="244" spans="4:20">
      <c r="D244">
        <v>237</v>
      </c>
      <c r="E244" s="6">
        <f t="shared" ca="1" si="36"/>
        <v>45536</v>
      </c>
      <c r="F244" s="7">
        <f t="shared" ca="1" si="31"/>
        <v>1.0506249999999999</v>
      </c>
      <c r="G244" s="125">
        <f ca="1">IF('Simulador - 1º Pilar'!$E$99="Sí",IF('Aportaciones Flex'!$B$13&lt;'Aportaciones Flex'!E244,0,F244*$B$8/12),F244*$B$8/12)</f>
        <v>18385.937499999996</v>
      </c>
      <c r="H244" s="125">
        <f t="shared" ca="1" si="28"/>
        <v>0</v>
      </c>
      <c r="I244" s="126">
        <f t="shared" ca="1" si="29"/>
        <v>0</v>
      </c>
      <c r="J244" s="125">
        <f t="shared" ca="1" si="32"/>
        <v>0</v>
      </c>
      <c r="K244" s="151"/>
      <c r="L244" s="125">
        <f t="shared" ca="1" si="33"/>
        <v>0</v>
      </c>
      <c r="P244">
        <f t="shared" si="34"/>
        <v>237</v>
      </c>
      <c r="S244" s="126">
        <f t="shared" ca="1" si="30"/>
        <v>0</v>
      </c>
      <c r="T244" s="126">
        <f t="shared" ca="1" si="35"/>
        <v>0</v>
      </c>
    </row>
    <row r="245" spans="4:20">
      <c r="D245">
        <v>238</v>
      </c>
      <c r="E245" s="6">
        <f t="shared" ca="1" si="36"/>
        <v>45505</v>
      </c>
      <c r="F245" s="7">
        <f t="shared" ca="1" si="31"/>
        <v>1.0506249999999999</v>
      </c>
      <c r="G245" s="125">
        <f ca="1">IF('Simulador - 1º Pilar'!$E$99="Sí",IF('Aportaciones Flex'!$B$13&lt;'Aportaciones Flex'!E245,0,F245*$B$8/12),F245*$B$8/12)</f>
        <v>18385.937499999996</v>
      </c>
      <c r="H245" s="125">
        <f t="shared" ca="1" si="28"/>
        <v>0</v>
      </c>
      <c r="I245" s="126">
        <f t="shared" ca="1" si="29"/>
        <v>0</v>
      </c>
      <c r="J245" s="125">
        <f t="shared" ca="1" si="32"/>
        <v>0</v>
      </c>
      <c r="K245" s="151"/>
      <c r="L245" s="125">
        <f t="shared" ca="1" si="33"/>
        <v>0</v>
      </c>
      <c r="P245">
        <f t="shared" si="34"/>
        <v>238</v>
      </c>
      <c r="S245" s="126">
        <f t="shared" ca="1" si="30"/>
        <v>0</v>
      </c>
      <c r="T245" s="126">
        <f t="shared" ca="1" si="35"/>
        <v>0</v>
      </c>
    </row>
    <row r="246" spans="4:20">
      <c r="D246">
        <v>239</v>
      </c>
      <c r="E246" s="6">
        <f t="shared" ca="1" si="36"/>
        <v>45474</v>
      </c>
      <c r="F246" s="7">
        <f t="shared" ca="1" si="31"/>
        <v>1.0506249999999999</v>
      </c>
      <c r="G246" s="125">
        <f ca="1">IF('Simulador - 1º Pilar'!$E$99="Sí",IF('Aportaciones Flex'!$B$13&lt;'Aportaciones Flex'!E246,0,F246*$B$8/12),F246*$B$8/12)</f>
        <v>18385.937499999996</v>
      </c>
      <c r="H246" s="125">
        <f t="shared" ca="1" si="28"/>
        <v>0</v>
      </c>
      <c r="I246" s="126">
        <f t="shared" ca="1" si="29"/>
        <v>0</v>
      </c>
      <c r="J246" s="125">
        <f t="shared" ca="1" si="32"/>
        <v>0</v>
      </c>
      <c r="K246" s="151"/>
      <c r="L246" s="125">
        <f t="shared" ca="1" si="33"/>
        <v>0</v>
      </c>
      <c r="P246">
        <f t="shared" si="34"/>
        <v>239</v>
      </c>
      <c r="S246" s="126">
        <f t="shared" ca="1" si="30"/>
        <v>0</v>
      </c>
      <c r="T246" s="126">
        <f t="shared" ca="1" si="35"/>
        <v>0</v>
      </c>
    </row>
    <row r="247" spans="4:20">
      <c r="D247">
        <v>240</v>
      </c>
      <c r="E247" s="6">
        <f t="shared" ca="1" si="36"/>
        <v>45444</v>
      </c>
      <c r="F247" s="7">
        <f t="shared" ca="1" si="31"/>
        <v>1.0506249999999999</v>
      </c>
      <c r="G247" s="125">
        <f ca="1">IF('Simulador - 1º Pilar'!$E$99="Sí",IF('Aportaciones Flex'!$B$13&lt;'Aportaciones Flex'!E247,0,F247*$B$8/12),F247*$B$8/12)</f>
        <v>18385.937499999996</v>
      </c>
      <c r="H247" s="125">
        <f t="shared" ca="1" si="28"/>
        <v>0</v>
      </c>
      <c r="I247" s="126">
        <f t="shared" ca="1" si="29"/>
        <v>0</v>
      </c>
      <c r="J247" s="125">
        <f t="shared" ca="1" si="32"/>
        <v>0</v>
      </c>
      <c r="K247" s="151"/>
      <c r="L247" s="125">
        <f t="shared" ca="1" si="33"/>
        <v>0</v>
      </c>
      <c r="P247">
        <f t="shared" si="34"/>
        <v>240</v>
      </c>
      <c r="S247" s="126">
        <f t="shared" ca="1" si="30"/>
        <v>0</v>
      </c>
      <c r="T247" s="126">
        <f t="shared" ca="1" si="35"/>
        <v>0</v>
      </c>
    </row>
    <row r="248" spans="4:20">
      <c r="D248">
        <v>241</v>
      </c>
      <c r="E248" s="6">
        <f t="shared" ca="1" si="36"/>
        <v>45413</v>
      </c>
      <c r="F248" s="7">
        <f t="shared" ca="1" si="31"/>
        <v>1.0506249999999999</v>
      </c>
      <c r="G248" s="125">
        <f ca="1">IF('Simulador - 1º Pilar'!$E$99="Sí",IF('Aportaciones Flex'!$B$13&lt;'Aportaciones Flex'!E248,0,F248*$B$8/12),F248*$B$8/12)</f>
        <v>18385.937499999996</v>
      </c>
      <c r="H248" s="125">
        <f t="shared" ca="1" si="28"/>
        <v>0</v>
      </c>
      <c r="I248" s="126">
        <f t="shared" ca="1" si="29"/>
        <v>0</v>
      </c>
      <c r="J248" s="125">
        <f t="shared" ca="1" si="32"/>
        <v>0</v>
      </c>
      <c r="K248" s="151"/>
      <c r="L248" s="125">
        <f t="shared" ca="1" si="33"/>
        <v>0</v>
      </c>
      <c r="P248">
        <f t="shared" si="34"/>
        <v>241</v>
      </c>
      <c r="S248" s="126">
        <f t="shared" ca="1" si="30"/>
        <v>0</v>
      </c>
      <c r="T248" s="126">
        <f t="shared" ca="1" si="35"/>
        <v>0</v>
      </c>
    </row>
    <row r="249" spans="4:20">
      <c r="D249">
        <v>242</v>
      </c>
      <c r="E249" s="6">
        <f t="shared" ca="1" si="36"/>
        <v>45383</v>
      </c>
      <c r="F249" s="7">
        <f t="shared" ca="1" si="31"/>
        <v>1.0506249999999999</v>
      </c>
      <c r="G249" s="125">
        <f ca="1">IF('Simulador - 1º Pilar'!$E$99="Sí",IF('Aportaciones Flex'!$B$13&lt;'Aportaciones Flex'!E249,0,F249*$B$8/12),F249*$B$8/12)</f>
        <v>18385.937499999996</v>
      </c>
      <c r="H249" s="125">
        <f t="shared" ca="1" si="28"/>
        <v>0</v>
      </c>
      <c r="I249" s="126">
        <f t="shared" ca="1" si="29"/>
        <v>0</v>
      </c>
      <c r="J249" s="125">
        <f t="shared" ca="1" si="32"/>
        <v>0</v>
      </c>
      <c r="K249" s="151"/>
      <c r="L249" s="125">
        <f t="shared" ca="1" si="33"/>
        <v>0</v>
      </c>
      <c r="P249">
        <f t="shared" si="34"/>
        <v>242</v>
      </c>
      <c r="S249" s="126">
        <f t="shared" ca="1" si="30"/>
        <v>0</v>
      </c>
      <c r="T249" s="126">
        <f t="shared" ca="1" si="35"/>
        <v>0</v>
      </c>
    </row>
    <row r="250" spans="4:20">
      <c r="D250">
        <v>243</v>
      </c>
      <c r="E250" s="6">
        <f t="shared" ca="1" si="36"/>
        <v>45352</v>
      </c>
      <c r="F250" s="7">
        <f t="shared" ca="1" si="31"/>
        <v>1.0506249999999999</v>
      </c>
      <c r="G250" s="125">
        <f ca="1">IF('Simulador - 1º Pilar'!$E$99="Sí",IF('Aportaciones Flex'!$B$13&lt;'Aportaciones Flex'!E250,0,F250*$B$8/12),F250*$B$8/12)</f>
        <v>18385.937499999996</v>
      </c>
      <c r="H250" s="125">
        <f t="shared" ca="1" si="28"/>
        <v>0</v>
      </c>
      <c r="I250" s="126">
        <f t="shared" ca="1" si="29"/>
        <v>0</v>
      </c>
      <c r="J250" s="125">
        <f t="shared" ca="1" si="32"/>
        <v>0</v>
      </c>
      <c r="K250" s="151"/>
      <c r="L250" s="125">
        <f t="shared" ca="1" si="33"/>
        <v>0</v>
      </c>
      <c r="P250">
        <f t="shared" si="34"/>
        <v>243</v>
      </c>
      <c r="S250" s="126">
        <f t="shared" ca="1" si="30"/>
        <v>0</v>
      </c>
      <c r="T250" s="126">
        <f t="shared" ca="1" si="35"/>
        <v>0</v>
      </c>
    </row>
    <row r="251" spans="4:20">
      <c r="D251">
        <v>244</v>
      </c>
      <c r="E251" s="6">
        <f t="shared" ca="1" si="36"/>
        <v>45323</v>
      </c>
      <c r="F251" s="7">
        <f t="shared" ca="1" si="31"/>
        <v>1.0506249999999999</v>
      </c>
      <c r="G251" s="125">
        <f ca="1">IF('Simulador - 1º Pilar'!$E$99="Sí",IF('Aportaciones Flex'!$B$13&lt;'Aportaciones Flex'!E251,0,F251*$B$8/12),F251*$B$8/12)</f>
        <v>18385.937499999996</v>
      </c>
      <c r="H251" s="125">
        <f t="shared" ca="1" si="28"/>
        <v>0</v>
      </c>
      <c r="I251" s="126">
        <f t="shared" ca="1" si="29"/>
        <v>0</v>
      </c>
      <c r="J251" s="125">
        <f t="shared" ca="1" si="32"/>
        <v>0</v>
      </c>
      <c r="K251" s="151"/>
      <c r="L251" s="125">
        <f t="shared" ca="1" si="33"/>
        <v>0</v>
      </c>
      <c r="P251">
        <f t="shared" si="34"/>
        <v>244</v>
      </c>
      <c r="S251" s="126">
        <f t="shared" ca="1" si="30"/>
        <v>0</v>
      </c>
      <c r="T251" s="126">
        <f t="shared" ca="1" si="35"/>
        <v>0</v>
      </c>
    </row>
    <row r="252" spans="4:20">
      <c r="D252">
        <v>245</v>
      </c>
      <c r="E252" s="6">
        <f t="shared" ca="1" si="36"/>
        <v>45292</v>
      </c>
      <c r="F252" s="7">
        <f t="shared" ca="1" si="31"/>
        <v>1.0506249999999999</v>
      </c>
      <c r="G252" s="125">
        <f ca="1">IF('Simulador - 1º Pilar'!$E$99="Sí",IF('Aportaciones Flex'!$B$13&lt;'Aportaciones Flex'!E252,0,F252*$B$8/12),F252*$B$8/12)</f>
        <v>18385.937499999996</v>
      </c>
      <c r="H252" s="125">
        <f t="shared" ca="1" si="28"/>
        <v>0</v>
      </c>
      <c r="I252" s="126">
        <f t="shared" ca="1" si="29"/>
        <v>0</v>
      </c>
      <c r="J252" s="125">
        <f t="shared" ca="1" si="32"/>
        <v>0</v>
      </c>
      <c r="K252" s="151"/>
      <c r="L252" s="125">
        <f t="shared" ca="1" si="33"/>
        <v>0</v>
      </c>
      <c r="P252">
        <f t="shared" si="34"/>
        <v>245</v>
      </c>
      <c r="S252" s="126">
        <f t="shared" ca="1" si="30"/>
        <v>0</v>
      </c>
      <c r="T252" s="126">
        <f t="shared" ca="1" si="35"/>
        <v>0</v>
      </c>
    </row>
    <row r="253" spans="4:20">
      <c r="D253">
        <v>246</v>
      </c>
      <c r="E253" s="6">
        <f t="shared" ca="1" si="36"/>
        <v>45261</v>
      </c>
      <c r="F253" s="7">
        <f t="shared" ca="1" si="31"/>
        <v>1.0249999999999999</v>
      </c>
      <c r="G253" s="125">
        <f ca="1">IF('Simulador - 1º Pilar'!$E$99="Sí",IF('Aportaciones Flex'!$B$13&lt;'Aportaciones Flex'!E253,0,F253*$B$8/12),F253*$B$8/12)</f>
        <v>17937.499999999996</v>
      </c>
      <c r="H253" s="125">
        <f t="shared" ca="1" si="28"/>
        <v>0</v>
      </c>
      <c r="I253" s="126">
        <f t="shared" ca="1" si="29"/>
        <v>0</v>
      </c>
      <c r="J253" s="125">
        <f t="shared" ca="1" si="32"/>
        <v>0</v>
      </c>
      <c r="K253" s="151"/>
      <c r="L253" s="125">
        <f t="shared" ca="1" si="33"/>
        <v>0</v>
      </c>
      <c r="P253">
        <f t="shared" si="34"/>
        <v>246</v>
      </c>
      <c r="S253" s="126">
        <f t="shared" ca="1" si="30"/>
        <v>0</v>
      </c>
      <c r="T253" s="126">
        <f t="shared" ca="1" si="35"/>
        <v>0</v>
      </c>
    </row>
    <row r="254" spans="4:20">
      <c r="D254">
        <v>247</v>
      </c>
      <c r="E254" s="6">
        <f t="shared" ca="1" si="36"/>
        <v>45231</v>
      </c>
      <c r="F254" s="7">
        <f t="shared" ca="1" si="31"/>
        <v>1.0249999999999999</v>
      </c>
      <c r="G254" s="125">
        <f ca="1">IF('Simulador - 1º Pilar'!$E$99="Sí",IF('Aportaciones Flex'!$B$13&lt;'Aportaciones Flex'!E254,0,F254*$B$8/12),F254*$B$8/12)</f>
        <v>17937.499999999996</v>
      </c>
      <c r="H254" s="125">
        <f t="shared" ca="1" si="28"/>
        <v>0</v>
      </c>
      <c r="I254" s="126">
        <f t="shared" ca="1" si="29"/>
        <v>0</v>
      </c>
      <c r="J254" s="125">
        <f t="shared" ca="1" si="32"/>
        <v>0</v>
      </c>
      <c r="K254" s="151"/>
      <c r="L254" s="125">
        <f t="shared" ca="1" si="33"/>
        <v>0</v>
      </c>
      <c r="P254">
        <f t="shared" si="34"/>
        <v>247</v>
      </c>
      <c r="S254" s="126">
        <f t="shared" ca="1" si="30"/>
        <v>0</v>
      </c>
      <c r="T254" s="126">
        <f t="shared" ca="1" si="35"/>
        <v>0</v>
      </c>
    </row>
    <row r="255" spans="4:20">
      <c r="D255">
        <v>248</v>
      </c>
      <c r="E255" s="6">
        <f t="shared" ca="1" si="36"/>
        <v>45200</v>
      </c>
      <c r="F255" s="7">
        <f t="shared" ca="1" si="31"/>
        <v>1.0249999999999999</v>
      </c>
      <c r="G255" s="125">
        <f ca="1">IF('Simulador - 1º Pilar'!$E$99="Sí",IF('Aportaciones Flex'!$B$13&lt;'Aportaciones Flex'!E255,0,F255*$B$8/12),F255*$B$8/12)</f>
        <v>17937.499999999996</v>
      </c>
      <c r="H255" s="125">
        <f t="shared" ca="1" si="28"/>
        <v>0</v>
      </c>
      <c r="I255" s="126">
        <f t="shared" ca="1" si="29"/>
        <v>0</v>
      </c>
      <c r="J255" s="125">
        <f t="shared" ca="1" si="32"/>
        <v>0</v>
      </c>
      <c r="K255" s="151"/>
      <c r="L255" s="125">
        <f t="shared" ca="1" si="33"/>
        <v>0</v>
      </c>
      <c r="P255">
        <f t="shared" si="34"/>
        <v>248</v>
      </c>
      <c r="S255" s="126">
        <f t="shared" ca="1" si="30"/>
        <v>0</v>
      </c>
      <c r="T255" s="126">
        <f t="shared" ca="1" si="35"/>
        <v>0</v>
      </c>
    </row>
    <row r="256" spans="4:20">
      <c r="D256">
        <v>249</v>
      </c>
      <c r="E256" s="6">
        <f t="shared" ca="1" si="36"/>
        <v>45170</v>
      </c>
      <c r="F256" s="7">
        <f t="shared" ca="1" si="31"/>
        <v>1.0249999999999999</v>
      </c>
      <c r="G256" s="125">
        <f ca="1">IF('Simulador - 1º Pilar'!$E$99="Sí",IF('Aportaciones Flex'!$B$13&lt;'Aportaciones Flex'!E256,0,F256*$B$8/12),F256*$B$8/12)</f>
        <v>17937.499999999996</v>
      </c>
      <c r="H256" s="125">
        <f t="shared" ca="1" si="28"/>
        <v>0</v>
      </c>
      <c r="I256" s="126">
        <f t="shared" ca="1" si="29"/>
        <v>0</v>
      </c>
      <c r="J256" s="125">
        <f t="shared" ca="1" si="32"/>
        <v>0</v>
      </c>
      <c r="K256" s="151"/>
      <c r="L256" s="125">
        <f t="shared" ca="1" si="33"/>
        <v>0</v>
      </c>
      <c r="P256">
        <f t="shared" si="34"/>
        <v>249</v>
      </c>
      <c r="S256" s="126">
        <f t="shared" ca="1" si="30"/>
        <v>0</v>
      </c>
      <c r="T256" s="126">
        <f t="shared" ca="1" si="35"/>
        <v>0</v>
      </c>
    </row>
    <row r="257" spans="4:20">
      <c r="D257">
        <v>250</v>
      </c>
      <c r="E257" s="6">
        <f t="shared" ca="1" si="36"/>
        <v>45139</v>
      </c>
      <c r="F257" s="7">
        <f t="shared" ca="1" si="31"/>
        <v>1.0249999999999999</v>
      </c>
      <c r="G257" s="125">
        <f ca="1">IF('Simulador - 1º Pilar'!$E$99="Sí",IF('Aportaciones Flex'!$B$13&lt;'Aportaciones Flex'!E257,0,F257*$B$8/12),F257*$B$8/12)</f>
        <v>17937.499999999996</v>
      </c>
      <c r="H257" s="125">
        <f t="shared" ca="1" si="28"/>
        <v>0</v>
      </c>
      <c r="I257" s="126">
        <f t="shared" ca="1" si="29"/>
        <v>0</v>
      </c>
      <c r="J257" s="125">
        <f t="shared" ca="1" si="32"/>
        <v>0</v>
      </c>
      <c r="K257" s="151"/>
      <c r="L257" s="125">
        <f t="shared" ca="1" si="33"/>
        <v>0</v>
      </c>
      <c r="P257">
        <f t="shared" si="34"/>
        <v>250</v>
      </c>
      <c r="S257" s="126">
        <f t="shared" ca="1" si="30"/>
        <v>0</v>
      </c>
      <c r="T257" s="126">
        <f t="shared" ca="1" si="35"/>
        <v>0</v>
      </c>
    </row>
    <row r="258" spans="4:20">
      <c r="D258">
        <v>251</v>
      </c>
      <c r="E258" s="6">
        <f t="shared" ca="1" si="36"/>
        <v>45108</v>
      </c>
      <c r="F258" s="7">
        <f t="shared" ca="1" si="31"/>
        <v>1.0249999999999999</v>
      </c>
      <c r="G258" s="125">
        <f ca="1">IF('Simulador - 1º Pilar'!$E$99="Sí",IF('Aportaciones Flex'!$B$13&lt;'Aportaciones Flex'!E258,0,F258*$B$8/12),F258*$B$8/12)</f>
        <v>17937.499999999996</v>
      </c>
      <c r="H258" s="125">
        <f t="shared" ref="H258:H321" ca="1" si="37">IF(G258&gt;0,1,0)*$H$5*IF(AND($I$5="NO",YEAR(E258)=YEAR($B$6)+1),1,IF($I$5="SI",1,0))</f>
        <v>0</v>
      </c>
      <c r="I258" s="126">
        <f t="shared" ca="1" si="29"/>
        <v>0</v>
      </c>
      <c r="J258" s="125">
        <f t="shared" ca="1" si="32"/>
        <v>0</v>
      </c>
      <c r="K258" s="151"/>
      <c r="L258" s="125">
        <f t="shared" ca="1" si="33"/>
        <v>0</v>
      </c>
      <c r="P258">
        <f t="shared" si="34"/>
        <v>251</v>
      </c>
      <c r="S258" s="126">
        <f t="shared" ca="1" si="30"/>
        <v>0</v>
      </c>
      <c r="T258" s="126">
        <f t="shared" ca="1" si="35"/>
        <v>0</v>
      </c>
    </row>
    <row r="259" spans="4:20">
      <c r="D259">
        <v>252</v>
      </c>
      <c r="E259" s="6">
        <f t="shared" ca="1" si="36"/>
        <v>45078</v>
      </c>
      <c r="F259" s="7">
        <f t="shared" ca="1" si="31"/>
        <v>1.0249999999999999</v>
      </c>
      <c r="G259" s="125">
        <f ca="1">IF('Simulador - 1º Pilar'!$E$99="Sí",IF('Aportaciones Flex'!$B$13&lt;'Aportaciones Flex'!E259,0,F259*$B$8/12),F259*$B$8/12)</f>
        <v>17937.499999999996</v>
      </c>
      <c r="H259" s="125">
        <f t="shared" ca="1" si="37"/>
        <v>0</v>
      </c>
      <c r="I259" s="126">
        <f t="shared" ca="1" si="29"/>
        <v>0</v>
      </c>
      <c r="J259" s="125">
        <f t="shared" ca="1" si="32"/>
        <v>0</v>
      </c>
      <c r="K259" s="151"/>
      <c r="L259" s="125">
        <f t="shared" ca="1" si="33"/>
        <v>0</v>
      </c>
      <c r="P259">
        <f t="shared" si="34"/>
        <v>252</v>
      </c>
      <c r="S259" s="126">
        <f t="shared" ca="1" si="30"/>
        <v>0</v>
      </c>
      <c r="T259" s="126">
        <f t="shared" ca="1" si="35"/>
        <v>0</v>
      </c>
    </row>
    <row r="260" spans="4:20">
      <c r="D260">
        <v>253</v>
      </c>
      <c r="E260" s="6">
        <f t="shared" ca="1" si="36"/>
        <v>45047</v>
      </c>
      <c r="F260" s="7">
        <f t="shared" ca="1" si="31"/>
        <v>1.0249999999999999</v>
      </c>
      <c r="G260" s="125">
        <f ca="1">IF('Simulador - 1º Pilar'!$E$99="Sí",IF('Aportaciones Flex'!$B$13&lt;'Aportaciones Flex'!E260,0,F260*$B$8/12),F260*$B$8/12)</f>
        <v>17937.499999999996</v>
      </c>
      <c r="H260" s="125">
        <f t="shared" ca="1" si="37"/>
        <v>0</v>
      </c>
      <c r="I260" s="126">
        <f t="shared" ca="1" si="29"/>
        <v>0</v>
      </c>
      <c r="J260" s="125">
        <f t="shared" ca="1" si="32"/>
        <v>0</v>
      </c>
      <c r="K260" s="151"/>
      <c r="L260" s="125">
        <f t="shared" ca="1" si="33"/>
        <v>0</v>
      </c>
      <c r="P260">
        <f t="shared" si="34"/>
        <v>253</v>
      </c>
      <c r="S260" s="126">
        <f t="shared" ca="1" si="30"/>
        <v>0</v>
      </c>
      <c r="T260" s="126">
        <f t="shared" ca="1" si="35"/>
        <v>0</v>
      </c>
    </row>
    <row r="261" spans="4:20">
      <c r="D261">
        <v>254</v>
      </c>
      <c r="E261" s="6">
        <f t="shared" ca="1" si="36"/>
        <v>45017</v>
      </c>
      <c r="F261" s="7">
        <f t="shared" ca="1" si="31"/>
        <v>1.0249999999999999</v>
      </c>
      <c r="G261" s="125">
        <f ca="1">IF('Simulador - 1º Pilar'!$E$99="Sí",IF('Aportaciones Flex'!$B$13&lt;'Aportaciones Flex'!E261,0,F261*$B$8/12),F261*$B$8/12)</f>
        <v>17937.499999999996</v>
      </c>
      <c r="H261" s="125">
        <f t="shared" ca="1" si="37"/>
        <v>0</v>
      </c>
      <c r="I261" s="126">
        <f t="shared" ca="1" si="29"/>
        <v>0</v>
      </c>
      <c r="J261" s="125">
        <f t="shared" ca="1" si="32"/>
        <v>0</v>
      </c>
      <c r="K261" s="151"/>
      <c r="L261" s="125">
        <f t="shared" ca="1" si="33"/>
        <v>0</v>
      </c>
      <c r="P261">
        <f t="shared" si="34"/>
        <v>254</v>
      </c>
      <c r="S261" s="126">
        <f t="shared" ca="1" si="30"/>
        <v>0</v>
      </c>
      <c r="T261" s="126">
        <f t="shared" ca="1" si="35"/>
        <v>0</v>
      </c>
    </row>
    <row r="262" spans="4:20">
      <c r="D262">
        <v>255</v>
      </c>
      <c r="E262" s="6">
        <f t="shared" ca="1" si="36"/>
        <v>44986</v>
      </c>
      <c r="F262" s="7">
        <f t="shared" ca="1" si="31"/>
        <v>1.0249999999999999</v>
      </c>
      <c r="G262" s="125">
        <f ca="1">IF('Simulador - 1º Pilar'!$E$99="Sí",IF('Aportaciones Flex'!$B$13&lt;'Aportaciones Flex'!E262,0,F262*$B$8/12),F262*$B$8/12)</f>
        <v>17937.499999999996</v>
      </c>
      <c r="H262" s="125">
        <f t="shared" ca="1" si="37"/>
        <v>0</v>
      </c>
      <c r="I262" s="126">
        <f t="shared" ca="1" si="29"/>
        <v>0</v>
      </c>
      <c r="J262" s="125">
        <f t="shared" ca="1" si="32"/>
        <v>0</v>
      </c>
      <c r="K262" s="151"/>
      <c r="L262" s="125">
        <f t="shared" ca="1" si="33"/>
        <v>0</v>
      </c>
      <c r="P262">
        <f t="shared" si="34"/>
        <v>255</v>
      </c>
      <c r="S262" s="126">
        <f t="shared" ca="1" si="30"/>
        <v>0</v>
      </c>
      <c r="T262" s="126">
        <f t="shared" ca="1" si="35"/>
        <v>0</v>
      </c>
    </row>
    <row r="263" spans="4:20">
      <c r="D263">
        <v>256</v>
      </c>
      <c r="E263" s="6">
        <f t="shared" ca="1" si="36"/>
        <v>44958</v>
      </c>
      <c r="F263" s="7">
        <f t="shared" ca="1" si="31"/>
        <v>1.0249999999999999</v>
      </c>
      <c r="G263" s="125">
        <f ca="1">IF('Simulador - 1º Pilar'!$E$99="Sí",IF('Aportaciones Flex'!$B$13&lt;'Aportaciones Flex'!E263,0,F263*$B$8/12),F263*$B$8/12)</f>
        <v>17937.499999999996</v>
      </c>
      <c r="H263" s="125">
        <f t="shared" ca="1" si="37"/>
        <v>0</v>
      </c>
      <c r="I263" s="126">
        <f t="shared" ref="I263:I326" ca="1" si="38">(1+$M$5)^(D263/12)*(H263*(12-IF(MONTH(E264)=12,0,MONTH(E264)))+IF(AND(F263=1,F264=0),$Q$4,0))*IF(AND(F263=1,F264=0),1,0)</f>
        <v>0</v>
      </c>
      <c r="J263" s="125">
        <f t="shared" ca="1" si="32"/>
        <v>0</v>
      </c>
      <c r="K263" s="151"/>
      <c r="L263" s="125">
        <f t="shared" ca="1" si="33"/>
        <v>0</v>
      </c>
      <c r="P263">
        <f t="shared" si="34"/>
        <v>256</v>
      </c>
      <c r="S263" s="126">
        <f t="shared" ref="S263:S326" ca="1" si="39">(1+$M$5)^(D263/12)*(IF(E263=$C$6,$Q$4+$H$5*12,0))</f>
        <v>0</v>
      </c>
      <c r="T263" s="126">
        <f t="shared" ca="1" si="35"/>
        <v>0</v>
      </c>
    </row>
    <row r="264" spans="4:20">
      <c r="D264">
        <v>257</v>
      </c>
      <c r="E264" s="6">
        <f t="shared" ca="1" si="36"/>
        <v>44927</v>
      </c>
      <c r="F264" s="7">
        <f t="shared" ref="F264:F327" ca="1" si="40">IF(DATE(YEAR($B$6),MONTH($B$6)+1,DAY(1))=E264,1,IF(MONTH(E264)=1,F265*(1+$F$5),F265))</f>
        <v>1.0249999999999999</v>
      </c>
      <c r="G264" s="125">
        <f ca="1">IF('Simulador - 1º Pilar'!$E$99="Sí",IF('Aportaciones Flex'!$B$13&lt;'Aportaciones Flex'!E264,0,F264*$B$8/12),F264*$B$8/12)</f>
        <v>17937.499999999996</v>
      </c>
      <c r="H264" s="125">
        <f t="shared" ca="1" si="37"/>
        <v>0</v>
      </c>
      <c r="I264" s="126">
        <f t="shared" ca="1" si="38"/>
        <v>0</v>
      </c>
      <c r="J264" s="125">
        <f t="shared" ref="J264:J327" ca="1" si="41">(1+$M$5)^(D264/12)*(H264+IF(AND(F264=1,F265=0),$Q$4,0))</f>
        <v>0</v>
      </c>
      <c r="K264" s="151"/>
      <c r="L264" s="125">
        <f t="shared" ref="L264:L327" ca="1" si="42">K264+J264</f>
        <v>0</v>
      </c>
      <c r="P264">
        <f t="shared" ref="P264:P327" si="43">D264</f>
        <v>257</v>
      </c>
      <c r="S264" s="126">
        <f t="shared" ca="1" si="39"/>
        <v>0</v>
      </c>
      <c r="T264" s="126">
        <f t="shared" ref="T264:T327" ca="1" si="44">(1+$M$5)^(D264/12)*(IF(YEAR(E264)&gt;YEAR($C$6),L264,0)+IF(E264=$C$6,$H$5*12+$Q$4,0))</f>
        <v>0</v>
      </c>
    </row>
    <row r="265" spans="4:20">
      <c r="D265">
        <v>258</v>
      </c>
      <c r="E265" s="6">
        <f t="shared" ref="E265:E315" ca="1" si="45">+DATE(YEAR(E264),MONTH(E264)-1,DAY(E264))</f>
        <v>44896</v>
      </c>
      <c r="F265" s="7">
        <f t="shared" ca="1" si="40"/>
        <v>1</v>
      </c>
      <c r="G265" s="125">
        <f ca="1">IF('Simulador - 1º Pilar'!$E$99="Sí",IF('Aportaciones Flex'!$B$13&lt;'Aportaciones Flex'!E265,0,F265*$B$8/12),F265*$B$8/12)</f>
        <v>17500</v>
      </c>
      <c r="H265" s="125">
        <f t="shared" ca="1" si="37"/>
        <v>0</v>
      </c>
      <c r="I265" s="126">
        <f t="shared" ca="1" si="38"/>
        <v>0</v>
      </c>
      <c r="J265" s="125">
        <f t="shared" ca="1" si="41"/>
        <v>0</v>
      </c>
      <c r="K265" s="151"/>
      <c r="L265" s="125">
        <f t="shared" ca="1" si="42"/>
        <v>0</v>
      </c>
      <c r="P265">
        <f t="shared" si="43"/>
        <v>258</v>
      </c>
      <c r="S265" s="126">
        <f t="shared" ca="1" si="39"/>
        <v>0</v>
      </c>
      <c r="T265" s="126">
        <f t="shared" ca="1" si="44"/>
        <v>0</v>
      </c>
    </row>
    <row r="266" spans="4:20">
      <c r="D266">
        <v>259</v>
      </c>
      <c r="E266" s="6">
        <f t="shared" ca="1" si="45"/>
        <v>44866</v>
      </c>
      <c r="F266" s="7">
        <f t="shared" ca="1" si="40"/>
        <v>1</v>
      </c>
      <c r="G266" s="125">
        <f ca="1">IF('Simulador - 1º Pilar'!$E$99="Sí",IF('Aportaciones Flex'!$B$13&lt;'Aportaciones Flex'!E266,0,F266*$B$8/12),F266*$B$8/12)</f>
        <v>17500</v>
      </c>
      <c r="H266" s="125">
        <f t="shared" ca="1" si="37"/>
        <v>0</v>
      </c>
      <c r="I266" s="126">
        <f t="shared" ca="1" si="38"/>
        <v>0</v>
      </c>
      <c r="J266" s="125">
        <f t="shared" ca="1" si="41"/>
        <v>0</v>
      </c>
      <c r="K266" s="151"/>
      <c r="L266" s="125">
        <f t="shared" ca="1" si="42"/>
        <v>0</v>
      </c>
      <c r="P266">
        <f t="shared" si="43"/>
        <v>259</v>
      </c>
      <c r="S266" s="126">
        <f t="shared" ca="1" si="39"/>
        <v>0</v>
      </c>
      <c r="T266" s="126">
        <f t="shared" ca="1" si="44"/>
        <v>0</v>
      </c>
    </row>
    <row r="267" spans="4:20">
      <c r="D267">
        <v>260</v>
      </c>
      <c r="E267" s="6">
        <f t="shared" ca="1" si="45"/>
        <v>44835</v>
      </c>
      <c r="F267" s="7">
        <f t="shared" ca="1" si="40"/>
        <v>1</v>
      </c>
      <c r="G267" s="125">
        <f ca="1">IF('Simulador - 1º Pilar'!$E$99="Sí",IF('Aportaciones Flex'!$B$13&lt;'Aportaciones Flex'!E267,0,F267*$B$8/12),F267*$B$8/12)</f>
        <v>17500</v>
      </c>
      <c r="H267" s="125">
        <f t="shared" ca="1" si="37"/>
        <v>0</v>
      </c>
      <c r="I267" s="126">
        <f t="shared" ca="1" si="38"/>
        <v>0</v>
      </c>
      <c r="J267" s="125">
        <f t="shared" ca="1" si="41"/>
        <v>0</v>
      </c>
      <c r="K267" s="151"/>
      <c r="L267" s="125">
        <f t="shared" ca="1" si="42"/>
        <v>0</v>
      </c>
      <c r="P267">
        <f t="shared" si="43"/>
        <v>260</v>
      </c>
      <c r="S267" s="126">
        <f t="shared" ca="1" si="39"/>
        <v>0</v>
      </c>
      <c r="T267" s="126">
        <f t="shared" ca="1" si="44"/>
        <v>0</v>
      </c>
    </row>
    <row r="268" spans="4:20">
      <c r="D268">
        <v>261</v>
      </c>
      <c r="E268" s="6">
        <f t="shared" ca="1" si="45"/>
        <v>44805</v>
      </c>
      <c r="F268" s="7">
        <f t="shared" ca="1" si="40"/>
        <v>1</v>
      </c>
      <c r="G268" s="125">
        <f ca="1">IF('Simulador - 1º Pilar'!$E$99="Sí",IF('Aportaciones Flex'!$B$13&lt;'Aportaciones Flex'!E268,0,F268*$B$8/12),F268*$B$8/12)</f>
        <v>17500</v>
      </c>
      <c r="H268" s="125">
        <f t="shared" ca="1" si="37"/>
        <v>0</v>
      </c>
      <c r="I268" s="126">
        <f t="shared" ca="1" si="38"/>
        <v>0</v>
      </c>
      <c r="J268" s="125">
        <f t="shared" ca="1" si="41"/>
        <v>0</v>
      </c>
      <c r="K268" s="151"/>
      <c r="L268" s="125">
        <f t="shared" ca="1" si="42"/>
        <v>0</v>
      </c>
      <c r="P268">
        <f t="shared" si="43"/>
        <v>261</v>
      </c>
      <c r="S268" s="126">
        <f t="shared" ca="1" si="39"/>
        <v>0</v>
      </c>
      <c r="T268" s="126">
        <f t="shared" ca="1" si="44"/>
        <v>0</v>
      </c>
    </row>
    <row r="269" spans="4:20">
      <c r="D269">
        <v>262</v>
      </c>
      <c r="E269" s="6">
        <f t="shared" ca="1" si="45"/>
        <v>44774</v>
      </c>
      <c r="F269" s="7">
        <f t="shared" ca="1" si="40"/>
        <v>1</v>
      </c>
      <c r="G269" s="125">
        <f ca="1">IF('Simulador - 1º Pilar'!$E$99="Sí",IF('Aportaciones Flex'!$B$13&lt;'Aportaciones Flex'!E269,0,F269*$B$8/12),F269*$B$8/12)</f>
        <v>17500</v>
      </c>
      <c r="H269" s="125">
        <f t="shared" ca="1" si="37"/>
        <v>0</v>
      </c>
      <c r="I269" s="126">
        <f t="shared" ca="1" si="38"/>
        <v>0</v>
      </c>
      <c r="J269" s="125">
        <f t="shared" ca="1" si="41"/>
        <v>0</v>
      </c>
      <c r="K269" s="151"/>
      <c r="L269" s="125">
        <f t="shared" ca="1" si="42"/>
        <v>0</v>
      </c>
      <c r="P269">
        <f t="shared" si="43"/>
        <v>262</v>
      </c>
      <c r="S269" s="126">
        <f t="shared" ca="1" si="39"/>
        <v>0</v>
      </c>
      <c r="T269" s="126">
        <f t="shared" ca="1" si="44"/>
        <v>0</v>
      </c>
    </row>
    <row r="270" spans="4:20">
      <c r="D270">
        <v>263</v>
      </c>
      <c r="E270" s="6">
        <f t="shared" ca="1" si="45"/>
        <v>44743</v>
      </c>
      <c r="F270" s="7">
        <f t="shared" ca="1" si="40"/>
        <v>1</v>
      </c>
      <c r="G270" s="125">
        <f ca="1">IF('Simulador - 1º Pilar'!$E$99="Sí",IF('Aportaciones Flex'!$B$13&lt;'Aportaciones Flex'!E270,0,F270*$B$8/12),F270*$B$8/12)</f>
        <v>17500</v>
      </c>
      <c r="H270" s="125">
        <f t="shared" ca="1" si="37"/>
        <v>0</v>
      </c>
      <c r="I270" s="126">
        <f t="shared" ca="1" si="38"/>
        <v>0</v>
      </c>
      <c r="J270" s="125">
        <f t="shared" ca="1" si="41"/>
        <v>0</v>
      </c>
      <c r="K270" s="151"/>
      <c r="L270" s="125">
        <f t="shared" ca="1" si="42"/>
        <v>0</v>
      </c>
      <c r="P270">
        <f t="shared" si="43"/>
        <v>263</v>
      </c>
      <c r="S270" s="126">
        <f t="shared" ca="1" si="39"/>
        <v>0</v>
      </c>
      <c r="T270" s="126">
        <f t="shared" ca="1" si="44"/>
        <v>0</v>
      </c>
    </row>
    <row r="271" spans="4:20">
      <c r="D271">
        <v>264</v>
      </c>
      <c r="E271" s="6">
        <f t="shared" ca="1" si="45"/>
        <v>44713</v>
      </c>
      <c r="F271" s="7">
        <f t="shared" ca="1" si="40"/>
        <v>1</v>
      </c>
      <c r="G271" s="125">
        <f ca="1">IF('Simulador - 1º Pilar'!$E$99="Sí",IF('Aportaciones Flex'!$B$13&lt;'Aportaciones Flex'!E271,0,F271*$B$8/12),F271*$B$8/12)</f>
        <v>17500</v>
      </c>
      <c r="H271" s="125">
        <f t="shared" ca="1" si="37"/>
        <v>0</v>
      </c>
      <c r="I271" s="126">
        <f t="shared" ca="1" si="38"/>
        <v>0</v>
      </c>
      <c r="J271" s="125">
        <f t="shared" ca="1" si="41"/>
        <v>0</v>
      </c>
      <c r="K271" s="151"/>
      <c r="L271" s="125">
        <f t="shared" ca="1" si="42"/>
        <v>0</v>
      </c>
      <c r="P271">
        <f t="shared" si="43"/>
        <v>264</v>
      </c>
      <c r="S271" s="126">
        <f t="shared" ca="1" si="39"/>
        <v>0</v>
      </c>
      <c r="T271" s="126">
        <f t="shared" ca="1" si="44"/>
        <v>0</v>
      </c>
    </row>
    <row r="272" spans="4:20">
      <c r="D272">
        <v>265</v>
      </c>
      <c r="E272" s="6">
        <f t="shared" ca="1" si="45"/>
        <v>44682</v>
      </c>
      <c r="F272" s="7">
        <f t="shared" ca="1" si="40"/>
        <v>1</v>
      </c>
      <c r="G272" s="125">
        <f ca="1">IF('Simulador - 1º Pilar'!$E$99="Sí",IF('Aportaciones Flex'!$B$13&lt;'Aportaciones Flex'!E272,0,F272*$B$8/12),F272*$B$8/12)</f>
        <v>17500</v>
      </c>
      <c r="H272" s="125">
        <f t="shared" ca="1" si="37"/>
        <v>0</v>
      </c>
      <c r="I272" s="126">
        <f t="shared" ca="1" si="38"/>
        <v>0</v>
      </c>
      <c r="J272" s="125">
        <f t="shared" ca="1" si="41"/>
        <v>0</v>
      </c>
      <c r="K272" s="151"/>
      <c r="L272" s="125">
        <f t="shared" ca="1" si="42"/>
        <v>0</v>
      </c>
      <c r="P272">
        <f t="shared" si="43"/>
        <v>265</v>
      </c>
      <c r="S272" s="126">
        <f t="shared" ca="1" si="39"/>
        <v>0</v>
      </c>
      <c r="T272" s="126">
        <f t="shared" ca="1" si="44"/>
        <v>0</v>
      </c>
    </row>
    <row r="273" spans="4:20">
      <c r="D273">
        <v>266</v>
      </c>
      <c r="E273" s="6">
        <f t="shared" ca="1" si="45"/>
        <v>44652</v>
      </c>
      <c r="F273" s="7">
        <f t="shared" ca="1" si="40"/>
        <v>1</v>
      </c>
      <c r="G273" s="125">
        <f ca="1">IF('Simulador - 1º Pilar'!$E$99="Sí",IF('Aportaciones Flex'!$B$13&lt;'Aportaciones Flex'!E273,0,F273*$B$8/12),F273*$B$8/12)</f>
        <v>17500</v>
      </c>
      <c r="H273" s="125">
        <f t="shared" ca="1" si="37"/>
        <v>0</v>
      </c>
      <c r="I273" s="126">
        <f t="shared" ca="1" si="38"/>
        <v>0</v>
      </c>
      <c r="J273" s="125">
        <f t="shared" ca="1" si="41"/>
        <v>0</v>
      </c>
      <c r="K273" s="151"/>
      <c r="L273" s="125">
        <f t="shared" ca="1" si="42"/>
        <v>0</v>
      </c>
      <c r="P273">
        <f t="shared" si="43"/>
        <v>266</v>
      </c>
      <c r="S273" s="126">
        <f t="shared" ca="1" si="39"/>
        <v>0</v>
      </c>
      <c r="T273" s="126">
        <f t="shared" ca="1" si="44"/>
        <v>0</v>
      </c>
    </row>
    <row r="274" spans="4:20">
      <c r="D274">
        <v>267</v>
      </c>
      <c r="E274" s="6">
        <f t="shared" ca="1" si="45"/>
        <v>44621</v>
      </c>
      <c r="F274" s="7">
        <f t="shared" ca="1" si="40"/>
        <v>1</v>
      </c>
      <c r="G274" s="125">
        <f ca="1">IF('Simulador - 1º Pilar'!$E$99="Sí",IF('Aportaciones Flex'!$B$13&lt;'Aportaciones Flex'!E274,0,F274*$B$8/12),F274*$B$8/12)</f>
        <v>17500</v>
      </c>
      <c r="H274" s="125">
        <f t="shared" ca="1" si="37"/>
        <v>0</v>
      </c>
      <c r="I274" s="126">
        <f t="shared" ca="1" si="38"/>
        <v>0</v>
      </c>
      <c r="J274" s="125">
        <f t="shared" ca="1" si="41"/>
        <v>0</v>
      </c>
      <c r="K274" s="151"/>
      <c r="L274" s="125">
        <f t="shared" ca="1" si="42"/>
        <v>0</v>
      </c>
      <c r="P274">
        <f t="shared" si="43"/>
        <v>267</v>
      </c>
      <c r="S274" s="126">
        <f t="shared" ca="1" si="39"/>
        <v>0</v>
      </c>
      <c r="T274" s="126">
        <f t="shared" ca="1" si="44"/>
        <v>0</v>
      </c>
    </row>
    <row r="275" spans="4:20">
      <c r="D275">
        <v>268</v>
      </c>
      <c r="E275" s="6">
        <f t="shared" ca="1" si="45"/>
        <v>44593</v>
      </c>
      <c r="F275" s="7">
        <f t="shared" ca="1" si="40"/>
        <v>1</v>
      </c>
      <c r="G275" s="125">
        <f ca="1">IF('Simulador - 1º Pilar'!$E$99="Sí",IF('Aportaciones Flex'!$B$13&lt;'Aportaciones Flex'!E275,0,F275*$B$8/12),F275*$B$8/12)</f>
        <v>17500</v>
      </c>
      <c r="H275" s="125">
        <f t="shared" ca="1" si="37"/>
        <v>0</v>
      </c>
      <c r="I275" s="126">
        <f t="shared" ca="1" si="38"/>
        <v>0</v>
      </c>
      <c r="J275" s="125">
        <f t="shared" ca="1" si="41"/>
        <v>0</v>
      </c>
      <c r="K275" s="151"/>
      <c r="L275" s="125">
        <f t="shared" ca="1" si="42"/>
        <v>0</v>
      </c>
      <c r="P275">
        <f t="shared" si="43"/>
        <v>268</v>
      </c>
      <c r="S275" s="126">
        <f t="shared" ca="1" si="39"/>
        <v>0</v>
      </c>
      <c r="T275" s="126">
        <f t="shared" ca="1" si="44"/>
        <v>0</v>
      </c>
    </row>
    <row r="276" spans="4:20">
      <c r="D276">
        <v>269</v>
      </c>
      <c r="E276" s="6">
        <f t="shared" ca="1" si="45"/>
        <v>44562</v>
      </c>
      <c r="F276" s="7">
        <f t="shared" ca="1" si="40"/>
        <v>1</v>
      </c>
      <c r="G276" s="125">
        <f ca="1">IF('Simulador - 1º Pilar'!$E$99="Sí",IF('Aportaciones Flex'!$B$13&lt;'Aportaciones Flex'!E276,0,F276*$B$8/12),F276*$B$8/12)</f>
        <v>17500</v>
      </c>
      <c r="H276" s="125">
        <f t="shared" ca="1" si="37"/>
        <v>0</v>
      </c>
      <c r="I276" s="126">
        <f t="shared" ca="1" si="38"/>
        <v>4988.1230914451753</v>
      </c>
      <c r="J276" s="125">
        <f t="shared" ca="1" si="41"/>
        <v>4988.1230914451753</v>
      </c>
      <c r="K276" s="151"/>
      <c r="L276" s="125">
        <f t="shared" ca="1" si="42"/>
        <v>4988.1230914451753</v>
      </c>
      <c r="P276">
        <f t="shared" si="43"/>
        <v>269</v>
      </c>
      <c r="S276" s="126">
        <f t="shared" ca="1" si="39"/>
        <v>4988.1230914451753</v>
      </c>
      <c r="T276" s="126">
        <f t="shared" ca="1" si="44"/>
        <v>4988.1230914451753</v>
      </c>
    </row>
    <row r="277" spans="4:20">
      <c r="D277">
        <v>270</v>
      </c>
      <c r="E277" s="6">
        <f t="shared" ca="1" si="45"/>
        <v>44531</v>
      </c>
      <c r="F277" s="7">
        <f t="shared" ca="1" si="40"/>
        <v>0</v>
      </c>
      <c r="G277" s="125">
        <f ca="1">IF('Simulador - 1º Pilar'!$E$99="Sí",IF('Aportaciones Flex'!$B$13&lt;'Aportaciones Flex'!E277,0,F277*$B$8/12),F277*$B$8/12)</f>
        <v>0</v>
      </c>
      <c r="H277" s="125">
        <f t="shared" ca="1" si="37"/>
        <v>0</v>
      </c>
      <c r="I277" s="126">
        <f t="shared" ca="1" si="38"/>
        <v>0</v>
      </c>
      <c r="J277" s="125">
        <f t="shared" ca="1" si="41"/>
        <v>0</v>
      </c>
      <c r="K277" s="151"/>
      <c r="L277" s="125">
        <f t="shared" ca="1" si="42"/>
        <v>0</v>
      </c>
      <c r="P277">
        <f t="shared" si="43"/>
        <v>270</v>
      </c>
      <c r="S277" s="126">
        <f t="shared" ca="1" si="39"/>
        <v>0</v>
      </c>
      <c r="T277" s="126">
        <f t="shared" ca="1" si="44"/>
        <v>0</v>
      </c>
    </row>
    <row r="278" spans="4:20">
      <c r="D278">
        <v>271</v>
      </c>
      <c r="E278" s="6">
        <f t="shared" ca="1" si="45"/>
        <v>44501</v>
      </c>
      <c r="F278" s="7">
        <f t="shared" ca="1" si="40"/>
        <v>0</v>
      </c>
      <c r="G278" s="125">
        <f ca="1">IF('Simulador - 1º Pilar'!$E$99="Sí",IF('Aportaciones Flex'!$B$13&lt;'Aportaciones Flex'!E278,0,F278*$B$8/12),F278*$B$8/12)</f>
        <v>0</v>
      </c>
      <c r="H278" s="125">
        <f t="shared" ca="1" si="37"/>
        <v>0</v>
      </c>
      <c r="I278" s="126">
        <f t="shared" ca="1" si="38"/>
        <v>0</v>
      </c>
      <c r="J278" s="125">
        <f t="shared" ca="1" si="41"/>
        <v>0</v>
      </c>
      <c r="K278" s="151"/>
      <c r="L278" s="125">
        <f t="shared" ca="1" si="42"/>
        <v>0</v>
      </c>
      <c r="P278">
        <f t="shared" si="43"/>
        <v>271</v>
      </c>
      <c r="S278" s="126">
        <f t="shared" ca="1" si="39"/>
        <v>0</v>
      </c>
      <c r="T278" s="126">
        <f t="shared" ca="1" si="44"/>
        <v>0</v>
      </c>
    </row>
    <row r="279" spans="4:20">
      <c r="D279">
        <v>272</v>
      </c>
      <c r="E279" s="6">
        <f t="shared" ca="1" si="45"/>
        <v>44470</v>
      </c>
      <c r="F279" s="7">
        <f t="shared" ca="1" si="40"/>
        <v>0</v>
      </c>
      <c r="G279" s="125">
        <f ca="1">IF('Simulador - 1º Pilar'!$E$99="Sí",IF('Aportaciones Flex'!$B$13&lt;'Aportaciones Flex'!E279,0,F279*$B$8/12),F279*$B$8/12)</f>
        <v>0</v>
      </c>
      <c r="H279" s="125">
        <f t="shared" ca="1" si="37"/>
        <v>0</v>
      </c>
      <c r="I279" s="126">
        <f t="shared" ca="1" si="38"/>
        <v>0</v>
      </c>
      <c r="J279" s="125">
        <f t="shared" ca="1" si="41"/>
        <v>0</v>
      </c>
      <c r="K279" s="151"/>
      <c r="L279" s="125">
        <f t="shared" ca="1" si="42"/>
        <v>0</v>
      </c>
      <c r="P279">
        <f t="shared" si="43"/>
        <v>272</v>
      </c>
      <c r="S279" s="126">
        <f t="shared" ca="1" si="39"/>
        <v>0</v>
      </c>
      <c r="T279" s="126">
        <f t="shared" ca="1" si="44"/>
        <v>0</v>
      </c>
    </row>
    <row r="280" spans="4:20">
      <c r="D280">
        <v>273</v>
      </c>
      <c r="E280" s="6">
        <f t="shared" ca="1" si="45"/>
        <v>44440</v>
      </c>
      <c r="F280" s="7">
        <f t="shared" ca="1" si="40"/>
        <v>0</v>
      </c>
      <c r="G280" s="125">
        <f ca="1">IF('Simulador - 1º Pilar'!$E$99="Sí",IF('Aportaciones Flex'!$B$13&lt;'Aportaciones Flex'!E280,0,F280*$B$8/12),F280*$B$8/12)</f>
        <v>0</v>
      </c>
      <c r="H280" s="125">
        <f t="shared" ca="1" si="37"/>
        <v>0</v>
      </c>
      <c r="I280" s="126">
        <f t="shared" ca="1" si="38"/>
        <v>0</v>
      </c>
      <c r="J280" s="125">
        <f t="shared" ca="1" si="41"/>
        <v>0</v>
      </c>
      <c r="K280" s="151"/>
      <c r="L280" s="125">
        <f t="shared" ca="1" si="42"/>
        <v>0</v>
      </c>
      <c r="P280">
        <f t="shared" si="43"/>
        <v>273</v>
      </c>
      <c r="S280" s="126">
        <f t="shared" ca="1" si="39"/>
        <v>0</v>
      </c>
      <c r="T280" s="126">
        <f t="shared" ca="1" si="44"/>
        <v>0</v>
      </c>
    </row>
    <row r="281" spans="4:20">
      <c r="D281">
        <v>274</v>
      </c>
      <c r="E281" s="6">
        <f t="shared" ca="1" si="45"/>
        <v>44409</v>
      </c>
      <c r="F281" s="7">
        <f t="shared" ca="1" si="40"/>
        <v>0</v>
      </c>
      <c r="G281" s="125">
        <f ca="1">IF('Simulador - 1º Pilar'!$E$99="Sí",IF('Aportaciones Flex'!$B$13&lt;'Aportaciones Flex'!E281,0,F281*$B$8/12),F281*$B$8/12)</f>
        <v>0</v>
      </c>
      <c r="H281" s="125">
        <f t="shared" ca="1" si="37"/>
        <v>0</v>
      </c>
      <c r="I281" s="126">
        <f t="shared" ca="1" si="38"/>
        <v>0</v>
      </c>
      <c r="J281" s="125">
        <f t="shared" ca="1" si="41"/>
        <v>0</v>
      </c>
      <c r="K281" s="151"/>
      <c r="L281" s="125">
        <f t="shared" ca="1" si="42"/>
        <v>0</v>
      </c>
      <c r="P281">
        <f t="shared" si="43"/>
        <v>274</v>
      </c>
      <c r="S281" s="126">
        <f t="shared" ca="1" si="39"/>
        <v>0</v>
      </c>
      <c r="T281" s="126">
        <f t="shared" ca="1" si="44"/>
        <v>0</v>
      </c>
    </row>
    <row r="282" spans="4:20">
      <c r="D282">
        <v>275</v>
      </c>
      <c r="E282" s="6">
        <f t="shared" ca="1" si="45"/>
        <v>44378</v>
      </c>
      <c r="F282" s="7">
        <f t="shared" ca="1" si="40"/>
        <v>0</v>
      </c>
      <c r="G282" s="125">
        <f ca="1">IF('Simulador - 1º Pilar'!$E$99="Sí",IF('Aportaciones Flex'!$B$13&lt;'Aportaciones Flex'!E282,0,F282*$B$8/12),F282*$B$8/12)</f>
        <v>0</v>
      </c>
      <c r="H282" s="125">
        <f t="shared" ca="1" si="37"/>
        <v>0</v>
      </c>
      <c r="I282" s="126">
        <f t="shared" ca="1" si="38"/>
        <v>0</v>
      </c>
      <c r="J282" s="125">
        <f t="shared" ca="1" si="41"/>
        <v>0</v>
      </c>
      <c r="K282" s="151"/>
      <c r="L282" s="125">
        <f t="shared" ca="1" si="42"/>
        <v>0</v>
      </c>
      <c r="P282">
        <f t="shared" si="43"/>
        <v>275</v>
      </c>
      <c r="S282" s="126">
        <f t="shared" ca="1" si="39"/>
        <v>0</v>
      </c>
      <c r="T282" s="126">
        <f t="shared" ca="1" si="44"/>
        <v>0</v>
      </c>
    </row>
    <row r="283" spans="4:20">
      <c r="D283">
        <v>276</v>
      </c>
      <c r="E283" s="6">
        <f t="shared" ca="1" si="45"/>
        <v>44348</v>
      </c>
      <c r="F283" s="7">
        <f t="shared" ca="1" si="40"/>
        <v>0</v>
      </c>
      <c r="G283" s="125">
        <f ca="1">IF('Simulador - 1º Pilar'!$E$99="Sí",IF('Aportaciones Flex'!$B$13&lt;'Aportaciones Flex'!E283,0,F283*$B$8/12),F283*$B$8/12)</f>
        <v>0</v>
      </c>
      <c r="H283" s="125">
        <f t="shared" ca="1" si="37"/>
        <v>0</v>
      </c>
      <c r="I283" s="126">
        <f t="shared" ca="1" si="38"/>
        <v>0</v>
      </c>
      <c r="J283" s="125">
        <f t="shared" ca="1" si="41"/>
        <v>0</v>
      </c>
      <c r="K283" s="151"/>
      <c r="L283" s="125">
        <f t="shared" ca="1" si="42"/>
        <v>0</v>
      </c>
      <c r="P283">
        <f t="shared" si="43"/>
        <v>276</v>
      </c>
      <c r="S283" s="126">
        <f t="shared" ca="1" si="39"/>
        <v>0</v>
      </c>
      <c r="T283" s="126">
        <f t="shared" ca="1" si="44"/>
        <v>0</v>
      </c>
    </row>
    <row r="284" spans="4:20">
      <c r="D284">
        <v>277</v>
      </c>
      <c r="E284" s="6">
        <f t="shared" ca="1" si="45"/>
        <v>44317</v>
      </c>
      <c r="F284" s="7">
        <f t="shared" ca="1" si="40"/>
        <v>0</v>
      </c>
      <c r="G284" s="125">
        <f ca="1">IF('Simulador - 1º Pilar'!$E$99="Sí",IF('Aportaciones Flex'!$B$13&lt;'Aportaciones Flex'!E284,0,F284*$B$8/12),F284*$B$8/12)</f>
        <v>0</v>
      </c>
      <c r="H284" s="125">
        <f t="shared" ca="1" si="37"/>
        <v>0</v>
      </c>
      <c r="I284" s="126">
        <f t="shared" ca="1" si="38"/>
        <v>0</v>
      </c>
      <c r="J284" s="125">
        <f t="shared" ca="1" si="41"/>
        <v>0</v>
      </c>
      <c r="K284" s="151"/>
      <c r="L284" s="125">
        <f t="shared" ca="1" si="42"/>
        <v>0</v>
      </c>
      <c r="P284">
        <f t="shared" si="43"/>
        <v>277</v>
      </c>
      <c r="S284" s="126">
        <f t="shared" ca="1" si="39"/>
        <v>0</v>
      </c>
      <c r="T284" s="126">
        <f t="shared" ca="1" si="44"/>
        <v>0</v>
      </c>
    </row>
    <row r="285" spans="4:20">
      <c r="D285">
        <v>278</v>
      </c>
      <c r="E285" s="6">
        <f t="shared" ca="1" si="45"/>
        <v>44287</v>
      </c>
      <c r="F285" s="7">
        <f t="shared" ca="1" si="40"/>
        <v>0</v>
      </c>
      <c r="G285" s="125">
        <f ca="1">IF('Simulador - 1º Pilar'!$E$99="Sí",IF('Aportaciones Flex'!$B$13&lt;'Aportaciones Flex'!E285,0,F285*$B$8/12),F285*$B$8/12)</f>
        <v>0</v>
      </c>
      <c r="H285" s="125">
        <f t="shared" ca="1" si="37"/>
        <v>0</v>
      </c>
      <c r="I285" s="126">
        <f t="shared" ca="1" si="38"/>
        <v>0</v>
      </c>
      <c r="J285" s="125">
        <f t="shared" ca="1" si="41"/>
        <v>0</v>
      </c>
      <c r="K285" s="151"/>
      <c r="L285" s="125">
        <f t="shared" ca="1" si="42"/>
        <v>0</v>
      </c>
      <c r="P285">
        <f t="shared" si="43"/>
        <v>278</v>
      </c>
      <c r="S285" s="126">
        <f t="shared" ca="1" si="39"/>
        <v>0</v>
      </c>
      <c r="T285" s="126">
        <f t="shared" ca="1" si="44"/>
        <v>0</v>
      </c>
    </row>
    <row r="286" spans="4:20">
      <c r="D286">
        <v>279</v>
      </c>
      <c r="E286" s="6">
        <f t="shared" ca="1" si="45"/>
        <v>44256</v>
      </c>
      <c r="F286" s="7">
        <f t="shared" ca="1" si="40"/>
        <v>0</v>
      </c>
      <c r="G286" s="125">
        <f ca="1">IF('Simulador - 1º Pilar'!$E$99="Sí",IF('Aportaciones Flex'!$B$13&lt;'Aportaciones Flex'!E286,0,F286*$B$8/12),F286*$B$8/12)</f>
        <v>0</v>
      </c>
      <c r="H286" s="125">
        <f t="shared" ca="1" si="37"/>
        <v>0</v>
      </c>
      <c r="I286" s="126">
        <f t="shared" ca="1" si="38"/>
        <v>0</v>
      </c>
      <c r="J286" s="125">
        <f t="shared" ca="1" si="41"/>
        <v>0</v>
      </c>
      <c r="K286" s="151"/>
      <c r="L286" s="125">
        <f t="shared" ca="1" si="42"/>
        <v>0</v>
      </c>
      <c r="P286">
        <f t="shared" si="43"/>
        <v>279</v>
      </c>
      <c r="S286" s="126">
        <f t="shared" ca="1" si="39"/>
        <v>0</v>
      </c>
      <c r="T286" s="126">
        <f t="shared" ca="1" si="44"/>
        <v>0</v>
      </c>
    </row>
    <row r="287" spans="4:20">
      <c r="D287">
        <v>280</v>
      </c>
      <c r="E287" s="6">
        <f t="shared" ca="1" si="45"/>
        <v>44228</v>
      </c>
      <c r="F287" s="7">
        <f t="shared" ca="1" si="40"/>
        <v>0</v>
      </c>
      <c r="G287" s="125">
        <f ca="1">IF('Simulador - 1º Pilar'!$E$99="Sí",IF('Aportaciones Flex'!$B$13&lt;'Aportaciones Flex'!E287,0,F287*$B$8/12),F287*$B$8/12)</f>
        <v>0</v>
      </c>
      <c r="H287" s="125">
        <f t="shared" ca="1" si="37"/>
        <v>0</v>
      </c>
      <c r="I287" s="126">
        <f t="shared" ca="1" si="38"/>
        <v>0</v>
      </c>
      <c r="J287" s="125">
        <f t="shared" ca="1" si="41"/>
        <v>0</v>
      </c>
      <c r="K287" s="151"/>
      <c r="L287" s="125">
        <f t="shared" ca="1" si="42"/>
        <v>0</v>
      </c>
      <c r="P287">
        <f t="shared" si="43"/>
        <v>280</v>
      </c>
      <c r="S287" s="126">
        <f t="shared" ca="1" si="39"/>
        <v>0</v>
      </c>
      <c r="T287" s="126">
        <f t="shared" ca="1" si="44"/>
        <v>0</v>
      </c>
    </row>
    <row r="288" spans="4:20">
      <c r="D288">
        <v>281</v>
      </c>
      <c r="E288" s="6">
        <f t="shared" ca="1" si="45"/>
        <v>44197</v>
      </c>
      <c r="F288" s="7">
        <f t="shared" ca="1" si="40"/>
        <v>0</v>
      </c>
      <c r="G288" s="125">
        <f ca="1">IF('Simulador - 1º Pilar'!$E$99="Sí",IF('Aportaciones Flex'!$B$13&lt;'Aportaciones Flex'!E288,0,F288*$B$8/12),F288*$B$8/12)</f>
        <v>0</v>
      </c>
      <c r="H288" s="125">
        <f t="shared" ca="1" si="37"/>
        <v>0</v>
      </c>
      <c r="I288" s="126">
        <f t="shared" ca="1" si="38"/>
        <v>0</v>
      </c>
      <c r="J288" s="125">
        <f t="shared" ca="1" si="41"/>
        <v>0</v>
      </c>
      <c r="K288" s="151"/>
      <c r="L288" s="125">
        <f t="shared" ca="1" si="42"/>
        <v>0</v>
      </c>
      <c r="P288">
        <f t="shared" si="43"/>
        <v>281</v>
      </c>
      <c r="S288" s="126">
        <f t="shared" ca="1" si="39"/>
        <v>0</v>
      </c>
      <c r="T288" s="126">
        <f t="shared" ca="1" si="44"/>
        <v>0</v>
      </c>
    </row>
    <row r="289" spans="4:20">
      <c r="D289">
        <v>282</v>
      </c>
      <c r="E289" s="6">
        <f t="shared" ca="1" si="45"/>
        <v>44166</v>
      </c>
      <c r="F289" s="7">
        <f t="shared" ca="1" si="40"/>
        <v>0</v>
      </c>
      <c r="G289" s="125">
        <f ca="1">IF('Simulador - 1º Pilar'!$E$99="Sí",IF('Aportaciones Flex'!$B$13&lt;'Aportaciones Flex'!E289,0,F289*$B$8/12),F289*$B$8/12)</f>
        <v>0</v>
      </c>
      <c r="H289" s="125">
        <f t="shared" ca="1" si="37"/>
        <v>0</v>
      </c>
      <c r="I289" s="126">
        <f t="shared" ca="1" si="38"/>
        <v>0</v>
      </c>
      <c r="J289" s="125">
        <f t="shared" ca="1" si="41"/>
        <v>0</v>
      </c>
      <c r="K289" s="151"/>
      <c r="L289" s="125">
        <f t="shared" ca="1" si="42"/>
        <v>0</v>
      </c>
      <c r="P289">
        <f t="shared" si="43"/>
        <v>282</v>
      </c>
      <c r="S289" s="126">
        <f t="shared" ca="1" si="39"/>
        <v>0</v>
      </c>
      <c r="T289" s="126">
        <f t="shared" ca="1" si="44"/>
        <v>0</v>
      </c>
    </row>
    <row r="290" spans="4:20">
      <c r="D290">
        <v>283</v>
      </c>
      <c r="E290" s="6">
        <f t="shared" ca="1" si="45"/>
        <v>44136</v>
      </c>
      <c r="F290" s="7">
        <f t="shared" ca="1" si="40"/>
        <v>0</v>
      </c>
      <c r="G290" s="125">
        <f ca="1">IF('Simulador - 1º Pilar'!$E$99="Sí",IF('Aportaciones Flex'!$B$13&lt;'Aportaciones Flex'!E290,0,F290*$B$8/12),F290*$B$8/12)</f>
        <v>0</v>
      </c>
      <c r="H290" s="125">
        <f t="shared" ca="1" si="37"/>
        <v>0</v>
      </c>
      <c r="I290" s="126">
        <f t="shared" ca="1" si="38"/>
        <v>0</v>
      </c>
      <c r="J290" s="125">
        <f t="shared" ca="1" si="41"/>
        <v>0</v>
      </c>
      <c r="K290" s="151"/>
      <c r="L290" s="125">
        <f t="shared" ca="1" si="42"/>
        <v>0</v>
      </c>
      <c r="P290">
        <f t="shared" si="43"/>
        <v>283</v>
      </c>
      <c r="S290" s="126">
        <f t="shared" ca="1" si="39"/>
        <v>0</v>
      </c>
      <c r="T290" s="126">
        <f t="shared" ca="1" si="44"/>
        <v>0</v>
      </c>
    </row>
    <row r="291" spans="4:20">
      <c r="D291">
        <v>284</v>
      </c>
      <c r="E291" s="6">
        <f t="shared" ca="1" si="45"/>
        <v>44105</v>
      </c>
      <c r="F291" s="7">
        <f t="shared" ca="1" si="40"/>
        <v>0</v>
      </c>
      <c r="G291" s="125">
        <f ca="1">IF('Simulador - 1º Pilar'!$E$99="Sí",IF('Aportaciones Flex'!$B$13&lt;'Aportaciones Flex'!E291,0,F291*$B$8/12),F291*$B$8/12)</f>
        <v>0</v>
      </c>
      <c r="H291" s="125">
        <f t="shared" ca="1" si="37"/>
        <v>0</v>
      </c>
      <c r="I291" s="126">
        <f t="shared" ca="1" si="38"/>
        <v>0</v>
      </c>
      <c r="J291" s="125">
        <f t="shared" ca="1" si="41"/>
        <v>0</v>
      </c>
      <c r="K291" s="151"/>
      <c r="L291" s="125">
        <f t="shared" ca="1" si="42"/>
        <v>0</v>
      </c>
      <c r="P291">
        <f t="shared" si="43"/>
        <v>284</v>
      </c>
      <c r="S291" s="126">
        <f t="shared" ca="1" si="39"/>
        <v>0</v>
      </c>
      <c r="T291" s="126">
        <f t="shared" ca="1" si="44"/>
        <v>0</v>
      </c>
    </row>
    <row r="292" spans="4:20">
      <c r="D292">
        <v>285</v>
      </c>
      <c r="E292" s="6">
        <f t="shared" ca="1" si="45"/>
        <v>44075</v>
      </c>
      <c r="F292" s="7">
        <f t="shared" ca="1" si="40"/>
        <v>0</v>
      </c>
      <c r="G292" s="125">
        <f ca="1">IF('Simulador - 1º Pilar'!$E$99="Sí",IF('Aportaciones Flex'!$B$13&lt;'Aportaciones Flex'!E292,0,F292*$B$8/12),F292*$B$8/12)</f>
        <v>0</v>
      </c>
      <c r="H292" s="125">
        <f t="shared" ca="1" si="37"/>
        <v>0</v>
      </c>
      <c r="I292" s="126">
        <f t="shared" ca="1" si="38"/>
        <v>0</v>
      </c>
      <c r="J292" s="125">
        <f t="shared" ca="1" si="41"/>
        <v>0</v>
      </c>
      <c r="K292" s="151"/>
      <c r="L292" s="125">
        <f t="shared" ca="1" si="42"/>
        <v>0</v>
      </c>
      <c r="P292">
        <f t="shared" si="43"/>
        <v>285</v>
      </c>
      <c r="S292" s="126">
        <f t="shared" ca="1" si="39"/>
        <v>0</v>
      </c>
      <c r="T292" s="126">
        <f t="shared" ca="1" si="44"/>
        <v>0</v>
      </c>
    </row>
    <row r="293" spans="4:20">
      <c r="D293">
        <v>286</v>
      </c>
      <c r="E293" s="6">
        <f t="shared" ca="1" si="45"/>
        <v>44044</v>
      </c>
      <c r="F293" s="7">
        <f t="shared" ca="1" si="40"/>
        <v>0</v>
      </c>
      <c r="G293" s="125">
        <f ca="1">IF('Simulador - 1º Pilar'!$E$99="Sí",IF('Aportaciones Flex'!$B$13&lt;'Aportaciones Flex'!E293,0,F293*$B$8/12),F293*$B$8/12)</f>
        <v>0</v>
      </c>
      <c r="H293" s="125">
        <f t="shared" ca="1" si="37"/>
        <v>0</v>
      </c>
      <c r="I293" s="126">
        <f t="shared" ca="1" si="38"/>
        <v>0</v>
      </c>
      <c r="J293" s="125">
        <f t="shared" ca="1" si="41"/>
        <v>0</v>
      </c>
      <c r="K293" s="151"/>
      <c r="L293" s="125">
        <f t="shared" ca="1" si="42"/>
        <v>0</v>
      </c>
      <c r="P293">
        <f t="shared" si="43"/>
        <v>286</v>
      </c>
      <c r="S293" s="126">
        <f t="shared" ca="1" si="39"/>
        <v>0</v>
      </c>
      <c r="T293" s="126">
        <f t="shared" ca="1" si="44"/>
        <v>0</v>
      </c>
    </row>
    <row r="294" spans="4:20">
      <c r="D294">
        <v>287</v>
      </c>
      <c r="E294" s="6">
        <f t="shared" ca="1" si="45"/>
        <v>44013</v>
      </c>
      <c r="F294" s="7">
        <f t="shared" ca="1" si="40"/>
        <v>0</v>
      </c>
      <c r="G294" s="125">
        <f ca="1">IF('Simulador - 1º Pilar'!$E$99="Sí",IF('Aportaciones Flex'!$B$13&lt;'Aportaciones Flex'!E294,0,F294*$B$8/12),F294*$B$8/12)</f>
        <v>0</v>
      </c>
      <c r="H294" s="125">
        <f t="shared" ca="1" si="37"/>
        <v>0</v>
      </c>
      <c r="I294" s="126">
        <f t="shared" ca="1" si="38"/>
        <v>0</v>
      </c>
      <c r="J294" s="125">
        <f t="shared" ca="1" si="41"/>
        <v>0</v>
      </c>
      <c r="K294" s="151"/>
      <c r="L294" s="125">
        <f t="shared" ca="1" si="42"/>
        <v>0</v>
      </c>
      <c r="P294">
        <f t="shared" si="43"/>
        <v>287</v>
      </c>
      <c r="S294" s="126">
        <f t="shared" ca="1" si="39"/>
        <v>0</v>
      </c>
      <c r="T294" s="126">
        <f t="shared" ca="1" si="44"/>
        <v>0</v>
      </c>
    </row>
    <row r="295" spans="4:20">
      <c r="D295">
        <v>288</v>
      </c>
      <c r="E295" s="6">
        <f t="shared" ca="1" si="45"/>
        <v>43983</v>
      </c>
      <c r="F295" s="7">
        <f t="shared" ca="1" si="40"/>
        <v>0</v>
      </c>
      <c r="G295" s="125">
        <f ca="1">IF('Simulador - 1º Pilar'!$E$99="Sí",IF('Aportaciones Flex'!$B$13&lt;'Aportaciones Flex'!E295,0,F295*$B$8/12),F295*$B$8/12)</f>
        <v>0</v>
      </c>
      <c r="H295" s="125">
        <f t="shared" ca="1" si="37"/>
        <v>0</v>
      </c>
      <c r="I295" s="126">
        <f t="shared" ca="1" si="38"/>
        <v>0</v>
      </c>
      <c r="J295" s="125">
        <f t="shared" ca="1" si="41"/>
        <v>0</v>
      </c>
      <c r="K295" s="151"/>
      <c r="L295" s="125">
        <f t="shared" ca="1" si="42"/>
        <v>0</v>
      </c>
      <c r="P295">
        <f t="shared" si="43"/>
        <v>288</v>
      </c>
      <c r="S295" s="126">
        <f t="shared" ca="1" si="39"/>
        <v>0</v>
      </c>
      <c r="T295" s="126">
        <f t="shared" ca="1" si="44"/>
        <v>0</v>
      </c>
    </row>
    <row r="296" spans="4:20">
      <c r="D296">
        <v>289</v>
      </c>
      <c r="E296" s="6">
        <f t="shared" ca="1" si="45"/>
        <v>43952</v>
      </c>
      <c r="F296" s="7">
        <f t="shared" ca="1" si="40"/>
        <v>0</v>
      </c>
      <c r="G296" s="125">
        <f ca="1">IF('Simulador - 1º Pilar'!$E$99="Sí",IF('Aportaciones Flex'!$B$13&lt;'Aportaciones Flex'!E296,0,F296*$B$8/12),F296*$B$8/12)</f>
        <v>0</v>
      </c>
      <c r="H296" s="125">
        <f t="shared" ca="1" si="37"/>
        <v>0</v>
      </c>
      <c r="I296" s="126">
        <f t="shared" ca="1" si="38"/>
        <v>0</v>
      </c>
      <c r="J296" s="125">
        <f t="shared" ca="1" si="41"/>
        <v>0</v>
      </c>
      <c r="K296" s="151"/>
      <c r="L296" s="125">
        <f t="shared" ca="1" si="42"/>
        <v>0</v>
      </c>
      <c r="P296">
        <f t="shared" si="43"/>
        <v>289</v>
      </c>
      <c r="S296" s="126">
        <f t="shared" ca="1" si="39"/>
        <v>0</v>
      </c>
      <c r="T296" s="126">
        <f t="shared" ca="1" si="44"/>
        <v>0</v>
      </c>
    </row>
    <row r="297" spans="4:20">
      <c r="D297">
        <v>290</v>
      </c>
      <c r="E297" s="6">
        <f t="shared" ca="1" si="45"/>
        <v>43922</v>
      </c>
      <c r="F297" s="7">
        <f t="shared" ca="1" si="40"/>
        <v>0</v>
      </c>
      <c r="G297" s="125">
        <f ca="1">IF('Simulador - 1º Pilar'!$E$99="Sí",IF('Aportaciones Flex'!$B$13&lt;'Aportaciones Flex'!E297,0,F297*$B$8/12),F297*$B$8/12)</f>
        <v>0</v>
      </c>
      <c r="H297" s="125">
        <f t="shared" ca="1" si="37"/>
        <v>0</v>
      </c>
      <c r="I297" s="126">
        <f t="shared" ca="1" si="38"/>
        <v>0</v>
      </c>
      <c r="J297" s="125">
        <f t="shared" ca="1" si="41"/>
        <v>0</v>
      </c>
      <c r="K297" s="151"/>
      <c r="L297" s="125">
        <f t="shared" ca="1" si="42"/>
        <v>0</v>
      </c>
      <c r="P297">
        <f t="shared" si="43"/>
        <v>290</v>
      </c>
      <c r="S297" s="126">
        <f t="shared" ca="1" si="39"/>
        <v>0</v>
      </c>
      <c r="T297" s="126">
        <f t="shared" ca="1" si="44"/>
        <v>0</v>
      </c>
    </row>
    <row r="298" spans="4:20">
      <c r="D298">
        <v>291</v>
      </c>
      <c r="E298" s="6">
        <f t="shared" ca="1" si="45"/>
        <v>43891</v>
      </c>
      <c r="F298" s="7">
        <f t="shared" ca="1" si="40"/>
        <v>0</v>
      </c>
      <c r="G298" s="125">
        <f ca="1">IF('Simulador - 1º Pilar'!$E$99="Sí",IF('Aportaciones Flex'!$B$13&lt;'Aportaciones Flex'!E298,0,F298*$B$8/12),F298*$B$8/12)</f>
        <v>0</v>
      </c>
      <c r="H298" s="125">
        <f t="shared" ca="1" si="37"/>
        <v>0</v>
      </c>
      <c r="I298" s="126">
        <f t="shared" ca="1" si="38"/>
        <v>0</v>
      </c>
      <c r="J298" s="125">
        <f t="shared" ca="1" si="41"/>
        <v>0</v>
      </c>
      <c r="K298" s="151"/>
      <c r="L298" s="125">
        <f t="shared" ca="1" si="42"/>
        <v>0</v>
      </c>
      <c r="P298">
        <f t="shared" si="43"/>
        <v>291</v>
      </c>
      <c r="S298" s="126">
        <f t="shared" ca="1" si="39"/>
        <v>0</v>
      </c>
      <c r="T298" s="126">
        <f t="shared" ca="1" si="44"/>
        <v>0</v>
      </c>
    </row>
    <row r="299" spans="4:20">
      <c r="D299">
        <v>292</v>
      </c>
      <c r="E299" s="6">
        <f t="shared" ca="1" si="45"/>
        <v>43862</v>
      </c>
      <c r="F299" s="7">
        <f t="shared" ca="1" si="40"/>
        <v>0</v>
      </c>
      <c r="G299" s="125">
        <f ca="1">IF('Simulador - 1º Pilar'!$E$99="Sí",IF('Aportaciones Flex'!$B$13&lt;'Aportaciones Flex'!E299,0,F299*$B$8/12),F299*$B$8/12)</f>
        <v>0</v>
      </c>
      <c r="H299" s="125">
        <f t="shared" ca="1" si="37"/>
        <v>0</v>
      </c>
      <c r="I299" s="126">
        <f t="shared" ca="1" si="38"/>
        <v>0</v>
      </c>
      <c r="J299" s="125">
        <f t="shared" ca="1" si="41"/>
        <v>0</v>
      </c>
      <c r="K299" s="151"/>
      <c r="L299" s="125">
        <f t="shared" ca="1" si="42"/>
        <v>0</v>
      </c>
      <c r="P299">
        <f t="shared" si="43"/>
        <v>292</v>
      </c>
      <c r="S299" s="126">
        <f t="shared" ca="1" si="39"/>
        <v>0</v>
      </c>
      <c r="T299" s="126">
        <f t="shared" ca="1" si="44"/>
        <v>0</v>
      </c>
    </row>
    <row r="300" spans="4:20">
      <c r="D300">
        <v>293</v>
      </c>
      <c r="E300" s="6">
        <f t="shared" ca="1" si="45"/>
        <v>43831</v>
      </c>
      <c r="F300" s="7">
        <f t="shared" ca="1" si="40"/>
        <v>0</v>
      </c>
      <c r="G300" s="125">
        <f ca="1">IF('Simulador - 1º Pilar'!$E$99="Sí",IF('Aportaciones Flex'!$B$13&lt;'Aportaciones Flex'!E300,0,F300*$B$8/12),F300*$B$8/12)</f>
        <v>0</v>
      </c>
      <c r="H300" s="125">
        <f t="shared" ca="1" si="37"/>
        <v>0</v>
      </c>
      <c r="I300" s="126">
        <f t="shared" ca="1" si="38"/>
        <v>0</v>
      </c>
      <c r="J300" s="125">
        <f t="shared" ca="1" si="41"/>
        <v>0</v>
      </c>
      <c r="K300" s="151"/>
      <c r="L300" s="125">
        <f t="shared" ca="1" si="42"/>
        <v>0</v>
      </c>
      <c r="P300">
        <f t="shared" si="43"/>
        <v>293</v>
      </c>
      <c r="S300" s="126">
        <f t="shared" ca="1" si="39"/>
        <v>0</v>
      </c>
      <c r="T300" s="126">
        <f t="shared" ca="1" si="44"/>
        <v>0</v>
      </c>
    </row>
    <row r="301" spans="4:20">
      <c r="D301">
        <v>294</v>
      </c>
      <c r="E301" s="6">
        <f t="shared" ca="1" si="45"/>
        <v>43800</v>
      </c>
      <c r="F301" s="7">
        <f t="shared" ca="1" si="40"/>
        <v>0</v>
      </c>
      <c r="G301" s="125">
        <f ca="1">IF('Simulador - 1º Pilar'!$E$99="Sí",IF('Aportaciones Flex'!$B$13&lt;'Aportaciones Flex'!E301,0,F301*$B$8/12),F301*$B$8/12)</f>
        <v>0</v>
      </c>
      <c r="H301" s="125">
        <f t="shared" ca="1" si="37"/>
        <v>0</v>
      </c>
      <c r="I301" s="126">
        <f t="shared" ca="1" si="38"/>
        <v>0</v>
      </c>
      <c r="J301" s="125">
        <f t="shared" ca="1" si="41"/>
        <v>0</v>
      </c>
      <c r="K301" s="151"/>
      <c r="L301" s="125">
        <f t="shared" ca="1" si="42"/>
        <v>0</v>
      </c>
      <c r="P301">
        <f t="shared" si="43"/>
        <v>294</v>
      </c>
      <c r="S301" s="126">
        <f t="shared" ca="1" si="39"/>
        <v>0</v>
      </c>
      <c r="T301" s="126">
        <f t="shared" ca="1" si="44"/>
        <v>0</v>
      </c>
    </row>
    <row r="302" spans="4:20">
      <c r="D302">
        <v>295</v>
      </c>
      <c r="E302" s="6">
        <f t="shared" ca="1" si="45"/>
        <v>43770</v>
      </c>
      <c r="F302" s="7">
        <f t="shared" ca="1" si="40"/>
        <v>0</v>
      </c>
      <c r="G302" s="125">
        <f ca="1">IF('Simulador - 1º Pilar'!$E$99="Sí",IF('Aportaciones Flex'!$B$13&lt;'Aportaciones Flex'!E302,0,F302*$B$8/12),F302*$B$8/12)</f>
        <v>0</v>
      </c>
      <c r="H302" s="125">
        <f t="shared" ca="1" si="37"/>
        <v>0</v>
      </c>
      <c r="I302" s="126">
        <f t="shared" ca="1" si="38"/>
        <v>0</v>
      </c>
      <c r="J302" s="125">
        <f t="shared" ca="1" si="41"/>
        <v>0</v>
      </c>
      <c r="K302" s="151"/>
      <c r="L302" s="125">
        <f t="shared" ca="1" si="42"/>
        <v>0</v>
      </c>
      <c r="P302">
        <f t="shared" si="43"/>
        <v>295</v>
      </c>
      <c r="S302" s="126">
        <f t="shared" ca="1" si="39"/>
        <v>0</v>
      </c>
      <c r="T302" s="126">
        <f t="shared" ca="1" si="44"/>
        <v>0</v>
      </c>
    </row>
    <row r="303" spans="4:20">
      <c r="D303">
        <v>296</v>
      </c>
      <c r="E303" s="6">
        <f t="shared" ca="1" si="45"/>
        <v>43739</v>
      </c>
      <c r="F303" s="7">
        <f t="shared" ca="1" si="40"/>
        <v>0</v>
      </c>
      <c r="G303" s="125">
        <f ca="1">IF('Simulador - 1º Pilar'!$E$99="Sí",IF('Aportaciones Flex'!$B$13&lt;'Aportaciones Flex'!E303,0,F303*$B$8/12),F303*$B$8/12)</f>
        <v>0</v>
      </c>
      <c r="H303" s="125">
        <f t="shared" ca="1" si="37"/>
        <v>0</v>
      </c>
      <c r="I303" s="126">
        <f t="shared" ca="1" si="38"/>
        <v>0</v>
      </c>
      <c r="J303" s="125">
        <f t="shared" ca="1" si="41"/>
        <v>0</v>
      </c>
      <c r="K303" s="151"/>
      <c r="L303" s="125">
        <f t="shared" ca="1" si="42"/>
        <v>0</v>
      </c>
      <c r="P303">
        <f t="shared" si="43"/>
        <v>296</v>
      </c>
      <c r="S303" s="126">
        <f t="shared" ca="1" si="39"/>
        <v>0</v>
      </c>
      <c r="T303" s="126">
        <f t="shared" ca="1" si="44"/>
        <v>0</v>
      </c>
    </row>
    <row r="304" spans="4:20">
      <c r="D304">
        <v>297</v>
      </c>
      <c r="E304" s="6">
        <f t="shared" ca="1" si="45"/>
        <v>43709</v>
      </c>
      <c r="F304" s="7">
        <f t="shared" ca="1" si="40"/>
        <v>0</v>
      </c>
      <c r="G304" s="125">
        <f ca="1">IF('Simulador - 1º Pilar'!$E$99="Sí",IF('Aportaciones Flex'!$B$13&lt;'Aportaciones Flex'!E304,0,F304*$B$8/12),F304*$B$8/12)</f>
        <v>0</v>
      </c>
      <c r="H304" s="125">
        <f t="shared" ca="1" si="37"/>
        <v>0</v>
      </c>
      <c r="I304" s="126">
        <f t="shared" ca="1" si="38"/>
        <v>0</v>
      </c>
      <c r="J304" s="125">
        <f t="shared" ca="1" si="41"/>
        <v>0</v>
      </c>
      <c r="K304" s="151"/>
      <c r="L304" s="125">
        <f t="shared" ca="1" si="42"/>
        <v>0</v>
      </c>
      <c r="P304">
        <f t="shared" si="43"/>
        <v>297</v>
      </c>
      <c r="S304" s="126">
        <f t="shared" ca="1" si="39"/>
        <v>0</v>
      </c>
      <c r="T304" s="126">
        <f t="shared" ca="1" si="44"/>
        <v>0</v>
      </c>
    </row>
    <row r="305" spans="4:20">
      <c r="D305">
        <v>298</v>
      </c>
      <c r="E305" s="6">
        <f t="shared" ca="1" si="45"/>
        <v>43678</v>
      </c>
      <c r="F305" s="7">
        <f t="shared" ca="1" si="40"/>
        <v>0</v>
      </c>
      <c r="G305" s="125">
        <f ca="1">IF('Simulador - 1º Pilar'!$E$99="Sí",IF('Aportaciones Flex'!$B$13&lt;'Aportaciones Flex'!E305,0,F305*$B$8/12),F305*$B$8/12)</f>
        <v>0</v>
      </c>
      <c r="H305" s="125">
        <f t="shared" ca="1" si="37"/>
        <v>0</v>
      </c>
      <c r="I305" s="126">
        <f t="shared" ca="1" si="38"/>
        <v>0</v>
      </c>
      <c r="J305" s="125">
        <f t="shared" ca="1" si="41"/>
        <v>0</v>
      </c>
      <c r="K305" s="151"/>
      <c r="L305" s="125">
        <f t="shared" ca="1" si="42"/>
        <v>0</v>
      </c>
      <c r="P305">
        <f t="shared" si="43"/>
        <v>298</v>
      </c>
      <c r="S305" s="126">
        <f t="shared" ca="1" si="39"/>
        <v>0</v>
      </c>
      <c r="T305" s="126">
        <f t="shared" ca="1" si="44"/>
        <v>0</v>
      </c>
    </row>
    <row r="306" spans="4:20">
      <c r="D306">
        <v>299</v>
      </c>
      <c r="E306" s="6">
        <f t="shared" ca="1" si="45"/>
        <v>43647</v>
      </c>
      <c r="F306" s="7">
        <f t="shared" ca="1" si="40"/>
        <v>0</v>
      </c>
      <c r="G306" s="125">
        <f ca="1">IF('Simulador - 1º Pilar'!$E$99="Sí",IF('Aportaciones Flex'!$B$13&lt;'Aportaciones Flex'!E306,0,F306*$B$8/12),F306*$B$8/12)</f>
        <v>0</v>
      </c>
      <c r="H306" s="125">
        <f t="shared" ca="1" si="37"/>
        <v>0</v>
      </c>
      <c r="I306" s="126">
        <f t="shared" ca="1" si="38"/>
        <v>0</v>
      </c>
      <c r="J306" s="125">
        <f t="shared" ca="1" si="41"/>
        <v>0</v>
      </c>
      <c r="K306" s="151"/>
      <c r="L306" s="125">
        <f t="shared" ca="1" si="42"/>
        <v>0</v>
      </c>
      <c r="P306">
        <f t="shared" si="43"/>
        <v>299</v>
      </c>
      <c r="S306" s="126">
        <f t="shared" ca="1" si="39"/>
        <v>0</v>
      </c>
      <c r="T306" s="126">
        <f t="shared" ca="1" si="44"/>
        <v>0</v>
      </c>
    </row>
    <row r="307" spans="4:20">
      <c r="D307">
        <v>300</v>
      </c>
      <c r="E307" s="6">
        <f t="shared" ca="1" si="45"/>
        <v>43617</v>
      </c>
      <c r="F307" s="7">
        <f t="shared" ca="1" si="40"/>
        <v>0</v>
      </c>
      <c r="G307" s="125">
        <f ca="1">IF('Simulador - 1º Pilar'!$E$99="Sí",IF('Aportaciones Flex'!$B$13&lt;'Aportaciones Flex'!E307,0,F307*$B$8/12),F307*$B$8/12)</f>
        <v>0</v>
      </c>
      <c r="H307" s="125">
        <f t="shared" ca="1" si="37"/>
        <v>0</v>
      </c>
      <c r="I307" s="126">
        <f t="shared" ca="1" si="38"/>
        <v>0</v>
      </c>
      <c r="J307" s="125">
        <f t="shared" ca="1" si="41"/>
        <v>0</v>
      </c>
      <c r="K307" s="151"/>
      <c r="L307" s="125">
        <f t="shared" ca="1" si="42"/>
        <v>0</v>
      </c>
      <c r="P307">
        <f t="shared" si="43"/>
        <v>300</v>
      </c>
      <c r="S307" s="126">
        <f t="shared" ca="1" si="39"/>
        <v>0</v>
      </c>
      <c r="T307" s="126">
        <f t="shared" ca="1" si="44"/>
        <v>0</v>
      </c>
    </row>
    <row r="308" spans="4:20">
      <c r="D308">
        <v>301</v>
      </c>
      <c r="E308" s="6">
        <f t="shared" ca="1" si="45"/>
        <v>43586</v>
      </c>
      <c r="F308" s="7">
        <f t="shared" ca="1" si="40"/>
        <v>0</v>
      </c>
      <c r="G308" s="125">
        <f ca="1">IF('Simulador - 1º Pilar'!$E$99="Sí",IF('Aportaciones Flex'!$B$13&lt;'Aportaciones Flex'!E308,0,F308*$B$8/12),F308*$B$8/12)</f>
        <v>0</v>
      </c>
      <c r="H308" s="125">
        <f t="shared" ca="1" si="37"/>
        <v>0</v>
      </c>
      <c r="I308" s="126">
        <f t="shared" ca="1" si="38"/>
        <v>0</v>
      </c>
      <c r="J308" s="125">
        <f t="shared" ca="1" si="41"/>
        <v>0</v>
      </c>
      <c r="K308" s="151"/>
      <c r="L308" s="125">
        <f t="shared" ca="1" si="42"/>
        <v>0</v>
      </c>
      <c r="P308">
        <f t="shared" si="43"/>
        <v>301</v>
      </c>
      <c r="S308" s="126">
        <f t="shared" ca="1" si="39"/>
        <v>0</v>
      </c>
      <c r="T308" s="126">
        <f t="shared" ca="1" si="44"/>
        <v>0</v>
      </c>
    </row>
    <row r="309" spans="4:20">
      <c r="D309">
        <v>302</v>
      </c>
      <c r="E309" s="6">
        <f t="shared" ca="1" si="45"/>
        <v>43556</v>
      </c>
      <c r="F309" s="7">
        <f t="shared" ca="1" si="40"/>
        <v>0</v>
      </c>
      <c r="G309" s="125">
        <f ca="1">IF('Simulador - 1º Pilar'!$E$99="Sí",IF('Aportaciones Flex'!$B$13&lt;'Aportaciones Flex'!E309,0,F309*$B$8/12),F309*$B$8/12)</f>
        <v>0</v>
      </c>
      <c r="H309" s="125">
        <f t="shared" ca="1" si="37"/>
        <v>0</v>
      </c>
      <c r="I309" s="126">
        <f t="shared" ca="1" si="38"/>
        <v>0</v>
      </c>
      <c r="J309" s="125">
        <f t="shared" ca="1" si="41"/>
        <v>0</v>
      </c>
      <c r="K309" s="151"/>
      <c r="L309" s="125">
        <f t="shared" ca="1" si="42"/>
        <v>0</v>
      </c>
      <c r="P309">
        <f t="shared" si="43"/>
        <v>302</v>
      </c>
      <c r="S309" s="126">
        <f t="shared" ca="1" si="39"/>
        <v>0</v>
      </c>
      <c r="T309" s="126">
        <f t="shared" ca="1" si="44"/>
        <v>0</v>
      </c>
    </row>
    <row r="310" spans="4:20">
      <c r="D310">
        <v>303</v>
      </c>
      <c r="E310" s="6">
        <f t="shared" ca="1" si="45"/>
        <v>43525</v>
      </c>
      <c r="F310" s="7">
        <f t="shared" ca="1" si="40"/>
        <v>0</v>
      </c>
      <c r="G310" s="125">
        <f ca="1">IF('Simulador - 1º Pilar'!$E$99="Sí",IF('Aportaciones Flex'!$B$13&lt;'Aportaciones Flex'!E310,0,F310*$B$8/12),F310*$B$8/12)</f>
        <v>0</v>
      </c>
      <c r="H310" s="125">
        <f t="shared" ca="1" si="37"/>
        <v>0</v>
      </c>
      <c r="I310" s="126">
        <f t="shared" ca="1" si="38"/>
        <v>0</v>
      </c>
      <c r="J310" s="125">
        <f t="shared" ca="1" si="41"/>
        <v>0</v>
      </c>
      <c r="K310" s="151"/>
      <c r="L310" s="125">
        <f t="shared" ca="1" si="42"/>
        <v>0</v>
      </c>
      <c r="P310">
        <f t="shared" si="43"/>
        <v>303</v>
      </c>
      <c r="S310" s="126">
        <f t="shared" ca="1" si="39"/>
        <v>0</v>
      </c>
      <c r="T310" s="126">
        <f t="shared" ca="1" si="44"/>
        <v>0</v>
      </c>
    </row>
    <row r="311" spans="4:20">
      <c r="D311">
        <v>304</v>
      </c>
      <c r="E311" s="6">
        <f t="shared" ca="1" si="45"/>
        <v>43497</v>
      </c>
      <c r="F311" s="7">
        <f t="shared" ca="1" si="40"/>
        <v>0</v>
      </c>
      <c r="G311" s="125">
        <f ca="1">IF('Simulador - 1º Pilar'!$E$99="Sí",IF('Aportaciones Flex'!$B$13&lt;'Aportaciones Flex'!E311,0,F311*$B$8/12),F311*$B$8/12)</f>
        <v>0</v>
      </c>
      <c r="H311" s="125">
        <f t="shared" ca="1" si="37"/>
        <v>0</v>
      </c>
      <c r="I311" s="126">
        <f t="shared" ca="1" si="38"/>
        <v>0</v>
      </c>
      <c r="J311" s="125">
        <f t="shared" ca="1" si="41"/>
        <v>0</v>
      </c>
      <c r="K311" s="151"/>
      <c r="L311" s="125">
        <f t="shared" ca="1" si="42"/>
        <v>0</v>
      </c>
      <c r="P311">
        <f t="shared" si="43"/>
        <v>304</v>
      </c>
      <c r="S311" s="126">
        <f t="shared" ca="1" si="39"/>
        <v>0</v>
      </c>
      <c r="T311" s="126">
        <f t="shared" ca="1" si="44"/>
        <v>0</v>
      </c>
    </row>
    <row r="312" spans="4:20">
      <c r="D312">
        <v>305</v>
      </c>
      <c r="E312" s="6">
        <f t="shared" ca="1" si="45"/>
        <v>43466</v>
      </c>
      <c r="F312" s="7">
        <f t="shared" ca="1" si="40"/>
        <v>0</v>
      </c>
      <c r="G312" s="125">
        <f ca="1">IF('Simulador - 1º Pilar'!$E$99="Sí",IF('Aportaciones Flex'!$B$13&lt;'Aportaciones Flex'!E312,0,F312*$B$8/12),F312*$B$8/12)</f>
        <v>0</v>
      </c>
      <c r="H312" s="125">
        <f t="shared" ca="1" si="37"/>
        <v>0</v>
      </c>
      <c r="I312" s="126">
        <f t="shared" ca="1" si="38"/>
        <v>0</v>
      </c>
      <c r="J312" s="125">
        <f t="shared" ca="1" si="41"/>
        <v>0</v>
      </c>
      <c r="K312" s="151"/>
      <c r="L312" s="125">
        <f t="shared" ca="1" si="42"/>
        <v>0</v>
      </c>
      <c r="P312">
        <f t="shared" si="43"/>
        <v>305</v>
      </c>
      <c r="S312" s="126">
        <f t="shared" ca="1" si="39"/>
        <v>0</v>
      </c>
      <c r="T312" s="126">
        <f t="shared" ca="1" si="44"/>
        <v>0</v>
      </c>
    </row>
    <row r="313" spans="4:20">
      <c r="D313">
        <v>306</v>
      </c>
      <c r="E313" s="6">
        <f t="shared" ca="1" si="45"/>
        <v>43435</v>
      </c>
      <c r="F313" s="7">
        <f t="shared" ca="1" si="40"/>
        <v>0</v>
      </c>
      <c r="G313" s="125">
        <f ca="1">IF('Simulador - 1º Pilar'!$E$99="Sí",IF('Aportaciones Flex'!$B$13&lt;'Aportaciones Flex'!E313,0,F313*$B$8/12),F313*$B$8/12)</f>
        <v>0</v>
      </c>
      <c r="H313" s="125">
        <f t="shared" ca="1" si="37"/>
        <v>0</v>
      </c>
      <c r="I313" s="126">
        <f t="shared" ca="1" si="38"/>
        <v>0</v>
      </c>
      <c r="J313" s="125">
        <f t="shared" ca="1" si="41"/>
        <v>0</v>
      </c>
      <c r="K313" s="151"/>
      <c r="L313" s="125">
        <f t="shared" ca="1" si="42"/>
        <v>0</v>
      </c>
      <c r="M313" s="55"/>
      <c r="P313">
        <f t="shared" si="43"/>
        <v>306</v>
      </c>
      <c r="S313" s="126">
        <f t="shared" ca="1" si="39"/>
        <v>0</v>
      </c>
      <c r="T313" s="126">
        <f t="shared" ca="1" si="44"/>
        <v>0</v>
      </c>
    </row>
    <row r="314" spans="4:20">
      <c r="D314">
        <v>307</v>
      </c>
      <c r="E314" s="6">
        <f t="shared" ca="1" si="45"/>
        <v>43405</v>
      </c>
      <c r="F314" s="7">
        <f t="shared" ca="1" si="40"/>
        <v>0</v>
      </c>
      <c r="G314" s="125">
        <f ca="1">IF('Simulador - 1º Pilar'!$E$99="Sí",IF('Aportaciones Flex'!$B$13&lt;'Aportaciones Flex'!E314,0,F314*$B$8/12),F314*$B$8/12)</f>
        <v>0</v>
      </c>
      <c r="H314" s="125">
        <f t="shared" ca="1" si="37"/>
        <v>0</v>
      </c>
      <c r="I314" s="126">
        <f t="shared" ca="1" si="38"/>
        <v>0</v>
      </c>
      <c r="J314" s="125">
        <f t="shared" ca="1" si="41"/>
        <v>0</v>
      </c>
      <c r="K314" s="151"/>
      <c r="L314" s="125">
        <f t="shared" ca="1" si="42"/>
        <v>0</v>
      </c>
      <c r="P314">
        <f t="shared" si="43"/>
        <v>307</v>
      </c>
      <c r="S314" s="126">
        <f t="shared" ca="1" si="39"/>
        <v>0</v>
      </c>
      <c r="T314" s="126">
        <f t="shared" ca="1" si="44"/>
        <v>0</v>
      </c>
    </row>
    <row r="315" spans="4:20">
      <c r="D315">
        <v>308</v>
      </c>
      <c r="E315" s="6">
        <f t="shared" ca="1" si="45"/>
        <v>43374</v>
      </c>
      <c r="F315" s="7">
        <f t="shared" ca="1" si="40"/>
        <v>0</v>
      </c>
      <c r="G315" s="125">
        <f ca="1">IF('Simulador - 1º Pilar'!$E$99="Sí",IF('Aportaciones Flex'!$B$13&lt;'Aportaciones Flex'!E315,0,F315*$B$8/12),F315*$B$8/12)</f>
        <v>0</v>
      </c>
      <c r="H315" s="125">
        <f t="shared" ca="1" si="37"/>
        <v>0</v>
      </c>
      <c r="I315" s="126">
        <f t="shared" ca="1" si="38"/>
        <v>0</v>
      </c>
      <c r="J315" s="125">
        <f t="shared" ca="1" si="41"/>
        <v>0</v>
      </c>
      <c r="K315" s="151"/>
      <c r="L315" s="125">
        <f t="shared" ca="1" si="42"/>
        <v>0</v>
      </c>
      <c r="P315">
        <f t="shared" si="43"/>
        <v>308</v>
      </c>
      <c r="S315" s="126">
        <f t="shared" ca="1" si="39"/>
        <v>0</v>
      </c>
      <c r="T315" s="126">
        <f t="shared" ca="1" si="44"/>
        <v>0</v>
      </c>
    </row>
    <row r="316" spans="4:20">
      <c r="D316">
        <v>309</v>
      </c>
      <c r="E316" s="6">
        <f ca="1">+DATE(YEAR(E315),MONTH(E315)-1,DAY(E315))</f>
        <v>43344</v>
      </c>
      <c r="F316" s="7">
        <f t="shared" ca="1" si="40"/>
        <v>0</v>
      </c>
      <c r="G316" s="125">
        <f ca="1">IF('Simulador - 1º Pilar'!$E$99="Sí",IF('Aportaciones Flex'!$B$13&lt;'Aportaciones Flex'!E316,0,F316*$B$8/12),F316*$B$8/12)</f>
        <v>0</v>
      </c>
      <c r="H316" s="125">
        <f t="shared" ca="1" si="37"/>
        <v>0</v>
      </c>
      <c r="I316" s="126">
        <f t="shared" ca="1" si="38"/>
        <v>0</v>
      </c>
      <c r="J316" s="125">
        <f t="shared" ca="1" si="41"/>
        <v>0</v>
      </c>
      <c r="K316" s="151"/>
      <c r="L316" s="125">
        <f t="shared" ca="1" si="42"/>
        <v>0</v>
      </c>
      <c r="P316">
        <f t="shared" si="43"/>
        <v>309</v>
      </c>
      <c r="S316" s="126">
        <f t="shared" ca="1" si="39"/>
        <v>0</v>
      </c>
      <c r="T316" s="126">
        <f t="shared" ca="1" si="44"/>
        <v>0</v>
      </c>
    </row>
    <row r="317" spans="4:20">
      <c r="D317">
        <v>310</v>
      </c>
      <c r="E317" s="6">
        <f t="shared" ref="E317:E326" ca="1" si="46">+DATE(YEAR(E316),MONTH(E316)-1,DAY(E316))</f>
        <v>43313</v>
      </c>
      <c r="F317" s="7">
        <f t="shared" ca="1" si="40"/>
        <v>0</v>
      </c>
      <c r="G317" s="125">
        <f ca="1">IF('Simulador - 1º Pilar'!$E$99="Sí",IF('Aportaciones Flex'!$B$13&lt;'Aportaciones Flex'!E317,0,F317*$B$8/12),F317*$B$8/12)</f>
        <v>0</v>
      </c>
      <c r="H317" s="125">
        <f t="shared" ca="1" si="37"/>
        <v>0</v>
      </c>
      <c r="I317" s="126">
        <f t="shared" ca="1" si="38"/>
        <v>0</v>
      </c>
      <c r="J317" s="125">
        <f t="shared" ca="1" si="41"/>
        <v>0</v>
      </c>
      <c r="K317" s="151"/>
      <c r="L317" s="125">
        <f t="shared" ca="1" si="42"/>
        <v>0</v>
      </c>
      <c r="P317">
        <f t="shared" si="43"/>
        <v>310</v>
      </c>
      <c r="S317" s="126">
        <f t="shared" ca="1" si="39"/>
        <v>0</v>
      </c>
      <c r="T317" s="126">
        <f t="shared" ca="1" si="44"/>
        <v>0</v>
      </c>
    </row>
    <row r="318" spans="4:20">
      <c r="D318">
        <v>311</v>
      </c>
      <c r="E318" s="6">
        <f t="shared" ca="1" si="46"/>
        <v>43282</v>
      </c>
      <c r="F318" s="7">
        <f t="shared" ca="1" si="40"/>
        <v>0</v>
      </c>
      <c r="G318" s="125">
        <f ca="1">IF('Simulador - 1º Pilar'!$E$99="Sí",IF('Aportaciones Flex'!$B$13&lt;'Aportaciones Flex'!E318,0,F318*$B$8/12),F318*$B$8/12)</f>
        <v>0</v>
      </c>
      <c r="H318" s="125">
        <f t="shared" ca="1" si="37"/>
        <v>0</v>
      </c>
      <c r="I318" s="126">
        <f t="shared" ca="1" si="38"/>
        <v>0</v>
      </c>
      <c r="J318" s="125">
        <f t="shared" ca="1" si="41"/>
        <v>0</v>
      </c>
      <c r="K318" s="151"/>
      <c r="L318" s="125">
        <f t="shared" ca="1" si="42"/>
        <v>0</v>
      </c>
      <c r="P318">
        <f t="shared" si="43"/>
        <v>311</v>
      </c>
      <c r="S318" s="126">
        <f t="shared" ca="1" si="39"/>
        <v>0</v>
      </c>
      <c r="T318" s="126">
        <f t="shared" ca="1" si="44"/>
        <v>0</v>
      </c>
    </row>
    <row r="319" spans="4:20">
      <c r="D319">
        <v>312</v>
      </c>
      <c r="E319" s="6">
        <f t="shared" ca="1" si="46"/>
        <v>43252</v>
      </c>
      <c r="F319" s="7">
        <f t="shared" ca="1" si="40"/>
        <v>0</v>
      </c>
      <c r="G319" s="125">
        <f ca="1">IF('Simulador - 1º Pilar'!$E$99="Sí",IF('Aportaciones Flex'!$B$13&lt;'Aportaciones Flex'!E319,0,F319*$B$8/12),F319*$B$8/12)</f>
        <v>0</v>
      </c>
      <c r="H319" s="125">
        <f t="shared" ca="1" si="37"/>
        <v>0</v>
      </c>
      <c r="I319" s="126">
        <f t="shared" ca="1" si="38"/>
        <v>0</v>
      </c>
      <c r="J319" s="125">
        <f t="shared" ca="1" si="41"/>
        <v>0</v>
      </c>
      <c r="K319" s="151"/>
      <c r="L319" s="125">
        <f t="shared" ca="1" si="42"/>
        <v>0</v>
      </c>
      <c r="P319">
        <f t="shared" si="43"/>
        <v>312</v>
      </c>
      <c r="S319" s="126">
        <f t="shared" ca="1" si="39"/>
        <v>0</v>
      </c>
      <c r="T319" s="126">
        <f t="shared" ca="1" si="44"/>
        <v>0</v>
      </c>
    </row>
    <row r="320" spans="4:20">
      <c r="D320">
        <v>313</v>
      </c>
      <c r="E320" s="6">
        <f t="shared" ca="1" si="46"/>
        <v>43221</v>
      </c>
      <c r="F320" s="7">
        <f t="shared" ca="1" si="40"/>
        <v>0</v>
      </c>
      <c r="G320" s="125">
        <f ca="1">IF('Simulador - 1º Pilar'!$E$99="Sí",IF('Aportaciones Flex'!$B$13&lt;'Aportaciones Flex'!E320,0,F320*$B$8/12),F320*$B$8/12)</f>
        <v>0</v>
      </c>
      <c r="H320" s="125">
        <f t="shared" ca="1" si="37"/>
        <v>0</v>
      </c>
      <c r="I320" s="126">
        <f t="shared" ca="1" si="38"/>
        <v>0</v>
      </c>
      <c r="J320" s="125">
        <f t="shared" ca="1" si="41"/>
        <v>0</v>
      </c>
      <c r="K320" s="151"/>
      <c r="L320" s="125">
        <f t="shared" ca="1" si="42"/>
        <v>0</v>
      </c>
      <c r="P320">
        <f t="shared" si="43"/>
        <v>313</v>
      </c>
      <c r="S320" s="126">
        <f t="shared" ca="1" si="39"/>
        <v>0</v>
      </c>
      <c r="T320" s="126">
        <f t="shared" ca="1" si="44"/>
        <v>0</v>
      </c>
    </row>
    <row r="321" spans="4:20">
      <c r="D321">
        <v>314</v>
      </c>
      <c r="E321" s="6">
        <f t="shared" ca="1" si="46"/>
        <v>43191</v>
      </c>
      <c r="F321" s="7">
        <f t="shared" ca="1" si="40"/>
        <v>0</v>
      </c>
      <c r="G321" s="125">
        <f ca="1">IF('Simulador - 1º Pilar'!$E$99="Sí",IF('Aportaciones Flex'!$B$13&lt;'Aportaciones Flex'!E321,0,F321*$B$8/12),F321*$B$8/12)</f>
        <v>0</v>
      </c>
      <c r="H321" s="125">
        <f t="shared" ca="1" si="37"/>
        <v>0</v>
      </c>
      <c r="I321" s="126">
        <f t="shared" ca="1" si="38"/>
        <v>0</v>
      </c>
      <c r="J321" s="125">
        <f t="shared" ca="1" si="41"/>
        <v>0</v>
      </c>
      <c r="K321" s="151"/>
      <c r="L321" s="125">
        <f t="shared" ca="1" si="42"/>
        <v>0</v>
      </c>
      <c r="P321">
        <f t="shared" si="43"/>
        <v>314</v>
      </c>
      <c r="S321" s="126">
        <f t="shared" ca="1" si="39"/>
        <v>0</v>
      </c>
      <c r="T321" s="126">
        <f t="shared" ca="1" si="44"/>
        <v>0</v>
      </c>
    </row>
    <row r="322" spans="4:20">
      <c r="D322">
        <v>315</v>
      </c>
      <c r="E322" s="6">
        <f t="shared" ca="1" si="46"/>
        <v>43160</v>
      </c>
      <c r="F322" s="7">
        <f t="shared" ca="1" si="40"/>
        <v>0</v>
      </c>
      <c r="G322" s="125">
        <f ca="1">IF('Simulador - 1º Pilar'!$E$99="Sí",IF('Aportaciones Flex'!$B$13&lt;'Aportaciones Flex'!E322,0,F322*$B$8/12),F322*$B$8/12)</f>
        <v>0</v>
      </c>
      <c r="H322" s="125">
        <f t="shared" ref="H322:H385" ca="1" si="47">IF(G322&gt;0,1,0)*$H$5*IF(AND($I$5="NO",YEAR(E322)=YEAR($B$6)+1),1,IF($I$5="SI",1,0))</f>
        <v>0</v>
      </c>
      <c r="I322" s="126">
        <f t="shared" ca="1" si="38"/>
        <v>0</v>
      </c>
      <c r="J322" s="125">
        <f t="shared" ca="1" si="41"/>
        <v>0</v>
      </c>
      <c r="K322" s="151"/>
      <c r="L322" s="125">
        <f t="shared" ca="1" si="42"/>
        <v>0</v>
      </c>
      <c r="P322">
        <f t="shared" si="43"/>
        <v>315</v>
      </c>
      <c r="S322" s="126">
        <f t="shared" ca="1" si="39"/>
        <v>0</v>
      </c>
      <c r="T322" s="126">
        <f t="shared" ca="1" si="44"/>
        <v>0</v>
      </c>
    </row>
    <row r="323" spans="4:20">
      <c r="D323">
        <v>316</v>
      </c>
      <c r="E323" s="6">
        <f t="shared" ca="1" si="46"/>
        <v>43132</v>
      </c>
      <c r="F323" s="7">
        <f t="shared" ca="1" si="40"/>
        <v>0</v>
      </c>
      <c r="G323" s="125">
        <f ca="1">IF('Simulador - 1º Pilar'!$E$99="Sí",IF('Aportaciones Flex'!$B$13&lt;'Aportaciones Flex'!E323,0,F323*$B$8/12),F323*$B$8/12)</f>
        <v>0</v>
      </c>
      <c r="H323" s="125">
        <f t="shared" ca="1" si="47"/>
        <v>0</v>
      </c>
      <c r="I323" s="126">
        <f t="shared" ca="1" si="38"/>
        <v>0</v>
      </c>
      <c r="J323" s="125">
        <f t="shared" ca="1" si="41"/>
        <v>0</v>
      </c>
      <c r="K323" s="151"/>
      <c r="L323" s="125">
        <f t="shared" ca="1" si="42"/>
        <v>0</v>
      </c>
      <c r="P323">
        <f t="shared" si="43"/>
        <v>316</v>
      </c>
      <c r="S323" s="126">
        <f t="shared" ca="1" si="39"/>
        <v>0</v>
      </c>
      <c r="T323" s="126">
        <f t="shared" ca="1" si="44"/>
        <v>0</v>
      </c>
    </row>
    <row r="324" spans="4:20">
      <c r="D324">
        <v>317</v>
      </c>
      <c r="E324" s="6">
        <f t="shared" ca="1" si="46"/>
        <v>43101</v>
      </c>
      <c r="F324" s="7">
        <f t="shared" ca="1" si="40"/>
        <v>0</v>
      </c>
      <c r="G324" s="125">
        <f ca="1">IF('Simulador - 1º Pilar'!$E$99="Sí",IF('Aportaciones Flex'!$B$13&lt;'Aportaciones Flex'!E324,0,F324*$B$8/12),F324*$B$8/12)</f>
        <v>0</v>
      </c>
      <c r="H324" s="125">
        <f t="shared" ca="1" si="47"/>
        <v>0</v>
      </c>
      <c r="I324" s="126">
        <f t="shared" ca="1" si="38"/>
        <v>0</v>
      </c>
      <c r="J324" s="125">
        <f t="shared" ca="1" si="41"/>
        <v>0</v>
      </c>
      <c r="K324" s="151"/>
      <c r="L324" s="125">
        <f t="shared" ca="1" si="42"/>
        <v>0</v>
      </c>
      <c r="P324">
        <f t="shared" si="43"/>
        <v>317</v>
      </c>
      <c r="S324" s="126">
        <f t="shared" ca="1" si="39"/>
        <v>0</v>
      </c>
      <c r="T324" s="126">
        <f t="shared" ca="1" si="44"/>
        <v>0</v>
      </c>
    </row>
    <row r="325" spans="4:20">
      <c r="D325">
        <v>318</v>
      </c>
      <c r="E325" s="6">
        <f t="shared" ca="1" si="46"/>
        <v>43070</v>
      </c>
      <c r="F325" s="7">
        <f t="shared" ca="1" si="40"/>
        <v>0</v>
      </c>
      <c r="G325" s="125">
        <f ca="1">IF('Simulador - 1º Pilar'!$E$99="Sí",IF('Aportaciones Flex'!$B$13&lt;'Aportaciones Flex'!E325,0,F325*$B$8/12),F325*$B$8/12)</f>
        <v>0</v>
      </c>
      <c r="H325" s="125">
        <f t="shared" ca="1" si="47"/>
        <v>0</v>
      </c>
      <c r="I325" s="126">
        <f t="shared" ca="1" si="38"/>
        <v>0</v>
      </c>
      <c r="J325" s="125">
        <f t="shared" ca="1" si="41"/>
        <v>0</v>
      </c>
      <c r="K325" s="151"/>
      <c r="L325" s="125">
        <f t="shared" ca="1" si="42"/>
        <v>0</v>
      </c>
      <c r="P325">
        <f t="shared" si="43"/>
        <v>318</v>
      </c>
      <c r="S325" s="126">
        <f t="shared" ca="1" si="39"/>
        <v>0</v>
      </c>
      <c r="T325" s="126">
        <f t="shared" ca="1" si="44"/>
        <v>0</v>
      </c>
    </row>
    <row r="326" spans="4:20">
      <c r="D326">
        <v>319</v>
      </c>
      <c r="E326" s="6">
        <f t="shared" ca="1" si="46"/>
        <v>43040</v>
      </c>
      <c r="F326" s="7">
        <f t="shared" ca="1" si="40"/>
        <v>0</v>
      </c>
      <c r="G326" s="125">
        <f ca="1">IF('Simulador - 1º Pilar'!$E$99="Sí",IF('Aportaciones Flex'!$B$13&lt;'Aportaciones Flex'!E326,0,F326*$B$8/12),F326*$B$8/12)</f>
        <v>0</v>
      </c>
      <c r="H326" s="125">
        <f t="shared" ca="1" si="47"/>
        <v>0</v>
      </c>
      <c r="I326" s="126">
        <f t="shared" ca="1" si="38"/>
        <v>0</v>
      </c>
      <c r="J326" s="125">
        <f t="shared" ca="1" si="41"/>
        <v>0</v>
      </c>
      <c r="K326" s="151"/>
      <c r="L326" s="125">
        <f t="shared" ca="1" si="42"/>
        <v>0</v>
      </c>
      <c r="P326">
        <f t="shared" si="43"/>
        <v>319</v>
      </c>
      <c r="S326" s="126">
        <f t="shared" ca="1" si="39"/>
        <v>0</v>
      </c>
      <c r="T326" s="126">
        <f t="shared" ca="1" si="44"/>
        <v>0</v>
      </c>
    </row>
    <row r="327" spans="4:20">
      <c r="D327">
        <v>320</v>
      </c>
      <c r="E327" s="6">
        <f ca="1">+DATE(YEAR(E326),MONTH(E326)-1,DAY(E326))</f>
        <v>43009</v>
      </c>
      <c r="F327" s="7">
        <f t="shared" ca="1" si="40"/>
        <v>0</v>
      </c>
      <c r="G327" s="125">
        <f ca="1">IF('Simulador - 1º Pilar'!$E$99="Sí",IF('Aportaciones Flex'!$B$13&lt;'Aportaciones Flex'!E327,0,F327*$B$8/12),F327*$B$8/12)</f>
        <v>0</v>
      </c>
      <c r="H327" s="125">
        <f t="shared" ca="1" si="47"/>
        <v>0</v>
      </c>
      <c r="I327" s="126">
        <f t="shared" ref="I327:I390" ca="1" si="48">(1+$M$5)^(D327/12)*(H327*(12-IF(MONTH(E328)=12,0,MONTH(E328)))+IF(AND(F327=1,F328=0),$Q$4,0))*IF(AND(F327=1,F328=0),1,0)</f>
        <v>0</v>
      </c>
      <c r="J327" s="125">
        <f t="shared" ca="1" si="41"/>
        <v>0</v>
      </c>
      <c r="K327" s="151"/>
      <c r="L327" s="125">
        <f t="shared" ca="1" si="42"/>
        <v>0</v>
      </c>
      <c r="P327">
        <f t="shared" si="43"/>
        <v>320</v>
      </c>
      <c r="S327" s="126">
        <f t="shared" ref="S327:S390" ca="1" si="49">(1+$M$5)^(D327/12)*(IF(E327=$C$6,$Q$4+$H$5*12,0))</f>
        <v>0</v>
      </c>
      <c r="T327" s="126">
        <f t="shared" ca="1" si="44"/>
        <v>0</v>
      </c>
    </row>
    <row r="328" spans="4:20">
      <c r="D328">
        <v>321</v>
      </c>
      <c r="E328" s="6">
        <f t="shared" ref="E328:E391" ca="1" si="50">+DATE(YEAR(E327),MONTH(E327)-1,DAY(E327))</f>
        <v>42979</v>
      </c>
      <c r="F328" s="7">
        <f t="shared" ref="F328:F391" ca="1" si="51">IF(DATE(YEAR($B$6),MONTH($B$6)+1,DAY(1))=E328,1,IF(MONTH(E328)=1,F329*(1+$F$5),F329))</f>
        <v>0</v>
      </c>
      <c r="G328" s="125">
        <f ca="1">IF('Simulador - 1º Pilar'!$E$99="Sí",IF('Aportaciones Flex'!$B$13&lt;'Aportaciones Flex'!E328,0,F328*$B$8/12),F328*$B$8/12)</f>
        <v>0</v>
      </c>
      <c r="H328" s="125">
        <f t="shared" ca="1" si="47"/>
        <v>0</v>
      </c>
      <c r="I328" s="126">
        <f t="shared" ca="1" si="48"/>
        <v>0</v>
      </c>
      <c r="J328" s="125">
        <f t="shared" ref="J328:J391" ca="1" si="52">(1+$M$5)^(D328/12)*(H328+IF(AND(F328=1,F329=0),$Q$4,0))</f>
        <v>0</v>
      </c>
      <c r="K328" s="151"/>
      <c r="L328" s="125">
        <f t="shared" ref="L328:L391" ca="1" si="53">K328+J328</f>
        <v>0</v>
      </c>
      <c r="P328">
        <f t="shared" ref="P328:P391" si="54">D328</f>
        <v>321</v>
      </c>
      <c r="S328" s="126">
        <f t="shared" ca="1" si="49"/>
        <v>0</v>
      </c>
      <c r="T328" s="126">
        <f t="shared" ref="T328:T391" ca="1" si="55">(1+$M$5)^(D328/12)*(IF(YEAR(E328)&gt;YEAR($C$6),L328,0)+IF(E328=$C$6,$H$5*12+$Q$4,0))</f>
        <v>0</v>
      </c>
    </row>
    <row r="329" spans="4:20">
      <c r="D329">
        <v>322</v>
      </c>
      <c r="E329" s="6">
        <f t="shared" ca="1" si="50"/>
        <v>42948</v>
      </c>
      <c r="F329" s="7">
        <f t="shared" ca="1" si="51"/>
        <v>0</v>
      </c>
      <c r="G329" s="125">
        <f ca="1">IF('Simulador - 1º Pilar'!$E$99="Sí",IF('Aportaciones Flex'!$B$13&lt;'Aportaciones Flex'!E329,0,F329*$B$8/12),F329*$B$8/12)</f>
        <v>0</v>
      </c>
      <c r="H329" s="125">
        <f t="shared" ca="1" si="47"/>
        <v>0</v>
      </c>
      <c r="I329" s="126">
        <f t="shared" ca="1" si="48"/>
        <v>0</v>
      </c>
      <c r="J329" s="125">
        <f t="shared" ca="1" si="52"/>
        <v>0</v>
      </c>
      <c r="K329" s="151"/>
      <c r="L329" s="125">
        <f t="shared" ca="1" si="53"/>
        <v>0</v>
      </c>
      <c r="P329">
        <f t="shared" si="54"/>
        <v>322</v>
      </c>
      <c r="S329" s="126">
        <f t="shared" ca="1" si="49"/>
        <v>0</v>
      </c>
      <c r="T329" s="126">
        <f t="shared" ca="1" si="55"/>
        <v>0</v>
      </c>
    </row>
    <row r="330" spans="4:20">
      <c r="D330">
        <v>323</v>
      </c>
      <c r="E330" s="6">
        <f t="shared" ca="1" si="50"/>
        <v>42917</v>
      </c>
      <c r="F330" s="7">
        <f t="shared" ca="1" si="51"/>
        <v>0</v>
      </c>
      <c r="G330" s="125">
        <f ca="1">IF('Simulador - 1º Pilar'!$E$99="Sí",IF('Aportaciones Flex'!$B$13&lt;'Aportaciones Flex'!E330,0,F330*$B$8/12),F330*$B$8/12)</f>
        <v>0</v>
      </c>
      <c r="H330" s="125">
        <f t="shared" ca="1" si="47"/>
        <v>0</v>
      </c>
      <c r="I330" s="126">
        <f t="shared" ca="1" si="48"/>
        <v>0</v>
      </c>
      <c r="J330" s="125">
        <f t="shared" ca="1" si="52"/>
        <v>0</v>
      </c>
      <c r="K330" s="151"/>
      <c r="L330" s="125">
        <f t="shared" ca="1" si="53"/>
        <v>0</v>
      </c>
      <c r="P330">
        <f t="shared" si="54"/>
        <v>323</v>
      </c>
      <c r="S330" s="126">
        <f t="shared" ca="1" si="49"/>
        <v>0</v>
      </c>
      <c r="T330" s="126">
        <f t="shared" ca="1" si="55"/>
        <v>0</v>
      </c>
    </row>
    <row r="331" spans="4:20">
      <c r="D331">
        <v>324</v>
      </c>
      <c r="E331" s="6">
        <f t="shared" ca="1" si="50"/>
        <v>42887</v>
      </c>
      <c r="F331" s="7">
        <f t="shared" ca="1" si="51"/>
        <v>0</v>
      </c>
      <c r="G331" s="125">
        <f ca="1">IF('Simulador - 1º Pilar'!$E$99="Sí",IF('Aportaciones Flex'!$B$13&lt;'Aportaciones Flex'!E331,0,F331*$B$8/12),F331*$B$8/12)</f>
        <v>0</v>
      </c>
      <c r="H331" s="125">
        <f t="shared" ca="1" si="47"/>
        <v>0</v>
      </c>
      <c r="I331" s="126">
        <f t="shared" ca="1" si="48"/>
        <v>0</v>
      </c>
      <c r="J331" s="125">
        <f t="shared" ca="1" si="52"/>
        <v>0</v>
      </c>
      <c r="K331" s="151"/>
      <c r="L331" s="125">
        <f t="shared" ca="1" si="53"/>
        <v>0</v>
      </c>
      <c r="P331">
        <f t="shared" si="54"/>
        <v>324</v>
      </c>
      <c r="S331" s="126">
        <f t="shared" ca="1" si="49"/>
        <v>0</v>
      </c>
      <c r="T331" s="126">
        <f t="shared" ca="1" si="55"/>
        <v>0</v>
      </c>
    </row>
    <row r="332" spans="4:20">
      <c r="D332">
        <v>325</v>
      </c>
      <c r="E332" s="6">
        <f t="shared" ca="1" si="50"/>
        <v>42856</v>
      </c>
      <c r="F332" s="7">
        <f t="shared" ca="1" si="51"/>
        <v>0</v>
      </c>
      <c r="G332" s="125">
        <f ca="1">IF('Simulador - 1º Pilar'!$E$99="Sí",IF('Aportaciones Flex'!$B$13&lt;'Aportaciones Flex'!E332,0,F332*$B$8/12),F332*$B$8/12)</f>
        <v>0</v>
      </c>
      <c r="H332" s="125">
        <f t="shared" ca="1" si="47"/>
        <v>0</v>
      </c>
      <c r="I332" s="126">
        <f t="shared" ca="1" si="48"/>
        <v>0</v>
      </c>
      <c r="J332" s="125">
        <f t="shared" ca="1" si="52"/>
        <v>0</v>
      </c>
      <c r="K332" s="151"/>
      <c r="L332" s="125">
        <f t="shared" ca="1" si="53"/>
        <v>0</v>
      </c>
      <c r="P332">
        <f t="shared" si="54"/>
        <v>325</v>
      </c>
      <c r="S332" s="126">
        <f t="shared" ca="1" si="49"/>
        <v>0</v>
      </c>
      <c r="T332" s="126">
        <f t="shared" ca="1" si="55"/>
        <v>0</v>
      </c>
    </row>
    <row r="333" spans="4:20">
      <c r="D333">
        <v>326</v>
      </c>
      <c r="E333" s="6">
        <f t="shared" ca="1" si="50"/>
        <v>42826</v>
      </c>
      <c r="F333" s="7">
        <f t="shared" ca="1" si="51"/>
        <v>0</v>
      </c>
      <c r="G333" s="125">
        <f ca="1">IF('Simulador - 1º Pilar'!$E$99="Sí",IF('Aportaciones Flex'!$B$13&lt;'Aportaciones Flex'!E333,0,F333*$B$8/12),F333*$B$8/12)</f>
        <v>0</v>
      </c>
      <c r="H333" s="125">
        <f t="shared" ca="1" si="47"/>
        <v>0</v>
      </c>
      <c r="I333" s="126">
        <f t="shared" ca="1" si="48"/>
        <v>0</v>
      </c>
      <c r="J333" s="125">
        <f t="shared" ca="1" si="52"/>
        <v>0</v>
      </c>
      <c r="K333" s="151"/>
      <c r="L333" s="125">
        <f t="shared" ca="1" si="53"/>
        <v>0</v>
      </c>
      <c r="P333">
        <f t="shared" si="54"/>
        <v>326</v>
      </c>
      <c r="S333" s="126">
        <f t="shared" ca="1" si="49"/>
        <v>0</v>
      </c>
      <c r="T333" s="126">
        <f t="shared" ca="1" si="55"/>
        <v>0</v>
      </c>
    </row>
    <row r="334" spans="4:20">
      <c r="D334">
        <v>327</v>
      </c>
      <c r="E334" s="6">
        <f t="shared" ca="1" si="50"/>
        <v>42795</v>
      </c>
      <c r="F334" s="7">
        <f t="shared" ca="1" si="51"/>
        <v>0</v>
      </c>
      <c r="G334" s="125">
        <f ca="1">IF('Simulador - 1º Pilar'!$E$99="Sí",IF('Aportaciones Flex'!$B$13&lt;'Aportaciones Flex'!E334,0,F334*$B$8/12),F334*$B$8/12)</f>
        <v>0</v>
      </c>
      <c r="H334" s="125">
        <f t="shared" ca="1" si="47"/>
        <v>0</v>
      </c>
      <c r="I334" s="126">
        <f t="shared" ca="1" si="48"/>
        <v>0</v>
      </c>
      <c r="J334" s="125">
        <f t="shared" ca="1" si="52"/>
        <v>0</v>
      </c>
      <c r="K334" s="151"/>
      <c r="L334" s="125">
        <f t="shared" ca="1" si="53"/>
        <v>0</v>
      </c>
      <c r="P334">
        <f t="shared" si="54"/>
        <v>327</v>
      </c>
      <c r="S334" s="126">
        <f t="shared" ca="1" si="49"/>
        <v>0</v>
      </c>
      <c r="T334" s="126">
        <f t="shared" ca="1" si="55"/>
        <v>0</v>
      </c>
    </row>
    <row r="335" spans="4:20">
      <c r="D335">
        <v>328</v>
      </c>
      <c r="E335" s="6">
        <f t="shared" ca="1" si="50"/>
        <v>42767</v>
      </c>
      <c r="F335" s="7">
        <f t="shared" ca="1" si="51"/>
        <v>0</v>
      </c>
      <c r="G335" s="125">
        <f ca="1">IF('Simulador - 1º Pilar'!$E$99="Sí",IF('Aportaciones Flex'!$B$13&lt;'Aportaciones Flex'!E335,0,F335*$B$8/12),F335*$B$8/12)</f>
        <v>0</v>
      </c>
      <c r="H335" s="125">
        <f t="shared" ca="1" si="47"/>
        <v>0</v>
      </c>
      <c r="I335" s="126">
        <f t="shared" ca="1" si="48"/>
        <v>0</v>
      </c>
      <c r="J335" s="125">
        <f t="shared" ca="1" si="52"/>
        <v>0</v>
      </c>
      <c r="K335" s="151"/>
      <c r="L335" s="125">
        <f t="shared" ca="1" si="53"/>
        <v>0</v>
      </c>
      <c r="P335">
        <f t="shared" si="54"/>
        <v>328</v>
      </c>
      <c r="S335" s="126">
        <f t="shared" ca="1" si="49"/>
        <v>0</v>
      </c>
      <c r="T335" s="126">
        <f t="shared" ca="1" si="55"/>
        <v>0</v>
      </c>
    </row>
    <row r="336" spans="4:20">
      <c r="D336">
        <v>329</v>
      </c>
      <c r="E336" s="6">
        <f t="shared" ca="1" si="50"/>
        <v>42736</v>
      </c>
      <c r="F336" s="7">
        <f t="shared" ca="1" si="51"/>
        <v>0</v>
      </c>
      <c r="G336" s="125">
        <f ca="1">IF('Simulador - 1º Pilar'!$E$99="Sí",IF('Aportaciones Flex'!$B$13&lt;'Aportaciones Flex'!E336,0,F336*$B$8/12),F336*$B$8/12)</f>
        <v>0</v>
      </c>
      <c r="H336" s="125">
        <f t="shared" ca="1" si="47"/>
        <v>0</v>
      </c>
      <c r="I336" s="126">
        <f t="shared" ca="1" si="48"/>
        <v>0</v>
      </c>
      <c r="J336" s="125">
        <f t="shared" ca="1" si="52"/>
        <v>0</v>
      </c>
      <c r="K336" s="151"/>
      <c r="L336" s="125">
        <f t="shared" ca="1" si="53"/>
        <v>0</v>
      </c>
      <c r="P336">
        <f t="shared" si="54"/>
        <v>329</v>
      </c>
      <c r="S336" s="126">
        <f t="shared" ca="1" si="49"/>
        <v>0</v>
      </c>
      <c r="T336" s="126">
        <f t="shared" ca="1" si="55"/>
        <v>0</v>
      </c>
    </row>
    <row r="337" spans="4:20">
      <c r="D337">
        <v>330</v>
      </c>
      <c r="E337" s="6">
        <f t="shared" ca="1" si="50"/>
        <v>42705</v>
      </c>
      <c r="F337" s="7">
        <f t="shared" ca="1" si="51"/>
        <v>0</v>
      </c>
      <c r="G337" s="125">
        <f ca="1">IF('Simulador - 1º Pilar'!$E$99="Sí",IF('Aportaciones Flex'!$B$13&lt;'Aportaciones Flex'!E337,0,F337*$B$8/12),F337*$B$8/12)</f>
        <v>0</v>
      </c>
      <c r="H337" s="125">
        <f t="shared" ca="1" si="47"/>
        <v>0</v>
      </c>
      <c r="I337" s="126">
        <f t="shared" ca="1" si="48"/>
        <v>0</v>
      </c>
      <c r="J337" s="125">
        <f t="shared" ca="1" si="52"/>
        <v>0</v>
      </c>
      <c r="K337" s="151"/>
      <c r="L337" s="125">
        <f t="shared" ca="1" si="53"/>
        <v>0</v>
      </c>
      <c r="P337">
        <f t="shared" si="54"/>
        <v>330</v>
      </c>
      <c r="S337" s="126">
        <f t="shared" ca="1" si="49"/>
        <v>0</v>
      </c>
      <c r="T337" s="126">
        <f t="shared" ca="1" si="55"/>
        <v>0</v>
      </c>
    </row>
    <row r="338" spans="4:20">
      <c r="D338">
        <v>331</v>
      </c>
      <c r="E338" s="6">
        <f t="shared" ca="1" si="50"/>
        <v>42675</v>
      </c>
      <c r="F338" s="7">
        <f t="shared" ca="1" si="51"/>
        <v>0</v>
      </c>
      <c r="G338" s="125">
        <f ca="1">IF('Simulador - 1º Pilar'!$E$99="Sí",IF('Aportaciones Flex'!$B$13&lt;'Aportaciones Flex'!E338,0,F338*$B$8/12),F338*$B$8/12)</f>
        <v>0</v>
      </c>
      <c r="H338" s="125">
        <f t="shared" ca="1" si="47"/>
        <v>0</v>
      </c>
      <c r="I338" s="126">
        <f t="shared" ca="1" si="48"/>
        <v>0</v>
      </c>
      <c r="J338" s="125">
        <f t="shared" ca="1" si="52"/>
        <v>0</v>
      </c>
      <c r="K338" s="151"/>
      <c r="L338" s="125">
        <f t="shared" ca="1" si="53"/>
        <v>0</v>
      </c>
      <c r="P338">
        <f t="shared" si="54"/>
        <v>331</v>
      </c>
      <c r="S338" s="126">
        <f t="shared" ca="1" si="49"/>
        <v>0</v>
      </c>
      <c r="T338" s="126">
        <f t="shared" ca="1" si="55"/>
        <v>0</v>
      </c>
    </row>
    <row r="339" spans="4:20">
      <c r="D339">
        <v>332</v>
      </c>
      <c r="E339" s="6">
        <f t="shared" ca="1" si="50"/>
        <v>42644</v>
      </c>
      <c r="F339" s="7">
        <f t="shared" ca="1" si="51"/>
        <v>0</v>
      </c>
      <c r="G339" s="125">
        <f ca="1">IF('Simulador - 1º Pilar'!$E$99="Sí",IF('Aportaciones Flex'!$B$13&lt;'Aportaciones Flex'!E339,0,F339*$B$8/12),F339*$B$8/12)</f>
        <v>0</v>
      </c>
      <c r="H339" s="125">
        <f t="shared" ca="1" si="47"/>
        <v>0</v>
      </c>
      <c r="I339" s="126">
        <f t="shared" ca="1" si="48"/>
        <v>0</v>
      </c>
      <c r="J339" s="125">
        <f t="shared" ca="1" si="52"/>
        <v>0</v>
      </c>
      <c r="K339" s="151"/>
      <c r="L339" s="125">
        <f t="shared" ca="1" si="53"/>
        <v>0</v>
      </c>
      <c r="P339">
        <f t="shared" si="54"/>
        <v>332</v>
      </c>
      <c r="S339" s="126">
        <f t="shared" ca="1" si="49"/>
        <v>0</v>
      </c>
      <c r="T339" s="126">
        <f t="shared" ca="1" si="55"/>
        <v>0</v>
      </c>
    </row>
    <row r="340" spans="4:20">
      <c r="D340">
        <v>333</v>
      </c>
      <c r="E340" s="6">
        <f t="shared" ca="1" si="50"/>
        <v>42614</v>
      </c>
      <c r="F340" s="7">
        <f t="shared" ca="1" si="51"/>
        <v>0</v>
      </c>
      <c r="G340" s="125">
        <f ca="1">IF('Simulador - 1º Pilar'!$E$99="Sí",IF('Aportaciones Flex'!$B$13&lt;'Aportaciones Flex'!E340,0,F340*$B$8/12),F340*$B$8/12)</f>
        <v>0</v>
      </c>
      <c r="H340" s="125">
        <f t="shared" ca="1" si="47"/>
        <v>0</v>
      </c>
      <c r="I340" s="126">
        <f t="shared" ca="1" si="48"/>
        <v>0</v>
      </c>
      <c r="J340" s="125">
        <f t="shared" ca="1" si="52"/>
        <v>0</v>
      </c>
      <c r="K340" s="151"/>
      <c r="L340" s="125">
        <f t="shared" ca="1" si="53"/>
        <v>0</v>
      </c>
      <c r="P340">
        <f t="shared" si="54"/>
        <v>333</v>
      </c>
      <c r="S340" s="126">
        <f t="shared" ca="1" si="49"/>
        <v>0</v>
      </c>
      <c r="T340" s="126">
        <f t="shared" ca="1" si="55"/>
        <v>0</v>
      </c>
    </row>
    <row r="341" spans="4:20">
      <c r="D341">
        <v>334</v>
      </c>
      <c r="E341" s="6">
        <f t="shared" ca="1" si="50"/>
        <v>42583</v>
      </c>
      <c r="F341" s="7">
        <f t="shared" ca="1" si="51"/>
        <v>0</v>
      </c>
      <c r="G341" s="125">
        <f ca="1">IF('Simulador - 1º Pilar'!$E$99="Sí",IF('Aportaciones Flex'!$B$13&lt;'Aportaciones Flex'!E341,0,F341*$B$8/12),F341*$B$8/12)</f>
        <v>0</v>
      </c>
      <c r="H341" s="125">
        <f t="shared" ca="1" si="47"/>
        <v>0</v>
      </c>
      <c r="I341" s="126">
        <f t="shared" ca="1" si="48"/>
        <v>0</v>
      </c>
      <c r="J341" s="125">
        <f t="shared" ca="1" si="52"/>
        <v>0</v>
      </c>
      <c r="K341" s="151"/>
      <c r="L341" s="125">
        <f t="shared" ca="1" si="53"/>
        <v>0</v>
      </c>
      <c r="P341">
        <f t="shared" si="54"/>
        <v>334</v>
      </c>
      <c r="S341" s="126">
        <f t="shared" ca="1" si="49"/>
        <v>0</v>
      </c>
      <c r="T341" s="126">
        <f t="shared" ca="1" si="55"/>
        <v>0</v>
      </c>
    </row>
    <row r="342" spans="4:20">
      <c r="D342">
        <v>335</v>
      </c>
      <c r="E342" s="6">
        <f t="shared" ca="1" si="50"/>
        <v>42552</v>
      </c>
      <c r="F342" s="7">
        <f t="shared" ca="1" si="51"/>
        <v>0</v>
      </c>
      <c r="G342" s="125">
        <f ca="1">IF('Simulador - 1º Pilar'!$E$99="Sí",IF('Aportaciones Flex'!$B$13&lt;'Aportaciones Flex'!E342,0,F342*$B$8/12),F342*$B$8/12)</f>
        <v>0</v>
      </c>
      <c r="H342" s="125">
        <f t="shared" ca="1" si="47"/>
        <v>0</v>
      </c>
      <c r="I342" s="126">
        <f t="shared" ca="1" si="48"/>
        <v>0</v>
      </c>
      <c r="J342" s="125">
        <f t="shared" ca="1" si="52"/>
        <v>0</v>
      </c>
      <c r="K342" s="151"/>
      <c r="L342" s="125">
        <f t="shared" ca="1" si="53"/>
        <v>0</v>
      </c>
      <c r="P342">
        <f t="shared" si="54"/>
        <v>335</v>
      </c>
      <c r="S342" s="126">
        <f t="shared" ca="1" si="49"/>
        <v>0</v>
      </c>
      <c r="T342" s="126">
        <f t="shared" ca="1" si="55"/>
        <v>0</v>
      </c>
    </row>
    <row r="343" spans="4:20">
      <c r="D343">
        <v>336</v>
      </c>
      <c r="E343" s="6">
        <f t="shared" ca="1" si="50"/>
        <v>42522</v>
      </c>
      <c r="F343" s="7">
        <f t="shared" ca="1" si="51"/>
        <v>0</v>
      </c>
      <c r="G343" s="125">
        <f ca="1">IF('Simulador - 1º Pilar'!$E$99="Sí",IF('Aportaciones Flex'!$B$13&lt;'Aportaciones Flex'!E343,0,F343*$B$8/12),F343*$B$8/12)</f>
        <v>0</v>
      </c>
      <c r="H343" s="125">
        <f t="shared" ca="1" si="47"/>
        <v>0</v>
      </c>
      <c r="I343" s="126">
        <f t="shared" ca="1" si="48"/>
        <v>0</v>
      </c>
      <c r="J343" s="125">
        <f t="shared" ca="1" si="52"/>
        <v>0</v>
      </c>
      <c r="K343" s="151"/>
      <c r="L343" s="125">
        <f t="shared" ca="1" si="53"/>
        <v>0</v>
      </c>
      <c r="P343">
        <f t="shared" si="54"/>
        <v>336</v>
      </c>
      <c r="S343" s="126">
        <f t="shared" ca="1" si="49"/>
        <v>0</v>
      </c>
      <c r="T343" s="126">
        <f t="shared" ca="1" si="55"/>
        <v>0</v>
      </c>
    </row>
    <row r="344" spans="4:20">
      <c r="D344">
        <v>337</v>
      </c>
      <c r="E344" s="6">
        <f t="shared" ca="1" si="50"/>
        <v>42491</v>
      </c>
      <c r="F344" s="7">
        <f t="shared" ca="1" si="51"/>
        <v>0</v>
      </c>
      <c r="G344" s="125">
        <f ca="1">IF('Simulador - 1º Pilar'!$E$99="Sí",IF('Aportaciones Flex'!$B$13&lt;'Aportaciones Flex'!E344,0,F344*$B$8/12),F344*$B$8/12)</f>
        <v>0</v>
      </c>
      <c r="H344" s="125">
        <f t="shared" ca="1" si="47"/>
        <v>0</v>
      </c>
      <c r="I344" s="126">
        <f t="shared" ca="1" si="48"/>
        <v>0</v>
      </c>
      <c r="J344" s="125">
        <f t="shared" ca="1" si="52"/>
        <v>0</v>
      </c>
      <c r="K344" s="151"/>
      <c r="L344" s="125">
        <f t="shared" ca="1" si="53"/>
        <v>0</v>
      </c>
      <c r="P344">
        <f t="shared" si="54"/>
        <v>337</v>
      </c>
      <c r="S344" s="126">
        <f t="shared" ca="1" si="49"/>
        <v>0</v>
      </c>
      <c r="T344" s="126">
        <f t="shared" ca="1" si="55"/>
        <v>0</v>
      </c>
    </row>
    <row r="345" spans="4:20">
      <c r="D345">
        <v>338</v>
      </c>
      <c r="E345" s="6">
        <f t="shared" ca="1" si="50"/>
        <v>42461</v>
      </c>
      <c r="F345" s="7">
        <f t="shared" ca="1" si="51"/>
        <v>0</v>
      </c>
      <c r="G345" s="125">
        <f ca="1">IF('Simulador - 1º Pilar'!$E$99="Sí",IF('Aportaciones Flex'!$B$13&lt;'Aportaciones Flex'!E345,0,F345*$B$8/12),F345*$B$8/12)</f>
        <v>0</v>
      </c>
      <c r="H345" s="125">
        <f t="shared" ca="1" si="47"/>
        <v>0</v>
      </c>
      <c r="I345" s="126">
        <f t="shared" ca="1" si="48"/>
        <v>0</v>
      </c>
      <c r="J345" s="125">
        <f t="shared" ca="1" si="52"/>
        <v>0</v>
      </c>
      <c r="K345" s="151"/>
      <c r="L345" s="125">
        <f t="shared" ca="1" si="53"/>
        <v>0</v>
      </c>
      <c r="P345">
        <f t="shared" si="54"/>
        <v>338</v>
      </c>
      <c r="S345" s="126">
        <f t="shared" ca="1" si="49"/>
        <v>0</v>
      </c>
      <c r="T345" s="126">
        <f t="shared" ca="1" si="55"/>
        <v>0</v>
      </c>
    </row>
    <row r="346" spans="4:20">
      <c r="D346">
        <v>339</v>
      </c>
      <c r="E346" s="6">
        <f t="shared" ca="1" si="50"/>
        <v>42430</v>
      </c>
      <c r="F346" s="7">
        <f t="shared" ca="1" si="51"/>
        <v>0</v>
      </c>
      <c r="G346" s="125">
        <f ca="1">IF('Simulador - 1º Pilar'!$E$99="Sí",IF('Aportaciones Flex'!$B$13&lt;'Aportaciones Flex'!E346,0,F346*$B$8/12),F346*$B$8/12)</f>
        <v>0</v>
      </c>
      <c r="H346" s="125">
        <f t="shared" ca="1" si="47"/>
        <v>0</v>
      </c>
      <c r="I346" s="126">
        <f t="shared" ca="1" si="48"/>
        <v>0</v>
      </c>
      <c r="J346" s="125">
        <f t="shared" ca="1" si="52"/>
        <v>0</v>
      </c>
      <c r="K346" s="151"/>
      <c r="L346" s="125">
        <f t="shared" ca="1" si="53"/>
        <v>0</v>
      </c>
      <c r="P346">
        <f t="shared" si="54"/>
        <v>339</v>
      </c>
      <c r="S346" s="126">
        <f t="shared" ca="1" si="49"/>
        <v>0</v>
      </c>
      <c r="T346" s="126">
        <f t="shared" ca="1" si="55"/>
        <v>0</v>
      </c>
    </row>
    <row r="347" spans="4:20">
      <c r="D347">
        <v>340</v>
      </c>
      <c r="E347" s="6">
        <f t="shared" ca="1" si="50"/>
        <v>42401</v>
      </c>
      <c r="F347" s="7">
        <f t="shared" ca="1" si="51"/>
        <v>0</v>
      </c>
      <c r="G347" s="125">
        <f ca="1">IF('Simulador - 1º Pilar'!$E$99="Sí",IF('Aportaciones Flex'!$B$13&lt;'Aportaciones Flex'!E347,0,F347*$B$8/12),F347*$B$8/12)</f>
        <v>0</v>
      </c>
      <c r="H347" s="125">
        <f t="shared" ca="1" si="47"/>
        <v>0</v>
      </c>
      <c r="I347" s="126">
        <f t="shared" ca="1" si="48"/>
        <v>0</v>
      </c>
      <c r="J347" s="125">
        <f t="shared" ca="1" si="52"/>
        <v>0</v>
      </c>
      <c r="K347" s="151"/>
      <c r="L347" s="125">
        <f t="shared" ca="1" si="53"/>
        <v>0</v>
      </c>
      <c r="P347">
        <f t="shared" si="54"/>
        <v>340</v>
      </c>
      <c r="S347" s="126">
        <f t="shared" ca="1" si="49"/>
        <v>0</v>
      </c>
      <c r="T347" s="126">
        <f t="shared" ca="1" si="55"/>
        <v>0</v>
      </c>
    </row>
    <row r="348" spans="4:20">
      <c r="D348">
        <v>341</v>
      </c>
      <c r="E348" s="6">
        <f t="shared" ca="1" si="50"/>
        <v>42370</v>
      </c>
      <c r="F348" s="7">
        <f t="shared" ca="1" si="51"/>
        <v>0</v>
      </c>
      <c r="G348" s="125">
        <f ca="1">IF('Simulador - 1º Pilar'!$E$99="Sí",IF('Aportaciones Flex'!$B$13&lt;'Aportaciones Flex'!E348,0,F348*$B$8/12),F348*$B$8/12)</f>
        <v>0</v>
      </c>
      <c r="H348" s="125">
        <f t="shared" ca="1" si="47"/>
        <v>0</v>
      </c>
      <c r="I348" s="126">
        <f t="shared" ca="1" si="48"/>
        <v>0</v>
      </c>
      <c r="J348" s="125">
        <f t="shared" ca="1" si="52"/>
        <v>0</v>
      </c>
      <c r="K348" s="151"/>
      <c r="L348" s="125">
        <f t="shared" ca="1" si="53"/>
        <v>0</v>
      </c>
      <c r="P348">
        <f t="shared" si="54"/>
        <v>341</v>
      </c>
      <c r="S348" s="126">
        <f t="shared" ca="1" si="49"/>
        <v>0</v>
      </c>
      <c r="T348" s="126">
        <f t="shared" ca="1" si="55"/>
        <v>0</v>
      </c>
    </row>
    <row r="349" spans="4:20">
      <c r="D349">
        <v>342</v>
      </c>
      <c r="E349" s="6">
        <f t="shared" ca="1" si="50"/>
        <v>42339</v>
      </c>
      <c r="F349" s="7">
        <f t="shared" ca="1" si="51"/>
        <v>0</v>
      </c>
      <c r="G349" s="125">
        <f ca="1">IF('Simulador - 1º Pilar'!$E$99="Sí",IF('Aportaciones Flex'!$B$13&lt;'Aportaciones Flex'!E349,0,F349*$B$8/12),F349*$B$8/12)</f>
        <v>0</v>
      </c>
      <c r="H349" s="125">
        <f t="shared" ca="1" si="47"/>
        <v>0</v>
      </c>
      <c r="I349" s="126">
        <f t="shared" ca="1" si="48"/>
        <v>0</v>
      </c>
      <c r="J349" s="125">
        <f t="shared" ca="1" si="52"/>
        <v>0</v>
      </c>
      <c r="K349" s="151"/>
      <c r="L349" s="125">
        <f t="shared" ca="1" si="53"/>
        <v>0</v>
      </c>
      <c r="P349">
        <f t="shared" si="54"/>
        <v>342</v>
      </c>
      <c r="S349" s="126">
        <f t="shared" ca="1" si="49"/>
        <v>0</v>
      </c>
      <c r="T349" s="126">
        <f t="shared" ca="1" si="55"/>
        <v>0</v>
      </c>
    </row>
    <row r="350" spans="4:20">
      <c r="D350">
        <v>343</v>
      </c>
      <c r="E350" s="6">
        <f t="shared" ca="1" si="50"/>
        <v>42309</v>
      </c>
      <c r="F350" s="7">
        <f t="shared" ca="1" si="51"/>
        <v>0</v>
      </c>
      <c r="G350" s="125">
        <f ca="1">IF('Simulador - 1º Pilar'!$E$99="Sí",IF('Aportaciones Flex'!$B$13&lt;'Aportaciones Flex'!E350,0,F350*$B$8/12),F350*$B$8/12)</f>
        <v>0</v>
      </c>
      <c r="H350" s="125">
        <f t="shared" ca="1" si="47"/>
        <v>0</v>
      </c>
      <c r="I350" s="126">
        <f t="shared" ca="1" si="48"/>
        <v>0</v>
      </c>
      <c r="J350" s="125">
        <f t="shared" ca="1" si="52"/>
        <v>0</v>
      </c>
      <c r="K350" s="151"/>
      <c r="L350" s="125">
        <f t="shared" ca="1" si="53"/>
        <v>0</v>
      </c>
      <c r="P350">
        <f t="shared" si="54"/>
        <v>343</v>
      </c>
      <c r="S350" s="126">
        <f t="shared" ca="1" si="49"/>
        <v>0</v>
      </c>
      <c r="T350" s="126">
        <f t="shared" ca="1" si="55"/>
        <v>0</v>
      </c>
    </row>
    <row r="351" spans="4:20">
      <c r="D351">
        <v>344</v>
      </c>
      <c r="E351" s="6">
        <f t="shared" ca="1" si="50"/>
        <v>42278</v>
      </c>
      <c r="F351" s="7">
        <f t="shared" ca="1" si="51"/>
        <v>0</v>
      </c>
      <c r="G351" s="125">
        <f ca="1">IF('Simulador - 1º Pilar'!$E$99="Sí",IF('Aportaciones Flex'!$B$13&lt;'Aportaciones Flex'!E351,0,F351*$B$8/12),F351*$B$8/12)</f>
        <v>0</v>
      </c>
      <c r="H351" s="125">
        <f t="shared" ca="1" si="47"/>
        <v>0</v>
      </c>
      <c r="I351" s="126">
        <f t="shared" ca="1" si="48"/>
        <v>0</v>
      </c>
      <c r="J351" s="125">
        <f t="shared" ca="1" si="52"/>
        <v>0</v>
      </c>
      <c r="K351" s="151"/>
      <c r="L351" s="125">
        <f t="shared" ca="1" si="53"/>
        <v>0</v>
      </c>
      <c r="P351">
        <f t="shared" si="54"/>
        <v>344</v>
      </c>
      <c r="S351" s="126">
        <f t="shared" ca="1" si="49"/>
        <v>0</v>
      </c>
      <c r="T351" s="126">
        <f t="shared" ca="1" si="55"/>
        <v>0</v>
      </c>
    </row>
    <row r="352" spans="4:20">
      <c r="D352">
        <v>345</v>
      </c>
      <c r="E352" s="6">
        <f t="shared" ca="1" si="50"/>
        <v>42248</v>
      </c>
      <c r="F352" s="7">
        <f t="shared" ca="1" si="51"/>
        <v>0</v>
      </c>
      <c r="G352" s="125">
        <f ca="1">IF('Simulador - 1º Pilar'!$E$99="Sí",IF('Aportaciones Flex'!$B$13&lt;'Aportaciones Flex'!E352,0,F352*$B$8/12),F352*$B$8/12)</f>
        <v>0</v>
      </c>
      <c r="H352" s="125">
        <f t="shared" ca="1" si="47"/>
        <v>0</v>
      </c>
      <c r="I352" s="126">
        <f t="shared" ca="1" si="48"/>
        <v>0</v>
      </c>
      <c r="J352" s="125">
        <f t="shared" ca="1" si="52"/>
        <v>0</v>
      </c>
      <c r="K352" s="151"/>
      <c r="L352" s="125">
        <f t="shared" ca="1" si="53"/>
        <v>0</v>
      </c>
      <c r="P352">
        <f t="shared" si="54"/>
        <v>345</v>
      </c>
      <c r="S352" s="126">
        <f t="shared" ca="1" si="49"/>
        <v>0</v>
      </c>
      <c r="T352" s="126">
        <f t="shared" ca="1" si="55"/>
        <v>0</v>
      </c>
    </row>
    <row r="353" spans="4:20">
      <c r="D353">
        <v>346</v>
      </c>
      <c r="E353" s="6">
        <f t="shared" ca="1" si="50"/>
        <v>42217</v>
      </c>
      <c r="F353" s="7">
        <f t="shared" ca="1" si="51"/>
        <v>0</v>
      </c>
      <c r="G353" s="125">
        <f ca="1">IF('Simulador - 1º Pilar'!$E$99="Sí",IF('Aportaciones Flex'!$B$13&lt;'Aportaciones Flex'!E353,0,F353*$B$8/12),F353*$B$8/12)</f>
        <v>0</v>
      </c>
      <c r="H353" s="125">
        <f t="shared" ca="1" si="47"/>
        <v>0</v>
      </c>
      <c r="I353" s="126">
        <f t="shared" ca="1" si="48"/>
        <v>0</v>
      </c>
      <c r="J353" s="125">
        <f t="shared" ca="1" si="52"/>
        <v>0</v>
      </c>
      <c r="K353" s="151"/>
      <c r="L353" s="125">
        <f t="shared" ca="1" si="53"/>
        <v>0</v>
      </c>
      <c r="P353">
        <f t="shared" si="54"/>
        <v>346</v>
      </c>
      <c r="S353" s="126">
        <f t="shared" ca="1" si="49"/>
        <v>0</v>
      </c>
      <c r="T353" s="126">
        <f t="shared" ca="1" si="55"/>
        <v>0</v>
      </c>
    </row>
    <row r="354" spans="4:20">
      <c r="D354">
        <v>347</v>
      </c>
      <c r="E354" s="6">
        <f t="shared" ca="1" si="50"/>
        <v>42186</v>
      </c>
      <c r="F354" s="7">
        <f t="shared" ca="1" si="51"/>
        <v>0</v>
      </c>
      <c r="G354" s="125">
        <f ca="1">IF('Simulador - 1º Pilar'!$E$99="Sí",IF('Aportaciones Flex'!$B$13&lt;'Aportaciones Flex'!E354,0,F354*$B$8/12),F354*$B$8/12)</f>
        <v>0</v>
      </c>
      <c r="H354" s="125">
        <f t="shared" ca="1" si="47"/>
        <v>0</v>
      </c>
      <c r="I354" s="126">
        <f t="shared" ca="1" si="48"/>
        <v>0</v>
      </c>
      <c r="J354" s="125">
        <f t="shared" ca="1" si="52"/>
        <v>0</v>
      </c>
      <c r="K354" s="151"/>
      <c r="L354" s="125">
        <f t="shared" ca="1" si="53"/>
        <v>0</v>
      </c>
      <c r="P354">
        <f t="shared" si="54"/>
        <v>347</v>
      </c>
      <c r="S354" s="126">
        <f t="shared" ca="1" si="49"/>
        <v>0</v>
      </c>
      <c r="T354" s="126">
        <f t="shared" ca="1" si="55"/>
        <v>0</v>
      </c>
    </row>
    <row r="355" spans="4:20">
      <c r="D355">
        <v>348</v>
      </c>
      <c r="E355" s="6">
        <f t="shared" ca="1" si="50"/>
        <v>42156</v>
      </c>
      <c r="F355" s="7">
        <f t="shared" ca="1" si="51"/>
        <v>0</v>
      </c>
      <c r="G355" s="125">
        <f ca="1">IF('Simulador - 1º Pilar'!$E$99="Sí",IF('Aportaciones Flex'!$B$13&lt;'Aportaciones Flex'!E355,0,F355*$B$8/12),F355*$B$8/12)</f>
        <v>0</v>
      </c>
      <c r="H355" s="125">
        <f t="shared" ca="1" si="47"/>
        <v>0</v>
      </c>
      <c r="I355" s="126">
        <f t="shared" ca="1" si="48"/>
        <v>0</v>
      </c>
      <c r="J355" s="125">
        <f t="shared" ca="1" si="52"/>
        <v>0</v>
      </c>
      <c r="K355" s="151"/>
      <c r="L355" s="125">
        <f t="shared" ca="1" si="53"/>
        <v>0</v>
      </c>
      <c r="P355">
        <f t="shared" si="54"/>
        <v>348</v>
      </c>
      <c r="S355" s="126">
        <f t="shared" ca="1" si="49"/>
        <v>0</v>
      </c>
      <c r="T355" s="126">
        <f t="shared" ca="1" si="55"/>
        <v>0</v>
      </c>
    </row>
    <row r="356" spans="4:20">
      <c r="D356">
        <v>349</v>
      </c>
      <c r="E356" s="6">
        <f t="shared" ca="1" si="50"/>
        <v>42125</v>
      </c>
      <c r="F356" s="7">
        <f t="shared" ca="1" si="51"/>
        <v>0</v>
      </c>
      <c r="G356" s="125">
        <f ca="1">IF('Simulador - 1º Pilar'!$E$99="Sí",IF('Aportaciones Flex'!$B$13&lt;'Aportaciones Flex'!E356,0,F356*$B$8/12),F356*$B$8/12)</f>
        <v>0</v>
      </c>
      <c r="H356" s="125">
        <f t="shared" ca="1" si="47"/>
        <v>0</v>
      </c>
      <c r="I356" s="126">
        <f t="shared" ca="1" si="48"/>
        <v>0</v>
      </c>
      <c r="J356" s="125">
        <f t="shared" ca="1" si="52"/>
        <v>0</v>
      </c>
      <c r="K356" s="151"/>
      <c r="L356" s="125">
        <f t="shared" ca="1" si="53"/>
        <v>0</v>
      </c>
      <c r="P356">
        <f t="shared" si="54"/>
        <v>349</v>
      </c>
      <c r="S356" s="126">
        <f t="shared" ca="1" si="49"/>
        <v>0</v>
      </c>
      <c r="T356" s="126">
        <f t="shared" ca="1" si="55"/>
        <v>0</v>
      </c>
    </row>
    <row r="357" spans="4:20">
      <c r="D357">
        <v>350</v>
      </c>
      <c r="E357" s="6">
        <f t="shared" ca="1" si="50"/>
        <v>42095</v>
      </c>
      <c r="F357" s="7">
        <f t="shared" ca="1" si="51"/>
        <v>0</v>
      </c>
      <c r="G357" s="125">
        <f ca="1">IF('Simulador - 1º Pilar'!$E$99="Sí",IF('Aportaciones Flex'!$B$13&lt;'Aportaciones Flex'!E357,0,F357*$B$8/12),F357*$B$8/12)</f>
        <v>0</v>
      </c>
      <c r="H357" s="125">
        <f t="shared" ca="1" si="47"/>
        <v>0</v>
      </c>
      <c r="I357" s="126">
        <f t="shared" ca="1" si="48"/>
        <v>0</v>
      </c>
      <c r="J357" s="125">
        <f t="shared" ca="1" si="52"/>
        <v>0</v>
      </c>
      <c r="K357" s="151"/>
      <c r="L357" s="125">
        <f t="shared" ca="1" si="53"/>
        <v>0</v>
      </c>
      <c r="P357">
        <f t="shared" si="54"/>
        <v>350</v>
      </c>
      <c r="S357" s="126">
        <f t="shared" ca="1" si="49"/>
        <v>0</v>
      </c>
      <c r="T357" s="126">
        <f t="shared" ca="1" si="55"/>
        <v>0</v>
      </c>
    </row>
    <row r="358" spans="4:20">
      <c r="D358">
        <v>351</v>
      </c>
      <c r="E358" s="6">
        <f t="shared" ca="1" si="50"/>
        <v>42064</v>
      </c>
      <c r="F358" s="7">
        <f t="shared" ca="1" si="51"/>
        <v>0</v>
      </c>
      <c r="G358" s="125">
        <f ca="1">IF('Simulador - 1º Pilar'!$E$99="Sí",IF('Aportaciones Flex'!$B$13&lt;'Aportaciones Flex'!E358,0,F358*$B$8/12),F358*$B$8/12)</f>
        <v>0</v>
      </c>
      <c r="H358" s="125">
        <f t="shared" ca="1" si="47"/>
        <v>0</v>
      </c>
      <c r="I358" s="126">
        <f t="shared" ca="1" si="48"/>
        <v>0</v>
      </c>
      <c r="J358" s="125">
        <f t="shared" ca="1" si="52"/>
        <v>0</v>
      </c>
      <c r="K358" s="151"/>
      <c r="L358" s="125">
        <f t="shared" ca="1" si="53"/>
        <v>0</v>
      </c>
      <c r="P358">
        <f t="shared" si="54"/>
        <v>351</v>
      </c>
      <c r="S358" s="126">
        <f t="shared" ca="1" si="49"/>
        <v>0</v>
      </c>
      <c r="T358" s="126">
        <f t="shared" ca="1" si="55"/>
        <v>0</v>
      </c>
    </row>
    <row r="359" spans="4:20">
      <c r="D359">
        <v>352</v>
      </c>
      <c r="E359" s="6">
        <f t="shared" ca="1" si="50"/>
        <v>42036</v>
      </c>
      <c r="F359" s="7">
        <f t="shared" ca="1" si="51"/>
        <v>0</v>
      </c>
      <c r="G359" s="125">
        <f ca="1">IF('Simulador - 1º Pilar'!$E$99="Sí",IF('Aportaciones Flex'!$B$13&lt;'Aportaciones Flex'!E359,0,F359*$B$8/12),F359*$B$8/12)</f>
        <v>0</v>
      </c>
      <c r="H359" s="125">
        <f t="shared" ca="1" si="47"/>
        <v>0</v>
      </c>
      <c r="I359" s="126">
        <f t="shared" ca="1" si="48"/>
        <v>0</v>
      </c>
      <c r="J359" s="125">
        <f t="shared" ca="1" si="52"/>
        <v>0</v>
      </c>
      <c r="K359" s="151"/>
      <c r="L359" s="125">
        <f t="shared" ca="1" si="53"/>
        <v>0</v>
      </c>
      <c r="P359">
        <f t="shared" si="54"/>
        <v>352</v>
      </c>
      <c r="S359" s="126">
        <f t="shared" ca="1" si="49"/>
        <v>0</v>
      </c>
      <c r="T359" s="126">
        <f t="shared" ca="1" si="55"/>
        <v>0</v>
      </c>
    </row>
    <row r="360" spans="4:20">
      <c r="D360">
        <v>353</v>
      </c>
      <c r="E360" s="6">
        <f t="shared" ca="1" si="50"/>
        <v>42005</v>
      </c>
      <c r="F360" s="7">
        <f t="shared" ca="1" si="51"/>
        <v>0</v>
      </c>
      <c r="G360" s="125">
        <f ca="1">IF('Simulador - 1º Pilar'!$E$99="Sí",IF('Aportaciones Flex'!$B$13&lt;'Aportaciones Flex'!E360,0,F360*$B$8/12),F360*$B$8/12)</f>
        <v>0</v>
      </c>
      <c r="H360" s="125">
        <f t="shared" ca="1" si="47"/>
        <v>0</v>
      </c>
      <c r="I360" s="126">
        <f t="shared" ca="1" si="48"/>
        <v>0</v>
      </c>
      <c r="J360" s="125">
        <f t="shared" ca="1" si="52"/>
        <v>0</v>
      </c>
      <c r="K360" s="151"/>
      <c r="L360" s="125">
        <f t="shared" ca="1" si="53"/>
        <v>0</v>
      </c>
      <c r="P360">
        <f t="shared" si="54"/>
        <v>353</v>
      </c>
      <c r="S360" s="126">
        <f t="shared" ca="1" si="49"/>
        <v>0</v>
      </c>
      <c r="T360" s="126">
        <f t="shared" ca="1" si="55"/>
        <v>0</v>
      </c>
    </row>
    <row r="361" spans="4:20">
      <c r="D361">
        <v>354</v>
      </c>
      <c r="E361" s="6">
        <f t="shared" ca="1" si="50"/>
        <v>41974</v>
      </c>
      <c r="F361" s="7">
        <f t="shared" ca="1" si="51"/>
        <v>0</v>
      </c>
      <c r="G361" s="125">
        <f ca="1">IF('Simulador - 1º Pilar'!$E$99="Sí",IF('Aportaciones Flex'!$B$13&lt;'Aportaciones Flex'!E361,0,F361*$B$8/12),F361*$B$8/12)</f>
        <v>0</v>
      </c>
      <c r="H361" s="125">
        <f t="shared" ca="1" si="47"/>
        <v>0</v>
      </c>
      <c r="I361" s="126">
        <f t="shared" ca="1" si="48"/>
        <v>0</v>
      </c>
      <c r="J361" s="125">
        <f t="shared" ca="1" si="52"/>
        <v>0</v>
      </c>
      <c r="K361" s="151"/>
      <c r="L361" s="125">
        <f t="shared" ca="1" si="53"/>
        <v>0</v>
      </c>
      <c r="P361">
        <f t="shared" si="54"/>
        <v>354</v>
      </c>
      <c r="S361" s="126">
        <f t="shared" ca="1" si="49"/>
        <v>0</v>
      </c>
      <c r="T361" s="126">
        <f t="shared" ca="1" si="55"/>
        <v>0</v>
      </c>
    </row>
    <row r="362" spans="4:20">
      <c r="D362">
        <v>355</v>
      </c>
      <c r="E362" s="6">
        <f t="shared" ca="1" si="50"/>
        <v>41944</v>
      </c>
      <c r="F362" s="7">
        <f t="shared" ca="1" si="51"/>
        <v>0</v>
      </c>
      <c r="G362" s="125">
        <f ca="1">IF('Simulador - 1º Pilar'!$E$99="Sí",IF('Aportaciones Flex'!$B$13&lt;'Aportaciones Flex'!E362,0,F362*$B$8/12),F362*$B$8/12)</f>
        <v>0</v>
      </c>
      <c r="H362" s="125">
        <f t="shared" ca="1" si="47"/>
        <v>0</v>
      </c>
      <c r="I362" s="126">
        <f t="shared" ca="1" si="48"/>
        <v>0</v>
      </c>
      <c r="J362" s="125">
        <f t="shared" ca="1" si="52"/>
        <v>0</v>
      </c>
      <c r="K362" s="151"/>
      <c r="L362" s="125">
        <f t="shared" ca="1" si="53"/>
        <v>0</v>
      </c>
      <c r="P362">
        <f t="shared" si="54"/>
        <v>355</v>
      </c>
      <c r="S362" s="126">
        <f t="shared" ca="1" si="49"/>
        <v>0</v>
      </c>
      <c r="T362" s="126">
        <f t="shared" ca="1" si="55"/>
        <v>0</v>
      </c>
    </row>
    <row r="363" spans="4:20">
      <c r="D363">
        <v>356</v>
      </c>
      <c r="E363" s="6">
        <f t="shared" ca="1" si="50"/>
        <v>41913</v>
      </c>
      <c r="F363" s="7">
        <f t="shared" ca="1" si="51"/>
        <v>0</v>
      </c>
      <c r="G363" s="125">
        <f ca="1">IF('Simulador - 1º Pilar'!$E$99="Sí",IF('Aportaciones Flex'!$B$13&lt;'Aportaciones Flex'!E363,0,F363*$B$8/12),F363*$B$8/12)</f>
        <v>0</v>
      </c>
      <c r="H363" s="125">
        <f t="shared" ca="1" si="47"/>
        <v>0</v>
      </c>
      <c r="I363" s="126">
        <f t="shared" ca="1" si="48"/>
        <v>0</v>
      </c>
      <c r="J363" s="125">
        <f t="shared" ca="1" si="52"/>
        <v>0</v>
      </c>
      <c r="K363" s="151"/>
      <c r="L363" s="125">
        <f t="shared" ca="1" si="53"/>
        <v>0</v>
      </c>
      <c r="P363">
        <f t="shared" si="54"/>
        <v>356</v>
      </c>
      <c r="S363" s="126">
        <f t="shared" ca="1" si="49"/>
        <v>0</v>
      </c>
      <c r="T363" s="126">
        <f t="shared" ca="1" si="55"/>
        <v>0</v>
      </c>
    </row>
    <row r="364" spans="4:20">
      <c r="D364">
        <v>357</v>
      </c>
      <c r="E364" s="6">
        <f t="shared" ca="1" si="50"/>
        <v>41883</v>
      </c>
      <c r="F364" s="7">
        <f t="shared" ca="1" si="51"/>
        <v>0</v>
      </c>
      <c r="G364" s="125">
        <f ca="1">IF('Simulador - 1º Pilar'!$E$99="Sí",IF('Aportaciones Flex'!$B$13&lt;'Aportaciones Flex'!E364,0,F364*$B$8/12),F364*$B$8/12)</f>
        <v>0</v>
      </c>
      <c r="H364" s="125">
        <f t="shared" ca="1" si="47"/>
        <v>0</v>
      </c>
      <c r="I364" s="126">
        <f t="shared" ca="1" si="48"/>
        <v>0</v>
      </c>
      <c r="J364" s="125">
        <f t="shared" ca="1" si="52"/>
        <v>0</v>
      </c>
      <c r="K364" s="151"/>
      <c r="L364" s="125">
        <f t="shared" ca="1" si="53"/>
        <v>0</v>
      </c>
      <c r="P364">
        <f t="shared" si="54"/>
        <v>357</v>
      </c>
      <c r="S364" s="126">
        <f t="shared" ca="1" si="49"/>
        <v>0</v>
      </c>
      <c r="T364" s="126">
        <f t="shared" ca="1" si="55"/>
        <v>0</v>
      </c>
    </row>
    <row r="365" spans="4:20">
      <c r="D365">
        <v>358</v>
      </c>
      <c r="E365" s="6">
        <f t="shared" ca="1" si="50"/>
        <v>41852</v>
      </c>
      <c r="F365" s="7">
        <f t="shared" ca="1" si="51"/>
        <v>0</v>
      </c>
      <c r="G365" s="125">
        <f ca="1">IF('Simulador - 1º Pilar'!$E$99="Sí",IF('Aportaciones Flex'!$B$13&lt;'Aportaciones Flex'!E365,0,F365*$B$8/12),F365*$B$8/12)</f>
        <v>0</v>
      </c>
      <c r="H365" s="125">
        <f t="shared" ca="1" si="47"/>
        <v>0</v>
      </c>
      <c r="I365" s="126">
        <f t="shared" ca="1" si="48"/>
        <v>0</v>
      </c>
      <c r="J365" s="125">
        <f t="shared" ca="1" si="52"/>
        <v>0</v>
      </c>
      <c r="K365" s="151"/>
      <c r="L365" s="125">
        <f t="shared" ca="1" si="53"/>
        <v>0</v>
      </c>
      <c r="P365">
        <f t="shared" si="54"/>
        <v>358</v>
      </c>
      <c r="S365" s="126">
        <f t="shared" ca="1" si="49"/>
        <v>0</v>
      </c>
      <c r="T365" s="126">
        <f t="shared" ca="1" si="55"/>
        <v>0</v>
      </c>
    </row>
    <row r="366" spans="4:20">
      <c r="D366">
        <v>359</v>
      </c>
      <c r="E366" s="6">
        <f t="shared" ca="1" si="50"/>
        <v>41821</v>
      </c>
      <c r="F366" s="7">
        <f t="shared" ca="1" si="51"/>
        <v>0</v>
      </c>
      <c r="G366" s="125">
        <f ca="1">IF('Simulador - 1º Pilar'!$E$99="Sí",IF('Aportaciones Flex'!$B$13&lt;'Aportaciones Flex'!E366,0,F366*$B$8/12),F366*$B$8/12)</f>
        <v>0</v>
      </c>
      <c r="H366" s="125">
        <f t="shared" ca="1" si="47"/>
        <v>0</v>
      </c>
      <c r="I366" s="126">
        <f t="shared" ca="1" si="48"/>
        <v>0</v>
      </c>
      <c r="J366" s="125">
        <f t="shared" ca="1" si="52"/>
        <v>0</v>
      </c>
      <c r="K366" s="151"/>
      <c r="L366" s="125">
        <f t="shared" ca="1" si="53"/>
        <v>0</v>
      </c>
      <c r="P366">
        <f t="shared" si="54"/>
        <v>359</v>
      </c>
      <c r="S366" s="126">
        <f t="shared" ca="1" si="49"/>
        <v>0</v>
      </c>
      <c r="T366" s="126">
        <f t="shared" ca="1" si="55"/>
        <v>0</v>
      </c>
    </row>
    <row r="367" spans="4:20">
      <c r="D367">
        <v>360</v>
      </c>
      <c r="E367" s="6">
        <f t="shared" ca="1" si="50"/>
        <v>41791</v>
      </c>
      <c r="F367" s="7">
        <f t="shared" ca="1" si="51"/>
        <v>0</v>
      </c>
      <c r="G367" s="125">
        <f ca="1">IF('Simulador - 1º Pilar'!$E$99="Sí",IF('Aportaciones Flex'!$B$13&lt;'Aportaciones Flex'!E367,0,F367*$B$8/12),F367*$B$8/12)</f>
        <v>0</v>
      </c>
      <c r="H367" s="125">
        <f t="shared" ca="1" si="47"/>
        <v>0</v>
      </c>
      <c r="I367" s="126">
        <f t="shared" ca="1" si="48"/>
        <v>0</v>
      </c>
      <c r="J367" s="125">
        <f t="shared" ca="1" si="52"/>
        <v>0</v>
      </c>
      <c r="K367" s="151"/>
      <c r="L367" s="125">
        <f t="shared" ca="1" si="53"/>
        <v>0</v>
      </c>
      <c r="P367">
        <f t="shared" si="54"/>
        <v>360</v>
      </c>
      <c r="S367" s="126">
        <f t="shared" ca="1" si="49"/>
        <v>0</v>
      </c>
      <c r="T367" s="126">
        <f t="shared" ca="1" si="55"/>
        <v>0</v>
      </c>
    </row>
    <row r="368" spans="4:20">
      <c r="D368">
        <v>361</v>
      </c>
      <c r="E368" s="6">
        <f t="shared" ca="1" si="50"/>
        <v>41760</v>
      </c>
      <c r="F368" s="7">
        <f t="shared" ca="1" si="51"/>
        <v>0</v>
      </c>
      <c r="G368" s="125">
        <f ca="1">IF('Simulador - 1º Pilar'!$E$99="Sí",IF('Aportaciones Flex'!$B$13&lt;'Aportaciones Flex'!E368,0,F368*$B$8/12),F368*$B$8/12)</f>
        <v>0</v>
      </c>
      <c r="H368" s="125">
        <f t="shared" ca="1" si="47"/>
        <v>0</v>
      </c>
      <c r="I368" s="126">
        <f t="shared" ca="1" si="48"/>
        <v>0</v>
      </c>
      <c r="J368" s="125">
        <f t="shared" ca="1" si="52"/>
        <v>0</v>
      </c>
      <c r="K368" s="151"/>
      <c r="L368" s="125">
        <f t="shared" ca="1" si="53"/>
        <v>0</v>
      </c>
      <c r="P368">
        <f t="shared" si="54"/>
        <v>361</v>
      </c>
      <c r="S368" s="126">
        <f t="shared" ca="1" si="49"/>
        <v>0</v>
      </c>
      <c r="T368" s="126">
        <f t="shared" ca="1" si="55"/>
        <v>0</v>
      </c>
    </row>
    <row r="369" spans="4:20">
      <c r="D369">
        <v>362</v>
      </c>
      <c r="E369" s="6">
        <f t="shared" ca="1" si="50"/>
        <v>41730</v>
      </c>
      <c r="F369" s="7">
        <f t="shared" ca="1" si="51"/>
        <v>0</v>
      </c>
      <c r="G369" s="125">
        <f ca="1">IF('Simulador - 1º Pilar'!$E$99="Sí",IF('Aportaciones Flex'!$B$13&lt;'Aportaciones Flex'!E369,0,F369*$B$8/12),F369*$B$8/12)</f>
        <v>0</v>
      </c>
      <c r="H369" s="125">
        <f t="shared" ca="1" si="47"/>
        <v>0</v>
      </c>
      <c r="I369" s="126">
        <f t="shared" ca="1" si="48"/>
        <v>0</v>
      </c>
      <c r="J369" s="125">
        <f t="shared" ca="1" si="52"/>
        <v>0</v>
      </c>
      <c r="K369" s="151"/>
      <c r="L369" s="125">
        <f t="shared" ca="1" si="53"/>
        <v>0</v>
      </c>
      <c r="P369">
        <f t="shared" si="54"/>
        <v>362</v>
      </c>
      <c r="S369" s="126">
        <f t="shared" ca="1" si="49"/>
        <v>0</v>
      </c>
      <c r="T369" s="126">
        <f t="shared" ca="1" si="55"/>
        <v>0</v>
      </c>
    </row>
    <row r="370" spans="4:20">
      <c r="D370">
        <v>363</v>
      </c>
      <c r="E370" s="6">
        <f t="shared" ca="1" si="50"/>
        <v>41699</v>
      </c>
      <c r="F370" s="7">
        <f t="shared" ca="1" si="51"/>
        <v>0</v>
      </c>
      <c r="G370" s="125">
        <f ca="1">IF('Simulador - 1º Pilar'!$E$99="Sí",IF('Aportaciones Flex'!$B$13&lt;'Aportaciones Flex'!E370,0,F370*$B$8/12),F370*$B$8/12)</f>
        <v>0</v>
      </c>
      <c r="H370" s="125">
        <f t="shared" ca="1" si="47"/>
        <v>0</v>
      </c>
      <c r="I370" s="126">
        <f t="shared" ca="1" si="48"/>
        <v>0</v>
      </c>
      <c r="J370" s="125">
        <f t="shared" ca="1" si="52"/>
        <v>0</v>
      </c>
      <c r="K370" s="151"/>
      <c r="L370" s="125">
        <f t="shared" ca="1" si="53"/>
        <v>0</v>
      </c>
      <c r="P370">
        <f t="shared" si="54"/>
        <v>363</v>
      </c>
      <c r="S370" s="126">
        <f t="shared" ca="1" si="49"/>
        <v>0</v>
      </c>
      <c r="T370" s="126">
        <f t="shared" ca="1" si="55"/>
        <v>0</v>
      </c>
    </row>
    <row r="371" spans="4:20">
      <c r="D371">
        <v>364</v>
      </c>
      <c r="E371" s="6">
        <f t="shared" ca="1" si="50"/>
        <v>41671</v>
      </c>
      <c r="F371" s="7">
        <f t="shared" ca="1" si="51"/>
        <v>0</v>
      </c>
      <c r="G371" s="125">
        <f ca="1">IF('Simulador - 1º Pilar'!$E$99="Sí",IF('Aportaciones Flex'!$B$13&lt;'Aportaciones Flex'!E371,0,F371*$B$8/12),F371*$B$8/12)</f>
        <v>0</v>
      </c>
      <c r="H371" s="125">
        <f t="shared" ca="1" si="47"/>
        <v>0</v>
      </c>
      <c r="I371" s="126">
        <f t="shared" ca="1" si="48"/>
        <v>0</v>
      </c>
      <c r="J371" s="125">
        <f t="shared" ca="1" si="52"/>
        <v>0</v>
      </c>
      <c r="K371" s="151"/>
      <c r="L371" s="125">
        <f t="shared" ca="1" si="53"/>
        <v>0</v>
      </c>
      <c r="P371">
        <f t="shared" si="54"/>
        <v>364</v>
      </c>
      <c r="S371" s="126">
        <f t="shared" ca="1" si="49"/>
        <v>0</v>
      </c>
      <c r="T371" s="126">
        <f t="shared" ca="1" si="55"/>
        <v>0</v>
      </c>
    </row>
    <row r="372" spans="4:20">
      <c r="D372">
        <v>365</v>
      </c>
      <c r="E372" s="6">
        <f t="shared" ca="1" si="50"/>
        <v>41640</v>
      </c>
      <c r="F372" s="7">
        <f t="shared" ca="1" si="51"/>
        <v>0</v>
      </c>
      <c r="G372" s="125">
        <f ca="1">IF('Simulador - 1º Pilar'!$E$99="Sí",IF('Aportaciones Flex'!$B$13&lt;'Aportaciones Flex'!E372,0,F372*$B$8/12),F372*$B$8/12)</f>
        <v>0</v>
      </c>
      <c r="H372" s="125">
        <f t="shared" ca="1" si="47"/>
        <v>0</v>
      </c>
      <c r="I372" s="126">
        <f t="shared" ca="1" si="48"/>
        <v>0</v>
      </c>
      <c r="J372" s="125">
        <f t="shared" ca="1" si="52"/>
        <v>0</v>
      </c>
      <c r="K372" s="151"/>
      <c r="L372" s="125">
        <f t="shared" ca="1" si="53"/>
        <v>0</v>
      </c>
      <c r="P372">
        <f t="shared" si="54"/>
        <v>365</v>
      </c>
      <c r="S372" s="126">
        <f t="shared" ca="1" si="49"/>
        <v>0</v>
      </c>
      <c r="T372" s="126">
        <f t="shared" ca="1" si="55"/>
        <v>0</v>
      </c>
    </row>
    <row r="373" spans="4:20">
      <c r="D373">
        <v>366</v>
      </c>
      <c r="E373" s="6">
        <f t="shared" ca="1" si="50"/>
        <v>41609</v>
      </c>
      <c r="F373" s="7">
        <f t="shared" ca="1" si="51"/>
        <v>0</v>
      </c>
      <c r="G373" s="125">
        <f ca="1">IF('Simulador - 1º Pilar'!$E$99="Sí",IF('Aportaciones Flex'!$B$13&lt;'Aportaciones Flex'!E373,0,F373*$B$8/12),F373*$B$8/12)</f>
        <v>0</v>
      </c>
      <c r="H373" s="125">
        <f t="shared" ca="1" si="47"/>
        <v>0</v>
      </c>
      <c r="I373" s="126">
        <f t="shared" ca="1" si="48"/>
        <v>0</v>
      </c>
      <c r="J373" s="125">
        <f t="shared" ca="1" si="52"/>
        <v>0</v>
      </c>
      <c r="K373" s="151"/>
      <c r="L373" s="125">
        <f t="shared" ca="1" si="53"/>
        <v>0</v>
      </c>
      <c r="P373">
        <f t="shared" si="54"/>
        <v>366</v>
      </c>
      <c r="S373" s="126">
        <f t="shared" ca="1" si="49"/>
        <v>0</v>
      </c>
      <c r="T373" s="126">
        <f t="shared" ca="1" si="55"/>
        <v>0</v>
      </c>
    </row>
    <row r="374" spans="4:20">
      <c r="D374">
        <v>367</v>
      </c>
      <c r="E374" s="6">
        <f t="shared" ca="1" si="50"/>
        <v>41579</v>
      </c>
      <c r="F374" s="7">
        <f t="shared" ca="1" si="51"/>
        <v>0</v>
      </c>
      <c r="G374" s="125">
        <f ca="1">IF('Simulador - 1º Pilar'!$E$99="Sí",IF('Aportaciones Flex'!$B$13&lt;'Aportaciones Flex'!E374,0,F374*$B$8/12),F374*$B$8/12)</f>
        <v>0</v>
      </c>
      <c r="H374" s="125">
        <f t="shared" ca="1" si="47"/>
        <v>0</v>
      </c>
      <c r="I374" s="126">
        <f t="shared" ca="1" si="48"/>
        <v>0</v>
      </c>
      <c r="J374" s="125">
        <f t="shared" ca="1" si="52"/>
        <v>0</v>
      </c>
      <c r="K374" s="151"/>
      <c r="L374" s="125">
        <f t="shared" ca="1" si="53"/>
        <v>0</v>
      </c>
      <c r="P374">
        <f t="shared" si="54"/>
        <v>367</v>
      </c>
      <c r="S374" s="126">
        <f t="shared" ca="1" si="49"/>
        <v>0</v>
      </c>
      <c r="T374" s="126">
        <f t="shared" ca="1" si="55"/>
        <v>0</v>
      </c>
    </row>
    <row r="375" spans="4:20">
      <c r="D375">
        <v>368</v>
      </c>
      <c r="E375" s="6">
        <f t="shared" ca="1" si="50"/>
        <v>41548</v>
      </c>
      <c r="F375" s="7">
        <f t="shared" ca="1" si="51"/>
        <v>0</v>
      </c>
      <c r="G375" s="125">
        <f ca="1">IF('Simulador - 1º Pilar'!$E$99="Sí",IF('Aportaciones Flex'!$B$13&lt;'Aportaciones Flex'!E375,0,F375*$B$8/12),F375*$B$8/12)</f>
        <v>0</v>
      </c>
      <c r="H375" s="125">
        <f t="shared" ca="1" si="47"/>
        <v>0</v>
      </c>
      <c r="I375" s="126">
        <f t="shared" ca="1" si="48"/>
        <v>0</v>
      </c>
      <c r="J375" s="125">
        <f t="shared" ca="1" si="52"/>
        <v>0</v>
      </c>
      <c r="K375" s="151"/>
      <c r="L375" s="125">
        <f t="shared" ca="1" si="53"/>
        <v>0</v>
      </c>
      <c r="P375">
        <f t="shared" si="54"/>
        <v>368</v>
      </c>
      <c r="S375" s="126">
        <f t="shared" ca="1" si="49"/>
        <v>0</v>
      </c>
      <c r="T375" s="126">
        <f t="shared" ca="1" si="55"/>
        <v>0</v>
      </c>
    </row>
    <row r="376" spans="4:20">
      <c r="D376">
        <v>369</v>
      </c>
      <c r="E376" s="6">
        <f t="shared" ca="1" si="50"/>
        <v>41518</v>
      </c>
      <c r="F376" s="7">
        <f t="shared" ca="1" si="51"/>
        <v>0</v>
      </c>
      <c r="G376" s="125">
        <f ca="1">IF('Simulador - 1º Pilar'!$E$99="Sí",IF('Aportaciones Flex'!$B$13&lt;'Aportaciones Flex'!E376,0,F376*$B$8/12),F376*$B$8/12)</f>
        <v>0</v>
      </c>
      <c r="H376" s="125">
        <f t="shared" ca="1" si="47"/>
        <v>0</v>
      </c>
      <c r="I376" s="126">
        <f t="shared" ca="1" si="48"/>
        <v>0</v>
      </c>
      <c r="J376" s="125">
        <f t="shared" ca="1" si="52"/>
        <v>0</v>
      </c>
      <c r="K376" s="151"/>
      <c r="L376" s="125">
        <f t="shared" ca="1" si="53"/>
        <v>0</v>
      </c>
      <c r="P376">
        <f t="shared" si="54"/>
        <v>369</v>
      </c>
      <c r="S376" s="126">
        <f t="shared" ca="1" si="49"/>
        <v>0</v>
      </c>
      <c r="T376" s="126">
        <f t="shared" ca="1" si="55"/>
        <v>0</v>
      </c>
    </row>
    <row r="377" spans="4:20">
      <c r="D377">
        <v>370</v>
      </c>
      <c r="E377" s="6">
        <f t="shared" ca="1" si="50"/>
        <v>41487</v>
      </c>
      <c r="F377" s="7">
        <f t="shared" ca="1" si="51"/>
        <v>0</v>
      </c>
      <c r="G377" s="125">
        <f ca="1">IF('Simulador - 1º Pilar'!$E$99="Sí",IF('Aportaciones Flex'!$B$13&lt;'Aportaciones Flex'!E377,0,F377*$B$8/12),F377*$B$8/12)</f>
        <v>0</v>
      </c>
      <c r="H377" s="125">
        <f t="shared" ca="1" si="47"/>
        <v>0</v>
      </c>
      <c r="I377" s="126">
        <f t="shared" ca="1" si="48"/>
        <v>0</v>
      </c>
      <c r="J377" s="125">
        <f t="shared" ca="1" si="52"/>
        <v>0</v>
      </c>
      <c r="K377" s="151"/>
      <c r="L377" s="125">
        <f t="shared" ca="1" si="53"/>
        <v>0</v>
      </c>
      <c r="P377">
        <f t="shared" si="54"/>
        <v>370</v>
      </c>
      <c r="S377" s="126">
        <f t="shared" ca="1" si="49"/>
        <v>0</v>
      </c>
      <c r="T377" s="126">
        <f t="shared" ca="1" si="55"/>
        <v>0</v>
      </c>
    </row>
    <row r="378" spans="4:20">
      <c r="D378">
        <v>371</v>
      </c>
      <c r="E378" s="6">
        <f t="shared" ca="1" si="50"/>
        <v>41456</v>
      </c>
      <c r="F378" s="7">
        <f t="shared" ca="1" si="51"/>
        <v>0</v>
      </c>
      <c r="G378" s="125">
        <f ca="1">IF('Simulador - 1º Pilar'!$E$99="Sí",IF('Aportaciones Flex'!$B$13&lt;'Aportaciones Flex'!E378,0,F378*$B$8/12),F378*$B$8/12)</f>
        <v>0</v>
      </c>
      <c r="H378" s="125">
        <f t="shared" ca="1" si="47"/>
        <v>0</v>
      </c>
      <c r="I378" s="126">
        <f t="shared" ca="1" si="48"/>
        <v>0</v>
      </c>
      <c r="J378" s="125">
        <f t="shared" ca="1" si="52"/>
        <v>0</v>
      </c>
      <c r="K378" s="151"/>
      <c r="L378" s="125">
        <f t="shared" ca="1" si="53"/>
        <v>0</v>
      </c>
      <c r="P378">
        <f t="shared" si="54"/>
        <v>371</v>
      </c>
      <c r="S378" s="126">
        <f t="shared" ca="1" si="49"/>
        <v>0</v>
      </c>
      <c r="T378" s="126">
        <f t="shared" ca="1" si="55"/>
        <v>0</v>
      </c>
    </row>
    <row r="379" spans="4:20">
      <c r="D379">
        <v>372</v>
      </c>
      <c r="E379" s="6">
        <f t="shared" ca="1" si="50"/>
        <v>41426</v>
      </c>
      <c r="F379" s="7">
        <f t="shared" ca="1" si="51"/>
        <v>0</v>
      </c>
      <c r="G379" s="125">
        <f ca="1">IF('Simulador - 1º Pilar'!$E$99="Sí",IF('Aportaciones Flex'!$B$13&lt;'Aportaciones Flex'!E379,0,F379*$B$8/12),F379*$B$8/12)</f>
        <v>0</v>
      </c>
      <c r="H379" s="125">
        <f t="shared" ca="1" si="47"/>
        <v>0</v>
      </c>
      <c r="I379" s="126">
        <f t="shared" ca="1" si="48"/>
        <v>0</v>
      </c>
      <c r="J379" s="125">
        <f t="shared" ca="1" si="52"/>
        <v>0</v>
      </c>
      <c r="K379" s="151"/>
      <c r="L379" s="125">
        <f t="shared" ca="1" si="53"/>
        <v>0</v>
      </c>
      <c r="P379">
        <f t="shared" si="54"/>
        <v>372</v>
      </c>
      <c r="S379" s="126">
        <f t="shared" ca="1" si="49"/>
        <v>0</v>
      </c>
      <c r="T379" s="126">
        <f t="shared" ca="1" si="55"/>
        <v>0</v>
      </c>
    </row>
    <row r="380" spans="4:20">
      <c r="D380">
        <v>373</v>
      </c>
      <c r="E380" s="6">
        <f t="shared" ca="1" si="50"/>
        <v>41395</v>
      </c>
      <c r="F380" s="7">
        <f t="shared" ca="1" si="51"/>
        <v>0</v>
      </c>
      <c r="G380" s="125">
        <f ca="1">IF('Simulador - 1º Pilar'!$E$99="Sí",IF('Aportaciones Flex'!$B$13&lt;'Aportaciones Flex'!E380,0,F380*$B$8/12),F380*$B$8/12)</f>
        <v>0</v>
      </c>
      <c r="H380" s="125">
        <f t="shared" ca="1" si="47"/>
        <v>0</v>
      </c>
      <c r="I380" s="126">
        <f t="shared" ca="1" si="48"/>
        <v>0</v>
      </c>
      <c r="J380" s="125">
        <f t="shared" ca="1" si="52"/>
        <v>0</v>
      </c>
      <c r="K380" s="151"/>
      <c r="L380" s="125">
        <f t="shared" ca="1" si="53"/>
        <v>0</v>
      </c>
      <c r="P380">
        <f t="shared" si="54"/>
        <v>373</v>
      </c>
      <c r="S380" s="126">
        <f t="shared" ca="1" si="49"/>
        <v>0</v>
      </c>
      <c r="T380" s="126">
        <f t="shared" ca="1" si="55"/>
        <v>0</v>
      </c>
    </row>
    <row r="381" spans="4:20">
      <c r="D381">
        <v>374</v>
      </c>
      <c r="E381" s="6">
        <f t="shared" ca="1" si="50"/>
        <v>41365</v>
      </c>
      <c r="F381" s="7">
        <f t="shared" ca="1" si="51"/>
        <v>0</v>
      </c>
      <c r="G381" s="125">
        <f ca="1">IF('Simulador - 1º Pilar'!$E$99="Sí",IF('Aportaciones Flex'!$B$13&lt;'Aportaciones Flex'!E381,0,F381*$B$8/12),F381*$B$8/12)</f>
        <v>0</v>
      </c>
      <c r="H381" s="125">
        <f t="shared" ca="1" si="47"/>
        <v>0</v>
      </c>
      <c r="I381" s="126">
        <f t="shared" ca="1" si="48"/>
        <v>0</v>
      </c>
      <c r="J381" s="125">
        <f t="shared" ca="1" si="52"/>
        <v>0</v>
      </c>
      <c r="K381" s="151"/>
      <c r="L381" s="125">
        <f t="shared" ca="1" si="53"/>
        <v>0</v>
      </c>
      <c r="P381">
        <f t="shared" si="54"/>
        <v>374</v>
      </c>
      <c r="S381" s="126">
        <f t="shared" ca="1" si="49"/>
        <v>0</v>
      </c>
      <c r="T381" s="126">
        <f t="shared" ca="1" si="55"/>
        <v>0</v>
      </c>
    </row>
    <row r="382" spans="4:20">
      <c r="D382">
        <v>375</v>
      </c>
      <c r="E382" s="6">
        <f t="shared" ca="1" si="50"/>
        <v>41334</v>
      </c>
      <c r="F382" s="7">
        <f t="shared" ca="1" si="51"/>
        <v>0</v>
      </c>
      <c r="G382" s="125">
        <f ca="1">IF('Simulador - 1º Pilar'!$E$99="Sí",IF('Aportaciones Flex'!$B$13&lt;'Aportaciones Flex'!E382,0,F382*$B$8/12),F382*$B$8/12)</f>
        <v>0</v>
      </c>
      <c r="H382" s="125">
        <f t="shared" ca="1" si="47"/>
        <v>0</v>
      </c>
      <c r="I382" s="126">
        <f t="shared" ca="1" si="48"/>
        <v>0</v>
      </c>
      <c r="J382" s="125">
        <f t="shared" ca="1" si="52"/>
        <v>0</v>
      </c>
      <c r="K382" s="151"/>
      <c r="L382" s="125">
        <f t="shared" ca="1" si="53"/>
        <v>0</v>
      </c>
      <c r="P382">
        <f t="shared" si="54"/>
        <v>375</v>
      </c>
      <c r="S382" s="126">
        <f t="shared" ca="1" si="49"/>
        <v>0</v>
      </c>
      <c r="T382" s="126">
        <f t="shared" ca="1" si="55"/>
        <v>0</v>
      </c>
    </row>
    <row r="383" spans="4:20">
      <c r="D383">
        <v>376</v>
      </c>
      <c r="E383" s="6">
        <f t="shared" ca="1" si="50"/>
        <v>41306</v>
      </c>
      <c r="F383" s="7">
        <f t="shared" ca="1" si="51"/>
        <v>0</v>
      </c>
      <c r="G383" s="125">
        <f ca="1">IF('Simulador - 1º Pilar'!$E$99="Sí",IF('Aportaciones Flex'!$B$13&lt;'Aportaciones Flex'!E383,0,F383*$B$8/12),F383*$B$8/12)</f>
        <v>0</v>
      </c>
      <c r="H383" s="125">
        <f t="shared" ca="1" si="47"/>
        <v>0</v>
      </c>
      <c r="I383" s="126">
        <f t="shared" ca="1" si="48"/>
        <v>0</v>
      </c>
      <c r="J383" s="125">
        <f t="shared" ca="1" si="52"/>
        <v>0</v>
      </c>
      <c r="K383" s="151"/>
      <c r="L383" s="125">
        <f t="shared" ca="1" si="53"/>
        <v>0</v>
      </c>
      <c r="P383">
        <f t="shared" si="54"/>
        <v>376</v>
      </c>
      <c r="S383" s="126">
        <f t="shared" ca="1" si="49"/>
        <v>0</v>
      </c>
      <c r="T383" s="126">
        <f t="shared" ca="1" si="55"/>
        <v>0</v>
      </c>
    </row>
    <row r="384" spans="4:20">
      <c r="D384">
        <v>377</v>
      </c>
      <c r="E384" s="6">
        <f t="shared" ca="1" si="50"/>
        <v>41275</v>
      </c>
      <c r="F384" s="7">
        <f t="shared" ca="1" si="51"/>
        <v>0</v>
      </c>
      <c r="G384" s="125">
        <f ca="1">IF('Simulador - 1º Pilar'!$E$99="Sí",IF('Aportaciones Flex'!$B$13&lt;'Aportaciones Flex'!E384,0,F384*$B$8/12),F384*$B$8/12)</f>
        <v>0</v>
      </c>
      <c r="H384" s="125">
        <f t="shared" ca="1" si="47"/>
        <v>0</v>
      </c>
      <c r="I384" s="126">
        <f t="shared" ca="1" si="48"/>
        <v>0</v>
      </c>
      <c r="J384" s="125">
        <f t="shared" ca="1" si="52"/>
        <v>0</v>
      </c>
      <c r="K384" s="151"/>
      <c r="L384" s="125">
        <f t="shared" ca="1" si="53"/>
        <v>0</v>
      </c>
      <c r="P384">
        <f t="shared" si="54"/>
        <v>377</v>
      </c>
      <c r="S384" s="126">
        <f t="shared" ca="1" si="49"/>
        <v>0</v>
      </c>
      <c r="T384" s="126">
        <f t="shared" ca="1" si="55"/>
        <v>0</v>
      </c>
    </row>
    <row r="385" spans="4:20">
      <c r="D385">
        <v>378</v>
      </c>
      <c r="E385" s="6">
        <f t="shared" ca="1" si="50"/>
        <v>41244</v>
      </c>
      <c r="F385" s="7">
        <f t="shared" ca="1" si="51"/>
        <v>0</v>
      </c>
      <c r="G385" s="125">
        <f ca="1">IF('Simulador - 1º Pilar'!$E$99="Sí",IF('Aportaciones Flex'!$B$13&lt;'Aportaciones Flex'!E385,0,F385*$B$8/12),F385*$B$8/12)</f>
        <v>0</v>
      </c>
      <c r="H385" s="125">
        <f t="shared" ca="1" si="47"/>
        <v>0</v>
      </c>
      <c r="I385" s="126">
        <f t="shared" ca="1" si="48"/>
        <v>0</v>
      </c>
      <c r="J385" s="125">
        <f t="shared" ca="1" si="52"/>
        <v>0</v>
      </c>
      <c r="K385" s="151"/>
      <c r="L385" s="125">
        <f t="shared" ca="1" si="53"/>
        <v>0</v>
      </c>
      <c r="P385">
        <f t="shared" si="54"/>
        <v>378</v>
      </c>
      <c r="S385" s="126">
        <f t="shared" ca="1" si="49"/>
        <v>0</v>
      </c>
      <c r="T385" s="126">
        <f t="shared" ca="1" si="55"/>
        <v>0</v>
      </c>
    </row>
    <row r="386" spans="4:20">
      <c r="D386">
        <v>379</v>
      </c>
      <c r="E386" s="6">
        <f t="shared" ca="1" si="50"/>
        <v>41214</v>
      </c>
      <c r="F386" s="7">
        <f t="shared" ca="1" si="51"/>
        <v>0</v>
      </c>
      <c r="G386" s="125">
        <f ca="1">IF('Simulador - 1º Pilar'!$E$99="Sí",IF('Aportaciones Flex'!$B$13&lt;'Aportaciones Flex'!E386,0,F386*$B$8/12),F386*$B$8/12)</f>
        <v>0</v>
      </c>
      <c r="H386" s="125">
        <f t="shared" ref="H386:H449" ca="1" si="56">IF(G386&gt;0,1,0)*$H$5*IF(AND($I$5="NO",YEAR(E386)=YEAR($B$6)+1),1,IF($I$5="SI",1,0))</f>
        <v>0</v>
      </c>
      <c r="I386" s="126">
        <f t="shared" ca="1" si="48"/>
        <v>0</v>
      </c>
      <c r="J386" s="125">
        <f t="shared" ca="1" si="52"/>
        <v>0</v>
      </c>
      <c r="K386" s="151"/>
      <c r="L386" s="125">
        <f t="shared" ca="1" si="53"/>
        <v>0</v>
      </c>
      <c r="P386">
        <f t="shared" si="54"/>
        <v>379</v>
      </c>
      <c r="S386" s="126">
        <f t="shared" ca="1" si="49"/>
        <v>0</v>
      </c>
      <c r="T386" s="126">
        <f t="shared" ca="1" si="55"/>
        <v>0</v>
      </c>
    </row>
    <row r="387" spans="4:20">
      <c r="D387">
        <v>380</v>
      </c>
      <c r="E387" s="6">
        <f t="shared" ca="1" si="50"/>
        <v>41183</v>
      </c>
      <c r="F387" s="7">
        <f t="shared" ca="1" si="51"/>
        <v>0</v>
      </c>
      <c r="G387" s="125">
        <f ca="1">IF('Simulador - 1º Pilar'!$E$99="Sí",IF('Aportaciones Flex'!$B$13&lt;'Aportaciones Flex'!E387,0,F387*$B$8/12),F387*$B$8/12)</f>
        <v>0</v>
      </c>
      <c r="H387" s="125">
        <f t="shared" ca="1" si="56"/>
        <v>0</v>
      </c>
      <c r="I387" s="126">
        <f t="shared" ca="1" si="48"/>
        <v>0</v>
      </c>
      <c r="J387" s="125">
        <f t="shared" ca="1" si="52"/>
        <v>0</v>
      </c>
      <c r="K387" s="151"/>
      <c r="L387" s="125">
        <f t="shared" ca="1" si="53"/>
        <v>0</v>
      </c>
      <c r="P387">
        <f t="shared" si="54"/>
        <v>380</v>
      </c>
      <c r="S387" s="126">
        <f t="shared" ca="1" si="49"/>
        <v>0</v>
      </c>
      <c r="T387" s="126">
        <f t="shared" ca="1" si="55"/>
        <v>0</v>
      </c>
    </row>
    <row r="388" spans="4:20">
      <c r="D388">
        <v>381</v>
      </c>
      <c r="E388" s="6">
        <f t="shared" ca="1" si="50"/>
        <v>41153</v>
      </c>
      <c r="F388" s="7">
        <f t="shared" ca="1" si="51"/>
        <v>0</v>
      </c>
      <c r="G388" s="125">
        <f ca="1">IF('Simulador - 1º Pilar'!$E$99="Sí",IF('Aportaciones Flex'!$B$13&lt;'Aportaciones Flex'!E388,0,F388*$B$8/12),F388*$B$8/12)</f>
        <v>0</v>
      </c>
      <c r="H388" s="125">
        <f t="shared" ca="1" si="56"/>
        <v>0</v>
      </c>
      <c r="I388" s="126">
        <f t="shared" ca="1" si="48"/>
        <v>0</v>
      </c>
      <c r="J388" s="125">
        <f t="shared" ca="1" si="52"/>
        <v>0</v>
      </c>
      <c r="K388" s="151"/>
      <c r="L388" s="125">
        <f t="shared" ca="1" si="53"/>
        <v>0</v>
      </c>
      <c r="P388">
        <f t="shared" si="54"/>
        <v>381</v>
      </c>
      <c r="S388" s="126">
        <f t="shared" ca="1" si="49"/>
        <v>0</v>
      </c>
      <c r="T388" s="126">
        <f t="shared" ca="1" si="55"/>
        <v>0</v>
      </c>
    </row>
    <row r="389" spans="4:20">
      <c r="D389">
        <v>382</v>
      </c>
      <c r="E389" s="6">
        <f t="shared" ca="1" si="50"/>
        <v>41122</v>
      </c>
      <c r="F389" s="7">
        <f t="shared" ca="1" si="51"/>
        <v>0</v>
      </c>
      <c r="G389" s="125">
        <f ca="1">IF('Simulador - 1º Pilar'!$E$99="Sí",IF('Aportaciones Flex'!$B$13&lt;'Aportaciones Flex'!E389,0,F389*$B$8/12),F389*$B$8/12)</f>
        <v>0</v>
      </c>
      <c r="H389" s="125">
        <f t="shared" ca="1" si="56"/>
        <v>0</v>
      </c>
      <c r="I389" s="126">
        <f t="shared" ca="1" si="48"/>
        <v>0</v>
      </c>
      <c r="J389" s="125">
        <f t="shared" ca="1" si="52"/>
        <v>0</v>
      </c>
      <c r="K389" s="151"/>
      <c r="L389" s="125">
        <f t="shared" ca="1" si="53"/>
        <v>0</v>
      </c>
      <c r="P389">
        <f t="shared" si="54"/>
        <v>382</v>
      </c>
      <c r="S389" s="126">
        <f t="shared" ca="1" si="49"/>
        <v>0</v>
      </c>
      <c r="T389" s="126">
        <f t="shared" ca="1" si="55"/>
        <v>0</v>
      </c>
    </row>
    <row r="390" spans="4:20">
      <c r="D390">
        <v>383</v>
      </c>
      <c r="E390" s="6">
        <f t="shared" ca="1" si="50"/>
        <v>41091</v>
      </c>
      <c r="F390" s="7">
        <f t="shared" ca="1" si="51"/>
        <v>0</v>
      </c>
      <c r="G390" s="125">
        <f ca="1">IF('Simulador - 1º Pilar'!$E$99="Sí",IF('Aportaciones Flex'!$B$13&lt;'Aportaciones Flex'!E390,0,F390*$B$8/12),F390*$B$8/12)</f>
        <v>0</v>
      </c>
      <c r="H390" s="125">
        <f t="shared" ca="1" si="56"/>
        <v>0</v>
      </c>
      <c r="I390" s="126">
        <f t="shared" ca="1" si="48"/>
        <v>0</v>
      </c>
      <c r="J390" s="125">
        <f t="shared" ca="1" si="52"/>
        <v>0</v>
      </c>
      <c r="K390" s="151"/>
      <c r="L390" s="125">
        <f t="shared" ca="1" si="53"/>
        <v>0</v>
      </c>
      <c r="P390">
        <f t="shared" si="54"/>
        <v>383</v>
      </c>
      <c r="S390" s="126">
        <f t="shared" ca="1" si="49"/>
        <v>0</v>
      </c>
      <c r="T390" s="126">
        <f t="shared" ca="1" si="55"/>
        <v>0</v>
      </c>
    </row>
    <row r="391" spans="4:20">
      <c r="D391">
        <v>384</v>
      </c>
      <c r="E391" s="6">
        <f t="shared" ca="1" si="50"/>
        <v>41061</v>
      </c>
      <c r="F391" s="7">
        <f t="shared" ca="1" si="51"/>
        <v>0</v>
      </c>
      <c r="G391" s="125">
        <f ca="1">IF('Simulador - 1º Pilar'!$E$99="Sí",IF('Aportaciones Flex'!$B$13&lt;'Aportaciones Flex'!E391,0,F391*$B$8/12),F391*$B$8/12)</f>
        <v>0</v>
      </c>
      <c r="H391" s="125">
        <f t="shared" ca="1" si="56"/>
        <v>0</v>
      </c>
      <c r="I391" s="126">
        <f t="shared" ref="I391:I454" ca="1" si="57">(1+$M$5)^(D391/12)*(H391*(12-IF(MONTH(E392)=12,0,MONTH(E392)))+IF(AND(F391=1,F392=0),$Q$4,0))*IF(AND(F391=1,F392=0),1,0)</f>
        <v>0</v>
      </c>
      <c r="J391" s="125">
        <f t="shared" ca="1" si="52"/>
        <v>0</v>
      </c>
      <c r="K391" s="151"/>
      <c r="L391" s="125">
        <f t="shared" ca="1" si="53"/>
        <v>0</v>
      </c>
      <c r="P391">
        <f t="shared" si="54"/>
        <v>384</v>
      </c>
      <c r="S391" s="126">
        <f t="shared" ref="S391:S454" ca="1" si="58">(1+$M$5)^(D391/12)*(IF(E391=$C$6,$Q$4+$H$5*12,0))</f>
        <v>0</v>
      </c>
      <c r="T391" s="126">
        <f t="shared" ca="1" si="55"/>
        <v>0</v>
      </c>
    </row>
    <row r="392" spans="4:20">
      <c r="D392">
        <v>385</v>
      </c>
      <c r="E392" s="6">
        <f t="shared" ref="E392:E455" ca="1" si="59">+DATE(YEAR(E391),MONTH(E391)-1,DAY(E391))</f>
        <v>41030</v>
      </c>
      <c r="F392" s="7">
        <f t="shared" ref="F392:F455" ca="1" si="60">IF(DATE(YEAR($B$6),MONTH($B$6)+1,DAY(1))=E392,1,IF(MONTH(E392)=1,F393*(1+$F$5),F393))</f>
        <v>0</v>
      </c>
      <c r="G392" s="125">
        <f ca="1">IF('Simulador - 1º Pilar'!$E$99="Sí",IF('Aportaciones Flex'!$B$13&lt;'Aportaciones Flex'!E392,0,F392*$B$8/12),F392*$B$8/12)</f>
        <v>0</v>
      </c>
      <c r="H392" s="125">
        <f t="shared" ca="1" si="56"/>
        <v>0</v>
      </c>
      <c r="I392" s="126">
        <f t="shared" ca="1" si="57"/>
        <v>0</v>
      </c>
      <c r="J392" s="125">
        <f t="shared" ref="J392:J455" ca="1" si="61">(1+$M$5)^(D392/12)*(H392+IF(AND(F392=1,F393=0),$Q$4,0))</f>
        <v>0</v>
      </c>
      <c r="K392" s="151"/>
      <c r="L392" s="125">
        <f t="shared" ref="L392:L455" ca="1" si="62">K392+J392</f>
        <v>0</v>
      </c>
      <c r="P392">
        <f t="shared" ref="P392:P455" si="63">D392</f>
        <v>385</v>
      </c>
      <c r="S392" s="126">
        <f t="shared" ca="1" si="58"/>
        <v>0</v>
      </c>
      <c r="T392" s="126">
        <f t="shared" ref="T392:T455" ca="1" si="64">(1+$M$5)^(D392/12)*(IF(YEAR(E392)&gt;YEAR($C$6),L392,0)+IF(E392=$C$6,$H$5*12+$Q$4,0))</f>
        <v>0</v>
      </c>
    </row>
    <row r="393" spans="4:20">
      <c r="D393">
        <v>386</v>
      </c>
      <c r="E393" s="6">
        <f t="shared" ca="1" si="59"/>
        <v>41000</v>
      </c>
      <c r="F393" s="7">
        <f t="shared" ca="1" si="60"/>
        <v>0</v>
      </c>
      <c r="G393" s="125">
        <f ca="1">IF('Simulador - 1º Pilar'!$E$99="Sí",IF('Aportaciones Flex'!$B$13&lt;'Aportaciones Flex'!E393,0,F393*$B$8/12),F393*$B$8/12)</f>
        <v>0</v>
      </c>
      <c r="H393" s="125">
        <f t="shared" ca="1" si="56"/>
        <v>0</v>
      </c>
      <c r="I393" s="126">
        <f t="shared" ca="1" si="57"/>
        <v>0</v>
      </c>
      <c r="J393" s="125">
        <f t="shared" ca="1" si="61"/>
        <v>0</v>
      </c>
      <c r="K393" s="151"/>
      <c r="L393" s="125">
        <f t="shared" ca="1" si="62"/>
        <v>0</v>
      </c>
      <c r="P393">
        <f t="shared" si="63"/>
        <v>386</v>
      </c>
      <c r="S393" s="126">
        <f t="shared" ca="1" si="58"/>
        <v>0</v>
      </c>
      <c r="T393" s="126">
        <f t="shared" ca="1" si="64"/>
        <v>0</v>
      </c>
    </row>
    <row r="394" spans="4:20">
      <c r="D394">
        <v>387</v>
      </c>
      <c r="E394" s="6">
        <f t="shared" ca="1" si="59"/>
        <v>40969</v>
      </c>
      <c r="F394" s="7">
        <f t="shared" ca="1" si="60"/>
        <v>0</v>
      </c>
      <c r="G394" s="125">
        <f ca="1">IF('Simulador - 1º Pilar'!$E$99="Sí",IF('Aportaciones Flex'!$B$13&lt;'Aportaciones Flex'!E394,0,F394*$B$8/12),F394*$B$8/12)</f>
        <v>0</v>
      </c>
      <c r="H394" s="125">
        <f t="shared" ca="1" si="56"/>
        <v>0</v>
      </c>
      <c r="I394" s="126">
        <f t="shared" ca="1" si="57"/>
        <v>0</v>
      </c>
      <c r="J394" s="125">
        <f t="shared" ca="1" si="61"/>
        <v>0</v>
      </c>
      <c r="K394" s="151"/>
      <c r="L394" s="125">
        <f t="shared" ca="1" si="62"/>
        <v>0</v>
      </c>
      <c r="P394">
        <f t="shared" si="63"/>
        <v>387</v>
      </c>
      <c r="S394" s="126">
        <f t="shared" ca="1" si="58"/>
        <v>0</v>
      </c>
      <c r="T394" s="126">
        <f t="shared" ca="1" si="64"/>
        <v>0</v>
      </c>
    </row>
    <row r="395" spans="4:20">
      <c r="D395">
        <v>388</v>
      </c>
      <c r="E395" s="6">
        <f t="shared" ca="1" si="59"/>
        <v>40940</v>
      </c>
      <c r="F395" s="7">
        <f t="shared" ca="1" si="60"/>
        <v>0</v>
      </c>
      <c r="G395" s="125">
        <f ca="1">IF('Simulador - 1º Pilar'!$E$99="Sí",IF('Aportaciones Flex'!$B$13&lt;'Aportaciones Flex'!E395,0,F395*$B$8/12),F395*$B$8/12)</f>
        <v>0</v>
      </c>
      <c r="H395" s="125">
        <f t="shared" ca="1" si="56"/>
        <v>0</v>
      </c>
      <c r="I395" s="126">
        <f t="shared" ca="1" si="57"/>
        <v>0</v>
      </c>
      <c r="J395" s="125">
        <f t="shared" ca="1" si="61"/>
        <v>0</v>
      </c>
      <c r="K395" s="151"/>
      <c r="L395" s="125">
        <f t="shared" ca="1" si="62"/>
        <v>0</v>
      </c>
      <c r="P395">
        <f t="shared" si="63"/>
        <v>388</v>
      </c>
      <c r="S395" s="126">
        <f t="shared" ca="1" si="58"/>
        <v>0</v>
      </c>
      <c r="T395" s="126">
        <f t="shared" ca="1" si="64"/>
        <v>0</v>
      </c>
    </row>
    <row r="396" spans="4:20">
      <c r="D396">
        <v>389</v>
      </c>
      <c r="E396" s="6">
        <f t="shared" ca="1" si="59"/>
        <v>40909</v>
      </c>
      <c r="F396" s="7">
        <f t="shared" ca="1" si="60"/>
        <v>0</v>
      </c>
      <c r="G396" s="125">
        <f ca="1">IF('Simulador - 1º Pilar'!$E$99="Sí",IF('Aportaciones Flex'!$B$13&lt;'Aportaciones Flex'!E396,0,F396*$B$8/12),F396*$B$8/12)</f>
        <v>0</v>
      </c>
      <c r="H396" s="125">
        <f t="shared" ca="1" si="56"/>
        <v>0</v>
      </c>
      <c r="I396" s="126">
        <f t="shared" ca="1" si="57"/>
        <v>0</v>
      </c>
      <c r="J396" s="125">
        <f t="shared" ca="1" si="61"/>
        <v>0</v>
      </c>
      <c r="K396" s="151"/>
      <c r="L396" s="125">
        <f t="shared" ca="1" si="62"/>
        <v>0</v>
      </c>
      <c r="P396">
        <f t="shared" si="63"/>
        <v>389</v>
      </c>
      <c r="S396" s="126">
        <f t="shared" ca="1" si="58"/>
        <v>0</v>
      </c>
      <c r="T396" s="126">
        <f t="shared" ca="1" si="64"/>
        <v>0</v>
      </c>
    </row>
    <row r="397" spans="4:20">
      <c r="D397">
        <v>390</v>
      </c>
      <c r="E397" s="6">
        <f t="shared" ca="1" si="59"/>
        <v>40878</v>
      </c>
      <c r="F397" s="7">
        <f t="shared" ca="1" si="60"/>
        <v>0</v>
      </c>
      <c r="G397" s="125">
        <f ca="1">IF('Simulador - 1º Pilar'!$E$99="Sí",IF('Aportaciones Flex'!$B$13&lt;'Aportaciones Flex'!E397,0,F397*$B$8/12),F397*$B$8/12)</f>
        <v>0</v>
      </c>
      <c r="H397" s="125">
        <f t="shared" ca="1" si="56"/>
        <v>0</v>
      </c>
      <c r="I397" s="126">
        <f t="shared" ca="1" si="57"/>
        <v>0</v>
      </c>
      <c r="J397" s="125">
        <f t="shared" ca="1" si="61"/>
        <v>0</v>
      </c>
      <c r="K397" s="151"/>
      <c r="L397" s="125">
        <f t="shared" ca="1" si="62"/>
        <v>0</v>
      </c>
      <c r="P397">
        <f t="shared" si="63"/>
        <v>390</v>
      </c>
      <c r="S397" s="126">
        <f t="shared" ca="1" si="58"/>
        <v>0</v>
      </c>
      <c r="T397" s="126">
        <f t="shared" ca="1" si="64"/>
        <v>0</v>
      </c>
    </row>
    <row r="398" spans="4:20">
      <c r="D398">
        <v>391</v>
      </c>
      <c r="E398" s="6">
        <f t="shared" ca="1" si="59"/>
        <v>40848</v>
      </c>
      <c r="F398" s="7">
        <f t="shared" ca="1" si="60"/>
        <v>0</v>
      </c>
      <c r="G398" s="125">
        <f ca="1">IF('Simulador - 1º Pilar'!$E$99="Sí",IF('Aportaciones Flex'!$B$13&lt;'Aportaciones Flex'!E398,0,F398*$B$8/12),F398*$B$8/12)</f>
        <v>0</v>
      </c>
      <c r="H398" s="125">
        <f t="shared" ca="1" si="56"/>
        <v>0</v>
      </c>
      <c r="I398" s="126">
        <f t="shared" ca="1" si="57"/>
        <v>0</v>
      </c>
      <c r="J398" s="125">
        <f t="shared" ca="1" si="61"/>
        <v>0</v>
      </c>
      <c r="K398" s="151"/>
      <c r="L398" s="125">
        <f t="shared" ca="1" si="62"/>
        <v>0</v>
      </c>
      <c r="P398">
        <f t="shared" si="63"/>
        <v>391</v>
      </c>
      <c r="S398" s="126">
        <f t="shared" ca="1" si="58"/>
        <v>0</v>
      </c>
      <c r="T398" s="126">
        <f t="shared" ca="1" si="64"/>
        <v>0</v>
      </c>
    </row>
    <row r="399" spans="4:20">
      <c r="D399">
        <v>392</v>
      </c>
      <c r="E399" s="6">
        <f t="shared" ca="1" si="59"/>
        <v>40817</v>
      </c>
      <c r="F399" s="7">
        <f t="shared" ca="1" si="60"/>
        <v>0</v>
      </c>
      <c r="G399" s="125">
        <f ca="1">IF('Simulador - 1º Pilar'!$E$99="Sí",IF('Aportaciones Flex'!$B$13&lt;'Aportaciones Flex'!E399,0,F399*$B$8/12),F399*$B$8/12)</f>
        <v>0</v>
      </c>
      <c r="H399" s="125">
        <f t="shared" ca="1" si="56"/>
        <v>0</v>
      </c>
      <c r="I399" s="126">
        <f t="shared" ca="1" si="57"/>
        <v>0</v>
      </c>
      <c r="J399" s="125">
        <f t="shared" ca="1" si="61"/>
        <v>0</v>
      </c>
      <c r="K399" s="151"/>
      <c r="L399" s="125">
        <f t="shared" ca="1" si="62"/>
        <v>0</v>
      </c>
      <c r="P399">
        <f t="shared" si="63"/>
        <v>392</v>
      </c>
      <c r="S399" s="126">
        <f t="shared" ca="1" si="58"/>
        <v>0</v>
      </c>
      <c r="T399" s="126">
        <f t="shared" ca="1" si="64"/>
        <v>0</v>
      </c>
    </row>
    <row r="400" spans="4:20">
      <c r="D400">
        <v>393</v>
      </c>
      <c r="E400" s="6">
        <f t="shared" ca="1" si="59"/>
        <v>40787</v>
      </c>
      <c r="F400" s="7">
        <f t="shared" ca="1" si="60"/>
        <v>0</v>
      </c>
      <c r="G400" s="125">
        <f ca="1">IF('Simulador - 1º Pilar'!$E$99="Sí",IF('Aportaciones Flex'!$B$13&lt;'Aportaciones Flex'!E400,0,F400*$B$8/12),F400*$B$8/12)</f>
        <v>0</v>
      </c>
      <c r="H400" s="125">
        <f t="shared" ca="1" si="56"/>
        <v>0</v>
      </c>
      <c r="I400" s="126">
        <f t="shared" ca="1" si="57"/>
        <v>0</v>
      </c>
      <c r="J400" s="125">
        <f t="shared" ca="1" si="61"/>
        <v>0</v>
      </c>
      <c r="K400" s="151"/>
      <c r="L400" s="125">
        <f t="shared" ca="1" si="62"/>
        <v>0</v>
      </c>
      <c r="P400">
        <f t="shared" si="63"/>
        <v>393</v>
      </c>
      <c r="S400" s="126">
        <f t="shared" ca="1" si="58"/>
        <v>0</v>
      </c>
      <c r="T400" s="126">
        <f t="shared" ca="1" si="64"/>
        <v>0</v>
      </c>
    </row>
    <row r="401" spans="4:20">
      <c r="D401">
        <v>394</v>
      </c>
      <c r="E401" s="6">
        <f t="shared" ca="1" si="59"/>
        <v>40756</v>
      </c>
      <c r="F401" s="7">
        <f t="shared" ca="1" si="60"/>
        <v>0</v>
      </c>
      <c r="G401" s="125">
        <f ca="1">IF('Simulador - 1º Pilar'!$E$99="Sí",IF('Aportaciones Flex'!$B$13&lt;'Aportaciones Flex'!E401,0,F401*$B$8/12),F401*$B$8/12)</f>
        <v>0</v>
      </c>
      <c r="H401" s="125">
        <f t="shared" ca="1" si="56"/>
        <v>0</v>
      </c>
      <c r="I401" s="126">
        <f t="shared" ca="1" si="57"/>
        <v>0</v>
      </c>
      <c r="J401" s="125">
        <f t="shared" ca="1" si="61"/>
        <v>0</v>
      </c>
      <c r="K401" s="151"/>
      <c r="L401" s="125">
        <f t="shared" ca="1" si="62"/>
        <v>0</v>
      </c>
      <c r="P401">
        <f t="shared" si="63"/>
        <v>394</v>
      </c>
      <c r="S401" s="126">
        <f t="shared" ca="1" si="58"/>
        <v>0</v>
      </c>
      <c r="T401" s="126">
        <f t="shared" ca="1" si="64"/>
        <v>0</v>
      </c>
    </row>
    <row r="402" spans="4:20">
      <c r="D402">
        <v>395</v>
      </c>
      <c r="E402" s="6">
        <f t="shared" ca="1" si="59"/>
        <v>40725</v>
      </c>
      <c r="F402" s="7">
        <f t="shared" ca="1" si="60"/>
        <v>0</v>
      </c>
      <c r="G402" s="125">
        <f ca="1">IF('Simulador - 1º Pilar'!$E$99="Sí",IF('Aportaciones Flex'!$B$13&lt;'Aportaciones Flex'!E402,0,F402*$B$8/12),F402*$B$8/12)</f>
        <v>0</v>
      </c>
      <c r="H402" s="125">
        <f t="shared" ca="1" si="56"/>
        <v>0</v>
      </c>
      <c r="I402" s="126">
        <f t="shared" ca="1" si="57"/>
        <v>0</v>
      </c>
      <c r="J402" s="125">
        <f t="shared" ca="1" si="61"/>
        <v>0</v>
      </c>
      <c r="K402" s="151"/>
      <c r="L402" s="125">
        <f t="shared" ca="1" si="62"/>
        <v>0</v>
      </c>
      <c r="P402">
        <f t="shared" si="63"/>
        <v>395</v>
      </c>
      <c r="S402" s="126">
        <f t="shared" ca="1" si="58"/>
        <v>0</v>
      </c>
      <c r="T402" s="126">
        <f t="shared" ca="1" si="64"/>
        <v>0</v>
      </c>
    </row>
    <row r="403" spans="4:20">
      <c r="D403">
        <v>396</v>
      </c>
      <c r="E403" s="6">
        <f t="shared" ca="1" si="59"/>
        <v>40695</v>
      </c>
      <c r="F403" s="7">
        <f t="shared" ca="1" si="60"/>
        <v>0</v>
      </c>
      <c r="G403" s="125">
        <f ca="1">IF('Simulador - 1º Pilar'!$E$99="Sí",IF('Aportaciones Flex'!$B$13&lt;'Aportaciones Flex'!E403,0,F403*$B$8/12),F403*$B$8/12)</f>
        <v>0</v>
      </c>
      <c r="H403" s="125">
        <f t="shared" ca="1" si="56"/>
        <v>0</v>
      </c>
      <c r="I403" s="126">
        <f t="shared" ca="1" si="57"/>
        <v>0</v>
      </c>
      <c r="J403" s="125">
        <f t="shared" ca="1" si="61"/>
        <v>0</v>
      </c>
      <c r="K403" s="151"/>
      <c r="L403" s="125">
        <f t="shared" ca="1" si="62"/>
        <v>0</v>
      </c>
      <c r="P403">
        <f t="shared" si="63"/>
        <v>396</v>
      </c>
      <c r="S403" s="126">
        <f t="shared" ca="1" si="58"/>
        <v>0</v>
      </c>
      <c r="T403" s="126">
        <f t="shared" ca="1" si="64"/>
        <v>0</v>
      </c>
    </row>
    <row r="404" spans="4:20">
      <c r="D404">
        <v>397</v>
      </c>
      <c r="E404" s="6">
        <f t="shared" ca="1" si="59"/>
        <v>40664</v>
      </c>
      <c r="F404" s="7">
        <f t="shared" ca="1" si="60"/>
        <v>0</v>
      </c>
      <c r="G404" s="125">
        <f ca="1">IF('Simulador - 1º Pilar'!$E$99="Sí",IF('Aportaciones Flex'!$B$13&lt;'Aportaciones Flex'!E404,0,F404*$B$8/12),F404*$B$8/12)</f>
        <v>0</v>
      </c>
      <c r="H404" s="125">
        <f t="shared" ca="1" si="56"/>
        <v>0</v>
      </c>
      <c r="I404" s="126">
        <f t="shared" ca="1" si="57"/>
        <v>0</v>
      </c>
      <c r="J404" s="125">
        <f t="shared" ca="1" si="61"/>
        <v>0</v>
      </c>
      <c r="K404" s="151"/>
      <c r="L404" s="125">
        <f t="shared" ca="1" si="62"/>
        <v>0</v>
      </c>
      <c r="P404">
        <f t="shared" si="63"/>
        <v>397</v>
      </c>
      <c r="S404" s="126">
        <f t="shared" ca="1" si="58"/>
        <v>0</v>
      </c>
      <c r="T404" s="126">
        <f t="shared" ca="1" si="64"/>
        <v>0</v>
      </c>
    </row>
    <row r="405" spans="4:20">
      <c r="D405">
        <v>398</v>
      </c>
      <c r="E405" s="6">
        <f t="shared" ca="1" si="59"/>
        <v>40634</v>
      </c>
      <c r="F405" s="7">
        <f t="shared" ca="1" si="60"/>
        <v>0</v>
      </c>
      <c r="G405" s="125">
        <f ca="1">IF('Simulador - 1º Pilar'!$E$99="Sí",IF('Aportaciones Flex'!$B$13&lt;'Aportaciones Flex'!E405,0,F405*$B$8/12),F405*$B$8/12)</f>
        <v>0</v>
      </c>
      <c r="H405" s="125">
        <f t="shared" ca="1" si="56"/>
        <v>0</v>
      </c>
      <c r="I405" s="126">
        <f t="shared" ca="1" si="57"/>
        <v>0</v>
      </c>
      <c r="J405" s="125">
        <f t="shared" ca="1" si="61"/>
        <v>0</v>
      </c>
      <c r="K405" s="151"/>
      <c r="L405" s="125">
        <f t="shared" ca="1" si="62"/>
        <v>0</v>
      </c>
      <c r="P405">
        <f t="shared" si="63"/>
        <v>398</v>
      </c>
      <c r="S405" s="126">
        <f t="shared" ca="1" si="58"/>
        <v>0</v>
      </c>
      <c r="T405" s="126">
        <f t="shared" ca="1" si="64"/>
        <v>0</v>
      </c>
    </row>
    <row r="406" spans="4:20">
      <c r="D406">
        <v>399</v>
      </c>
      <c r="E406" s="6">
        <f t="shared" ca="1" si="59"/>
        <v>40603</v>
      </c>
      <c r="F406" s="7">
        <f t="shared" ca="1" si="60"/>
        <v>0</v>
      </c>
      <c r="G406" s="125">
        <f ca="1">IF('Simulador - 1º Pilar'!$E$99="Sí",IF('Aportaciones Flex'!$B$13&lt;'Aportaciones Flex'!E406,0,F406*$B$8/12),F406*$B$8/12)</f>
        <v>0</v>
      </c>
      <c r="H406" s="125">
        <f t="shared" ca="1" si="56"/>
        <v>0</v>
      </c>
      <c r="I406" s="126">
        <f t="shared" ca="1" si="57"/>
        <v>0</v>
      </c>
      <c r="J406" s="125">
        <f t="shared" ca="1" si="61"/>
        <v>0</v>
      </c>
      <c r="K406" s="151"/>
      <c r="L406" s="125">
        <f t="shared" ca="1" si="62"/>
        <v>0</v>
      </c>
      <c r="P406">
        <f t="shared" si="63"/>
        <v>399</v>
      </c>
      <c r="S406" s="126">
        <f t="shared" ca="1" si="58"/>
        <v>0</v>
      </c>
      <c r="T406" s="126">
        <f t="shared" ca="1" si="64"/>
        <v>0</v>
      </c>
    </row>
    <row r="407" spans="4:20">
      <c r="D407">
        <v>400</v>
      </c>
      <c r="E407" s="6">
        <f t="shared" ca="1" si="59"/>
        <v>40575</v>
      </c>
      <c r="F407" s="7">
        <f t="shared" ca="1" si="60"/>
        <v>0</v>
      </c>
      <c r="G407" s="125">
        <f ca="1">IF('Simulador - 1º Pilar'!$E$99="Sí",IF('Aportaciones Flex'!$B$13&lt;'Aportaciones Flex'!E407,0,F407*$B$8/12),F407*$B$8/12)</f>
        <v>0</v>
      </c>
      <c r="H407" s="125">
        <f t="shared" ca="1" si="56"/>
        <v>0</v>
      </c>
      <c r="I407" s="126">
        <f t="shared" ca="1" si="57"/>
        <v>0</v>
      </c>
      <c r="J407" s="125">
        <f t="shared" ca="1" si="61"/>
        <v>0</v>
      </c>
      <c r="K407" s="151"/>
      <c r="L407" s="125">
        <f t="shared" ca="1" si="62"/>
        <v>0</v>
      </c>
      <c r="P407">
        <f t="shared" si="63"/>
        <v>400</v>
      </c>
      <c r="S407" s="126">
        <f t="shared" ca="1" si="58"/>
        <v>0</v>
      </c>
      <c r="T407" s="126">
        <f t="shared" ca="1" si="64"/>
        <v>0</v>
      </c>
    </row>
    <row r="408" spans="4:20">
      <c r="D408">
        <v>401</v>
      </c>
      <c r="E408" s="6">
        <f t="shared" ca="1" si="59"/>
        <v>40544</v>
      </c>
      <c r="F408" s="7">
        <f t="shared" ca="1" si="60"/>
        <v>0</v>
      </c>
      <c r="G408" s="125">
        <f ca="1">IF('Simulador - 1º Pilar'!$E$99="Sí",IF('Aportaciones Flex'!$B$13&lt;'Aportaciones Flex'!E408,0,F408*$B$8/12),F408*$B$8/12)</f>
        <v>0</v>
      </c>
      <c r="H408" s="125">
        <f t="shared" ca="1" si="56"/>
        <v>0</v>
      </c>
      <c r="I408" s="126">
        <f t="shared" ca="1" si="57"/>
        <v>0</v>
      </c>
      <c r="J408" s="125">
        <f t="shared" ca="1" si="61"/>
        <v>0</v>
      </c>
      <c r="K408" s="151"/>
      <c r="L408" s="125">
        <f t="shared" ca="1" si="62"/>
        <v>0</v>
      </c>
      <c r="P408">
        <f t="shared" si="63"/>
        <v>401</v>
      </c>
      <c r="S408" s="126">
        <f t="shared" ca="1" si="58"/>
        <v>0</v>
      </c>
      <c r="T408" s="126">
        <f t="shared" ca="1" si="64"/>
        <v>0</v>
      </c>
    </row>
    <row r="409" spans="4:20">
      <c r="D409">
        <v>402</v>
      </c>
      <c r="E409" s="6">
        <f t="shared" ca="1" si="59"/>
        <v>40513</v>
      </c>
      <c r="F409" s="7">
        <f t="shared" ca="1" si="60"/>
        <v>0</v>
      </c>
      <c r="G409" s="125">
        <f ca="1">IF('Simulador - 1º Pilar'!$E$99="Sí",IF('Aportaciones Flex'!$B$13&lt;'Aportaciones Flex'!E409,0,F409*$B$8/12),F409*$B$8/12)</f>
        <v>0</v>
      </c>
      <c r="H409" s="125">
        <f t="shared" ca="1" si="56"/>
        <v>0</v>
      </c>
      <c r="I409" s="126">
        <f t="shared" ca="1" si="57"/>
        <v>0</v>
      </c>
      <c r="J409" s="125">
        <f t="shared" ca="1" si="61"/>
        <v>0</v>
      </c>
      <c r="K409" s="151"/>
      <c r="L409" s="125">
        <f t="shared" ca="1" si="62"/>
        <v>0</v>
      </c>
      <c r="P409">
        <f t="shared" si="63"/>
        <v>402</v>
      </c>
      <c r="S409" s="126">
        <f t="shared" ca="1" si="58"/>
        <v>0</v>
      </c>
      <c r="T409" s="126">
        <f t="shared" ca="1" si="64"/>
        <v>0</v>
      </c>
    </row>
    <row r="410" spans="4:20">
      <c r="D410">
        <v>403</v>
      </c>
      <c r="E410" s="6">
        <f t="shared" ca="1" si="59"/>
        <v>40483</v>
      </c>
      <c r="F410" s="7">
        <f t="shared" ca="1" si="60"/>
        <v>0</v>
      </c>
      <c r="G410" s="125">
        <f ca="1">IF('Simulador - 1º Pilar'!$E$99="Sí",IF('Aportaciones Flex'!$B$13&lt;'Aportaciones Flex'!E410,0,F410*$B$8/12),F410*$B$8/12)</f>
        <v>0</v>
      </c>
      <c r="H410" s="125">
        <f t="shared" ca="1" si="56"/>
        <v>0</v>
      </c>
      <c r="I410" s="126">
        <f t="shared" ca="1" si="57"/>
        <v>0</v>
      </c>
      <c r="J410" s="125">
        <f t="shared" ca="1" si="61"/>
        <v>0</v>
      </c>
      <c r="K410" s="151"/>
      <c r="L410" s="125">
        <f t="shared" ca="1" si="62"/>
        <v>0</v>
      </c>
      <c r="P410">
        <f t="shared" si="63"/>
        <v>403</v>
      </c>
      <c r="S410" s="126">
        <f t="shared" ca="1" si="58"/>
        <v>0</v>
      </c>
      <c r="T410" s="126">
        <f t="shared" ca="1" si="64"/>
        <v>0</v>
      </c>
    </row>
    <row r="411" spans="4:20">
      <c r="D411">
        <v>404</v>
      </c>
      <c r="E411" s="6">
        <f t="shared" ca="1" si="59"/>
        <v>40452</v>
      </c>
      <c r="F411" s="7">
        <f t="shared" ca="1" si="60"/>
        <v>0</v>
      </c>
      <c r="G411" s="125">
        <f ca="1">IF('Simulador - 1º Pilar'!$E$99="Sí",IF('Aportaciones Flex'!$B$13&lt;'Aportaciones Flex'!E411,0,F411*$B$8/12),F411*$B$8/12)</f>
        <v>0</v>
      </c>
      <c r="H411" s="125">
        <f t="shared" ca="1" si="56"/>
        <v>0</v>
      </c>
      <c r="I411" s="126">
        <f t="shared" ca="1" si="57"/>
        <v>0</v>
      </c>
      <c r="J411" s="125">
        <f t="shared" ca="1" si="61"/>
        <v>0</v>
      </c>
      <c r="K411" s="151"/>
      <c r="L411" s="125">
        <f t="shared" ca="1" si="62"/>
        <v>0</v>
      </c>
      <c r="P411">
        <f t="shared" si="63"/>
        <v>404</v>
      </c>
      <c r="S411" s="126">
        <f t="shared" ca="1" si="58"/>
        <v>0</v>
      </c>
      <c r="T411" s="126">
        <f t="shared" ca="1" si="64"/>
        <v>0</v>
      </c>
    </row>
    <row r="412" spans="4:20">
      <c r="D412">
        <v>405</v>
      </c>
      <c r="E412" s="6">
        <f t="shared" ca="1" si="59"/>
        <v>40422</v>
      </c>
      <c r="F412" s="7">
        <f t="shared" ca="1" si="60"/>
        <v>0</v>
      </c>
      <c r="G412" s="125">
        <f ca="1">IF('Simulador - 1º Pilar'!$E$99="Sí",IF('Aportaciones Flex'!$B$13&lt;'Aportaciones Flex'!E412,0,F412*$B$8/12),F412*$B$8/12)</f>
        <v>0</v>
      </c>
      <c r="H412" s="125">
        <f t="shared" ca="1" si="56"/>
        <v>0</v>
      </c>
      <c r="I412" s="126">
        <f t="shared" ca="1" si="57"/>
        <v>0</v>
      </c>
      <c r="J412" s="125">
        <f t="shared" ca="1" si="61"/>
        <v>0</v>
      </c>
      <c r="K412" s="151"/>
      <c r="L412" s="125">
        <f t="shared" ca="1" si="62"/>
        <v>0</v>
      </c>
      <c r="P412">
        <f t="shared" si="63"/>
        <v>405</v>
      </c>
      <c r="S412" s="126">
        <f t="shared" ca="1" si="58"/>
        <v>0</v>
      </c>
      <c r="T412" s="126">
        <f t="shared" ca="1" si="64"/>
        <v>0</v>
      </c>
    </row>
    <row r="413" spans="4:20">
      <c r="D413">
        <v>406</v>
      </c>
      <c r="E413" s="6">
        <f t="shared" ca="1" si="59"/>
        <v>40391</v>
      </c>
      <c r="F413" s="7">
        <f t="shared" ca="1" si="60"/>
        <v>0</v>
      </c>
      <c r="G413" s="125">
        <f ca="1">IF('Simulador - 1º Pilar'!$E$99="Sí",IF('Aportaciones Flex'!$B$13&lt;'Aportaciones Flex'!E413,0,F413*$B$8/12),F413*$B$8/12)</f>
        <v>0</v>
      </c>
      <c r="H413" s="125">
        <f t="shared" ca="1" si="56"/>
        <v>0</v>
      </c>
      <c r="I413" s="126">
        <f t="shared" ca="1" si="57"/>
        <v>0</v>
      </c>
      <c r="J413" s="125">
        <f t="shared" ca="1" si="61"/>
        <v>0</v>
      </c>
      <c r="K413" s="151"/>
      <c r="L413" s="125">
        <f t="shared" ca="1" si="62"/>
        <v>0</v>
      </c>
      <c r="P413">
        <f t="shared" si="63"/>
        <v>406</v>
      </c>
      <c r="S413" s="126">
        <f t="shared" ca="1" si="58"/>
        <v>0</v>
      </c>
      <c r="T413" s="126">
        <f t="shared" ca="1" si="64"/>
        <v>0</v>
      </c>
    </row>
    <row r="414" spans="4:20">
      <c r="D414">
        <v>407</v>
      </c>
      <c r="E414" s="6">
        <f t="shared" ca="1" si="59"/>
        <v>40360</v>
      </c>
      <c r="F414" s="7">
        <f t="shared" ca="1" si="60"/>
        <v>0</v>
      </c>
      <c r="G414" s="125">
        <f ca="1">IF('Simulador - 1º Pilar'!$E$99="Sí",IF('Aportaciones Flex'!$B$13&lt;'Aportaciones Flex'!E414,0,F414*$B$8/12),F414*$B$8/12)</f>
        <v>0</v>
      </c>
      <c r="H414" s="125">
        <f t="shared" ca="1" si="56"/>
        <v>0</v>
      </c>
      <c r="I414" s="126">
        <f t="shared" ca="1" si="57"/>
        <v>0</v>
      </c>
      <c r="J414" s="125">
        <f t="shared" ca="1" si="61"/>
        <v>0</v>
      </c>
      <c r="K414" s="151"/>
      <c r="L414" s="125">
        <f t="shared" ca="1" si="62"/>
        <v>0</v>
      </c>
      <c r="P414">
        <f t="shared" si="63"/>
        <v>407</v>
      </c>
      <c r="S414" s="126">
        <f t="shared" ca="1" si="58"/>
        <v>0</v>
      </c>
      <c r="T414" s="126">
        <f t="shared" ca="1" si="64"/>
        <v>0</v>
      </c>
    </row>
    <row r="415" spans="4:20">
      <c r="D415">
        <v>408</v>
      </c>
      <c r="E415" s="6">
        <f t="shared" ca="1" si="59"/>
        <v>40330</v>
      </c>
      <c r="F415" s="7">
        <f t="shared" ca="1" si="60"/>
        <v>0</v>
      </c>
      <c r="G415" s="125">
        <f ca="1">IF('Simulador - 1º Pilar'!$E$99="Sí",IF('Aportaciones Flex'!$B$13&lt;'Aportaciones Flex'!E415,0,F415*$B$8/12),F415*$B$8/12)</f>
        <v>0</v>
      </c>
      <c r="H415" s="125">
        <f t="shared" ca="1" si="56"/>
        <v>0</v>
      </c>
      <c r="I415" s="126">
        <f t="shared" ca="1" si="57"/>
        <v>0</v>
      </c>
      <c r="J415" s="125">
        <f t="shared" ca="1" si="61"/>
        <v>0</v>
      </c>
      <c r="K415" s="151"/>
      <c r="L415" s="125">
        <f t="shared" ca="1" si="62"/>
        <v>0</v>
      </c>
      <c r="P415">
        <f t="shared" si="63"/>
        <v>408</v>
      </c>
      <c r="S415" s="126">
        <f t="shared" ca="1" si="58"/>
        <v>0</v>
      </c>
      <c r="T415" s="126">
        <f t="shared" ca="1" si="64"/>
        <v>0</v>
      </c>
    </row>
    <row r="416" spans="4:20">
      <c r="D416">
        <v>409</v>
      </c>
      <c r="E416" s="6">
        <f t="shared" ca="1" si="59"/>
        <v>40299</v>
      </c>
      <c r="F416" s="7">
        <f t="shared" ca="1" si="60"/>
        <v>0</v>
      </c>
      <c r="G416" s="125">
        <f ca="1">IF('Simulador - 1º Pilar'!$E$99="Sí",IF('Aportaciones Flex'!$B$13&lt;'Aportaciones Flex'!E416,0,F416*$B$8/12),F416*$B$8/12)</f>
        <v>0</v>
      </c>
      <c r="H416" s="125">
        <f t="shared" ca="1" si="56"/>
        <v>0</v>
      </c>
      <c r="I416" s="126">
        <f t="shared" ca="1" si="57"/>
        <v>0</v>
      </c>
      <c r="J416" s="125">
        <f t="shared" ca="1" si="61"/>
        <v>0</v>
      </c>
      <c r="K416" s="151"/>
      <c r="L416" s="125">
        <f t="shared" ca="1" si="62"/>
        <v>0</v>
      </c>
      <c r="P416">
        <f t="shared" si="63"/>
        <v>409</v>
      </c>
      <c r="S416" s="126">
        <f t="shared" ca="1" si="58"/>
        <v>0</v>
      </c>
      <c r="T416" s="126">
        <f t="shared" ca="1" si="64"/>
        <v>0</v>
      </c>
    </row>
    <row r="417" spans="4:20">
      <c r="D417">
        <v>410</v>
      </c>
      <c r="E417" s="6">
        <f t="shared" ca="1" si="59"/>
        <v>40269</v>
      </c>
      <c r="F417" s="7">
        <f t="shared" ca="1" si="60"/>
        <v>0</v>
      </c>
      <c r="G417" s="125">
        <f ca="1">IF('Simulador - 1º Pilar'!$E$99="Sí",IF('Aportaciones Flex'!$B$13&lt;'Aportaciones Flex'!E417,0,F417*$B$8/12),F417*$B$8/12)</f>
        <v>0</v>
      </c>
      <c r="H417" s="125">
        <f t="shared" ca="1" si="56"/>
        <v>0</v>
      </c>
      <c r="I417" s="126">
        <f t="shared" ca="1" si="57"/>
        <v>0</v>
      </c>
      <c r="J417" s="125">
        <f t="shared" ca="1" si="61"/>
        <v>0</v>
      </c>
      <c r="K417" s="151"/>
      <c r="L417" s="125">
        <f t="shared" ca="1" si="62"/>
        <v>0</v>
      </c>
      <c r="P417">
        <f t="shared" si="63"/>
        <v>410</v>
      </c>
      <c r="S417" s="126">
        <f t="shared" ca="1" si="58"/>
        <v>0</v>
      </c>
      <c r="T417" s="126">
        <f t="shared" ca="1" si="64"/>
        <v>0</v>
      </c>
    </row>
    <row r="418" spans="4:20">
      <c r="D418">
        <v>411</v>
      </c>
      <c r="E418" s="6">
        <f t="shared" ca="1" si="59"/>
        <v>40238</v>
      </c>
      <c r="F418" s="7">
        <f t="shared" ca="1" si="60"/>
        <v>0</v>
      </c>
      <c r="G418" s="125">
        <f ca="1">IF('Simulador - 1º Pilar'!$E$99="Sí",IF('Aportaciones Flex'!$B$13&lt;'Aportaciones Flex'!E418,0,F418*$B$8/12),F418*$B$8/12)</f>
        <v>0</v>
      </c>
      <c r="H418" s="125">
        <f t="shared" ca="1" si="56"/>
        <v>0</v>
      </c>
      <c r="I418" s="126">
        <f t="shared" ca="1" si="57"/>
        <v>0</v>
      </c>
      <c r="J418" s="125">
        <f t="shared" ca="1" si="61"/>
        <v>0</v>
      </c>
      <c r="K418" s="151"/>
      <c r="L418" s="125">
        <f t="shared" ca="1" si="62"/>
        <v>0</v>
      </c>
      <c r="P418">
        <f t="shared" si="63"/>
        <v>411</v>
      </c>
      <c r="S418" s="126">
        <f t="shared" ca="1" si="58"/>
        <v>0</v>
      </c>
      <c r="T418" s="126">
        <f t="shared" ca="1" si="64"/>
        <v>0</v>
      </c>
    </row>
    <row r="419" spans="4:20">
      <c r="D419">
        <v>412</v>
      </c>
      <c r="E419" s="6">
        <f t="shared" ca="1" si="59"/>
        <v>40210</v>
      </c>
      <c r="F419" s="7">
        <f t="shared" ca="1" si="60"/>
        <v>0</v>
      </c>
      <c r="G419" s="125">
        <f ca="1">IF('Simulador - 1º Pilar'!$E$99="Sí",IF('Aportaciones Flex'!$B$13&lt;'Aportaciones Flex'!E419,0,F419*$B$8/12),F419*$B$8/12)</f>
        <v>0</v>
      </c>
      <c r="H419" s="125">
        <f t="shared" ca="1" si="56"/>
        <v>0</v>
      </c>
      <c r="I419" s="126">
        <f t="shared" ca="1" si="57"/>
        <v>0</v>
      </c>
      <c r="J419" s="125">
        <f t="shared" ca="1" si="61"/>
        <v>0</v>
      </c>
      <c r="K419" s="151"/>
      <c r="L419" s="125">
        <f t="shared" ca="1" si="62"/>
        <v>0</v>
      </c>
      <c r="P419">
        <f t="shared" si="63"/>
        <v>412</v>
      </c>
      <c r="S419" s="126">
        <f t="shared" ca="1" si="58"/>
        <v>0</v>
      </c>
      <c r="T419" s="126">
        <f t="shared" ca="1" si="64"/>
        <v>0</v>
      </c>
    </row>
    <row r="420" spans="4:20">
      <c r="D420">
        <v>413</v>
      </c>
      <c r="E420" s="6">
        <f t="shared" ca="1" si="59"/>
        <v>40179</v>
      </c>
      <c r="F420" s="7">
        <f t="shared" ca="1" si="60"/>
        <v>0</v>
      </c>
      <c r="G420" s="125">
        <f ca="1">IF('Simulador - 1º Pilar'!$E$99="Sí",IF('Aportaciones Flex'!$B$13&lt;'Aportaciones Flex'!E420,0,F420*$B$8/12),F420*$B$8/12)</f>
        <v>0</v>
      </c>
      <c r="H420" s="125">
        <f t="shared" ca="1" si="56"/>
        <v>0</v>
      </c>
      <c r="I420" s="126">
        <f t="shared" ca="1" si="57"/>
        <v>0</v>
      </c>
      <c r="J420" s="125">
        <f t="shared" ca="1" si="61"/>
        <v>0</v>
      </c>
      <c r="K420" s="151"/>
      <c r="L420" s="125">
        <f t="shared" ca="1" si="62"/>
        <v>0</v>
      </c>
      <c r="P420">
        <f t="shared" si="63"/>
        <v>413</v>
      </c>
      <c r="S420" s="126">
        <f t="shared" ca="1" si="58"/>
        <v>0</v>
      </c>
      <c r="T420" s="126">
        <f t="shared" ca="1" si="64"/>
        <v>0</v>
      </c>
    </row>
    <row r="421" spans="4:20">
      <c r="D421">
        <v>414</v>
      </c>
      <c r="E421" s="6">
        <f t="shared" ca="1" si="59"/>
        <v>40148</v>
      </c>
      <c r="F421" s="7">
        <f t="shared" ca="1" si="60"/>
        <v>0</v>
      </c>
      <c r="G421" s="125">
        <f ca="1">IF('Simulador - 1º Pilar'!$E$99="Sí",IF('Aportaciones Flex'!$B$13&lt;'Aportaciones Flex'!E421,0,F421*$B$8/12),F421*$B$8/12)</f>
        <v>0</v>
      </c>
      <c r="H421" s="125">
        <f t="shared" ca="1" si="56"/>
        <v>0</v>
      </c>
      <c r="I421" s="126">
        <f t="shared" ca="1" si="57"/>
        <v>0</v>
      </c>
      <c r="J421" s="125">
        <f t="shared" ca="1" si="61"/>
        <v>0</v>
      </c>
      <c r="K421" s="151"/>
      <c r="L421" s="125">
        <f t="shared" ca="1" si="62"/>
        <v>0</v>
      </c>
      <c r="P421">
        <f t="shared" si="63"/>
        <v>414</v>
      </c>
      <c r="S421" s="126">
        <f t="shared" ca="1" si="58"/>
        <v>0</v>
      </c>
      <c r="T421" s="126">
        <f t="shared" ca="1" si="64"/>
        <v>0</v>
      </c>
    </row>
    <row r="422" spans="4:20">
      <c r="D422">
        <v>415</v>
      </c>
      <c r="E422" s="6">
        <f t="shared" ca="1" si="59"/>
        <v>40118</v>
      </c>
      <c r="F422" s="7">
        <f t="shared" ca="1" si="60"/>
        <v>0</v>
      </c>
      <c r="G422" s="125">
        <f ca="1">IF('Simulador - 1º Pilar'!$E$99="Sí",IF('Aportaciones Flex'!$B$13&lt;'Aportaciones Flex'!E422,0,F422*$B$8/12),F422*$B$8/12)</f>
        <v>0</v>
      </c>
      <c r="H422" s="125">
        <f t="shared" ca="1" si="56"/>
        <v>0</v>
      </c>
      <c r="I422" s="126">
        <f t="shared" ca="1" si="57"/>
        <v>0</v>
      </c>
      <c r="J422" s="125">
        <f t="shared" ca="1" si="61"/>
        <v>0</v>
      </c>
      <c r="K422" s="151"/>
      <c r="L422" s="125">
        <f t="shared" ca="1" si="62"/>
        <v>0</v>
      </c>
      <c r="P422">
        <f t="shared" si="63"/>
        <v>415</v>
      </c>
      <c r="S422" s="126">
        <f t="shared" ca="1" si="58"/>
        <v>0</v>
      </c>
      <c r="T422" s="126">
        <f t="shared" ca="1" si="64"/>
        <v>0</v>
      </c>
    </row>
    <row r="423" spans="4:20">
      <c r="D423">
        <v>416</v>
      </c>
      <c r="E423" s="6">
        <f t="shared" ca="1" si="59"/>
        <v>40087</v>
      </c>
      <c r="F423" s="7">
        <f t="shared" ca="1" si="60"/>
        <v>0</v>
      </c>
      <c r="G423" s="125">
        <f ca="1">IF('Simulador - 1º Pilar'!$E$99="Sí",IF('Aportaciones Flex'!$B$13&lt;'Aportaciones Flex'!E423,0,F423*$B$8/12),F423*$B$8/12)</f>
        <v>0</v>
      </c>
      <c r="H423" s="125">
        <f t="shared" ca="1" si="56"/>
        <v>0</v>
      </c>
      <c r="I423" s="126">
        <f t="shared" ca="1" si="57"/>
        <v>0</v>
      </c>
      <c r="J423" s="125">
        <f t="shared" ca="1" si="61"/>
        <v>0</v>
      </c>
      <c r="K423" s="151"/>
      <c r="L423" s="125">
        <f t="shared" ca="1" si="62"/>
        <v>0</v>
      </c>
      <c r="P423">
        <f t="shared" si="63"/>
        <v>416</v>
      </c>
      <c r="S423" s="126">
        <f t="shared" ca="1" si="58"/>
        <v>0</v>
      </c>
      <c r="T423" s="126">
        <f t="shared" ca="1" si="64"/>
        <v>0</v>
      </c>
    </row>
    <row r="424" spans="4:20">
      <c r="D424">
        <v>417</v>
      </c>
      <c r="E424" s="6">
        <f t="shared" ca="1" si="59"/>
        <v>40057</v>
      </c>
      <c r="F424" s="7">
        <f t="shared" ca="1" si="60"/>
        <v>0</v>
      </c>
      <c r="G424" s="125">
        <f ca="1">IF('Simulador - 1º Pilar'!$E$99="Sí",IF('Aportaciones Flex'!$B$13&lt;'Aportaciones Flex'!E424,0,F424*$B$8/12),F424*$B$8/12)</f>
        <v>0</v>
      </c>
      <c r="H424" s="125">
        <f t="shared" ca="1" si="56"/>
        <v>0</v>
      </c>
      <c r="I424" s="126">
        <f t="shared" ca="1" si="57"/>
        <v>0</v>
      </c>
      <c r="J424" s="125">
        <f t="shared" ca="1" si="61"/>
        <v>0</v>
      </c>
      <c r="K424" s="151"/>
      <c r="L424" s="125">
        <f t="shared" ca="1" si="62"/>
        <v>0</v>
      </c>
      <c r="P424">
        <f t="shared" si="63"/>
        <v>417</v>
      </c>
      <c r="S424" s="126">
        <f t="shared" ca="1" si="58"/>
        <v>0</v>
      </c>
      <c r="T424" s="126">
        <f t="shared" ca="1" si="64"/>
        <v>0</v>
      </c>
    </row>
    <row r="425" spans="4:20">
      <c r="D425">
        <v>418</v>
      </c>
      <c r="E425" s="6">
        <f t="shared" ca="1" si="59"/>
        <v>40026</v>
      </c>
      <c r="F425" s="7">
        <f t="shared" ca="1" si="60"/>
        <v>0</v>
      </c>
      <c r="G425" s="125">
        <f ca="1">IF('Simulador - 1º Pilar'!$E$99="Sí",IF('Aportaciones Flex'!$B$13&lt;'Aportaciones Flex'!E425,0,F425*$B$8/12),F425*$B$8/12)</f>
        <v>0</v>
      </c>
      <c r="H425" s="125">
        <f t="shared" ca="1" si="56"/>
        <v>0</v>
      </c>
      <c r="I425" s="126">
        <f t="shared" ca="1" si="57"/>
        <v>0</v>
      </c>
      <c r="J425" s="125">
        <f t="shared" ca="1" si="61"/>
        <v>0</v>
      </c>
      <c r="K425" s="151"/>
      <c r="L425" s="125">
        <f t="shared" ca="1" si="62"/>
        <v>0</v>
      </c>
      <c r="P425">
        <f t="shared" si="63"/>
        <v>418</v>
      </c>
      <c r="S425" s="126">
        <f t="shared" ca="1" si="58"/>
        <v>0</v>
      </c>
      <c r="T425" s="126">
        <f t="shared" ca="1" si="64"/>
        <v>0</v>
      </c>
    </row>
    <row r="426" spans="4:20">
      <c r="D426">
        <v>419</v>
      </c>
      <c r="E426" s="6">
        <f t="shared" ca="1" si="59"/>
        <v>39995</v>
      </c>
      <c r="F426" s="7">
        <f t="shared" ca="1" si="60"/>
        <v>0</v>
      </c>
      <c r="G426" s="125">
        <f ca="1">IF('Simulador - 1º Pilar'!$E$99="Sí",IF('Aportaciones Flex'!$B$13&lt;'Aportaciones Flex'!E426,0,F426*$B$8/12),F426*$B$8/12)</f>
        <v>0</v>
      </c>
      <c r="H426" s="125">
        <f t="shared" ca="1" si="56"/>
        <v>0</v>
      </c>
      <c r="I426" s="126">
        <f t="shared" ca="1" si="57"/>
        <v>0</v>
      </c>
      <c r="J426" s="125">
        <f t="shared" ca="1" si="61"/>
        <v>0</v>
      </c>
      <c r="K426" s="151"/>
      <c r="L426" s="125">
        <f t="shared" ca="1" si="62"/>
        <v>0</v>
      </c>
      <c r="P426">
        <f t="shared" si="63"/>
        <v>419</v>
      </c>
      <c r="S426" s="126">
        <f t="shared" ca="1" si="58"/>
        <v>0</v>
      </c>
      <c r="T426" s="126">
        <f t="shared" ca="1" si="64"/>
        <v>0</v>
      </c>
    </row>
    <row r="427" spans="4:20">
      <c r="D427">
        <v>420</v>
      </c>
      <c r="E427" s="6">
        <f t="shared" ca="1" si="59"/>
        <v>39965</v>
      </c>
      <c r="F427" s="7">
        <f t="shared" ca="1" si="60"/>
        <v>0</v>
      </c>
      <c r="G427" s="125">
        <f ca="1">IF('Simulador - 1º Pilar'!$E$99="Sí",IF('Aportaciones Flex'!$B$13&lt;'Aportaciones Flex'!E427,0,F427*$B$8/12),F427*$B$8/12)</f>
        <v>0</v>
      </c>
      <c r="H427" s="125">
        <f t="shared" ca="1" si="56"/>
        <v>0</v>
      </c>
      <c r="I427" s="126">
        <f t="shared" ca="1" si="57"/>
        <v>0</v>
      </c>
      <c r="J427" s="125">
        <f t="shared" ca="1" si="61"/>
        <v>0</v>
      </c>
      <c r="K427" s="151"/>
      <c r="L427" s="125">
        <f t="shared" ca="1" si="62"/>
        <v>0</v>
      </c>
      <c r="P427">
        <f t="shared" si="63"/>
        <v>420</v>
      </c>
      <c r="S427" s="126">
        <f t="shared" ca="1" si="58"/>
        <v>0</v>
      </c>
      <c r="T427" s="126">
        <f t="shared" ca="1" si="64"/>
        <v>0</v>
      </c>
    </row>
    <row r="428" spans="4:20">
      <c r="D428">
        <v>421</v>
      </c>
      <c r="E428" s="6">
        <f t="shared" ca="1" si="59"/>
        <v>39934</v>
      </c>
      <c r="F428" s="7">
        <f t="shared" ca="1" si="60"/>
        <v>0</v>
      </c>
      <c r="G428" s="125">
        <f ca="1">IF('Simulador - 1º Pilar'!$E$99="Sí",IF('Aportaciones Flex'!$B$13&lt;'Aportaciones Flex'!E428,0,F428*$B$8/12),F428*$B$8/12)</f>
        <v>0</v>
      </c>
      <c r="H428" s="125">
        <f t="shared" ca="1" si="56"/>
        <v>0</v>
      </c>
      <c r="I428" s="126">
        <f t="shared" ca="1" si="57"/>
        <v>0</v>
      </c>
      <c r="J428" s="125">
        <f t="shared" ca="1" si="61"/>
        <v>0</v>
      </c>
      <c r="K428" s="151"/>
      <c r="L428" s="125">
        <f t="shared" ca="1" si="62"/>
        <v>0</v>
      </c>
      <c r="P428">
        <f t="shared" si="63"/>
        <v>421</v>
      </c>
      <c r="S428" s="126">
        <f t="shared" ca="1" si="58"/>
        <v>0</v>
      </c>
      <c r="T428" s="126">
        <f t="shared" ca="1" si="64"/>
        <v>0</v>
      </c>
    </row>
    <row r="429" spans="4:20">
      <c r="D429">
        <v>422</v>
      </c>
      <c r="E429" s="6">
        <f t="shared" ca="1" si="59"/>
        <v>39904</v>
      </c>
      <c r="F429" s="7">
        <f t="shared" ca="1" si="60"/>
        <v>0</v>
      </c>
      <c r="G429" s="125">
        <f ca="1">IF('Simulador - 1º Pilar'!$E$99="Sí",IF('Aportaciones Flex'!$B$13&lt;'Aportaciones Flex'!E429,0,F429*$B$8/12),F429*$B$8/12)</f>
        <v>0</v>
      </c>
      <c r="H429" s="125">
        <f t="shared" ca="1" si="56"/>
        <v>0</v>
      </c>
      <c r="I429" s="126">
        <f t="shared" ca="1" si="57"/>
        <v>0</v>
      </c>
      <c r="J429" s="125">
        <f t="shared" ca="1" si="61"/>
        <v>0</v>
      </c>
      <c r="K429" s="151"/>
      <c r="L429" s="125">
        <f t="shared" ca="1" si="62"/>
        <v>0</v>
      </c>
      <c r="P429">
        <f t="shared" si="63"/>
        <v>422</v>
      </c>
      <c r="S429" s="126">
        <f t="shared" ca="1" si="58"/>
        <v>0</v>
      </c>
      <c r="T429" s="126">
        <f t="shared" ca="1" si="64"/>
        <v>0</v>
      </c>
    </row>
    <row r="430" spans="4:20">
      <c r="D430">
        <v>423</v>
      </c>
      <c r="E430" s="6">
        <f t="shared" ca="1" si="59"/>
        <v>39873</v>
      </c>
      <c r="F430" s="7">
        <f t="shared" ca="1" si="60"/>
        <v>0</v>
      </c>
      <c r="G430" s="125">
        <f ca="1">IF('Simulador - 1º Pilar'!$E$99="Sí",IF('Aportaciones Flex'!$B$13&lt;'Aportaciones Flex'!E430,0,F430*$B$8/12),F430*$B$8/12)</f>
        <v>0</v>
      </c>
      <c r="H430" s="125">
        <f t="shared" ca="1" si="56"/>
        <v>0</v>
      </c>
      <c r="I430" s="126">
        <f t="shared" ca="1" si="57"/>
        <v>0</v>
      </c>
      <c r="J430" s="125">
        <f t="shared" ca="1" si="61"/>
        <v>0</v>
      </c>
      <c r="K430" s="151"/>
      <c r="L430" s="125">
        <f t="shared" ca="1" si="62"/>
        <v>0</v>
      </c>
      <c r="P430">
        <f t="shared" si="63"/>
        <v>423</v>
      </c>
      <c r="S430" s="126">
        <f t="shared" ca="1" si="58"/>
        <v>0</v>
      </c>
      <c r="T430" s="126">
        <f t="shared" ca="1" si="64"/>
        <v>0</v>
      </c>
    </row>
    <row r="431" spans="4:20">
      <c r="D431">
        <v>424</v>
      </c>
      <c r="E431" s="6">
        <f t="shared" ca="1" si="59"/>
        <v>39845</v>
      </c>
      <c r="F431" s="7">
        <f t="shared" ca="1" si="60"/>
        <v>0</v>
      </c>
      <c r="G431" s="125">
        <f ca="1">IF('Simulador - 1º Pilar'!$E$99="Sí",IF('Aportaciones Flex'!$B$13&lt;'Aportaciones Flex'!E431,0,F431*$B$8/12),F431*$B$8/12)</f>
        <v>0</v>
      </c>
      <c r="H431" s="125">
        <f t="shared" ca="1" si="56"/>
        <v>0</v>
      </c>
      <c r="I431" s="126">
        <f t="shared" ca="1" si="57"/>
        <v>0</v>
      </c>
      <c r="J431" s="125">
        <f t="shared" ca="1" si="61"/>
        <v>0</v>
      </c>
      <c r="K431" s="151"/>
      <c r="L431" s="125">
        <f t="shared" ca="1" si="62"/>
        <v>0</v>
      </c>
      <c r="P431">
        <f t="shared" si="63"/>
        <v>424</v>
      </c>
      <c r="S431" s="126">
        <f t="shared" ca="1" si="58"/>
        <v>0</v>
      </c>
      <c r="T431" s="126">
        <f t="shared" ca="1" si="64"/>
        <v>0</v>
      </c>
    </row>
    <row r="432" spans="4:20">
      <c r="D432">
        <v>425</v>
      </c>
      <c r="E432" s="6">
        <f t="shared" ca="1" si="59"/>
        <v>39814</v>
      </c>
      <c r="F432" s="7">
        <f t="shared" ca="1" si="60"/>
        <v>0</v>
      </c>
      <c r="G432" s="125">
        <f ca="1">IF('Simulador - 1º Pilar'!$E$99="Sí",IF('Aportaciones Flex'!$B$13&lt;'Aportaciones Flex'!E432,0,F432*$B$8/12),F432*$B$8/12)</f>
        <v>0</v>
      </c>
      <c r="H432" s="125">
        <f t="shared" ca="1" si="56"/>
        <v>0</v>
      </c>
      <c r="I432" s="126">
        <f t="shared" ca="1" si="57"/>
        <v>0</v>
      </c>
      <c r="J432" s="125">
        <f t="shared" ca="1" si="61"/>
        <v>0</v>
      </c>
      <c r="K432" s="151"/>
      <c r="L432" s="125">
        <f t="shared" ca="1" si="62"/>
        <v>0</v>
      </c>
      <c r="P432">
        <f t="shared" si="63"/>
        <v>425</v>
      </c>
      <c r="S432" s="126">
        <f t="shared" ca="1" si="58"/>
        <v>0</v>
      </c>
      <c r="T432" s="126">
        <f t="shared" ca="1" si="64"/>
        <v>0</v>
      </c>
    </row>
    <row r="433" spans="4:20">
      <c r="D433">
        <v>426</v>
      </c>
      <c r="E433" s="6">
        <f t="shared" ca="1" si="59"/>
        <v>39783</v>
      </c>
      <c r="F433" s="7">
        <f t="shared" ca="1" si="60"/>
        <v>0</v>
      </c>
      <c r="G433" s="125">
        <f ca="1">IF('Simulador - 1º Pilar'!$E$99="Sí",IF('Aportaciones Flex'!$B$13&lt;'Aportaciones Flex'!E433,0,F433*$B$8/12),F433*$B$8/12)</f>
        <v>0</v>
      </c>
      <c r="H433" s="125">
        <f t="shared" ca="1" si="56"/>
        <v>0</v>
      </c>
      <c r="I433" s="126">
        <f t="shared" ca="1" si="57"/>
        <v>0</v>
      </c>
      <c r="J433" s="125">
        <f t="shared" ca="1" si="61"/>
        <v>0</v>
      </c>
      <c r="K433" s="151"/>
      <c r="L433" s="125">
        <f t="shared" ca="1" si="62"/>
        <v>0</v>
      </c>
      <c r="P433">
        <f t="shared" si="63"/>
        <v>426</v>
      </c>
      <c r="S433" s="126">
        <f t="shared" ca="1" si="58"/>
        <v>0</v>
      </c>
      <c r="T433" s="126">
        <f t="shared" ca="1" si="64"/>
        <v>0</v>
      </c>
    </row>
    <row r="434" spans="4:20">
      <c r="D434">
        <v>427</v>
      </c>
      <c r="E434" s="6">
        <f t="shared" ca="1" si="59"/>
        <v>39753</v>
      </c>
      <c r="F434" s="7">
        <f t="shared" ca="1" si="60"/>
        <v>0</v>
      </c>
      <c r="G434" s="125">
        <f ca="1">IF('Simulador - 1º Pilar'!$E$99="Sí",IF('Aportaciones Flex'!$B$13&lt;'Aportaciones Flex'!E434,0,F434*$B$8/12),F434*$B$8/12)</f>
        <v>0</v>
      </c>
      <c r="H434" s="125">
        <f t="shared" ca="1" si="56"/>
        <v>0</v>
      </c>
      <c r="I434" s="126">
        <f t="shared" ca="1" si="57"/>
        <v>0</v>
      </c>
      <c r="J434" s="125">
        <f t="shared" ca="1" si="61"/>
        <v>0</v>
      </c>
      <c r="K434" s="151"/>
      <c r="L434" s="125">
        <f t="shared" ca="1" si="62"/>
        <v>0</v>
      </c>
      <c r="P434">
        <f t="shared" si="63"/>
        <v>427</v>
      </c>
      <c r="S434" s="126">
        <f t="shared" ca="1" si="58"/>
        <v>0</v>
      </c>
      <c r="T434" s="126">
        <f t="shared" ca="1" si="64"/>
        <v>0</v>
      </c>
    </row>
    <row r="435" spans="4:20">
      <c r="D435">
        <v>428</v>
      </c>
      <c r="E435" s="6">
        <f t="shared" ca="1" si="59"/>
        <v>39722</v>
      </c>
      <c r="F435" s="7">
        <f t="shared" ca="1" si="60"/>
        <v>0</v>
      </c>
      <c r="G435" s="125">
        <f ca="1">IF('Simulador - 1º Pilar'!$E$99="Sí",IF('Aportaciones Flex'!$B$13&lt;'Aportaciones Flex'!E435,0,F435*$B$8/12),F435*$B$8/12)</f>
        <v>0</v>
      </c>
      <c r="H435" s="125">
        <f t="shared" ca="1" si="56"/>
        <v>0</v>
      </c>
      <c r="I435" s="126">
        <f t="shared" ca="1" si="57"/>
        <v>0</v>
      </c>
      <c r="J435" s="125">
        <f t="shared" ca="1" si="61"/>
        <v>0</v>
      </c>
      <c r="K435" s="151"/>
      <c r="L435" s="125">
        <f t="shared" ca="1" si="62"/>
        <v>0</v>
      </c>
      <c r="P435">
        <f t="shared" si="63"/>
        <v>428</v>
      </c>
      <c r="S435" s="126">
        <f t="shared" ca="1" si="58"/>
        <v>0</v>
      </c>
      <c r="T435" s="126">
        <f t="shared" ca="1" si="64"/>
        <v>0</v>
      </c>
    </row>
    <row r="436" spans="4:20">
      <c r="D436">
        <v>429</v>
      </c>
      <c r="E436" s="6">
        <f t="shared" ca="1" si="59"/>
        <v>39692</v>
      </c>
      <c r="F436" s="7">
        <f t="shared" ca="1" si="60"/>
        <v>0</v>
      </c>
      <c r="G436" s="125">
        <f ca="1">IF('Simulador - 1º Pilar'!$E$99="Sí",IF('Aportaciones Flex'!$B$13&lt;'Aportaciones Flex'!E436,0,F436*$B$8/12),F436*$B$8/12)</f>
        <v>0</v>
      </c>
      <c r="H436" s="125">
        <f t="shared" ca="1" si="56"/>
        <v>0</v>
      </c>
      <c r="I436" s="126">
        <f t="shared" ca="1" si="57"/>
        <v>0</v>
      </c>
      <c r="J436" s="125">
        <f t="shared" ca="1" si="61"/>
        <v>0</v>
      </c>
      <c r="K436" s="151"/>
      <c r="L436" s="125">
        <f t="shared" ca="1" si="62"/>
        <v>0</v>
      </c>
      <c r="P436">
        <f t="shared" si="63"/>
        <v>429</v>
      </c>
      <c r="S436" s="126">
        <f t="shared" ca="1" si="58"/>
        <v>0</v>
      </c>
      <c r="T436" s="126">
        <f t="shared" ca="1" si="64"/>
        <v>0</v>
      </c>
    </row>
    <row r="437" spans="4:20">
      <c r="D437">
        <v>430</v>
      </c>
      <c r="E437" s="6">
        <f t="shared" ca="1" si="59"/>
        <v>39661</v>
      </c>
      <c r="F437" s="7">
        <f t="shared" ca="1" si="60"/>
        <v>0</v>
      </c>
      <c r="G437" s="125">
        <f ca="1">IF('Simulador - 1º Pilar'!$E$99="Sí",IF('Aportaciones Flex'!$B$13&lt;'Aportaciones Flex'!E437,0,F437*$B$8/12),F437*$B$8/12)</f>
        <v>0</v>
      </c>
      <c r="H437" s="125">
        <f t="shared" ca="1" si="56"/>
        <v>0</v>
      </c>
      <c r="I437" s="126">
        <f t="shared" ca="1" si="57"/>
        <v>0</v>
      </c>
      <c r="J437" s="125">
        <f t="shared" ca="1" si="61"/>
        <v>0</v>
      </c>
      <c r="K437" s="151"/>
      <c r="L437" s="125">
        <f t="shared" ca="1" si="62"/>
        <v>0</v>
      </c>
      <c r="P437">
        <f t="shared" si="63"/>
        <v>430</v>
      </c>
      <c r="S437" s="126">
        <f t="shared" ca="1" si="58"/>
        <v>0</v>
      </c>
      <c r="T437" s="126">
        <f t="shared" ca="1" si="64"/>
        <v>0</v>
      </c>
    </row>
    <row r="438" spans="4:20">
      <c r="D438">
        <v>431</v>
      </c>
      <c r="E438" s="6">
        <f t="shared" ca="1" si="59"/>
        <v>39630</v>
      </c>
      <c r="F438" s="7">
        <f t="shared" ca="1" si="60"/>
        <v>0</v>
      </c>
      <c r="G438" s="125">
        <f ca="1">IF('Simulador - 1º Pilar'!$E$99="Sí",IF('Aportaciones Flex'!$B$13&lt;'Aportaciones Flex'!E438,0,F438*$B$8/12),F438*$B$8/12)</f>
        <v>0</v>
      </c>
      <c r="H438" s="125">
        <f t="shared" ca="1" si="56"/>
        <v>0</v>
      </c>
      <c r="I438" s="126">
        <f t="shared" ca="1" si="57"/>
        <v>0</v>
      </c>
      <c r="J438" s="125">
        <f t="shared" ca="1" si="61"/>
        <v>0</v>
      </c>
      <c r="K438" s="151"/>
      <c r="L438" s="125">
        <f t="shared" ca="1" si="62"/>
        <v>0</v>
      </c>
      <c r="P438">
        <f t="shared" si="63"/>
        <v>431</v>
      </c>
      <c r="S438" s="126">
        <f t="shared" ca="1" si="58"/>
        <v>0</v>
      </c>
      <c r="T438" s="126">
        <f t="shared" ca="1" si="64"/>
        <v>0</v>
      </c>
    </row>
    <row r="439" spans="4:20">
      <c r="D439">
        <v>432</v>
      </c>
      <c r="E439" s="6">
        <f t="shared" ca="1" si="59"/>
        <v>39600</v>
      </c>
      <c r="F439" s="7">
        <f t="shared" ca="1" si="60"/>
        <v>0</v>
      </c>
      <c r="G439" s="125">
        <f ca="1">IF('Simulador - 1º Pilar'!$E$99="Sí",IF('Aportaciones Flex'!$B$13&lt;'Aportaciones Flex'!E439,0,F439*$B$8/12),F439*$B$8/12)</f>
        <v>0</v>
      </c>
      <c r="H439" s="125">
        <f t="shared" ca="1" si="56"/>
        <v>0</v>
      </c>
      <c r="I439" s="126">
        <f t="shared" ca="1" si="57"/>
        <v>0</v>
      </c>
      <c r="J439" s="125">
        <f t="shared" ca="1" si="61"/>
        <v>0</v>
      </c>
      <c r="K439" s="151"/>
      <c r="L439" s="125">
        <f t="shared" ca="1" si="62"/>
        <v>0</v>
      </c>
      <c r="P439">
        <f t="shared" si="63"/>
        <v>432</v>
      </c>
      <c r="S439" s="126">
        <f t="shared" ca="1" si="58"/>
        <v>0</v>
      </c>
      <c r="T439" s="126">
        <f t="shared" ca="1" si="64"/>
        <v>0</v>
      </c>
    </row>
    <row r="440" spans="4:20">
      <c r="D440">
        <v>433</v>
      </c>
      <c r="E440" s="6">
        <f t="shared" ca="1" si="59"/>
        <v>39569</v>
      </c>
      <c r="F440" s="7">
        <f t="shared" ca="1" si="60"/>
        <v>0</v>
      </c>
      <c r="G440" s="125">
        <f ca="1">IF('Simulador - 1º Pilar'!$E$99="Sí",IF('Aportaciones Flex'!$B$13&lt;'Aportaciones Flex'!E440,0,F440*$B$8/12),F440*$B$8/12)</f>
        <v>0</v>
      </c>
      <c r="H440" s="125">
        <f t="shared" ca="1" si="56"/>
        <v>0</v>
      </c>
      <c r="I440" s="126">
        <f t="shared" ca="1" si="57"/>
        <v>0</v>
      </c>
      <c r="J440" s="125">
        <f t="shared" ca="1" si="61"/>
        <v>0</v>
      </c>
      <c r="K440" s="151"/>
      <c r="L440" s="125">
        <f t="shared" ca="1" si="62"/>
        <v>0</v>
      </c>
      <c r="P440">
        <f t="shared" si="63"/>
        <v>433</v>
      </c>
      <c r="S440" s="126">
        <f t="shared" ca="1" si="58"/>
        <v>0</v>
      </c>
      <c r="T440" s="126">
        <f t="shared" ca="1" si="64"/>
        <v>0</v>
      </c>
    </row>
    <row r="441" spans="4:20">
      <c r="D441">
        <v>434</v>
      </c>
      <c r="E441" s="6">
        <f t="shared" ca="1" si="59"/>
        <v>39539</v>
      </c>
      <c r="F441" s="7">
        <f t="shared" ca="1" si="60"/>
        <v>0</v>
      </c>
      <c r="G441" s="125">
        <f ca="1">IF('Simulador - 1º Pilar'!$E$99="Sí",IF('Aportaciones Flex'!$B$13&lt;'Aportaciones Flex'!E441,0,F441*$B$8/12),F441*$B$8/12)</f>
        <v>0</v>
      </c>
      <c r="H441" s="125">
        <f t="shared" ca="1" si="56"/>
        <v>0</v>
      </c>
      <c r="I441" s="126">
        <f t="shared" ca="1" si="57"/>
        <v>0</v>
      </c>
      <c r="J441" s="125">
        <f t="shared" ca="1" si="61"/>
        <v>0</v>
      </c>
      <c r="K441" s="151"/>
      <c r="L441" s="125">
        <f t="shared" ca="1" si="62"/>
        <v>0</v>
      </c>
      <c r="P441">
        <f t="shared" si="63"/>
        <v>434</v>
      </c>
      <c r="S441" s="126">
        <f t="shared" ca="1" si="58"/>
        <v>0</v>
      </c>
      <c r="T441" s="126">
        <f t="shared" ca="1" si="64"/>
        <v>0</v>
      </c>
    </row>
    <row r="442" spans="4:20">
      <c r="D442">
        <v>435</v>
      </c>
      <c r="E442" s="6">
        <f t="shared" ca="1" si="59"/>
        <v>39508</v>
      </c>
      <c r="F442" s="7">
        <f t="shared" ca="1" si="60"/>
        <v>0</v>
      </c>
      <c r="G442" s="125">
        <f ca="1">IF('Simulador - 1º Pilar'!$E$99="Sí",IF('Aportaciones Flex'!$B$13&lt;'Aportaciones Flex'!E442,0,F442*$B$8/12),F442*$B$8/12)</f>
        <v>0</v>
      </c>
      <c r="H442" s="125">
        <f t="shared" ca="1" si="56"/>
        <v>0</v>
      </c>
      <c r="I442" s="126">
        <f t="shared" ca="1" si="57"/>
        <v>0</v>
      </c>
      <c r="J442" s="125">
        <f t="shared" ca="1" si="61"/>
        <v>0</v>
      </c>
      <c r="K442" s="151"/>
      <c r="L442" s="125">
        <f t="shared" ca="1" si="62"/>
        <v>0</v>
      </c>
      <c r="P442">
        <f t="shared" si="63"/>
        <v>435</v>
      </c>
      <c r="S442" s="126">
        <f t="shared" ca="1" si="58"/>
        <v>0</v>
      </c>
      <c r="T442" s="126">
        <f t="shared" ca="1" si="64"/>
        <v>0</v>
      </c>
    </row>
    <row r="443" spans="4:20">
      <c r="D443">
        <v>436</v>
      </c>
      <c r="E443" s="6">
        <f t="shared" ca="1" si="59"/>
        <v>39479</v>
      </c>
      <c r="F443" s="7">
        <f t="shared" ca="1" si="60"/>
        <v>0</v>
      </c>
      <c r="G443" s="125">
        <f ca="1">IF('Simulador - 1º Pilar'!$E$99="Sí",IF('Aportaciones Flex'!$B$13&lt;'Aportaciones Flex'!E443,0,F443*$B$8/12),F443*$B$8/12)</f>
        <v>0</v>
      </c>
      <c r="H443" s="125">
        <f t="shared" ca="1" si="56"/>
        <v>0</v>
      </c>
      <c r="I443" s="126">
        <f t="shared" ca="1" si="57"/>
        <v>0</v>
      </c>
      <c r="J443" s="125">
        <f t="shared" ca="1" si="61"/>
        <v>0</v>
      </c>
      <c r="K443" s="151"/>
      <c r="L443" s="125">
        <f t="shared" ca="1" si="62"/>
        <v>0</v>
      </c>
      <c r="P443">
        <f t="shared" si="63"/>
        <v>436</v>
      </c>
      <c r="S443" s="126">
        <f t="shared" ca="1" si="58"/>
        <v>0</v>
      </c>
      <c r="T443" s="126">
        <f t="shared" ca="1" si="64"/>
        <v>0</v>
      </c>
    </row>
    <row r="444" spans="4:20">
      <c r="D444">
        <v>437</v>
      </c>
      <c r="E444" s="6">
        <f t="shared" ca="1" si="59"/>
        <v>39448</v>
      </c>
      <c r="F444" s="7">
        <f t="shared" ca="1" si="60"/>
        <v>0</v>
      </c>
      <c r="G444" s="125">
        <f ca="1">IF('Simulador - 1º Pilar'!$E$99="Sí",IF('Aportaciones Flex'!$B$13&lt;'Aportaciones Flex'!E444,0,F444*$B$8/12),F444*$B$8/12)</f>
        <v>0</v>
      </c>
      <c r="H444" s="125">
        <f t="shared" ca="1" si="56"/>
        <v>0</v>
      </c>
      <c r="I444" s="126">
        <f t="shared" ca="1" si="57"/>
        <v>0</v>
      </c>
      <c r="J444" s="125">
        <f t="shared" ca="1" si="61"/>
        <v>0</v>
      </c>
      <c r="K444" s="151"/>
      <c r="L444" s="125">
        <f t="shared" ca="1" si="62"/>
        <v>0</v>
      </c>
      <c r="P444">
        <f t="shared" si="63"/>
        <v>437</v>
      </c>
      <c r="S444" s="126">
        <f t="shared" ca="1" si="58"/>
        <v>0</v>
      </c>
      <c r="T444" s="126">
        <f t="shared" ca="1" si="64"/>
        <v>0</v>
      </c>
    </row>
    <row r="445" spans="4:20">
      <c r="D445">
        <v>438</v>
      </c>
      <c r="E445" s="6">
        <f t="shared" ca="1" si="59"/>
        <v>39417</v>
      </c>
      <c r="F445" s="7">
        <f t="shared" ca="1" si="60"/>
        <v>0</v>
      </c>
      <c r="G445" s="125">
        <f ca="1">IF('Simulador - 1º Pilar'!$E$99="Sí",IF('Aportaciones Flex'!$B$13&lt;'Aportaciones Flex'!E445,0,F445*$B$8/12),F445*$B$8/12)</f>
        <v>0</v>
      </c>
      <c r="H445" s="125">
        <f t="shared" ca="1" si="56"/>
        <v>0</v>
      </c>
      <c r="I445" s="126">
        <f t="shared" ca="1" si="57"/>
        <v>0</v>
      </c>
      <c r="J445" s="125">
        <f t="shared" ca="1" si="61"/>
        <v>0</v>
      </c>
      <c r="K445" s="151"/>
      <c r="L445" s="125">
        <f t="shared" ca="1" si="62"/>
        <v>0</v>
      </c>
      <c r="P445">
        <f t="shared" si="63"/>
        <v>438</v>
      </c>
      <c r="S445" s="126">
        <f t="shared" ca="1" si="58"/>
        <v>0</v>
      </c>
      <c r="T445" s="126">
        <f t="shared" ca="1" si="64"/>
        <v>0</v>
      </c>
    </row>
    <row r="446" spans="4:20">
      <c r="D446">
        <v>439</v>
      </c>
      <c r="E446" s="6">
        <f t="shared" ca="1" si="59"/>
        <v>39387</v>
      </c>
      <c r="F446" s="7">
        <f t="shared" ca="1" si="60"/>
        <v>0</v>
      </c>
      <c r="G446" s="125">
        <f ca="1">IF('Simulador - 1º Pilar'!$E$99="Sí",IF('Aportaciones Flex'!$B$13&lt;'Aportaciones Flex'!E446,0,F446*$B$8/12),F446*$B$8/12)</f>
        <v>0</v>
      </c>
      <c r="H446" s="125">
        <f t="shared" ca="1" si="56"/>
        <v>0</v>
      </c>
      <c r="I446" s="126">
        <f t="shared" ca="1" si="57"/>
        <v>0</v>
      </c>
      <c r="J446" s="125">
        <f t="shared" ca="1" si="61"/>
        <v>0</v>
      </c>
      <c r="K446" s="151"/>
      <c r="L446" s="125">
        <f t="shared" ca="1" si="62"/>
        <v>0</v>
      </c>
      <c r="P446">
        <f t="shared" si="63"/>
        <v>439</v>
      </c>
      <c r="S446" s="126">
        <f t="shared" ca="1" si="58"/>
        <v>0</v>
      </c>
      <c r="T446" s="126">
        <f t="shared" ca="1" si="64"/>
        <v>0</v>
      </c>
    </row>
    <row r="447" spans="4:20">
      <c r="D447">
        <v>440</v>
      </c>
      <c r="E447" s="6">
        <f t="shared" ca="1" si="59"/>
        <v>39356</v>
      </c>
      <c r="F447" s="7">
        <f t="shared" ca="1" si="60"/>
        <v>0</v>
      </c>
      <c r="G447" s="125">
        <f ca="1">IF('Simulador - 1º Pilar'!$E$99="Sí",IF('Aportaciones Flex'!$B$13&lt;'Aportaciones Flex'!E447,0,F447*$B$8/12),F447*$B$8/12)</f>
        <v>0</v>
      </c>
      <c r="H447" s="125">
        <f t="shared" ca="1" si="56"/>
        <v>0</v>
      </c>
      <c r="I447" s="126">
        <f t="shared" ca="1" si="57"/>
        <v>0</v>
      </c>
      <c r="J447" s="125">
        <f t="shared" ca="1" si="61"/>
        <v>0</v>
      </c>
      <c r="K447" s="151"/>
      <c r="L447" s="125">
        <f t="shared" ca="1" si="62"/>
        <v>0</v>
      </c>
      <c r="P447">
        <f t="shared" si="63"/>
        <v>440</v>
      </c>
      <c r="S447" s="126">
        <f t="shared" ca="1" si="58"/>
        <v>0</v>
      </c>
      <c r="T447" s="126">
        <f t="shared" ca="1" si="64"/>
        <v>0</v>
      </c>
    </row>
    <row r="448" spans="4:20">
      <c r="D448">
        <v>441</v>
      </c>
      <c r="E448" s="6">
        <f t="shared" ca="1" si="59"/>
        <v>39326</v>
      </c>
      <c r="F448" s="7">
        <f t="shared" ca="1" si="60"/>
        <v>0</v>
      </c>
      <c r="G448" s="125">
        <f ca="1">IF('Simulador - 1º Pilar'!$E$99="Sí",IF('Aportaciones Flex'!$B$13&lt;'Aportaciones Flex'!E448,0,F448*$B$8/12),F448*$B$8/12)</f>
        <v>0</v>
      </c>
      <c r="H448" s="125">
        <f t="shared" ca="1" si="56"/>
        <v>0</v>
      </c>
      <c r="I448" s="126">
        <f t="shared" ca="1" si="57"/>
        <v>0</v>
      </c>
      <c r="J448" s="125">
        <f t="shared" ca="1" si="61"/>
        <v>0</v>
      </c>
      <c r="K448" s="151"/>
      <c r="L448" s="125">
        <f t="shared" ca="1" si="62"/>
        <v>0</v>
      </c>
      <c r="P448">
        <f t="shared" si="63"/>
        <v>441</v>
      </c>
      <c r="S448" s="126">
        <f t="shared" ca="1" si="58"/>
        <v>0</v>
      </c>
      <c r="T448" s="126">
        <f t="shared" ca="1" si="64"/>
        <v>0</v>
      </c>
    </row>
    <row r="449" spans="4:20">
      <c r="D449">
        <v>442</v>
      </c>
      <c r="E449" s="6">
        <f t="shared" ca="1" si="59"/>
        <v>39295</v>
      </c>
      <c r="F449" s="7">
        <f t="shared" ca="1" si="60"/>
        <v>0</v>
      </c>
      <c r="G449" s="125">
        <f ca="1">IF('Simulador - 1º Pilar'!$E$99="Sí",IF('Aportaciones Flex'!$B$13&lt;'Aportaciones Flex'!E449,0,F449*$B$8/12),F449*$B$8/12)</f>
        <v>0</v>
      </c>
      <c r="H449" s="125">
        <f t="shared" ca="1" si="56"/>
        <v>0</v>
      </c>
      <c r="I449" s="126">
        <f t="shared" ca="1" si="57"/>
        <v>0</v>
      </c>
      <c r="J449" s="125">
        <f t="shared" ca="1" si="61"/>
        <v>0</v>
      </c>
      <c r="K449" s="151"/>
      <c r="L449" s="125">
        <f t="shared" ca="1" si="62"/>
        <v>0</v>
      </c>
      <c r="P449">
        <f t="shared" si="63"/>
        <v>442</v>
      </c>
      <c r="S449" s="126">
        <f t="shared" ca="1" si="58"/>
        <v>0</v>
      </c>
      <c r="T449" s="126">
        <f t="shared" ca="1" si="64"/>
        <v>0</v>
      </c>
    </row>
    <row r="450" spans="4:20">
      <c r="D450">
        <v>443</v>
      </c>
      <c r="E450" s="6">
        <f t="shared" ca="1" si="59"/>
        <v>39264</v>
      </c>
      <c r="F450" s="7">
        <f t="shared" ca="1" si="60"/>
        <v>0</v>
      </c>
      <c r="G450" s="125">
        <f ca="1">IF('Simulador - 1º Pilar'!$E$99="Sí",IF('Aportaciones Flex'!$B$13&lt;'Aportaciones Flex'!E450,0,F450*$B$8/12),F450*$B$8/12)</f>
        <v>0</v>
      </c>
      <c r="H450" s="125">
        <f t="shared" ref="H450:H513" ca="1" si="65">IF(G450&gt;0,1,0)*$H$5*IF(AND($I$5="NO",YEAR(E450)=YEAR($B$6)+1),1,IF($I$5="SI",1,0))</f>
        <v>0</v>
      </c>
      <c r="I450" s="126">
        <f t="shared" ca="1" si="57"/>
        <v>0</v>
      </c>
      <c r="J450" s="125">
        <f t="shared" ca="1" si="61"/>
        <v>0</v>
      </c>
      <c r="K450" s="151"/>
      <c r="L450" s="125">
        <f t="shared" ca="1" si="62"/>
        <v>0</v>
      </c>
      <c r="P450">
        <f t="shared" si="63"/>
        <v>443</v>
      </c>
      <c r="S450" s="126">
        <f t="shared" ca="1" si="58"/>
        <v>0</v>
      </c>
      <c r="T450" s="126">
        <f t="shared" ca="1" si="64"/>
        <v>0</v>
      </c>
    </row>
    <row r="451" spans="4:20">
      <c r="D451">
        <v>444</v>
      </c>
      <c r="E451" s="6">
        <f t="shared" ca="1" si="59"/>
        <v>39234</v>
      </c>
      <c r="F451" s="7">
        <f t="shared" ca="1" si="60"/>
        <v>0</v>
      </c>
      <c r="G451" s="125">
        <f ca="1">IF('Simulador - 1º Pilar'!$E$99="Sí",IF('Aportaciones Flex'!$B$13&lt;'Aportaciones Flex'!E451,0,F451*$B$8/12),F451*$B$8/12)</f>
        <v>0</v>
      </c>
      <c r="H451" s="125">
        <f t="shared" ca="1" si="65"/>
        <v>0</v>
      </c>
      <c r="I451" s="126">
        <f t="shared" ca="1" si="57"/>
        <v>0</v>
      </c>
      <c r="J451" s="125">
        <f t="shared" ca="1" si="61"/>
        <v>0</v>
      </c>
      <c r="K451" s="151"/>
      <c r="L451" s="125">
        <f t="shared" ca="1" si="62"/>
        <v>0</v>
      </c>
      <c r="P451">
        <f t="shared" si="63"/>
        <v>444</v>
      </c>
      <c r="S451" s="126">
        <f t="shared" ca="1" si="58"/>
        <v>0</v>
      </c>
      <c r="T451" s="126">
        <f t="shared" ca="1" si="64"/>
        <v>0</v>
      </c>
    </row>
    <row r="452" spans="4:20">
      <c r="D452">
        <v>445</v>
      </c>
      <c r="E452" s="6">
        <f t="shared" ca="1" si="59"/>
        <v>39203</v>
      </c>
      <c r="F452" s="7">
        <f t="shared" ca="1" si="60"/>
        <v>0</v>
      </c>
      <c r="G452" s="125">
        <f ca="1">IF('Simulador - 1º Pilar'!$E$99="Sí",IF('Aportaciones Flex'!$B$13&lt;'Aportaciones Flex'!E452,0,F452*$B$8/12),F452*$B$8/12)</f>
        <v>0</v>
      </c>
      <c r="H452" s="125">
        <f t="shared" ca="1" si="65"/>
        <v>0</v>
      </c>
      <c r="I452" s="126">
        <f t="shared" ca="1" si="57"/>
        <v>0</v>
      </c>
      <c r="J452" s="125">
        <f t="shared" ca="1" si="61"/>
        <v>0</v>
      </c>
      <c r="K452" s="151"/>
      <c r="L452" s="125">
        <f t="shared" ca="1" si="62"/>
        <v>0</v>
      </c>
      <c r="P452">
        <f t="shared" si="63"/>
        <v>445</v>
      </c>
      <c r="S452" s="126">
        <f t="shared" ca="1" si="58"/>
        <v>0</v>
      </c>
      <c r="T452" s="126">
        <f t="shared" ca="1" si="64"/>
        <v>0</v>
      </c>
    </row>
    <row r="453" spans="4:20">
      <c r="D453">
        <v>446</v>
      </c>
      <c r="E453" s="6">
        <f t="shared" ca="1" si="59"/>
        <v>39173</v>
      </c>
      <c r="F453" s="7">
        <f t="shared" ca="1" si="60"/>
        <v>0</v>
      </c>
      <c r="G453" s="125">
        <f ca="1">IF('Simulador - 1º Pilar'!$E$99="Sí",IF('Aportaciones Flex'!$B$13&lt;'Aportaciones Flex'!E453,0,F453*$B$8/12),F453*$B$8/12)</f>
        <v>0</v>
      </c>
      <c r="H453" s="125">
        <f t="shared" ca="1" si="65"/>
        <v>0</v>
      </c>
      <c r="I453" s="126">
        <f t="shared" ca="1" si="57"/>
        <v>0</v>
      </c>
      <c r="J453" s="125">
        <f t="shared" ca="1" si="61"/>
        <v>0</v>
      </c>
      <c r="K453" s="151"/>
      <c r="L453" s="125">
        <f t="shared" ca="1" si="62"/>
        <v>0</v>
      </c>
      <c r="P453">
        <f t="shared" si="63"/>
        <v>446</v>
      </c>
      <c r="S453" s="126">
        <f t="shared" ca="1" si="58"/>
        <v>0</v>
      </c>
      <c r="T453" s="126">
        <f t="shared" ca="1" si="64"/>
        <v>0</v>
      </c>
    </row>
    <row r="454" spans="4:20">
      <c r="D454">
        <v>447</v>
      </c>
      <c r="E454" s="6">
        <f t="shared" ca="1" si="59"/>
        <v>39142</v>
      </c>
      <c r="F454" s="7">
        <f t="shared" ca="1" si="60"/>
        <v>0</v>
      </c>
      <c r="G454" s="125">
        <f ca="1">IF('Simulador - 1º Pilar'!$E$99="Sí",IF('Aportaciones Flex'!$B$13&lt;'Aportaciones Flex'!E454,0,F454*$B$8/12),F454*$B$8/12)</f>
        <v>0</v>
      </c>
      <c r="H454" s="125">
        <f t="shared" ca="1" si="65"/>
        <v>0</v>
      </c>
      <c r="I454" s="126">
        <f t="shared" ca="1" si="57"/>
        <v>0</v>
      </c>
      <c r="J454" s="125">
        <f t="shared" ca="1" si="61"/>
        <v>0</v>
      </c>
      <c r="K454" s="151"/>
      <c r="L454" s="125">
        <f t="shared" ca="1" si="62"/>
        <v>0</v>
      </c>
      <c r="P454">
        <f t="shared" si="63"/>
        <v>447</v>
      </c>
      <c r="S454" s="126">
        <f t="shared" ca="1" si="58"/>
        <v>0</v>
      </c>
      <c r="T454" s="126">
        <f t="shared" ca="1" si="64"/>
        <v>0</v>
      </c>
    </row>
    <row r="455" spans="4:20">
      <c r="D455">
        <v>448</v>
      </c>
      <c r="E455" s="6">
        <f t="shared" ca="1" si="59"/>
        <v>39114</v>
      </c>
      <c r="F455" s="7">
        <f t="shared" ca="1" si="60"/>
        <v>0</v>
      </c>
      <c r="G455" s="125">
        <f ca="1">IF('Simulador - 1º Pilar'!$E$99="Sí",IF('Aportaciones Flex'!$B$13&lt;'Aportaciones Flex'!E455,0,F455*$B$8/12),F455*$B$8/12)</f>
        <v>0</v>
      </c>
      <c r="H455" s="125">
        <f t="shared" ca="1" si="65"/>
        <v>0</v>
      </c>
      <c r="I455" s="126">
        <f t="shared" ref="I455:I518" ca="1" si="66">(1+$M$5)^(D455/12)*(H455*(12-IF(MONTH(E456)=12,0,MONTH(E456)))+IF(AND(F455=1,F456=0),$Q$4,0))*IF(AND(F455=1,F456=0),1,0)</f>
        <v>0</v>
      </c>
      <c r="J455" s="125">
        <f t="shared" ca="1" si="61"/>
        <v>0</v>
      </c>
      <c r="K455" s="151"/>
      <c r="L455" s="125">
        <f t="shared" ca="1" si="62"/>
        <v>0</v>
      </c>
      <c r="P455">
        <f t="shared" si="63"/>
        <v>448</v>
      </c>
      <c r="S455" s="126">
        <f t="shared" ref="S455:S518" ca="1" si="67">(1+$M$5)^(D455/12)*(IF(E455=$C$6,$Q$4+$H$5*12,0))</f>
        <v>0</v>
      </c>
      <c r="T455" s="126">
        <f t="shared" ca="1" si="64"/>
        <v>0</v>
      </c>
    </row>
    <row r="456" spans="4:20">
      <c r="D456">
        <v>449</v>
      </c>
      <c r="E456" s="6">
        <f t="shared" ref="E456:E519" ca="1" si="68">+DATE(YEAR(E455),MONTH(E455)-1,DAY(E455))</f>
        <v>39083</v>
      </c>
      <c r="F456" s="7">
        <f t="shared" ref="F456:F519" ca="1" si="69">IF(DATE(YEAR($B$6),MONTH($B$6)+1,DAY(1))=E456,1,IF(MONTH(E456)=1,F457*(1+$F$5),F457))</f>
        <v>0</v>
      </c>
      <c r="G456" s="125">
        <f ca="1">IF('Simulador - 1º Pilar'!$E$99="Sí",IF('Aportaciones Flex'!$B$13&lt;'Aportaciones Flex'!E456,0,F456*$B$8/12),F456*$B$8/12)</f>
        <v>0</v>
      </c>
      <c r="H456" s="125">
        <f t="shared" ca="1" si="65"/>
        <v>0</v>
      </c>
      <c r="I456" s="126">
        <f t="shared" ca="1" si="66"/>
        <v>0</v>
      </c>
      <c r="J456" s="125">
        <f t="shared" ref="J456:J519" ca="1" si="70">(1+$M$5)^(D456/12)*(H456+IF(AND(F456=1,F457=0),$Q$4,0))</f>
        <v>0</v>
      </c>
      <c r="K456" s="151"/>
      <c r="L456" s="125">
        <f t="shared" ref="L456:L519" ca="1" si="71">K456+J456</f>
        <v>0</v>
      </c>
      <c r="P456">
        <f t="shared" ref="P456:P519" si="72">D456</f>
        <v>449</v>
      </c>
      <c r="S456" s="126">
        <f t="shared" ca="1" si="67"/>
        <v>0</v>
      </c>
      <c r="T456" s="126">
        <f t="shared" ref="T456:T519" ca="1" si="73">(1+$M$5)^(D456/12)*(IF(YEAR(E456)&gt;YEAR($C$6),L456,0)+IF(E456=$C$6,$H$5*12+$Q$4,0))</f>
        <v>0</v>
      </c>
    </row>
    <row r="457" spans="4:20">
      <c r="D457">
        <v>450</v>
      </c>
      <c r="E457" s="6">
        <f t="shared" ca="1" si="68"/>
        <v>39052</v>
      </c>
      <c r="F457" s="7">
        <f t="shared" ca="1" si="69"/>
        <v>0</v>
      </c>
      <c r="G457" s="125">
        <f ca="1">IF('Simulador - 1º Pilar'!$E$99="Sí",IF('Aportaciones Flex'!$B$13&lt;'Aportaciones Flex'!E457,0,F457*$B$8/12),F457*$B$8/12)</f>
        <v>0</v>
      </c>
      <c r="H457" s="125">
        <f t="shared" ca="1" si="65"/>
        <v>0</v>
      </c>
      <c r="I457" s="126">
        <f t="shared" ca="1" si="66"/>
        <v>0</v>
      </c>
      <c r="J457" s="125">
        <f t="shared" ca="1" si="70"/>
        <v>0</v>
      </c>
      <c r="K457" s="151"/>
      <c r="L457" s="125">
        <f t="shared" ca="1" si="71"/>
        <v>0</v>
      </c>
      <c r="P457">
        <f t="shared" si="72"/>
        <v>450</v>
      </c>
      <c r="S457" s="126">
        <f t="shared" ca="1" si="67"/>
        <v>0</v>
      </c>
      <c r="T457" s="126">
        <f t="shared" ca="1" si="73"/>
        <v>0</v>
      </c>
    </row>
    <row r="458" spans="4:20">
      <c r="D458">
        <v>451</v>
      </c>
      <c r="E458" s="6">
        <f t="shared" ca="1" si="68"/>
        <v>39022</v>
      </c>
      <c r="F458" s="7">
        <f t="shared" ca="1" si="69"/>
        <v>0</v>
      </c>
      <c r="G458" s="125">
        <f ca="1">IF('Simulador - 1º Pilar'!$E$99="Sí",IF('Aportaciones Flex'!$B$13&lt;'Aportaciones Flex'!E458,0,F458*$B$8/12),F458*$B$8/12)</f>
        <v>0</v>
      </c>
      <c r="H458" s="125">
        <f t="shared" ca="1" si="65"/>
        <v>0</v>
      </c>
      <c r="I458" s="126">
        <f t="shared" ca="1" si="66"/>
        <v>0</v>
      </c>
      <c r="J458" s="125">
        <f t="shared" ca="1" si="70"/>
        <v>0</v>
      </c>
      <c r="K458" s="151"/>
      <c r="L458" s="125">
        <f t="shared" ca="1" si="71"/>
        <v>0</v>
      </c>
      <c r="P458">
        <f t="shared" si="72"/>
        <v>451</v>
      </c>
      <c r="S458" s="126">
        <f t="shared" ca="1" si="67"/>
        <v>0</v>
      </c>
      <c r="T458" s="126">
        <f t="shared" ca="1" si="73"/>
        <v>0</v>
      </c>
    </row>
    <row r="459" spans="4:20">
      <c r="D459">
        <v>452</v>
      </c>
      <c r="E459" s="6">
        <f t="shared" ca="1" si="68"/>
        <v>38991</v>
      </c>
      <c r="F459" s="7">
        <f t="shared" ca="1" si="69"/>
        <v>0</v>
      </c>
      <c r="G459" s="125">
        <f ca="1">IF('Simulador - 1º Pilar'!$E$99="Sí",IF('Aportaciones Flex'!$B$13&lt;'Aportaciones Flex'!E459,0,F459*$B$8/12),F459*$B$8/12)</f>
        <v>0</v>
      </c>
      <c r="H459" s="125">
        <f t="shared" ca="1" si="65"/>
        <v>0</v>
      </c>
      <c r="I459" s="126">
        <f t="shared" ca="1" si="66"/>
        <v>0</v>
      </c>
      <c r="J459" s="125">
        <f t="shared" ca="1" si="70"/>
        <v>0</v>
      </c>
      <c r="K459" s="151"/>
      <c r="L459" s="125">
        <f t="shared" ca="1" si="71"/>
        <v>0</v>
      </c>
      <c r="P459">
        <f t="shared" si="72"/>
        <v>452</v>
      </c>
      <c r="S459" s="126">
        <f t="shared" ca="1" si="67"/>
        <v>0</v>
      </c>
      <c r="T459" s="126">
        <f t="shared" ca="1" si="73"/>
        <v>0</v>
      </c>
    </row>
    <row r="460" spans="4:20">
      <c r="D460">
        <v>453</v>
      </c>
      <c r="E460" s="6">
        <f t="shared" ca="1" si="68"/>
        <v>38961</v>
      </c>
      <c r="F460" s="7">
        <f t="shared" ca="1" si="69"/>
        <v>0</v>
      </c>
      <c r="G460" s="125">
        <f ca="1">IF('Simulador - 1º Pilar'!$E$99="Sí",IF('Aportaciones Flex'!$B$13&lt;'Aportaciones Flex'!E460,0,F460*$B$8/12),F460*$B$8/12)</f>
        <v>0</v>
      </c>
      <c r="H460" s="125">
        <f t="shared" ca="1" si="65"/>
        <v>0</v>
      </c>
      <c r="I460" s="126">
        <f t="shared" ca="1" si="66"/>
        <v>0</v>
      </c>
      <c r="J460" s="125">
        <f t="shared" ca="1" si="70"/>
        <v>0</v>
      </c>
      <c r="K460" s="151"/>
      <c r="L460" s="125">
        <f t="shared" ca="1" si="71"/>
        <v>0</v>
      </c>
      <c r="P460">
        <f t="shared" si="72"/>
        <v>453</v>
      </c>
      <c r="S460" s="126">
        <f t="shared" ca="1" si="67"/>
        <v>0</v>
      </c>
      <c r="T460" s="126">
        <f t="shared" ca="1" si="73"/>
        <v>0</v>
      </c>
    </row>
    <row r="461" spans="4:20">
      <c r="D461">
        <v>454</v>
      </c>
      <c r="E461" s="6">
        <f t="shared" ca="1" si="68"/>
        <v>38930</v>
      </c>
      <c r="F461" s="7">
        <f t="shared" ca="1" si="69"/>
        <v>0</v>
      </c>
      <c r="G461" s="125">
        <f ca="1">IF('Simulador - 1º Pilar'!$E$99="Sí",IF('Aportaciones Flex'!$B$13&lt;'Aportaciones Flex'!E461,0,F461*$B$8/12),F461*$B$8/12)</f>
        <v>0</v>
      </c>
      <c r="H461" s="125">
        <f t="shared" ca="1" si="65"/>
        <v>0</v>
      </c>
      <c r="I461" s="126">
        <f t="shared" ca="1" si="66"/>
        <v>0</v>
      </c>
      <c r="J461" s="125">
        <f t="shared" ca="1" si="70"/>
        <v>0</v>
      </c>
      <c r="K461" s="151"/>
      <c r="L461" s="125">
        <f t="shared" ca="1" si="71"/>
        <v>0</v>
      </c>
      <c r="P461">
        <f t="shared" si="72"/>
        <v>454</v>
      </c>
      <c r="S461" s="126">
        <f t="shared" ca="1" si="67"/>
        <v>0</v>
      </c>
      <c r="T461" s="126">
        <f t="shared" ca="1" si="73"/>
        <v>0</v>
      </c>
    </row>
    <row r="462" spans="4:20">
      <c r="D462">
        <v>455</v>
      </c>
      <c r="E462" s="6">
        <f t="shared" ca="1" si="68"/>
        <v>38899</v>
      </c>
      <c r="F462" s="7">
        <f t="shared" ca="1" si="69"/>
        <v>0</v>
      </c>
      <c r="G462" s="125">
        <f ca="1">IF('Simulador - 1º Pilar'!$E$99="Sí",IF('Aportaciones Flex'!$B$13&lt;'Aportaciones Flex'!E462,0,F462*$B$8/12),F462*$B$8/12)</f>
        <v>0</v>
      </c>
      <c r="H462" s="125">
        <f t="shared" ca="1" si="65"/>
        <v>0</v>
      </c>
      <c r="I462" s="126">
        <f t="shared" ca="1" si="66"/>
        <v>0</v>
      </c>
      <c r="J462" s="125">
        <f t="shared" ca="1" si="70"/>
        <v>0</v>
      </c>
      <c r="K462" s="151"/>
      <c r="L462" s="125">
        <f t="shared" ca="1" si="71"/>
        <v>0</v>
      </c>
      <c r="P462">
        <f t="shared" si="72"/>
        <v>455</v>
      </c>
      <c r="S462" s="126">
        <f t="shared" ca="1" si="67"/>
        <v>0</v>
      </c>
      <c r="T462" s="126">
        <f t="shared" ca="1" si="73"/>
        <v>0</v>
      </c>
    </row>
    <row r="463" spans="4:20">
      <c r="D463">
        <v>456</v>
      </c>
      <c r="E463" s="6">
        <f t="shared" ca="1" si="68"/>
        <v>38869</v>
      </c>
      <c r="F463" s="7">
        <f t="shared" ca="1" si="69"/>
        <v>0</v>
      </c>
      <c r="G463" s="125">
        <f ca="1">IF('Simulador - 1º Pilar'!$E$99="Sí",IF('Aportaciones Flex'!$B$13&lt;'Aportaciones Flex'!E463,0,F463*$B$8/12),F463*$B$8/12)</f>
        <v>0</v>
      </c>
      <c r="H463" s="125">
        <f t="shared" ca="1" si="65"/>
        <v>0</v>
      </c>
      <c r="I463" s="126">
        <f t="shared" ca="1" si="66"/>
        <v>0</v>
      </c>
      <c r="J463" s="125">
        <f t="shared" ca="1" si="70"/>
        <v>0</v>
      </c>
      <c r="K463" s="151"/>
      <c r="L463" s="125">
        <f t="shared" ca="1" si="71"/>
        <v>0</v>
      </c>
      <c r="P463">
        <f t="shared" si="72"/>
        <v>456</v>
      </c>
      <c r="S463" s="126">
        <f t="shared" ca="1" si="67"/>
        <v>0</v>
      </c>
      <c r="T463" s="126">
        <f t="shared" ca="1" si="73"/>
        <v>0</v>
      </c>
    </row>
    <row r="464" spans="4:20">
      <c r="D464">
        <v>457</v>
      </c>
      <c r="E464" s="6">
        <f t="shared" ca="1" si="68"/>
        <v>38838</v>
      </c>
      <c r="F464" s="7">
        <f t="shared" ca="1" si="69"/>
        <v>0</v>
      </c>
      <c r="G464" s="125">
        <f ca="1">IF('Simulador - 1º Pilar'!$E$99="Sí",IF('Aportaciones Flex'!$B$13&lt;'Aportaciones Flex'!E464,0,F464*$B$8/12),F464*$B$8/12)</f>
        <v>0</v>
      </c>
      <c r="H464" s="125">
        <f t="shared" ca="1" si="65"/>
        <v>0</v>
      </c>
      <c r="I464" s="126">
        <f t="shared" ca="1" si="66"/>
        <v>0</v>
      </c>
      <c r="J464" s="125">
        <f t="shared" ca="1" si="70"/>
        <v>0</v>
      </c>
      <c r="K464" s="151"/>
      <c r="L464" s="125">
        <f t="shared" ca="1" si="71"/>
        <v>0</v>
      </c>
      <c r="P464">
        <f t="shared" si="72"/>
        <v>457</v>
      </c>
      <c r="S464" s="126">
        <f t="shared" ca="1" si="67"/>
        <v>0</v>
      </c>
      <c r="T464" s="126">
        <f t="shared" ca="1" si="73"/>
        <v>0</v>
      </c>
    </row>
    <row r="465" spans="4:20">
      <c r="D465">
        <v>458</v>
      </c>
      <c r="E465" s="6">
        <f t="shared" ca="1" si="68"/>
        <v>38808</v>
      </c>
      <c r="F465" s="7">
        <f t="shared" ca="1" si="69"/>
        <v>0</v>
      </c>
      <c r="G465" s="125">
        <f ca="1">IF('Simulador - 1º Pilar'!$E$99="Sí",IF('Aportaciones Flex'!$B$13&lt;'Aportaciones Flex'!E465,0,F465*$B$8/12),F465*$B$8/12)</f>
        <v>0</v>
      </c>
      <c r="H465" s="125">
        <f t="shared" ca="1" si="65"/>
        <v>0</v>
      </c>
      <c r="I465" s="126">
        <f t="shared" ca="1" si="66"/>
        <v>0</v>
      </c>
      <c r="J465" s="125">
        <f t="shared" ca="1" si="70"/>
        <v>0</v>
      </c>
      <c r="K465" s="151"/>
      <c r="L465" s="125">
        <f t="shared" ca="1" si="71"/>
        <v>0</v>
      </c>
      <c r="P465">
        <f t="shared" si="72"/>
        <v>458</v>
      </c>
      <c r="S465" s="126">
        <f t="shared" ca="1" si="67"/>
        <v>0</v>
      </c>
      <c r="T465" s="126">
        <f t="shared" ca="1" si="73"/>
        <v>0</v>
      </c>
    </row>
    <row r="466" spans="4:20">
      <c r="D466">
        <v>459</v>
      </c>
      <c r="E466" s="6">
        <f t="shared" ca="1" si="68"/>
        <v>38777</v>
      </c>
      <c r="F466" s="7">
        <f t="shared" ca="1" si="69"/>
        <v>0</v>
      </c>
      <c r="G466" s="125">
        <f ca="1">IF('Simulador - 1º Pilar'!$E$99="Sí",IF('Aportaciones Flex'!$B$13&lt;'Aportaciones Flex'!E466,0,F466*$B$8/12),F466*$B$8/12)</f>
        <v>0</v>
      </c>
      <c r="H466" s="125">
        <f t="shared" ca="1" si="65"/>
        <v>0</v>
      </c>
      <c r="I466" s="126">
        <f t="shared" ca="1" si="66"/>
        <v>0</v>
      </c>
      <c r="J466" s="125">
        <f t="shared" ca="1" si="70"/>
        <v>0</v>
      </c>
      <c r="K466" s="151"/>
      <c r="L466" s="125">
        <f t="shared" ca="1" si="71"/>
        <v>0</v>
      </c>
      <c r="P466">
        <f t="shared" si="72"/>
        <v>459</v>
      </c>
      <c r="S466" s="126">
        <f t="shared" ca="1" si="67"/>
        <v>0</v>
      </c>
      <c r="T466" s="126">
        <f t="shared" ca="1" si="73"/>
        <v>0</v>
      </c>
    </row>
    <row r="467" spans="4:20">
      <c r="D467">
        <v>460</v>
      </c>
      <c r="E467" s="6">
        <f t="shared" ca="1" si="68"/>
        <v>38749</v>
      </c>
      <c r="F467" s="7">
        <f t="shared" ca="1" si="69"/>
        <v>0</v>
      </c>
      <c r="G467" s="125">
        <f ca="1">IF('Simulador - 1º Pilar'!$E$99="Sí",IF('Aportaciones Flex'!$B$13&lt;'Aportaciones Flex'!E467,0,F467*$B$8/12),F467*$B$8/12)</f>
        <v>0</v>
      </c>
      <c r="H467" s="125">
        <f t="shared" ca="1" si="65"/>
        <v>0</v>
      </c>
      <c r="I467" s="126">
        <f t="shared" ca="1" si="66"/>
        <v>0</v>
      </c>
      <c r="J467" s="125">
        <f t="shared" ca="1" si="70"/>
        <v>0</v>
      </c>
      <c r="K467" s="151"/>
      <c r="L467" s="125">
        <f t="shared" ca="1" si="71"/>
        <v>0</v>
      </c>
      <c r="P467">
        <f t="shared" si="72"/>
        <v>460</v>
      </c>
      <c r="S467" s="126">
        <f t="shared" ca="1" si="67"/>
        <v>0</v>
      </c>
      <c r="T467" s="126">
        <f t="shared" ca="1" si="73"/>
        <v>0</v>
      </c>
    </row>
    <row r="468" spans="4:20">
      <c r="D468">
        <v>461</v>
      </c>
      <c r="E468" s="6">
        <f t="shared" ca="1" si="68"/>
        <v>38718</v>
      </c>
      <c r="F468" s="7">
        <f t="shared" ca="1" si="69"/>
        <v>0</v>
      </c>
      <c r="G468" s="125">
        <f ca="1">IF('Simulador - 1º Pilar'!$E$99="Sí",IF('Aportaciones Flex'!$B$13&lt;'Aportaciones Flex'!E468,0,F468*$B$8/12),F468*$B$8/12)</f>
        <v>0</v>
      </c>
      <c r="H468" s="125">
        <f t="shared" ca="1" si="65"/>
        <v>0</v>
      </c>
      <c r="I468" s="126">
        <f t="shared" ca="1" si="66"/>
        <v>0</v>
      </c>
      <c r="J468" s="125">
        <f t="shared" ca="1" si="70"/>
        <v>0</v>
      </c>
      <c r="K468" s="151"/>
      <c r="L468" s="125">
        <f t="shared" ca="1" si="71"/>
        <v>0</v>
      </c>
      <c r="P468">
        <f t="shared" si="72"/>
        <v>461</v>
      </c>
      <c r="S468" s="126">
        <f t="shared" ca="1" si="67"/>
        <v>0</v>
      </c>
      <c r="T468" s="126">
        <f t="shared" ca="1" si="73"/>
        <v>0</v>
      </c>
    </row>
    <row r="469" spans="4:20">
      <c r="D469">
        <v>462</v>
      </c>
      <c r="E469" s="6">
        <f t="shared" ca="1" si="68"/>
        <v>38687</v>
      </c>
      <c r="F469" s="7">
        <f t="shared" ca="1" si="69"/>
        <v>0</v>
      </c>
      <c r="G469" s="125">
        <f ca="1">IF('Simulador - 1º Pilar'!$E$99="Sí",IF('Aportaciones Flex'!$B$13&lt;'Aportaciones Flex'!E469,0,F469*$B$8/12),F469*$B$8/12)</f>
        <v>0</v>
      </c>
      <c r="H469" s="125">
        <f t="shared" ca="1" si="65"/>
        <v>0</v>
      </c>
      <c r="I469" s="126">
        <f t="shared" ca="1" si="66"/>
        <v>0</v>
      </c>
      <c r="J469" s="125">
        <f t="shared" ca="1" si="70"/>
        <v>0</v>
      </c>
      <c r="K469" s="151"/>
      <c r="L469" s="125">
        <f t="shared" ca="1" si="71"/>
        <v>0</v>
      </c>
      <c r="P469">
        <f t="shared" si="72"/>
        <v>462</v>
      </c>
      <c r="S469" s="126">
        <f t="shared" ca="1" si="67"/>
        <v>0</v>
      </c>
      <c r="T469" s="126">
        <f t="shared" ca="1" si="73"/>
        <v>0</v>
      </c>
    </row>
    <row r="470" spans="4:20">
      <c r="D470">
        <v>463</v>
      </c>
      <c r="E470" s="6">
        <f t="shared" ca="1" si="68"/>
        <v>38657</v>
      </c>
      <c r="F470" s="7">
        <f t="shared" ca="1" si="69"/>
        <v>0</v>
      </c>
      <c r="G470" s="125">
        <f ca="1">IF('Simulador - 1º Pilar'!$E$99="Sí",IF('Aportaciones Flex'!$B$13&lt;'Aportaciones Flex'!E470,0,F470*$B$8/12),F470*$B$8/12)</f>
        <v>0</v>
      </c>
      <c r="H470" s="125">
        <f t="shared" ca="1" si="65"/>
        <v>0</v>
      </c>
      <c r="I470" s="126">
        <f t="shared" ca="1" si="66"/>
        <v>0</v>
      </c>
      <c r="J470" s="125">
        <f t="shared" ca="1" si="70"/>
        <v>0</v>
      </c>
      <c r="K470" s="151"/>
      <c r="L470" s="125">
        <f t="shared" ca="1" si="71"/>
        <v>0</v>
      </c>
      <c r="P470">
        <f t="shared" si="72"/>
        <v>463</v>
      </c>
      <c r="S470" s="126">
        <f t="shared" ca="1" si="67"/>
        <v>0</v>
      </c>
      <c r="T470" s="126">
        <f t="shared" ca="1" si="73"/>
        <v>0</v>
      </c>
    </row>
    <row r="471" spans="4:20">
      <c r="D471">
        <v>464</v>
      </c>
      <c r="E471" s="6">
        <f t="shared" ca="1" si="68"/>
        <v>38626</v>
      </c>
      <c r="F471" s="7">
        <f t="shared" ca="1" si="69"/>
        <v>0</v>
      </c>
      <c r="G471" s="125">
        <f ca="1">IF('Simulador - 1º Pilar'!$E$99="Sí",IF('Aportaciones Flex'!$B$13&lt;'Aportaciones Flex'!E471,0,F471*$B$8/12),F471*$B$8/12)</f>
        <v>0</v>
      </c>
      <c r="H471" s="125">
        <f t="shared" ca="1" si="65"/>
        <v>0</v>
      </c>
      <c r="I471" s="126">
        <f t="shared" ca="1" si="66"/>
        <v>0</v>
      </c>
      <c r="J471" s="125">
        <f t="shared" ca="1" si="70"/>
        <v>0</v>
      </c>
      <c r="K471" s="151"/>
      <c r="L471" s="125">
        <f t="shared" ca="1" si="71"/>
        <v>0</v>
      </c>
      <c r="P471">
        <f t="shared" si="72"/>
        <v>464</v>
      </c>
      <c r="S471" s="126">
        <f t="shared" ca="1" si="67"/>
        <v>0</v>
      </c>
      <c r="T471" s="126">
        <f t="shared" ca="1" si="73"/>
        <v>0</v>
      </c>
    </row>
    <row r="472" spans="4:20">
      <c r="D472">
        <v>465</v>
      </c>
      <c r="E472" s="6">
        <f t="shared" ca="1" si="68"/>
        <v>38596</v>
      </c>
      <c r="F472" s="7">
        <f t="shared" ca="1" si="69"/>
        <v>0</v>
      </c>
      <c r="G472" s="125">
        <f ca="1">IF('Simulador - 1º Pilar'!$E$99="Sí",IF('Aportaciones Flex'!$B$13&lt;'Aportaciones Flex'!E472,0,F472*$B$8/12),F472*$B$8/12)</f>
        <v>0</v>
      </c>
      <c r="H472" s="125">
        <f t="shared" ca="1" si="65"/>
        <v>0</v>
      </c>
      <c r="I472" s="126">
        <f t="shared" ca="1" si="66"/>
        <v>0</v>
      </c>
      <c r="J472" s="125">
        <f t="shared" ca="1" si="70"/>
        <v>0</v>
      </c>
      <c r="K472" s="151"/>
      <c r="L472" s="125">
        <f t="shared" ca="1" si="71"/>
        <v>0</v>
      </c>
      <c r="P472">
        <f t="shared" si="72"/>
        <v>465</v>
      </c>
      <c r="S472" s="126">
        <f t="shared" ca="1" si="67"/>
        <v>0</v>
      </c>
      <c r="T472" s="126">
        <f t="shared" ca="1" si="73"/>
        <v>0</v>
      </c>
    </row>
    <row r="473" spans="4:20">
      <c r="D473">
        <v>466</v>
      </c>
      <c r="E473" s="6">
        <f t="shared" ca="1" si="68"/>
        <v>38565</v>
      </c>
      <c r="F473" s="7">
        <f t="shared" ca="1" si="69"/>
        <v>0</v>
      </c>
      <c r="G473" s="125">
        <f ca="1">IF('Simulador - 1º Pilar'!$E$99="Sí",IF('Aportaciones Flex'!$B$13&lt;'Aportaciones Flex'!E473,0,F473*$B$8/12),F473*$B$8/12)</f>
        <v>0</v>
      </c>
      <c r="H473" s="125">
        <f t="shared" ca="1" si="65"/>
        <v>0</v>
      </c>
      <c r="I473" s="126">
        <f t="shared" ca="1" si="66"/>
        <v>0</v>
      </c>
      <c r="J473" s="125">
        <f t="shared" ca="1" si="70"/>
        <v>0</v>
      </c>
      <c r="K473" s="151"/>
      <c r="L473" s="125">
        <f t="shared" ca="1" si="71"/>
        <v>0</v>
      </c>
      <c r="P473">
        <f t="shared" si="72"/>
        <v>466</v>
      </c>
      <c r="S473" s="126">
        <f t="shared" ca="1" si="67"/>
        <v>0</v>
      </c>
      <c r="T473" s="126">
        <f t="shared" ca="1" si="73"/>
        <v>0</v>
      </c>
    </row>
    <row r="474" spans="4:20">
      <c r="D474">
        <v>467</v>
      </c>
      <c r="E474" s="6">
        <f t="shared" ca="1" si="68"/>
        <v>38534</v>
      </c>
      <c r="F474" s="7">
        <f t="shared" ca="1" si="69"/>
        <v>0</v>
      </c>
      <c r="G474" s="125">
        <f ca="1">IF('Simulador - 1º Pilar'!$E$99="Sí",IF('Aportaciones Flex'!$B$13&lt;'Aportaciones Flex'!E474,0,F474*$B$8/12),F474*$B$8/12)</f>
        <v>0</v>
      </c>
      <c r="H474" s="125">
        <f t="shared" ca="1" si="65"/>
        <v>0</v>
      </c>
      <c r="I474" s="126">
        <f t="shared" ca="1" si="66"/>
        <v>0</v>
      </c>
      <c r="J474" s="125">
        <f t="shared" ca="1" si="70"/>
        <v>0</v>
      </c>
      <c r="K474" s="151"/>
      <c r="L474" s="125">
        <f t="shared" ca="1" si="71"/>
        <v>0</v>
      </c>
      <c r="P474">
        <f t="shared" si="72"/>
        <v>467</v>
      </c>
      <c r="S474" s="126">
        <f t="shared" ca="1" si="67"/>
        <v>0</v>
      </c>
      <c r="T474" s="126">
        <f t="shared" ca="1" si="73"/>
        <v>0</v>
      </c>
    </row>
    <row r="475" spans="4:20">
      <c r="D475">
        <v>468</v>
      </c>
      <c r="E475" s="6">
        <f t="shared" ca="1" si="68"/>
        <v>38504</v>
      </c>
      <c r="F475" s="7">
        <f t="shared" ca="1" si="69"/>
        <v>0</v>
      </c>
      <c r="G475" s="125">
        <f ca="1">IF('Simulador - 1º Pilar'!$E$99="Sí",IF('Aportaciones Flex'!$B$13&lt;'Aportaciones Flex'!E475,0,F475*$B$8/12),F475*$B$8/12)</f>
        <v>0</v>
      </c>
      <c r="H475" s="125">
        <f t="shared" ca="1" si="65"/>
        <v>0</v>
      </c>
      <c r="I475" s="126">
        <f t="shared" ca="1" si="66"/>
        <v>0</v>
      </c>
      <c r="J475" s="125">
        <f t="shared" ca="1" si="70"/>
        <v>0</v>
      </c>
      <c r="K475" s="151"/>
      <c r="L475" s="125">
        <f t="shared" ca="1" si="71"/>
        <v>0</v>
      </c>
      <c r="P475">
        <f t="shared" si="72"/>
        <v>468</v>
      </c>
      <c r="S475" s="126">
        <f t="shared" ca="1" si="67"/>
        <v>0</v>
      </c>
      <c r="T475" s="126">
        <f t="shared" ca="1" si="73"/>
        <v>0</v>
      </c>
    </row>
    <row r="476" spans="4:20">
      <c r="D476">
        <v>469</v>
      </c>
      <c r="E476" s="6">
        <f t="shared" ca="1" si="68"/>
        <v>38473</v>
      </c>
      <c r="F476" s="7">
        <f t="shared" ca="1" si="69"/>
        <v>0</v>
      </c>
      <c r="G476" s="125">
        <f ca="1">IF('Simulador - 1º Pilar'!$E$99="Sí",IF('Aportaciones Flex'!$B$13&lt;'Aportaciones Flex'!E476,0,F476*$B$8/12),F476*$B$8/12)</f>
        <v>0</v>
      </c>
      <c r="H476" s="125">
        <f t="shared" ca="1" si="65"/>
        <v>0</v>
      </c>
      <c r="I476" s="126">
        <f t="shared" ca="1" si="66"/>
        <v>0</v>
      </c>
      <c r="J476" s="125">
        <f t="shared" ca="1" si="70"/>
        <v>0</v>
      </c>
      <c r="K476" s="151"/>
      <c r="L476" s="125">
        <f t="shared" ca="1" si="71"/>
        <v>0</v>
      </c>
      <c r="P476">
        <f t="shared" si="72"/>
        <v>469</v>
      </c>
      <c r="S476" s="126">
        <f t="shared" ca="1" si="67"/>
        <v>0</v>
      </c>
      <c r="T476" s="126">
        <f t="shared" ca="1" si="73"/>
        <v>0</v>
      </c>
    </row>
    <row r="477" spans="4:20">
      <c r="D477">
        <v>470</v>
      </c>
      <c r="E477" s="6">
        <f t="shared" ca="1" si="68"/>
        <v>38443</v>
      </c>
      <c r="F477" s="7">
        <f t="shared" ca="1" si="69"/>
        <v>0</v>
      </c>
      <c r="G477" s="125">
        <f ca="1">IF('Simulador - 1º Pilar'!$E$99="Sí",IF('Aportaciones Flex'!$B$13&lt;'Aportaciones Flex'!E477,0,F477*$B$8/12),F477*$B$8/12)</f>
        <v>0</v>
      </c>
      <c r="H477" s="125">
        <f t="shared" ca="1" si="65"/>
        <v>0</v>
      </c>
      <c r="I477" s="126">
        <f t="shared" ca="1" si="66"/>
        <v>0</v>
      </c>
      <c r="J477" s="125">
        <f t="shared" ca="1" si="70"/>
        <v>0</v>
      </c>
      <c r="K477" s="151"/>
      <c r="L477" s="125">
        <f t="shared" ca="1" si="71"/>
        <v>0</v>
      </c>
      <c r="P477">
        <f t="shared" si="72"/>
        <v>470</v>
      </c>
      <c r="S477" s="126">
        <f t="shared" ca="1" si="67"/>
        <v>0</v>
      </c>
      <c r="T477" s="126">
        <f t="shared" ca="1" si="73"/>
        <v>0</v>
      </c>
    </row>
    <row r="478" spans="4:20">
      <c r="D478">
        <v>471</v>
      </c>
      <c r="E478" s="6">
        <f t="shared" ca="1" si="68"/>
        <v>38412</v>
      </c>
      <c r="F478" s="7">
        <f t="shared" ca="1" si="69"/>
        <v>0</v>
      </c>
      <c r="G478" s="125">
        <f ca="1">IF('Simulador - 1º Pilar'!$E$99="Sí",IF('Aportaciones Flex'!$B$13&lt;'Aportaciones Flex'!E478,0,F478*$B$8/12),F478*$B$8/12)</f>
        <v>0</v>
      </c>
      <c r="H478" s="125">
        <f t="shared" ca="1" si="65"/>
        <v>0</v>
      </c>
      <c r="I478" s="126">
        <f t="shared" ca="1" si="66"/>
        <v>0</v>
      </c>
      <c r="J478" s="125">
        <f t="shared" ca="1" si="70"/>
        <v>0</v>
      </c>
      <c r="K478" s="151"/>
      <c r="L478" s="125">
        <f t="shared" ca="1" si="71"/>
        <v>0</v>
      </c>
      <c r="P478">
        <f t="shared" si="72"/>
        <v>471</v>
      </c>
      <c r="S478" s="126">
        <f t="shared" ca="1" si="67"/>
        <v>0</v>
      </c>
      <c r="T478" s="126">
        <f t="shared" ca="1" si="73"/>
        <v>0</v>
      </c>
    </row>
    <row r="479" spans="4:20">
      <c r="D479">
        <v>472</v>
      </c>
      <c r="E479" s="6">
        <f t="shared" ca="1" si="68"/>
        <v>38384</v>
      </c>
      <c r="F479" s="7">
        <f t="shared" ca="1" si="69"/>
        <v>0</v>
      </c>
      <c r="G479" s="125">
        <f ca="1">IF('Simulador - 1º Pilar'!$E$99="Sí",IF('Aportaciones Flex'!$B$13&lt;'Aportaciones Flex'!E479,0,F479*$B$8/12),F479*$B$8/12)</f>
        <v>0</v>
      </c>
      <c r="H479" s="125">
        <f t="shared" ca="1" si="65"/>
        <v>0</v>
      </c>
      <c r="I479" s="126">
        <f t="shared" ca="1" si="66"/>
        <v>0</v>
      </c>
      <c r="J479" s="125">
        <f t="shared" ca="1" si="70"/>
        <v>0</v>
      </c>
      <c r="K479" s="151"/>
      <c r="L479" s="125">
        <f t="shared" ca="1" si="71"/>
        <v>0</v>
      </c>
      <c r="P479">
        <f t="shared" si="72"/>
        <v>472</v>
      </c>
      <c r="S479" s="126">
        <f t="shared" ca="1" si="67"/>
        <v>0</v>
      </c>
      <c r="T479" s="126">
        <f t="shared" ca="1" si="73"/>
        <v>0</v>
      </c>
    </row>
    <row r="480" spans="4:20">
      <c r="D480">
        <v>473</v>
      </c>
      <c r="E480" s="6">
        <f t="shared" ca="1" si="68"/>
        <v>38353</v>
      </c>
      <c r="F480" s="7">
        <f t="shared" ca="1" si="69"/>
        <v>0</v>
      </c>
      <c r="G480" s="125">
        <f ca="1">IF('Simulador - 1º Pilar'!$E$99="Sí",IF('Aportaciones Flex'!$B$13&lt;'Aportaciones Flex'!E480,0,F480*$B$8/12),F480*$B$8/12)</f>
        <v>0</v>
      </c>
      <c r="H480" s="125">
        <f t="shared" ca="1" si="65"/>
        <v>0</v>
      </c>
      <c r="I480" s="126">
        <f t="shared" ca="1" si="66"/>
        <v>0</v>
      </c>
      <c r="J480" s="125">
        <f t="shared" ca="1" si="70"/>
        <v>0</v>
      </c>
      <c r="K480" s="151"/>
      <c r="L480" s="125">
        <f t="shared" ca="1" si="71"/>
        <v>0</v>
      </c>
      <c r="P480">
        <f t="shared" si="72"/>
        <v>473</v>
      </c>
      <c r="S480" s="126">
        <f t="shared" ca="1" si="67"/>
        <v>0</v>
      </c>
      <c r="T480" s="126">
        <f t="shared" ca="1" si="73"/>
        <v>0</v>
      </c>
    </row>
    <row r="481" spans="4:20">
      <c r="D481">
        <v>474</v>
      </c>
      <c r="E481" s="6">
        <f t="shared" ca="1" si="68"/>
        <v>38322</v>
      </c>
      <c r="F481" s="7">
        <f t="shared" ca="1" si="69"/>
        <v>0</v>
      </c>
      <c r="G481" s="125">
        <f ca="1">IF('Simulador - 1º Pilar'!$E$99="Sí",IF('Aportaciones Flex'!$B$13&lt;'Aportaciones Flex'!E481,0,F481*$B$8/12),F481*$B$8/12)</f>
        <v>0</v>
      </c>
      <c r="H481" s="125">
        <f t="shared" ca="1" si="65"/>
        <v>0</v>
      </c>
      <c r="I481" s="126">
        <f t="shared" ca="1" si="66"/>
        <v>0</v>
      </c>
      <c r="J481" s="125">
        <f t="shared" ca="1" si="70"/>
        <v>0</v>
      </c>
      <c r="K481" s="151"/>
      <c r="L481" s="125">
        <f t="shared" ca="1" si="71"/>
        <v>0</v>
      </c>
      <c r="P481">
        <f t="shared" si="72"/>
        <v>474</v>
      </c>
      <c r="S481" s="126">
        <f t="shared" ca="1" si="67"/>
        <v>0</v>
      </c>
      <c r="T481" s="126">
        <f t="shared" ca="1" si="73"/>
        <v>0</v>
      </c>
    </row>
    <row r="482" spans="4:20">
      <c r="D482">
        <v>475</v>
      </c>
      <c r="E482" s="6">
        <f t="shared" ca="1" si="68"/>
        <v>38292</v>
      </c>
      <c r="F482" s="7">
        <f t="shared" ca="1" si="69"/>
        <v>0</v>
      </c>
      <c r="G482" s="125">
        <f ca="1">IF('Simulador - 1º Pilar'!$E$99="Sí",IF('Aportaciones Flex'!$B$13&lt;'Aportaciones Flex'!E482,0,F482*$B$8/12),F482*$B$8/12)</f>
        <v>0</v>
      </c>
      <c r="H482" s="125">
        <f t="shared" ca="1" si="65"/>
        <v>0</v>
      </c>
      <c r="I482" s="126">
        <f t="shared" ca="1" si="66"/>
        <v>0</v>
      </c>
      <c r="J482" s="125">
        <f t="shared" ca="1" si="70"/>
        <v>0</v>
      </c>
      <c r="K482" s="151"/>
      <c r="L482" s="125">
        <f t="shared" ca="1" si="71"/>
        <v>0</v>
      </c>
      <c r="P482">
        <f t="shared" si="72"/>
        <v>475</v>
      </c>
      <c r="S482" s="126">
        <f t="shared" ca="1" si="67"/>
        <v>0</v>
      </c>
      <c r="T482" s="126">
        <f t="shared" ca="1" si="73"/>
        <v>0</v>
      </c>
    </row>
    <row r="483" spans="4:20">
      <c r="D483">
        <v>476</v>
      </c>
      <c r="E483" s="6">
        <f t="shared" ca="1" si="68"/>
        <v>38261</v>
      </c>
      <c r="F483" s="7">
        <f t="shared" ca="1" si="69"/>
        <v>0</v>
      </c>
      <c r="G483" s="125">
        <f ca="1">IF('Simulador - 1º Pilar'!$E$99="Sí",IF('Aportaciones Flex'!$B$13&lt;'Aportaciones Flex'!E483,0,F483*$B$8/12),F483*$B$8/12)</f>
        <v>0</v>
      </c>
      <c r="H483" s="125">
        <f t="shared" ca="1" si="65"/>
        <v>0</v>
      </c>
      <c r="I483" s="126">
        <f t="shared" ca="1" si="66"/>
        <v>0</v>
      </c>
      <c r="J483" s="125">
        <f t="shared" ca="1" si="70"/>
        <v>0</v>
      </c>
      <c r="K483" s="151"/>
      <c r="L483" s="125">
        <f t="shared" ca="1" si="71"/>
        <v>0</v>
      </c>
      <c r="P483">
        <f t="shared" si="72"/>
        <v>476</v>
      </c>
      <c r="S483" s="126">
        <f t="shared" ca="1" si="67"/>
        <v>0</v>
      </c>
      <c r="T483" s="126">
        <f t="shared" ca="1" si="73"/>
        <v>0</v>
      </c>
    </row>
    <row r="484" spans="4:20">
      <c r="D484">
        <v>477</v>
      </c>
      <c r="E484" s="6">
        <f t="shared" ca="1" si="68"/>
        <v>38231</v>
      </c>
      <c r="F484" s="7">
        <f t="shared" ca="1" si="69"/>
        <v>0</v>
      </c>
      <c r="G484" s="125">
        <f ca="1">IF('Simulador - 1º Pilar'!$E$99="Sí",IF('Aportaciones Flex'!$B$13&lt;'Aportaciones Flex'!E484,0,F484*$B$8/12),F484*$B$8/12)</f>
        <v>0</v>
      </c>
      <c r="H484" s="125">
        <f t="shared" ca="1" si="65"/>
        <v>0</v>
      </c>
      <c r="I484" s="126">
        <f t="shared" ca="1" si="66"/>
        <v>0</v>
      </c>
      <c r="J484" s="125">
        <f t="shared" ca="1" si="70"/>
        <v>0</v>
      </c>
      <c r="K484" s="151"/>
      <c r="L484" s="125">
        <f t="shared" ca="1" si="71"/>
        <v>0</v>
      </c>
      <c r="P484">
        <f t="shared" si="72"/>
        <v>477</v>
      </c>
      <c r="S484" s="126">
        <f t="shared" ca="1" si="67"/>
        <v>0</v>
      </c>
      <c r="T484" s="126">
        <f t="shared" ca="1" si="73"/>
        <v>0</v>
      </c>
    </row>
    <row r="485" spans="4:20">
      <c r="D485">
        <v>478</v>
      </c>
      <c r="E485" s="6">
        <f t="shared" ca="1" si="68"/>
        <v>38200</v>
      </c>
      <c r="F485" s="7">
        <f t="shared" ca="1" si="69"/>
        <v>0</v>
      </c>
      <c r="G485" s="125">
        <f ca="1">IF('Simulador - 1º Pilar'!$E$99="Sí",IF('Aportaciones Flex'!$B$13&lt;'Aportaciones Flex'!E485,0,F485*$B$8/12),F485*$B$8/12)</f>
        <v>0</v>
      </c>
      <c r="H485" s="125">
        <f t="shared" ca="1" si="65"/>
        <v>0</v>
      </c>
      <c r="I485" s="126">
        <f t="shared" ca="1" si="66"/>
        <v>0</v>
      </c>
      <c r="J485" s="125">
        <f t="shared" ca="1" si="70"/>
        <v>0</v>
      </c>
      <c r="K485" s="151"/>
      <c r="L485" s="125">
        <f t="shared" ca="1" si="71"/>
        <v>0</v>
      </c>
      <c r="P485">
        <f t="shared" si="72"/>
        <v>478</v>
      </c>
      <c r="S485" s="126">
        <f t="shared" ca="1" si="67"/>
        <v>0</v>
      </c>
      <c r="T485" s="126">
        <f t="shared" ca="1" si="73"/>
        <v>0</v>
      </c>
    </row>
    <row r="486" spans="4:20">
      <c r="D486">
        <v>479</v>
      </c>
      <c r="E486" s="6">
        <f t="shared" ca="1" si="68"/>
        <v>38169</v>
      </c>
      <c r="F486" s="7">
        <f t="shared" ca="1" si="69"/>
        <v>0</v>
      </c>
      <c r="G486" s="125">
        <f ca="1">IF('Simulador - 1º Pilar'!$E$99="Sí",IF('Aportaciones Flex'!$B$13&lt;'Aportaciones Flex'!E486,0,F486*$B$8/12),F486*$B$8/12)</f>
        <v>0</v>
      </c>
      <c r="H486" s="125">
        <f t="shared" ca="1" si="65"/>
        <v>0</v>
      </c>
      <c r="I486" s="126">
        <f t="shared" ca="1" si="66"/>
        <v>0</v>
      </c>
      <c r="J486" s="125">
        <f t="shared" ca="1" si="70"/>
        <v>0</v>
      </c>
      <c r="K486" s="151"/>
      <c r="L486" s="125">
        <f t="shared" ca="1" si="71"/>
        <v>0</v>
      </c>
      <c r="P486">
        <f t="shared" si="72"/>
        <v>479</v>
      </c>
      <c r="S486" s="126">
        <f t="shared" ca="1" si="67"/>
        <v>0</v>
      </c>
      <c r="T486" s="126">
        <f t="shared" ca="1" si="73"/>
        <v>0</v>
      </c>
    </row>
    <row r="487" spans="4:20">
      <c r="D487">
        <v>480</v>
      </c>
      <c r="E487" s="6">
        <f t="shared" ca="1" si="68"/>
        <v>38139</v>
      </c>
      <c r="F487" s="7">
        <f t="shared" ca="1" si="69"/>
        <v>0</v>
      </c>
      <c r="G487" s="125">
        <f ca="1">IF('Simulador - 1º Pilar'!$E$99="Sí",IF('Aportaciones Flex'!$B$13&lt;'Aportaciones Flex'!E487,0,F487*$B$8/12),F487*$B$8/12)</f>
        <v>0</v>
      </c>
      <c r="H487" s="125">
        <f t="shared" ca="1" si="65"/>
        <v>0</v>
      </c>
      <c r="I487" s="126">
        <f t="shared" ca="1" si="66"/>
        <v>0</v>
      </c>
      <c r="J487" s="125">
        <f t="shared" ca="1" si="70"/>
        <v>0</v>
      </c>
      <c r="K487" s="151"/>
      <c r="L487" s="125">
        <f t="shared" ca="1" si="71"/>
        <v>0</v>
      </c>
      <c r="P487">
        <f t="shared" si="72"/>
        <v>480</v>
      </c>
      <c r="S487" s="126">
        <f t="shared" ca="1" si="67"/>
        <v>0</v>
      </c>
      <c r="T487" s="126">
        <f t="shared" ca="1" si="73"/>
        <v>0</v>
      </c>
    </row>
    <row r="488" spans="4:20">
      <c r="D488">
        <v>481</v>
      </c>
      <c r="E488" s="6">
        <f t="shared" ca="1" si="68"/>
        <v>38108</v>
      </c>
      <c r="F488" s="7">
        <f t="shared" ca="1" si="69"/>
        <v>0</v>
      </c>
      <c r="G488" s="125">
        <f ca="1">IF('Simulador - 1º Pilar'!$E$99="Sí",IF('Aportaciones Flex'!$B$13&lt;'Aportaciones Flex'!E488,0,F488*$B$8/12),F488*$B$8/12)</f>
        <v>0</v>
      </c>
      <c r="H488" s="125">
        <f t="shared" ca="1" si="65"/>
        <v>0</v>
      </c>
      <c r="I488" s="126">
        <f t="shared" ca="1" si="66"/>
        <v>0</v>
      </c>
      <c r="J488" s="125">
        <f t="shared" ca="1" si="70"/>
        <v>0</v>
      </c>
      <c r="K488" s="151"/>
      <c r="L488" s="125">
        <f t="shared" ca="1" si="71"/>
        <v>0</v>
      </c>
      <c r="P488">
        <f t="shared" si="72"/>
        <v>481</v>
      </c>
      <c r="S488" s="126">
        <f t="shared" ca="1" si="67"/>
        <v>0</v>
      </c>
      <c r="T488" s="126">
        <f t="shared" ca="1" si="73"/>
        <v>0</v>
      </c>
    </row>
    <row r="489" spans="4:20">
      <c r="D489">
        <v>482</v>
      </c>
      <c r="E489" s="6">
        <f t="shared" ca="1" si="68"/>
        <v>38078</v>
      </c>
      <c r="F489" s="7">
        <f t="shared" ca="1" si="69"/>
        <v>0</v>
      </c>
      <c r="G489" s="125">
        <f ca="1">IF('Simulador - 1º Pilar'!$E$99="Sí",IF('Aportaciones Flex'!$B$13&lt;'Aportaciones Flex'!E489,0,F489*$B$8/12),F489*$B$8/12)</f>
        <v>0</v>
      </c>
      <c r="H489" s="125">
        <f t="shared" ca="1" si="65"/>
        <v>0</v>
      </c>
      <c r="I489" s="126">
        <f t="shared" ca="1" si="66"/>
        <v>0</v>
      </c>
      <c r="J489" s="125">
        <f t="shared" ca="1" si="70"/>
        <v>0</v>
      </c>
      <c r="K489" s="151"/>
      <c r="L489" s="125">
        <f t="shared" ca="1" si="71"/>
        <v>0</v>
      </c>
      <c r="P489">
        <f t="shared" si="72"/>
        <v>482</v>
      </c>
      <c r="S489" s="126">
        <f t="shared" ca="1" si="67"/>
        <v>0</v>
      </c>
      <c r="T489" s="126">
        <f t="shared" ca="1" si="73"/>
        <v>0</v>
      </c>
    </row>
    <row r="490" spans="4:20">
      <c r="D490">
        <v>483</v>
      </c>
      <c r="E490" s="6">
        <f t="shared" ca="1" si="68"/>
        <v>38047</v>
      </c>
      <c r="F490" s="7">
        <f t="shared" ca="1" si="69"/>
        <v>0</v>
      </c>
      <c r="G490" s="125">
        <f ca="1">IF('Simulador - 1º Pilar'!$E$99="Sí",IF('Aportaciones Flex'!$B$13&lt;'Aportaciones Flex'!E490,0,F490*$B$8/12),F490*$B$8/12)</f>
        <v>0</v>
      </c>
      <c r="H490" s="125">
        <f t="shared" ca="1" si="65"/>
        <v>0</v>
      </c>
      <c r="I490" s="126">
        <f t="shared" ca="1" si="66"/>
        <v>0</v>
      </c>
      <c r="J490" s="125">
        <f t="shared" ca="1" si="70"/>
        <v>0</v>
      </c>
      <c r="K490" s="151"/>
      <c r="L490" s="125">
        <f t="shared" ca="1" si="71"/>
        <v>0</v>
      </c>
      <c r="P490">
        <f t="shared" si="72"/>
        <v>483</v>
      </c>
      <c r="S490" s="126">
        <f t="shared" ca="1" si="67"/>
        <v>0</v>
      </c>
      <c r="T490" s="126">
        <f t="shared" ca="1" si="73"/>
        <v>0</v>
      </c>
    </row>
    <row r="491" spans="4:20">
      <c r="D491">
        <v>484</v>
      </c>
      <c r="E491" s="6">
        <f t="shared" ca="1" si="68"/>
        <v>38018</v>
      </c>
      <c r="F491" s="7">
        <f t="shared" ca="1" si="69"/>
        <v>0</v>
      </c>
      <c r="G491" s="125">
        <f ca="1">IF('Simulador - 1º Pilar'!$E$99="Sí",IF('Aportaciones Flex'!$B$13&lt;'Aportaciones Flex'!E491,0,F491*$B$8/12),F491*$B$8/12)</f>
        <v>0</v>
      </c>
      <c r="H491" s="125">
        <f t="shared" ca="1" si="65"/>
        <v>0</v>
      </c>
      <c r="I491" s="126">
        <f t="shared" ca="1" si="66"/>
        <v>0</v>
      </c>
      <c r="J491" s="125">
        <f t="shared" ca="1" si="70"/>
        <v>0</v>
      </c>
      <c r="K491" s="151"/>
      <c r="L491" s="125">
        <f t="shared" ca="1" si="71"/>
        <v>0</v>
      </c>
      <c r="P491">
        <f t="shared" si="72"/>
        <v>484</v>
      </c>
      <c r="S491" s="126">
        <f t="shared" ca="1" si="67"/>
        <v>0</v>
      </c>
      <c r="T491" s="126">
        <f t="shared" ca="1" si="73"/>
        <v>0</v>
      </c>
    </row>
    <row r="492" spans="4:20">
      <c r="D492">
        <v>485</v>
      </c>
      <c r="E492" s="6">
        <f t="shared" ca="1" si="68"/>
        <v>37987</v>
      </c>
      <c r="F492" s="7">
        <f t="shared" ca="1" si="69"/>
        <v>0</v>
      </c>
      <c r="G492" s="125">
        <f ca="1">IF('Simulador - 1º Pilar'!$E$99="Sí",IF('Aportaciones Flex'!$B$13&lt;'Aportaciones Flex'!E492,0,F492*$B$8/12),F492*$B$8/12)</f>
        <v>0</v>
      </c>
      <c r="H492" s="125">
        <f t="shared" ca="1" si="65"/>
        <v>0</v>
      </c>
      <c r="I492" s="126">
        <f t="shared" ca="1" si="66"/>
        <v>0</v>
      </c>
      <c r="J492" s="125">
        <f t="shared" ca="1" si="70"/>
        <v>0</v>
      </c>
      <c r="K492" s="151"/>
      <c r="L492" s="125">
        <f t="shared" ca="1" si="71"/>
        <v>0</v>
      </c>
      <c r="P492">
        <f t="shared" si="72"/>
        <v>485</v>
      </c>
      <c r="S492" s="126">
        <f t="shared" ca="1" si="67"/>
        <v>0</v>
      </c>
      <c r="T492" s="126">
        <f t="shared" ca="1" si="73"/>
        <v>0</v>
      </c>
    </row>
    <row r="493" spans="4:20">
      <c r="D493">
        <v>486</v>
      </c>
      <c r="E493" s="6">
        <f t="shared" ca="1" si="68"/>
        <v>37956</v>
      </c>
      <c r="F493" s="7">
        <f t="shared" ca="1" si="69"/>
        <v>0</v>
      </c>
      <c r="G493" s="125">
        <f ca="1">IF('Simulador - 1º Pilar'!$E$99="Sí",IF('Aportaciones Flex'!$B$13&lt;'Aportaciones Flex'!E493,0,F493*$B$8/12),F493*$B$8/12)</f>
        <v>0</v>
      </c>
      <c r="H493" s="125">
        <f t="shared" ca="1" si="65"/>
        <v>0</v>
      </c>
      <c r="I493" s="126">
        <f t="shared" ca="1" si="66"/>
        <v>0</v>
      </c>
      <c r="J493" s="125">
        <f t="shared" ca="1" si="70"/>
        <v>0</v>
      </c>
      <c r="K493" s="151"/>
      <c r="L493" s="125">
        <f t="shared" ca="1" si="71"/>
        <v>0</v>
      </c>
      <c r="P493">
        <f t="shared" si="72"/>
        <v>486</v>
      </c>
      <c r="S493" s="126">
        <f t="shared" ca="1" si="67"/>
        <v>0</v>
      </c>
      <c r="T493" s="126">
        <f t="shared" ca="1" si="73"/>
        <v>0</v>
      </c>
    </row>
    <row r="494" spans="4:20">
      <c r="D494">
        <v>487</v>
      </c>
      <c r="E494" s="6">
        <f t="shared" ca="1" si="68"/>
        <v>37926</v>
      </c>
      <c r="F494" s="7">
        <f t="shared" ca="1" si="69"/>
        <v>0</v>
      </c>
      <c r="G494" s="125">
        <f ca="1">IF('Simulador - 1º Pilar'!$E$99="Sí",IF('Aportaciones Flex'!$B$13&lt;'Aportaciones Flex'!E494,0,F494*$B$8/12),F494*$B$8/12)</f>
        <v>0</v>
      </c>
      <c r="H494" s="125">
        <f t="shared" ca="1" si="65"/>
        <v>0</v>
      </c>
      <c r="I494" s="126">
        <f t="shared" ca="1" si="66"/>
        <v>0</v>
      </c>
      <c r="J494" s="125">
        <f t="shared" ca="1" si="70"/>
        <v>0</v>
      </c>
      <c r="K494" s="151"/>
      <c r="L494" s="125">
        <f t="shared" ca="1" si="71"/>
        <v>0</v>
      </c>
      <c r="P494">
        <f t="shared" si="72"/>
        <v>487</v>
      </c>
      <c r="S494" s="126">
        <f t="shared" ca="1" si="67"/>
        <v>0</v>
      </c>
      <c r="T494" s="126">
        <f t="shared" ca="1" si="73"/>
        <v>0</v>
      </c>
    </row>
    <row r="495" spans="4:20">
      <c r="D495">
        <v>488</v>
      </c>
      <c r="E495" s="6">
        <f t="shared" ca="1" si="68"/>
        <v>37895</v>
      </c>
      <c r="F495" s="7">
        <f t="shared" ca="1" si="69"/>
        <v>0</v>
      </c>
      <c r="G495" s="125">
        <f ca="1">IF('Simulador - 1º Pilar'!$E$99="Sí",IF('Aportaciones Flex'!$B$13&lt;'Aportaciones Flex'!E495,0,F495*$B$8/12),F495*$B$8/12)</f>
        <v>0</v>
      </c>
      <c r="H495" s="125">
        <f t="shared" ca="1" si="65"/>
        <v>0</v>
      </c>
      <c r="I495" s="126">
        <f t="shared" ca="1" si="66"/>
        <v>0</v>
      </c>
      <c r="J495" s="125">
        <f t="shared" ca="1" si="70"/>
        <v>0</v>
      </c>
      <c r="K495" s="151"/>
      <c r="L495" s="125">
        <f t="shared" ca="1" si="71"/>
        <v>0</v>
      </c>
      <c r="P495">
        <f t="shared" si="72"/>
        <v>488</v>
      </c>
      <c r="S495" s="126">
        <f t="shared" ca="1" si="67"/>
        <v>0</v>
      </c>
      <c r="T495" s="126">
        <f t="shared" ca="1" si="73"/>
        <v>0</v>
      </c>
    </row>
    <row r="496" spans="4:20">
      <c r="D496">
        <v>489</v>
      </c>
      <c r="E496" s="6">
        <f t="shared" ca="1" si="68"/>
        <v>37865</v>
      </c>
      <c r="F496" s="7">
        <f t="shared" ca="1" si="69"/>
        <v>0</v>
      </c>
      <c r="G496" s="125">
        <f ca="1">IF('Simulador - 1º Pilar'!$E$99="Sí",IF('Aportaciones Flex'!$B$13&lt;'Aportaciones Flex'!E496,0,F496*$B$8/12),F496*$B$8/12)</f>
        <v>0</v>
      </c>
      <c r="H496" s="125">
        <f t="shared" ca="1" si="65"/>
        <v>0</v>
      </c>
      <c r="I496" s="126">
        <f t="shared" ca="1" si="66"/>
        <v>0</v>
      </c>
      <c r="J496" s="125">
        <f t="shared" ca="1" si="70"/>
        <v>0</v>
      </c>
      <c r="K496" s="151"/>
      <c r="L496" s="125">
        <f t="shared" ca="1" si="71"/>
        <v>0</v>
      </c>
      <c r="P496">
        <f t="shared" si="72"/>
        <v>489</v>
      </c>
      <c r="S496" s="126">
        <f t="shared" ca="1" si="67"/>
        <v>0</v>
      </c>
      <c r="T496" s="126">
        <f t="shared" ca="1" si="73"/>
        <v>0</v>
      </c>
    </row>
    <row r="497" spans="4:20">
      <c r="D497">
        <v>490</v>
      </c>
      <c r="E497" s="6">
        <f t="shared" ca="1" si="68"/>
        <v>37834</v>
      </c>
      <c r="F497" s="7">
        <f t="shared" ca="1" si="69"/>
        <v>0</v>
      </c>
      <c r="G497" s="125">
        <f ca="1">IF('Simulador - 1º Pilar'!$E$99="Sí",IF('Aportaciones Flex'!$B$13&lt;'Aportaciones Flex'!E497,0,F497*$B$8/12),F497*$B$8/12)</f>
        <v>0</v>
      </c>
      <c r="H497" s="125">
        <f t="shared" ca="1" si="65"/>
        <v>0</v>
      </c>
      <c r="I497" s="126">
        <f t="shared" ca="1" si="66"/>
        <v>0</v>
      </c>
      <c r="J497" s="125">
        <f t="shared" ca="1" si="70"/>
        <v>0</v>
      </c>
      <c r="K497" s="151"/>
      <c r="L497" s="125">
        <f t="shared" ca="1" si="71"/>
        <v>0</v>
      </c>
      <c r="P497">
        <f t="shared" si="72"/>
        <v>490</v>
      </c>
      <c r="S497" s="126">
        <f t="shared" ca="1" si="67"/>
        <v>0</v>
      </c>
      <c r="T497" s="126">
        <f t="shared" ca="1" si="73"/>
        <v>0</v>
      </c>
    </row>
    <row r="498" spans="4:20">
      <c r="D498">
        <v>491</v>
      </c>
      <c r="E498" s="6">
        <f t="shared" ca="1" si="68"/>
        <v>37803</v>
      </c>
      <c r="F498" s="7">
        <f t="shared" ca="1" si="69"/>
        <v>0</v>
      </c>
      <c r="G498" s="125">
        <f ca="1">IF('Simulador - 1º Pilar'!$E$99="Sí",IF('Aportaciones Flex'!$B$13&lt;'Aportaciones Flex'!E498,0,F498*$B$8/12),F498*$B$8/12)</f>
        <v>0</v>
      </c>
      <c r="H498" s="125">
        <f t="shared" ca="1" si="65"/>
        <v>0</v>
      </c>
      <c r="I498" s="126">
        <f t="shared" ca="1" si="66"/>
        <v>0</v>
      </c>
      <c r="J498" s="125">
        <f t="shared" ca="1" si="70"/>
        <v>0</v>
      </c>
      <c r="K498" s="151"/>
      <c r="L498" s="125">
        <f t="shared" ca="1" si="71"/>
        <v>0</v>
      </c>
      <c r="P498">
        <f t="shared" si="72"/>
        <v>491</v>
      </c>
      <c r="S498" s="126">
        <f t="shared" ca="1" si="67"/>
        <v>0</v>
      </c>
      <c r="T498" s="126">
        <f t="shared" ca="1" si="73"/>
        <v>0</v>
      </c>
    </row>
    <row r="499" spans="4:20">
      <c r="D499">
        <v>492</v>
      </c>
      <c r="E499" s="6">
        <f t="shared" ca="1" si="68"/>
        <v>37773</v>
      </c>
      <c r="F499" s="7">
        <f t="shared" ca="1" si="69"/>
        <v>0</v>
      </c>
      <c r="G499" s="125">
        <f ca="1">IF('Simulador - 1º Pilar'!$E$99="Sí",IF('Aportaciones Flex'!$B$13&lt;'Aportaciones Flex'!E499,0,F499*$B$8/12),F499*$B$8/12)</f>
        <v>0</v>
      </c>
      <c r="H499" s="125">
        <f t="shared" ca="1" si="65"/>
        <v>0</v>
      </c>
      <c r="I499" s="126">
        <f t="shared" ca="1" si="66"/>
        <v>0</v>
      </c>
      <c r="J499" s="125">
        <f t="shared" ca="1" si="70"/>
        <v>0</v>
      </c>
      <c r="K499" s="151"/>
      <c r="L499" s="125">
        <f t="shared" ca="1" si="71"/>
        <v>0</v>
      </c>
      <c r="P499">
        <f t="shared" si="72"/>
        <v>492</v>
      </c>
      <c r="S499" s="126">
        <f t="shared" ca="1" si="67"/>
        <v>0</v>
      </c>
      <c r="T499" s="126">
        <f t="shared" ca="1" si="73"/>
        <v>0</v>
      </c>
    </row>
    <row r="500" spans="4:20">
      <c r="D500">
        <v>493</v>
      </c>
      <c r="E500" s="6">
        <f t="shared" ca="1" si="68"/>
        <v>37742</v>
      </c>
      <c r="F500" s="7">
        <f t="shared" ca="1" si="69"/>
        <v>0</v>
      </c>
      <c r="G500" s="125">
        <f ca="1">IF('Simulador - 1º Pilar'!$E$99="Sí",IF('Aportaciones Flex'!$B$13&lt;'Aportaciones Flex'!E500,0,F500*$B$8/12),F500*$B$8/12)</f>
        <v>0</v>
      </c>
      <c r="H500" s="125">
        <f t="shared" ca="1" si="65"/>
        <v>0</v>
      </c>
      <c r="I500" s="126">
        <f t="shared" ca="1" si="66"/>
        <v>0</v>
      </c>
      <c r="J500" s="125">
        <f t="shared" ca="1" si="70"/>
        <v>0</v>
      </c>
      <c r="K500" s="151"/>
      <c r="L500" s="125">
        <f t="shared" ca="1" si="71"/>
        <v>0</v>
      </c>
      <c r="P500">
        <f t="shared" si="72"/>
        <v>493</v>
      </c>
      <c r="S500" s="126">
        <f t="shared" ca="1" si="67"/>
        <v>0</v>
      </c>
      <c r="T500" s="126">
        <f t="shared" ca="1" si="73"/>
        <v>0</v>
      </c>
    </row>
    <row r="501" spans="4:20">
      <c r="D501">
        <v>494</v>
      </c>
      <c r="E501" s="6">
        <f t="shared" ca="1" si="68"/>
        <v>37712</v>
      </c>
      <c r="F501" s="7">
        <f t="shared" ca="1" si="69"/>
        <v>0</v>
      </c>
      <c r="G501" s="125">
        <f ca="1">IF('Simulador - 1º Pilar'!$E$99="Sí",IF('Aportaciones Flex'!$B$13&lt;'Aportaciones Flex'!E501,0,F501*$B$8/12),F501*$B$8/12)</f>
        <v>0</v>
      </c>
      <c r="H501" s="125">
        <f t="shared" ca="1" si="65"/>
        <v>0</v>
      </c>
      <c r="I501" s="126">
        <f t="shared" ca="1" si="66"/>
        <v>0</v>
      </c>
      <c r="J501" s="125">
        <f t="shared" ca="1" si="70"/>
        <v>0</v>
      </c>
      <c r="K501" s="151"/>
      <c r="L501" s="125">
        <f t="shared" ca="1" si="71"/>
        <v>0</v>
      </c>
      <c r="P501">
        <f t="shared" si="72"/>
        <v>494</v>
      </c>
      <c r="S501" s="126">
        <f t="shared" ca="1" si="67"/>
        <v>0</v>
      </c>
      <c r="T501" s="126">
        <f t="shared" ca="1" si="73"/>
        <v>0</v>
      </c>
    </row>
    <row r="502" spans="4:20">
      <c r="D502">
        <v>495</v>
      </c>
      <c r="E502" s="6">
        <f t="shared" ca="1" si="68"/>
        <v>37681</v>
      </c>
      <c r="F502" s="7">
        <f t="shared" ca="1" si="69"/>
        <v>0</v>
      </c>
      <c r="G502" s="125">
        <f ca="1">IF('Simulador - 1º Pilar'!$E$99="Sí",IF('Aportaciones Flex'!$B$13&lt;'Aportaciones Flex'!E502,0,F502*$B$8/12),F502*$B$8/12)</f>
        <v>0</v>
      </c>
      <c r="H502" s="125">
        <f t="shared" ca="1" si="65"/>
        <v>0</v>
      </c>
      <c r="I502" s="126">
        <f t="shared" ca="1" si="66"/>
        <v>0</v>
      </c>
      <c r="J502" s="125">
        <f t="shared" ca="1" si="70"/>
        <v>0</v>
      </c>
      <c r="K502" s="151"/>
      <c r="L502" s="125">
        <f t="shared" ca="1" si="71"/>
        <v>0</v>
      </c>
      <c r="P502">
        <f t="shared" si="72"/>
        <v>495</v>
      </c>
      <c r="S502" s="126">
        <f t="shared" ca="1" si="67"/>
        <v>0</v>
      </c>
      <c r="T502" s="126">
        <f t="shared" ca="1" si="73"/>
        <v>0</v>
      </c>
    </row>
    <row r="503" spans="4:20">
      <c r="D503">
        <v>496</v>
      </c>
      <c r="E503" s="6">
        <f t="shared" ca="1" si="68"/>
        <v>37653</v>
      </c>
      <c r="F503" s="7">
        <f t="shared" ca="1" si="69"/>
        <v>0</v>
      </c>
      <c r="G503" s="125">
        <f ca="1">IF('Simulador - 1º Pilar'!$E$99="Sí",IF('Aportaciones Flex'!$B$13&lt;'Aportaciones Flex'!E503,0,F503*$B$8/12),F503*$B$8/12)</f>
        <v>0</v>
      </c>
      <c r="H503" s="125">
        <f t="shared" ca="1" si="65"/>
        <v>0</v>
      </c>
      <c r="I503" s="126">
        <f t="shared" ca="1" si="66"/>
        <v>0</v>
      </c>
      <c r="J503" s="125">
        <f t="shared" ca="1" si="70"/>
        <v>0</v>
      </c>
      <c r="K503" s="151"/>
      <c r="L503" s="125">
        <f t="shared" ca="1" si="71"/>
        <v>0</v>
      </c>
      <c r="P503">
        <f t="shared" si="72"/>
        <v>496</v>
      </c>
      <c r="S503" s="126">
        <f t="shared" ca="1" si="67"/>
        <v>0</v>
      </c>
      <c r="T503" s="126">
        <f t="shared" ca="1" si="73"/>
        <v>0</v>
      </c>
    </row>
    <row r="504" spans="4:20">
      <c r="D504">
        <v>497</v>
      </c>
      <c r="E504" s="6">
        <f t="shared" ca="1" si="68"/>
        <v>37622</v>
      </c>
      <c r="F504" s="7">
        <f t="shared" ca="1" si="69"/>
        <v>0</v>
      </c>
      <c r="G504" s="125">
        <f ca="1">IF('Simulador - 1º Pilar'!$E$99="Sí",IF('Aportaciones Flex'!$B$13&lt;'Aportaciones Flex'!E504,0,F504*$B$8/12),F504*$B$8/12)</f>
        <v>0</v>
      </c>
      <c r="H504" s="125">
        <f t="shared" ca="1" si="65"/>
        <v>0</v>
      </c>
      <c r="I504" s="126">
        <f t="shared" ca="1" si="66"/>
        <v>0</v>
      </c>
      <c r="J504" s="125">
        <f t="shared" ca="1" si="70"/>
        <v>0</v>
      </c>
      <c r="K504" s="151"/>
      <c r="L504" s="125">
        <f t="shared" ca="1" si="71"/>
        <v>0</v>
      </c>
      <c r="P504">
        <f t="shared" si="72"/>
        <v>497</v>
      </c>
      <c r="S504" s="126">
        <f t="shared" ca="1" si="67"/>
        <v>0</v>
      </c>
      <c r="T504" s="126">
        <f t="shared" ca="1" si="73"/>
        <v>0</v>
      </c>
    </row>
    <row r="505" spans="4:20">
      <c r="D505">
        <v>498</v>
      </c>
      <c r="E505" s="6">
        <f t="shared" ca="1" si="68"/>
        <v>37591</v>
      </c>
      <c r="F505" s="7">
        <f t="shared" ca="1" si="69"/>
        <v>0</v>
      </c>
      <c r="G505" s="125">
        <f ca="1">IF('Simulador - 1º Pilar'!$E$99="Sí",IF('Aportaciones Flex'!$B$13&lt;'Aportaciones Flex'!E505,0,F505*$B$8/12),F505*$B$8/12)</f>
        <v>0</v>
      </c>
      <c r="H505" s="125">
        <f t="shared" ca="1" si="65"/>
        <v>0</v>
      </c>
      <c r="I505" s="126">
        <f t="shared" ca="1" si="66"/>
        <v>0</v>
      </c>
      <c r="J505" s="125">
        <f t="shared" ca="1" si="70"/>
        <v>0</v>
      </c>
      <c r="K505" s="151"/>
      <c r="L505" s="125">
        <f t="shared" ca="1" si="71"/>
        <v>0</v>
      </c>
      <c r="P505">
        <f t="shared" si="72"/>
        <v>498</v>
      </c>
      <c r="S505" s="126">
        <f t="shared" ca="1" si="67"/>
        <v>0</v>
      </c>
      <c r="T505" s="126">
        <f t="shared" ca="1" si="73"/>
        <v>0</v>
      </c>
    </row>
    <row r="506" spans="4:20">
      <c r="D506">
        <v>499</v>
      </c>
      <c r="E506" s="6">
        <f t="shared" ca="1" si="68"/>
        <v>37561</v>
      </c>
      <c r="F506" s="7">
        <f t="shared" ca="1" si="69"/>
        <v>0</v>
      </c>
      <c r="G506" s="125">
        <f ca="1">IF('Simulador - 1º Pilar'!$E$99="Sí",IF('Aportaciones Flex'!$B$13&lt;'Aportaciones Flex'!E506,0,F506*$B$8/12),F506*$B$8/12)</f>
        <v>0</v>
      </c>
      <c r="H506" s="125">
        <f t="shared" ca="1" si="65"/>
        <v>0</v>
      </c>
      <c r="I506" s="126">
        <f t="shared" ca="1" si="66"/>
        <v>0</v>
      </c>
      <c r="J506" s="125">
        <f t="shared" ca="1" si="70"/>
        <v>0</v>
      </c>
      <c r="K506" s="151"/>
      <c r="L506" s="125">
        <f t="shared" ca="1" si="71"/>
        <v>0</v>
      </c>
      <c r="P506">
        <f t="shared" si="72"/>
        <v>499</v>
      </c>
      <c r="S506" s="126">
        <f t="shared" ca="1" si="67"/>
        <v>0</v>
      </c>
      <c r="T506" s="126">
        <f t="shared" ca="1" si="73"/>
        <v>0</v>
      </c>
    </row>
    <row r="507" spans="4:20">
      <c r="D507">
        <v>500</v>
      </c>
      <c r="E507" s="6">
        <f t="shared" ca="1" si="68"/>
        <v>37530</v>
      </c>
      <c r="F507" s="7">
        <f t="shared" ca="1" si="69"/>
        <v>0</v>
      </c>
      <c r="G507" s="125">
        <f ca="1">IF('Simulador - 1º Pilar'!$E$99="Sí",IF('Aportaciones Flex'!$B$13&lt;'Aportaciones Flex'!E507,0,F507*$B$8/12),F507*$B$8/12)</f>
        <v>0</v>
      </c>
      <c r="H507" s="125">
        <f t="shared" ca="1" si="65"/>
        <v>0</v>
      </c>
      <c r="I507" s="126">
        <f t="shared" ca="1" si="66"/>
        <v>0</v>
      </c>
      <c r="J507" s="125">
        <f t="shared" ca="1" si="70"/>
        <v>0</v>
      </c>
      <c r="K507" s="151"/>
      <c r="L507" s="125">
        <f t="shared" ca="1" si="71"/>
        <v>0</v>
      </c>
      <c r="P507">
        <f t="shared" si="72"/>
        <v>500</v>
      </c>
      <c r="S507" s="126">
        <f t="shared" ca="1" si="67"/>
        <v>0</v>
      </c>
      <c r="T507" s="126">
        <f t="shared" ca="1" si="73"/>
        <v>0</v>
      </c>
    </row>
    <row r="508" spans="4:20">
      <c r="D508">
        <v>501</v>
      </c>
      <c r="E508" s="6">
        <f t="shared" ca="1" si="68"/>
        <v>37500</v>
      </c>
      <c r="F508" s="7">
        <f t="shared" ca="1" si="69"/>
        <v>0</v>
      </c>
      <c r="G508" s="125">
        <f ca="1">IF('Simulador - 1º Pilar'!$E$99="Sí",IF('Aportaciones Flex'!$B$13&lt;'Aportaciones Flex'!E508,0,F508*$B$8/12),F508*$B$8/12)</f>
        <v>0</v>
      </c>
      <c r="H508" s="125">
        <f t="shared" ca="1" si="65"/>
        <v>0</v>
      </c>
      <c r="I508" s="126">
        <f t="shared" ca="1" si="66"/>
        <v>0</v>
      </c>
      <c r="J508" s="125">
        <f t="shared" ca="1" si="70"/>
        <v>0</v>
      </c>
      <c r="K508" s="151"/>
      <c r="L508" s="125">
        <f t="shared" ca="1" si="71"/>
        <v>0</v>
      </c>
      <c r="P508">
        <f t="shared" si="72"/>
        <v>501</v>
      </c>
      <c r="S508" s="126">
        <f t="shared" ca="1" si="67"/>
        <v>0</v>
      </c>
      <c r="T508" s="126">
        <f t="shared" ca="1" si="73"/>
        <v>0</v>
      </c>
    </row>
    <row r="509" spans="4:20">
      <c r="D509">
        <v>502</v>
      </c>
      <c r="E509" s="6">
        <f t="shared" ca="1" si="68"/>
        <v>37469</v>
      </c>
      <c r="F509" s="7">
        <f t="shared" ca="1" si="69"/>
        <v>0</v>
      </c>
      <c r="G509" s="125">
        <f ca="1">IF('Simulador - 1º Pilar'!$E$99="Sí",IF('Aportaciones Flex'!$B$13&lt;'Aportaciones Flex'!E509,0,F509*$B$8/12),F509*$B$8/12)</f>
        <v>0</v>
      </c>
      <c r="H509" s="125">
        <f t="shared" ca="1" si="65"/>
        <v>0</v>
      </c>
      <c r="I509" s="126">
        <f t="shared" ca="1" si="66"/>
        <v>0</v>
      </c>
      <c r="J509" s="125">
        <f t="shared" ca="1" si="70"/>
        <v>0</v>
      </c>
      <c r="K509" s="151"/>
      <c r="L509" s="125">
        <f t="shared" ca="1" si="71"/>
        <v>0</v>
      </c>
      <c r="P509">
        <f t="shared" si="72"/>
        <v>502</v>
      </c>
      <c r="S509" s="126">
        <f t="shared" ca="1" si="67"/>
        <v>0</v>
      </c>
      <c r="T509" s="126">
        <f t="shared" ca="1" si="73"/>
        <v>0</v>
      </c>
    </row>
    <row r="510" spans="4:20">
      <c r="D510">
        <v>503</v>
      </c>
      <c r="E510" s="6">
        <f t="shared" ca="1" si="68"/>
        <v>37438</v>
      </c>
      <c r="F510" s="7">
        <f t="shared" ca="1" si="69"/>
        <v>0</v>
      </c>
      <c r="G510" s="125">
        <f ca="1">IF('Simulador - 1º Pilar'!$E$99="Sí",IF('Aportaciones Flex'!$B$13&lt;'Aportaciones Flex'!E510,0,F510*$B$8/12),F510*$B$8/12)</f>
        <v>0</v>
      </c>
      <c r="H510" s="125">
        <f t="shared" ca="1" si="65"/>
        <v>0</v>
      </c>
      <c r="I510" s="126">
        <f t="shared" ca="1" si="66"/>
        <v>0</v>
      </c>
      <c r="J510" s="125">
        <f t="shared" ca="1" si="70"/>
        <v>0</v>
      </c>
      <c r="K510" s="151"/>
      <c r="L510" s="125">
        <f t="shared" ca="1" si="71"/>
        <v>0</v>
      </c>
      <c r="P510">
        <f t="shared" si="72"/>
        <v>503</v>
      </c>
      <c r="S510" s="126">
        <f t="shared" ca="1" si="67"/>
        <v>0</v>
      </c>
      <c r="T510" s="126">
        <f t="shared" ca="1" si="73"/>
        <v>0</v>
      </c>
    </row>
    <row r="511" spans="4:20">
      <c r="D511">
        <v>504</v>
      </c>
      <c r="E511" s="6">
        <f t="shared" ca="1" si="68"/>
        <v>37408</v>
      </c>
      <c r="F511" s="7">
        <f t="shared" ca="1" si="69"/>
        <v>0</v>
      </c>
      <c r="G511" s="125">
        <f ca="1">IF('Simulador - 1º Pilar'!$E$99="Sí",IF('Aportaciones Flex'!$B$13&lt;'Aportaciones Flex'!E511,0,F511*$B$8/12),F511*$B$8/12)</f>
        <v>0</v>
      </c>
      <c r="H511" s="125">
        <f t="shared" ca="1" si="65"/>
        <v>0</v>
      </c>
      <c r="I511" s="126">
        <f t="shared" ca="1" si="66"/>
        <v>0</v>
      </c>
      <c r="J511" s="125">
        <f t="shared" ca="1" si="70"/>
        <v>0</v>
      </c>
      <c r="K511" s="151"/>
      <c r="L511" s="125">
        <f t="shared" ca="1" si="71"/>
        <v>0</v>
      </c>
      <c r="P511">
        <f t="shared" si="72"/>
        <v>504</v>
      </c>
      <c r="S511" s="126">
        <f t="shared" ca="1" si="67"/>
        <v>0</v>
      </c>
      <c r="T511" s="126">
        <f t="shared" ca="1" si="73"/>
        <v>0</v>
      </c>
    </row>
    <row r="512" spans="4:20">
      <c r="D512">
        <v>505</v>
      </c>
      <c r="E512" s="6">
        <f t="shared" ca="1" si="68"/>
        <v>37377</v>
      </c>
      <c r="F512" s="7">
        <f t="shared" ca="1" si="69"/>
        <v>0</v>
      </c>
      <c r="G512" s="125">
        <f ca="1">IF('Simulador - 1º Pilar'!$E$99="Sí",IF('Aportaciones Flex'!$B$13&lt;'Aportaciones Flex'!E512,0,F512*$B$8/12),F512*$B$8/12)</f>
        <v>0</v>
      </c>
      <c r="H512" s="125">
        <f t="shared" ca="1" si="65"/>
        <v>0</v>
      </c>
      <c r="I512" s="126">
        <f t="shared" ca="1" si="66"/>
        <v>0</v>
      </c>
      <c r="J512" s="125">
        <f t="shared" ca="1" si="70"/>
        <v>0</v>
      </c>
      <c r="K512" s="151"/>
      <c r="L512" s="125">
        <f t="shared" ca="1" si="71"/>
        <v>0</v>
      </c>
      <c r="P512">
        <f t="shared" si="72"/>
        <v>505</v>
      </c>
      <c r="S512" s="126">
        <f t="shared" ca="1" si="67"/>
        <v>0</v>
      </c>
      <c r="T512" s="126">
        <f t="shared" ca="1" si="73"/>
        <v>0</v>
      </c>
    </row>
    <row r="513" spans="4:20">
      <c r="D513">
        <v>506</v>
      </c>
      <c r="E513" s="6">
        <f t="shared" ca="1" si="68"/>
        <v>37347</v>
      </c>
      <c r="F513" s="7">
        <f t="shared" ca="1" si="69"/>
        <v>0</v>
      </c>
      <c r="G513" s="125">
        <f ca="1">IF('Simulador - 1º Pilar'!$E$99="Sí",IF('Aportaciones Flex'!$B$13&lt;'Aportaciones Flex'!E513,0,F513*$B$8/12),F513*$B$8/12)</f>
        <v>0</v>
      </c>
      <c r="H513" s="125">
        <f t="shared" ca="1" si="65"/>
        <v>0</v>
      </c>
      <c r="I513" s="126">
        <f t="shared" ca="1" si="66"/>
        <v>0</v>
      </c>
      <c r="J513" s="125">
        <f t="shared" ca="1" si="70"/>
        <v>0</v>
      </c>
      <c r="K513" s="151"/>
      <c r="L513" s="125">
        <f t="shared" ca="1" si="71"/>
        <v>0</v>
      </c>
      <c r="P513">
        <f t="shared" si="72"/>
        <v>506</v>
      </c>
      <c r="S513" s="126">
        <f t="shared" ca="1" si="67"/>
        <v>0</v>
      </c>
      <c r="T513" s="126">
        <f t="shared" ca="1" si="73"/>
        <v>0</v>
      </c>
    </row>
    <row r="514" spans="4:20">
      <c r="D514">
        <v>507</v>
      </c>
      <c r="E514" s="6">
        <f t="shared" ca="1" si="68"/>
        <v>37316</v>
      </c>
      <c r="F514" s="7">
        <f t="shared" ca="1" si="69"/>
        <v>0</v>
      </c>
      <c r="G514" s="125">
        <f ca="1">IF('Simulador - 1º Pilar'!$E$99="Sí",IF('Aportaciones Flex'!$B$13&lt;'Aportaciones Flex'!E514,0,F514*$B$8/12),F514*$B$8/12)</f>
        <v>0</v>
      </c>
      <c r="H514" s="125">
        <f t="shared" ref="H514:H577" ca="1" si="74">IF(G514&gt;0,1,0)*$H$5*IF(AND($I$5="NO",YEAR(E514)=YEAR($B$6)+1),1,IF($I$5="SI",1,0))</f>
        <v>0</v>
      </c>
      <c r="I514" s="126">
        <f t="shared" ca="1" si="66"/>
        <v>0</v>
      </c>
      <c r="J514" s="125">
        <f t="shared" ca="1" si="70"/>
        <v>0</v>
      </c>
      <c r="K514" s="151"/>
      <c r="L514" s="125">
        <f t="shared" ca="1" si="71"/>
        <v>0</v>
      </c>
      <c r="P514">
        <f t="shared" si="72"/>
        <v>507</v>
      </c>
      <c r="S514" s="126">
        <f t="shared" ca="1" si="67"/>
        <v>0</v>
      </c>
      <c r="T514" s="126">
        <f t="shared" ca="1" si="73"/>
        <v>0</v>
      </c>
    </row>
    <row r="515" spans="4:20">
      <c r="D515">
        <v>508</v>
      </c>
      <c r="E515" s="6">
        <f t="shared" ca="1" si="68"/>
        <v>37288</v>
      </c>
      <c r="F515" s="7">
        <f t="shared" ca="1" si="69"/>
        <v>0</v>
      </c>
      <c r="G515" s="125">
        <f ca="1">IF('Simulador - 1º Pilar'!$E$99="Sí",IF('Aportaciones Flex'!$B$13&lt;'Aportaciones Flex'!E515,0,F515*$B$8/12),F515*$B$8/12)</f>
        <v>0</v>
      </c>
      <c r="H515" s="125">
        <f t="shared" ca="1" si="74"/>
        <v>0</v>
      </c>
      <c r="I515" s="126">
        <f t="shared" ca="1" si="66"/>
        <v>0</v>
      </c>
      <c r="J515" s="125">
        <f t="shared" ca="1" si="70"/>
        <v>0</v>
      </c>
      <c r="K515" s="151"/>
      <c r="L515" s="125">
        <f t="shared" ca="1" si="71"/>
        <v>0</v>
      </c>
      <c r="P515">
        <f t="shared" si="72"/>
        <v>508</v>
      </c>
      <c r="S515" s="126">
        <f t="shared" ca="1" si="67"/>
        <v>0</v>
      </c>
      <c r="T515" s="126">
        <f t="shared" ca="1" si="73"/>
        <v>0</v>
      </c>
    </row>
    <row r="516" spans="4:20">
      <c r="D516">
        <v>509</v>
      </c>
      <c r="E516" s="6">
        <f t="shared" ca="1" si="68"/>
        <v>37257</v>
      </c>
      <c r="F516" s="7">
        <f t="shared" ca="1" si="69"/>
        <v>0</v>
      </c>
      <c r="G516" s="125">
        <f ca="1">IF('Simulador - 1º Pilar'!$E$99="Sí",IF('Aportaciones Flex'!$B$13&lt;'Aportaciones Flex'!E516,0,F516*$B$8/12),F516*$B$8/12)</f>
        <v>0</v>
      </c>
      <c r="H516" s="125">
        <f t="shared" ca="1" si="74"/>
        <v>0</v>
      </c>
      <c r="I516" s="126">
        <f t="shared" ca="1" si="66"/>
        <v>0</v>
      </c>
      <c r="J516" s="125">
        <f t="shared" ca="1" si="70"/>
        <v>0</v>
      </c>
      <c r="K516" s="151"/>
      <c r="L516" s="125">
        <f t="shared" ca="1" si="71"/>
        <v>0</v>
      </c>
      <c r="P516">
        <f t="shared" si="72"/>
        <v>509</v>
      </c>
      <c r="S516" s="126">
        <f t="shared" ca="1" si="67"/>
        <v>0</v>
      </c>
      <c r="T516" s="126">
        <f t="shared" ca="1" si="73"/>
        <v>0</v>
      </c>
    </row>
    <row r="517" spans="4:20">
      <c r="D517">
        <v>510</v>
      </c>
      <c r="E517" s="6">
        <f t="shared" ca="1" si="68"/>
        <v>37226</v>
      </c>
      <c r="F517" s="7">
        <f t="shared" ca="1" si="69"/>
        <v>0</v>
      </c>
      <c r="G517" s="125">
        <f ca="1">IF('Simulador - 1º Pilar'!$E$99="Sí",IF('Aportaciones Flex'!$B$13&lt;'Aportaciones Flex'!E517,0,F517*$B$8/12),F517*$B$8/12)</f>
        <v>0</v>
      </c>
      <c r="H517" s="125">
        <f t="shared" ca="1" si="74"/>
        <v>0</v>
      </c>
      <c r="I517" s="126">
        <f t="shared" ca="1" si="66"/>
        <v>0</v>
      </c>
      <c r="J517" s="125">
        <f t="shared" ca="1" si="70"/>
        <v>0</v>
      </c>
      <c r="K517" s="151"/>
      <c r="L517" s="125">
        <f t="shared" ca="1" si="71"/>
        <v>0</v>
      </c>
      <c r="P517">
        <f t="shared" si="72"/>
        <v>510</v>
      </c>
      <c r="S517" s="126">
        <f t="shared" ca="1" si="67"/>
        <v>0</v>
      </c>
      <c r="T517" s="126">
        <f t="shared" ca="1" si="73"/>
        <v>0</v>
      </c>
    </row>
    <row r="518" spans="4:20">
      <c r="D518">
        <v>511</v>
      </c>
      <c r="E518" s="6">
        <f t="shared" ca="1" si="68"/>
        <v>37196</v>
      </c>
      <c r="F518" s="7">
        <f t="shared" ca="1" si="69"/>
        <v>0</v>
      </c>
      <c r="G518" s="125">
        <f ca="1">IF('Simulador - 1º Pilar'!$E$99="Sí",IF('Aportaciones Flex'!$B$13&lt;'Aportaciones Flex'!E518,0,F518*$B$8/12),F518*$B$8/12)</f>
        <v>0</v>
      </c>
      <c r="H518" s="125">
        <f t="shared" ca="1" si="74"/>
        <v>0</v>
      </c>
      <c r="I518" s="126">
        <f t="shared" ca="1" si="66"/>
        <v>0</v>
      </c>
      <c r="J518" s="125">
        <f t="shared" ca="1" si="70"/>
        <v>0</v>
      </c>
      <c r="K518" s="151"/>
      <c r="L518" s="125">
        <f t="shared" ca="1" si="71"/>
        <v>0</v>
      </c>
      <c r="P518">
        <f t="shared" si="72"/>
        <v>511</v>
      </c>
      <c r="S518" s="126">
        <f t="shared" ca="1" si="67"/>
        <v>0</v>
      </c>
      <c r="T518" s="126">
        <f t="shared" ca="1" si="73"/>
        <v>0</v>
      </c>
    </row>
    <row r="519" spans="4:20">
      <c r="D519">
        <v>512</v>
      </c>
      <c r="E519" s="6">
        <f t="shared" ca="1" si="68"/>
        <v>37165</v>
      </c>
      <c r="F519" s="7">
        <f t="shared" ca="1" si="69"/>
        <v>0</v>
      </c>
      <c r="G519" s="125">
        <f ca="1">IF('Simulador - 1º Pilar'!$E$99="Sí",IF('Aportaciones Flex'!$B$13&lt;'Aportaciones Flex'!E519,0,F519*$B$8/12),F519*$B$8/12)</f>
        <v>0</v>
      </c>
      <c r="H519" s="125">
        <f t="shared" ca="1" si="74"/>
        <v>0</v>
      </c>
      <c r="I519" s="126">
        <f t="shared" ref="I519:I582" ca="1" si="75">(1+$M$5)^(D519/12)*(H519*(12-IF(MONTH(E520)=12,0,MONTH(E520)))+IF(AND(F519=1,F520=0),$Q$4,0))*IF(AND(F519=1,F520=0),1,0)</f>
        <v>0</v>
      </c>
      <c r="J519" s="125">
        <f t="shared" ca="1" si="70"/>
        <v>0</v>
      </c>
      <c r="K519" s="151"/>
      <c r="L519" s="125">
        <f t="shared" ca="1" si="71"/>
        <v>0</v>
      </c>
      <c r="P519">
        <f t="shared" si="72"/>
        <v>512</v>
      </c>
      <c r="S519" s="126">
        <f t="shared" ref="S519:S582" ca="1" si="76">(1+$M$5)^(D519/12)*(IF(E519=$C$6,$Q$4+$H$5*12,0))</f>
        <v>0</v>
      </c>
      <c r="T519" s="126">
        <f t="shared" ca="1" si="73"/>
        <v>0</v>
      </c>
    </row>
    <row r="520" spans="4:20">
      <c r="D520">
        <v>513</v>
      </c>
      <c r="E520" s="6">
        <f t="shared" ref="E520:E583" ca="1" si="77">+DATE(YEAR(E519),MONTH(E519)-1,DAY(E519))</f>
        <v>37135</v>
      </c>
      <c r="F520" s="7">
        <f t="shared" ref="F520:F583" ca="1" si="78">IF(DATE(YEAR($B$6),MONTH($B$6)+1,DAY(1))=E520,1,IF(MONTH(E520)=1,F521*(1+$F$5),F521))</f>
        <v>0</v>
      </c>
      <c r="G520" s="125">
        <f ca="1">IF('Simulador - 1º Pilar'!$E$99="Sí",IF('Aportaciones Flex'!$B$13&lt;'Aportaciones Flex'!E520,0,F520*$B$8/12),F520*$B$8/12)</f>
        <v>0</v>
      </c>
      <c r="H520" s="125">
        <f t="shared" ca="1" si="74"/>
        <v>0</v>
      </c>
      <c r="I520" s="126">
        <f t="shared" ca="1" si="75"/>
        <v>0</v>
      </c>
      <c r="J520" s="125">
        <f t="shared" ref="J520:J583" ca="1" si="79">(1+$M$5)^(D520/12)*(H520+IF(AND(F520=1,F521=0),$Q$4,0))</f>
        <v>0</v>
      </c>
      <c r="K520" s="151"/>
      <c r="L520" s="125">
        <f t="shared" ref="L520:L583" ca="1" si="80">K520+J520</f>
        <v>0</v>
      </c>
      <c r="P520">
        <f t="shared" ref="P520:P583" si="81">D520</f>
        <v>513</v>
      </c>
      <c r="S520" s="126">
        <f t="shared" ca="1" si="76"/>
        <v>0</v>
      </c>
      <c r="T520" s="126">
        <f t="shared" ref="T520:T583" ca="1" si="82">(1+$M$5)^(D520/12)*(IF(YEAR(E520)&gt;YEAR($C$6),L520,0)+IF(E520=$C$6,$H$5*12+$Q$4,0))</f>
        <v>0</v>
      </c>
    </row>
    <row r="521" spans="4:20">
      <c r="D521">
        <v>514</v>
      </c>
      <c r="E521" s="6">
        <f t="shared" ca="1" si="77"/>
        <v>37104</v>
      </c>
      <c r="F521" s="7">
        <f t="shared" ca="1" si="78"/>
        <v>0</v>
      </c>
      <c r="G521" s="125">
        <f ca="1">IF('Simulador - 1º Pilar'!$E$99="Sí",IF('Aportaciones Flex'!$B$13&lt;'Aportaciones Flex'!E521,0,F521*$B$8/12),F521*$B$8/12)</f>
        <v>0</v>
      </c>
      <c r="H521" s="125">
        <f t="shared" ca="1" si="74"/>
        <v>0</v>
      </c>
      <c r="I521" s="126">
        <f t="shared" ca="1" si="75"/>
        <v>0</v>
      </c>
      <c r="J521" s="125">
        <f t="shared" ca="1" si="79"/>
        <v>0</v>
      </c>
      <c r="K521" s="151"/>
      <c r="L521" s="125">
        <f t="shared" ca="1" si="80"/>
        <v>0</v>
      </c>
      <c r="P521">
        <f t="shared" si="81"/>
        <v>514</v>
      </c>
      <c r="S521" s="126">
        <f t="shared" ca="1" si="76"/>
        <v>0</v>
      </c>
      <c r="T521" s="126">
        <f t="shared" ca="1" si="82"/>
        <v>0</v>
      </c>
    </row>
    <row r="522" spans="4:20">
      <c r="D522">
        <v>515</v>
      </c>
      <c r="E522" s="6">
        <f t="shared" ca="1" si="77"/>
        <v>37073</v>
      </c>
      <c r="F522" s="7">
        <f t="shared" ca="1" si="78"/>
        <v>0</v>
      </c>
      <c r="G522" s="125">
        <f ca="1">IF('Simulador - 1º Pilar'!$E$99="Sí",IF('Aportaciones Flex'!$B$13&lt;'Aportaciones Flex'!E522,0,F522*$B$8/12),F522*$B$8/12)</f>
        <v>0</v>
      </c>
      <c r="H522" s="125">
        <f t="shared" ca="1" si="74"/>
        <v>0</v>
      </c>
      <c r="I522" s="126">
        <f t="shared" ca="1" si="75"/>
        <v>0</v>
      </c>
      <c r="J522" s="125">
        <f t="shared" ca="1" si="79"/>
        <v>0</v>
      </c>
      <c r="K522" s="151"/>
      <c r="L522" s="125">
        <f t="shared" ca="1" si="80"/>
        <v>0</v>
      </c>
      <c r="P522">
        <f t="shared" si="81"/>
        <v>515</v>
      </c>
      <c r="S522" s="126">
        <f t="shared" ca="1" si="76"/>
        <v>0</v>
      </c>
      <c r="T522" s="126">
        <f t="shared" ca="1" si="82"/>
        <v>0</v>
      </c>
    </row>
    <row r="523" spans="4:20">
      <c r="D523">
        <v>516</v>
      </c>
      <c r="E523" s="6">
        <f t="shared" ca="1" si="77"/>
        <v>37043</v>
      </c>
      <c r="F523" s="7">
        <f t="shared" ca="1" si="78"/>
        <v>0</v>
      </c>
      <c r="G523" s="125">
        <f ca="1">IF('Simulador - 1º Pilar'!$E$99="Sí",IF('Aportaciones Flex'!$B$13&lt;'Aportaciones Flex'!E523,0,F523*$B$8/12),F523*$B$8/12)</f>
        <v>0</v>
      </c>
      <c r="H523" s="125">
        <f t="shared" ca="1" si="74"/>
        <v>0</v>
      </c>
      <c r="I523" s="126">
        <f t="shared" ca="1" si="75"/>
        <v>0</v>
      </c>
      <c r="J523" s="125">
        <f t="shared" ca="1" si="79"/>
        <v>0</v>
      </c>
      <c r="K523" s="151"/>
      <c r="L523" s="125">
        <f t="shared" ca="1" si="80"/>
        <v>0</v>
      </c>
      <c r="P523">
        <f t="shared" si="81"/>
        <v>516</v>
      </c>
      <c r="S523" s="126">
        <f t="shared" ca="1" si="76"/>
        <v>0</v>
      </c>
      <c r="T523" s="126">
        <f t="shared" ca="1" si="82"/>
        <v>0</v>
      </c>
    </row>
    <row r="524" spans="4:20">
      <c r="D524">
        <v>517</v>
      </c>
      <c r="E524" s="6">
        <f t="shared" ca="1" si="77"/>
        <v>37012</v>
      </c>
      <c r="F524" s="7">
        <f t="shared" ca="1" si="78"/>
        <v>0</v>
      </c>
      <c r="G524" s="125">
        <f ca="1">IF('Simulador - 1º Pilar'!$E$99="Sí",IF('Aportaciones Flex'!$B$13&lt;'Aportaciones Flex'!E524,0,F524*$B$8/12),F524*$B$8/12)</f>
        <v>0</v>
      </c>
      <c r="H524" s="125">
        <f t="shared" ca="1" si="74"/>
        <v>0</v>
      </c>
      <c r="I524" s="126">
        <f t="shared" ca="1" si="75"/>
        <v>0</v>
      </c>
      <c r="J524" s="125">
        <f t="shared" ca="1" si="79"/>
        <v>0</v>
      </c>
      <c r="K524" s="151"/>
      <c r="L524" s="125">
        <f t="shared" ca="1" si="80"/>
        <v>0</v>
      </c>
      <c r="P524">
        <f t="shared" si="81"/>
        <v>517</v>
      </c>
      <c r="S524" s="126">
        <f t="shared" ca="1" si="76"/>
        <v>0</v>
      </c>
      <c r="T524" s="126">
        <f t="shared" ca="1" si="82"/>
        <v>0</v>
      </c>
    </row>
    <row r="525" spans="4:20">
      <c r="D525">
        <v>518</v>
      </c>
      <c r="E525" s="6">
        <f t="shared" ca="1" si="77"/>
        <v>36982</v>
      </c>
      <c r="F525" s="7">
        <f t="shared" ca="1" si="78"/>
        <v>0</v>
      </c>
      <c r="G525" s="125">
        <f ca="1">IF('Simulador - 1º Pilar'!$E$99="Sí",IF('Aportaciones Flex'!$B$13&lt;'Aportaciones Flex'!E525,0,F525*$B$8/12),F525*$B$8/12)</f>
        <v>0</v>
      </c>
      <c r="H525" s="125">
        <f t="shared" ca="1" si="74"/>
        <v>0</v>
      </c>
      <c r="I525" s="126">
        <f t="shared" ca="1" si="75"/>
        <v>0</v>
      </c>
      <c r="J525" s="125">
        <f t="shared" ca="1" si="79"/>
        <v>0</v>
      </c>
      <c r="K525" s="151"/>
      <c r="L525" s="125">
        <f t="shared" ca="1" si="80"/>
        <v>0</v>
      </c>
      <c r="P525">
        <f t="shared" si="81"/>
        <v>518</v>
      </c>
      <c r="S525" s="126">
        <f t="shared" ca="1" si="76"/>
        <v>0</v>
      </c>
      <c r="T525" s="126">
        <f t="shared" ca="1" si="82"/>
        <v>0</v>
      </c>
    </row>
    <row r="526" spans="4:20">
      <c r="D526">
        <v>519</v>
      </c>
      <c r="E526" s="6">
        <f t="shared" ca="1" si="77"/>
        <v>36951</v>
      </c>
      <c r="F526" s="7">
        <f t="shared" ca="1" si="78"/>
        <v>0</v>
      </c>
      <c r="G526" s="125">
        <f ca="1">IF('Simulador - 1º Pilar'!$E$99="Sí",IF('Aportaciones Flex'!$B$13&lt;'Aportaciones Flex'!E526,0,F526*$B$8/12),F526*$B$8/12)</f>
        <v>0</v>
      </c>
      <c r="H526" s="125">
        <f t="shared" ca="1" si="74"/>
        <v>0</v>
      </c>
      <c r="I526" s="126">
        <f t="shared" ca="1" si="75"/>
        <v>0</v>
      </c>
      <c r="J526" s="125">
        <f t="shared" ca="1" si="79"/>
        <v>0</v>
      </c>
      <c r="K526" s="151"/>
      <c r="L526" s="125">
        <f t="shared" ca="1" si="80"/>
        <v>0</v>
      </c>
      <c r="P526">
        <f t="shared" si="81"/>
        <v>519</v>
      </c>
      <c r="S526" s="126">
        <f t="shared" ca="1" si="76"/>
        <v>0</v>
      </c>
      <c r="T526" s="126">
        <f t="shared" ca="1" si="82"/>
        <v>0</v>
      </c>
    </row>
    <row r="527" spans="4:20">
      <c r="D527">
        <v>520</v>
      </c>
      <c r="E527" s="6">
        <f t="shared" ca="1" si="77"/>
        <v>36923</v>
      </c>
      <c r="F527" s="7">
        <f t="shared" ca="1" si="78"/>
        <v>0</v>
      </c>
      <c r="G527" s="125">
        <f ca="1">IF('Simulador - 1º Pilar'!$E$99="Sí",IF('Aportaciones Flex'!$B$13&lt;'Aportaciones Flex'!E527,0,F527*$B$8/12),F527*$B$8/12)</f>
        <v>0</v>
      </c>
      <c r="H527" s="125">
        <f t="shared" ca="1" si="74"/>
        <v>0</v>
      </c>
      <c r="I527" s="126">
        <f t="shared" ca="1" si="75"/>
        <v>0</v>
      </c>
      <c r="J527" s="125">
        <f t="shared" ca="1" si="79"/>
        <v>0</v>
      </c>
      <c r="K527" s="151"/>
      <c r="L527" s="125">
        <f t="shared" ca="1" si="80"/>
        <v>0</v>
      </c>
      <c r="P527">
        <f t="shared" si="81"/>
        <v>520</v>
      </c>
      <c r="S527" s="126">
        <f t="shared" ca="1" si="76"/>
        <v>0</v>
      </c>
      <c r="T527" s="126">
        <f t="shared" ca="1" si="82"/>
        <v>0</v>
      </c>
    </row>
    <row r="528" spans="4:20">
      <c r="D528">
        <v>521</v>
      </c>
      <c r="E528" s="6">
        <f t="shared" ca="1" si="77"/>
        <v>36892</v>
      </c>
      <c r="F528" s="7">
        <f t="shared" ca="1" si="78"/>
        <v>0</v>
      </c>
      <c r="G528" s="125">
        <f ca="1">IF('Simulador - 1º Pilar'!$E$99="Sí",IF('Aportaciones Flex'!$B$13&lt;'Aportaciones Flex'!E528,0,F528*$B$8/12),F528*$B$8/12)</f>
        <v>0</v>
      </c>
      <c r="H528" s="125">
        <f t="shared" ca="1" si="74"/>
        <v>0</v>
      </c>
      <c r="I528" s="126">
        <f t="shared" ca="1" si="75"/>
        <v>0</v>
      </c>
      <c r="J528" s="125">
        <f t="shared" ca="1" si="79"/>
        <v>0</v>
      </c>
      <c r="K528" s="151"/>
      <c r="L528" s="125">
        <f t="shared" ca="1" si="80"/>
        <v>0</v>
      </c>
      <c r="P528">
        <f t="shared" si="81"/>
        <v>521</v>
      </c>
      <c r="S528" s="126">
        <f t="shared" ca="1" si="76"/>
        <v>0</v>
      </c>
      <c r="T528" s="126">
        <f t="shared" ca="1" si="82"/>
        <v>0</v>
      </c>
    </row>
    <row r="529" spans="4:20">
      <c r="D529">
        <v>522</v>
      </c>
      <c r="E529" s="6">
        <f t="shared" ca="1" si="77"/>
        <v>36861</v>
      </c>
      <c r="F529" s="7">
        <f t="shared" ca="1" si="78"/>
        <v>0</v>
      </c>
      <c r="G529" s="125">
        <f ca="1">IF('Simulador - 1º Pilar'!$E$99="Sí",IF('Aportaciones Flex'!$B$13&lt;'Aportaciones Flex'!E529,0,F529*$B$8/12),F529*$B$8/12)</f>
        <v>0</v>
      </c>
      <c r="H529" s="125">
        <f t="shared" ca="1" si="74"/>
        <v>0</v>
      </c>
      <c r="I529" s="126">
        <f t="shared" ca="1" si="75"/>
        <v>0</v>
      </c>
      <c r="J529" s="125">
        <f t="shared" ca="1" si="79"/>
        <v>0</v>
      </c>
      <c r="K529" s="151"/>
      <c r="L529" s="125">
        <f t="shared" ca="1" si="80"/>
        <v>0</v>
      </c>
      <c r="P529">
        <f t="shared" si="81"/>
        <v>522</v>
      </c>
      <c r="S529" s="126">
        <f t="shared" ca="1" si="76"/>
        <v>0</v>
      </c>
      <c r="T529" s="126">
        <f t="shared" ca="1" si="82"/>
        <v>0</v>
      </c>
    </row>
    <row r="530" spans="4:20">
      <c r="D530">
        <v>523</v>
      </c>
      <c r="E530" s="6">
        <f t="shared" ca="1" si="77"/>
        <v>36831</v>
      </c>
      <c r="F530" s="7">
        <f t="shared" ca="1" si="78"/>
        <v>0</v>
      </c>
      <c r="G530" s="125">
        <f ca="1">IF('Simulador - 1º Pilar'!$E$99="Sí",IF('Aportaciones Flex'!$B$13&lt;'Aportaciones Flex'!E530,0,F530*$B$8/12),F530*$B$8/12)</f>
        <v>0</v>
      </c>
      <c r="H530" s="125">
        <f t="shared" ca="1" si="74"/>
        <v>0</v>
      </c>
      <c r="I530" s="126">
        <f t="shared" ca="1" si="75"/>
        <v>0</v>
      </c>
      <c r="J530" s="125">
        <f t="shared" ca="1" si="79"/>
        <v>0</v>
      </c>
      <c r="K530" s="151"/>
      <c r="L530" s="125">
        <f t="shared" ca="1" si="80"/>
        <v>0</v>
      </c>
      <c r="P530">
        <f t="shared" si="81"/>
        <v>523</v>
      </c>
      <c r="S530" s="126">
        <f t="shared" ca="1" si="76"/>
        <v>0</v>
      </c>
      <c r="T530" s="126">
        <f t="shared" ca="1" si="82"/>
        <v>0</v>
      </c>
    </row>
    <row r="531" spans="4:20">
      <c r="D531">
        <v>524</v>
      </c>
      <c r="E531" s="6">
        <f t="shared" ca="1" si="77"/>
        <v>36800</v>
      </c>
      <c r="F531" s="7">
        <f t="shared" ca="1" si="78"/>
        <v>0</v>
      </c>
      <c r="G531" s="125">
        <f ca="1">IF('Simulador - 1º Pilar'!$E$99="Sí",IF('Aportaciones Flex'!$B$13&lt;'Aportaciones Flex'!E531,0,F531*$B$8/12),F531*$B$8/12)</f>
        <v>0</v>
      </c>
      <c r="H531" s="125">
        <f t="shared" ca="1" si="74"/>
        <v>0</v>
      </c>
      <c r="I531" s="126">
        <f t="shared" ca="1" si="75"/>
        <v>0</v>
      </c>
      <c r="J531" s="125">
        <f t="shared" ca="1" si="79"/>
        <v>0</v>
      </c>
      <c r="K531" s="151"/>
      <c r="L531" s="125">
        <f t="shared" ca="1" si="80"/>
        <v>0</v>
      </c>
      <c r="P531">
        <f t="shared" si="81"/>
        <v>524</v>
      </c>
      <c r="S531" s="126">
        <f t="shared" ca="1" si="76"/>
        <v>0</v>
      </c>
      <c r="T531" s="126">
        <f t="shared" ca="1" si="82"/>
        <v>0</v>
      </c>
    </row>
    <row r="532" spans="4:20">
      <c r="D532">
        <v>525</v>
      </c>
      <c r="E532" s="6">
        <f t="shared" ca="1" si="77"/>
        <v>36770</v>
      </c>
      <c r="F532" s="7">
        <f t="shared" ca="1" si="78"/>
        <v>0</v>
      </c>
      <c r="G532" s="125">
        <f ca="1">IF('Simulador - 1º Pilar'!$E$99="Sí",IF('Aportaciones Flex'!$B$13&lt;'Aportaciones Flex'!E532,0,F532*$B$8/12),F532*$B$8/12)</f>
        <v>0</v>
      </c>
      <c r="H532" s="125">
        <f t="shared" ca="1" si="74"/>
        <v>0</v>
      </c>
      <c r="I532" s="126">
        <f t="shared" ca="1" si="75"/>
        <v>0</v>
      </c>
      <c r="J532" s="125">
        <f t="shared" ca="1" si="79"/>
        <v>0</v>
      </c>
      <c r="K532" s="151"/>
      <c r="L532" s="125">
        <f t="shared" ca="1" si="80"/>
        <v>0</v>
      </c>
      <c r="P532">
        <f t="shared" si="81"/>
        <v>525</v>
      </c>
      <c r="S532" s="126">
        <f t="shared" ca="1" si="76"/>
        <v>0</v>
      </c>
      <c r="T532" s="126">
        <f t="shared" ca="1" si="82"/>
        <v>0</v>
      </c>
    </row>
    <row r="533" spans="4:20">
      <c r="D533">
        <v>526</v>
      </c>
      <c r="E533" s="6">
        <f t="shared" ca="1" si="77"/>
        <v>36739</v>
      </c>
      <c r="F533" s="7">
        <f t="shared" ca="1" si="78"/>
        <v>0</v>
      </c>
      <c r="G533" s="125">
        <f ca="1">IF('Simulador - 1º Pilar'!$E$99="Sí",IF('Aportaciones Flex'!$B$13&lt;'Aportaciones Flex'!E533,0,F533*$B$8/12),F533*$B$8/12)</f>
        <v>0</v>
      </c>
      <c r="H533" s="125">
        <f t="shared" ca="1" si="74"/>
        <v>0</v>
      </c>
      <c r="I533" s="126">
        <f t="shared" ca="1" si="75"/>
        <v>0</v>
      </c>
      <c r="J533" s="125">
        <f t="shared" ca="1" si="79"/>
        <v>0</v>
      </c>
      <c r="K533" s="151"/>
      <c r="L533" s="125">
        <f t="shared" ca="1" si="80"/>
        <v>0</v>
      </c>
      <c r="P533">
        <f t="shared" si="81"/>
        <v>526</v>
      </c>
      <c r="S533" s="126">
        <f t="shared" ca="1" si="76"/>
        <v>0</v>
      </c>
      <c r="T533" s="126">
        <f t="shared" ca="1" si="82"/>
        <v>0</v>
      </c>
    </row>
    <row r="534" spans="4:20">
      <c r="D534">
        <v>527</v>
      </c>
      <c r="E534" s="6">
        <f t="shared" ca="1" si="77"/>
        <v>36708</v>
      </c>
      <c r="F534" s="7">
        <f t="shared" ca="1" si="78"/>
        <v>0</v>
      </c>
      <c r="G534" s="125">
        <f ca="1">IF('Simulador - 1º Pilar'!$E$99="Sí",IF('Aportaciones Flex'!$B$13&lt;'Aportaciones Flex'!E534,0,F534*$B$8/12),F534*$B$8/12)</f>
        <v>0</v>
      </c>
      <c r="H534" s="125">
        <f t="shared" ca="1" si="74"/>
        <v>0</v>
      </c>
      <c r="I534" s="126">
        <f t="shared" ca="1" si="75"/>
        <v>0</v>
      </c>
      <c r="J534" s="125">
        <f t="shared" ca="1" si="79"/>
        <v>0</v>
      </c>
      <c r="K534" s="151"/>
      <c r="L534" s="125">
        <f t="shared" ca="1" si="80"/>
        <v>0</v>
      </c>
      <c r="P534">
        <f t="shared" si="81"/>
        <v>527</v>
      </c>
      <c r="S534" s="126">
        <f t="shared" ca="1" si="76"/>
        <v>0</v>
      </c>
      <c r="T534" s="126">
        <f t="shared" ca="1" si="82"/>
        <v>0</v>
      </c>
    </row>
    <row r="535" spans="4:20">
      <c r="D535">
        <v>528</v>
      </c>
      <c r="E535" s="6">
        <f t="shared" ca="1" si="77"/>
        <v>36678</v>
      </c>
      <c r="F535" s="7">
        <f t="shared" ca="1" si="78"/>
        <v>0</v>
      </c>
      <c r="G535" s="125">
        <f ca="1">IF('Simulador - 1º Pilar'!$E$99="Sí",IF('Aportaciones Flex'!$B$13&lt;'Aportaciones Flex'!E535,0,F535*$B$8/12),F535*$B$8/12)</f>
        <v>0</v>
      </c>
      <c r="H535" s="125">
        <f t="shared" ca="1" si="74"/>
        <v>0</v>
      </c>
      <c r="I535" s="126">
        <f t="shared" ca="1" si="75"/>
        <v>0</v>
      </c>
      <c r="J535" s="125">
        <f t="shared" ca="1" si="79"/>
        <v>0</v>
      </c>
      <c r="K535" s="151"/>
      <c r="L535" s="125">
        <f t="shared" ca="1" si="80"/>
        <v>0</v>
      </c>
      <c r="P535">
        <f t="shared" si="81"/>
        <v>528</v>
      </c>
      <c r="S535" s="126">
        <f t="shared" ca="1" si="76"/>
        <v>0</v>
      </c>
      <c r="T535" s="126">
        <f t="shared" ca="1" si="82"/>
        <v>0</v>
      </c>
    </row>
    <row r="536" spans="4:20">
      <c r="D536">
        <v>529</v>
      </c>
      <c r="E536" s="6">
        <f t="shared" ca="1" si="77"/>
        <v>36647</v>
      </c>
      <c r="F536" s="7">
        <f t="shared" ca="1" si="78"/>
        <v>0</v>
      </c>
      <c r="G536" s="125">
        <f ca="1">IF('Simulador - 1º Pilar'!$E$99="Sí",IF('Aportaciones Flex'!$B$13&lt;'Aportaciones Flex'!E536,0,F536*$B$8/12),F536*$B$8/12)</f>
        <v>0</v>
      </c>
      <c r="H536" s="125">
        <f t="shared" ca="1" si="74"/>
        <v>0</v>
      </c>
      <c r="I536" s="126">
        <f t="shared" ca="1" si="75"/>
        <v>0</v>
      </c>
      <c r="J536" s="125">
        <f t="shared" ca="1" si="79"/>
        <v>0</v>
      </c>
      <c r="K536" s="151"/>
      <c r="L536" s="125">
        <f t="shared" ca="1" si="80"/>
        <v>0</v>
      </c>
      <c r="P536">
        <f t="shared" si="81"/>
        <v>529</v>
      </c>
      <c r="S536" s="126">
        <f t="shared" ca="1" si="76"/>
        <v>0</v>
      </c>
      <c r="T536" s="126">
        <f t="shared" ca="1" si="82"/>
        <v>0</v>
      </c>
    </row>
    <row r="537" spans="4:20">
      <c r="D537">
        <v>530</v>
      </c>
      <c r="E537" s="6">
        <f t="shared" ca="1" si="77"/>
        <v>36617</v>
      </c>
      <c r="F537" s="7">
        <f t="shared" ca="1" si="78"/>
        <v>0</v>
      </c>
      <c r="G537" s="125">
        <f ca="1">IF('Simulador - 1º Pilar'!$E$99="Sí",IF('Aportaciones Flex'!$B$13&lt;'Aportaciones Flex'!E537,0,F537*$B$8/12),F537*$B$8/12)</f>
        <v>0</v>
      </c>
      <c r="H537" s="125">
        <f t="shared" ca="1" si="74"/>
        <v>0</v>
      </c>
      <c r="I537" s="126">
        <f t="shared" ca="1" si="75"/>
        <v>0</v>
      </c>
      <c r="J537" s="125">
        <f t="shared" ca="1" si="79"/>
        <v>0</v>
      </c>
      <c r="K537" s="151"/>
      <c r="L537" s="125">
        <f t="shared" ca="1" si="80"/>
        <v>0</v>
      </c>
      <c r="P537">
        <f t="shared" si="81"/>
        <v>530</v>
      </c>
      <c r="S537" s="126">
        <f t="shared" ca="1" si="76"/>
        <v>0</v>
      </c>
      <c r="T537" s="126">
        <f t="shared" ca="1" si="82"/>
        <v>0</v>
      </c>
    </row>
    <row r="538" spans="4:20">
      <c r="D538">
        <v>531</v>
      </c>
      <c r="E538" s="6">
        <f t="shared" ca="1" si="77"/>
        <v>36586</v>
      </c>
      <c r="F538" s="7">
        <f t="shared" ca="1" si="78"/>
        <v>0</v>
      </c>
      <c r="G538" s="125">
        <f ca="1">IF('Simulador - 1º Pilar'!$E$99="Sí",IF('Aportaciones Flex'!$B$13&lt;'Aportaciones Flex'!E538,0,F538*$B$8/12),F538*$B$8/12)</f>
        <v>0</v>
      </c>
      <c r="H538" s="125">
        <f t="shared" ca="1" si="74"/>
        <v>0</v>
      </c>
      <c r="I538" s="126">
        <f t="shared" ca="1" si="75"/>
        <v>0</v>
      </c>
      <c r="J538" s="125">
        <f t="shared" ca="1" si="79"/>
        <v>0</v>
      </c>
      <c r="K538" s="151"/>
      <c r="L538" s="125">
        <f t="shared" ca="1" si="80"/>
        <v>0</v>
      </c>
      <c r="P538">
        <f t="shared" si="81"/>
        <v>531</v>
      </c>
      <c r="S538" s="126">
        <f t="shared" ca="1" si="76"/>
        <v>0</v>
      </c>
      <c r="T538" s="126">
        <f t="shared" ca="1" si="82"/>
        <v>0</v>
      </c>
    </row>
    <row r="539" spans="4:20">
      <c r="D539">
        <v>532</v>
      </c>
      <c r="E539" s="6">
        <f t="shared" ca="1" si="77"/>
        <v>36557</v>
      </c>
      <c r="F539" s="7">
        <f t="shared" ca="1" si="78"/>
        <v>0</v>
      </c>
      <c r="G539" s="125">
        <f ca="1">IF('Simulador - 1º Pilar'!$E$99="Sí",IF('Aportaciones Flex'!$B$13&lt;'Aportaciones Flex'!E539,0,F539*$B$8/12),F539*$B$8/12)</f>
        <v>0</v>
      </c>
      <c r="H539" s="125">
        <f t="shared" ca="1" si="74"/>
        <v>0</v>
      </c>
      <c r="I539" s="126">
        <f t="shared" ca="1" si="75"/>
        <v>0</v>
      </c>
      <c r="J539" s="125">
        <f t="shared" ca="1" si="79"/>
        <v>0</v>
      </c>
      <c r="K539" s="151"/>
      <c r="L539" s="125">
        <f t="shared" ca="1" si="80"/>
        <v>0</v>
      </c>
      <c r="P539">
        <f t="shared" si="81"/>
        <v>532</v>
      </c>
      <c r="S539" s="126">
        <f t="shared" ca="1" si="76"/>
        <v>0</v>
      </c>
      <c r="T539" s="126">
        <f t="shared" ca="1" si="82"/>
        <v>0</v>
      </c>
    </row>
    <row r="540" spans="4:20">
      <c r="D540">
        <v>533</v>
      </c>
      <c r="E540" s="6">
        <f t="shared" ca="1" si="77"/>
        <v>36526</v>
      </c>
      <c r="F540" s="7">
        <f t="shared" ca="1" si="78"/>
        <v>0</v>
      </c>
      <c r="G540" s="125">
        <f ca="1">IF('Simulador - 1º Pilar'!$E$99="Sí",IF('Aportaciones Flex'!$B$13&lt;'Aportaciones Flex'!E540,0,F540*$B$8/12),F540*$B$8/12)</f>
        <v>0</v>
      </c>
      <c r="H540" s="125">
        <f t="shared" ca="1" si="74"/>
        <v>0</v>
      </c>
      <c r="I540" s="126">
        <f t="shared" ca="1" si="75"/>
        <v>0</v>
      </c>
      <c r="J540" s="125">
        <f t="shared" ca="1" si="79"/>
        <v>0</v>
      </c>
      <c r="K540" s="151"/>
      <c r="L540" s="125">
        <f t="shared" ca="1" si="80"/>
        <v>0</v>
      </c>
      <c r="P540">
        <f t="shared" si="81"/>
        <v>533</v>
      </c>
      <c r="S540" s="126">
        <f t="shared" ca="1" si="76"/>
        <v>0</v>
      </c>
      <c r="T540" s="126">
        <f t="shared" ca="1" si="82"/>
        <v>0</v>
      </c>
    </row>
    <row r="541" spans="4:20">
      <c r="D541">
        <v>534</v>
      </c>
      <c r="E541" s="6">
        <f t="shared" ca="1" si="77"/>
        <v>36495</v>
      </c>
      <c r="F541" s="7">
        <f t="shared" ca="1" si="78"/>
        <v>0</v>
      </c>
      <c r="G541" s="125">
        <f ca="1">IF('Simulador - 1º Pilar'!$E$99="Sí",IF('Aportaciones Flex'!$B$13&lt;'Aportaciones Flex'!E541,0,F541*$B$8/12),F541*$B$8/12)</f>
        <v>0</v>
      </c>
      <c r="H541" s="125">
        <f t="shared" ca="1" si="74"/>
        <v>0</v>
      </c>
      <c r="I541" s="126">
        <f t="shared" ca="1" si="75"/>
        <v>0</v>
      </c>
      <c r="J541" s="125">
        <f t="shared" ca="1" si="79"/>
        <v>0</v>
      </c>
      <c r="K541" s="151"/>
      <c r="L541" s="125">
        <f t="shared" ca="1" si="80"/>
        <v>0</v>
      </c>
      <c r="P541">
        <f t="shared" si="81"/>
        <v>534</v>
      </c>
      <c r="S541" s="126">
        <f t="shared" ca="1" si="76"/>
        <v>0</v>
      </c>
      <c r="T541" s="126">
        <f t="shared" ca="1" si="82"/>
        <v>0</v>
      </c>
    </row>
    <row r="542" spans="4:20">
      <c r="D542">
        <v>535</v>
      </c>
      <c r="E542" s="6">
        <f t="shared" ca="1" si="77"/>
        <v>36465</v>
      </c>
      <c r="F542" s="7">
        <f t="shared" ca="1" si="78"/>
        <v>0</v>
      </c>
      <c r="G542" s="125">
        <f ca="1">IF('Simulador - 1º Pilar'!$E$99="Sí",IF('Aportaciones Flex'!$B$13&lt;'Aportaciones Flex'!E542,0,F542*$B$8/12),F542*$B$8/12)</f>
        <v>0</v>
      </c>
      <c r="H542" s="125">
        <f t="shared" ca="1" si="74"/>
        <v>0</v>
      </c>
      <c r="I542" s="126">
        <f t="shared" ca="1" si="75"/>
        <v>0</v>
      </c>
      <c r="J542" s="125">
        <f t="shared" ca="1" si="79"/>
        <v>0</v>
      </c>
      <c r="K542" s="151"/>
      <c r="L542" s="125">
        <f t="shared" ca="1" si="80"/>
        <v>0</v>
      </c>
      <c r="P542">
        <f t="shared" si="81"/>
        <v>535</v>
      </c>
      <c r="S542" s="126">
        <f t="shared" ca="1" si="76"/>
        <v>0</v>
      </c>
      <c r="T542" s="126">
        <f t="shared" ca="1" si="82"/>
        <v>0</v>
      </c>
    </row>
    <row r="543" spans="4:20">
      <c r="D543">
        <v>536</v>
      </c>
      <c r="E543" s="6">
        <f t="shared" ca="1" si="77"/>
        <v>36434</v>
      </c>
      <c r="F543" s="7">
        <f t="shared" ca="1" si="78"/>
        <v>0</v>
      </c>
      <c r="G543" s="125">
        <f ca="1">IF('Simulador - 1º Pilar'!$E$99="Sí",IF('Aportaciones Flex'!$B$13&lt;'Aportaciones Flex'!E543,0,F543*$B$8/12),F543*$B$8/12)</f>
        <v>0</v>
      </c>
      <c r="H543" s="125">
        <f t="shared" ca="1" si="74"/>
        <v>0</v>
      </c>
      <c r="I543" s="126">
        <f t="shared" ca="1" si="75"/>
        <v>0</v>
      </c>
      <c r="J543" s="125">
        <f t="shared" ca="1" si="79"/>
        <v>0</v>
      </c>
      <c r="K543" s="151"/>
      <c r="L543" s="125">
        <f t="shared" ca="1" si="80"/>
        <v>0</v>
      </c>
      <c r="P543">
        <f t="shared" si="81"/>
        <v>536</v>
      </c>
      <c r="S543" s="126">
        <f t="shared" ca="1" si="76"/>
        <v>0</v>
      </c>
      <c r="T543" s="126">
        <f t="shared" ca="1" si="82"/>
        <v>0</v>
      </c>
    </row>
    <row r="544" spans="4:20">
      <c r="D544">
        <v>537</v>
      </c>
      <c r="E544" s="6">
        <f t="shared" ca="1" si="77"/>
        <v>36404</v>
      </c>
      <c r="F544" s="7">
        <f t="shared" ca="1" si="78"/>
        <v>0</v>
      </c>
      <c r="G544" s="125">
        <f ca="1">IF('Simulador - 1º Pilar'!$E$99="Sí",IF('Aportaciones Flex'!$B$13&lt;'Aportaciones Flex'!E544,0,F544*$B$8/12),F544*$B$8/12)</f>
        <v>0</v>
      </c>
      <c r="H544" s="125">
        <f t="shared" ca="1" si="74"/>
        <v>0</v>
      </c>
      <c r="I544" s="126">
        <f t="shared" ca="1" si="75"/>
        <v>0</v>
      </c>
      <c r="J544" s="125">
        <f t="shared" ca="1" si="79"/>
        <v>0</v>
      </c>
      <c r="K544" s="151"/>
      <c r="L544" s="125">
        <f t="shared" ca="1" si="80"/>
        <v>0</v>
      </c>
      <c r="P544">
        <f t="shared" si="81"/>
        <v>537</v>
      </c>
      <c r="S544" s="126">
        <f t="shared" ca="1" si="76"/>
        <v>0</v>
      </c>
      <c r="T544" s="126">
        <f t="shared" ca="1" si="82"/>
        <v>0</v>
      </c>
    </row>
    <row r="545" spans="4:20">
      <c r="D545">
        <v>538</v>
      </c>
      <c r="E545" s="6">
        <f t="shared" ca="1" si="77"/>
        <v>36373</v>
      </c>
      <c r="F545" s="7">
        <f t="shared" ca="1" si="78"/>
        <v>0</v>
      </c>
      <c r="G545" s="125">
        <f ca="1">IF('Simulador - 1º Pilar'!$E$99="Sí",IF('Aportaciones Flex'!$B$13&lt;'Aportaciones Flex'!E545,0,F545*$B$8/12),F545*$B$8/12)</f>
        <v>0</v>
      </c>
      <c r="H545" s="125">
        <f t="shared" ca="1" si="74"/>
        <v>0</v>
      </c>
      <c r="I545" s="126">
        <f t="shared" ca="1" si="75"/>
        <v>0</v>
      </c>
      <c r="J545" s="125">
        <f t="shared" ca="1" si="79"/>
        <v>0</v>
      </c>
      <c r="K545" s="151"/>
      <c r="L545" s="125">
        <f t="shared" ca="1" si="80"/>
        <v>0</v>
      </c>
      <c r="P545">
        <f t="shared" si="81"/>
        <v>538</v>
      </c>
      <c r="S545" s="126">
        <f t="shared" ca="1" si="76"/>
        <v>0</v>
      </c>
      <c r="T545" s="126">
        <f t="shared" ca="1" si="82"/>
        <v>0</v>
      </c>
    </row>
    <row r="546" spans="4:20">
      <c r="D546">
        <v>539</v>
      </c>
      <c r="E546" s="6">
        <f t="shared" ca="1" si="77"/>
        <v>36342</v>
      </c>
      <c r="F546" s="7">
        <f t="shared" ca="1" si="78"/>
        <v>0</v>
      </c>
      <c r="G546" s="125">
        <f ca="1">IF('Simulador - 1º Pilar'!$E$99="Sí",IF('Aportaciones Flex'!$B$13&lt;'Aportaciones Flex'!E546,0,F546*$B$8/12),F546*$B$8/12)</f>
        <v>0</v>
      </c>
      <c r="H546" s="125">
        <f t="shared" ca="1" si="74"/>
        <v>0</v>
      </c>
      <c r="I546" s="126">
        <f t="shared" ca="1" si="75"/>
        <v>0</v>
      </c>
      <c r="J546" s="125">
        <f t="shared" ca="1" si="79"/>
        <v>0</v>
      </c>
      <c r="K546" s="151"/>
      <c r="L546" s="125">
        <f t="shared" ca="1" si="80"/>
        <v>0</v>
      </c>
      <c r="P546">
        <f t="shared" si="81"/>
        <v>539</v>
      </c>
      <c r="S546" s="126">
        <f t="shared" ca="1" si="76"/>
        <v>0</v>
      </c>
      <c r="T546" s="126">
        <f t="shared" ca="1" si="82"/>
        <v>0</v>
      </c>
    </row>
    <row r="547" spans="4:20">
      <c r="D547">
        <v>540</v>
      </c>
      <c r="E547" s="6">
        <f t="shared" ca="1" si="77"/>
        <v>36312</v>
      </c>
      <c r="F547" s="7">
        <f t="shared" ca="1" si="78"/>
        <v>0</v>
      </c>
      <c r="G547" s="125">
        <f ca="1">IF('Simulador - 1º Pilar'!$E$99="Sí",IF('Aportaciones Flex'!$B$13&lt;'Aportaciones Flex'!E547,0,F547*$B$8/12),F547*$B$8/12)</f>
        <v>0</v>
      </c>
      <c r="H547" s="125">
        <f t="shared" ca="1" si="74"/>
        <v>0</v>
      </c>
      <c r="I547" s="126">
        <f t="shared" ca="1" si="75"/>
        <v>0</v>
      </c>
      <c r="J547" s="125">
        <f t="shared" ca="1" si="79"/>
        <v>0</v>
      </c>
      <c r="K547" s="151"/>
      <c r="L547" s="125">
        <f t="shared" ca="1" si="80"/>
        <v>0</v>
      </c>
      <c r="P547">
        <f t="shared" si="81"/>
        <v>540</v>
      </c>
      <c r="S547" s="126">
        <f t="shared" ca="1" si="76"/>
        <v>0</v>
      </c>
      <c r="T547" s="126">
        <f t="shared" ca="1" si="82"/>
        <v>0</v>
      </c>
    </row>
    <row r="548" spans="4:20">
      <c r="D548">
        <v>541</v>
      </c>
      <c r="E548" s="6">
        <f t="shared" ca="1" si="77"/>
        <v>36281</v>
      </c>
      <c r="F548" s="7">
        <f t="shared" ca="1" si="78"/>
        <v>0</v>
      </c>
      <c r="G548" s="125">
        <f ca="1">IF('Simulador - 1º Pilar'!$E$99="Sí",IF('Aportaciones Flex'!$B$13&lt;'Aportaciones Flex'!E548,0,F548*$B$8/12),F548*$B$8/12)</f>
        <v>0</v>
      </c>
      <c r="H548" s="125">
        <f t="shared" ca="1" si="74"/>
        <v>0</v>
      </c>
      <c r="I548" s="126">
        <f t="shared" ca="1" si="75"/>
        <v>0</v>
      </c>
      <c r="J548" s="125">
        <f t="shared" ca="1" si="79"/>
        <v>0</v>
      </c>
      <c r="K548" s="151"/>
      <c r="L548" s="125">
        <f t="shared" ca="1" si="80"/>
        <v>0</v>
      </c>
      <c r="P548">
        <f t="shared" si="81"/>
        <v>541</v>
      </c>
      <c r="S548" s="126">
        <f t="shared" ca="1" si="76"/>
        <v>0</v>
      </c>
      <c r="T548" s="126">
        <f t="shared" ca="1" si="82"/>
        <v>0</v>
      </c>
    </row>
    <row r="549" spans="4:20">
      <c r="D549">
        <v>542</v>
      </c>
      <c r="E549" s="6">
        <f t="shared" ca="1" si="77"/>
        <v>36251</v>
      </c>
      <c r="F549" s="7">
        <f t="shared" ca="1" si="78"/>
        <v>0</v>
      </c>
      <c r="G549" s="125">
        <f ca="1">IF('Simulador - 1º Pilar'!$E$99="Sí",IF('Aportaciones Flex'!$B$13&lt;'Aportaciones Flex'!E549,0,F549*$B$8/12),F549*$B$8/12)</f>
        <v>0</v>
      </c>
      <c r="H549" s="125">
        <f t="shared" ca="1" si="74"/>
        <v>0</v>
      </c>
      <c r="I549" s="126">
        <f t="shared" ca="1" si="75"/>
        <v>0</v>
      </c>
      <c r="J549" s="125">
        <f t="shared" ca="1" si="79"/>
        <v>0</v>
      </c>
      <c r="K549" s="151"/>
      <c r="L549" s="125">
        <f t="shared" ca="1" si="80"/>
        <v>0</v>
      </c>
      <c r="P549">
        <f t="shared" si="81"/>
        <v>542</v>
      </c>
      <c r="S549" s="126">
        <f t="shared" ca="1" si="76"/>
        <v>0</v>
      </c>
      <c r="T549" s="126">
        <f t="shared" ca="1" si="82"/>
        <v>0</v>
      </c>
    </row>
    <row r="550" spans="4:20">
      <c r="D550">
        <v>543</v>
      </c>
      <c r="E550" s="6">
        <f t="shared" ca="1" si="77"/>
        <v>36220</v>
      </c>
      <c r="F550" s="7">
        <f t="shared" ca="1" si="78"/>
        <v>0</v>
      </c>
      <c r="G550" s="125">
        <f ca="1">IF('Simulador - 1º Pilar'!$E$99="Sí",IF('Aportaciones Flex'!$B$13&lt;'Aportaciones Flex'!E550,0,F550*$B$8/12),F550*$B$8/12)</f>
        <v>0</v>
      </c>
      <c r="H550" s="125">
        <f t="shared" ca="1" si="74"/>
        <v>0</v>
      </c>
      <c r="I550" s="126">
        <f t="shared" ca="1" si="75"/>
        <v>0</v>
      </c>
      <c r="J550" s="125">
        <f t="shared" ca="1" si="79"/>
        <v>0</v>
      </c>
      <c r="K550" s="151"/>
      <c r="L550" s="125">
        <f t="shared" ca="1" si="80"/>
        <v>0</v>
      </c>
      <c r="P550">
        <f t="shared" si="81"/>
        <v>543</v>
      </c>
      <c r="S550" s="126">
        <f t="shared" ca="1" si="76"/>
        <v>0</v>
      </c>
      <c r="T550" s="126">
        <f t="shared" ca="1" si="82"/>
        <v>0</v>
      </c>
    </row>
    <row r="551" spans="4:20">
      <c r="D551">
        <v>544</v>
      </c>
      <c r="E551" s="6">
        <f t="shared" ca="1" si="77"/>
        <v>36192</v>
      </c>
      <c r="F551" s="7">
        <f t="shared" ca="1" si="78"/>
        <v>0</v>
      </c>
      <c r="G551" s="125">
        <f ca="1">IF('Simulador - 1º Pilar'!$E$99="Sí",IF('Aportaciones Flex'!$B$13&lt;'Aportaciones Flex'!E551,0,F551*$B$8/12),F551*$B$8/12)</f>
        <v>0</v>
      </c>
      <c r="H551" s="125">
        <f t="shared" ca="1" si="74"/>
        <v>0</v>
      </c>
      <c r="I551" s="126">
        <f t="shared" ca="1" si="75"/>
        <v>0</v>
      </c>
      <c r="J551" s="125">
        <f t="shared" ca="1" si="79"/>
        <v>0</v>
      </c>
      <c r="K551" s="151"/>
      <c r="L551" s="125">
        <f t="shared" ca="1" si="80"/>
        <v>0</v>
      </c>
      <c r="P551">
        <f t="shared" si="81"/>
        <v>544</v>
      </c>
      <c r="S551" s="126">
        <f t="shared" ca="1" si="76"/>
        <v>0</v>
      </c>
      <c r="T551" s="126">
        <f t="shared" ca="1" si="82"/>
        <v>0</v>
      </c>
    </row>
    <row r="552" spans="4:20">
      <c r="D552">
        <v>545</v>
      </c>
      <c r="E552" s="6">
        <f t="shared" ca="1" si="77"/>
        <v>36161</v>
      </c>
      <c r="F552" s="7">
        <f t="shared" ca="1" si="78"/>
        <v>0</v>
      </c>
      <c r="G552" s="125">
        <f ca="1">IF('Simulador - 1º Pilar'!$E$99="Sí",IF('Aportaciones Flex'!$B$13&lt;'Aportaciones Flex'!E552,0,F552*$B$8/12),F552*$B$8/12)</f>
        <v>0</v>
      </c>
      <c r="H552" s="125">
        <f t="shared" ca="1" si="74"/>
        <v>0</v>
      </c>
      <c r="I552" s="126">
        <f t="shared" ca="1" si="75"/>
        <v>0</v>
      </c>
      <c r="J552" s="125">
        <f t="shared" ca="1" si="79"/>
        <v>0</v>
      </c>
      <c r="K552" s="151"/>
      <c r="L552" s="125">
        <f t="shared" ca="1" si="80"/>
        <v>0</v>
      </c>
      <c r="P552">
        <f t="shared" si="81"/>
        <v>545</v>
      </c>
      <c r="S552" s="126">
        <f t="shared" ca="1" si="76"/>
        <v>0</v>
      </c>
      <c r="T552" s="126">
        <f t="shared" ca="1" si="82"/>
        <v>0</v>
      </c>
    </row>
    <row r="553" spans="4:20">
      <c r="D553">
        <v>546</v>
      </c>
      <c r="E553" s="6">
        <f t="shared" ca="1" si="77"/>
        <v>36130</v>
      </c>
      <c r="F553" s="7">
        <f t="shared" ca="1" si="78"/>
        <v>0</v>
      </c>
      <c r="G553" s="125">
        <f ca="1">IF('Simulador - 1º Pilar'!$E$99="Sí",IF('Aportaciones Flex'!$B$13&lt;'Aportaciones Flex'!E553,0,F553*$B$8/12),F553*$B$8/12)</f>
        <v>0</v>
      </c>
      <c r="H553" s="125">
        <f t="shared" ca="1" si="74"/>
        <v>0</v>
      </c>
      <c r="I553" s="126">
        <f t="shared" ca="1" si="75"/>
        <v>0</v>
      </c>
      <c r="J553" s="125">
        <f t="shared" ca="1" si="79"/>
        <v>0</v>
      </c>
      <c r="K553" s="151"/>
      <c r="L553" s="125">
        <f t="shared" ca="1" si="80"/>
        <v>0</v>
      </c>
      <c r="P553">
        <f t="shared" si="81"/>
        <v>546</v>
      </c>
      <c r="S553" s="126">
        <f t="shared" ca="1" si="76"/>
        <v>0</v>
      </c>
      <c r="T553" s="126">
        <f t="shared" ca="1" si="82"/>
        <v>0</v>
      </c>
    </row>
    <row r="554" spans="4:20">
      <c r="D554">
        <v>547</v>
      </c>
      <c r="E554" s="6">
        <f t="shared" ca="1" si="77"/>
        <v>36100</v>
      </c>
      <c r="F554" s="7">
        <f t="shared" ca="1" si="78"/>
        <v>0</v>
      </c>
      <c r="G554" s="125">
        <f ca="1">IF('Simulador - 1º Pilar'!$E$99="Sí",IF('Aportaciones Flex'!$B$13&lt;'Aportaciones Flex'!E554,0,F554*$B$8/12),F554*$B$8/12)</f>
        <v>0</v>
      </c>
      <c r="H554" s="125">
        <f t="shared" ca="1" si="74"/>
        <v>0</v>
      </c>
      <c r="I554" s="126">
        <f t="shared" ca="1" si="75"/>
        <v>0</v>
      </c>
      <c r="J554" s="125">
        <f t="shared" ca="1" si="79"/>
        <v>0</v>
      </c>
      <c r="K554" s="151"/>
      <c r="L554" s="125">
        <f t="shared" ca="1" si="80"/>
        <v>0</v>
      </c>
      <c r="P554">
        <f t="shared" si="81"/>
        <v>547</v>
      </c>
      <c r="S554" s="126">
        <f t="shared" ca="1" si="76"/>
        <v>0</v>
      </c>
      <c r="T554" s="126">
        <f t="shared" ca="1" si="82"/>
        <v>0</v>
      </c>
    </row>
    <row r="555" spans="4:20">
      <c r="D555">
        <v>548</v>
      </c>
      <c r="E555" s="6">
        <f t="shared" ca="1" si="77"/>
        <v>36069</v>
      </c>
      <c r="F555" s="7">
        <f t="shared" ca="1" si="78"/>
        <v>0</v>
      </c>
      <c r="G555" s="125">
        <f ca="1">IF('Simulador - 1º Pilar'!$E$99="Sí",IF('Aportaciones Flex'!$B$13&lt;'Aportaciones Flex'!E555,0,F555*$B$8/12),F555*$B$8/12)</f>
        <v>0</v>
      </c>
      <c r="H555" s="125">
        <f t="shared" ca="1" si="74"/>
        <v>0</v>
      </c>
      <c r="I555" s="126">
        <f t="shared" ca="1" si="75"/>
        <v>0</v>
      </c>
      <c r="J555" s="125">
        <f t="shared" ca="1" si="79"/>
        <v>0</v>
      </c>
      <c r="K555" s="151"/>
      <c r="L555" s="125">
        <f t="shared" ca="1" si="80"/>
        <v>0</v>
      </c>
      <c r="P555">
        <f t="shared" si="81"/>
        <v>548</v>
      </c>
      <c r="S555" s="126">
        <f t="shared" ca="1" si="76"/>
        <v>0</v>
      </c>
      <c r="T555" s="126">
        <f t="shared" ca="1" si="82"/>
        <v>0</v>
      </c>
    </row>
    <row r="556" spans="4:20">
      <c r="D556">
        <v>549</v>
      </c>
      <c r="E556" s="6">
        <f t="shared" ca="1" si="77"/>
        <v>36039</v>
      </c>
      <c r="F556" s="7">
        <f t="shared" ca="1" si="78"/>
        <v>0</v>
      </c>
      <c r="G556" s="125">
        <f ca="1">IF('Simulador - 1º Pilar'!$E$99="Sí",IF('Aportaciones Flex'!$B$13&lt;'Aportaciones Flex'!E556,0,F556*$B$8/12),F556*$B$8/12)</f>
        <v>0</v>
      </c>
      <c r="H556" s="125">
        <f t="shared" ca="1" si="74"/>
        <v>0</v>
      </c>
      <c r="I556" s="126">
        <f t="shared" ca="1" si="75"/>
        <v>0</v>
      </c>
      <c r="J556" s="125">
        <f t="shared" ca="1" si="79"/>
        <v>0</v>
      </c>
      <c r="K556" s="151"/>
      <c r="L556" s="125">
        <f t="shared" ca="1" si="80"/>
        <v>0</v>
      </c>
      <c r="P556">
        <f t="shared" si="81"/>
        <v>549</v>
      </c>
      <c r="S556" s="126">
        <f t="shared" ca="1" si="76"/>
        <v>0</v>
      </c>
      <c r="T556" s="126">
        <f t="shared" ca="1" si="82"/>
        <v>0</v>
      </c>
    </row>
    <row r="557" spans="4:20">
      <c r="D557">
        <v>550</v>
      </c>
      <c r="E557" s="6">
        <f t="shared" ca="1" si="77"/>
        <v>36008</v>
      </c>
      <c r="F557" s="7">
        <f t="shared" ca="1" si="78"/>
        <v>0</v>
      </c>
      <c r="G557" s="125">
        <f ca="1">IF('Simulador - 1º Pilar'!$E$99="Sí",IF('Aportaciones Flex'!$B$13&lt;'Aportaciones Flex'!E557,0,F557*$B$8/12),F557*$B$8/12)</f>
        <v>0</v>
      </c>
      <c r="H557" s="125">
        <f t="shared" ca="1" si="74"/>
        <v>0</v>
      </c>
      <c r="I557" s="126">
        <f t="shared" ca="1" si="75"/>
        <v>0</v>
      </c>
      <c r="J557" s="125">
        <f t="shared" ca="1" si="79"/>
        <v>0</v>
      </c>
      <c r="K557" s="151"/>
      <c r="L557" s="125">
        <f t="shared" ca="1" si="80"/>
        <v>0</v>
      </c>
      <c r="P557">
        <f t="shared" si="81"/>
        <v>550</v>
      </c>
      <c r="S557" s="126">
        <f t="shared" ca="1" si="76"/>
        <v>0</v>
      </c>
      <c r="T557" s="126">
        <f t="shared" ca="1" si="82"/>
        <v>0</v>
      </c>
    </row>
    <row r="558" spans="4:20">
      <c r="D558">
        <v>551</v>
      </c>
      <c r="E558" s="6">
        <f t="shared" ca="1" si="77"/>
        <v>35977</v>
      </c>
      <c r="F558" s="7">
        <f t="shared" ca="1" si="78"/>
        <v>0</v>
      </c>
      <c r="G558" s="125">
        <f ca="1">IF('Simulador - 1º Pilar'!$E$99="Sí",IF('Aportaciones Flex'!$B$13&lt;'Aportaciones Flex'!E558,0,F558*$B$8/12),F558*$B$8/12)</f>
        <v>0</v>
      </c>
      <c r="H558" s="125">
        <f t="shared" ca="1" si="74"/>
        <v>0</v>
      </c>
      <c r="I558" s="126">
        <f t="shared" ca="1" si="75"/>
        <v>0</v>
      </c>
      <c r="J558" s="125">
        <f t="shared" ca="1" si="79"/>
        <v>0</v>
      </c>
      <c r="K558" s="151"/>
      <c r="L558" s="125">
        <f t="shared" ca="1" si="80"/>
        <v>0</v>
      </c>
      <c r="P558">
        <f t="shared" si="81"/>
        <v>551</v>
      </c>
      <c r="S558" s="126">
        <f t="shared" ca="1" si="76"/>
        <v>0</v>
      </c>
      <c r="T558" s="126">
        <f t="shared" ca="1" si="82"/>
        <v>0</v>
      </c>
    </row>
    <row r="559" spans="4:20">
      <c r="D559">
        <v>552</v>
      </c>
      <c r="E559" s="6">
        <f t="shared" ca="1" si="77"/>
        <v>35947</v>
      </c>
      <c r="F559" s="7">
        <f t="shared" ca="1" si="78"/>
        <v>0</v>
      </c>
      <c r="G559" s="125">
        <f ca="1">IF('Simulador - 1º Pilar'!$E$99="Sí",IF('Aportaciones Flex'!$B$13&lt;'Aportaciones Flex'!E559,0,F559*$B$8/12),F559*$B$8/12)</f>
        <v>0</v>
      </c>
      <c r="H559" s="125">
        <f t="shared" ca="1" si="74"/>
        <v>0</v>
      </c>
      <c r="I559" s="126">
        <f t="shared" ca="1" si="75"/>
        <v>0</v>
      </c>
      <c r="J559" s="125">
        <f t="shared" ca="1" si="79"/>
        <v>0</v>
      </c>
      <c r="K559" s="151"/>
      <c r="L559" s="125">
        <f t="shared" ca="1" si="80"/>
        <v>0</v>
      </c>
      <c r="P559">
        <f t="shared" si="81"/>
        <v>552</v>
      </c>
      <c r="S559" s="126">
        <f t="shared" ca="1" si="76"/>
        <v>0</v>
      </c>
      <c r="T559" s="126">
        <f t="shared" ca="1" si="82"/>
        <v>0</v>
      </c>
    </row>
    <row r="560" spans="4:20">
      <c r="D560">
        <v>553</v>
      </c>
      <c r="E560" s="6">
        <f t="shared" ca="1" si="77"/>
        <v>35916</v>
      </c>
      <c r="F560" s="7">
        <f t="shared" ca="1" si="78"/>
        <v>0</v>
      </c>
      <c r="G560" s="125">
        <f ca="1">IF('Simulador - 1º Pilar'!$E$99="Sí",IF('Aportaciones Flex'!$B$13&lt;'Aportaciones Flex'!E560,0,F560*$B$8/12),F560*$B$8/12)</f>
        <v>0</v>
      </c>
      <c r="H560" s="125">
        <f t="shared" ca="1" si="74"/>
        <v>0</v>
      </c>
      <c r="I560" s="126">
        <f t="shared" ca="1" si="75"/>
        <v>0</v>
      </c>
      <c r="J560" s="125">
        <f t="shared" ca="1" si="79"/>
        <v>0</v>
      </c>
      <c r="K560" s="151"/>
      <c r="L560" s="125">
        <f t="shared" ca="1" si="80"/>
        <v>0</v>
      </c>
      <c r="P560">
        <f t="shared" si="81"/>
        <v>553</v>
      </c>
      <c r="S560" s="126">
        <f t="shared" ca="1" si="76"/>
        <v>0</v>
      </c>
      <c r="T560" s="126">
        <f t="shared" ca="1" si="82"/>
        <v>0</v>
      </c>
    </row>
    <row r="561" spans="4:20">
      <c r="D561">
        <v>554</v>
      </c>
      <c r="E561" s="6">
        <f t="shared" ca="1" si="77"/>
        <v>35886</v>
      </c>
      <c r="F561" s="7">
        <f t="shared" ca="1" si="78"/>
        <v>0</v>
      </c>
      <c r="G561" s="125">
        <f ca="1">IF('Simulador - 1º Pilar'!$E$99="Sí",IF('Aportaciones Flex'!$B$13&lt;'Aportaciones Flex'!E561,0,F561*$B$8/12),F561*$B$8/12)</f>
        <v>0</v>
      </c>
      <c r="H561" s="125">
        <f t="shared" ca="1" si="74"/>
        <v>0</v>
      </c>
      <c r="I561" s="126">
        <f t="shared" ca="1" si="75"/>
        <v>0</v>
      </c>
      <c r="J561" s="125">
        <f t="shared" ca="1" si="79"/>
        <v>0</v>
      </c>
      <c r="K561" s="151"/>
      <c r="L561" s="125">
        <f t="shared" ca="1" si="80"/>
        <v>0</v>
      </c>
      <c r="P561">
        <f t="shared" si="81"/>
        <v>554</v>
      </c>
      <c r="S561" s="126">
        <f t="shared" ca="1" si="76"/>
        <v>0</v>
      </c>
      <c r="T561" s="126">
        <f t="shared" ca="1" si="82"/>
        <v>0</v>
      </c>
    </row>
    <row r="562" spans="4:20">
      <c r="D562">
        <v>555</v>
      </c>
      <c r="E562" s="6">
        <f t="shared" ca="1" si="77"/>
        <v>35855</v>
      </c>
      <c r="F562" s="7">
        <f t="shared" ca="1" si="78"/>
        <v>0</v>
      </c>
      <c r="G562" s="125">
        <f ca="1">IF('Simulador - 1º Pilar'!$E$99="Sí",IF('Aportaciones Flex'!$B$13&lt;'Aportaciones Flex'!E562,0,F562*$B$8/12),F562*$B$8/12)</f>
        <v>0</v>
      </c>
      <c r="H562" s="125">
        <f t="shared" ca="1" si="74"/>
        <v>0</v>
      </c>
      <c r="I562" s="126">
        <f t="shared" ca="1" si="75"/>
        <v>0</v>
      </c>
      <c r="J562" s="125">
        <f t="shared" ca="1" si="79"/>
        <v>0</v>
      </c>
      <c r="K562" s="151"/>
      <c r="L562" s="125">
        <f t="shared" ca="1" si="80"/>
        <v>0</v>
      </c>
      <c r="P562">
        <f t="shared" si="81"/>
        <v>555</v>
      </c>
      <c r="S562" s="126">
        <f t="shared" ca="1" si="76"/>
        <v>0</v>
      </c>
      <c r="T562" s="126">
        <f t="shared" ca="1" si="82"/>
        <v>0</v>
      </c>
    </row>
    <row r="563" spans="4:20">
      <c r="D563">
        <v>556</v>
      </c>
      <c r="E563" s="6">
        <f t="shared" ca="1" si="77"/>
        <v>35827</v>
      </c>
      <c r="F563" s="7">
        <f t="shared" ca="1" si="78"/>
        <v>0</v>
      </c>
      <c r="G563" s="125">
        <f ca="1">IF('Simulador - 1º Pilar'!$E$99="Sí",IF('Aportaciones Flex'!$B$13&lt;'Aportaciones Flex'!E563,0,F563*$B$8/12),F563*$B$8/12)</f>
        <v>0</v>
      </c>
      <c r="H563" s="125">
        <f t="shared" ca="1" si="74"/>
        <v>0</v>
      </c>
      <c r="I563" s="126">
        <f t="shared" ca="1" si="75"/>
        <v>0</v>
      </c>
      <c r="J563" s="125">
        <f t="shared" ca="1" si="79"/>
        <v>0</v>
      </c>
      <c r="K563" s="151"/>
      <c r="L563" s="125">
        <f t="shared" ca="1" si="80"/>
        <v>0</v>
      </c>
      <c r="P563">
        <f t="shared" si="81"/>
        <v>556</v>
      </c>
      <c r="S563" s="126">
        <f t="shared" ca="1" si="76"/>
        <v>0</v>
      </c>
      <c r="T563" s="126">
        <f t="shared" ca="1" si="82"/>
        <v>0</v>
      </c>
    </row>
    <row r="564" spans="4:20">
      <c r="D564">
        <v>557</v>
      </c>
      <c r="E564" s="6">
        <f t="shared" ca="1" si="77"/>
        <v>35796</v>
      </c>
      <c r="F564" s="7">
        <f t="shared" ca="1" si="78"/>
        <v>0</v>
      </c>
      <c r="G564" s="125">
        <f ca="1">IF('Simulador - 1º Pilar'!$E$99="Sí",IF('Aportaciones Flex'!$B$13&lt;'Aportaciones Flex'!E564,0,F564*$B$8/12),F564*$B$8/12)</f>
        <v>0</v>
      </c>
      <c r="H564" s="125">
        <f t="shared" ca="1" si="74"/>
        <v>0</v>
      </c>
      <c r="I564" s="126">
        <f t="shared" ca="1" si="75"/>
        <v>0</v>
      </c>
      <c r="J564" s="125">
        <f t="shared" ca="1" si="79"/>
        <v>0</v>
      </c>
      <c r="K564" s="151"/>
      <c r="L564" s="125">
        <f t="shared" ca="1" si="80"/>
        <v>0</v>
      </c>
      <c r="P564">
        <f t="shared" si="81"/>
        <v>557</v>
      </c>
      <c r="S564" s="126">
        <f t="shared" ca="1" si="76"/>
        <v>0</v>
      </c>
      <c r="T564" s="126">
        <f t="shared" ca="1" si="82"/>
        <v>0</v>
      </c>
    </row>
    <row r="565" spans="4:20">
      <c r="D565">
        <v>558</v>
      </c>
      <c r="E565" s="6">
        <f t="shared" ca="1" si="77"/>
        <v>35765</v>
      </c>
      <c r="F565" s="7">
        <f t="shared" ca="1" si="78"/>
        <v>0</v>
      </c>
      <c r="G565" s="125">
        <f ca="1">IF('Simulador - 1º Pilar'!$E$99="Sí",IF('Aportaciones Flex'!$B$13&lt;'Aportaciones Flex'!E565,0,F565*$B$8/12),F565*$B$8/12)</f>
        <v>0</v>
      </c>
      <c r="H565" s="125">
        <f t="shared" ca="1" si="74"/>
        <v>0</v>
      </c>
      <c r="I565" s="126">
        <f t="shared" ca="1" si="75"/>
        <v>0</v>
      </c>
      <c r="J565" s="125">
        <f t="shared" ca="1" si="79"/>
        <v>0</v>
      </c>
      <c r="K565" s="151"/>
      <c r="L565" s="125">
        <f t="shared" ca="1" si="80"/>
        <v>0</v>
      </c>
      <c r="P565">
        <f t="shared" si="81"/>
        <v>558</v>
      </c>
      <c r="S565" s="126">
        <f t="shared" ca="1" si="76"/>
        <v>0</v>
      </c>
      <c r="T565" s="126">
        <f t="shared" ca="1" si="82"/>
        <v>0</v>
      </c>
    </row>
    <row r="566" spans="4:20">
      <c r="D566">
        <v>559</v>
      </c>
      <c r="E566" s="6">
        <f t="shared" ca="1" si="77"/>
        <v>35735</v>
      </c>
      <c r="F566" s="7">
        <f t="shared" ca="1" si="78"/>
        <v>0</v>
      </c>
      <c r="G566" s="125">
        <f ca="1">IF('Simulador - 1º Pilar'!$E$99="Sí",IF('Aportaciones Flex'!$B$13&lt;'Aportaciones Flex'!E566,0,F566*$B$8/12),F566*$B$8/12)</f>
        <v>0</v>
      </c>
      <c r="H566" s="125">
        <f t="shared" ca="1" si="74"/>
        <v>0</v>
      </c>
      <c r="I566" s="126">
        <f t="shared" ca="1" si="75"/>
        <v>0</v>
      </c>
      <c r="J566" s="125">
        <f t="shared" ca="1" si="79"/>
        <v>0</v>
      </c>
      <c r="K566" s="151"/>
      <c r="L566" s="125">
        <f t="shared" ca="1" si="80"/>
        <v>0</v>
      </c>
      <c r="P566">
        <f t="shared" si="81"/>
        <v>559</v>
      </c>
      <c r="S566" s="126">
        <f t="shared" ca="1" si="76"/>
        <v>0</v>
      </c>
      <c r="T566" s="126">
        <f t="shared" ca="1" si="82"/>
        <v>0</v>
      </c>
    </row>
    <row r="567" spans="4:20">
      <c r="D567">
        <v>560</v>
      </c>
      <c r="E567" s="6">
        <f t="shared" ca="1" si="77"/>
        <v>35704</v>
      </c>
      <c r="F567" s="7">
        <f t="shared" ca="1" si="78"/>
        <v>0</v>
      </c>
      <c r="G567" s="125">
        <f ca="1">IF('Simulador - 1º Pilar'!$E$99="Sí",IF('Aportaciones Flex'!$B$13&lt;'Aportaciones Flex'!E567,0,F567*$B$8/12),F567*$B$8/12)</f>
        <v>0</v>
      </c>
      <c r="H567" s="125">
        <f t="shared" ca="1" si="74"/>
        <v>0</v>
      </c>
      <c r="I567" s="126">
        <f t="shared" ca="1" si="75"/>
        <v>0</v>
      </c>
      <c r="J567" s="125">
        <f t="shared" ca="1" si="79"/>
        <v>0</v>
      </c>
      <c r="K567" s="151"/>
      <c r="L567" s="125">
        <f t="shared" ca="1" si="80"/>
        <v>0</v>
      </c>
      <c r="P567">
        <f t="shared" si="81"/>
        <v>560</v>
      </c>
      <c r="S567" s="126">
        <f t="shared" ca="1" si="76"/>
        <v>0</v>
      </c>
      <c r="T567" s="126">
        <f t="shared" ca="1" si="82"/>
        <v>0</v>
      </c>
    </row>
    <row r="568" spans="4:20">
      <c r="D568">
        <v>561</v>
      </c>
      <c r="E568" s="6">
        <f t="shared" ca="1" si="77"/>
        <v>35674</v>
      </c>
      <c r="F568" s="7">
        <f t="shared" ca="1" si="78"/>
        <v>0</v>
      </c>
      <c r="G568" s="125">
        <f ca="1">IF('Simulador - 1º Pilar'!$E$99="Sí",IF('Aportaciones Flex'!$B$13&lt;'Aportaciones Flex'!E568,0,F568*$B$8/12),F568*$B$8/12)</f>
        <v>0</v>
      </c>
      <c r="H568" s="125">
        <f t="shared" ca="1" si="74"/>
        <v>0</v>
      </c>
      <c r="I568" s="126">
        <f t="shared" ca="1" si="75"/>
        <v>0</v>
      </c>
      <c r="J568" s="125">
        <f t="shared" ca="1" si="79"/>
        <v>0</v>
      </c>
      <c r="K568" s="151"/>
      <c r="L568" s="125">
        <f t="shared" ca="1" si="80"/>
        <v>0</v>
      </c>
      <c r="P568">
        <f t="shared" si="81"/>
        <v>561</v>
      </c>
      <c r="S568" s="126">
        <f t="shared" ca="1" si="76"/>
        <v>0</v>
      </c>
      <c r="T568" s="126">
        <f t="shared" ca="1" si="82"/>
        <v>0</v>
      </c>
    </row>
    <row r="569" spans="4:20">
      <c r="D569">
        <v>562</v>
      </c>
      <c r="E569" s="6">
        <f t="shared" ca="1" si="77"/>
        <v>35643</v>
      </c>
      <c r="F569" s="7">
        <f t="shared" ca="1" si="78"/>
        <v>0</v>
      </c>
      <c r="G569" s="125">
        <f ca="1">IF('Simulador - 1º Pilar'!$E$99="Sí",IF('Aportaciones Flex'!$B$13&lt;'Aportaciones Flex'!E569,0,F569*$B$8/12),F569*$B$8/12)</f>
        <v>0</v>
      </c>
      <c r="H569" s="125">
        <f t="shared" ca="1" si="74"/>
        <v>0</v>
      </c>
      <c r="I569" s="126">
        <f t="shared" ca="1" si="75"/>
        <v>0</v>
      </c>
      <c r="J569" s="125">
        <f t="shared" ca="1" si="79"/>
        <v>0</v>
      </c>
      <c r="K569" s="151"/>
      <c r="L569" s="125">
        <f t="shared" ca="1" si="80"/>
        <v>0</v>
      </c>
      <c r="P569">
        <f t="shared" si="81"/>
        <v>562</v>
      </c>
      <c r="S569" s="126">
        <f t="shared" ca="1" si="76"/>
        <v>0</v>
      </c>
      <c r="T569" s="126">
        <f t="shared" ca="1" si="82"/>
        <v>0</v>
      </c>
    </row>
    <row r="570" spans="4:20">
      <c r="D570">
        <v>563</v>
      </c>
      <c r="E570" s="6">
        <f t="shared" ca="1" si="77"/>
        <v>35612</v>
      </c>
      <c r="F570" s="7">
        <f t="shared" ca="1" si="78"/>
        <v>0</v>
      </c>
      <c r="G570" s="125">
        <f ca="1">IF('Simulador - 1º Pilar'!$E$99="Sí",IF('Aportaciones Flex'!$B$13&lt;'Aportaciones Flex'!E570,0,F570*$B$8/12),F570*$B$8/12)</f>
        <v>0</v>
      </c>
      <c r="H570" s="125">
        <f t="shared" ca="1" si="74"/>
        <v>0</v>
      </c>
      <c r="I570" s="126">
        <f t="shared" ca="1" si="75"/>
        <v>0</v>
      </c>
      <c r="J570" s="125">
        <f t="shared" ca="1" si="79"/>
        <v>0</v>
      </c>
      <c r="K570" s="151"/>
      <c r="L570" s="125">
        <f t="shared" ca="1" si="80"/>
        <v>0</v>
      </c>
      <c r="P570">
        <f t="shared" si="81"/>
        <v>563</v>
      </c>
      <c r="S570" s="126">
        <f t="shared" ca="1" si="76"/>
        <v>0</v>
      </c>
      <c r="T570" s="126">
        <f t="shared" ca="1" si="82"/>
        <v>0</v>
      </c>
    </row>
    <row r="571" spans="4:20">
      <c r="D571">
        <v>564</v>
      </c>
      <c r="E571" s="6">
        <f t="shared" ca="1" si="77"/>
        <v>35582</v>
      </c>
      <c r="F571" s="7">
        <f t="shared" ca="1" si="78"/>
        <v>0</v>
      </c>
      <c r="G571" s="125">
        <f ca="1">IF('Simulador - 1º Pilar'!$E$99="Sí",IF('Aportaciones Flex'!$B$13&lt;'Aportaciones Flex'!E571,0,F571*$B$8/12),F571*$B$8/12)</f>
        <v>0</v>
      </c>
      <c r="H571" s="125">
        <f t="shared" ca="1" si="74"/>
        <v>0</v>
      </c>
      <c r="I571" s="126">
        <f t="shared" ca="1" si="75"/>
        <v>0</v>
      </c>
      <c r="J571" s="125">
        <f t="shared" ca="1" si="79"/>
        <v>0</v>
      </c>
      <c r="K571" s="151"/>
      <c r="L571" s="125">
        <f t="shared" ca="1" si="80"/>
        <v>0</v>
      </c>
      <c r="P571">
        <f t="shared" si="81"/>
        <v>564</v>
      </c>
      <c r="S571" s="126">
        <f t="shared" ca="1" si="76"/>
        <v>0</v>
      </c>
      <c r="T571" s="126">
        <f t="shared" ca="1" si="82"/>
        <v>0</v>
      </c>
    </row>
    <row r="572" spans="4:20">
      <c r="D572">
        <v>565</v>
      </c>
      <c r="E572" s="6">
        <f t="shared" ca="1" si="77"/>
        <v>35551</v>
      </c>
      <c r="F572" s="7">
        <f t="shared" ca="1" si="78"/>
        <v>0</v>
      </c>
      <c r="G572" s="125">
        <f ca="1">IF('Simulador - 1º Pilar'!$E$99="Sí",IF('Aportaciones Flex'!$B$13&lt;'Aportaciones Flex'!E572,0,F572*$B$8/12),F572*$B$8/12)</f>
        <v>0</v>
      </c>
      <c r="H572" s="125">
        <f t="shared" ca="1" si="74"/>
        <v>0</v>
      </c>
      <c r="I572" s="126">
        <f t="shared" ca="1" si="75"/>
        <v>0</v>
      </c>
      <c r="J572" s="125">
        <f t="shared" ca="1" si="79"/>
        <v>0</v>
      </c>
      <c r="K572" s="151"/>
      <c r="L572" s="125">
        <f t="shared" ca="1" si="80"/>
        <v>0</v>
      </c>
      <c r="P572">
        <f t="shared" si="81"/>
        <v>565</v>
      </c>
      <c r="S572" s="126">
        <f t="shared" ca="1" si="76"/>
        <v>0</v>
      </c>
      <c r="T572" s="126">
        <f t="shared" ca="1" si="82"/>
        <v>0</v>
      </c>
    </row>
    <row r="573" spans="4:20">
      <c r="D573">
        <v>566</v>
      </c>
      <c r="E573" s="6">
        <f t="shared" ca="1" si="77"/>
        <v>35521</v>
      </c>
      <c r="F573" s="7">
        <f t="shared" ca="1" si="78"/>
        <v>0</v>
      </c>
      <c r="G573" s="125">
        <f ca="1">IF('Simulador - 1º Pilar'!$E$99="Sí",IF('Aportaciones Flex'!$B$13&lt;'Aportaciones Flex'!E573,0,F573*$B$8/12),F573*$B$8/12)</f>
        <v>0</v>
      </c>
      <c r="H573" s="125">
        <f t="shared" ca="1" si="74"/>
        <v>0</v>
      </c>
      <c r="I573" s="126">
        <f t="shared" ca="1" si="75"/>
        <v>0</v>
      </c>
      <c r="J573" s="125">
        <f t="shared" ca="1" si="79"/>
        <v>0</v>
      </c>
      <c r="K573" s="151"/>
      <c r="L573" s="125">
        <f t="shared" ca="1" si="80"/>
        <v>0</v>
      </c>
      <c r="P573">
        <f t="shared" si="81"/>
        <v>566</v>
      </c>
      <c r="S573" s="126">
        <f t="shared" ca="1" si="76"/>
        <v>0</v>
      </c>
      <c r="T573" s="126">
        <f t="shared" ca="1" si="82"/>
        <v>0</v>
      </c>
    </row>
    <row r="574" spans="4:20">
      <c r="D574">
        <v>567</v>
      </c>
      <c r="E574" s="6">
        <f t="shared" ca="1" si="77"/>
        <v>35490</v>
      </c>
      <c r="F574" s="7">
        <f t="shared" ca="1" si="78"/>
        <v>0</v>
      </c>
      <c r="G574" s="125">
        <f ca="1">IF('Simulador - 1º Pilar'!$E$99="Sí",IF('Aportaciones Flex'!$B$13&lt;'Aportaciones Flex'!E574,0,F574*$B$8/12),F574*$B$8/12)</f>
        <v>0</v>
      </c>
      <c r="H574" s="125">
        <f t="shared" ca="1" si="74"/>
        <v>0</v>
      </c>
      <c r="I574" s="126">
        <f t="shared" ca="1" si="75"/>
        <v>0</v>
      </c>
      <c r="J574" s="125">
        <f t="shared" ca="1" si="79"/>
        <v>0</v>
      </c>
      <c r="K574" s="151"/>
      <c r="L574" s="125">
        <f t="shared" ca="1" si="80"/>
        <v>0</v>
      </c>
      <c r="P574">
        <f t="shared" si="81"/>
        <v>567</v>
      </c>
      <c r="S574" s="126">
        <f t="shared" ca="1" si="76"/>
        <v>0</v>
      </c>
      <c r="T574" s="126">
        <f t="shared" ca="1" si="82"/>
        <v>0</v>
      </c>
    </row>
    <row r="575" spans="4:20">
      <c r="D575">
        <v>568</v>
      </c>
      <c r="E575" s="6">
        <f t="shared" ca="1" si="77"/>
        <v>35462</v>
      </c>
      <c r="F575" s="7">
        <f t="shared" ca="1" si="78"/>
        <v>0</v>
      </c>
      <c r="G575" s="125">
        <f ca="1">IF('Simulador - 1º Pilar'!$E$99="Sí",IF('Aportaciones Flex'!$B$13&lt;'Aportaciones Flex'!E575,0,F575*$B$8/12),F575*$B$8/12)</f>
        <v>0</v>
      </c>
      <c r="H575" s="125">
        <f t="shared" ca="1" si="74"/>
        <v>0</v>
      </c>
      <c r="I575" s="126">
        <f t="shared" ca="1" si="75"/>
        <v>0</v>
      </c>
      <c r="J575" s="125">
        <f t="shared" ca="1" si="79"/>
        <v>0</v>
      </c>
      <c r="K575" s="151"/>
      <c r="L575" s="125">
        <f t="shared" ca="1" si="80"/>
        <v>0</v>
      </c>
      <c r="P575">
        <f t="shared" si="81"/>
        <v>568</v>
      </c>
      <c r="S575" s="126">
        <f t="shared" ca="1" si="76"/>
        <v>0</v>
      </c>
      <c r="T575" s="126">
        <f t="shared" ca="1" si="82"/>
        <v>0</v>
      </c>
    </row>
    <row r="576" spans="4:20">
      <c r="D576">
        <v>569</v>
      </c>
      <c r="E576" s="6">
        <f t="shared" ca="1" si="77"/>
        <v>35431</v>
      </c>
      <c r="F576" s="7">
        <f t="shared" ca="1" si="78"/>
        <v>0</v>
      </c>
      <c r="G576" s="125">
        <f ca="1">IF('Simulador - 1º Pilar'!$E$99="Sí",IF('Aportaciones Flex'!$B$13&lt;'Aportaciones Flex'!E576,0,F576*$B$8/12),F576*$B$8/12)</f>
        <v>0</v>
      </c>
      <c r="H576" s="125">
        <f t="shared" ca="1" si="74"/>
        <v>0</v>
      </c>
      <c r="I576" s="126">
        <f t="shared" ca="1" si="75"/>
        <v>0</v>
      </c>
      <c r="J576" s="125">
        <f t="shared" ca="1" si="79"/>
        <v>0</v>
      </c>
      <c r="K576" s="151"/>
      <c r="L576" s="125">
        <f t="shared" ca="1" si="80"/>
        <v>0</v>
      </c>
      <c r="P576">
        <f t="shared" si="81"/>
        <v>569</v>
      </c>
      <c r="S576" s="126">
        <f t="shared" ca="1" si="76"/>
        <v>0</v>
      </c>
      <c r="T576" s="126">
        <f t="shared" ca="1" si="82"/>
        <v>0</v>
      </c>
    </row>
    <row r="577" spans="4:20">
      <c r="D577">
        <v>570</v>
      </c>
      <c r="E577" s="6">
        <f t="shared" ca="1" si="77"/>
        <v>35400</v>
      </c>
      <c r="F577" s="7">
        <f t="shared" ca="1" si="78"/>
        <v>0</v>
      </c>
      <c r="G577" s="125">
        <f ca="1">IF('Simulador - 1º Pilar'!$E$99="Sí",IF('Aportaciones Flex'!$B$13&lt;'Aportaciones Flex'!E577,0,F577*$B$8/12),F577*$B$8/12)</f>
        <v>0</v>
      </c>
      <c r="H577" s="125">
        <f t="shared" ca="1" si="74"/>
        <v>0</v>
      </c>
      <c r="I577" s="126">
        <f t="shared" ca="1" si="75"/>
        <v>0</v>
      </c>
      <c r="J577" s="125">
        <f t="shared" ca="1" si="79"/>
        <v>0</v>
      </c>
      <c r="K577" s="151"/>
      <c r="L577" s="125">
        <f t="shared" ca="1" si="80"/>
        <v>0</v>
      </c>
      <c r="P577">
        <f t="shared" si="81"/>
        <v>570</v>
      </c>
      <c r="S577" s="126">
        <f t="shared" ca="1" si="76"/>
        <v>0</v>
      </c>
      <c r="T577" s="126">
        <f t="shared" ca="1" si="82"/>
        <v>0</v>
      </c>
    </row>
    <row r="578" spans="4:20">
      <c r="D578">
        <v>571</v>
      </c>
      <c r="E578" s="6">
        <f t="shared" ca="1" si="77"/>
        <v>35370</v>
      </c>
      <c r="F578" s="7">
        <f t="shared" ca="1" si="78"/>
        <v>0</v>
      </c>
      <c r="G578" s="125">
        <f ca="1">IF('Simulador - 1º Pilar'!$E$99="Sí",IF('Aportaciones Flex'!$B$13&lt;'Aportaciones Flex'!E578,0,F578*$B$8/12),F578*$B$8/12)</f>
        <v>0</v>
      </c>
      <c r="H578" s="125">
        <f t="shared" ref="H578:H641" ca="1" si="83">IF(G578&gt;0,1,0)*$H$5*IF(AND($I$5="NO",YEAR(E578)=YEAR($B$6)+1),1,IF($I$5="SI",1,0))</f>
        <v>0</v>
      </c>
      <c r="I578" s="126">
        <f t="shared" ca="1" si="75"/>
        <v>0</v>
      </c>
      <c r="J578" s="125">
        <f t="shared" ca="1" si="79"/>
        <v>0</v>
      </c>
      <c r="K578" s="151"/>
      <c r="L578" s="125">
        <f t="shared" ca="1" si="80"/>
        <v>0</v>
      </c>
      <c r="P578">
        <f t="shared" si="81"/>
        <v>571</v>
      </c>
      <c r="S578" s="126">
        <f t="shared" ca="1" si="76"/>
        <v>0</v>
      </c>
      <c r="T578" s="126">
        <f t="shared" ca="1" si="82"/>
        <v>0</v>
      </c>
    </row>
    <row r="579" spans="4:20">
      <c r="D579">
        <v>572</v>
      </c>
      <c r="E579" s="6">
        <f t="shared" ca="1" si="77"/>
        <v>35339</v>
      </c>
      <c r="F579" s="7">
        <f t="shared" ca="1" si="78"/>
        <v>0</v>
      </c>
      <c r="G579" s="125">
        <f ca="1">IF('Simulador - 1º Pilar'!$E$99="Sí",IF('Aportaciones Flex'!$B$13&lt;'Aportaciones Flex'!E579,0,F579*$B$8/12),F579*$B$8/12)</f>
        <v>0</v>
      </c>
      <c r="H579" s="125">
        <f t="shared" ca="1" si="83"/>
        <v>0</v>
      </c>
      <c r="I579" s="126">
        <f t="shared" ca="1" si="75"/>
        <v>0</v>
      </c>
      <c r="J579" s="125">
        <f t="shared" ca="1" si="79"/>
        <v>0</v>
      </c>
      <c r="K579" s="151"/>
      <c r="L579" s="125">
        <f t="shared" ca="1" si="80"/>
        <v>0</v>
      </c>
      <c r="P579">
        <f t="shared" si="81"/>
        <v>572</v>
      </c>
      <c r="S579" s="126">
        <f t="shared" ca="1" si="76"/>
        <v>0</v>
      </c>
      <c r="T579" s="126">
        <f t="shared" ca="1" si="82"/>
        <v>0</v>
      </c>
    </row>
    <row r="580" spans="4:20">
      <c r="D580">
        <v>573</v>
      </c>
      <c r="E580" s="6">
        <f t="shared" ca="1" si="77"/>
        <v>35309</v>
      </c>
      <c r="F580" s="7">
        <f t="shared" ca="1" si="78"/>
        <v>0</v>
      </c>
      <c r="G580" s="125">
        <f ca="1">IF('Simulador - 1º Pilar'!$E$99="Sí",IF('Aportaciones Flex'!$B$13&lt;'Aportaciones Flex'!E580,0,F580*$B$8/12),F580*$B$8/12)</f>
        <v>0</v>
      </c>
      <c r="H580" s="125">
        <f t="shared" ca="1" si="83"/>
        <v>0</v>
      </c>
      <c r="I580" s="126">
        <f t="shared" ca="1" si="75"/>
        <v>0</v>
      </c>
      <c r="J580" s="125">
        <f t="shared" ca="1" si="79"/>
        <v>0</v>
      </c>
      <c r="K580" s="151"/>
      <c r="L580" s="125">
        <f t="shared" ca="1" si="80"/>
        <v>0</v>
      </c>
      <c r="P580">
        <f t="shared" si="81"/>
        <v>573</v>
      </c>
      <c r="S580" s="126">
        <f t="shared" ca="1" si="76"/>
        <v>0</v>
      </c>
      <c r="T580" s="126">
        <f t="shared" ca="1" si="82"/>
        <v>0</v>
      </c>
    </row>
    <row r="581" spans="4:20">
      <c r="D581">
        <v>574</v>
      </c>
      <c r="E581" s="6">
        <f t="shared" ca="1" si="77"/>
        <v>35278</v>
      </c>
      <c r="F581" s="7">
        <f t="shared" ca="1" si="78"/>
        <v>0</v>
      </c>
      <c r="G581" s="125">
        <f ca="1">IF('Simulador - 1º Pilar'!$E$99="Sí",IF('Aportaciones Flex'!$B$13&lt;'Aportaciones Flex'!E581,0,F581*$B$8/12),F581*$B$8/12)</f>
        <v>0</v>
      </c>
      <c r="H581" s="125">
        <f t="shared" ca="1" si="83"/>
        <v>0</v>
      </c>
      <c r="I581" s="126">
        <f t="shared" ca="1" si="75"/>
        <v>0</v>
      </c>
      <c r="J581" s="125">
        <f t="shared" ca="1" si="79"/>
        <v>0</v>
      </c>
      <c r="K581" s="151"/>
      <c r="L581" s="125">
        <f t="shared" ca="1" si="80"/>
        <v>0</v>
      </c>
      <c r="P581">
        <f t="shared" si="81"/>
        <v>574</v>
      </c>
      <c r="S581" s="126">
        <f t="shared" ca="1" si="76"/>
        <v>0</v>
      </c>
      <c r="T581" s="126">
        <f t="shared" ca="1" si="82"/>
        <v>0</v>
      </c>
    </row>
    <row r="582" spans="4:20">
      <c r="D582">
        <v>575</v>
      </c>
      <c r="E582" s="6">
        <f t="shared" ca="1" si="77"/>
        <v>35247</v>
      </c>
      <c r="F582" s="7">
        <f t="shared" ca="1" si="78"/>
        <v>0</v>
      </c>
      <c r="G582" s="125">
        <f ca="1">IF('Simulador - 1º Pilar'!$E$99="Sí",IF('Aportaciones Flex'!$B$13&lt;'Aportaciones Flex'!E582,0,F582*$B$8/12),F582*$B$8/12)</f>
        <v>0</v>
      </c>
      <c r="H582" s="125">
        <f t="shared" ca="1" si="83"/>
        <v>0</v>
      </c>
      <c r="I582" s="126">
        <f t="shared" ca="1" si="75"/>
        <v>0</v>
      </c>
      <c r="J582" s="125">
        <f t="shared" ca="1" si="79"/>
        <v>0</v>
      </c>
      <c r="K582" s="151"/>
      <c r="L582" s="125">
        <f t="shared" ca="1" si="80"/>
        <v>0</v>
      </c>
      <c r="P582">
        <f t="shared" si="81"/>
        <v>575</v>
      </c>
      <c r="S582" s="126">
        <f t="shared" ca="1" si="76"/>
        <v>0</v>
      </c>
      <c r="T582" s="126">
        <f t="shared" ca="1" si="82"/>
        <v>0</v>
      </c>
    </row>
    <row r="583" spans="4:20">
      <c r="D583">
        <v>576</v>
      </c>
      <c r="E583" s="6">
        <f t="shared" ca="1" si="77"/>
        <v>35217</v>
      </c>
      <c r="F583" s="7">
        <f t="shared" ca="1" si="78"/>
        <v>0</v>
      </c>
      <c r="G583" s="125">
        <f ca="1">IF('Simulador - 1º Pilar'!$E$99="Sí",IF('Aportaciones Flex'!$B$13&lt;'Aportaciones Flex'!E583,0,F583*$B$8/12),F583*$B$8/12)</f>
        <v>0</v>
      </c>
      <c r="H583" s="125">
        <f t="shared" ca="1" si="83"/>
        <v>0</v>
      </c>
      <c r="I583" s="126">
        <f t="shared" ref="I583:I646" ca="1" si="84">(1+$M$5)^(D583/12)*(H583*(12-IF(MONTH(E584)=12,0,MONTH(E584)))+IF(AND(F583=1,F584=0),$Q$4,0))*IF(AND(F583=1,F584=0),1,0)</f>
        <v>0</v>
      </c>
      <c r="J583" s="125">
        <f t="shared" ca="1" si="79"/>
        <v>0</v>
      </c>
      <c r="K583" s="151"/>
      <c r="L583" s="125">
        <f t="shared" ca="1" si="80"/>
        <v>0</v>
      </c>
      <c r="P583">
        <f t="shared" si="81"/>
        <v>576</v>
      </c>
      <c r="S583" s="126">
        <f t="shared" ref="S583:S646" ca="1" si="85">(1+$M$5)^(D583/12)*(IF(E583=$C$6,$Q$4+$H$5*12,0))</f>
        <v>0</v>
      </c>
      <c r="T583" s="126">
        <f t="shared" ca="1" si="82"/>
        <v>0</v>
      </c>
    </row>
    <row r="584" spans="4:20">
      <c r="D584">
        <v>577</v>
      </c>
      <c r="E584" s="6">
        <f t="shared" ref="E584:E647" ca="1" si="86">+DATE(YEAR(E583),MONTH(E583)-1,DAY(E583))</f>
        <v>35186</v>
      </c>
      <c r="F584" s="7">
        <f t="shared" ref="F584:F647" ca="1" si="87">IF(DATE(YEAR($B$6),MONTH($B$6)+1,DAY(1))=E584,1,IF(MONTH(E584)=1,F585*(1+$F$5),F585))</f>
        <v>0</v>
      </c>
      <c r="G584" s="125">
        <f ca="1">IF('Simulador - 1º Pilar'!$E$99="Sí",IF('Aportaciones Flex'!$B$13&lt;'Aportaciones Flex'!E584,0,F584*$B$8/12),F584*$B$8/12)</f>
        <v>0</v>
      </c>
      <c r="H584" s="125">
        <f t="shared" ca="1" si="83"/>
        <v>0</v>
      </c>
      <c r="I584" s="126">
        <f t="shared" ca="1" si="84"/>
        <v>0</v>
      </c>
      <c r="J584" s="125">
        <f t="shared" ref="J584:J647" ca="1" si="88">(1+$M$5)^(D584/12)*(H584+IF(AND(F584=1,F585=0),$Q$4,0))</f>
        <v>0</v>
      </c>
      <c r="K584" s="151"/>
      <c r="L584" s="125">
        <f t="shared" ref="L584:L647" ca="1" si="89">K584+J584</f>
        <v>0</v>
      </c>
      <c r="P584">
        <f t="shared" ref="P584:P647" si="90">D584</f>
        <v>577</v>
      </c>
      <c r="S584" s="126">
        <f t="shared" ca="1" si="85"/>
        <v>0</v>
      </c>
      <c r="T584" s="126">
        <f t="shared" ref="T584:T647" ca="1" si="91">(1+$M$5)^(D584/12)*(IF(YEAR(E584)&gt;YEAR($C$6),L584,0)+IF(E584=$C$6,$H$5*12+$Q$4,0))</f>
        <v>0</v>
      </c>
    </row>
    <row r="585" spans="4:20">
      <c r="D585">
        <v>578</v>
      </c>
      <c r="E585" s="6">
        <f t="shared" ca="1" si="86"/>
        <v>35156</v>
      </c>
      <c r="F585" s="7">
        <f t="shared" ca="1" si="87"/>
        <v>0</v>
      </c>
      <c r="G585" s="125">
        <f ca="1">IF('Simulador - 1º Pilar'!$E$99="Sí",IF('Aportaciones Flex'!$B$13&lt;'Aportaciones Flex'!E585,0,F585*$B$8/12),F585*$B$8/12)</f>
        <v>0</v>
      </c>
      <c r="H585" s="125">
        <f t="shared" ca="1" si="83"/>
        <v>0</v>
      </c>
      <c r="I585" s="126">
        <f t="shared" ca="1" si="84"/>
        <v>0</v>
      </c>
      <c r="J585" s="125">
        <f t="shared" ca="1" si="88"/>
        <v>0</v>
      </c>
      <c r="K585" s="151"/>
      <c r="L585" s="125">
        <f t="shared" ca="1" si="89"/>
        <v>0</v>
      </c>
      <c r="P585">
        <f t="shared" si="90"/>
        <v>578</v>
      </c>
      <c r="S585" s="126">
        <f t="shared" ca="1" si="85"/>
        <v>0</v>
      </c>
      <c r="T585" s="126">
        <f t="shared" ca="1" si="91"/>
        <v>0</v>
      </c>
    </row>
    <row r="586" spans="4:20">
      <c r="D586">
        <v>579</v>
      </c>
      <c r="E586" s="6">
        <f t="shared" ca="1" si="86"/>
        <v>35125</v>
      </c>
      <c r="F586" s="7">
        <f t="shared" ca="1" si="87"/>
        <v>0</v>
      </c>
      <c r="G586" s="125">
        <f ca="1">IF('Simulador - 1º Pilar'!$E$99="Sí",IF('Aportaciones Flex'!$B$13&lt;'Aportaciones Flex'!E586,0,F586*$B$8/12),F586*$B$8/12)</f>
        <v>0</v>
      </c>
      <c r="H586" s="125">
        <f t="shared" ca="1" si="83"/>
        <v>0</v>
      </c>
      <c r="I586" s="126">
        <f t="shared" ca="1" si="84"/>
        <v>0</v>
      </c>
      <c r="J586" s="125">
        <f t="shared" ca="1" si="88"/>
        <v>0</v>
      </c>
      <c r="K586" s="151"/>
      <c r="L586" s="125">
        <f t="shared" ca="1" si="89"/>
        <v>0</v>
      </c>
      <c r="P586">
        <f t="shared" si="90"/>
        <v>579</v>
      </c>
      <c r="S586" s="126">
        <f t="shared" ca="1" si="85"/>
        <v>0</v>
      </c>
      <c r="T586" s="126">
        <f t="shared" ca="1" si="91"/>
        <v>0</v>
      </c>
    </row>
    <row r="587" spans="4:20">
      <c r="D587">
        <v>580</v>
      </c>
      <c r="E587" s="6">
        <f t="shared" ca="1" si="86"/>
        <v>35096</v>
      </c>
      <c r="F587" s="7">
        <f t="shared" ca="1" si="87"/>
        <v>0</v>
      </c>
      <c r="G587" s="125">
        <f ca="1">IF('Simulador - 1º Pilar'!$E$99="Sí",IF('Aportaciones Flex'!$B$13&lt;'Aportaciones Flex'!E587,0,F587*$B$8/12),F587*$B$8/12)</f>
        <v>0</v>
      </c>
      <c r="H587" s="125">
        <f t="shared" ca="1" si="83"/>
        <v>0</v>
      </c>
      <c r="I587" s="126">
        <f t="shared" ca="1" si="84"/>
        <v>0</v>
      </c>
      <c r="J587" s="125">
        <f t="shared" ca="1" si="88"/>
        <v>0</v>
      </c>
      <c r="K587" s="151"/>
      <c r="L587" s="125">
        <f t="shared" ca="1" si="89"/>
        <v>0</v>
      </c>
      <c r="P587">
        <f t="shared" si="90"/>
        <v>580</v>
      </c>
      <c r="S587" s="126">
        <f t="shared" ca="1" si="85"/>
        <v>0</v>
      </c>
      <c r="T587" s="126">
        <f t="shared" ca="1" si="91"/>
        <v>0</v>
      </c>
    </row>
    <row r="588" spans="4:20">
      <c r="D588">
        <v>581</v>
      </c>
      <c r="E588" s="6">
        <f t="shared" ca="1" si="86"/>
        <v>35065</v>
      </c>
      <c r="F588" s="7">
        <f t="shared" ca="1" si="87"/>
        <v>0</v>
      </c>
      <c r="G588" s="125">
        <f ca="1">IF('Simulador - 1º Pilar'!$E$99="Sí",IF('Aportaciones Flex'!$B$13&lt;'Aportaciones Flex'!E588,0,F588*$B$8/12),F588*$B$8/12)</f>
        <v>0</v>
      </c>
      <c r="H588" s="125">
        <f t="shared" ca="1" si="83"/>
        <v>0</v>
      </c>
      <c r="I588" s="126">
        <f t="shared" ca="1" si="84"/>
        <v>0</v>
      </c>
      <c r="J588" s="125">
        <f t="shared" ca="1" si="88"/>
        <v>0</v>
      </c>
      <c r="K588" s="151"/>
      <c r="L588" s="125">
        <f t="shared" ca="1" si="89"/>
        <v>0</v>
      </c>
      <c r="P588">
        <f t="shared" si="90"/>
        <v>581</v>
      </c>
      <c r="S588" s="126">
        <f t="shared" ca="1" si="85"/>
        <v>0</v>
      </c>
      <c r="T588" s="126">
        <f t="shared" ca="1" si="91"/>
        <v>0</v>
      </c>
    </row>
    <row r="589" spans="4:20">
      <c r="D589">
        <v>582</v>
      </c>
      <c r="E589" s="6">
        <f t="shared" ca="1" si="86"/>
        <v>35034</v>
      </c>
      <c r="F589" s="7">
        <f t="shared" ca="1" si="87"/>
        <v>0</v>
      </c>
      <c r="G589" s="125">
        <f ca="1">IF('Simulador - 1º Pilar'!$E$99="Sí",IF('Aportaciones Flex'!$B$13&lt;'Aportaciones Flex'!E589,0,F589*$B$8/12),F589*$B$8/12)</f>
        <v>0</v>
      </c>
      <c r="H589" s="125">
        <f t="shared" ca="1" si="83"/>
        <v>0</v>
      </c>
      <c r="I589" s="126">
        <f t="shared" ca="1" si="84"/>
        <v>0</v>
      </c>
      <c r="J589" s="125">
        <f t="shared" ca="1" si="88"/>
        <v>0</v>
      </c>
      <c r="K589" s="151"/>
      <c r="L589" s="125">
        <f t="shared" ca="1" si="89"/>
        <v>0</v>
      </c>
      <c r="P589">
        <f t="shared" si="90"/>
        <v>582</v>
      </c>
      <c r="S589" s="126">
        <f t="shared" ca="1" si="85"/>
        <v>0</v>
      </c>
      <c r="T589" s="126">
        <f t="shared" ca="1" si="91"/>
        <v>0</v>
      </c>
    </row>
    <row r="590" spans="4:20">
      <c r="D590">
        <v>583</v>
      </c>
      <c r="E590" s="6">
        <f t="shared" ca="1" si="86"/>
        <v>35004</v>
      </c>
      <c r="F590" s="7">
        <f t="shared" ca="1" si="87"/>
        <v>0</v>
      </c>
      <c r="G590" s="125">
        <f ca="1">IF('Simulador - 1º Pilar'!$E$99="Sí",IF('Aportaciones Flex'!$B$13&lt;'Aportaciones Flex'!E590,0,F590*$B$8/12),F590*$B$8/12)</f>
        <v>0</v>
      </c>
      <c r="H590" s="125">
        <f t="shared" ca="1" si="83"/>
        <v>0</v>
      </c>
      <c r="I590" s="126">
        <f t="shared" ca="1" si="84"/>
        <v>0</v>
      </c>
      <c r="J590" s="125">
        <f t="shared" ca="1" si="88"/>
        <v>0</v>
      </c>
      <c r="K590" s="151"/>
      <c r="L590" s="125">
        <f t="shared" ca="1" si="89"/>
        <v>0</v>
      </c>
      <c r="P590">
        <f t="shared" si="90"/>
        <v>583</v>
      </c>
      <c r="S590" s="126">
        <f t="shared" ca="1" si="85"/>
        <v>0</v>
      </c>
      <c r="T590" s="126">
        <f t="shared" ca="1" si="91"/>
        <v>0</v>
      </c>
    </row>
    <row r="591" spans="4:20">
      <c r="D591">
        <v>584</v>
      </c>
      <c r="E591" s="6">
        <f t="shared" ca="1" si="86"/>
        <v>34973</v>
      </c>
      <c r="F591" s="7">
        <f t="shared" ca="1" si="87"/>
        <v>0</v>
      </c>
      <c r="G591" s="125">
        <f ca="1">IF('Simulador - 1º Pilar'!$E$99="Sí",IF('Aportaciones Flex'!$B$13&lt;'Aportaciones Flex'!E591,0,F591*$B$8/12),F591*$B$8/12)</f>
        <v>0</v>
      </c>
      <c r="H591" s="125">
        <f t="shared" ca="1" si="83"/>
        <v>0</v>
      </c>
      <c r="I591" s="126">
        <f t="shared" ca="1" si="84"/>
        <v>0</v>
      </c>
      <c r="J591" s="125">
        <f t="shared" ca="1" si="88"/>
        <v>0</v>
      </c>
      <c r="K591" s="151"/>
      <c r="L591" s="125">
        <f t="shared" ca="1" si="89"/>
        <v>0</v>
      </c>
      <c r="P591">
        <f t="shared" si="90"/>
        <v>584</v>
      </c>
      <c r="S591" s="126">
        <f t="shared" ca="1" si="85"/>
        <v>0</v>
      </c>
      <c r="T591" s="126">
        <f t="shared" ca="1" si="91"/>
        <v>0</v>
      </c>
    </row>
    <row r="592" spans="4:20">
      <c r="D592">
        <v>585</v>
      </c>
      <c r="E592" s="6">
        <f t="shared" ca="1" si="86"/>
        <v>34943</v>
      </c>
      <c r="F592" s="7">
        <f t="shared" ca="1" si="87"/>
        <v>0</v>
      </c>
      <c r="G592" s="125">
        <f ca="1">IF('Simulador - 1º Pilar'!$E$99="Sí",IF('Aportaciones Flex'!$B$13&lt;'Aportaciones Flex'!E592,0,F592*$B$8/12),F592*$B$8/12)</f>
        <v>0</v>
      </c>
      <c r="H592" s="125">
        <f t="shared" ca="1" si="83"/>
        <v>0</v>
      </c>
      <c r="I592" s="126">
        <f t="shared" ca="1" si="84"/>
        <v>0</v>
      </c>
      <c r="J592" s="125">
        <f t="shared" ca="1" si="88"/>
        <v>0</v>
      </c>
      <c r="K592" s="151"/>
      <c r="L592" s="125">
        <f t="shared" ca="1" si="89"/>
        <v>0</v>
      </c>
      <c r="P592">
        <f t="shared" si="90"/>
        <v>585</v>
      </c>
      <c r="S592" s="126">
        <f t="shared" ca="1" si="85"/>
        <v>0</v>
      </c>
      <c r="T592" s="126">
        <f t="shared" ca="1" si="91"/>
        <v>0</v>
      </c>
    </row>
    <row r="593" spans="4:20">
      <c r="D593">
        <v>586</v>
      </c>
      <c r="E593" s="6">
        <f t="shared" ca="1" si="86"/>
        <v>34912</v>
      </c>
      <c r="F593" s="7">
        <f t="shared" ca="1" si="87"/>
        <v>0</v>
      </c>
      <c r="G593" s="125">
        <f ca="1">IF('Simulador - 1º Pilar'!$E$99="Sí",IF('Aportaciones Flex'!$B$13&lt;'Aportaciones Flex'!E593,0,F593*$B$8/12),F593*$B$8/12)</f>
        <v>0</v>
      </c>
      <c r="H593" s="125">
        <f t="shared" ca="1" si="83"/>
        <v>0</v>
      </c>
      <c r="I593" s="126">
        <f t="shared" ca="1" si="84"/>
        <v>0</v>
      </c>
      <c r="J593" s="125">
        <f t="shared" ca="1" si="88"/>
        <v>0</v>
      </c>
      <c r="K593" s="151"/>
      <c r="L593" s="125">
        <f t="shared" ca="1" si="89"/>
        <v>0</v>
      </c>
      <c r="P593">
        <f t="shared" si="90"/>
        <v>586</v>
      </c>
      <c r="S593" s="126">
        <f t="shared" ca="1" si="85"/>
        <v>0</v>
      </c>
      <c r="T593" s="126">
        <f t="shared" ca="1" si="91"/>
        <v>0</v>
      </c>
    </row>
    <row r="594" spans="4:20">
      <c r="D594">
        <v>587</v>
      </c>
      <c r="E594" s="6">
        <f t="shared" ca="1" si="86"/>
        <v>34881</v>
      </c>
      <c r="F594" s="7">
        <f t="shared" ca="1" si="87"/>
        <v>0</v>
      </c>
      <c r="G594" s="125">
        <f ca="1">IF('Simulador - 1º Pilar'!$E$99="Sí",IF('Aportaciones Flex'!$B$13&lt;'Aportaciones Flex'!E594,0,F594*$B$8/12),F594*$B$8/12)</f>
        <v>0</v>
      </c>
      <c r="H594" s="125">
        <f t="shared" ca="1" si="83"/>
        <v>0</v>
      </c>
      <c r="I594" s="126">
        <f t="shared" ca="1" si="84"/>
        <v>0</v>
      </c>
      <c r="J594" s="125">
        <f t="shared" ca="1" si="88"/>
        <v>0</v>
      </c>
      <c r="K594" s="151"/>
      <c r="L594" s="125">
        <f t="shared" ca="1" si="89"/>
        <v>0</v>
      </c>
      <c r="P594">
        <f t="shared" si="90"/>
        <v>587</v>
      </c>
      <c r="S594" s="126">
        <f t="shared" ca="1" si="85"/>
        <v>0</v>
      </c>
      <c r="T594" s="126">
        <f t="shared" ca="1" si="91"/>
        <v>0</v>
      </c>
    </row>
    <row r="595" spans="4:20">
      <c r="D595">
        <v>588</v>
      </c>
      <c r="E595" s="6">
        <f t="shared" ca="1" si="86"/>
        <v>34851</v>
      </c>
      <c r="F595" s="7">
        <f t="shared" ca="1" si="87"/>
        <v>0</v>
      </c>
      <c r="G595" s="125">
        <f ca="1">IF('Simulador - 1º Pilar'!$E$99="Sí",IF('Aportaciones Flex'!$B$13&lt;'Aportaciones Flex'!E595,0,F595*$B$8/12),F595*$B$8/12)</f>
        <v>0</v>
      </c>
      <c r="H595" s="125">
        <f t="shared" ca="1" si="83"/>
        <v>0</v>
      </c>
      <c r="I595" s="126">
        <f t="shared" ca="1" si="84"/>
        <v>0</v>
      </c>
      <c r="J595" s="125">
        <f t="shared" ca="1" si="88"/>
        <v>0</v>
      </c>
      <c r="K595" s="151"/>
      <c r="L595" s="125">
        <f t="shared" ca="1" si="89"/>
        <v>0</v>
      </c>
      <c r="P595">
        <f t="shared" si="90"/>
        <v>588</v>
      </c>
      <c r="S595" s="126">
        <f t="shared" ca="1" si="85"/>
        <v>0</v>
      </c>
      <c r="T595" s="126">
        <f t="shared" ca="1" si="91"/>
        <v>0</v>
      </c>
    </row>
    <row r="596" spans="4:20">
      <c r="D596">
        <v>589</v>
      </c>
      <c r="E596" s="6">
        <f t="shared" ca="1" si="86"/>
        <v>34820</v>
      </c>
      <c r="F596" s="7">
        <f t="shared" ca="1" si="87"/>
        <v>0</v>
      </c>
      <c r="G596" s="125">
        <f ca="1">IF('Simulador - 1º Pilar'!$E$99="Sí",IF('Aportaciones Flex'!$B$13&lt;'Aportaciones Flex'!E596,0,F596*$B$8/12),F596*$B$8/12)</f>
        <v>0</v>
      </c>
      <c r="H596" s="125">
        <f t="shared" ca="1" si="83"/>
        <v>0</v>
      </c>
      <c r="I596" s="126">
        <f t="shared" ca="1" si="84"/>
        <v>0</v>
      </c>
      <c r="J596" s="125">
        <f t="shared" ca="1" si="88"/>
        <v>0</v>
      </c>
      <c r="K596" s="151"/>
      <c r="L596" s="125">
        <f t="shared" ca="1" si="89"/>
        <v>0</v>
      </c>
      <c r="P596">
        <f t="shared" si="90"/>
        <v>589</v>
      </c>
      <c r="S596" s="126">
        <f t="shared" ca="1" si="85"/>
        <v>0</v>
      </c>
      <c r="T596" s="126">
        <f t="shared" ca="1" si="91"/>
        <v>0</v>
      </c>
    </row>
    <row r="597" spans="4:20">
      <c r="D597">
        <v>590</v>
      </c>
      <c r="E597" s="6">
        <f t="shared" ca="1" si="86"/>
        <v>34790</v>
      </c>
      <c r="F597" s="7">
        <f t="shared" ca="1" si="87"/>
        <v>0</v>
      </c>
      <c r="G597" s="125">
        <f ca="1">IF('Simulador - 1º Pilar'!$E$99="Sí",IF('Aportaciones Flex'!$B$13&lt;'Aportaciones Flex'!E597,0,F597*$B$8/12),F597*$B$8/12)</f>
        <v>0</v>
      </c>
      <c r="H597" s="125">
        <f t="shared" ca="1" si="83"/>
        <v>0</v>
      </c>
      <c r="I597" s="126">
        <f t="shared" ca="1" si="84"/>
        <v>0</v>
      </c>
      <c r="J597" s="125">
        <f t="shared" ca="1" si="88"/>
        <v>0</v>
      </c>
      <c r="K597" s="151"/>
      <c r="L597" s="125">
        <f t="shared" ca="1" si="89"/>
        <v>0</v>
      </c>
      <c r="P597">
        <f t="shared" si="90"/>
        <v>590</v>
      </c>
      <c r="S597" s="126">
        <f t="shared" ca="1" si="85"/>
        <v>0</v>
      </c>
      <c r="T597" s="126">
        <f t="shared" ca="1" si="91"/>
        <v>0</v>
      </c>
    </row>
    <row r="598" spans="4:20">
      <c r="D598">
        <v>591</v>
      </c>
      <c r="E598" s="6">
        <f t="shared" ca="1" si="86"/>
        <v>34759</v>
      </c>
      <c r="F598" s="7">
        <f t="shared" ca="1" si="87"/>
        <v>0</v>
      </c>
      <c r="G598" s="125">
        <f ca="1">IF('Simulador - 1º Pilar'!$E$99="Sí",IF('Aportaciones Flex'!$B$13&lt;'Aportaciones Flex'!E598,0,F598*$B$8/12),F598*$B$8/12)</f>
        <v>0</v>
      </c>
      <c r="H598" s="125">
        <f t="shared" ca="1" si="83"/>
        <v>0</v>
      </c>
      <c r="I598" s="126">
        <f t="shared" ca="1" si="84"/>
        <v>0</v>
      </c>
      <c r="J598" s="125">
        <f t="shared" ca="1" si="88"/>
        <v>0</v>
      </c>
      <c r="K598" s="151"/>
      <c r="L598" s="125">
        <f t="shared" ca="1" si="89"/>
        <v>0</v>
      </c>
      <c r="P598">
        <f t="shared" si="90"/>
        <v>591</v>
      </c>
      <c r="S598" s="126">
        <f t="shared" ca="1" si="85"/>
        <v>0</v>
      </c>
      <c r="T598" s="126">
        <f t="shared" ca="1" si="91"/>
        <v>0</v>
      </c>
    </row>
    <row r="599" spans="4:20">
      <c r="D599">
        <v>592</v>
      </c>
      <c r="E599" s="6">
        <f t="shared" ca="1" si="86"/>
        <v>34731</v>
      </c>
      <c r="F599" s="7">
        <f t="shared" ca="1" si="87"/>
        <v>0</v>
      </c>
      <c r="G599" s="125">
        <f ca="1">IF('Simulador - 1º Pilar'!$E$99="Sí",IF('Aportaciones Flex'!$B$13&lt;'Aportaciones Flex'!E599,0,F599*$B$8/12),F599*$B$8/12)</f>
        <v>0</v>
      </c>
      <c r="H599" s="125">
        <f t="shared" ca="1" si="83"/>
        <v>0</v>
      </c>
      <c r="I599" s="126">
        <f t="shared" ca="1" si="84"/>
        <v>0</v>
      </c>
      <c r="J599" s="125">
        <f t="shared" ca="1" si="88"/>
        <v>0</v>
      </c>
      <c r="K599" s="151"/>
      <c r="L599" s="125">
        <f t="shared" ca="1" si="89"/>
        <v>0</v>
      </c>
      <c r="P599">
        <f t="shared" si="90"/>
        <v>592</v>
      </c>
      <c r="S599" s="126">
        <f t="shared" ca="1" si="85"/>
        <v>0</v>
      </c>
      <c r="T599" s="126">
        <f t="shared" ca="1" si="91"/>
        <v>0</v>
      </c>
    </row>
    <row r="600" spans="4:20">
      <c r="D600">
        <v>593</v>
      </c>
      <c r="E600" s="6">
        <f t="shared" ca="1" si="86"/>
        <v>34700</v>
      </c>
      <c r="F600" s="7">
        <f t="shared" ca="1" si="87"/>
        <v>0</v>
      </c>
      <c r="G600" s="125">
        <f ca="1">IF('Simulador - 1º Pilar'!$E$99="Sí",IF('Aportaciones Flex'!$B$13&lt;'Aportaciones Flex'!E600,0,F600*$B$8/12),F600*$B$8/12)</f>
        <v>0</v>
      </c>
      <c r="H600" s="125">
        <f t="shared" ca="1" si="83"/>
        <v>0</v>
      </c>
      <c r="I600" s="126">
        <f t="shared" ca="1" si="84"/>
        <v>0</v>
      </c>
      <c r="J600" s="125">
        <f t="shared" ca="1" si="88"/>
        <v>0</v>
      </c>
      <c r="K600" s="151"/>
      <c r="L600" s="125">
        <f t="shared" ca="1" si="89"/>
        <v>0</v>
      </c>
      <c r="P600">
        <f t="shared" si="90"/>
        <v>593</v>
      </c>
      <c r="S600" s="126">
        <f t="shared" ca="1" si="85"/>
        <v>0</v>
      </c>
      <c r="T600" s="126">
        <f t="shared" ca="1" si="91"/>
        <v>0</v>
      </c>
    </row>
    <row r="601" spans="4:20">
      <c r="D601">
        <v>594</v>
      </c>
      <c r="E601" s="6">
        <f t="shared" ca="1" si="86"/>
        <v>34669</v>
      </c>
      <c r="F601" s="7">
        <f t="shared" ca="1" si="87"/>
        <v>0</v>
      </c>
      <c r="G601" s="125">
        <f ca="1">IF('Simulador - 1º Pilar'!$E$99="Sí",IF('Aportaciones Flex'!$B$13&lt;'Aportaciones Flex'!E601,0,F601*$B$8/12),F601*$B$8/12)</f>
        <v>0</v>
      </c>
      <c r="H601" s="125">
        <f t="shared" ca="1" si="83"/>
        <v>0</v>
      </c>
      <c r="I601" s="126">
        <f t="shared" ca="1" si="84"/>
        <v>0</v>
      </c>
      <c r="J601" s="125">
        <f t="shared" ca="1" si="88"/>
        <v>0</v>
      </c>
      <c r="K601" s="151"/>
      <c r="L601" s="125">
        <f t="shared" ca="1" si="89"/>
        <v>0</v>
      </c>
      <c r="P601">
        <f t="shared" si="90"/>
        <v>594</v>
      </c>
      <c r="S601" s="126">
        <f t="shared" ca="1" si="85"/>
        <v>0</v>
      </c>
      <c r="T601" s="126">
        <f t="shared" ca="1" si="91"/>
        <v>0</v>
      </c>
    </row>
    <row r="602" spans="4:20">
      <c r="D602">
        <v>595</v>
      </c>
      <c r="E602" s="6">
        <f t="shared" ca="1" si="86"/>
        <v>34639</v>
      </c>
      <c r="F602" s="7">
        <f t="shared" ca="1" si="87"/>
        <v>0</v>
      </c>
      <c r="G602" s="125">
        <f ca="1">IF('Simulador - 1º Pilar'!$E$99="Sí",IF('Aportaciones Flex'!$B$13&lt;'Aportaciones Flex'!E602,0,F602*$B$8/12),F602*$B$8/12)</f>
        <v>0</v>
      </c>
      <c r="H602" s="125">
        <f t="shared" ca="1" si="83"/>
        <v>0</v>
      </c>
      <c r="I602" s="126">
        <f t="shared" ca="1" si="84"/>
        <v>0</v>
      </c>
      <c r="J602" s="125">
        <f t="shared" ca="1" si="88"/>
        <v>0</v>
      </c>
      <c r="K602" s="151"/>
      <c r="L602" s="125">
        <f t="shared" ca="1" si="89"/>
        <v>0</v>
      </c>
      <c r="P602">
        <f t="shared" si="90"/>
        <v>595</v>
      </c>
      <c r="S602" s="126">
        <f t="shared" ca="1" si="85"/>
        <v>0</v>
      </c>
      <c r="T602" s="126">
        <f t="shared" ca="1" si="91"/>
        <v>0</v>
      </c>
    </row>
    <row r="603" spans="4:20">
      <c r="D603">
        <v>596</v>
      </c>
      <c r="E603" s="6">
        <f t="shared" ca="1" si="86"/>
        <v>34608</v>
      </c>
      <c r="F603" s="7">
        <f t="shared" ca="1" si="87"/>
        <v>0</v>
      </c>
      <c r="G603" s="125">
        <f ca="1">IF('Simulador - 1º Pilar'!$E$99="Sí",IF('Aportaciones Flex'!$B$13&lt;'Aportaciones Flex'!E603,0,F603*$B$8/12),F603*$B$8/12)</f>
        <v>0</v>
      </c>
      <c r="H603" s="125">
        <f t="shared" ca="1" si="83"/>
        <v>0</v>
      </c>
      <c r="I603" s="126">
        <f t="shared" ca="1" si="84"/>
        <v>0</v>
      </c>
      <c r="J603" s="125">
        <f t="shared" ca="1" si="88"/>
        <v>0</v>
      </c>
      <c r="K603" s="151"/>
      <c r="L603" s="125">
        <f t="shared" ca="1" si="89"/>
        <v>0</v>
      </c>
      <c r="P603">
        <f t="shared" si="90"/>
        <v>596</v>
      </c>
      <c r="S603" s="126">
        <f t="shared" ca="1" si="85"/>
        <v>0</v>
      </c>
      <c r="T603" s="126">
        <f t="shared" ca="1" si="91"/>
        <v>0</v>
      </c>
    </row>
    <row r="604" spans="4:20">
      <c r="D604">
        <v>597</v>
      </c>
      <c r="E604" s="6">
        <f t="shared" ca="1" si="86"/>
        <v>34578</v>
      </c>
      <c r="F604" s="7">
        <f t="shared" ca="1" si="87"/>
        <v>0</v>
      </c>
      <c r="G604" s="125">
        <f ca="1">IF('Simulador - 1º Pilar'!$E$99="Sí",IF('Aportaciones Flex'!$B$13&lt;'Aportaciones Flex'!E604,0,F604*$B$8/12),F604*$B$8/12)</f>
        <v>0</v>
      </c>
      <c r="H604" s="125">
        <f t="shared" ca="1" si="83"/>
        <v>0</v>
      </c>
      <c r="I604" s="126">
        <f t="shared" ca="1" si="84"/>
        <v>0</v>
      </c>
      <c r="J604" s="125">
        <f t="shared" ca="1" si="88"/>
        <v>0</v>
      </c>
      <c r="K604" s="151"/>
      <c r="L604" s="125">
        <f t="shared" ca="1" si="89"/>
        <v>0</v>
      </c>
      <c r="P604">
        <f t="shared" si="90"/>
        <v>597</v>
      </c>
      <c r="S604" s="126">
        <f t="shared" ca="1" si="85"/>
        <v>0</v>
      </c>
      <c r="T604" s="126">
        <f t="shared" ca="1" si="91"/>
        <v>0</v>
      </c>
    </row>
    <row r="605" spans="4:20">
      <c r="D605">
        <v>598</v>
      </c>
      <c r="E605" s="6">
        <f t="shared" ca="1" si="86"/>
        <v>34547</v>
      </c>
      <c r="F605" s="7">
        <f t="shared" ca="1" si="87"/>
        <v>0</v>
      </c>
      <c r="G605" s="125">
        <f ca="1">IF('Simulador - 1º Pilar'!$E$99="Sí",IF('Aportaciones Flex'!$B$13&lt;'Aportaciones Flex'!E605,0,F605*$B$8/12),F605*$B$8/12)</f>
        <v>0</v>
      </c>
      <c r="H605" s="125">
        <f t="shared" ca="1" si="83"/>
        <v>0</v>
      </c>
      <c r="I605" s="126">
        <f t="shared" ca="1" si="84"/>
        <v>0</v>
      </c>
      <c r="J605" s="125">
        <f t="shared" ca="1" si="88"/>
        <v>0</v>
      </c>
      <c r="K605" s="151"/>
      <c r="L605" s="125">
        <f t="shared" ca="1" si="89"/>
        <v>0</v>
      </c>
      <c r="P605">
        <f t="shared" si="90"/>
        <v>598</v>
      </c>
      <c r="S605" s="126">
        <f t="shared" ca="1" si="85"/>
        <v>0</v>
      </c>
      <c r="T605" s="126">
        <f t="shared" ca="1" si="91"/>
        <v>0</v>
      </c>
    </row>
    <row r="606" spans="4:20">
      <c r="D606">
        <v>599</v>
      </c>
      <c r="E606" s="6">
        <f t="shared" ca="1" si="86"/>
        <v>34516</v>
      </c>
      <c r="F606" s="7">
        <f t="shared" ca="1" si="87"/>
        <v>0</v>
      </c>
      <c r="G606" s="125">
        <f ca="1">IF('Simulador - 1º Pilar'!$E$99="Sí",IF('Aportaciones Flex'!$B$13&lt;'Aportaciones Flex'!E606,0,F606*$B$8/12),F606*$B$8/12)</f>
        <v>0</v>
      </c>
      <c r="H606" s="125">
        <f t="shared" ca="1" si="83"/>
        <v>0</v>
      </c>
      <c r="I606" s="126">
        <f t="shared" ca="1" si="84"/>
        <v>0</v>
      </c>
      <c r="J606" s="125">
        <f t="shared" ca="1" si="88"/>
        <v>0</v>
      </c>
      <c r="K606" s="151"/>
      <c r="L606" s="125">
        <f t="shared" ca="1" si="89"/>
        <v>0</v>
      </c>
      <c r="P606">
        <f t="shared" si="90"/>
        <v>599</v>
      </c>
      <c r="S606" s="126">
        <f t="shared" ca="1" si="85"/>
        <v>0</v>
      </c>
      <c r="T606" s="126">
        <f t="shared" ca="1" si="91"/>
        <v>0</v>
      </c>
    </row>
    <row r="607" spans="4:20">
      <c r="D607">
        <v>600</v>
      </c>
      <c r="E607" s="6">
        <f t="shared" ca="1" si="86"/>
        <v>34486</v>
      </c>
      <c r="F607" s="7">
        <f t="shared" ca="1" si="87"/>
        <v>0</v>
      </c>
      <c r="G607" s="125">
        <f ca="1">IF('Simulador - 1º Pilar'!$E$99="Sí",IF('Aportaciones Flex'!$B$13&lt;'Aportaciones Flex'!E607,0,F607*$B$8/12),F607*$B$8/12)</f>
        <v>0</v>
      </c>
      <c r="H607" s="125">
        <f t="shared" ca="1" si="83"/>
        <v>0</v>
      </c>
      <c r="I607" s="126">
        <f t="shared" ca="1" si="84"/>
        <v>0</v>
      </c>
      <c r="J607" s="125">
        <f t="shared" ca="1" si="88"/>
        <v>0</v>
      </c>
      <c r="K607" s="151"/>
      <c r="L607" s="125">
        <f t="shared" ca="1" si="89"/>
        <v>0</v>
      </c>
      <c r="P607">
        <f t="shared" si="90"/>
        <v>600</v>
      </c>
      <c r="S607" s="126">
        <f t="shared" ca="1" si="85"/>
        <v>0</v>
      </c>
      <c r="T607" s="126">
        <f t="shared" ca="1" si="91"/>
        <v>0</v>
      </c>
    </row>
    <row r="608" spans="4:20">
      <c r="D608">
        <v>601</v>
      </c>
      <c r="E608" s="6">
        <f t="shared" ca="1" si="86"/>
        <v>34455</v>
      </c>
      <c r="F608" s="7">
        <f t="shared" ca="1" si="87"/>
        <v>0</v>
      </c>
      <c r="G608" s="125">
        <f ca="1">IF('Simulador - 1º Pilar'!$E$99="Sí",IF('Aportaciones Flex'!$B$13&lt;'Aportaciones Flex'!E608,0,F608*$B$8/12),F608*$B$8/12)</f>
        <v>0</v>
      </c>
      <c r="H608" s="125">
        <f t="shared" ca="1" si="83"/>
        <v>0</v>
      </c>
      <c r="I608" s="126">
        <f t="shared" ca="1" si="84"/>
        <v>0</v>
      </c>
      <c r="J608" s="125">
        <f t="shared" ca="1" si="88"/>
        <v>0</v>
      </c>
      <c r="K608" s="151"/>
      <c r="L608" s="125">
        <f t="shared" ca="1" si="89"/>
        <v>0</v>
      </c>
      <c r="P608">
        <f t="shared" si="90"/>
        <v>601</v>
      </c>
      <c r="S608" s="126">
        <f t="shared" ca="1" si="85"/>
        <v>0</v>
      </c>
      <c r="T608" s="126">
        <f t="shared" ca="1" si="91"/>
        <v>0</v>
      </c>
    </row>
    <row r="609" spans="4:20">
      <c r="D609">
        <v>602</v>
      </c>
      <c r="E609" s="6">
        <f t="shared" ca="1" si="86"/>
        <v>34425</v>
      </c>
      <c r="F609" s="7">
        <f t="shared" ca="1" si="87"/>
        <v>0</v>
      </c>
      <c r="G609" s="125">
        <f ca="1">IF('Simulador - 1º Pilar'!$E$99="Sí",IF('Aportaciones Flex'!$B$13&lt;'Aportaciones Flex'!E609,0,F609*$B$8/12),F609*$B$8/12)</f>
        <v>0</v>
      </c>
      <c r="H609" s="125">
        <f t="shared" ca="1" si="83"/>
        <v>0</v>
      </c>
      <c r="I609" s="126">
        <f t="shared" ca="1" si="84"/>
        <v>0</v>
      </c>
      <c r="J609" s="125">
        <f t="shared" ca="1" si="88"/>
        <v>0</v>
      </c>
      <c r="K609" s="151"/>
      <c r="L609" s="125">
        <f t="shared" ca="1" si="89"/>
        <v>0</v>
      </c>
      <c r="P609">
        <f t="shared" si="90"/>
        <v>602</v>
      </c>
      <c r="S609" s="126">
        <f t="shared" ca="1" si="85"/>
        <v>0</v>
      </c>
      <c r="T609" s="126">
        <f t="shared" ca="1" si="91"/>
        <v>0</v>
      </c>
    </row>
    <row r="610" spans="4:20">
      <c r="D610">
        <v>603</v>
      </c>
      <c r="E610" s="6">
        <f t="shared" ca="1" si="86"/>
        <v>34394</v>
      </c>
      <c r="F610" s="7">
        <f t="shared" ca="1" si="87"/>
        <v>0</v>
      </c>
      <c r="G610" s="125">
        <f ca="1">IF('Simulador - 1º Pilar'!$E$99="Sí",IF('Aportaciones Flex'!$B$13&lt;'Aportaciones Flex'!E610,0,F610*$B$8/12),F610*$B$8/12)</f>
        <v>0</v>
      </c>
      <c r="H610" s="125">
        <f t="shared" ca="1" si="83"/>
        <v>0</v>
      </c>
      <c r="I610" s="126">
        <f t="shared" ca="1" si="84"/>
        <v>0</v>
      </c>
      <c r="J610" s="125">
        <f t="shared" ca="1" si="88"/>
        <v>0</v>
      </c>
      <c r="K610" s="151"/>
      <c r="L610" s="125">
        <f t="shared" ca="1" si="89"/>
        <v>0</v>
      </c>
      <c r="P610">
        <f t="shared" si="90"/>
        <v>603</v>
      </c>
      <c r="S610" s="126">
        <f t="shared" ca="1" si="85"/>
        <v>0</v>
      </c>
      <c r="T610" s="126">
        <f t="shared" ca="1" si="91"/>
        <v>0</v>
      </c>
    </row>
    <row r="611" spans="4:20">
      <c r="D611">
        <v>604</v>
      </c>
      <c r="E611" s="6">
        <f t="shared" ca="1" si="86"/>
        <v>34366</v>
      </c>
      <c r="F611" s="7">
        <f t="shared" ca="1" si="87"/>
        <v>0</v>
      </c>
      <c r="G611" s="125">
        <f ca="1">IF('Simulador - 1º Pilar'!$E$99="Sí",IF('Aportaciones Flex'!$B$13&lt;'Aportaciones Flex'!E611,0,F611*$B$8/12),F611*$B$8/12)</f>
        <v>0</v>
      </c>
      <c r="H611" s="125">
        <f t="shared" ca="1" si="83"/>
        <v>0</v>
      </c>
      <c r="I611" s="126">
        <f t="shared" ca="1" si="84"/>
        <v>0</v>
      </c>
      <c r="J611" s="125">
        <f t="shared" ca="1" si="88"/>
        <v>0</v>
      </c>
      <c r="K611" s="151"/>
      <c r="L611" s="125">
        <f t="shared" ca="1" si="89"/>
        <v>0</v>
      </c>
      <c r="P611">
        <f t="shared" si="90"/>
        <v>604</v>
      </c>
      <c r="S611" s="126">
        <f t="shared" ca="1" si="85"/>
        <v>0</v>
      </c>
      <c r="T611" s="126">
        <f t="shared" ca="1" si="91"/>
        <v>0</v>
      </c>
    </row>
    <row r="612" spans="4:20">
      <c r="D612">
        <v>605</v>
      </c>
      <c r="E612" s="6">
        <f t="shared" ca="1" si="86"/>
        <v>34335</v>
      </c>
      <c r="F612" s="7">
        <f t="shared" ca="1" si="87"/>
        <v>0</v>
      </c>
      <c r="G612" s="125">
        <f ca="1">IF('Simulador - 1º Pilar'!$E$99="Sí",IF('Aportaciones Flex'!$B$13&lt;'Aportaciones Flex'!E612,0,F612*$B$8/12),F612*$B$8/12)</f>
        <v>0</v>
      </c>
      <c r="H612" s="125">
        <f t="shared" ca="1" si="83"/>
        <v>0</v>
      </c>
      <c r="I612" s="126">
        <f t="shared" ca="1" si="84"/>
        <v>0</v>
      </c>
      <c r="J612" s="125">
        <f t="shared" ca="1" si="88"/>
        <v>0</v>
      </c>
      <c r="K612" s="151"/>
      <c r="L612" s="125">
        <f t="shared" ca="1" si="89"/>
        <v>0</v>
      </c>
      <c r="P612">
        <f t="shared" si="90"/>
        <v>605</v>
      </c>
      <c r="S612" s="126">
        <f t="shared" ca="1" si="85"/>
        <v>0</v>
      </c>
      <c r="T612" s="126">
        <f t="shared" ca="1" si="91"/>
        <v>0</v>
      </c>
    </row>
    <row r="613" spans="4:20">
      <c r="D613">
        <v>606</v>
      </c>
      <c r="E613" s="6">
        <f t="shared" ca="1" si="86"/>
        <v>34304</v>
      </c>
      <c r="F613" s="7">
        <f t="shared" ca="1" si="87"/>
        <v>0</v>
      </c>
      <c r="G613" s="125">
        <f ca="1">IF('Simulador - 1º Pilar'!$E$99="Sí",IF('Aportaciones Flex'!$B$13&lt;'Aportaciones Flex'!E613,0,F613*$B$8/12),F613*$B$8/12)</f>
        <v>0</v>
      </c>
      <c r="H613" s="125">
        <f t="shared" ca="1" si="83"/>
        <v>0</v>
      </c>
      <c r="I613" s="126">
        <f t="shared" ca="1" si="84"/>
        <v>0</v>
      </c>
      <c r="J613" s="125">
        <f t="shared" ca="1" si="88"/>
        <v>0</v>
      </c>
      <c r="K613" s="151"/>
      <c r="L613" s="125">
        <f t="shared" ca="1" si="89"/>
        <v>0</v>
      </c>
      <c r="P613">
        <f t="shared" si="90"/>
        <v>606</v>
      </c>
      <c r="S613" s="126">
        <f t="shared" ca="1" si="85"/>
        <v>0</v>
      </c>
      <c r="T613" s="126">
        <f t="shared" ca="1" si="91"/>
        <v>0</v>
      </c>
    </row>
    <row r="614" spans="4:20">
      <c r="D614">
        <v>607</v>
      </c>
      <c r="E614" s="6">
        <f t="shared" ca="1" si="86"/>
        <v>34274</v>
      </c>
      <c r="F614" s="7">
        <f t="shared" ca="1" si="87"/>
        <v>0</v>
      </c>
      <c r="G614" s="125">
        <f ca="1">IF('Simulador - 1º Pilar'!$E$99="Sí",IF('Aportaciones Flex'!$B$13&lt;'Aportaciones Flex'!E614,0,F614*$B$8/12),F614*$B$8/12)</f>
        <v>0</v>
      </c>
      <c r="H614" s="125">
        <f t="shared" ca="1" si="83"/>
        <v>0</v>
      </c>
      <c r="I614" s="126">
        <f t="shared" ca="1" si="84"/>
        <v>0</v>
      </c>
      <c r="J614" s="125">
        <f t="shared" ca="1" si="88"/>
        <v>0</v>
      </c>
      <c r="K614" s="151"/>
      <c r="L614" s="125">
        <f t="shared" ca="1" si="89"/>
        <v>0</v>
      </c>
      <c r="P614">
        <f t="shared" si="90"/>
        <v>607</v>
      </c>
      <c r="S614" s="126">
        <f t="shared" ca="1" si="85"/>
        <v>0</v>
      </c>
      <c r="T614" s="126">
        <f t="shared" ca="1" si="91"/>
        <v>0</v>
      </c>
    </row>
    <row r="615" spans="4:20">
      <c r="D615">
        <v>608</v>
      </c>
      <c r="E615" s="6">
        <f t="shared" ca="1" si="86"/>
        <v>34243</v>
      </c>
      <c r="F615" s="7">
        <f t="shared" ca="1" si="87"/>
        <v>0</v>
      </c>
      <c r="G615" s="125">
        <f ca="1">IF('Simulador - 1º Pilar'!$E$99="Sí",IF('Aportaciones Flex'!$B$13&lt;'Aportaciones Flex'!E615,0,F615*$B$8/12),F615*$B$8/12)</f>
        <v>0</v>
      </c>
      <c r="H615" s="125">
        <f t="shared" ca="1" si="83"/>
        <v>0</v>
      </c>
      <c r="I615" s="126">
        <f t="shared" ca="1" si="84"/>
        <v>0</v>
      </c>
      <c r="J615" s="125">
        <f t="shared" ca="1" si="88"/>
        <v>0</v>
      </c>
      <c r="K615" s="151"/>
      <c r="L615" s="125">
        <f t="shared" ca="1" si="89"/>
        <v>0</v>
      </c>
      <c r="P615">
        <f t="shared" si="90"/>
        <v>608</v>
      </c>
      <c r="S615" s="126">
        <f t="shared" ca="1" si="85"/>
        <v>0</v>
      </c>
      <c r="T615" s="126">
        <f t="shared" ca="1" si="91"/>
        <v>0</v>
      </c>
    </row>
    <row r="616" spans="4:20">
      <c r="D616">
        <v>609</v>
      </c>
      <c r="E616" s="6">
        <f t="shared" ca="1" si="86"/>
        <v>34213</v>
      </c>
      <c r="F616" s="7">
        <f t="shared" ca="1" si="87"/>
        <v>0</v>
      </c>
      <c r="G616" s="125">
        <f ca="1">IF('Simulador - 1º Pilar'!$E$99="Sí",IF('Aportaciones Flex'!$B$13&lt;'Aportaciones Flex'!E616,0,F616*$B$8/12),F616*$B$8/12)</f>
        <v>0</v>
      </c>
      <c r="H616" s="125">
        <f t="shared" ca="1" si="83"/>
        <v>0</v>
      </c>
      <c r="I616" s="126">
        <f t="shared" ca="1" si="84"/>
        <v>0</v>
      </c>
      <c r="J616" s="125">
        <f t="shared" ca="1" si="88"/>
        <v>0</v>
      </c>
      <c r="K616" s="151"/>
      <c r="L616" s="125">
        <f t="shared" ca="1" si="89"/>
        <v>0</v>
      </c>
      <c r="P616">
        <f t="shared" si="90"/>
        <v>609</v>
      </c>
      <c r="S616" s="126">
        <f t="shared" ca="1" si="85"/>
        <v>0</v>
      </c>
      <c r="T616" s="126">
        <f t="shared" ca="1" si="91"/>
        <v>0</v>
      </c>
    </row>
    <row r="617" spans="4:20">
      <c r="D617">
        <v>610</v>
      </c>
      <c r="E617" s="6">
        <f t="shared" ca="1" si="86"/>
        <v>34182</v>
      </c>
      <c r="F617" s="7">
        <f t="shared" ca="1" si="87"/>
        <v>0</v>
      </c>
      <c r="G617" s="125">
        <f ca="1">IF('Simulador - 1º Pilar'!$E$99="Sí",IF('Aportaciones Flex'!$B$13&lt;'Aportaciones Flex'!E617,0,F617*$B$8/12),F617*$B$8/12)</f>
        <v>0</v>
      </c>
      <c r="H617" s="125">
        <f t="shared" ca="1" si="83"/>
        <v>0</v>
      </c>
      <c r="I617" s="126">
        <f t="shared" ca="1" si="84"/>
        <v>0</v>
      </c>
      <c r="J617" s="125">
        <f t="shared" ca="1" si="88"/>
        <v>0</v>
      </c>
      <c r="K617" s="151"/>
      <c r="L617" s="125">
        <f t="shared" ca="1" si="89"/>
        <v>0</v>
      </c>
      <c r="P617">
        <f t="shared" si="90"/>
        <v>610</v>
      </c>
      <c r="S617" s="126">
        <f t="shared" ca="1" si="85"/>
        <v>0</v>
      </c>
      <c r="T617" s="126">
        <f t="shared" ca="1" si="91"/>
        <v>0</v>
      </c>
    </row>
    <row r="618" spans="4:20">
      <c r="D618">
        <v>611</v>
      </c>
      <c r="E618" s="6">
        <f t="shared" ca="1" si="86"/>
        <v>34151</v>
      </c>
      <c r="F618" s="7">
        <f t="shared" ca="1" si="87"/>
        <v>0</v>
      </c>
      <c r="G618" s="125">
        <f ca="1">IF('Simulador - 1º Pilar'!$E$99="Sí",IF('Aportaciones Flex'!$B$13&lt;'Aportaciones Flex'!E618,0,F618*$B$8/12),F618*$B$8/12)</f>
        <v>0</v>
      </c>
      <c r="H618" s="125">
        <f t="shared" ca="1" si="83"/>
        <v>0</v>
      </c>
      <c r="I618" s="126">
        <f t="shared" ca="1" si="84"/>
        <v>0</v>
      </c>
      <c r="J618" s="125">
        <f t="shared" ca="1" si="88"/>
        <v>0</v>
      </c>
      <c r="K618" s="151"/>
      <c r="L618" s="125">
        <f t="shared" ca="1" si="89"/>
        <v>0</v>
      </c>
      <c r="P618">
        <f t="shared" si="90"/>
        <v>611</v>
      </c>
      <c r="S618" s="126">
        <f t="shared" ca="1" si="85"/>
        <v>0</v>
      </c>
      <c r="T618" s="126">
        <f t="shared" ca="1" si="91"/>
        <v>0</v>
      </c>
    </row>
    <row r="619" spans="4:20">
      <c r="D619">
        <v>612</v>
      </c>
      <c r="E619" s="6">
        <f t="shared" ca="1" si="86"/>
        <v>34121</v>
      </c>
      <c r="F619" s="7">
        <f t="shared" ca="1" si="87"/>
        <v>0</v>
      </c>
      <c r="G619" s="125">
        <f ca="1">IF('Simulador - 1º Pilar'!$E$99="Sí",IF('Aportaciones Flex'!$B$13&lt;'Aportaciones Flex'!E619,0,F619*$B$8/12),F619*$B$8/12)</f>
        <v>0</v>
      </c>
      <c r="H619" s="125">
        <f t="shared" ca="1" si="83"/>
        <v>0</v>
      </c>
      <c r="I619" s="126">
        <f t="shared" ca="1" si="84"/>
        <v>0</v>
      </c>
      <c r="J619" s="125">
        <f t="shared" ca="1" si="88"/>
        <v>0</v>
      </c>
      <c r="K619" s="151"/>
      <c r="L619" s="125">
        <f t="shared" ca="1" si="89"/>
        <v>0</v>
      </c>
      <c r="P619">
        <f t="shared" si="90"/>
        <v>612</v>
      </c>
      <c r="S619" s="126">
        <f t="shared" ca="1" si="85"/>
        <v>0</v>
      </c>
      <c r="T619" s="126">
        <f t="shared" ca="1" si="91"/>
        <v>0</v>
      </c>
    </row>
    <row r="620" spans="4:20">
      <c r="D620">
        <v>613</v>
      </c>
      <c r="E620" s="6">
        <f t="shared" ca="1" si="86"/>
        <v>34090</v>
      </c>
      <c r="F620" s="7">
        <f t="shared" ca="1" si="87"/>
        <v>0</v>
      </c>
      <c r="G620" s="125">
        <f ca="1">IF('Simulador - 1º Pilar'!$E$99="Sí",IF('Aportaciones Flex'!$B$13&lt;'Aportaciones Flex'!E620,0,F620*$B$8/12),F620*$B$8/12)</f>
        <v>0</v>
      </c>
      <c r="H620" s="125">
        <f t="shared" ca="1" si="83"/>
        <v>0</v>
      </c>
      <c r="I620" s="126">
        <f t="shared" ca="1" si="84"/>
        <v>0</v>
      </c>
      <c r="J620" s="125">
        <f t="shared" ca="1" si="88"/>
        <v>0</v>
      </c>
      <c r="K620" s="151"/>
      <c r="L620" s="125">
        <f t="shared" ca="1" si="89"/>
        <v>0</v>
      </c>
      <c r="P620">
        <f t="shared" si="90"/>
        <v>613</v>
      </c>
      <c r="S620" s="126">
        <f t="shared" ca="1" si="85"/>
        <v>0</v>
      </c>
      <c r="T620" s="126">
        <f t="shared" ca="1" si="91"/>
        <v>0</v>
      </c>
    </row>
    <row r="621" spans="4:20">
      <c r="D621">
        <v>614</v>
      </c>
      <c r="E621" s="6">
        <f t="shared" ca="1" si="86"/>
        <v>34060</v>
      </c>
      <c r="F621" s="7">
        <f t="shared" ca="1" si="87"/>
        <v>0</v>
      </c>
      <c r="G621" s="125">
        <f ca="1">IF('Simulador - 1º Pilar'!$E$99="Sí",IF('Aportaciones Flex'!$B$13&lt;'Aportaciones Flex'!E621,0,F621*$B$8/12),F621*$B$8/12)</f>
        <v>0</v>
      </c>
      <c r="H621" s="125">
        <f t="shared" ca="1" si="83"/>
        <v>0</v>
      </c>
      <c r="I621" s="126">
        <f t="shared" ca="1" si="84"/>
        <v>0</v>
      </c>
      <c r="J621" s="125">
        <f t="shared" ca="1" si="88"/>
        <v>0</v>
      </c>
      <c r="K621" s="151"/>
      <c r="L621" s="125">
        <f t="shared" ca="1" si="89"/>
        <v>0</v>
      </c>
      <c r="P621">
        <f t="shared" si="90"/>
        <v>614</v>
      </c>
      <c r="S621" s="126">
        <f t="shared" ca="1" si="85"/>
        <v>0</v>
      </c>
      <c r="T621" s="126">
        <f t="shared" ca="1" si="91"/>
        <v>0</v>
      </c>
    </row>
    <row r="622" spans="4:20">
      <c r="D622">
        <v>615</v>
      </c>
      <c r="E622" s="6">
        <f t="shared" ca="1" si="86"/>
        <v>34029</v>
      </c>
      <c r="F622" s="7">
        <f t="shared" ca="1" si="87"/>
        <v>0</v>
      </c>
      <c r="G622" s="125">
        <f ca="1">IF('Simulador - 1º Pilar'!$E$99="Sí",IF('Aportaciones Flex'!$B$13&lt;'Aportaciones Flex'!E622,0,F622*$B$8/12),F622*$B$8/12)</f>
        <v>0</v>
      </c>
      <c r="H622" s="125">
        <f t="shared" ca="1" si="83"/>
        <v>0</v>
      </c>
      <c r="I622" s="126">
        <f t="shared" ca="1" si="84"/>
        <v>0</v>
      </c>
      <c r="J622" s="125">
        <f t="shared" ca="1" si="88"/>
        <v>0</v>
      </c>
      <c r="K622" s="151"/>
      <c r="L622" s="125">
        <f t="shared" ca="1" si="89"/>
        <v>0</v>
      </c>
      <c r="P622">
        <f t="shared" si="90"/>
        <v>615</v>
      </c>
      <c r="S622" s="126">
        <f t="shared" ca="1" si="85"/>
        <v>0</v>
      </c>
      <c r="T622" s="126">
        <f t="shared" ca="1" si="91"/>
        <v>0</v>
      </c>
    </row>
    <row r="623" spans="4:20">
      <c r="D623">
        <v>616</v>
      </c>
      <c r="E623" s="6">
        <f t="shared" ca="1" si="86"/>
        <v>34001</v>
      </c>
      <c r="F623" s="7">
        <f t="shared" ca="1" si="87"/>
        <v>0</v>
      </c>
      <c r="G623" s="125">
        <f ca="1">IF('Simulador - 1º Pilar'!$E$99="Sí",IF('Aportaciones Flex'!$B$13&lt;'Aportaciones Flex'!E623,0,F623*$B$8/12),F623*$B$8/12)</f>
        <v>0</v>
      </c>
      <c r="H623" s="125">
        <f t="shared" ca="1" si="83"/>
        <v>0</v>
      </c>
      <c r="I623" s="126">
        <f t="shared" ca="1" si="84"/>
        <v>0</v>
      </c>
      <c r="J623" s="125">
        <f t="shared" ca="1" si="88"/>
        <v>0</v>
      </c>
      <c r="K623" s="151"/>
      <c r="L623" s="125">
        <f t="shared" ca="1" si="89"/>
        <v>0</v>
      </c>
      <c r="P623">
        <f t="shared" si="90"/>
        <v>616</v>
      </c>
      <c r="S623" s="126">
        <f t="shared" ca="1" si="85"/>
        <v>0</v>
      </c>
      <c r="T623" s="126">
        <f t="shared" ca="1" si="91"/>
        <v>0</v>
      </c>
    </row>
    <row r="624" spans="4:20">
      <c r="D624">
        <v>617</v>
      </c>
      <c r="E624" s="6">
        <f t="shared" ca="1" si="86"/>
        <v>33970</v>
      </c>
      <c r="F624" s="7">
        <f t="shared" ca="1" si="87"/>
        <v>0</v>
      </c>
      <c r="G624" s="125">
        <f ca="1">IF('Simulador - 1º Pilar'!$E$99="Sí",IF('Aportaciones Flex'!$B$13&lt;'Aportaciones Flex'!E624,0,F624*$B$8/12),F624*$B$8/12)</f>
        <v>0</v>
      </c>
      <c r="H624" s="125">
        <f t="shared" ca="1" si="83"/>
        <v>0</v>
      </c>
      <c r="I624" s="126">
        <f t="shared" ca="1" si="84"/>
        <v>0</v>
      </c>
      <c r="J624" s="125">
        <f t="shared" ca="1" si="88"/>
        <v>0</v>
      </c>
      <c r="K624" s="151"/>
      <c r="L624" s="125">
        <f t="shared" ca="1" si="89"/>
        <v>0</v>
      </c>
      <c r="P624">
        <f t="shared" si="90"/>
        <v>617</v>
      </c>
      <c r="S624" s="126">
        <f t="shared" ca="1" si="85"/>
        <v>0</v>
      </c>
      <c r="T624" s="126">
        <f t="shared" ca="1" si="91"/>
        <v>0</v>
      </c>
    </row>
    <row r="625" spans="4:20">
      <c r="D625">
        <v>618</v>
      </c>
      <c r="E625" s="6">
        <f t="shared" ca="1" si="86"/>
        <v>33939</v>
      </c>
      <c r="F625" s="7">
        <f t="shared" ca="1" si="87"/>
        <v>0</v>
      </c>
      <c r="G625" s="125">
        <f ca="1">IF('Simulador - 1º Pilar'!$E$99="Sí",IF('Aportaciones Flex'!$B$13&lt;'Aportaciones Flex'!E625,0,F625*$B$8/12),F625*$B$8/12)</f>
        <v>0</v>
      </c>
      <c r="H625" s="125">
        <f t="shared" ca="1" si="83"/>
        <v>0</v>
      </c>
      <c r="I625" s="126">
        <f t="shared" ca="1" si="84"/>
        <v>0</v>
      </c>
      <c r="J625" s="125">
        <f t="shared" ca="1" si="88"/>
        <v>0</v>
      </c>
      <c r="K625" s="151"/>
      <c r="L625" s="125">
        <f t="shared" ca="1" si="89"/>
        <v>0</v>
      </c>
      <c r="P625">
        <f t="shared" si="90"/>
        <v>618</v>
      </c>
      <c r="S625" s="126">
        <f t="shared" ca="1" si="85"/>
        <v>0</v>
      </c>
      <c r="T625" s="126">
        <f t="shared" ca="1" si="91"/>
        <v>0</v>
      </c>
    </row>
    <row r="626" spans="4:20">
      <c r="D626">
        <v>619</v>
      </c>
      <c r="E626" s="6">
        <f t="shared" ca="1" si="86"/>
        <v>33909</v>
      </c>
      <c r="F626" s="7">
        <f t="shared" ca="1" si="87"/>
        <v>0</v>
      </c>
      <c r="G626" s="125">
        <f ca="1">IF('Simulador - 1º Pilar'!$E$99="Sí",IF('Aportaciones Flex'!$B$13&lt;'Aportaciones Flex'!E626,0,F626*$B$8/12),F626*$B$8/12)</f>
        <v>0</v>
      </c>
      <c r="H626" s="125">
        <f t="shared" ca="1" si="83"/>
        <v>0</v>
      </c>
      <c r="I626" s="126">
        <f t="shared" ca="1" si="84"/>
        <v>0</v>
      </c>
      <c r="J626" s="125">
        <f t="shared" ca="1" si="88"/>
        <v>0</v>
      </c>
      <c r="K626" s="151"/>
      <c r="L626" s="125">
        <f t="shared" ca="1" si="89"/>
        <v>0</v>
      </c>
      <c r="P626">
        <f t="shared" si="90"/>
        <v>619</v>
      </c>
      <c r="S626" s="126">
        <f t="shared" ca="1" si="85"/>
        <v>0</v>
      </c>
      <c r="T626" s="126">
        <f t="shared" ca="1" si="91"/>
        <v>0</v>
      </c>
    </row>
    <row r="627" spans="4:20">
      <c r="D627">
        <v>620</v>
      </c>
      <c r="E627" s="6">
        <f t="shared" ca="1" si="86"/>
        <v>33878</v>
      </c>
      <c r="F627" s="7">
        <f t="shared" ca="1" si="87"/>
        <v>0</v>
      </c>
      <c r="G627" s="125">
        <f ca="1">IF('Simulador - 1º Pilar'!$E$99="Sí",IF('Aportaciones Flex'!$B$13&lt;'Aportaciones Flex'!E627,0,F627*$B$8/12),F627*$B$8/12)</f>
        <v>0</v>
      </c>
      <c r="H627" s="125">
        <f t="shared" ca="1" si="83"/>
        <v>0</v>
      </c>
      <c r="I627" s="126">
        <f t="shared" ca="1" si="84"/>
        <v>0</v>
      </c>
      <c r="J627" s="125">
        <f t="shared" ca="1" si="88"/>
        <v>0</v>
      </c>
      <c r="K627" s="151"/>
      <c r="L627" s="125">
        <f t="shared" ca="1" si="89"/>
        <v>0</v>
      </c>
      <c r="P627">
        <f t="shared" si="90"/>
        <v>620</v>
      </c>
      <c r="S627" s="126">
        <f t="shared" ca="1" si="85"/>
        <v>0</v>
      </c>
      <c r="T627" s="126">
        <f t="shared" ca="1" si="91"/>
        <v>0</v>
      </c>
    </row>
    <row r="628" spans="4:20">
      <c r="D628">
        <v>621</v>
      </c>
      <c r="E628" s="6">
        <f t="shared" ca="1" si="86"/>
        <v>33848</v>
      </c>
      <c r="F628" s="7">
        <f t="shared" ca="1" si="87"/>
        <v>0</v>
      </c>
      <c r="G628" s="125">
        <f ca="1">IF('Simulador - 1º Pilar'!$E$99="Sí",IF('Aportaciones Flex'!$B$13&lt;'Aportaciones Flex'!E628,0,F628*$B$8/12),F628*$B$8/12)</f>
        <v>0</v>
      </c>
      <c r="H628" s="125">
        <f t="shared" ca="1" si="83"/>
        <v>0</v>
      </c>
      <c r="I628" s="126">
        <f t="shared" ca="1" si="84"/>
        <v>0</v>
      </c>
      <c r="J628" s="125">
        <f t="shared" ca="1" si="88"/>
        <v>0</v>
      </c>
      <c r="K628" s="151"/>
      <c r="L628" s="125">
        <f t="shared" ca="1" si="89"/>
        <v>0</v>
      </c>
      <c r="P628">
        <f t="shared" si="90"/>
        <v>621</v>
      </c>
      <c r="S628" s="126">
        <f t="shared" ca="1" si="85"/>
        <v>0</v>
      </c>
      <c r="T628" s="126">
        <f t="shared" ca="1" si="91"/>
        <v>0</v>
      </c>
    </row>
    <row r="629" spans="4:20">
      <c r="D629">
        <v>622</v>
      </c>
      <c r="E629" s="6">
        <f t="shared" ca="1" si="86"/>
        <v>33817</v>
      </c>
      <c r="F629" s="7">
        <f t="shared" ca="1" si="87"/>
        <v>0</v>
      </c>
      <c r="G629" s="125">
        <f ca="1">IF('Simulador - 1º Pilar'!$E$99="Sí",IF('Aportaciones Flex'!$B$13&lt;'Aportaciones Flex'!E629,0,F629*$B$8/12),F629*$B$8/12)</f>
        <v>0</v>
      </c>
      <c r="H629" s="125">
        <f t="shared" ca="1" si="83"/>
        <v>0</v>
      </c>
      <c r="I629" s="126">
        <f t="shared" ca="1" si="84"/>
        <v>0</v>
      </c>
      <c r="J629" s="125">
        <f t="shared" ca="1" si="88"/>
        <v>0</v>
      </c>
      <c r="K629" s="151"/>
      <c r="L629" s="125">
        <f t="shared" ca="1" si="89"/>
        <v>0</v>
      </c>
      <c r="P629">
        <f t="shared" si="90"/>
        <v>622</v>
      </c>
      <c r="S629" s="126">
        <f t="shared" ca="1" si="85"/>
        <v>0</v>
      </c>
      <c r="T629" s="126">
        <f t="shared" ca="1" si="91"/>
        <v>0</v>
      </c>
    </row>
    <row r="630" spans="4:20">
      <c r="D630">
        <v>623</v>
      </c>
      <c r="E630" s="6">
        <f t="shared" ca="1" si="86"/>
        <v>33786</v>
      </c>
      <c r="F630" s="7">
        <f t="shared" ca="1" si="87"/>
        <v>0</v>
      </c>
      <c r="G630" s="125">
        <f ca="1">IF('Simulador - 1º Pilar'!$E$99="Sí",IF('Aportaciones Flex'!$B$13&lt;'Aportaciones Flex'!E630,0,F630*$B$8/12),F630*$B$8/12)</f>
        <v>0</v>
      </c>
      <c r="H630" s="125">
        <f t="shared" ca="1" si="83"/>
        <v>0</v>
      </c>
      <c r="I630" s="126">
        <f t="shared" ca="1" si="84"/>
        <v>0</v>
      </c>
      <c r="J630" s="125">
        <f t="shared" ca="1" si="88"/>
        <v>0</v>
      </c>
      <c r="K630" s="151"/>
      <c r="L630" s="125">
        <f t="shared" ca="1" si="89"/>
        <v>0</v>
      </c>
      <c r="P630">
        <f t="shared" si="90"/>
        <v>623</v>
      </c>
      <c r="S630" s="126">
        <f t="shared" ca="1" si="85"/>
        <v>0</v>
      </c>
      <c r="T630" s="126">
        <f t="shared" ca="1" si="91"/>
        <v>0</v>
      </c>
    </row>
    <row r="631" spans="4:20">
      <c r="D631">
        <v>624</v>
      </c>
      <c r="E631" s="6">
        <f t="shared" ca="1" si="86"/>
        <v>33756</v>
      </c>
      <c r="F631" s="7">
        <f t="shared" ca="1" si="87"/>
        <v>0</v>
      </c>
      <c r="G631" s="125">
        <f ca="1">IF('Simulador - 1º Pilar'!$E$99="Sí",IF('Aportaciones Flex'!$B$13&lt;'Aportaciones Flex'!E631,0,F631*$B$8/12),F631*$B$8/12)</f>
        <v>0</v>
      </c>
      <c r="H631" s="125">
        <f t="shared" ca="1" si="83"/>
        <v>0</v>
      </c>
      <c r="I631" s="126">
        <f t="shared" ca="1" si="84"/>
        <v>0</v>
      </c>
      <c r="J631" s="125">
        <f t="shared" ca="1" si="88"/>
        <v>0</v>
      </c>
      <c r="K631" s="151"/>
      <c r="L631" s="125">
        <f t="shared" ca="1" si="89"/>
        <v>0</v>
      </c>
      <c r="P631">
        <f t="shared" si="90"/>
        <v>624</v>
      </c>
      <c r="S631" s="126">
        <f t="shared" ca="1" si="85"/>
        <v>0</v>
      </c>
      <c r="T631" s="126">
        <f t="shared" ca="1" si="91"/>
        <v>0</v>
      </c>
    </row>
    <row r="632" spans="4:20">
      <c r="D632">
        <v>625</v>
      </c>
      <c r="E632" s="6">
        <f t="shared" ca="1" si="86"/>
        <v>33725</v>
      </c>
      <c r="F632" s="7">
        <f t="shared" ca="1" si="87"/>
        <v>0</v>
      </c>
      <c r="G632" s="125">
        <f ca="1">IF('Simulador - 1º Pilar'!$E$99="Sí",IF('Aportaciones Flex'!$B$13&lt;'Aportaciones Flex'!E632,0,F632*$B$8/12),F632*$B$8/12)</f>
        <v>0</v>
      </c>
      <c r="H632" s="125">
        <f t="shared" ca="1" si="83"/>
        <v>0</v>
      </c>
      <c r="I632" s="126">
        <f t="shared" ca="1" si="84"/>
        <v>0</v>
      </c>
      <c r="J632" s="125">
        <f t="shared" ca="1" si="88"/>
        <v>0</v>
      </c>
      <c r="K632" s="151"/>
      <c r="L632" s="125">
        <f t="shared" ca="1" si="89"/>
        <v>0</v>
      </c>
      <c r="P632">
        <f t="shared" si="90"/>
        <v>625</v>
      </c>
      <c r="S632" s="126">
        <f t="shared" ca="1" si="85"/>
        <v>0</v>
      </c>
      <c r="T632" s="126">
        <f t="shared" ca="1" si="91"/>
        <v>0</v>
      </c>
    </row>
    <row r="633" spans="4:20">
      <c r="D633">
        <v>626</v>
      </c>
      <c r="E633" s="6">
        <f t="shared" ca="1" si="86"/>
        <v>33695</v>
      </c>
      <c r="F633" s="7">
        <f t="shared" ca="1" si="87"/>
        <v>0</v>
      </c>
      <c r="G633" s="125">
        <f ca="1">IF('Simulador - 1º Pilar'!$E$99="Sí",IF('Aportaciones Flex'!$B$13&lt;'Aportaciones Flex'!E633,0,F633*$B$8/12),F633*$B$8/12)</f>
        <v>0</v>
      </c>
      <c r="H633" s="125">
        <f t="shared" ca="1" si="83"/>
        <v>0</v>
      </c>
      <c r="I633" s="126">
        <f t="shared" ca="1" si="84"/>
        <v>0</v>
      </c>
      <c r="J633" s="125">
        <f t="shared" ca="1" si="88"/>
        <v>0</v>
      </c>
      <c r="K633" s="151"/>
      <c r="L633" s="125">
        <f t="shared" ca="1" si="89"/>
        <v>0</v>
      </c>
      <c r="P633">
        <f t="shared" si="90"/>
        <v>626</v>
      </c>
      <c r="S633" s="126">
        <f t="shared" ca="1" si="85"/>
        <v>0</v>
      </c>
      <c r="T633" s="126">
        <f t="shared" ca="1" si="91"/>
        <v>0</v>
      </c>
    </row>
    <row r="634" spans="4:20">
      <c r="D634">
        <v>627</v>
      </c>
      <c r="E634" s="6">
        <f t="shared" ca="1" si="86"/>
        <v>33664</v>
      </c>
      <c r="F634" s="7">
        <f t="shared" ca="1" si="87"/>
        <v>0</v>
      </c>
      <c r="G634" s="125">
        <f ca="1">IF('Simulador - 1º Pilar'!$E$99="Sí",IF('Aportaciones Flex'!$B$13&lt;'Aportaciones Flex'!E634,0,F634*$B$8/12),F634*$B$8/12)</f>
        <v>0</v>
      </c>
      <c r="H634" s="125">
        <f t="shared" ca="1" si="83"/>
        <v>0</v>
      </c>
      <c r="I634" s="126">
        <f t="shared" ca="1" si="84"/>
        <v>0</v>
      </c>
      <c r="J634" s="125">
        <f t="shared" ca="1" si="88"/>
        <v>0</v>
      </c>
      <c r="K634" s="151"/>
      <c r="L634" s="125">
        <f t="shared" ca="1" si="89"/>
        <v>0</v>
      </c>
      <c r="P634">
        <f t="shared" si="90"/>
        <v>627</v>
      </c>
      <c r="S634" s="126">
        <f t="shared" ca="1" si="85"/>
        <v>0</v>
      </c>
      <c r="T634" s="126">
        <f t="shared" ca="1" si="91"/>
        <v>0</v>
      </c>
    </row>
    <row r="635" spans="4:20">
      <c r="D635">
        <v>628</v>
      </c>
      <c r="E635" s="6">
        <f t="shared" ca="1" si="86"/>
        <v>33635</v>
      </c>
      <c r="F635" s="7">
        <f t="shared" ca="1" si="87"/>
        <v>0</v>
      </c>
      <c r="G635" s="125">
        <f ca="1">IF('Simulador - 1º Pilar'!$E$99="Sí",IF('Aportaciones Flex'!$B$13&lt;'Aportaciones Flex'!E635,0,F635*$B$8/12),F635*$B$8/12)</f>
        <v>0</v>
      </c>
      <c r="H635" s="125">
        <f t="shared" ca="1" si="83"/>
        <v>0</v>
      </c>
      <c r="I635" s="126">
        <f t="shared" ca="1" si="84"/>
        <v>0</v>
      </c>
      <c r="J635" s="125">
        <f t="shared" ca="1" si="88"/>
        <v>0</v>
      </c>
      <c r="K635" s="151"/>
      <c r="L635" s="125">
        <f t="shared" ca="1" si="89"/>
        <v>0</v>
      </c>
      <c r="P635">
        <f t="shared" si="90"/>
        <v>628</v>
      </c>
      <c r="S635" s="126">
        <f t="shared" ca="1" si="85"/>
        <v>0</v>
      </c>
      <c r="T635" s="126">
        <f t="shared" ca="1" si="91"/>
        <v>0</v>
      </c>
    </row>
    <row r="636" spans="4:20">
      <c r="D636">
        <v>629</v>
      </c>
      <c r="E636" s="6">
        <f t="shared" ca="1" si="86"/>
        <v>33604</v>
      </c>
      <c r="F636" s="7">
        <f t="shared" ca="1" si="87"/>
        <v>0</v>
      </c>
      <c r="G636" s="125">
        <f ca="1">IF('Simulador - 1º Pilar'!$E$99="Sí",IF('Aportaciones Flex'!$B$13&lt;'Aportaciones Flex'!E636,0,F636*$B$8/12),F636*$B$8/12)</f>
        <v>0</v>
      </c>
      <c r="H636" s="125">
        <f t="shared" ca="1" si="83"/>
        <v>0</v>
      </c>
      <c r="I636" s="126">
        <f t="shared" ca="1" si="84"/>
        <v>0</v>
      </c>
      <c r="J636" s="125">
        <f t="shared" ca="1" si="88"/>
        <v>0</v>
      </c>
      <c r="K636" s="151"/>
      <c r="L636" s="125">
        <f t="shared" ca="1" si="89"/>
        <v>0</v>
      </c>
      <c r="P636">
        <f t="shared" si="90"/>
        <v>629</v>
      </c>
      <c r="S636" s="126">
        <f t="shared" ca="1" si="85"/>
        <v>0</v>
      </c>
      <c r="T636" s="126">
        <f t="shared" ca="1" si="91"/>
        <v>0</v>
      </c>
    </row>
    <row r="637" spans="4:20">
      <c r="D637">
        <v>630</v>
      </c>
      <c r="E637" s="6">
        <f t="shared" ca="1" si="86"/>
        <v>33573</v>
      </c>
      <c r="F637" s="7">
        <f t="shared" ca="1" si="87"/>
        <v>0</v>
      </c>
      <c r="G637" s="125">
        <f ca="1">IF('Simulador - 1º Pilar'!$E$99="Sí",IF('Aportaciones Flex'!$B$13&lt;'Aportaciones Flex'!E637,0,F637*$B$8/12),F637*$B$8/12)</f>
        <v>0</v>
      </c>
      <c r="H637" s="125">
        <f t="shared" ca="1" si="83"/>
        <v>0</v>
      </c>
      <c r="I637" s="126">
        <f t="shared" ca="1" si="84"/>
        <v>0</v>
      </c>
      <c r="J637" s="125">
        <f t="shared" ca="1" si="88"/>
        <v>0</v>
      </c>
      <c r="K637" s="151"/>
      <c r="L637" s="125">
        <f t="shared" ca="1" si="89"/>
        <v>0</v>
      </c>
      <c r="P637">
        <f t="shared" si="90"/>
        <v>630</v>
      </c>
      <c r="S637" s="126">
        <f t="shared" ca="1" si="85"/>
        <v>0</v>
      </c>
      <c r="T637" s="126">
        <f t="shared" ca="1" si="91"/>
        <v>0</v>
      </c>
    </row>
    <row r="638" spans="4:20">
      <c r="D638">
        <v>631</v>
      </c>
      <c r="E638" s="6">
        <f t="shared" ca="1" si="86"/>
        <v>33543</v>
      </c>
      <c r="F638" s="7">
        <f t="shared" ca="1" si="87"/>
        <v>0</v>
      </c>
      <c r="G638" s="125">
        <f ca="1">IF('Simulador - 1º Pilar'!$E$99="Sí",IF('Aportaciones Flex'!$B$13&lt;'Aportaciones Flex'!E638,0,F638*$B$8/12),F638*$B$8/12)</f>
        <v>0</v>
      </c>
      <c r="H638" s="125">
        <f t="shared" ca="1" si="83"/>
        <v>0</v>
      </c>
      <c r="I638" s="126">
        <f t="shared" ca="1" si="84"/>
        <v>0</v>
      </c>
      <c r="J638" s="125">
        <f t="shared" ca="1" si="88"/>
        <v>0</v>
      </c>
      <c r="K638" s="151"/>
      <c r="L638" s="125">
        <f t="shared" ca="1" si="89"/>
        <v>0</v>
      </c>
      <c r="P638">
        <f t="shared" si="90"/>
        <v>631</v>
      </c>
      <c r="S638" s="126">
        <f t="shared" ca="1" si="85"/>
        <v>0</v>
      </c>
      <c r="T638" s="126">
        <f t="shared" ca="1" si="91"/>
        <v>0</v>
      </c>
    </row>
    <row r="639" spans="4:20">
      <c r="D639">
        <v>632</v>
      </c>
      <c r="E639" s="6">
        <f t="shared" ca="1" si="86"/>
        <v>33512</v>
      </c>
      <c r="F639" s="7">
        <f t="shared" ca="1" si="87"/>
        <v>0</v>
      </c>
      <c r="G639" s="125">
        <f ca="1">IF('Simulador - 1º Pilar'!$E$99="Sí",IF('Aportaciones Flex'!$B$13&lt;'Aportaciones Flex'!E639,0,F639*$B$8/12),F639*$B$8/12)</f>
        <v>0</v>
      </c>
      <c r="H639" s="125">
        <f t="shared" ca="1" si="83"/>
        <v>0</v>
      </c>
      <c r="I639" s="126">
        <f t="shared" ca="1" si="84"/>
        <v>0</v>
      </c>
      <c r="J639" s="125">
        <f t="shared" ca="1" si="88"/>
        <v>0</v>
      </c>
      <c r="K639" s="151"/>
      <c r="L639" s="125">
        <f t="shared" ca="1" si="89"/>
        <v>0</v>
      </c>
      <c r="P639">
        <f t="shared" si="90"/>
        <v>632</v>
      </c>
      <c r="S639" s="126">
        <f t="shared" ca="1" si="85"/>
        <v>0</v>
      </c>
      <c r="T639" s="126">
        <f t="shared" ca="1" si="91"/>
        <v>0</v>
      </c>
    </row>
    <row r="640" spans="4:20">
      <c r="D640">
        <v>633</v>
      </c>
      <c r="E640" s="6">
        <f t="shared" ca="1" si="86"/>
        <v>33482</v>
      </c>
      <c r="F640" s="7">
        <f t="shared" ca="1" si="87"/>
        <v>0</v>
      </c>
      <c r="G640" s="125">
        <f ca="1">IF('Simulador - 1º Pilar'!$E$99="Sí",IF('Aportaciones Flex'!$B$13&lt;'Aportaciones Flex'!E640,0,F640*$B$8/12),F640*$B$8/12)</f>
        <v>0</v>
      </c>
      <c r="H640" s="125">
        <f t="shared" ca="1" si="83"/>
        <v>0</v>
      </c>
      <c r="I640" s="126">
        <f t="shared" ca="1" si="84"/>
        <v>0</v>
      </c>
      <c r="J640" s="125">
        <f t="shared" ca="1" si="88"/>
        <v>0</v>
      </c>
      <c r="K640" s="151"/>
      <c r="L640" s="125">
        <f t="shared" ca="1" si="89"/>
        <v>0</v>
      </c>
      <c r="P640">
        <f t="shared" si="90"/>
        <v>633</v>
      </c>
      <c r="S640" s="126">
        <f t="shared" ca="1" si="85"/>
        <v>0</v>
      </c>
      <c r="T640" s="126">
        <f t="shared" ca="1" si="91"/>
        <v>0</v>
      </c>
    </row>
    <row r="641" spans="4:20">
      <c r="D641">
        <v>634</v>
      </c>
      <c r="E641" s="6">
        <f t="shared" ca="1" si="86"/>
        <v>33451</v>
      </c>
      <c r="F641" s="7">
        <f t="shared" ca="1" si="87"/>
        <v>0</v>
      </c>
      <c r="G641" s="125">
        <f ca="1">IF('Simulador - 1º Pilar'!$E$99="Sí",IF('Aportaciones Flex'!$B$13&lt;'Aportaciones Flex'!E641,0,F641*$B$8/12),F641*$B$8/12)</f>
        <v>0</v>
      </c>
      <c r="H641" s="125">
        <f t="shared" ca="1" si="83"/>
        <v>0</v>
      </c>
      <c r="I641" s="126">
        <f t="shared" ca="1" si="84"/>
        <v>0</v>
      </c>
      <c r="J641" s="125">
        <f t="shared" ca="1" si="88"/>
        <v>0</v>
      </c>
      <c r="K641" s="151"/>
      <c r="L641" s="125">
        <f t="shared" ca="1" si="89"/>
        <v>0</v>
      </c>
      <c r="P641">
        <f t="shared" si="90"/>
        <v>634</v>
      </c>
      <c r="S641" s="126">
        <f t="shared" ca="1" si="85"/>
        <v>0</v>
      </c>
      <c r="T641" s="126">
        <f t="shared" ca="1" si="91"/>
        <v>0</v>
      </c>
    </row>
    <row r="642" spans="4:20">
      <c r="D642">
        <v>635</v>
      </c>
      <c r="E642" s="6">
        <f t="shared" ca="1" si="86"/>
        <v>33420</v>
      </c>
      <c r="F642" s="7">
        <f t="shared" ca="1" si="87"/>
        <v>0</v>
      </c>
      <c r="G642" s="125">
        <f ca="1">IF('Simulador - 1º Pilar'!$E$99="Sí",IF('Aportaciones Flex'!$B$13&lt;'Aportaciones Flex'!E642,0,F642*$B$8/12),F642*$B$8/12)</f>
        <v>0</v>
      </c>
      <c r="H642" s="125">
        <f t="shared" ref="H642:H705" ca="1" si="92">IF(G642&gt;0,1,0)*$H$5*IF(AND($I$5="NO",YEAR(E642)=YEAR($B$6)+1),1,IF($I$5="SI",1,0))</f>
        <v>0</v>
      </c>
      <c r="I642" s="126">
        <f t="shared" ca="1" si="84"/>
        <v>0</v>
      </c>
      <c r="J642" s="125">
        <f t="shared" ca="1" si="88"/>
        <v>0</v>
      </c>
      <c r="K642" s="151"/>
      <c r="L642" s="125">
        <f t="shared" ca="1" si="89"/>
        <v>0</v>
      </c>
      <c r="P642">
        <f t="shared" si="90"/>
        <v>635</v>
      </c>
      <c r="S642" s="126">
        <f t="shared" ca="1" si="85"/>
        <v>0</v>
      </c>
      <c r="T642" s="126">
        <f t="shared" ca="1" si="91"/>
        <v>0</v>
      </c>
    </row>
    <row r="643" spans="4:20">
      <c r="D643">
        <v>636</v>
      </c>
      <c r="E643" s="6">
        <f t="shared" ca="1" si="86"/>
        <v>33390</v>
      </c>
      <c r="F643" s="7">
        <f t="shared" ca="1" si="87"/>
        <v>0</v>
      </c>
      <c r="G643" s="125">
        <f ca="1">IF('Simulador - 1º Pilar'!$E$99="Sí",IF('Aportaciones Flex'!$B$13&lt;'Aportaciones Flex'!E643,0,F643*$B$8/12),F643*$B$8/12)</f>
        <v>0</v>
      </c>
      <c r="H643" s="125">
        <f t="shared" ca="1" si="92"/>
        <v>0</v>
      </c>
      <c r="I643" s="126">
        <f t="shared" ca="1" si="84"/>
        <v>0</v>
      </c>
      <c r="J643" s="125">
        <f t="shared" ca="1" si="88"/>
        <v>0</v>
      </c>
      <c r="K643" s="151"/>
      <c r="L643" s="125">
        <f t="shared" ca="1" si="89"/>
        <v>0</v>
      </c>
      <c r="P643">
        <f t="shared" si="90"/>
        <v>636</v>
      </c>
      <c r="S643" s="126">
        <f t="shared" ca="1" si="85"/>
        <v>0</v>
      </c>
      <c r="T643" s="126">
        <f t="shared" ca="1" si="91"/>
        <v>0</v>
      </c>
    </row>
    <row r="644" spans="4:20">
      <c r="D644">
        <v>637</v>
      </c>
      <c r="E644" s="6">
        <f t="shared" ca="1" si="86"/>
        <v>33359</v>
      </c>
      <c r="F644" s="7">
        <f t="shared" ca="1" si="87"/>
        <v>0</v>
      </c>
      <c r="G644" s="125">
        <f ca="1">IF('Simulador - 1º Pilar'!$E$99="Sí",IF('Aportaciones Flex'!$B$13&lt;'Aportaciones Flex'!E644,0,F644*$B$8/12),F644*$B$8/12)</f>
        <v>0</v>
      </c>
      <c r="H644" s="125">
        <f t="shared" ca="1" si="92"/>
        <v>0</v>
      </c>
      <c r="I644" s="126">
        <f t="shared" ca="1" si="84"/>
        <v>0</v>
      </c>
      <c r="J644" s="125">
        <f t="shared" ca="1" si="88"/>
        <v>0</v>
      </c>
      <c r="K644" s="151"/>
      <c r="L644" s="125">
        <f t="shared" ca="1" si="89"/>
        <v>0</v>
      </c>
      <c r="P644">
        <f t="shared" si="90"/>
        <v>637</v>
      </c>
      <c r="S644" s="126">
        <f t="shared" ca="1" si="85"/>
        <v>0</v>
      </c>
      <c r="T644" s="126">
        <f t="shared" ca="1" si="91"/>
        <v>0</v>
      </c>
    </row>
    <row r="645" spans="4:20">
      <c r="D645">
        <v>638</v>
      </c>
      <c r="E645" s="6">
        <f t="shared" ca="1" si="86"/>
        <v>33329</v>
      </c>
      <c r="F645" s="7">
        <f t="shared" ca="1" si="87"/>
        <v>0</v>
      </c>
      <c r="G645" s="125">
        <f ca="1">IF('Simulador - 1º Pilar'!$E$99="Sí",IF('Aportaciones Flex'!$B$13&lt;'Aportaciones Flex'!E645,0,F645*$B$8/12),F645*$B$8/12)</f>
        <v>0</v>
      </c>
      <c r="H645" s="125">
        <f t="shared" ca="1" si="92"/>
        <v>0</v>
      </c>
      <c r="I645" s="126">
        <f t="shared" ca="1" si="84"/>
        <v>0</v>
      </c>
      <c r="J645" s="125">
        <f t="shared" ca="1" si="88"/>
        <v>0</v>
      </c>
      <c r="K645" s="151"/>
      <c r="L645" s="125">
        <f t="shared" ca="1" si="89"/>
        <v>0</v>
      </c>
      <c r="P645">
        <f t="shared" si="90"/>
        <v>638</v>
      </c>
      <c r="S645" s="126">
        <f t="shared" ca="1" si="85"/>
        <v>0</v>
      </c>
      <c r="T645" s="126">
        <f t="shared" ca="1" si="91"/>
        <v>0</v>
      </c>
    </row>
    <row r="646" spans="4:20">
      <c r="D646">
        <v>639</v>
      </c>
      <c r="E646" s="6">
        <f t="shared" ca="1" si="86"/>
        <v>33298</v>
      </c>
      <c r="F646" s="7">
        <f t="shared" ca="1" si="87"/>
        <v>0</v>
      </c>
      <c r="G646" s="125">
        <f ca="1">IF('Simulador - 1º Pilar'!$E$99="Sí",IF('Aportaciones Flex'!$B$13&lt;'Aportaciones Flex'!E646,0,F646*$B$8/12),F646*$B$8/12)</f>
        <v>0</v>
      </c>
      <c r="H646" s="125">
        <f t="shared" ca="1" si="92"/>
        <v>0</v>
      </c>
      <c r="I646" s="126">
        <f t="shared" ca="1" si="84"/>
        <v>0</v>
      </c>
      <c r="J646" s="125">
        <f t="shared" ca="1" si="88"/>
        <v>0</v>
      </c>
      <c r="K646" s="151"/>
      <c r="L646" s="125">
        <f t="shared" ca="1" si="89"/>
        <v>0</v>
      </c>
      <c r="P646">
        <f t="shared" si="90"/>
        <v>639</v>
      </c>
      <c r="S646" s="126">
        <f t="shared" ca="1" si="85"/>
        <v>0</v>
      </c>
      <c r="T646" s="126">
        <f t="shared" ca="1" si="91"/>
        <v>0</v>
      </c>
    </row>
    <row r="647" spans="4:20">
      <c r="D647">
        <v>640</v>
      </c>
      <c r="E647" s="6">
        <f t="shared" ca="1" si="86"/>
        <v>33270</v>
      </c>
      <c r="F647" s="7">
        <f t="shared" ca="1" si="87"/>
        <v>0</v>
      </c>
      <c r="G647" s="125">
        <f ca="1">IF('Simulador - 1º Pilar'!$E$99="Sí",IF('Aportaciones Flex'!$B$13&lt;'Aportaciones Flex'!E647,0,F647*$B$8/12),F647*$B$8/12)</f>
        <v>0</v>
      </c>
      <c r="H647" s="125">
        <f t="shared" ca="1" si="92"/>
        <v>0</v>
      </c>
      <c r="I647" s="126">
        <f t="shared" ref="I647:I710" ca="1" si="93">(1+$M$5)^(D647/12)*(H647*(12-IF(MONTH(E648)=12,0,MONTH(E648)))+IF(AND(F647=1,F648=0),$Q$4,0))*IF(AND(F647=1,F648=0),1,0)</f>
        <v>0</v>
      </c>
      <c r="J647" s="125">
        <f t="shared" ca="1" si="88"/>
        <v>0</v>
      </c>
      <c r="K647" s="151"/>
      <c r="L647" s="125">
        <f t="shared" ca="1" si="89"/>
        <v>0</v>
      </c>
      <c r="P647">
        <f t="shared" si="90"/>
        <v>640</v>
      </c>
      <c r="S647" s="126">
        <f t="shared" ref="S647:S710" ca="1" si="94">(1+$M$5)^(D647/12)*(IF(E647=$C$6,$Q$4+$H$5*12,0))</f>
        <v>0</v>
      </c>
      <c r="T647" s="126">
        <f t="shared" ca="1" si="91"/>
        <v>0</v>
      </c>
    </row>
    <row r="648" spans="4:20">
      <c r="D648">
        <v>641</v>
      </c>
      <c r="E648" s="6">
        <f t="shared" ref="E648:E711" ca="1" si="95">+DATE(YEAR(E647),MONTH(E647)-1,DAY(E647))</f>
        <v>33239</v>
      </c>
      <c r="F648" s="7">
        <f t="shared" ref="F648:F711" ca="1" si="96">IF(DATE(YEAR($B$6),MONTH($B$6)+1,DAY(1))=E648,1,IF(MONTH(E648)=1,F649*(1+$F$5),F649))</f>
        <v>0</v>
      </c>
      <c r="G648" s="125">
        <f ca="1">IF('Simulador - 1º Pilar'!$E$99="Sí",IF('Aportaciones Flex'!$B$13&lt;'Aportaciones Flex'!E648,0,F648*$B$8/12),F648*$B$8/12)</f>
        <v>0</v>
      </c>
      <c r="H648" s="125">
        <f t="shared" ca="1" si="92"/>
        <v>0</v>
      </c>
      <c r="I648" s="126">
        <f t="shared" ca="1" si="93"/>
        <v>0</v>
      </c>
      <c r="J648" s="125">
        <f t="shared" ref="J648:J711" ca="1" si="97">(1+$M$5)^(D648/12)*(H648+IF(AND(F648=1,F649=0),$Q$4,0))</f>
        <v>0</v>
      </c>
      <c r="K648" s="151"/>
      <c r="L648" s="125">
        <f t="shared" ref="L648:L711" ca="1" si="98">K648+J648</f>
        <v>0</v>
      </c>
      <c r="P648">
        <f t="shared" ref="P648:P711" si="99">D648</f>
        <v>641</v>
      </c>
      <c r="S648" s="126">
        <f t="shared" ca="1" si="94"/>
        <v>0</v>
      </c>
      <c r="T648" s="126">
        <f t="shared" ref="T648:T711" ca="1" si="100">(1+$M$5)^(D648/12)*(IF(YEAR(E648)&gt;YEAR($C$6),L648,0)+IF(E648=$C$6,$H$5*12+$Q$4,0))</f>
        <v>0</v>
      </c>
    </row>
    <row r="649" spans="4:20">
      <c r="D649">
        <v>642</v>
      </c>
      <c r="E649" s="6">
        <f t="shared" ca="1" si="95"/>
        <v>33208</v>
      </c>
      <c r="F649" s="7">
        <f t="shared" ca="1" si="96"/>
        <v>0</v>
      </c>
      <c r="G649" s="125">
        <f ca="1">IF('Simulador - 1º Pilar'!$E$99="Sí",IF('Aportaciones Flex'!$B$13&lt;'Aportaciones Flex'!E649,0,F649*$B$8/12),F649*$B$8/12)</f>
        <v>0</v>
      </c>
      <c r="H649" s="125">
        <f t="shared" ca="1" si="92"/>
        <v>0</v>
      </c>
      <c r="I649" s="126">
        <f t="shared" ca="1" si="93"/>
        <v>0</v>
      </c>
      <c r="J649" s="125">
        <f t="shared" ca="1" si="97"/>
        <v>0</v>
      </c>
      <c r="K649" s="151"/>
      <c r="L649" s="125">
        <f t="shared" ca="1" si="98"/>
        <v>0</v>
      </c>
      <c r="P649">
        <f t="shared" si="99"/>
        <v>642</v>
      </c>
      <c r="S649" s="126">
        <f t="shared" ca="1" si="94"/>
        <v>0</v>
      </c>
      <c r="T649" s="126">
        <f t="shared" ca="1" si="100"/>
        <v>0</v>
      </c>
    </row>
    <row r="650" spans="4:20">
      <c r="D650">
        <v>643</v>
      </c>
      <c r="E650" s="6">
        <f t="shared" ca="1" si="95"/>
        <v>33178</v>
      </c>
      <c r="F650" s="7">
        <f t="shared" ca="1" si="96"/>
        <v>0</v>
      </c>
      <c r="G650" s="125">
        <f ca="1">IF('Simulador - 1º Pilar'!$E$99="Sí",IF('Aportaciones Flex'!$B$13&lt;'Aportaciones Flex'!E650,0,F650*$B$8/12),F650*$B$8/12)</f>
        <v>0</v>
      </c>
      <c r="H650" s="125">
        <f t="shared" ca="1" si="92"/>
        <v>0</v>
      </c>
      <c r="I650" s="126">
        <f t="shared" ca="1" si="93"/>
        <v>0</v>
      </c>
      <c r="J650" s="125">
        <f t="shared" ca="1" si="97"/>
        <v>0</v>
      </c>
      <c r="K650" s="151"/>
      <c r="L650" s="125">
        <f t="shared" ca="1" si="98"/>
        <v>0</v>
      </c>
      <c r="P650">
        <f t="shared" si="99"/>
        <v>643</v>
      </c>
      <c r="S650" s="126">
        <f t="shared" ca="1" si="94"/>
        <v>0</v>
      </c>
      <c r="T650" s="126">
        <f t="shared" ca="1" si="100"/>
        <v>0</v>
      </c>
    </row>
    <row r="651" spans="4:20">
      <c r="D651">
        <v>644</v>
      </c>
      <c r="E651" s="6">
        <f t="shared" ca="1" si="95"/>
        <v>33147</v>
      </c>
      <c r="F651" s="7">
        <f t="shared" ca="1" si="96"/>
        <v>0</v>
      </c>
      <c r="G651" s="125">
        <f ca="1">IF('Simulador - 1º Pilar'!$E$99="Sí",IF('Aportaciones Flex'!$B$13&lt;'Aportaciones Flex'!E651,0,F651*$B$8/12),F651*$B$8/12)</f>
        <v>0</v>
      </c>
      <c r="H651" s="125">
        <f t="shared" ca="1" si="92"/>
        <v>0</v>
      </c>
      <c r="I651" s="126">
        <f t="shared" ca="1" si="93"/>
        <v>0</v>
      </c>
      <c r="J651" s="125">
        <f t="shared" ca="1" si="97"/>
        <v>0</v>
      </c>
      <c r="K651" s="151"/>
      <c r="L651" s="125">
        <f t="shared" ca="1" si="98"/>
        <v>0</v>
      </c>
      <c r="P651">
        <f t="shared" si="99"/>
        <v>644</v>
      </c>
      <c r="S651" s="126">
        <f t="shared" ca="1" si="94"/>
        <v>0</v>
      </c>
      <c r="T651" s="126">
        <f t="shared" ca="1" si="100"/>
        <v>0</v>
      </c>
    </row>
    <row r="652" spans="4:20">
      <c r="D652">
        <v>645</v>
      </c>
      <c r="E652" s="6">
        <f t="shared" ca="1" si="95"/>
        <v>33117</v>
      </c>
      <c r="F652" s="7">
        <f t="shared" ca="1" si="96"/>
        <v>0</v>
      </c>
      <c r="G652" s="125">
        <f ca="1">IF('Simulador - 1º Pilar'!$E$99="Sí",IF('Aportaciones Flex'!$B$13&lt;'Aportaciones Flex'!E652,0,F652*$B$8/12),F652*$B$8/12)</f>
        <v>0</v>
      </c>
      <c r="H652" s="125">
        <f t="shared" ca="1" si="92"/>
        <v>0</v>
      </c>
      <c r="I652" s="126">
        <f t="shared" ca="1" si="93"/>
        <v>0</v>
      </c>
      <c r="J652" s="125">
        <f t="shared" ca="1" si="97"/>
        <v>0</v>
      </c>
      <c r="K652" s="151"/>
      <c r="L652" s="125">
        <f t="shared" ca="1" si="98"/>
        <v>0</v>
      </c>
      <c r="P652">
        <f t="shared" si="99"/>
        <v>645</v>
      </c>
      <c r="S652" s="126">
        <f t="shared" ca="1" si="94"/>
        <v>0</v>
      </c>
      <c r="T652" s="126">
        <f t="shared" ca="1" si="100"/>
        <v>0</v>
      </c>
    </row>
    <row r="653" spans="4:20">
      <c r="D653">
        <v>646</v>
      </c>
      <c r="E653" s="6">
        <f t="shared" ca="1" si="95"/>
        <v>33086</v>
      </c>
      <c r="F653" s="7">
        <f t="shared" ca="1" si="96"/>
        <v>0</v>
      </c>
      <c r="G653" s="125">
        <f ca="1">IF('Simulador - 1º Pilar'!$E$99="Sí",IF('Aportaciones Flex'!$B$13&lt;'Aportaciones Flex'!E653,0,F653*$B$8/12),F653*$B$8/12)</f>
        <v>0</v>
      </c>
      <c r="H653" s="125">
        <f t="shared" ca="1" si="92"/>
        <v>0</v>
      </c>
      <c r="I653" s="126">
        <f t="shared" ca="1" si="93"/>
        <v>0</v>
      </c>
      <c r="J653" s="125">
        <f t="shared" ca="1" si="97"/>
        <v>0</v>
      </c>
      <c r="K653" s="151"/>
      <c r="L653" s="125">
        <f t="shared" ca="1" si="98"/>
        <v>0</v>
      </c>
      <c r="P653">
        <f t="shared" si="99"/>
        <v>646</v>
      </c>
      <c r="S653" s="126">
        <f t="shared" ca="1" si="94"/>
        <v>0</v>
      </c>
      <c r="T653" s="126">
        <f t="shared" ca="1" si="100"/>
        <v>0</v>
      </c>
    </row>
    <row r="654" spans="4:20">
      <c r="D654">
        <v>647</v>
      </c>
      <c r="E654" s="6">
        <f t="shared" ca="1" si="95"/>
        <v>33055</v>
      </c>
      <c r="F654" s="7">
        <f t="shared" ca="1" si="96"/>
        <v>0</v>
      </c>
      <c r="G654" s="125">
        <f ca="1">IF('Simulador - 1º Pilar'!$E$99="Sí",IF('Aportaciones Flex'!$B$13&lt;'Aportaciones Flex'!E654,0,F654*$B$8/12),F654*$B$8/12)</f>
        <v>0</v>
      </c>
      <c r="H654" s="125">
        <f t="shared" ca="1" si="92"/>
        <v>0</v>
      </c>
      <c r="I654" s="126">
        <f t="shared" ca="1" si="93"/>
        <v>0</v>
      </c>
      <c r="J654" s="125">
        <f t="shared" ca="1" si="97"/>
        <v>0</v>
      </c>
      <c r="K654" s="151"/>
      <c r="L654" s="125">
        <f t="shared" ca="1" si="98"/>
        <v>0</v>
      </c>
      <c r="P654">
        <f t="shared" si="99"/>
        <v>647</v>
      </c>
      <c r="S654" s="126">
        <f t="shared" ca="1" si="94"/>
        <v>0</v>
      </c>
      <c r="T654" s="126">
        <f t="shared" ca="1" si="100"/>
        <v>0</v>
      </c>
    </row>
    <row r="655" spans="4:20">
      <c r="D655">
        <v>648</v>
      </c>
      <c r="E655" s="6">
        <f t="shared" ca="1" si="95"/>
        <v>33025</v>
      </c>
      <c r="F655" s="7">
        <f t="shared" ca="1" si="96"/>
        <v>0</v>
      </c>
      <c r="G655" s="125">
        <f ca="1">IF('Simulador - 1º Pilar'!$E$99="Sí",IF('Aportaciones Flex'!$B$13&lt;'Aportaciones Flex'!E655,0,F655*$B$8/12),F655*$B$8/12)</f>
        <v>0</v>
      </c>
      <c r="H655" s="125">
        <f t="shared" ca="1" si="92"/>
        <v>0</v>
      </c>
      <c r="I655" s="126">
        <f t="shared" ca="1" si="93"/>
        <v>0</v>
      </c>
      <c r="J655" s="125">
        <f t="shared" ca="1" si="97"/>
        <v>0</v>
      </c>
      <c r="K655" s="151"/>
      <c r="L655" s="125">
        <f t="shared" ca="1" si="98"/>
        <v>0</v>
      </c>
      <c r="P655">
        <f t="shared" si="99"/>
        <v>648</v>
      </c>
      <c r="S655" s="126">
        <f t="shared" ca="1" si="94"/>
        <v>0</v>
      </c>
      <c r="T655" s="126">
        <f t="shared" ca="1" si="100"/>
        <v>0</v>
      </c>
    </row>
    <row r="656" spans="4:20">
      <c r="D656">
        <v>649</v>
      </c>
      <c r="E656" s="6">
        <f t="shared" ca="1" si="95"/>
        <v>32994</v>
      </c>
      <c r="F656" s="7">
        <f t="shared" ca="1" si="96"/>
        <v>0</v>
      </c>
      <c r="G656" s="125">
        <f ca="1">IF('Simulador - 1º Pilar'!$E$99="Sí",IF('Aportaciones Flex'!$B$13&lt;'Aportaciones Flex'!E656,0,F656*$B$8/12),F656*$B$8/12)</f>
        <v>0</v>
      </c>
      <c r="H656" s="125">
        <f t="shared" ca="1" si="92"/>
        <v>0</v>
      </c>
      <c r="I656" s="126">
        <f t="shared" ca="1" si="93"/>
        <v>0</v>
      </c>
      <c r="J656" s="125">
        <f t="shared" ca="1" si="97"/>
        <v>0</v>
      </c>
      <c r="K656" s="151"/>
      <c r="L656" s="125">
        <f t="shared" ca="1" si="98"/>
        <v>0</v>
      </c>
      <c r="P656">
        <f t="shared" si="99"/>
        <v>649</v>
      </c>
      <c r="S656" s="126">
        <f t="shared" ca="1" si="94"/>
        <v>0</v>
      </c>
      <c r="T656" s="126">
        <f t="shared" ca="1" si="100"/>
        <v>0</v>
      </c>
    </row>
    <row r="657" spans="4:20">
      <c r="D657">
        <v>650</v>
      </c>
      <c r="E657" s="6">
        <f t="shared" ca="1" si="95"/>
        <v>32964</v>
      </c>
      <c r="F657" s="7">
        <f t="shared" ca="1" si="96"/>
        <v>0</v>
      </c>
      <c r="G657" s="125">
        <f ca="1">IF('Simulador - 1º Pilar'!$E$99="Sí",IF('Aportaciones Flex'!$B$13&lt;'Aportaciones Flex'!E657,0,F657*$B$8/12),F657*$B$8/12)</f>
        <v>0</v>
      </c>
      <c r="H657" s="125">
        <f t="shared" ca="1" si="92"/>
        <v>0</v>
      </c>
      <c r="I657" s="126">
        <f t="shared" ca="1" si="93"/>
        <v>0</v>
      </c>
      <c r="J657" s="125">
        <f t="shared" ca="1" si="97"/>
        <v>0</v>
      </c>
      <c r="K657" s="151"/>
      <c r="L657" s="125">
        <f t="shared" ca="1" si="98"/>
        <v>0</v>
      </c>
      <c r="P657">
        <f t="shared" si="99"/>
        <v>650</v>
      </c>
      <c r="S657" s="126">
        <f t="shared" ca="1" si="94"/>
        <v>0</v>
      </c>
      <c r="T657" s="126">
        <f t="shared" ca="1" si="100"/>
        <v>0</v>
      </c>
    </row>
    <row r="658" spans="4:20">
      <c r="D658">
        <v>651</v>
      </c>
      <c r="E658" s="6">
        <f t="shared" ca="1" si="95"/>
        <v>32933</v>
      </c>
      <c r="F658" s="7">
        <f t="shared" ca="1" si="96"/>
        <v>0</v>
      </c>
      <c r="G658" s="125">
        <f ca="1">IF('Simulador - 1º Pilar'!$E$99="Sí",IF('Aportaciones Flex'!$B$13&lt;'Aportaciones Flex'!E658,0,F658*$B$8/12),F658*$B$8/12)</f>
        <v>0</v>
      </c>
      <c r="H658" s="125">
        <f t="shared" ca="1" si="92"/>
        <v>0</v>
      </c>
      <c r="I658" s="126">
        <f t="shared" ca="1" si="93"/>
        <v>0</v>
      </c>
      <c r="J658" s="125">
        <f t="shared" ca="1" si="97"/>
        <v>0</v>
      </c>
      <c r="K658" s="151"/>
      <c r="L658" s="125">
        <f t="shared" ca="1" si="98"/>
        <v>0</v>
      </c>
      <c r="P658">
        <f t="shared" si="99"/>
        <v>651</v>
      </c>
      <c r="S658" s="126">
        <f t="shared" ca="1" si="94"/>
        <v>0</v>
      </c>
      <c r="T658" s="126">
        <f t="shared" ca="1" si="100"/>
        <v>0</v>
      </c>
    </row>
    <row r="659" spans="4:20">
      <c r="D659">
        <v>652</v>
      </c>
      <c r="E659" s="6">
        <f t="shared" ca="1" si="95"/>
        <v>32905</v>
      </c>
      <c r="F659" s="7">
        <f t="shared" ca="1" si="96"/>
        <v>0</v>
      </c>
      <c r="G659" s="125">
        <f ca="1">IF('Simulador - 1º Pilar'!$E$99="Sí",IF('Aportaciones Flex'!$B$13&lt;'Aportaciones Flex'!E659,0,F659*$B$8/12),F659*$B$8/12)</f>
        <v>0</v>
      </c>
      <c r="H659" s="125">
        <f t="shared" ca="1" si="92"/>
        <v>0</v>
      </c>
      <c r="I659" s="126">
        <f t="shared" ca="1" si="93"/>
        <v>0</v>
      </c>
      <c r="J659" s="125">
        <f t="shared" ca="1" si="97"/>
        <v>0</v>
      </c>
      <c r="K659" s="151"/>
      <c r="L659" s="125">
        <f t="shared" ca="1" si="98"/>
        <v>0</v>
      </c>
      <c r="P659">
        <f t="shared" si="99"/>
        <v>652</v>
      </c>
      <c r="S659" s="126">
        <f t="shared" ca="1" si="94"/>
        <v>0</v>
      </c>
      <c r="T659" s="126">
        <f t="shared" ca="1" si="100"/>
        <v>0</v>
      </c>
    </row>
    <row r="660" spans="4:20">
      <c r="D660">
        <v>653</v>
      </c>
      <c r="E660" s="6">
        <f t="shared" ca="1" si="95"/>
        <v>32874</v>
      </c>
      <c r="F660" s="7">
        <f t="shared" ca="1" si="96"/>
        <v>0</v>
      </c>
      <c r="G660" s="125">
        <f ca="1">IF('Simulador - 1º Pilar'!$E$99="Sí",IF('Aportaciones Flex'!$B$13&lt;'Aportaciones Flex'!E660,0,F660*$B$8/12),F660*$B$8/12)</f>
        <v>0</v>
      </c>
      <c r="H660" s="125">
        <f t="shared" ca="1" si="92"/>
        <v>0</v>
      </c>
      <c r="I660" s="126">
        <f t="shared" ca="1" si="93"/>
        <v>0</v>
      </c>
      <c r="J660" s="125">
        <f t="shared" ca="1" si="97"/>
        <v>0</v>
      </c>
      <c r="K660" s="151"/>
      <c r="L660" s="125">
        <f t="shared" ca="1" si="98"/>
        <v>0</v>
      </c>
      <c r="P660">
        <f t="shared" si="99"/>
        <v>653</v>
      </c>
      <c r="S660" s="126">
        <f t="shared" ca="1" si="94"/>
        <v>0</v>
      </c>
      <c r="T660" s="126">
        <f t="shared" ca="1" si="100"/>
        <v>0</v>
      </c>
    </row>
    <row r="661" spans="4:20">
      <c r="D661">
        <v>654</v>
      </c>
      <c r="E661" s="6">
        <f t="shared" ca="1" si="95"/>
        <v>32843</v>
      </c>
      <c r="F661" s="7">
        <f t="shared" ca="1" si="96"/>
        <v>0</v>
      </c>
      <c r="G661" s="125">
        <f ca="1">IF('Simulador - 1º Pilar'!$E$99="Sí",IF('Aportaciones Flex'!$B$13&lt;'Aportaciones Flex'!E661,0,F661*$B$8/12),F661*$B$8/12)</f>
        <v>0</v>
      </c>
      <c r="H661" s="125">
        <f t="shared" ca="1" si="92"/>
        <v>0</v>
      </c>
      <c r="I661" s="126">
        <f t="shared" ca="1" si="93"/>
        <v>0</v>
      </c>
      <c r="J661" s="125">
        <f t="shared" ca="1" si="97"/>
        <v>0</v>
      </c>
      <c r="K661" s="151"/>
      <c r="L661" s="125">
        <f t="shared" ca="1" si="98"/>
        <v>0</v>
      </c>
      <c r="P661">
        <f t="shared" si="99"/>
        <v>654</v>
      </c>
      <c r="S661" s="126">
        <f t="shared" ca="1" si="94"/>
        <v>0</v>
      </c>
      <c r="T661" s="126">
        <f t="shared" ca="1" si="100"/>
        <v>0</v>
      </c>
    </row>
    <row r="662" spans="4:20">
      <c r="D662">
        <v>655</v>
      </c>
      <c r="E662" s="6">
        <f t="shared" ca="1" si="95"/>
        <v>32813</v>
      </c>
      <c r="F662" s="7">
        <f t="shared" ca="1" si="96"/>
        <v>0</v>
      </c>
      <c r="G662" s="125">
        <f ca="1">IF('Simulador - 1º Pilar'!$E$99="Sí",IF('Aportaciones Flex'!$B$13&lt;'Aportaciones Flex'!E662,0,F662*$B$8/12),F662*$B$8/12)</f>
        <v>0</v>
      </c>
      <c r="H662" s="125">
        <f t="shared" ca="1" si="92"/>
        <v>0</v>
      </c>
      <c r="I662" s="126">
        <f t="shared" ca="1" si="93"/>
        <v>0</v>
      </c>
      <c r="J662" s="125">
        <f t="shared" ca="1" si="97"/>
        <v>0</v>
      </c>
      <c r="K662" s="151"/>
      <c r="L662" s="125">
        <f t="shared" ca="1" si="98"/>
        <v>0</v>
      </c>
      <c r="P662">
        <f t="shared" si="99"/>
        <v>655</v>
      </c>
      <c r="S662" s="126">
        <f t="shared" ca="1" si="94"/>
        <v>0</v>
      </c>
      <c r="T662" s="126">
        <f t="shared" ca="1" si="100"/>
        <v>0</v>
      </c>
    </row>
    <row r="663" spans="4:20">
      <c r="D663">
        <v>656</v>
      </c>
      <c r="E663" s="6">
        <f t="shared" ca="1" si="95"/>
        <v>32782</v>
      </c>
      <c r="F663" s="7">
        <f t="shared" ca="1" si="96"/>
        <v>0</v>
      </c>
      <c r="G663" s="125">
        <f ca="1">IF('Simulador - 1º Pilar'!$E$99="Sí",IF('Aportaciones Flex'!$B$13&lt;'Aportaciones Flex'!E663,0,F663*$B$8/12),F663*$B$8/12)</f>
        <v>0</v>
      </c>
      <c r="H663" s="125">
        <f t="shared" ca="1" si="92"/>
        <v>0</v>
      </c>
      <c r="I663" s="126">
        <f t="shared" ca="1" si="93"/>
        <v>0</v>
      </c>
      <c r="J663" s="125">
        <f t="shared" ca="1" si="97"/>
        <v>0</v>
      </c>
      <c r="K663" s="151"/>
      <c r="L663" s="125">
        <f t="shared" ca="1" si="98"/>
        <v>0</v>
      </c>
      <c r="P663">
        <f t="shared" si="99"/>
        <v>656</v>
      </c>
      <c r="S663" s="126">
        <f t="shared" ca="1" si="94"/>
        <v>0</v>
      </c>
      <c r="T663" s="126">
        <f t="shared" ca="1" si="100"/>
        <v>0</v>
      </c>
    </row>
    <row r="664" spans="4:20">
      <c r="D664">
        <v>657</v>
      </c>
      <c r="E664" s="6">
        <f t="shared" ca="1" si="95"/>
        <v>32752</v>
      </c>
      <c r="F664" s="7">
        <f t="shared" ca="1" si="96"/>
        <v>0</v>
      </c>
      <c r="G664" s="125">
        <f ca="1">IF('Simulador - 1º Pilar'!$E$99="Sí",IF('Aportaciones Flex'!$B$13&lt;'Aportaciones Flex'!E664,0,F664*$B$8/12),F664*$B$8/12)</f>
        <v>0</v>
      </c>
      <c r="H664" s="125">
        <f t="shared" ca="1" si="92"/>
        <v>0</v>
      </c>
      <c r="I664" s="126">
        <f t="shared" ca="1" si="93"/>
        <v>0</v>
      </c>
      <c r="J664" s="125">
        <f t="shared" ca="1" si="97"/>
        <v>0</v>
      </c>
      <c r="K664" s="151"/>
      <c r="L664" s="125">
        <f t="shared" ca="1" si="98"/>
        <v>0</v>
      </c>
      <c r="P664">
        <f t="shared" si="99"/>
        <v>657</v>
      </c>
      <c r="S664" s="126">
        <f t="shared" ca="1" si="94"/>
        <v>0</v>
      </c>
      <c r="T664" s="126">
        <f t="shared" ca="1" si="100"/>
        <v>0</v>
      </c>
    </row>
    <row r="665" spans="4:20">
      <c r="D665">
        <v>658</v>
      </c>
      <c r="E665" s="6">
        <f t="shared" ca="1" si="95"/>
        <v>32721</v>
      </c>
      <c r="F665" s="7">
        <f t="shared" ca="1" si="96"/>
        <v>0</v>
      </c>
      <c r="G665" s="125">
        <f ca="1">IF('Simulador - 1º Pilar'!$E$99="Sí",IF('Aportaciones Flex'!$B$13&lt;'Aportaciones Flex'!E665,0,F665*$B$8/12),F665*$B$8/12)</f>
        <v>0</v>
      </c>
      <c r="H665" s="125">
        <f t="shared" ca="1" si="92"/>
        <v>0</v>
      </c>
      <c r="I665" s="126">
        <f t="shared" ca="1" si="93"/>
        <v>0</v>
      </c>
      <c r="J665" s="125">
        <f t="shared" ca="1" si="97"/>
        <v>0</v>
      </c>
      <c r="K665" s="151"/>
      <c r="L665" s="125">
        <f t="shared" ca="1" si="98"/>
        <v>0</v>
      </c>
      <c r="P665">
        <f t="shared" si="99"/>
        <v>658</v>
      </c>
      <c r="S665" s="126">
        <f t="shared" ca="1" si="94"/>
        <v>0</v>
      </c>
      <c r="T665" s="126">
        <f t="shared" ca="1" si="100"/>
        <v>0</v>
      </c>
    </row>
    <row r="666" spans="4:20">
      <c r="D666">
        <v>659</v>
      </c>
      <c r="E666" s="6">
        <f t="shared" ca="1" si="95"/>
        <v>32690</v>
      </c>
      <c r="F666" s="7">
        <f t="shared" ca="1" si="96"/>
        <v>0</v>
      </c>
      <c r="G666" s="125">
        <f ca="1">IF('Simulador - 1º Pilar'!$E$99="Sí",IF('Aportaciones Flex'!$B$13&lt;'Aportaciones Flex'!E666,0,F666*$B$8/12),F666*$B$8/12)</f>
        <v>0</v>
      </c>
      <c r="H666" s="125">
        <f t="shared" ca="1" si="92"/>
        <v>0</v>
      </c>
      <c r="I666" s="126">
        <f t="shared" ca="1" si="93"/>
        <v>0</v>
      </c>
      <c r="J666" s="125">
        <f t="shared" ca="1" si="97"/>
        <v>0</v>
      </c>
      <c r="K666" s="151"/>
      <c r="L666" s="125">
        <f t="shared" ca="1" si="98"/>
        <v>0</v>
      </c>
      <c r="P666">
        <f t="shared" si="99"/>
        <v>659</v>
      </c>
      <c r="S666" s="126">
        <f t="shared" ca="1" si="94"/>
        <v>0</v>
      </c>
      <c r="T666" s="126">
        <f t="shared" ca="1" si="100"/>
        <v>0</v>
      </c>
    </row>
    <row r="667" spans="4:20">
      <c r="D667">
        <v>660</v>
      </c>
      <c r="E667" s="6">
        <f t="shared" ca="1" si="95"/>
        <v>32660</v>
      </c>
      <c r="F667" s="7">
        <f t="shared" ca="1" si="96"/>
        <v>0</v>
      </c>
      <c r="G667" s="125">
        <f ca="1">IF('Simulador - 1º Pilar'!$E$99="Sí",IF('Aportaciones Flex'!$B$13&lt;'Aportaciones Flex'!E667,0,F667*$B$8/12),F667*$B$8/12)</f>
        <v>0</v>
      </c>
      <c r="H667" s="125">
        <f t="shared" ca="1" si="92"/>
        <v>0</v>
      </c>
      <c r="I667" s="126">
        <f t="shared" ca="1" si="93"/>
        <v>0</v>
      </c>
      <c r="J667" s="125">
        <f t="shared" ca="1" si="97"/>
        <v>0</v>
      </c>
      <c r="K667" s="151"/>
      <c r="L667" s="125">
        <f t="shared" ca="1" si="98"/>
        <v>0</v>
      </c>
      <c r="P667">
        <f t="shared" si="99"/>
        <v>660</v>
      </c>
      <c r="S667" s="126">
        <f t="shared" ca="1" si="94"/>
        <v>0</v>
      </c>
      <c r="T667" s="126">
        <f t="shared" ca="1" si="100"/>
        <v>0</v>
      </c>
    </row>
    <row r="668" spans="4:20">
      <c r="D668">
        <v>661</v>
      </c>
      <c r="E668" s="6">
        <f t="shared" ca="1" si="95"/>
        <v>32629</v>
      </c>
      <c r="F668" s="7">
        <f t="shared" ca="1" si="96"/>
        <v>0</v>
      </c>
      <c r="G668" s="125">
        <f ca="1">IF('Simulador - 1º Pilar'!$E$99="Sí",IF('Aportaciones Flex'!$B$13&lt;'Aportaciones Flex'!E668,0,F668*$B$8/12),F668*$B$8/12)</f>
        <v>0</v>
      </c>
      <c r="H668" s="125">
        <f t="shared" ca="1" si="92"/>
        <v>0</v>
      </c>
      <c r="I668" s="126">
        <f t="shared" ca="1" si="93"/>
        <v>0</v>
      </c>
      <c r="J668" s="125">
        <f t="shared" ca="1" si="97"/>
        <v>0</v>
      </c>
      <c r="K668" s="151"/>
      <c r="L668" s="125">
        <f t="shared" ca="1" si="98"/>
        <v>0</v>
      </c>
      <c r="P668">
        <f t="shared" si="99"/>
        <v>661</v>
      </c>
      <c r="S668" s="126">
        <f t="shared" ca="1" si="94"/>
        <v>0</v>
      </c>
      <c r="T668" s="126">
        <f t="shared" ca="1" si="100"/>
        <v>0</v>
      </c>
    </row>
    <row r="669" spans="4:20">
      <c r="D669">
        <v>662</v>
      </c>
      <c r="E669" s="6">
        <f t="shared" ca="1" si="95"/>
        <v>32599</v>
      </c>
      <c r="F669" s="7">
        <f t="shared" ca="1" si="96"/>
        <v>0</v>
      </c>
      <c r="G669" s="125">
        <f ca="1">IF('Simulador - 1º Pilar'!$E$99="Sí",IF('Aportaciones Flex'!$B$13&lt;'Aportaciones Flex'!E669,0,F669*$B$8/12),F669*$B$8/12)</f>
        <v>0</v>
      </c>
      <c r="H669" s="125">
        <f t="shared" ca="1" si="92"/>
        <v>0</v>
      </c>
      <c r="I669" s="126">
        <f t="shared" ca="1" si="93"/>
        <v>0</v>
      </c>
      <c r="J669" s="125">
        <f t="shared" ca="1" si="97"/>
        <v>0</v>
      </c>
      <c r="K669" s="151"/>
      <c r="L669" s="125">
        <f t="shared" ca="1" si="98"/>
        <v>0</v>
      </c>
      <c r="P669">
        <f t="shared" si="99"/>
        <v>662</v>
      </c>
      <c r="S669" s="126">
        <f t="shared" ca="1" si="94"/>
        <v>0</v>
      </c>
      <c r="T669" s="126">
        <f t="shared" ca="1" si="100"/>
        <v>0</v>
      </c>
    </row>
    <row r="670" spans="4:20">
      <c r="D670">
        <v>663</v>
      </c>
      <c r="E670" s="6">
        <f t="shared" ca="1" si="95"/>
        <v>32568</v>
      </c>
      <c r="F670" s="7">
        <f t="shared" ca="1" si="96"/>
        <v>0</v>
      </c>
      <c r="G670" s="125">
        <f ca="1">IF('Simulador - 1º Pilar'!$E$99="Sí",IF('Aportaciones Flex'!$B$13&lt;'Aportaciones Flex'!E670,0,F670*$B$8/12),F670*$B$8/12)</f>
        <v>0</v>
      </c>
      <c r="H670" s="125">
        <f t="shared" ca="1" si="92"/>
        <v>0</v>
      </c>
      <c r="I670" s="126">
        <f t="shared" ca="1" si="93"/>
        <v>0</v>
      </c>
      <c r="J670" s="125">
        <f t="shared" ca="1" si="97"/>
        <v>0</v>
      </c>
      <c r="K670" s="151"/>
      <c r="L670" s="125">
        <f t="shared" ca="1" si="98"/>
        <v>0</v>
      </c>
      <c r="P670">
        <f t="shared" si="99"/>
        <v>663</v>
      </c>
      <c r="S670" s="126">
        <f t="shared" ca="1" si="94"/>
        <v>0</v>
      </c>
      <c r="T670" s="126">
        <f t="shared" ca="1" si="100"/>
        <v>0</v>
      </c>
    </row>
    <row r="671" spans="4:20">
      <c r="D671">
        <v>664</v>
      </c>
      <c r="E671" s="6">
        <f t="shared" ca="1" si="95"/>
        <v>32540</v>
      </c>
      <c r="F671" s="7">
        <f t="shared" ca="1" si="96"/>
        <v>0</v>
      </c>
      <c r="G671" s="125">
        <f ca="1">IF('Simulador - 1º Pilar'!$E$99="Sí",IF('Aportaciones Flex'!$B$13&lt;'Aportaciones Flex'!E671,0,F671*$B$8/12),F671*$B$8/12)</f>
        <v>0</v>
      </c>
      <c r="H671" s="125">
        <f t="shared" ca="1" si="92"/>
        <v>0</v>
      </c>
      <c r="I671" s="126">
        <f t="shared" ca="1" si="93"/>
        <v>0</v>
      </c>
      <c r="J671" s="125">
        <f t="shared" ca="1" si="97"/>
        <v>0</v>
      </c>
      <c r="K671" s="151"/>
      <c r="L671" s="125">
        <f t="shared" ca="1" si="98"/>
        <v>0</v>
      </c>
      <c r="P671">
        <f t="shared" si="99"/>
        <v>664</v>
      </c>
      <c r="S671" s="126">
        <f t="shared" ca="1" si="94"/>
        <v>0</v>
      </c>
      <c r="T671" s="126">
        <f t="shared" ca="1" si="100"/>
        <v>0</v>
      </c>
    </row>
    <row r="672" spans="4:20">
      <c r="D672">
        <v>665</v>
      </c>
      <c r="E672" s="6">
        <f t="shared" ca="1" si="95"/>
        <v>32509</v>
      </c>
      <c r="F672" s="7">
        <f t="shared" ca="1" si="96"/>
        <v>0</v>
      </c>
      <c r="G672" s="125">
        <f ca="1">IF('Simulador - 1º Pilar'!$E$99="Sí",IF('Aportaciones Flex'!$B$13&lt;'Aportaciones Flex'!E672,0,F672*$B$8/12),F672*$B$8/12)</f>
        <v>0</v>
      </c>
      <c r="H672" s="125">
        <f t="shared" ca="1" si="92"/>
        <v>0</v>
      </c>
      <c r="I672" s="126">
        <f t="shared" ca="1" si="93"/>
        <v>0</v>
      </c>
      <c r="J672" s="125">
        <f t="shared" ca="1" si="97"/>
        <v>0</v>
      </c>
      <c r="K672" s="151"/>
      <c r="L672" s="125">
        <f t="shared" ca="1" si="98"/>
        <v>0</v>
      </c>
      <c r="P672">
        <f t="shared" si="99"/>
        <v>665</v>
      </c>
      <c r="S672" s="126">
        <f t="shared" ca="1" si="94"/>
        <v>0</v>
      </c>
      <c r="T672" s="126">
        <f t="shared" ca="1" si="100"/>
        <v>0</v>
      </c>
    </row>
    <row r="673" spans="4:20">
      <c r="D673">
        <v>666</v>
      </c>
      <c r="E673" s="6">
        <f t="shared" ca="1" si="95"/>
        <v>32478</v>
      </c>
      <c r="F673" s="7">
        <f t="shared" ca="1" si="96"/>
        <v>0</v>
      </c>
      <c r="G673" s="125">
        <f ca="1">IF('Simulador - 1º Pilar'!$E$99="Sí",IF('Aportaciones Flex'!$B$13&lt;'Aportaciones Flex'!E673,0,F673*$B$8/12),F673*$B$8/12)</f>
        <v>0</v>
      </c>
      <c r="H673" s="125">
        <f t="shared" ca="1" si="92"/>
        <v>0</v>
      </c>
      <c r="I673" s="126">
        <f t="shared" ca="1" si="93"/>
        <v>0</v>
      </c>
      <c r="J673" s="125">
        <f t="shared" ca="1" si="97"/>
        <v>0</v>
      </c>
      <c r="K673" s="151"/>
      <c r="L673" s="125">
        <f t="shared" ca="1" si="98"/>
        <v>0</v>
      </c>
      <c r="P673">
        <f t="shared" si="99"/>
        <v>666</v>
      </c>
      <c r="S673" s="126">
        <f t="shared" ca="1" si="94"/>
        <v>0</v>
      </c>
      <c r="T673" s="126">
        <f t="shared" ca="1" si="100"/>
        <v>0</v>
      </c>
    </row>
    <row r="674" spans="4:20">
      <c r="D674">
        <v>667</v>
      </c>
      <c r="E674" s="6">
        <f t="shared" ca="1" si="95"/>
        <v>32448</v>
      </c>
      <c r="F674" s="7">
        <f t="shared" ca="1" si="96"/>
        <v>0</v>
      </c>
      <c r="G674" s="125">
        <f ca="1">IF('Simulador - 1º Pilar'!$E$99="Sí",IF('Aportaciones Flex'!$B$13&lt;'Aportaciones Flex'!E674,0,F674*$B$8/12),F674*$B$8/12)</f>
        <v>0</v>
      </c>
      <c r="H674" s="125">
        <f t="shared" ca="1" si="92"/>
        <v>0</v>
      </c>
      <c r="I674" s="126">
        <f t="shared" ca="1" si="93"/>
        <v>0</v>
      </c>
      <c r="J674" s="125">
        <f t="shared" ca="1" si="97"/>
        <v>0</v>
      </c>
      <c r="K674" s="151"/>
      <c r="L674" s="125">
        <f t="shared" ca="1" si="98"/>
        <v>0</v>
      </c>
      <c r="P674">
        <f t="shared" si="99"/>
        <v>667</v>
      </c>
      <c r="S674" s="126">
        <f t="shared" ca="1" si="94"/>
        <v>0</v>
      </c>
      <c r="T674" s="126">
        <f t="shared" ca="1" si="100"/>
        <v>0</v>
      </c>
    </row>
    <row r="675" spans="4:20">
      <c r="D675">
        <v>668</v>
      </c>
      <c r="E675" s="6">
        <f t="shared" ca="1" si="95"/>
        <v>32417</v>
      </c>
      <c r="F675" s="7">
        <f t="shared" ca="1" si="96"/>
        <v>0</v>
      </c>
      <c r="G675" s="125">
        <f ca="1">IF('Simulador - 1º Pilar'!$E$99="Sí",IF('Aportaciones Flex'!$B$13&lt;'Aportaciones Flex'!E675,0,F675*$B$8/12),F675*$B$8/12)</f>
        <v>0</v>
      </c>
      <c r="H675" s="125">
        <f t="shared" ca="1" si="92"/>
        <v>0</v>
      </c>
      <c r="I675" s="126">
        <f t="shared" ca="1" si="93"/>
        <v>0</v>
      </c>
      <c r="J675" s="125">
        <f t="shared" ca="1" si="97"/>
        <v>0</v>
      </c>
      <c r="K675" s="151"/>
      <c r="L675" s="125">
        <f t="shared" ca="1" si="98"/>
        <v>0</v>
      </c>
      <c r="P675">
        <f t="shared" si="99"/>
        <v>668</v>
      </c>
      <c r="S675" s="126">
        <f t="shared" ca="1" si="94"/>
        <v>0</v>
      </c>
      <c r="T675" s="126">
        <f t="shared" ca="1" si="100"/>
        <v>0</v>
      </c>
    </row>
    <row r="676" spans="4:20">
      <c r="D676">
        <v>669</v>
      </c>
      <c r="E676" s="6">
        <f t="shared" ca="1" si="95"/>
        <v>32387</v>
      </c>
      <c r="F676" s="7">
        <f t="shared" ca="1" si="96"/>
        <v>0</v>
      </c>
      <c r="G676" s="125">
        <f ca="1">IF('Simulador - 1º Pilar'!$E$99="Sí",IF('Aportaciones Flex'!$B$13&lt;'Aportaciones Flex'!E676,0,F676*$B$8/12),F676*$B$8/12)</f>
        <v>0</v>
      </c>
      <c r="H676" s="125">
        <f t="shared" ca="1" si="92"/>
        <v>0</v>
      </c>
      <c r="I676" s="126">
        <f t="shared" ca="1" si="93"/>
        <v>0</v>
      </c>
      <c r="J676" s="125">
        <f t="shared" ca="1" si="97"/>
        <v>0</v>
      </c>
      <c r="K676" s="151"/>
      <c r="L676" s="125">
        <f t="shared" ca="1" si="98"/>
        <v>0</v>
      </c>
      <c r="P676">
        <f t="shared" si="99"/>
        <v>669</v>
      </c>
      <c r="S676" s="126">
        <f t="shared" ca="1" si="94"/>
        <v>0</v>
      </c>
      <c r="T676" s="126">
        <f t="shared" ca="1" si="100"/>
        <v>0</v>
      </c>
    </row>
    <row r="677" spans="4:20">
      <c r="D677">
        <v>670</v>
      </c>
      <c r="E677" s="6">
        <f t="shared" ca="1" si="95"/>
        <v>32356</v>
      </c>
      <c r="F677" s="7">
        <f t="shared" ca="1" si="96"/>
        <v>0</v>
      </c>
      <c r="G677" s="125">
        <f ca="1">IF('Simulador - 1º Pilar'!$E$99="Sí",IF('Aportaciones Flex'!$B$13&lt;'Aportaciones Flex'!E677,0,F677*$B$8/12),F677*$B$8/12)</f>
        <v>0</v>
      </c>
      <c r="H677" s="125">
        <f t="shared" ca="1" si="92"/>
        <v>0</v>
      </c>
      <c r="I677" s="126">
        <f t="shared" ca="1" si="93"/>
        <v>0</v>
      </c>
      <c r="J677" s="125">
        <f t="shared" ca="1" si="97"/>
        <v>0</v>
      </c>
      <c r="K677" s="151"/>
      <c r="L677" s="125">
        <f t="shared" ca="1" si="98"/>
        <v>0</v>
      </c>
      <c r="P677">
        <f t="shared" si="99"/>
        <v>670</v>
      </c>
      <c r="S677" s="126">
        <f t="shared" ca="1" si="94"/>
        <v>0</v>
      </c>
      <c r="T677" s="126">
        <f t="shared" ca="1" si="100"/>
        <v>0</v>
      </c>
    </row>
    <row r="678" spans="4:20">
      <c r="D678">
        <v>671</v>
      </c>
      <c r="E678" s="6">
        <f t="shared" ca="1" si="95"/>
        <v>32325</v>
      </c>
      <c r="F678" s="7">
        <f t="shared" ca="1" si="96"/>
        <v>0</v>
      </c>
      <c r="G678" s="125">
        <f ca="1">IF('Simulador - 1º Pilar'!$E$99="Sí",IF('Aportaciones Flex'!$B$13&lt;'Aportaciones Flex'!E678,0,F678*$B$8/12),F678*$B$8/12)</f>
        <v>0</v>
      </c>
      <c r="H678" s="125">
        <f t="shared" ca="1" si="92"/>
        <v>0</v>
      </c>
      <c r="I678" s="126">
        <f t="shared" ca="1" si="93"/>
        <v>0</v>
      </c>
      <c r="J678" s="125">
        <f t="shared" ca="1" si="97"/>
        <v>0</v>
      </c>
      <c r="K678" s="151"/>
      <c r="L678" s="125">
        <f t="shared" ca="1" si="98"/>
        <v>0</v>
      </c>
      <c r="P678">
        <f t="shared" si="99"/>
        <v>671</v>
      </c>
      <c r="S678" s="126">
        <f t="shared" ca="1" si="94"/>
        <v>0</v>
      </c>
      <c r="T678" s="126">
        <f t="shared" ca="1" si="100"/>
        <v>0</v>
      </c>
    </row>
    <row r="679" spans="4:20">
      <c r="D679">
        <v>672</v>
      </c>
      <c r="E679" s="6">
        <f t="shared" ca="1" si="95"/>
        <v>32295</v>
      </c>
      <c r="F679" s="7">
        <f t="shared" ca="1" si="96"/>
        <v>0</v>
      </c>
      <c r="G679" s="125">
        <f ca="1">IF('Simulador - 1º Pilar'!$E$99="Sí",IF('Aportaciones Flex'!$B$13&lt;'Aportaciones Flex'!E679,0,F679*$B$8/12),F679*$B$8/12)</f>
        <v>0</v>
      </c>
      <c r="H679" s="125">
        <f t="shared" ca="1" si="92"/>
        <v>0</v>
      </c>
      <c r="I679" s="126">
        <f t="shared" ca="1" si="93"/>
        <v>0</v>
      </c>
      <c r="J679" s="125">
        <f t="shared" ca="1" si="97"/>
        <v>0</v>
      </c>
      <c r="K679" s="151"/>
      <c r="L679" s="125">
        <f t="shared" ca="1" si="98"/>
        <v>0</v>
      </c>
      <c r="P679">
        <f t="shared" si="99"/>
        <v>672</v>
      </c>
      <c r="S679" s="126">
        <f t="shared" ca="1" si="94"/>
        <v>0</v>
      </c>
      <c r="T679" s="126">
        <f t="shared" ca="1" si="100"/>
        <v>0</v>
      </c>
    </row>
    <row r="680" spans="4:20">
      <c r="D680">
        <v>673</v>
      </c>
      <c r="E680" s="6">
        <f t="shared" ca="1" si="95"/>
        <v>32264</v>
      </c>
      <c r="F680" s="7">
        <f t="shared" ca="1" si="96"/>
        <v>0</v>
      </c>
      <c r="G680" s="125">
        <f ca="1">IF('Simulador - 1º Pilar'!$E$99="Sí",IF('Aportaciones Flex'!$B$13&lt;'Aportaciones Flex'!E680,0,F680*$B$8/12),F680*$B$8/12)</f>
        <v>0</v>
      </c>
      <c r="H680" s="125">
        <f t="shared" ca="1" si="92"/>
        <v>0</v>
      </c>
      <c r="I680" s="126">
        <f t="shared" ca="1" si="93"/>
        <v>0</v>
      </c>
      <c r="J680" s="125">
        <f t="shared" ca="1" si="97"/>
        <v>0</v>
      </c>
      <c r="K680" s="151"/>
      <c r="L680" s="125">
        <f t="shared" ca="1" si="98"/>
        <v>0</v>
      </c>
      <c r="P680">
        <f t="shared" si="99"/>
        <v>673</v>
      </c>
      <c r="S680" s="126">
        <f t="shared" ca="1" si="94"/>
        <v>0</v>
      </c>
      <c r="T680" s="126">
        <f t="shared" ca="1" si="100"/>
        <v>0</v>
      </c>
    </row>
    <row r="681" spans="4:20">
      <c r="D681">
        <v>674</v>
      </c>
      <c r="E681" s="6">
        <f t="shared" ca="1" si="95"/>
        <v>32234</v>
      </c>
      <c r="F681" s="7">
        <f t="shared" ca="1" si="96"/>
        <v>0</v>
      </c>
      <c r="G681" s="125">
        <f ca="1">IF('Simulador - 1º Pilar'!$E$99="Sí",IF('Aportaciones Flex'!$B$13&lt;'Aportaciones Flex'!E681,0,F681*$B$8/12),F681*$B$8/12)</f>
        <v>0</v>
      </c>
      <c r="H681" s="125">
        <f t="shared" ca="1" si="92"/>
        <v>0</v>
      </c>
      <c r="I681" s="126">
        <f t="shared" ca="1" si="93"/>
        <v>0</v>
      </c>
      <c r="J681" s="125">
        <f t="shared" ca="1" si="97"/>
        <v>0</v>
      </c>
      <c r="K681" s="151"/>
      <c r="L681" s="125">
        <f t="shared" ca="1" si="98"/>
        <v>0</v>
      </c>
      <c r="P681">
        <f t="shared" si="99"/>
        <v>674</v>
      </c>
      <c r="S681" s="126">
        <f t="shared" ca="1" si="94"/>
        <v>0</v>
      </c>
      <c r="T681" s="126">
        <f t="shared" ca="1" si="100"/>
        <v>0</v>
      </c>
    </row>
    <row r="682" spans="4:20">
      <c r="D682">
        <v>675</v>
      </c>
      <c r="E682" s="6">
        <f t="shared" ca="1" si="95"/>
        <v>32203</v>
      </c>
      <c r="F682" s="7">
        <f t="shared" ca="1" si="96"/>
        <v>0</v>
      </c>
      <c r="G682" s="125">
        <f ca="1">IF('Simulador - 1º Pilar'!$E$99="Sí",IF('Aportaciones Flex'!$B$13&lt;'Aportaciones Flex'!E682,0,F682*$B$8/12),F682*$B$8/12)</f>
        <v>0</v>
      </c>
      <c r="H682" s="125">
        <f t="shared" ca="1" si="92"/>
        <v>0</v>
      </c>
      <c r="I682" s="126">
        <f t="shared" ca="1" si="93"/>
        <v>0</v>
      </c>
      <c r="J682" s="125">
        <f t="shared" ca="1" si="97"/>
        <v>0</v>
      </c>
      <c r="K682" s="151"/>
      <c r="L682" s="125">
        <f t="shared" ca="1" si="98"/>
        <v>0</v>
      </c>
      <c r="P682">
        <f t="shared" si="99"/>
        <v>675</v>
      </c>
      <c r="S682" s="126">
        <f t="shared" ca="1" si="94"/>
        <v>0</v>
      </c>
      <c r="T682" s="126">
        <f t="shared" ca="1" si="100"/>
        <v>0</v>
      </c>
    </row>
    <row r="683" spans="4:20">
      <c r="D683">
        <v>676</v>
      </c>
      <c r="E683" s="6">
        <f t="shared" ca="1" si="95"/>
        <v>32174</v>
      </c>
      <c r="F683" s="7">
        <f t="shared" ca="1" si="96"/>
        <v>0</v>
      </c>
      <c r="G683" s="125">
        <f ca="1">IF('Simulador - 1º Pilar'!$E$99="Sí",IF('Aportaciones Flex'!$B$13&lt;'Aportaciones Flex'!E683,0,F683*$B$8/12),F683*$B$8/12)</f>
        <v>0</v>
      </c>
      <c r="H683" s="125">
        <f t="shared" ca="1" si="92"/>
        <v>0</v>
      </c>
      <c r="I683" s="126">
        <f t="shared" ca="1" si="93"/>
        <v>0</v>
      </c>
      <c r="J683" s="125">
        <f t="shared" ca="1" si="97"/>
        <v>0</v>
      </c>
      <c r="K683" s="151"/>
      <c r="L683" s="125">
        <f t="shared" ca="1" si="98"/>
        <v>0</v>
      </c>
      <c r="P683">
        <f t="shared" si="99"/>
        <v>676</v>
      </c>
      <c r="S683" s="126">
        <f t="shared" ca="1" si="94"/>
        <v>0</v>
      </c>
      <c r="T683" s="126">
        <f t="shared" ca="1" si="100"/>
        <v>0</v>
      </c>
    </row>
    <row r="684" spans="4:20">
      <c r="D684">
        <v>677</v>
      </c>
      <c r="E684" s="6">
        <f t="shared" ca="1" si="95"/>
        <v>32143</v>
      </c>
      <c r="F684" s="7">
        <f t="shared" ca="1" si="96"/>
        <v>0</v>
      </c>
      <c r="G684" s="125">
        <f ca="1">IF('Simulador - 1º Pilar'!$E$99="Sí",IF('Aportaciones Flex'!$B$13&lt;'Aportaciones Flex'!E684,0,F684*$B$8/12),F684*$B$8/12)</f>
        <v>0</v>
      </c>
      <c r="H684" s="125">
        <f t="shared" ca="1" si="92"/>
        <v>0</v>
      </c>
      <c r="I684" s="126">
        <f t="shared" ca="1" si="93"/>
        <v>0</v>
      </c>
      <c r="J684" s="125">
        <f t="shared" ca="1" si="97"/>
        <v>0</v>
      </c>
      <c r="K684" s="151"/>
      <c r="L684" s="125">
        <f t="shared" ca="1" si="98"/>
        <v>0</v>
      </c>
      <c r="P684">
        <f t="shared" si="99"/>
        <v>677</v>
      </c>
      <c r="S684" s="126">
        <f t="shared" ca="1" si="94"/>
        <v>0</v>
      </c>
      <c r="T684" s="126">
        <f t="shared" ca="1" si="100"/>
        <v>0</v>
      </c>
    </row>
    <row r="685" spans="4:20">
      <c r="D685">
        <v>678</v>
      </c>
      <c r="E685" s="6">
        <f t="shared" ca="1" si="95"/>
        <v>32112</v>
      </c>
      <c r="F685" s="7">
        <f t="shared" ca="1" si="96"/>
        <v>0</v>
      </c>
      <c r="G685" s="125">
        <f ca="1">IF('Simulador - 1º Pilar'!$E$99="Sí",IF('Aportaciones Flex'!$B$13&lt;'Aportaciones Flex'!E685,0,F685*$B$8/12),F685*$B$8/12)</f>
        <v>0</v>
      </c>
      <c r="H685" s="125">
        <f t="shared" ca="1" si="92"/>
        <v>0</v>
      </c>
      <c r="I685" s="126">
        <f t="shared" ca="1" si="93"/>
        <v>0</v>
      </c>
      <c r="J685" s="125">
        <f t="shared" ca="1" si="97"/>
        <v>0</v>
      </c>
      <c r="K685" s="151"/>
      <c r="L685" s="125">
        <f t="shared" ca="1" si="98"/>
        <v>0</v>
      </c>
      <c r="P685">
        <f t="shared" si="99"/>
        <v>678</v>
      </c>
      <c r="S685" s="126">
        <f t="shared" ca="1" si="94"/>
        <v>0</v>
      </c>
      <c r="T685" s="126">
        <f t="shared" ca="1" si="100"/>
        <v>0</v>
      </c>
    </row>
    <row r="686" spans="4:20">
      <c r="D686">
        <v>679</v>
      </c>
      <c r="E686" s="6">
        <f t="shared" ca="1" si="95"/>
        <v>32082</v>
      </c>
      <c r="F686" s="7">
        <f t="shared" ca="1" si="96"/>
        <v>0</v>
      </c>
      <c r="G686" s="125">
        <f ca="1">IF('Simulador - 1º Pilar'!$E$99="Sí",IF('Aportaciones Flex'!$B$13&lt;'Aportaciones Flex'!E686,0,F686*$B$8/12),F686*$B$8/12)</f>
        <v>0</v>
      </c>
      <c r="H686" s="125">
        <f t="shared" ca="1" si="92"/>
        <v>0</v>
      </c>
      <c r="I686" s="126">
        <f t="shared" ca="1" si="93"/>
        <v>0</v>
      </c>
      <c r="J686" s="125">
        <f t="shared" ca="1" si="97"/>
        <v>0</v>
      </c>
      <c r="K686" s="151"/>
      <c r="L686" s="125">
        <f t="shared" ca="1" si="98"/>
        <v>0</v>
      </c>
      <c r="P686">
        <f t="shared" si="99"/>
        <v>679</v>
      </c>
      <c r="S686" s="126">
        <f t="shared" ca="1" si="94"/>
        <v>0</v>
      </c>
      <c r="T686" s="126">
        <f t="shared" ca="1" si="100"/>
        <v>0</v>
      </c>
    </row>
    <row r="687" spans="4:20">
      <c r="D687">
        <v>680</v>
      </c>
      <c r="E687" s="6">
        <f t="shared" ca="1" si="95"/>
        <v>32051</v>
      </c>
      <c r="F687" s="7">
        <f t="shared" ca="1" si="96"/>
        <v>0</v>
      </c>
      <c r="G687" s="125">
        <f ca="1">IF('Simulador - 1º Pilar'!$E$99="Sí",IF('Aportaciones Flex'!$B$13&lt;'Aportaciones Flex'!E687,0,F687*$B$8/12),F687*$B$8/12)</f>
        <v>0</v>
      </c>
      <c r="H687" s="125">
        <f t="shared" ca="1" si="92"/>
        <v>0</v>
      </c>
      <c r="I687" s="126">
        <f t="shared" ca="1" si="93"/>
        <v>0</v>
      </c>
      <c r="J687" s="125">
        <f t="shared" ca="1" si="97"/>
        <v>0</v>
      </c>
      <c r="K687" s="151"/>
      <c r="L687" s="125">
        <f t="shared" ca="1" si="98"/>
        <v>0</v>
      </c>
      <c r="P687">
        <f t="shared" si="99"/>
        <v>680</v>
      </c>
      <c r="S687" s="126">
        <f t="shared" ca="1" si="94"/>
        <v>0</v>
      </c>
      <c r="T687" s="126">
        <f t="shared" ca="1" si="100"/>
        <v>0</v>
      </c>
    </row>
    <row r="688" spans="4:20">
      <c r="D688">
        <v>681</v>
      </c>
      <c r="E688" s="6">
        <f t="shared" ca="1" si="95"/>
        <v>32021</v>
      </c>
      <c r="F688" s="7">
        <f t="shared" ca="1" si="96"/>
        <v>0</v>
      </c>
      <c r="G688" s="125">
        <f ca="1">IF('Simulador - 1º Pilar'!$E$99="Sí",IF('Aportaciones Flex'!$B$13&lt;'Aportaciones Flex'!E688,0,F688*$B$8/12),F688*$B$8/12)</f>
        <v>0</v>
      </c>
      <c r="H688" s="125">
        <f t="shared" ca="1" si="92"/>
        <v>0</v>
      </c>
      <c r="I688" s="126">
        <f t="shared" ca="1" si="93"/>
        <v>0</v>
      </c>
      <c r="J688" s="125">
        <f t="shared" ca="1" si="97"/>
        <v>0</v>
      </c>
      <c r="K688" s="151"/>
      <c r="L688" s="125">
        <f t="shared" ca="1" si="98"/>
        <v>0</v>
      </c>
      <c r="P688">
        <f t="shared" si="99"/>
        <v>681</v>
      </c>
      <c r="S688" s="126">
        <f t="shared" ca="1" si="94"/>
        <v>0</v>
      </c>
      <c r="T688" s="126">
        <f t="shared" ca="1" si="100"/>
        <v>0</v>
      </c>
    </row>
    <row r="689" spans="4:20">
      <c r="D689">
        <v>682</v>
      </c>
      <c r="E689" s="6">
        <f t="shared" ca="1" si="95"/>
        <v>31990</v>
      </c>
      <c r="F689" s="7">
        <f t="shared" ca="1" si="96"/>
        <v>0</v>
      </c>
      <c r="G689" s="125">
        <f ca="1">IF('Simulador - 1º Pilar'!$E$99="Sí",IF('Aportaciones Flex'!$B$13&lt;'Aportaciones Flex'!E689,0,F689*$B$8/12),F689*$B$8/12)</f>
        <v>0</v>
      </c>
      <c r="H689" s="125">
        <f t="shared" ca="1" si="92"/>
        <v>0</v>
      </c>
      <c r="I689" s="126">
        <f t="shared" ca="1" si="93"/>
        <v>0</v>
      </c>
      <c r="J689" s="125">
        <f t="shared" ca="1" si="97"/>
        <v>0</v>
      </c>
      <c r="K689" s="151"/>
      <c r="L689" s="125">
        <f t="shared" ca="1" si="98"/>
        <v>0</v>
      </c>
      <c r="P689">
        <f t="shared" si="99"/>
        <v>682</v>
      </c>
      <c r="S689" s="126">
        <f t="shared" ca="1" si="94"/>
        <v>0</v>
      </c>
      <c r="T689" s="126">
        <f t="shared" ca="1" si="100"/>
        <v>0</v>
      </c>
    </row>
    <row r="690" spans="4:20">
      <c r="D690">
        <v>683</v>
      </c>
      <c r="E690" s="6">
        <f t="shared" ca="1" si="95"/>
        <v>31959</v>
      </c>
      <c r="F690" s="7">
        <f t="shared" ca="1" si="96"/>
        <v>0</v>
      </c>
      <c r="G690" s="125">
        <f ca="1">IF('Simulador - 1º Pilar'!$E$99="Sí",IF('Aportaciones Flex'!$B$13&lt;'Aportaciones Flex'!E690,0,F690*$B$8/12),F690*$B$8/12)</f>
        <v>0</v>
      </c>
      <c r="H690" s="125">
        <f t="shared" ca="1" si="92"/>
        <v>0</v>
      </c>
      <c r="I690" s="126">
        <f t="shared" ca="1" si="93"/>
        <v>0</v>
      </c>
      <c r="J690" s="125">
        <f t="shared" ca="1" si="97"/>
        <v>0</v>
      </c>
      <c r="K690" s="151"/>
      <c r="L690" s="125">
        <f t="shared" ca="1" si="98"/>
        <v>0</v>
      </c>
      <c r="P690">
        <f t="shared" si="99"/>
        <v>683</v>
      </c>
      <c r="S690" s="126">
        <f t="shared" ca="1" si="94"/>
        <v>0</v>
      </c>
      <c r="T690" s="126">
        <f t="shared" ca="1" si="100"/>
        <v>0</v>
      </c>
    </row>
    <row r="691" spans="4:20">
      <c r="D691">
        <v>684</v>
      </c>
      <c r="E691" s="6">
        <f t="shared" ca="1" si="95"/>
        <v>31929</v>
      </c>
      <c r="F691" s="7">
        <f t="shared" ca="1" si="96"/>
        <v>0</v>
      </c>
      <c r="G691" s="125">
        <f ca="1">IF('Simulador - 1º Pilar'!$E$99="Sí",IF('Aportaciones Flex'!$B$13&lt;'Aportaciones Flex'!E691,0,F691*$B$8/12),F691*$B$8/12)</f>
        <v>0</v>
      </c>
      <c r="H691" s="125">
        <f t="shared" ca="1" si="92"/>
        <v>0</v>
      </c>
      <c r="I691" s="126">
        <f t="shared" ca="1" si="93"/>
        <v>0</v>
      </c>
      <c r="J691" s="125">
        <f t="shared" ca="1" si="97"/>
        <v>0</v>
      </c>
      <c r="K691" s="151"/>
      <c r="L691" s="125">
        <f t="shared" ca="1" si="98"/>
        <v>0</v>
      </c>
      <c r="P691">
        <f t="shared" si="99"/>
        <v>684</v>
      </c>
      <c r="S691" s="126">
        <f t="shared" ca="1" si="94"/>
        <v>0</v>
      </c>
      <c r="T691" s="126">
        <f t="shared" ca="1" si="100"/>
        <v>0</v>
      </c>
    </row>
    <row r="692" spans="4:20">
      <c r="D692">
        <v>685</v>
      </c>
      <c r="E692" s="6">
        <f t="shared" ca="1" si="95"/>
        <v>31898</v>
      </c>
      <c r="F692" s="7">
        <f t="shared" ca="1" si="96"/>
        <v>0</v>
      </c>
      <c r="G692" s="125">
        <f ca="1">IF('Simulador - 1º Pilar'!$E$99="Sí",IF('Aportaciones Flex'!$B$13&lt;'Aportaciones Flex'!E692,0,F692*$B$8/12),F692*$B$8/12)</f>
        <v>0</v>
      </c>
      <c r="H692" s="125">
        <f t="shared" ca="1" si="92"/>
        <v>0</v>
      </c>
      <c r="I692" s="126">
        <f t="shared" ca="1" si="93"/>
        <v>0</v>
      </c>
      <c r="J692" s="125">
        <f t="shared" ca="1" si="97"/>
        <v>0</v>
      </c>
      <c r="K692" s="151"/>
      <c r="L692" s="125">
        <f t="shared" ca="1" si="98"/>
        <v>0</v>
      </c>
      <c r="P692">
        <f t="shared" si="99"/>
        <v>685</v>
      </c>
      <c r="S692" s="126">
        <f t="shared" ca="1" si="94"/>
        <v>0</v>
      </c>
      <c r="T692" s="126">
        <f t="shared" ca="1" si="100"/>
        <v>0</v>
      </c>
    </row>
    <row r="693" spans="4:20">
      <c r="D693">
        <v>686</v>
      </c>
      <c r="E693" s="6">
        <f t="shared" ca="1" si="95"/>
        <v>31868</v>
      </c>
      <c r="F693" s="7">
        <f t="shared" ca="1" si="96"/>
        <v>0</v>
      </c>
      <c r="G693" s="125">
        <f ca="1">IF('Simulador - 1º Pilar'!$E$99="Sí",IF('Aportaciones Flex'!$B$13&lt;'Aportaciones Flex'!E693,0,F693*$B$8/12),F693*$B$8/12)</f>
        <v>0</v>
      </c>
      <c r="H693" s="125">
        <f t="shared" ca="1" si="92"/>
        <v>0</v>
      </c>
      <c r="I693" s="126">
        <f t="shared" ca="1" si="93"/>
        <v>0</v>
      </c>
      <c r="J693" s="125">
        <f t="shared" ca="1" si="97"/>
        <v>0</v>
      </c>
      <c r="K693" s="151"/>
      <c r="L693" s="125">
        <f t="shared" ca="1" si="98"/>
        <v>0</v>
      </c>
      <c r="P693">
        <f t="shared" si="99"/>
        <v>686</v>
      </c>
      <c r="S693" s="126">
        <f t="shared" ca="1" si="94"/>
        <v>0</v>
      </c>
      <c r="T693" s="126">
        <f t="shared" ca="1" si="100"/>
        <v>0</v>
      </c>
    </row>
    <row r="694" spans="4:20">
      <c r="D694">
        <v>687</v>
      </c>
      <c r="E694" s="6">
        <f t="shared" ca="1" si="95"/>
        <v>31837</v>
      </c>
      <c r="F694" s="7">
        <f t="shared" ca="1" si="96"/>
        <v>0</v>
      </c>
      <c r="G694" s="125">
        <f ca="1">IF('Simulador - 1º Pilar'!$E$99="Sí",IF('Aportaciones Flex'!$B$13&lt;'Aportaciones Flex'!E694,0,F694*$B$8/12),F694*$B$8/12)</f>
        <v>0</v>
      </c>
      <c r="H694" s="125">
        <f t="shared" ca="1" si="92"/>
        <v>0</v>
      </c>
      <c r="I694" s="126">
        <f t="shared" ca="1" si="93"/>
        <v>0</v>
      </c>
      <c r="J694" s="125">
        <f t="shared" ca="1" si="97"/>
        <v>0</v>
      </c>
      <c r="K694" s="151"/>
      <c r="L694" s="125">
        <f t="shared" ca="1" si="98"/>
        <v>0</v>
      </c>
      <c r="P694">
        <f t="shared" si="99"/>
        <v>687</v>
      </c>
      <c r="S694" s="126">
        <f t="shared" ca="1" si="94"/>
        <v>0</v>
      </c>
      <c r="T694" s="126">
        <f t="shared" ca="1" si="100"/>
        <v>0</v>
      </c>
    </row>
    <row r="695" spans="4:20">
      <c r="D695">
        <v>688</v>
      </c>
      <c r="E695" s="6">
        <f t="shared" ca="1" si="95"/>
        <v>31809</v>
      </c>
      <c r="F695" s="7">
        <f t="shared" ca="1" si="96"/>
        <v>0</v>
      </c>
      <c r="G695" s="125">
        <f ca="1">IF('Simulador - 1º Pilar'!$E$99="Sí",IF('Aportaciones Flex'!$B$13&lt;'Aportaciones Flex'!E695,0,F695*$B$8/12),F695*$B$8/12)</f>
        <v>0</v>
      </c>
      <c r="H695" s="125">
        <f t="shared" ca="1" si="92"/>
        <v>0</v>
      </c>
      <c r="I695" s="126">
        <f t="shared" ca="1" si="93"/>
        <v>0</v>
      </c>
      <c r="J695" s="125">
        <f t="shared" ca="1" si="97"/>
        <v>0</v>
      </c>
      <c r="K695" s="151"/>
      <c r="L695" s="125">
        <f t="shared" ca="1" si="98"/>
        <v>0</v>
      </c>
      <c r="P695">
        <f t="shared" si="99"/>
        <v>688</v>
      </c>
      <c r="S695" s="126">
        <f t="shared" ca="1" si="94"/>
        <v>0</v>
      </c>
      <c r="T695" s="126">
        <f t="shared" ca="1" si="100"/>
        <v>0</v>
      </c>
    </row>
    <row r="696" spans="4:20">
      <c r="D696">
        <v>689</v>
      </c>
      <c r="E696" s="6">
        <f t="shared" ca="1" si="95"/>
        <v>31778</v>
      </c>
      <c r="F696" s="7">
        <f t="shared" ca="1" si="96"/>
        <v>0</v>
      </c>
      <c r="G696" s="125">
        <f ca="1">IF('Simulador - 1º Pilar'!$E$99="Sí",IF('Aportaciones Flex'!$B$13&lt;'Aportaciones Flex'!E696,0,F696*$B$8/12),F696*$B$8/12)</f>
        <v>0</v>
      </c>
      <c r="H696" s="125">
        <f t="shared" ca="1" si="92"/>
        <v>0</v>
      </c>
      <c r="I696" s="126">
        <f t="shared" ca="1" si="93"/>
        <v>0</v>
      </c>
      <c r="J696" s="125">
        <f t="shared" ca="1" si="97"/>
        <v>0</v>
      </c>
      <c r="K696" s="151"/>
      <c r="L696" s="125">
        <f t="shared" ca="1" si="98"/>
        <v>0</v>
      </c>
      <c r="P696">
        <f t="shared" si="99"/>
        <v>689</v>
      </c>
      <c r="S696" s="126">
        <f t="shared" ca="1" si="94"/>
        <v>0</v>
      </c>
      <c r="T696" s="126">
        <f t="shared" ca="1" si="100"/>
        <v>0</v>
      </c>
    </row>
    <row r="697" spans="4:20">
      <c r="D697">
        <v>690</v>
      </c>
      <c r="E697" s="6">
        <f t="shared" ca="1" si="95"/>
        <v>31747</v>
      </c>
      <c r="F697" s="7">
        <f t="shared" ca="1" si="96"/>
        <v>0</v>
      </c>
      <c r="G697" s="125">
        <f ca="1">IF('Simulador - 1º Pilar'!$E$99="Sí",IF('Aportaciones Flex'!$B$13&lt;'Aportaciones Flex'!E697,0,F697*$B$8/12),F697*$B$8/12)</f>
        <v>0</v>
      </c>
      <c r="H697" s="125">
        <f t="shared" ca="1" si="92"/>
        <v>0</v>
      </c>
      <c r="I697" s="126">
        <f t="shared" ca="1" si="93"/>
        <v>0</v>
      </c>
      <c r="J697" s="125">
        <f t="shared" ca="1" si="97"/>
        <v>0</v>
      </c>
      <c r="K697" s="151"/>
      <c r="L697" s="125">
        <f t="shared" ca="1" si="98"/>
        <v>0</v>
      </c>
      <c r="P697">
        <f t="shared" si="99"/>
        <v>690</v>
      </c>
      <c r="S697" s="126">
        <f t="shared" ca="1" si="94"/>
        <v>0</v>
      </c>
      <c r="T697" s="126">
        <f t="shared" ca="1" si="100"/>
        <v>0</v>
      </c>
    </row>
    <row r="698" spans="4:20">
      <c r="D698">
        <v>691</v>
      </c>
      <c r="E698" s="6">
        <f t="shared" ca="1" si="95"/>
        <v>31717</v>
      </c>
      <c r="F698" s="7">
        <f t="shared" ca="1" si="96"/>
        <v>0</v>
      </c>
      <c r="G698" s="125">
        <f ca="1">IF('Simulador - 1º Pilar'!$E$99="Sí",IF('Aportaciones Flex'!$B$13&lt;'Aportaciones Flex'!E698,0,F698*$B$8/12),F698*$B$8/12)</f>
        <v>0</v>
      </c>
      <c r="H698" s="125">
        <f t="shared" ca="1" si="92"/>
        <v>0</v>
      </c>
      <c r="I698" s="126">
        <f t="shared" ca="1" si="93"/>
        <v>0</v>
      </c>
      <c r="J698" s="125">
        <f t="shared" ca="1" si="97"/>
        <v>0</v>
      </c>
      <c r="K698" s="151"/>
      <c r="L698" s="125">
        <f t="shared" ca="1" si="98"/>
        <v>0</v>
      </c>
      <c r="P698">
        <f t="shared" si="99"/>
        <v>691</v>
      </c>
      <c r="S698" s="126">
        <f t="shared" ca="1" si="94"/>
        <v>0</v>
      </c>
      <c r="T698" s="126">
        <f t="shared" ca="1" si="100"/>
        <v>0</v>
      </c>
    </row>
    <row r="699" spans="4:20">
      <c r="D699">
        <v>692</v>
      </c>
      <c r="E699" s="6">
        <f t="shared" ca="1" si="95"/>
        <v>31686</v>
      </c>
      <c r="F699" s="7">
        <f t="shared" ca="1" si="96"/>
        <v>0</v>
      </c>
      <c r="G699" s="125">
        <f ca="1">IF('Simulador - 1º Pilar'!$E$99="Sí",IF('Aportaciones Flex'!$B$13&lt;'Aportaciones Flex'!E699,0,F699*$B$8/12),F699*$B$8/12)</f>
        <v>0</v>
      </c>
      <c r="H699" s="125">
        <f t="shared" ca="1" si="92"/>
        <v>0</v>
      </c>
      <c r="I699" s="126">
        <f t="shared" ca="1" si="93"/>
        <v>0</v>
      </c>
      <c r="J699" s="125">
        <f t="shared" ca="1" si="97"/>
        <v>0</v>
      </c>
      <c r="K699" s="151"/>
      <c r="L699" s="125">
        <f t="shared" ca="1" si="98"/>
        <v>0</v>
      </c>
      <c r="P699">
        <f t="shared" si="99"/>
        <v>692</v>
      </c>
      <c r="S699" s="126">
        <f t="shared" ca="1" si="94"/>
        <v>0</v>
      </c>
      <c r="T699" s="126">
        <f t="shared" ca="1" si="100"/>
        <v>0</v>
      </c>
    </row>
    <row r="700" spans="4:20">
      <c r="D700">
        <v>693</v>
      </c>
      <c r="E700" s="6">
        <f t="shared" ca="1" si="95"/>
        <v>31656</v>
      </c>
      <c r="F700" s="7">
        <f t="shared" ca="1" si="96"/>
        <v>0</v>
      </c>
      <c r="G700" s="125">
        <f ca="1">IF('Simulador - 1º Pilar'!$E$99="Sí",IF('Aportaciones Flex'!$B$13&lt;'Aportaciones Flex'!E700,0,F700*$B$8/12),F700*$B$8/12)</f>
        <v>0</v>
      </c>
      <c r="H700" s="125">
        <f t="shared" ca="1" si="92"/>
        <v>0</v>
      </c>
      <c r="I700" s="126">
        <f t="shared" ca="1" si="93"/>
        <v>0</v>
      </c>
      <c r="J700" s="125">
        <f t="shared" ca="1" si="97"/>
        <v>0</v>
      </c>
      <c r="K700" s="151"/>
      <c r="L700" s="125">
        <f t="shared" ca="1" si="98"/>
        <v>0</v>
      </c>
      <c r="P700">
        <f t="shared" si="99"/>
        <v>693</v>
      </c>
      <c r="S700" s="126">
        <f t="shared" ca="1" si="94"/>
        <v>0</v>
      </c>
      <c r="T700" s="126">
        <f t="shared" ca="1" si="100"/>
        <v>0</v>
      </c>
    </row>
    <row r="701" spans="4:20">
      <c r="D701">
        <v>694</v>
      </c>
      <c r="E701" s="6">
        <f t="shared" ca="1" si="95"/>
        <v>31625</v>
      </c>
      <c r="F701" s="7">
        <f t="shared" ca="1" si="96"/>
        <v>0</v>
      </c>
      <c r="G701" s="125">
        <f ca="1">IF('Simulador - 1º Pilar'!$E$99="Sí",IF('Aportaciones Flex'!$B$13&lt;'Aportaciones Flex'!E701,0,F701*$B$8/12),F701*$B$8/12)</f>
        <v>0</v>
      </c>
      <c r="H701" s="125">
        <f t="shared" ca="1" si="92"/>
        <v>0</v>
      </c>
      <c r="I701" s="126">
        <f t="shared" ca="1" si="93"/>
        <v>0</v>
      </c>
      <c r="J701" s="125">
        <f t="shared" ca="1" si="97"/>
        <v>0</v>
      </c>
      <c r="K701" s="151"/>
      <c r="L701" s="125">
        <f t="shared" ca="1" si="98"/>
        <v>0</v>
      </c>
      <c r="P701">
        <f t="shared" si="99"/>
        <v>694</v>
      </c>
      <c r="S701" s="126">
        <f t="shared" ca="1" si="94"/>
        <v>0</v>
      </c>
      <c r="T701" s="126">
        <f t="shared" ca="1" si="100"/>
        <v>0</v>
      </c>
    </row>
    <row r="702" spans="4:20">
      <c r="D702">
        <v>695</v>
      </c>
      <c r="E702" s="6">
        <f t="shared" ca="1" si="95"/>
        <v>31594</v>
      </c>
      <c r="F702" s="7">
        <f t="shared" ca="1" si="96"/>
        <v>0</v>
      </c>
      <c r="G702" s="125">
        <f ca="1">IF('Simulador - 1º Pilar'!$E$99="Sí",IF('Aportaciones Flex'!$B$13&lt;'Aportaciones Flex'!E702,0,F702*$B$8/12),F702*$B$8/12)</f>
        <v>0</v>
      </c>
      <c r="H702" s="125">
        <f t="shared" ca="1" si="92"/>
        <v>0</v>
      </c>
      <c r="I702" s="126">
        <f t="shared" ca="1" si="93"/>
        <v>0</v>
      </c>
      <c r="J702" s="125">
        <f t="shared" ca="1" si="97"/>
        <v>0</v>
      </c>
      <c r="K702" s="151"/>
      <c r="L702" s="125">
        <f t="shared" ca="1" si="98"/>
        <v>0</v>
      </c>
      <c r="P702">
        <f t="shared" si="99"/>
        <v>695</v>
      </c>
      <c r="S702" s="126">
        <f t="shared" ca="1" si="94"/>
        <v>0</v>
      </c>
      <c r="T702" s="126">
        <f t="shared" ca="1" si="100"/>
        <v>0</v>
      </c>
    </row>
    <row r="703" spans="4:20">
      <c r="D703">
        <v>696</v>
      </c>
      <c r="E703" s="6">
        <f t="shared" ca="1" si="95"/>
        <v>31564</v>
      </c>
      <c r="F703" s="7">
        <f t="shared" ca="1" si="96"/>
        <v>0</v>
      </c>
      <c r="G703" s="125">
        <f ca="1">IF('Simulador - 1º Pilar'!$E$99="Sí",IF('Aportaciones Flex'!$B$13&lt;'Aportaciones Flex'!E703,0,F703*$B$8/12),F703*$B$8/12)</f>
        <v>0</v>
      </c>
      <c r="H703" s="125">
        <f t="shared" ca="1" si="92"/>
        <v>0</v>
      </c>
      <c r="I703" s="126">
        <f t="shared" ca="1" si="93"/>
        <v>0</v>
      </c>
      <c r="J703" s="125">
        <f t="shared" ca="1" si="97"/>
        <v>0</v>
      </c>
      <c r="K703" s="151"/>
      <c r="L703" s="125">
        <f t="shared" ca="1" si="98"/>
        <v>0</v>
      </c>
      <c r="P703">
        <f t="shared" si="99"/>
        <v>696</v>
      </c>
      <c r="S703" s="126">
        <f t="shared" ca="1" si="94"/>
        <v>0</v>
      </c>
      <c r="T703" s="126">
        <f t="shared" ca="1" si="100"/>
        <v>0</v>
      </c>
    </row>
    <row r="704" spans="4:20">
      <c r="D704">
        <v>697</v>
      </c>
      <c r="E704" s="6">
        <f t="shared" ca="1" si="95"/>
        <v>31533</v>
      </c>
      <c r="F704" s="7">
        <f t="shared" ca="1" si="96"/>
        <v>0</v>
      </c>
      <c r="G704" s="125">
        <f ca="1">IF('Simulador - 1º Pilar'!$E$99="Sí",IF('Aportaciones Flex'!$B$13&lt;'Aportaciones Flex'!E704,0,F704*$B$8/12),F704*$B$8/12)</f>
        <v>0</v>
      </c>
      <c r="H704" s="125">
        <f t="shared" ca="1" si="92"/>
        <v>0</v>
      </c>
      <c r="I704" s="126">
        <f t="shared" ca="1" si="93"/>
        <v>0</v>
      </c>
      <c r="J704" s="125">
        <f t="shared" ca="1" si="97"/>
        <v>0</v>
      </c>
      <c r="K704" s="151"/>
      <c r="L704" s="125">
        <f t="shared" ca="1" si="98"/>
        <v>0</v>
      </c>
      <c r="P704">
        <f t="shared" si="99"/>
        <v>697</v>
      </c>
      <c r="S704" s="126">
        <f t="shared" ca="1" si="94"/>
        <v>0</v>
      </c>
      <c r="T704" s="126">
        <f t="shared" ca="1" si="100"/>
        <v>0</v>
      </c>
    </row>
    <row r="705" spans="4:20">
      <c r="D705">
        <v>698</v>
      </c>
      <c r="E705" s="6">
        <f t="shared" ca="1" si="95"/>
        <v>31503</v>
      </c>
      <c r="F705" s="7">
        <f t="shared" ca="1" si="96"/>
        <v>0</v>
      </c>
      <c r="G705" s="125">
        <f ca="1">IF('Simulador - 1º Pilar'!$E$99="Sí",IF('Aportaciones Flex'!$B$13&lt;'Aportaciones Flex'!E705,0,F705*$B$8/12),F705*$B$8/12)</f>
        <v>0</v>
      </c>
      <c r="H705" s="125">
        <f t="shared" ca="1" si="92"/>
        <v>0</v>
      </c>
      <c r="I705" s="126">
        <f t="shared" ca="1" si="93"/>
        <v>0</v>
      </c>
      <c r="J705" s="125">
        <f t="shared" ca="1" si="97"/>
        <v>0</v>
      </c>
      <c r="K705" s="151"/>
      <c r="L705" s="125">
        <f t="shared" ca="1" si="98"/>
        <v>0</v>
      </c>
      <c r="P705">
        <f t="shared" si="99"/>
        <v>698</v>
      </c>
      <c r="S705" s="126">
        <f t="shared" ca="1" si="94"/>
        <v>0</v>
      </c>
      <c r="T705" s="126">
        <f t="shared" ca="1" si="100"/>
        <v>0</v>
      </c>
    </row>
    <row r="706" spans="4:20">
      <c r="D706">
        <v>699</v>
      </c>
      <c r="E706" s="6">
        <f t="shared" ca="1" si="95"/>
        <v>31472</v>
      </c>
      <c r="F706" s="7">
        <f t="shared" ca="1" si="96"/>
        <v>0</v>
      </c>
      <c r="G706" s="125">
        <f ca="1">IF('Simulador - 1º Pilar'!$E$99="Sí",IF('Aportaciones Flex'!$B$13&lt;'Aportaciones Flex'!E706,0,F706*$B$8/12),F706*$B$8/12)</f>
        <v>0</v>
      </c>
      <c r="H706" s="125">
        <f t="shared" ref="H706:H769" ca="1" si="101">IF(G706&gt;0,1,0)*$H$5*IF(AND($I$5="NO",YEAR(E706)=YEAR($B$6)+1),1,IF($I$5="SI",1,0))</f>
        <v>0</v>
      </c>
      <c r="I706" s="126">
        <f t="shared" ca="1" si="93"/>
        <v>0</v>
      </c>
      <c r="J706" s="125">
        <f t="shared" ca="1" si="97"/>
        <v>0</v>
      </c>
      <c r="K706" s="151"/>
      <c r="L706" s="125">
        <f t="shared" ca="1" si="98"/>
        <v>0</v>
      </c>
      <c r="P706">
        <f t="shared" si="99"/>
        <v>699</v>
      </c>
      <c r="S706" s="126">
        <f t="shared" ca="1" si="94"/>
        <v>0</v>
      </c>
      <c r="T706" s="126">
        <f t="shared" ca="1" si="100"/>
        <v>0</v>
      </c>
    </row>
    <row r="707" spans="4:20">
      <c r="D707">
        <v>700</v>
      </c>
      <c r="E707" s="6">
        <f t="shared" ca="1" si="95"/>
        <v>31444</v>
      </c>
      <c r="F707" s="7">
        <f t="shared" ca="1" si="96"/>
        <v>0</v>
      </c>
      <c r="G707" s="125">
        <f ca="1">IF('Simulador - 1º Pilar'!$E$99="Sí",IF('Aportaciones Flex'!$B$13&lt;'Aportaciones Flex'!E707,0,F707*$B$8/12),F707*$B$8/12)</f>
        <v>0</v>
      </c>
      <c r="H707" s="125">
        <f t="shared" ca="1" si="101"/>
        <v>0</v>
      </c>
      <c r="I707" s="126">
        <f t="shared" ca="1" si="93"/>
        <v>0</v>
      </c>
      <c r="J707" s="125">
        <f t="shared" ca="1" si="97"/>
        <v>0</v>
      </c>
      <c r="K707" s="151"/>
      <c r="L707" s="125">
        <f t="shared" ca="1" si="98"/>
        <v>0</v>
      </c>
      <c r="P707">
        <f t="shared" si="99"/>
        <v>700</v>
      </c>
      <c r="S707" s="126">
        <f t="shared" ca="1" si="94"/>
        <v>0</v>
      </c>
      <c r="T707" s="126">
        <f t="shared" ca="1" si="100"/>
        <v>0</v>
      </c>
    </row>
    <row r="708" spans="4:20">
      <c r="D708">
        <v>701</v>
      </c>
      <c r="E708" s="6">
        <f t="shared" ca="1" si="95"/>
        <v>31413</v>
      </c>
      <c r="F708" s="7">
        <f t="shared" ca="1" si="96"/>
        <v>0</v>
      </c>
      <c r="G708" s="125">
        <f ca="1">IF('Simulador - 1º Pilar'!$E$99="Sí",IF('Aportaciones Flex'!$B$13&lt;'Aportaciones Flex'!E708,0,F708*$B$8/12),F708*$B$8/12)</f>
        <v>0</v>
      </c>
      <c r="H708" s="125">
        <f t="shared" ca="1" si="101"/>
        <v>0</v>
      </c>
      <c r="I708" s="126">
        <f t="shared" ca="1" si="93"/>
        <v>0</v>
      </c>
      <c r="J708" s="125">
        <f t="shared" ca="1" si="97"/>
        <v>0</v>
      </c>
      <c r="K708" s="151"/>
      <c r="L708" s="125">
        <f t="shared" ca="1" si="98"/>
        <v>0</v>
      </c>
      <c r="P708">
        <f t="shared" si="99"/>
        <v>701</v>
      </c>
      <c r="S708" s="126">
        <f t="shared" ca="1" si="94"/>
        <v>0</v>
      </c>
      <c r="T708" s="126">
        <f t="shared" ca="1" si="100"/>
        <v>0</v>
      </c>
    </row>
    <row r="709" spans="4:20">
      <c r="D709">
        <v>702</v>
      </c>
      <c r="E709" s="6">
        <f t="shared" ca="1" si="95"/>
        <v>31382</v>
      </c>
      <c r="F709" s="7">
        <f t="shared" ca="1" si="96"/>
        <v>0</v>
      </c>
      <c r="G709" s="125">
        <f ca="1">IF('Simulador - 1º Pilar'!$E$99="Sí",IF('Aportaciones Flex'!$B$13&lt;'Aportaciones Flex'!E709,0,F709*$B$8/12),F709*$B$8/12)</f>
        <v>0</v>
      </c>
      <c r="H709" s="125">
        <f t="shared" ca="1" si="101"/>
        <v>0</v>
      </c>
      <c r="I709" s="126">
        <f t="shared" ca="1" si="93"/>
        <v>0</v>
      </c>
      <c r="J709" s="125">
        <f t="shared" ca="1" si="97"/>
        <v>0</v>
      </c>
      <c r="K709" s="151"/>
      <c r="L709" s="125">
        <f t="shared" ca="1" si="98"/>
        <v>0</v>
      </c>
      <c r="P709">
        <f t="shared" si="99"/>
        <v>702</v>
      </c>
      <c r="S709" s="126">
        <f t="shared" ca="1" si="94"/>
        <v>0</v>
      </c>
      <c r="T709" s="126">
        <f t="shared" ca="1" si="100"/>
        <v>0</v>
      </c>
    </row>
    <row r="710" spans="4:20">
      <c r="D710">
        <v>703</v>
      </c>
      <c r="E710" s="6">
        <f t="shared" ca="1" si="95"/>
        <v>31352</v>
      </c>
      <c r="F710" s="7">
        <f t="shared" ca="1" si="96"/>
        <v>0</v>
      </c>
      <c r="G710" s="125">
        <f ca="1">IF('Simulador - 1º Pilar'!$E$99="Sí",IF('Aportaciones Flex'!$B$13&lt;'Aportaciones Flex'!E710,0,F710*$B$8/12),F710*$B$8/12)</f>
        <v>0</v>
      </c>
      <c r="H710" s="125">
        <f t="shared" ca="1" si="101"/>
        <v>0</v>
      </c>
      <c r="I710" s="126">
        <f t="shared" ca="1" si="93"/>
        <v>0</v>
      </c>
      <c r="J710" s="125">
        <f t="shared" ca="1" si="97"/>
        <v>0</v>
      </c>
      <c r="K710" s="151"/>
      <c r="L710" s="125">
        <f t="shared" ca="1" si="98"/>
        <v>0</v>
      </c>
      <c r="P710">
        <f t="shared" si="99"/>
        <v>703</v>
      </c>
      <c r="S710" s="126">
        <f t="shared" ca="1" si="94"/>
        <v>0</v>
      </c>
      <c r="T710" s="126">
        <f t="shared" ca="1" si="100"/>
        <v>0</v>
      </c>
    </row>
    <row r="711" spans="4:20">
      <c r="D711">
        <v>704</v>
      </c>
      <c r="E711" s="6">
        <f t="shared" ca="1" si="95"/>
        <v>31321</v>
      </c>
      <c r="F711" s="7">
        <f t="shared" ca="1" si="96"/>
        <v>0</v>
      </c>
      <c r="G711" s="125">
        <f ca="1">IF('Simulador - 1º Pilar'!$E$99="Sí",IF('Aportaciones Flex'!$B$13&lt;'Aportaciones Flex'!E711,0,F711*$B$8/12),F711*$B$8/12)</f>
        <v>0</v>
      </c>
      <c r="H711" s="125">
        <f t="shared" ca="1" si="101"/>
        <v>0</v>
      </c>
      <c r="I711" s="126">
        <f t="shared" ref="I711:I774" ca="1" si="102">(1+$M$5)^(D711/12)*(H711*(12-IF(MONTH(E712)=12,0,MONTH(E712)))+IF(AND(F711=1,F712=0),$Q$4,0))*IF(AND(F711=1,F712=0),1,0)</f>
        <v>0</v>
      </c>
      <c r="J711" s="125">
        <f t="shared" ca="1" si="97"/>
        <v>0</v>
      </c>
      <c r="K711" s="151"/>
      <c r="L711" s="125">
        <f t="shared" ca="1" si="98"/>
        <v>0</v>
      </c>
      <c r="P711">
        <f t="shared" si="99"/>
        <v>704</v>
      </c>
      <c r="S711" s="126">
        <f t="shared" ref="S711:S774" ca="1" si="103">(1+$M$5)^(D711/12)*(IF(E711=$C$6,$Q$4+$H$5*12,0))</f>
        <v>0</v>
      </c>
      <c r="T711" s="126">
        <f t="shared" ca="1" si="100"/>
        <v>0</v>
      </c>
    </row>
    <row r="712" spans="4:20">
      <c r="D712">
        <v>705</v>
      </c>
      <c r="E712" s="6">
        <f t="shared" ref="E712:E775" ca="1" si="104">+DATE(YEAR(E711),MONTH(E711)-1,DAY(E711))</f>
        <v>31291</v>
      </c>
      <c r="F712" s="7">
        <f t="shared" ref="F712:F775" ca="1" si="105">IF(DATE(YEAR($B$6),MONTH($B$6)+1,DAY(1))=E712,1,IF(MONTH(E712)=1,F713*(1+$F$5),F713))</f>
        <v>0</v>
      </c>
      <c r="G712" s="125">
        <f ca="1">IF('Simulador - 1º Pilar'!$E$99="Sí",IF('Aportaciones Flex'!$B$13&lt;'Aportaciones Flex'!E712,0,F712*$B$8/12),F712*$B$8/12)</f>
        <v>0</v>
      </c>
      <c r="H712" s="125">
        <f t="shared" ca="1" si="101"/>
        <v>0</v>
      </c>
      <c r="I712" s="126">
        <f t="shared" ca="1" si="102"/>
        <v>0</v>
      </c>
      <c r="J712" s="125">
        <f t="shared" ref="J712:J775" ca="1" si="106">(1+$M$5)^(D712/12)*(H712+IF(AND(F712=1,F713=0),$Q$4,0))</f>
        <v>0</v>
      </c>
      <c r="K712" s="151"/>
      <c r="L712" s="125">
        <f t="shared" ref="L712:L775" ca="1" si="107">K712+J712</f>
        <v>0</v>
      </c>
      <c r="P712">
        <f t="shared" ref="P712:P775" si="108">D712</f>
        <v>705</v>
      </c>
      <c r="S712" s="126">
        <f t="shared" ca="1" si="103"/>
        <v>0</v>
      </c>
      <c r="T712" s="126">
        <f t="shared" ref="T712:T775" ca="1" si="109">(1+$M$5)^(D712/12)*(IF(YEAR(E712)&gt;YEAR($C$6),L712,0)+IF(E712=$C$6,$H$5*12+$Q$4,0))</f>
        <v>0</v>
      </c>
    </row>
    <row r="713" spans="4:20">
      <c r="D713">
        <v>706</v>
      </c>
      <c r="E713" s="6">
        <f t="shared" ca="1" si="104"/>
        <v>31260</v>
      </c>
      <c r="F713" s="7">
        <f t="shared" ca="1" si="105"/>
        <v>0</v>
      </c>
      <c r="G713" s="125">
        <f ca="1">IF('Simulador - 1º Pilar'!$E$99="Sí",IF('Aportaciones Flex'!$B$13&lt;'Aportaciones Flex'!E713,0,F713*$B$8/12),F713*$B$8/12)</f>
        <v>0</v>
      </c>
      <c r="H713" s="125">
        <f t="shared" ca="1" si="101"/>
        <v>0</v>
      </c>
      <c r="I713" s="126">
        <f t="shared" ca="1" si="102"/>
        <v>0</v>
      </c>
      <c r="J713" s="125">
        <f t="shared" ca="1" si="106"/>
        <v>0</v>
      </c>
      <c r="K713" s="151"/>
      <c r="L713" s="125">
        <f t="shared" ca="1" si="107"/>
        <v>0</v>
      </c>
      <c r="P713">
        <f t="shared" si="108"/>
        <v>706</v>
      </c>
      <c r="S713" s="126">
        <f t="shared" ca="1" si="103"/>
        <v>0</v>
      </c>
      <c r="T713" s="126">
        <f t="shared" ca="1" si="109"/>
        <v>0</v>
      </c>
    </row>
    <row r="714" spans="4:20">
      <c r="D714">
        <v>707</v>
      </c>
      <c r="E714" s="6">
        <f t="shared" ca="1" si="104"/>
        <v>31229</v>
      </c>
      <c r="F714" s="7">
        <f t="shared" ca="1" si="105"/>
        <v>0</v>
      </c>
      <c r="G714" s="125">
        <f ca="1">IF('Simulador - 1º Pilar'!$E$99="Sí",IF('Aportaciones Flex'!$B$13&lt;'Aportaciones Flex'!E714,0,F714*$B$8/12),F714*$B$8/12)</f>
        <v>0</v>
      </c>
      <c r="H714" s="125">
        <f t="shared" ca="1" si="101"/>
        <v>0</v>
      </c>
      <c r="I714" s="126">
        <f t="shared" ca="1" si="102"/>
        <v>0</v>
      </c>
      <c r="J714" s="125">
        <f t="shared" ca="1" si="106"/>
        <v>0</v>
      </c>
      <c r="K714" s="151"/>
      <c r="L714" s="125">
        <f t="shared" ca="1" si="107"/>
        <v>0</v>
      </c>
      <c r="P714">
        <f t="shared" si="108"/>
        <v>707</v>
      </c>
      <c r="S714" s="126">
        <f t="shared" ca="1" si="103"/>
        <v>0</v>
      </c>
      <c r="T714" s="126">
        <f t="shared" ca="1" si="109"/>
        <v>0</v>
      </c>
    </row>
    <row r="715" spans="4:20">
      <c r="D715">
        <v>708</v>
      </c>
      <c r="E715" s="6">
        <f t="shared" ca="1" si="104"/>
        <v>31199</v>
      </c>
      <c r="F715" s="7">
        <f t="shared" ca="1" si="105"/>
        <v>0</v>
      </c>
      <c r="G715" s="125">
        <f ca="1">IF('Simulador - 1º Pilar'!$E$99="Sí",IF('Aportaciones Flex'!$B$13&lt;'Aportaciones Flex'!E715,0,F715*$B$8/12),F715*$B$8/12)</f>
        <v>0</v>
      </c>
      <c r="H715" s="125">
        <f t="shared" ca="1" si="101"/>
        <v>0</v>
      </c>
      <c r="I715" s="126">
        <f t="shared" ca="1" si="102"/>
        <v>0</v>
      </c>
      <c r="J715" s="125">
        <f t="shared" ca="1" si="106"/>
        <v>0</v>
      </c>
      <c r="K715" s="151"/>
      <c r="L715" s="125">
        <f t="shared" ca="1" si="107"/>
        <v>0</v>
      </c>
      <c r="P715">
        <f t="shared" si="108"/>
        <v>708</v>
      </c>
      <c r="S715" s="126">
        <f t="shared" ca="1" si="103"/>
        <v>0</v>
      </c>
      <c r="T715" s="126">
        <f t="shared" ca="1" si="109"/>
        <v>0</v>
      </c>
    </row>
    <row r="716" spans="4:20">
      <c r="D716">
        <v>709</v>
      </c>
      <c r="E716" s="6">
        <f t="shared" ca="1" si="104"/>
        <v>31168</v>
      </c>
      <c r="F716" s="7">
        <f t="shared" ca="1" si="105"/>
        <v>0</v>
      </c>
      <c r="G716" s="125">
        <f ca="1">IF('Simulador - 1º Pilar'!$E$99="Sí",IF('Aportaciones Flex'!$B$13&lt;'Aportaciones Flex'!E716,0,F716*$B$8/12),F716*$B$8/12)</f>
        <v>0</v>
      </c>
      <c r="H716" s="125">
        <f t="shared" ca="1" si="101"/>
        <v>0</v>
      </c>
      <c r="I716" s="126">
        <f t="shared" ca="1" si="102"/>
        <v>0</v>
      </c>
      <c r="J716" s="125">
        <f t="shared" ca="1" si="106"/>
        <v>0</v>
      </c>
      <c r="K716" s="151"/>
      <c r="L716" s="125">
        <f t="shared" ca="1" si="107"/>
        <v>0</v>
      </c>
      <c r="P716">
        <f t="shared" si="108"/>
        <v>709</v>
      </c>
      <c r="S716" s="126">
        <f t="shared" ca="1" si="103"/>
        <v>0</v>
      </c>
      <c r="T716" s="126">
        <f t="shared" ca="1" si="109"/>
        <v>0</v>
      </c>
    </row>
    <row r="717" spans="4:20">
      <c r="D717">
        <v>710</v>
      </c>
      <c r="E717" s="6">
        <f t="shared" ca="1" si="104"/>
        <v>31138</v>
      </c>
      <c r="F717" s="7">
        <f t="shared" ca="1" si="105"/>
        <v>0</v>
      </c>
      <c r="G717" s="125">
        <f ca="1">IF('Simulador - 1º Pilar'!$E$99="Sí",IF('Aportaciones Flex'!$B$13&lt;'Aportaciones Flex'!E717,0,F717*$B$8/12),F717*$B$8/12)</f>
        <v>0</v>
      </c>
      <c r="H717" s="125">
        <f t="shared" ca="1" si="101"/>
        <v>0</v>
      </c>
      <c r="I717" s="126">
        <f t="shared" ca="1" si="102"/>
        <v>0</v>
      </c>
      <c r="J717" s="125">
        <f t="shared" ca="1" si="106"/>
        <v>0</v>
      </c>
      <c r="K717" s="151"/>
      <c r="L717" s="125">
        <f t="shared" ca="1" si="107"/>
        <v>0</v>
      </c>
      <c r="P717">
        <f t="shared" si="108"/>
        <v>710</v>
      </c>
      <c r="S717" s="126">
        <f t="shared" ca="1" si="103"/>
        <v>0</v>
      </c>
      <c r="T717" s="126">
        <f t="shared" ca="1" si="109"/>
        <v>0</v>
      </c>
    </row>
    <row r="718" spans="4:20">
      <c r="D718">
        <v>711</v>
      </c>
      <c r="E718" s="6">
        <f t="shared" ca="1" si="104"/>
        <v>31107</v>
      </c>
      <c r="F718" s="7">
        <f t="shared" ca="1" si="105"/>
        <v>0</v>
      </c>
      <c r="G718" s="125">
        <f ca="1">IF('Simulador - 1º Pilar'!$E$99="Sí",IF('Aportaciones Flex'!$B$13&lt;'Aportaciones Flex'!E718,0,F718*$B$8/12),F718*$B$8/12)</f>
        <v>0</v>
      </c>
      <c r="H718" s="125">
        <f t="shared" ca="1" si="101"/>
        <v>0</v>
      </c>
      <c r="I718" s="126">
        <f t="shared" ca="1" si="102"/>
        <v>0</v>
      </c>
      <c r="J718" s="125">
        <f t="shared" ca="1" si="106"/>
        <v>0</v>
      </c>
      <c r="K718" s="151"/>
      <c r="L718" s="125">
        <f t="shared" ca="1" si="107"/>
        <v>0</v>
      </c>
      <c r="P718">
        <f t="shared" si="108"/>
        <v>711</v>
      </c>
      <c r="S718" s="126">
        <f t="shared" ca="1" si="103"/>
        <v>0</v>
      </c>
      <c r="T718" s="126">
        <f t="shared" ca="1" si="109"/>
        <v>0</v>
      </c>
    </row>
    <row r="719" spans="4:20">
      <c r="D719">
        <v>712</v>
      </c>
      <c r="E719" s="6">
        <f t="shared" ca="1" si="104"/>
        <v>31079</v>
      </c>
      <c r="F719" s="7">
        <f t="shared" ca="1" si="105"/>
        <v>0</v>
      </c>
      <c r="G719" s="125">
        <f ca="1">IF('Simulador - 1º Pilar'!$E$99="Sí",IF('Aportaciones Flex'!$B$13&lt;'Aportaciones Flex'!E719,0,F719*$B$8/12),F719*$B$8/12)</f>
        <v>0</v>
      </c>
      <c r="H719" s="125">
        <f t="shared" ca="1" si="101"/>
        <v>0</v>
      </c>
      <c r="I719" s="126">
        <f t="shared" ca="1" si="102"/>
        <v>0</v>
      </c>
      <c r="J719" s="125">
        <f t="shared" ca="1" si="106"/>
        <v>0</v>
      </c>
      <c r="K719" s="151"/>
      <c r="L719" s="125">
        <f t="shared" ca="1" si="107"/>
        <v>0</v>
      </c>
      <c r="P719">
        <f t="shared" si="108"/>
        <v>712</v>
      </c>
      <c r="S719" s="126">
        <f t="shared" ca="1" si="103"/>
        <v>0</v>
      </c>
      <c r="T719" s="126">
        <f t="shared" ca="1" si="109"/>
        <v>0</v>
      </c>
    </row>
    <row r="720" spans="4:20">
      <c r="D720">
        <v>713</v>
      </c>
      <c r="E720" s="6">
        <f t="shared" ca="1" si="104"/>
        <v>31048</v>
      </c>
      <c r="F720" s="7">
        <f t="shared" ca="1" si="105"/>
        <v>0</v>
      </c>
      <c r="G720" s="125">
        <f ca="1">IF('Simulador - 1º Pilar'!$E$99="Sí",IF('Aportaciones Flex'!$B$13&lt;'Aportaciones Flex'!E720,0,F720*$B$8/12),F720*$B$8/12)</f>
        <v>0</v>
      </c>
      <c r="H720" s="125">
        <f t="shared" ca="1" si="101"/>
        <v>0</v>
      </c>
      <c r="I720" s="126">
        <f t="shared" ca="1" si="102"/>
        <v>0</v>
      </c>
      <c r="J720" s="125">
        <f t="shared" ca="1" si="106"/>
        <v>0</v>
      </c>
      <c r="K720" s="151"/>
      <c r="L720" s="125">
        <f t="shared" ca="1" si="107"/>
        <v>0</v>
      </c>
      <c r="P720">
        <f t="shared" si="108"/>
        <v>713</v>
      </c>
      <c r="S720" s="126">
        <f t="shared" ca="1" si="103"/>
        <v>0</v>
      </c>
      <c r="T720" s="126">
        <f t="shared" ca="1" si="109"/>
        <v>0</v>
      </c>
    </row>
    <row r="721" spans="4:20">
      <c r="D721">
        <v>714</v>
      </c>
      <c r="E721" s="6">
        <f t="shared" ca="1" si="104"/>
        <v>31017</v>
      </c>
      <c r="F721" s="7">
        <f t="shared" ca="1" si="105"/>
        <v>0</v>
      </c>
      <c r="G721" s="125">
        <f ca="1">IF('Simulador - 1º Pilar'!$E$99="Sí",IF('Aportaciones Flex'!$B$13&lt;'Aportaciones Flex'!E721,0,F721*$B$8/12),F721*$B$8/12)</f>
        <v>0</v>
      </c>
      <c r="H721" s="125">
        <f t="shared" ca="1" si="101"/>
        <v>0</v>
      </c>
      <c r="I721" s="126">
        <f t="shared" ca="1" si="102"/>
        <v>0</v>
      </c>
      <c r="J721" s="125">
        <f t="shared" ca="1" si="106"/>
        <v>0</v>
      </c>
      <c r="K721" s="151"/>
      <c r="L721" s="125">
        <f t="shared" ca="1" si="107"/>
        <v>0</v>
      </c>
      <c r="P721">
        <f t="shared" si="108"/>
        <v>714</v>
      </c>
      <c r="S721" s="126">
        <f t="shared" ca="1" si="103"/>
        <v>0</v>
      </c>
      <c r="T721" s="126">
        <f t="shared" ca="1" si="109"/>
        <v>0</v>
      </c>
    </row>
    <row r="722" spans="4:20">
      <c r="D722">
        <v>715</v>
      </c>
      <c r="E722" s="6">
        <f t="shared" ca="1" si="104"/>
        <v>30987</v>
      </c>
      <c r="F722" s="7">
        <f t="shared" ca="1" si="105"/>
        <v>0</v>
      </c>
      <c r="G722" s="125">
        <f ca="1">IF('Simulador - 1º Pilar'!$E$99="Sí",IF('Aportaciones Flex'!$B$13&lt;'Aportaciones Flex'!E722,0,F722*$B$8/12),F722*$B$8/12)</f>
        <v>0</v>
      </c>
      <c r="H722" s="125">
        <f t="shared" ca="1" si="101"/>
        <v>0</v>
      </c>
      <c r="I722" s="126">
        <f t="shared" ca="1" si="102"/>
        <v>0</v>
      </c>
      <c r="J722" s="125">
        <f t="shared" ca="1" si="106"/>
        <v>0</v>
      </c>
      <c r="K722" s="151"/>
      <c r="L722" s="125">
        <f t="shared" ca="1" si="107"/>
        <v>0</v>
      </c>
      <c r="P722">
        <f t="shared" si="108"/>
        <v>715</v>
      </c>
      <c r="S722" s="126">
        <f t="shared" ca="1" si="103"/>
        <v>0</v>
      </c>
      <c r="T722" s="126">
        <f t="shared" ca="1" si="109"/>
        <v>0</v>
      </c>
    </row>
    <row r="723" spans="4:20">
      <c r="D723">
        <v>716</v>
      </c>
      <c r="E723" s="6">
        <f t="shared" ca="1" si="104"/>
        <v>30956</v>
      </c>
      <c r="F723" s="7">
        <f t="shared" ca="1" si="105"/>
        <v>0</v>
      </c>
      <c r="G723" s="125">
        <f ca="1">IF('Simulador - 1º Pilar'!$E$99="Sí",IF('Aportaciones Flex'!$B$13&lt;'Aportaciones Flex'!E723,0,F723*$B$8/12),F723*$B$8/12)</f>
        <v>0</v>
      </c>
      <c r="H723" s="125">
        <f t="shared" ca="1" si="101"/>
        <v>0</v>
      </c>
      <c r="I723" s="126">
        <f t="shared" ca="1" si="102"/>
        <v>0</v>
      </c>
      <c r="J723" s="125">
        <f t="shared" ca="1" si="106"/>
        <v>0</v>
      </c>
      <c r="K723" s="151"/>
      <c r="L723" s="125">
        <f t="shared" ca="1" si="107"/>
        <v>0</v>
      </c>
      <c r="P723">
        <f t="shared" si="108"/>
        <v>716</v>
      </c>
      <c r="S723" s="126">
        <f t="shared" ca="1" si="103"/>
        <v>0</v>
      </c>
      <c r="T723" s="126">
        <f t="shared" ca="1" si="109"/>
        <v>0</v>
      </c>
    </row>
    <row r="724" spans="4:20">
      <c r="D724">
        <v>717</v>
      </c>
      <c r="E724" s="6">
        <f t="shared" ca="1" si="104"/>
        <v>30926</v>
      </c>
      <c r="F724" s="7">
        <f t="shared" ca="1" si="105"/>
        <v>0</v>
      </c>
      <c r="G724" s="125">
        <f ca="1">IF('Simulador - 1º Pilar'!$E$99="Sí",IF('Aportaciones Flex'!$B$13&lt;'Aportaciones Flex'!E724,0,F724*$B$8/12),F724*$B$8/12)</f>
        <v>0</v>
      </c>
      <c r="H724" s="125">
        <f t="shared" ca="1" si="101"/>
        <v>0</v>
      </c>
      <c r="I724" s="126">
        <f t="shared" ca="1" si="102"/>
        <v>0</v>
      </c>
      <c r="J724" s="125">
        <f t="shared" ca="1" si="106"/>
        <v>0</v>
      </c>
      <c r="K724" s="151"/>
      <c r="L724" s="125">
        <f t="shared" ca="1" si="107"/>
        <v>0</v>
      </c>
      <c r="P724">
        <f t="shared" si="108"/>
        <v>717</v>
      </c>
      <c r="S724" s="126">
        <f t="shared" ca="1" si="103"/>
        <v>0</v>
      </c>
      <c r="T724" s="126">
        <f t="shared" ca="1" si="109"/>
        <v>0</v>
      </c>
    </row>
    <row r="725" spans="4:20">
      <c r="D725">
        <v>718</v>
      </c>
      <c r="E725" s="6">
        <f t="shared" ca="1" si="104"/>
        <v>30895</v>
      </c>
      <c r="F725" s="7">
        <f t="shared" ca="1" si="105"/>
        <v>0</v>
      </c>
      <c r="G725" s="125">
        <f ca="1">IF('Simulador - 1º Pilar'!$E$99="Sí",IF('Aportaciones Flex'!$B$13&lt;'Aportaciones Flex'!E725,0,F725*$B$8/12),F725*$B$8/12)</f>
        <v>0</v>
      </c>
      <c r="H725" s="125">
        <f t="shared" ca="1" si="101"/>
        <v>0</v>
      </c>
      <c r="I725" s="126">
        <f t="shared" ca="1" si="102"/>
        <v>0</v>
      </c>
      <c r="J725" s="125">
        <f t="shared" ca="1" si="106"/>
        <v>0</v>
      </c>
      <c r="K725" s="151"/>
      <c r="L725" s="125">
        <f t="shared" ca="1" si="107"/>
        <v>0</v>
      </c>
      <c r="P725">
        <f t="shared" si="108"/>
        <v>718</v>
      </c>
      <c r="S725" s="126">
        <f t="shared" ca="1" si="103"/>
        <v>0</v>
      </c>
      <c r="T725" s="126">
        <f t="shared" ca="1" si="109"/>
        <v>0</v>
      </c>
    </row>
    <row r="726" spans="4:20">
      <c r="D726">
        <v>719</v>
      </c>
      <c r="E726" s="6">
        <f t="shared" ca="1" si="104"/>
        <v>30864</v>
      </c>
      <c r="F726" s="7">
        <f t="shared" ca="1" si="105"/>
        <v>0</v>
      </c>
      <c r="G726" s="125">
        <f ca="1">IF('Simulador - 1º Pilar'!$E$99="Sí",IF('Aportaciones Flex'!$B$13&lt;'Aportaciones Flex'!E726,0,F726*$B$8/12),F726*$B$8/12)</f>
        <v>0</v>
      </c>
      <c r="H726" s="125">
        <f t="shared" ca="1" si="101"/>
        <v>0</v>
      </c>
      <c r="I726" s="126">
        <f t="shared" ca="1" si="102"/>
        <v>0</v>
      </c>
      <c r="J726" s="125">
        <f t="shared" ca="1" si="106"/>
        <v>0</v>
      </c>
      <c r="K726" s="151"/>
      <c r="L726" s="125">
        <f t="shared" ca="1" si="107"/>
        <v>0</v>
      </c>
      <c r="P726">
        <f t="shared" si="108"/>
        <v>719</v>
      </c>
      <c r="S726" s="126">
        <f t="shared" ca="1" si="103"/>
        <v>0</v>
      </c>
      <c r="T726" s="126">
        <f t="shared" ca="1" si="109"/>
        <v>0</v>
      </c>
    </row>
    <row r="727" spans="4:20">
      <c r="D727">
        <v>720</v>
      </c>
      <c r="E727" s="6">
        <f t="shared" ca="1" si="104"/>
        <v>30834</v>
      </c>
      <c r="F727" s="7">
        <f t="shared" ca="1" si="105"/>
        <v>0</v>
      </c>
      <c r="G727" s="125">
        <f ca="1">IF('Simulador - 1º Pilar'!$E$99="Sí",IF('Aportaciones Flex'!$B$13&lt;'Aportaciones Flex'!E727,0,F727*$B$8/12),F727*$B$8/12)</f>
        <v>0</v>
      </c>
      <c r="H727" s="125">
        <f t="shared" ca="1" si="101"/>
        <v>0</v>
      </c>
      <c r="I727" s="126">
        <f t="shared" ca="1" si="102"/>
        <v>0</v>
      </c>
      <c r="J727" s="125">
        <f t="shared" ca="1" si="106"/>
        <v>0</v>
      </c>
      <c r="K727" s="151"/>
      <c r="L727" s="125">
        <f t="shared" ca="1" si="107"/>
        <v>0</v>
      </c>
      <c r="P727">
        <f t="shared" si="108"/>
        <v>720</v>
      </c>
      <c r="S727" s="126">
        <f t="shared" ca="1" si="103"/>
        <v>0</v>
      </c>
      <c r="T727" s="126">
        <f t="shared" ca="1" si="109"/>
        <v>0</v>
      </c>
    </row>
    <row r="728" spans="4:20">
      <c r="D728">
        <v>721</v>
      </c>
      <c r="E728" s="6">
        <f t="shared" ca="1" si="104"/>
        <v>30803</v>
      </c>
      <c r="F728" s="7">
        <f t="shared" ca="1" si="105"/>
        <v>0</v>
      </c>
      <c r="G728" s="125">
        <f ca="1">IF('Simulador - 1º Pilar'!$E$99="Sí",IF('Aportaciones Flex'!$B$13&lt;'Aportaciones Flex'!E728,0,F728*$B$8/12),F728*$B$8/12)</f>
        <v>0</v>
      </c>
      <c r="H728" s="125">
        <f t="shared" ca="1" si="101"/>
        <v>0</v>
      </c>
      <c r="I728" s="126">
        <f t="shared" ca="1" si="102"/>
        <v>0</v>
      </c>
      <c r="J728" s="125">
        <f t="shared" ca="1" si="106"/>
        <v>0</v>
      </c>
      <c r="K728" s="151"/>
      <c r="L728" s="125">
        <f t="shared" ca="1" si="107"/>
        <v>0</v>
      </c>
      <c r="P728">
        <f t="shared" si="108"/>
        <v>721</v>
      </c>
      <c r="S728" s="126">
        <f t="shared" ca="1" si="103"/>
        <v>0</v>
      </c>
      <c r="T728" s="126">
        <f t="shared" ca="1" si="109"/>
        <v>0</v>
      </c>
    </row>
    <row r="729" spans="4:20">
      <c r="D729">
        <v>722</v>
      </c>
      <c r="E729" s="6">
        <f t="shared" ca="1" si="104"/>
        <v>30773</v>
      </c>
      <c r="F729" s="7">
        <f t="shared" ca="1" si="105"/>
        <v>0</v>
      </c>
      <c r="G729" s="125">
        <f ca="1">IF('Simulador - 1º Pilar'!$E$99="Sí",IF('Aportaciones Flex'!$B$13&lt;'Aportaciones Flex'!E729,0,F729*$B$8/12),F729*$B$8/12)</f>
        <v>0</v>
      </c>
      <c r="H729" s="125">
        <f t="shared" ca="1" si="101"/>
        <v>0</v>
      </c>
      <c r="I729" s="126">
        <f t="shared" ca="1" si="102"/>
        <v>0</v>
      </c>
      <c r="J729" s="125">
        <f t="shared" ca="1" si="106"/>
        <v>0</v>
      </c>
      <c r="K729" s="151"/>
      <c r="L729" s="125">
        <f t="shared" ca="1" si="107"/>
        <v>0</v>
      </c>
      <c r="P729">
        <f t="shared" si="108"/>
        <v>722</v>
      </c>
      <c r="S729" s="126">
        <f t="shared" ca="1" si="103"/>
        <v>0</v>
      </c>
      <c r="T729" s="126">
        <f t="shared" ca="1" si="109"/>
        <v>0</v>
      </c>
    </row>
    <row r="730" spans="4:20">
      <c r="D730">
        <v>723</v>
      </c>
      <c r="E730" s="6">
        <f t="shared" ca="1" si="104"/>
        <v>30742</v>
      </c>
      <c r="F730" s="7">
        <f t="shared" ca="1" si="105"/>
        <v>0</v>
      </c>
      <c r="G730" s="125">
        <f ca="1">IF('Simulador - 1º Pilar'!$E$99="Sí",IF('Aportaciones Flex'!$B$13&lt;'Aportaciones Flex'!E730,0,F730*$B$8/12),F730*$B$8/12)</f>
        <v>0</v>
      </c>
      <c r="H730" s="125">
        <f t="shared" ca="1" si="101"/>
        <v>0</v>
      </c>
      <c r="I730" s="126">
        <f t="shared" ca="1" si="102"/>
        <v>0</v>
      </c>
      <c r="J730" s="125">
        <f t="shared" ca="1" si="106"/>
        <v>0</v>
      </c>
      <c r="K730" s="151"/>
      <c r="L730" s="125">
        <f t="shared" ca="1" si="107"/>
        <v>0</v>
      </c>
      <c r="P730">
        <f t="shared" si="108"/>
        <v>723</v>
      </c>
      <c r="S730" s="126">
        <f t="shared" ca="1" si="103"/>
        <v>0</v>
      </c>
      <c r="T730" s="126">
        <f t="shared" ca="1" si="109"/>
        <v>0</v>
      </c>
    </row>
    <row r="731" spans="4:20">
      <c r="D731">
        <v>724</v>
      </c>
      <c r="E731" s="6">
        <f t="shared" ca="1" si="104"/>
        <v>30713</v>
      </c>
      <c r="F731" s="7">
        <f t="shared" ca="1" si="105"/>
        <v>0</v>
      </c>
      <c r="G731" s="125">
        <f ca="1">IF('Simulador - 1º Pilar'!$E$99="Sí",IF('Aportaciones Flex'!$B$13&lt;'Aportaciones Flex'!E731,0,F731*$B$8/12),F731*$B$8/12)</f>
        <v>0</v>
      </c>
      <c r="H731" s="125">
        <f t="shared" ca="1" si="101"/>
        <v>0</v>
      </c>
      <c r="I731" s="126">
        <f t="shared" ca="1" si="102"/>
        <v>0</v>
      </c>
      <c r="J731" s="125">
        <f t="shared" ca="1" si="106"/>
        <v>0</v>
      </c>
      <c r="K731" s="151"/>
      <c r="L731" s="125">
        <f t="shared" ca="1" si="107"/>
        <v>0</v>
      </c>
      <c r="P731">
        <f t="shared" si="108"/>
        <v>724</v>
      </c>
      <c r="S731" s="126">
        <f t="shared" ca="1" si="103"/>
        <v>0</v>
      </c>
      <c r="T731" s="126">
        <f t="shared" ca="1" si="109"/>
        <v>0</v>
      </c>
    </row>
    <row r="732" spans="4:20">
      <c r="D732">
        <v>725</v>
      </c>
      <c r="E732" s="6">
        <f t="shared" ca="1" si="104"/>
        <v>30682</v>
      </c>
      <c r="F732" s="7">
        <f t="shared" ca="1" si="105"/>
        <v>0</v>
      </c>
      <c r="G732" s="125">
        <f ca="1">IF('Simulador - 1º Pilar'!$E$99="Sí",IF('Aportaciones Flex'!$B$13&lt;'Aportaciones Flex'!E732,0,F732*$B$8/12),F732*$B$8/12)</f>
        <v>0</v>
      </c>
      <c r="H732" s="125">
        <f t="shared" ca="1" si="101"/>
        <v>0</v>
      </c>
      <c r="I732" s="126">
        <f t="shared" ca="1" si="102"/>
        <v>0</v>
      </c>
      <c r="J732" s="125">
        <f t="shared" ca="1" si="106"/>
        <v>0</v>
      </c>
      <c r="K732" s="151"/>
      <c r="L732" s="125">
        <f t="shared" ca="1" si="107"/>
        <v>0</v>
      </c>
      <c r="P732">
        <f t="shared" si="108"/>
        <v>725</v>
      </c>
      <c r="S732" s="126">
        <f t="shared" ca="1" si="103"/>
        <v>0</v>
      </c>
      <c r="T732" s="126">
        <f t="shared" ca="1" si="109"/>
        <v>0</v>
      </c>
    </row>
    <row r="733" spans="4:20">
      <c r="D733">
        <v>726</v>
      </c>
      <c r="E733" s="6">
        <f t="shared" ca="1" si="104"/>
        <v>30651</v>
      </c>
      <c r="F733" s="7">
        <f t="shared" ca="1" si="105"/>
        <v>0</v>
      </c>
      <c r="G733" s="125">
        <f ca="1">IF('Simulador - 1º Pilar'!$E$99="Sí",IF('Aportaciones Flex'!$B$13&lt;'Aportaciones Flex'!E733,0,F733*$B$8/12),F733*$B$8/12)</f>
        <v>0</v>
      </c>
      <c r="H733" s="125">
        <f t="shared" ca="1" si="101"/>
        <v>0</v>
      </c>
      <c r="I733" s="126">
        <f t="shared" ca="1" si="102"/>
        <v>0</v>
      </c>
      <c r="J733" s="125">
        <f t="shared" ca="1" si="106"/>
        <v>0</v>
      </c>
      <c r="K733" s="151"/>
      <c r="L733" s="125">
        <f t="shared" ca="1" si="107"/>
        <v>0</v>
      </c>
      <c r="P733">
        <f t="shared" si="108"/>
        <v>726</v>
      </c>
      <c r="S733" s="126">
        <f t="shared" ca="1" si="103"/>
        <v>0</v>
      </c>
      <c r="T733" s="126">
        <f t="shared" ca="1" si="109"/>
        <v>0</v>
      </c>
    </row>
    <row r="734" spans="4:20">
      <c r="D734">
        <v>727</v>
      </c>
      <c r="E734" s="6">
        <f t="shared" ca="1" si="104"/>
        <v>30621</v>
      </c>
      <c r="F734" s="7">
        <f t="shared" ca="1" si="105"/>
        <v>0</v>
      </c>
      <c r="G734" s="125">
        <f ca="1">IF('Simulador - 1º Pilar'!$E$99="Sí",IF('Aportaciones Flex'!$B$13&lt;'Aportaciones Flex'!E734,0,F734*$B$8/12),F734*$B$8/12)</f>
        <v>0</v>
      </c>
      <c r="H734" s="125">
        <f t="shared" ca="1" si="101"/>
        <v>0</v>
      </c>
      <c r="I734" s="126">
        <f t="shared" ca="1" si="102"/>
        <v>0</v>
      </c>
      <c r="J734" s="125">
        <f t="shared" ca="1" si="106"/>
        <v>0</v>
      </c>
      <c r="K734" s="151"/>
      <c r="L734" s="125">
        <f t="shared" ca="1" si="107"/>
        <v>0</v>
      </c>
      <c r="P734">
        <f t="shared" si="108"/>
        <v>727</v>
      </c>
      <c r="S734" s="126">
        <f t="shared" ca="1" si="103"/>
        <v>0</v>
      </c>
      <c r="T734" s="126">
        <f t="shared" ca="1" si="109"/>
        <v>0</v>
      </c>
    </row>
    <row r="735" spans="4:20">
      <c r="D735">
        <v>728</v>
      </c>
      <c r="E735" s="6">
        <f t="shared" ca="1" si="104"/>
        <v>30590</v>
      </c>
      <c r="F735" s="7">
        <f t="shared" ca="1" si="105"/>
        <v>0</v>
      </c>
      <c r="G735" s="125">
        <f ca="1">IF('Simulador - 1º Pilar'!$E$99="Sí",IF('Aportaciones Flex'!$B$13&lt;'Aportaciones Flex'!E735,0,F735*$B$8/12),F735*$B$8/12)</f>
        <v>0</v>
      </c>
      <c r="H735" s="125">
        <f t="shared" ca="1" si="101"/>
        <v>0</v>
      </c>
      <c r="I735" s="126">
        <f t="shared" ca="1" si="102"/>
        <v>0</v>
      </c>
      <c r="J735" s="125">
        <f t="shared" ca="1" si="106"/>
        <v>0</v>
      </c>
      <c r="K735" s="151"/>
      <c r="L735" s="125">
        <f t="shared" ca="1" si="107"/>
        <v>0</v>
      </c>
      <c r="P735">
        <f t="shared" si="108"/>
        <v>728</v>
      </c>
      <c r="S735" s="126">
        <f t="shared" ca="1" si="103"/>
        <v>0</v>
      </c>
      <c r="T735" s="126">
        <f t="shared" ca="1" si="109"/>
        <v>0</v>
      </c>
    </row>
    <row r="736" spans="4:20">
      <c r="D736">
        <v>729</v>
      </c>
      <c r="E736" s="6">
        <f t="shared" ca="1" si="104"/>
        <v>30560</v>
      </c>
      <c r="F736" s="7">
        <f t="shared" ca="1" si="105"/>
        <v>0</v>
      </c>
      <c r="G736" s="125">
        <f ca="1">IF('Simulador - 1º Pilar'!$E$99="Sí",IF('Aportaciones Flex'!$B$13&lt;'Aportaciones Flex'!E736,0,F736*$B$8/12),F736*$B$8/12)</f>
        <v>0</v>
      </c>
      <c r="H736" s="125">
        <f t="shared" ca="1" si="101"/>
        <v>0</v>
      </c>
      <c r="I736" s="126">
        <f t="shared" ca="1" si="102"/>
        <v>0</v>
      </c>
      <c r="J736" s="125">
        <f t="shared" ca="1" si="106"/>
        <v>0</v>
      </c>
      <c r="K736" s="151"/>
      <c r="L736" s="125">
        <f t="shared" ca="1" si="107"/>
        <v>0</v>
      </c>
      <c r="P736">
        <f t="shared" si="108"/>
        <v>729</v>
      </c>
      <c r="S736" s="126">
        <f t="shared" ca="1" si="103"/>
        <v>0</v>
      </c>
      <c r="T736" s="126">
        <f t="shared" ca="1" si="109"/>
        <v>0</v>
      </c>
    </row>
    <row r="737" spans="4:20">
      <c r="D737">
        <v>730</v>
      </c>
      <c r="E737" s="6">
        <f t="shared" ca="1" si="104"/>
        <v>30529</v>
      </c>
      <c r="F737" s="7">
        <f t="shared" ca="1" si="105"/>
        <v>0</v>
      </c>
      <c r="G737" s="125">
        <f ca="1">IF('Simulador - 1º Pilar'!$E$99="Sí",IF('Aportaciones Flex'!$B$13&lt;'Aportaciones Flex'!E737,0,F737*$B$8/12),F737*$B$8/12)</f>
        <v>0</v>
      </c>
      <c r="H737" s="125">
        <f t="shared" ca="1" si="101"/>
        <v>0</v>
      </c>
      <c r="I737" s="126">
        <f t="shared" ca="1" si="102"/>
        <v>0</v>
      </c>
      <c r="J737" s="125">
        <f t="shared" ca="1" si="106"/>
        <v>0</v>
      </c>
      <c r="K737" s="151"/>
      <c r="L737" s="125">
        <f t="shared" ca="1" si="107"/>
        <v>0</v>
      </c>
      <c r="P737">
        <f t="shared" si="108"/>
        <v>730</v>
      </c>
      <c r="S737" s="126">
        <f t="shared" ca="1" si="103"/>
        <v>0</v>
      </c>
      <c r="T737" s="126">
        <f t="shared" ca="1" si="109"/>
        <v>0</v>
      </c>
    </row>
    <row r="738" spans="4:20">
      <c r="D738">
        <v>731</v>
      </c>
      <c r="E738" s="6">
        <f t="shared" ca="1" si="104"/>
        <v>30498</v>
      </c>
      <c r="F738" s="7">
        <f t="shared" ca="1" si="105"/>
        <v>0</v>
      </c>
      <c r="G738" s="125">
        <f ca="1">IF('Simulador - 1º Pilar'!$E$99="Sí",IF('Aportaciones Flex'!$B$13&lt;'Aportaciones Flex'!E738,0,F738*$B$8/12),F738*$B$8/12)</f>
        <v>0</v>
      </c>
      <c r="H738" s="125">
        <f t="shared" ca="1" si="101"/>
        <v>0</v>
      </c>
      <c r="I738" s="126">
        <f t="shared" ca="1" si="102"/>
        <v>0</v>
      </c>
      <c r="J738" s="125">
        <f t="shared" ca="1" si="106"/>
        <v>0</v>
      </c>
      <c r="K738" s="151"/>
      <c r="L738" s="125">
        <f t="shared" ca="1" si="107"/>
        <v>0</v>
      </c>
      <c r="P738">
        <f t="shared" si="108"/>
        <v>731</v>
      </c>
      <c r="S738" s="126">
        <f t="shared" ca="1" si="103"/>
        <v>0</v>
      </c>
      <c r="T738" s="126">
        <f t="shared" ca="1" si="109"/>
        <v>0</v>
      </c>
    </row>
    <row r="739" spans="4:20">
      <c r="D739">
        <v>732</v>
      </c>
      <c r="E739" s="6">
        <f t="shared" ca="1" si="104"/>
        <v>30468</v>
      </c>
      <c r="F739" s="7">
        <f t="shared" ca="1" si="105"/>
        <v>0</v>
      </c>
      <c r="G739" s="125">
        <f ca="1">IF('Simulador - 1º Pilar'!$E$99="Sí",IF('Aportaciones Flex'!$B$13&lt;'Aportaciones Flex'!E739,0,F739*$B$8/12),F739*$B$8/12)</f>
        <v>0</v>
      </c>
      <c r="H739" s="125">
        <f t="shared" ca="1" si="101"/>
        <v>0</v>
      </c>
      <c r="I739" s="126">
        <f t="shared" ca="1" si="102"/>
        <v>0</v>
      </c>
      <c r="J739" s="125">
        <f t="shared" ca="1" si="106"/>
        <v>0</v>
      </c>
      <c r="K739" s="151"/>
      <c r="L739" s="125">
        <f t="shared" ca="1" si="107"/>
        <v>0</v>
      </c>
      <c r="P739">
        <f t="shared" si="108"/>
        <v>732</v>
      </c>
      <c r="S739" s="126">
        <f t="shared" ca="1" si="103"/>
        <v>0</v>
      </c>
      <c r="T739" s="126">
        <f t="shared" ca="1" si="109"/>
        <v>0</v>
      </c>
    </row>
    <row r="740" spans="4:20">
      <c r="D740">
        <v>733</v>
      </c>
      <c r="E740" s="6">
        <f t="shared" ca="1" si="104"/>
        <v>30437</v>
      </c>
      <c r="F740" s="7">
        <f t="shared" ca="1" si="105"/>
        <v>0</v>
      </c>
      <c r="G740" s="125">
        <f ca="1">IF('Simulador - 1º Pilar'!$E$99="Sí",IF('Aportaciones Flex'!$B$13&lt;'Aportaciones Flex'!E740,0,F740*$B$8/12),F740*$B$8/12)</f>
        <v>0</v>
      </c>
      <c r="H740" s="125">
        <f t="shared" ca="1" si="101"/>
        <v>0</v>
      </c>
      <c r="I740" s="126">
        <f t="shared" ca="1" si="102"/>
        <v>0</v>
      </c>
      <c r="J740" s="125">
        <f t="shared" ca="1" si="106"/>
        <v>0</v>
      </c>
      <c r="K740" s="151"/>
      <c r="L740" s="125">
        <f t="shared" ca="1" si="107"/>
        <v>0</v>
      </c>
      <c r="P740">
        <f t="shared" si="108"/>
        <v>733</v>
      </c>
      <c r="S740" s="126">
        <f t="shared" ca="1" si="103"/>
        <v>0</v>
      </c>
      <c r="T740" s="126">
        <f t="shared" ca="1" si="109"/>
        <v>0</v>
      </c>
    </row>
    <row r="741" spans="4:20">
      <c r="D741">
        <v>734</v>
      </c>
      <c r="E741" s="6">
        <f t="shared" ca="1" si="104"/>
        <v>30407</v>
      </c>
      <c r="F741" s="7">
        <f t="shared" ca="1" si="105"/>
        <v>0</v>
      </c>
      <c r="G741" s="125">
        <f ca="1">IF('Simulador - 1º Pilar'!$E$99="Sí",IF('Aportaciones Flex'!$B$13&lt;'Aportaciones Flex'!E741,0,F741*$B$8/12),F741*$B$8/12)</f>
        <v>0</v>
      </c>
      <c r="H741" s="125">
        <f t="shared" ca="1" si="101"/>
        <v>0</v>
      </c>
      <c r="I741" s="126">
        <f t="shared" ca="1" si="102"/>
        <v>0</v>
      </c>
      <c r="J741" s="125">
        <f t="shared" ca="1" si="106"/>
        <v>0</v>
      </c>
      <c r="K741" s="151"/>
      <c r="L741" s="125">
        <f t="shared" ca="1" si="107"/>
        <v>0</v>
      </c>
      <c r="P741">
        <f t="shared" si="108"/>
        <v>734</v>
      </c>
      <c r="S741" s="126">
        <f t="shared" ca="1" si="103"/>
        <v>0</v>
      </c>
      <c r="T741" s="126">
        <f t="shared" ca="1" si="109"/>
        <v>0</v>
      </c>
    </row>
    <row r="742" spans="4:20">
      <c r="D742">
        <v>735</v>
      </c>
      <c r="E742" s="6">
        <f t="shared" ca="1" si="104"/>
        <v>30376</v>
      </c>
      <c r="F742" s="7">
        <f t="shared" ca="1" si="105"/>
        <v>0</v>
      </c>
      <c r="G742" s="125">
        <f ca="1">IF('Simulador - 1º Pilar'!$E$99="Sí",IF('Aportaciones Flex'!$B$13&lt;'Aportaciones Flex'!E742,0,F742*$B$8/12),F742*$B$8/12)</f>
        <v>0</v>
      </c>
      <c r="H742" s="125">
        <f t="shared" ca="1" si="101"/>
        <v>0</v>
      </c>
      <c r="I742" s="126">
        <f t="shared" ca="1" si="102"/>
        <v>0</v>
      </c>
      <c r="J742" s="125">
        <f t="shared" ca="1" si="106"/>
        <v>0</v>
      </c>
      <c r="K742" s="151"/>
      <c r="L742" s="125">
        <f t="shared" ca="1" si="107"/>
        <v>0</v>
      </c>
      <c r="P742">
        <f t="shared" si="108"/>
        <v>735</v>
      </c>
      <c r="S742" s="126">
        <f t="shared" ca="1" si="103"/>
        <v>0</v>
      </c>
      <c r="T742" s="126">
        <f t="shared" ca="1" si="109"/>
        <v>0</v>
      </c>
    </row>
    <row r="743" spans="4:20">
      <c r="D743">
        <v>736</v>
      </c>
      <c r="E743" s="6">
        <f t="shared" ca="1" si="104"/>
        <v>30348</v>
      </c>
      <c r="F743" s="7">
        <f t="shared" ca="1" si="105"/>
        <v>0</v>
      </c>
      <c r="G743" s="125">
        <f ca="1">IF('Simulador - 1º Pilar'!$E$99="Sí",IF('Aportaciones Flex'!$B$13&lt;'Aportaciones Flex'!E743,0,F743*$B$8/12),F743*$B$8/12)</f>
        <v>0</v>
      </c>
      <c r="H743" s="125">
        <f t="shared" ca="1" si="101"/>
        <v>0</v>
      </c>
      <c r="I743" s="126">
        <f t="shared" ca="1" si="102"/>
        <v>0</v>
      </c>
      <c r="J743" s="125">
        <f t="shared" ca="1" si="106"/>
        <v>0</v>
      </c>
      <c r="K743" s="151"/>
      <c r="L743" s="125">
        <f t="shared" ca="1" si="107"/>
        <v>0</v>
      </c>
      <c r="P743">
        <f t="shared" si="108"/>
        <v>736</v>
      </c>
      <c r="S743" s="126">
        <f t="shared" ca="1" si="103"/>
        <v>0</v>
      </c>
      <c r="T743" s="126">
        <f t="shared" ca="1" si="109"/>
        <v>0</v>
      </c>
    </row>
    <row r="744" spans="4:20">
      <c r="D744">
        <v>737</v>
      </c>
      <c r="E744" s="6">
        <f t="shared" ca="1" si="104"/>
        <v>30317</v>
      </c>
      <c r="F744" s="7">
        <f t="shared" ca="1" si="105"/>
        <v>0</v>
      </c>
      <c r="G744" s="125">
        <f ca="1">IF('Simulador - 1º Pilar'!$E$99="Sí",IF('Aportaciones Flex'!$B$13&lt;'Aportaciones Flex'!E744,0,F744*$B$8/12),F744*$B$8/12)</f>
        <v>0</v>
      </c>
      <c r="H744" s="125">
        <f t="shared" ca="1" si="101"/>
        <v>0</v>
      </c>
      <c r="I744" s="126">
        <f t="shared" ca="1" si="102"/>
        <v>0</v>
      </c>
      <c r="J744" s="125">
        <f t="shared" ca="1" si="106"/>
        <v>0</v>
      </c>
      <c r="K744" s="151"/>
      <c r="L744" s="125">
        <f t="shared" ca="1" si="107"/>
        <v>0</v>
      </c>
      <c r="P744">
        <f t="shared" si="108"/>
        <v>737</v>
      </c>
      <c r="S744" s="126">
        <f t="shared" ca="1" si="103"/>
        <v>0</v>
      </c>
      <c r="T744" s="126">
        <f t="shared" ca="1" si="109"/>
        <v>0</v>
      </c>
    </row>
    <row r="745" spans="4:20">
      <c r="D745">
        <v>738</v>
      </c>
      <c r="E745" s="6">
        <f t="shared" ca="1" si="104"/>
        <v>30286</v>
      </c>
      <c r="F745" s="7">
        <f t="shared" ca="1" si="105"/>
        <v>0</v>
      </c>
      <c r="G745" s="125">
        <f ca="1">IF('Simulador - 1º Pilar'!$E$99="Sí",IF('Aportaciones Flex'!$B$13&lt;'Aportaciones Flex'!E745,0,F745*$B$8/12),F745*$B$8/12)</f>
        <v>0</v>
      </c>
      <c r="H745" s="125">
        <f t="shared" ca="1" si="101"/>
        <v>0</v>
      </c>
      <c r="I745" s="126">
        <f t="shared" ca="1" si="102"/>
        <v>0</v>
      </c>
      <c r="J745" s="125">
        <f t="shared" ca="1" si="106"/>
        <v>0</v>
      </c>
      <c r="K745" s="151"/>
      <c r="L745" s="125">
        <f t="shared" ca="1" si="107"/>
        <v>0</v>
      </c>
      <c r="P745">
        <f t="shared" si="108"/>
        <v>738</v>
      </c>
      <c r="S745" s="126">
        <f t="shared" ca="1" si="103"/>
        <v>0</v>
      </c>
      <c r="T745" s="126">
        <f t="shared" ca="1" si="109"/>
        <v>0</v>
      </c>
    </row>
    <row r="746" spans="4:20">
      <c r="D746">
        <v>739</v>
      </c>
      <c r="E746" s="6">
        <f t="shared" ca="1" si="104"/>
        <v>30256</v>
      </c>
      <c r="F746" s="7">
        <f t="shared" ca="1" si="105"/>
        <v>0</v>
      </c>
      <c r="G746" s="125">
        <f ca="1">IF('Simulador - 1º Pilar'!$E$99="Sí",IF('Aportaciones Flex'!$B$13&lt;'Aportaciones Flex'!E746,0,F746*$B$8/12),F746*$B$8/12)</f>
        <v>0</v>
      </c>
      <c r="H746" s="125">
        <f t="shared" ca="1" si="101"/>
        <v>0</v>
      </c>
      <c r="I746" s="126">
        <f t="shared" ca="1" si="102"/>
        <v>0</v>
      </c>
      <c r="J746" s="125">
        <f t="shared" ca="1" si="106"/>
        <v>0</v>
      </c>
      <c r="K746" s="151"/>
      <c r="L746" s="125">
        <f t="shared" ca="1" si="107"/>
        <v>0</v>
      </c>
      <c r="P746">
        <f t="shared" si="108"/>
        <v>739</v>
      </c>
      <c r="S746" s="126">
        <f t="shared" ca="1" si="103"/>
        <v>0</v>
      </c>
      <c r="T746" s="126">
        <f t="shared" ca="1" si="109"/>
        <v>0</v>
      </c>
    </row>
    <row r="747" spans="4:20">
      <c r="D747">
        <v>740</v>
      </c>
      <c r="E747" s="6">
        <f t="shared" ca="1" si="104"/>
        <v>30225</v>
      </c>
      <c r="F747" s="7">
        <f t="shared" ca="1" si="105"/>
        <v>0</v>
      </c>
      <c r="G747" s="125">
        <f ca="1">IF('Simulador - 1º Pilar'!$E$99="Sí",IF('Aportaciones Flex'!$B$13&lt;'Aportaciones Flex'!E747,0,F747*$B$8/12),F747*$B$8/12)</f>
        <v>0</v>
      </c>
      <c r="H747" s="125">
        <f t="shared" ca="1" si="101"/>
        <v>0</v>
      </c>
      <c r="I747" s="126">
        <f t="shared" ca="1" si="102"/>
        <v>0</v>
      </c>
      <c r="J747" s="125">
        <f t="shared" ca="1" si="106"/>
        <v>0</v>
      </c>
      <c r="K747" s="151"/>
      <c r="L747" s="125">
        <f t="shared" ca="1" si="107"/>
        <v>0</v>
      </c>
      <c r="P747">
        <f t="shared" si="108"/>
        <v>740</v>
      </c>
      <c r="S747" s="126">
        <f t="shared" ca="1" si="103"/>
        <v>0</v>
      </c>
      <c r="T747" s="126">
        <f t="shared" ca="1" si="109"/>
        <v>0</v>
      </c>
    </row>
    <row r="748" spans="4:20">
      <c r="D748">
        <v>741</v>
      </c>
      <c r="E748" s="6">
        <f t="shared" ca="1" si="104"/>
        <v>30195</v>
      </c>
      <c r="F748" s="7">
        <f t="shared" ca="1" si="105"/>
        <v>0</v>
      </c>
      <c r="G748" s="125">
        <f ca="1">IF('Simulador - 1º Pilar'!$E$99="Sí",IF('Aportaciones Flex'!$B$13&lt;'Aportaciones Flex'!E748,0,F748*$B$8/12),F748*$B$8/12)</f>
        <v>0</v>
      </c>
      <c r="H748" s="125">
        <f t="shared" ca="1" si="101"/>
        <v>0</v>
      </c>
      <c r="I748" s="126">
        <f t="shared" ca="1" si="102"/>
        <v>0</v>
      </c>
      <c r="J748" s="125">
        <f t="shared" ca="1" si="106"/>
        <v>0</v>
      </c>
      <c r="K748" s="151"/>
      <c r="L748" s="125">
        <f t="shared" ca="1" si="107"/>
        <v>0</v>
      </c>
      <c r="P748">
        <f t="shared" si="108"/>
        <v>741</v>
      </c>
      <c r="S748" s="126">
        <f t="shared" ca="1" si="103"/>
        <v>0</v>
      </c>
      <c r="T748" s="126">
        <f t="shared" ca="1" si="109"/>
        <v>0</v>
      </c>
    </row>
    <row r="749" spans="4:20">
      <c r="D749">
        <v>742</v>
      </c>
      <c r="E749" s="6">
        <f t="shared" ca="1" si="104"/>
        <v>30164</v>
      </c>
      <c r="F749" s="7">
        <f t="shared" ca="1" si="105"/>
        <v>0</v>
      </c>
      <c r="G749" s="125">
        <f ca="1">IF('Simulador - 1º Pilar'!$E$99="Sí",IF('Aportaciones Flex'!$B$13&lt;'Aportaciones Flex'!E749,0,F749*$B$8/12),F749*$B$8/12)</f>
        <v>0</v>
      </c>
      <c r="H749" s="125">
        <f t="shared" ca="1" si="101"/>
        <v>0</v>
      </c>
      <c r="I749" s="126">
        <f t="shared" ca="1" si="102"/>
        <v>0</v>
      </c>
      <c r="J749" s="125">
        <f t="shared" ca="1" si="106"/>
        <v>0</v>
      </c>
      <c r="K749" s="151"/>
      <c r="L749" s="125">
        <f t="shared" ca="1" si="107"/>
        <v>0</v>
      </c>
      <c r="P749">
        <f t="shared" si="108"/>
        <v>742</v>
      </c>
      <c r="S749" s="126">
        <f t="shared" ca="1" si="103"/>
        <v>0</v>
      </c>
      <c r="T749" s="126">
        <f t="shared" ca="1" si="109"/>
        <v>0</v>
      </c>
    </row>
    <row r="750" spans="4:20">
      <c r="D750">
        <v>743</v>
      </c>
      <c r="E750" s="6">
        <f t="shared" ca="1" si="104"/>
        <v>30133</v>
      </c>
      <c r="F750" s="7">
        <f t="shared" ca="1" si="105"/>
        <v>0</v>
      </c>
      <c r="G750" s="125">
        <f ca="1">IF('Simulador - 1º Pilar'!$E$99="Sí",IF('Aportaciones Flex'!$B$13&lt;'Aportaciones Flex'!E750,0,F750*$B$8/12),F750*$B$8/12)</f>
        <v>0</v>
      </c>
      <c r="H750" s="125">
        <f t="shared" ca="1" si="101"/>
        <v>0</v>
      </c>
      <c r="I750" s="126">
        <f t="shared" ca="1" si="102"/>
        <v>0</v>
      </c>
      <c r="J750" s="125">
        <f t="shared" ca="1" si="106"/>
        <v>0</v>
      </c>
      <c r="K750" s="151"/>
      <c r="L750" s="125">
        <f t="shared" ca="1" si="107"/>
        <v>0</v>
      </c>
      <c r="P750">
        <f t="shared" si="108"/>
        <v>743</v>
      </c>
      <c r="S750" s="126">
        <f t="shared" ca="1" si="103"/>
        <v>0</v>
      </c>
      <c r="T750" s="126">
        <f t="shared" ca="1" si="109"/>
        <v>0</v>
      </c>
    </row>
    <row r="751" spans="4:20">
      <c r="D751">
        <v>744</v>
      </c>
      <c r="E751" s="6">
        <f t="shared" ca="1" si="104"/>
        <v>30103</v>
      </c>
      <c r="F751" s="7">
        <f t="shared" ca="1" si="105"/>
        <v>0</v>
      </c>
      <c r="G751" s="125">
        <f ca="1">IF('Simulador - 1º Pilar'!$E$99="Sí",IF('Aportaciones Flex'!$B$13&lt;'Aportaciones Flex'!E751,0,F751*$B$8/12),F751*$B$8/12)</f>
        <v>0</v>
      </c>
      <c r="H751" s="125">
        <f t="shared" ca="1" si="101"/>
        <v>0</v>
      </c>
      <c r="I751" s="126">
        <f t="shared" ca="1" si="102"/>
        <v>0</v>
      </c>
      <c r="J751" s="125">
        <f t="shared" ca="1" si="106"/>
        <v>0</v>
      </c>
      <c r="K751" s="151"/>
      <c r="L751" s="125">
        <f t="shared" ca="1" si="107"/>
        <v>0</v>
      </c>
      <c r="P751">
        <f t="shared" si="108"/>
        <v>744</v>
      </c>
      <c r="S751" s="126">
        <f t="shared" ca="1" si="103"/>
        <v>0</v>
      </c>
      <c r="T751" s="126">
        <f t="shared" ca="1" si="109"/>
        <v>0</v>
      </c>
    </row>
    <row r="752" spans="4:20">
      <c r="D752">
        <v>745</v>
      </c>
      <c r="E752" s="6">
        <f t="shared" ca="1" si="104"/>
        <v>30072</v>
      </c>
      <c r="F752" s="7">
        <f t="shared" ca="1" si="105"/>
        <v>0</v>
      </c>
      <c r="G752" s="125">
        <f ca="1">IF('Simulador - 1º Pilar'!$E$99="Sí",IF('Aportaciones Flex'!$B$13&lt;'Aportaciones Flex'!E752,0,F752*$B$8/12),F752*$B$8/12)</f>
        <v>0</v>
      </c>
      <c r="H752" s="125">
        <f t="shared" ca="1" si="101"/>
        <v>0</v>
      </c>
      <c r="I752" s="126">
        <f t="shared" ca="1" si="102"/>
        <v>0</v>
      </c>
      <c r="J752" s="125">
        <f t="shared" ca="1" si="106"/>
        <v>0</v>
      </c>
      <c r="K752" s="151"/>
      <c r="L752" s="125">
        <f t="shared" ca="1" si="107"/>
        <v>0</v>
      </c>
      <c r="P752">
        <f t="shared" si="108"/>
        <v>745</v>
      </c>
      <c r="S752" s="126">
        <f t="shared" ca="1" si="103"/>
        <v>0</v>
      </c>
      <c r="T752" s="126">
        <f t="shared" ca="1" si="109"/>
        <v>0</v>
      </c>
    </row>
    <row r="753" spans="4:20">
      <c r="D753">
        <v>746</v>
      </c>
      <c r="E753" s="6">
        <f t="shared" ca="1" si="104"/>
        <v>30042</v>
      </c>
      <c r="F753" s="7">
        <f t="shared" ca="1" si="105"/>
        <v>0</v>
      </c>
      <c r="G753" s="125">
        <f ca="1">IF('Simulador - 1º Pilar'!$E$99="Sí",IF('Aportaciones Flex'!$B$13&lt;'Aportaciones Flex'!E753,0,F753*$B$8/12),F753*$B$8/12)</f>
        <v>0</v>
      </c>
      <c r="H753" s="125">
        <f t="shared" ca="1" si="101"/>
        <v>0</v>
      </c>
      <c r="I753" s="126">
        <f t="shared" ca="1" si="102"/>
        <v>0</v>
      </c>
      <c r="J753" s="125">
        <f t="shared" ca="1" si="106"/>
        <v>0</v>
      </c>
      <c r="K753" s="151"/>
      <c r="L753" s="125">
        <f t="shared" ca="1" si="107"/>
        <v>0</v>
      </c>
      <c r="P753">
        <f t="shared" si="108"/>
        <v>746</v>
      </c>
      <c r="S753" s="126">
        <f t="shared" ca="1" si="103"/>
        <v>0</v>
      </c>
      <c r="T753" s="126">
        <f t="shared" ca="1" si="109"/>
        <v>0</v>
      </c>
    </row>
    <row r="754" spans="4:20">
      <c r="D754">
        <v>747</v>
      </c>
      <c r="E754" s="6">
        <f t="shared" ca="1" si="104"/>
        <v>30011</v>
      </c>
      <c r="F754" s="7">
        <f t="shared" ca="1" si="105"/>
        <v>0</v>
      </c>
      <c r="G754" s="125">
        <f ca="1">IF('Simulador - 1º Pilar'!$E$99="Sí",IF('Aportaciones Flex'!$B$13&lt;'Aportaciones Flex'!E754,0,F754*$B$8/12),F754*$B$8/12)</f>
        <v>0</v>
      </c>
      <c r="H754" s="125">
        <f t="shared" ca="1" si="101"/>
        <v>0</v>
      </c>
      <c r="I754" s="126">
        <f t="shared" ca="1" si="102"/>
        <v>0</v>
      </c>
      <c r="J754" s="125">
        <f t="shared" ca="1" si="106"/>
        <v>0</v>
      </c>
      <c r="K754" s="151"/>
      <c r="L754" s="125">
        <f t="shared" ca="1" si="107"/>
        <v>0</v>
      </c>
      <c r="P754">
        <f t="shared" si="108"/>
        <v>747</v>
      </c>
      <c r="S754" s="126">
        <f t="shared" ca="1" si="103"/>
        <v>0</v>
      </c>
      <c r="T754" s="126">
        <f t="shared" ca="1" si="109"/>
        <v>0</v>
      </c>
    </row>
    <row r="755" spans="4:20">
      <c r="D755">
        <v>748</v>
      </c>
      <c r="E755" s="6">
        <f t="shared" ca="1" si="104"/>
        <v>29983</v>
      </c>
      <c r="F755" s="7">
        <f t="shared" ca="1" si="105"/>
        <v>0</v>
      </c>
      <c r="G755" s="125">
        <f ca="1">IF('Simulador - 1º Pilar'!$E$99="Sí",IF('Aportaciones Flex'!$B$13&lt;'Aportaciones Flex'!E755,0,F755*$B$8/12),F755*$B$8/12)</f>
        <v>0</v>
      </c>
      <c r="H755" s="125">
        <f t="shared" ca="1" si="101"/>
        <v>0</v>
      </c>
      <c r="I755" s="126">
        <f t="shared" ca="1" si="102"/>
        <v>0</v>
      </c>
      <c r="J755" s="125">
        <f t="shared" ca="1" si="106"/>
        <v>0</v>
      </c>
      <c r="K755" s="151"/>
      <c r="L755" s="125">
        <f t="shared" ca="1" si="107"/>
        <v>0</v>
      </c>
      <c r="P755">
        <f t="shared" si="108"/>
        <v>748</v>
      </c>
      <c r="S755" s="126">
        <f t="shared" ca="1" si="103"/>
        <v>0</v>
      </c>
      <c r="T755" s="126">
        <f t="shared" ca="1" si="109"/>
        <v>0</v>
      </c>
    </row>
    <row r="756" spans="4:20">
      <c r="D756">
        <v>749</v>
      </c>
      <c r="E756" s="6">
        <f t="shared" ca="1" si="104"/>
        <v>29952</v>
      </c>
      <c r="F756" s="7">
        <f t="shared" ca="1" si="105"/>
        <v>0</v>
      </c>
      <c r="G756" s="125">
        <f ca="1">IF('Simulador - 1º Pilar'!$E$99="Sí",IF('Aportaciones Flex'!$B$13&lt;'Aportaciones Flex'!E756,0,F756*$B$8/12),F756*$B$8/12)</f>
        <v>0</v>
      </c>
      <c r="H756" s="125">
        <f t="shared" ca="1" si="101"/>
        <v>0</v>
      </c>
      <c r="I756" s="126">
        <f t="shared" ca="1" si="102"/>
        <v>0</v>
      </c>
      <c r="J756" s="125">
        <f t="shared" ca="1" si="106"/>
        <v>0</v>
      </c>
      <c r="K756" s="151"/>
      <c r="L756" s="125">
        <f t="shared" ca="1" si="107"/>
        <v>0</v>
      </c>
      <c r="P756">
        <f t="shared" si="108"/>
        <v>749</v>
      </c>
      <c r="S756" s="126">
        <f t="shared" ca="1" si="103"/>
        <v>0</v>
      </c>
      <c r="T756" s="126">
        <f t="shared" ca="1" si="109"/>
        <v>0</v>
      </c>
    </row>
    <row r="757" spans="4:20">
      <c r="D757">
        <v>750</v>
      </c>
      <c r="E757" s="6">
        <f t="shared" ca="1" si="104"/>
        <v>29921</v>
      </c>
      <c r="F757" s="7">
        <f t="shared" ca="1" si="105"/>
        <v>0</v>
      </c>
      <c r="G757" s="125">
        <f ca="1">IF('Simulador - 1º Pilar'!$E$99="Sí",IF('Aportaciones Flex'!$B$13&lt;'Aportaciones Flex'!E757,0,F757*$B$8/12),F757*$B$8/12)</f>
        <v>0</v>
      </c>
      <c r="H757" s="125">
        <f t="shared" ca="1" si="101"/>
        <v>0</v>
      </c>
      <c r="I757" s="126">
        <f t="shared" ca="1" si="102"/>
        <v>0</v>
      </c>
      <c r="J757" s="125">
        <f t="shared" ca="1" si="106"/>
        <v>0</v>
      </c>
      <c r="K757" s="151"/>
      <c r="L757" s="125">
        <f t="shared" ca="1" si="107"/>
        <v>0</v>
      </c>
      <c r="P757">
        <f t="shared" si="108"/>
        <v>750</v>
      </c>
      <c r="S757" s="126">
        <f t="shared" ca="1" si="103"/>
        <v>0</v>
      </c>
      <c r="T757" s="126">
        <f t="shared" ca="1" si="109"/>
        <v>0</v>
      </c>
    </row>
    <row r="758" spans="4:20">
      <c r="D758">
        <v>751</v>
      </c>
      <c r="E758" s="6">
        <f t="shared" ca="1" si="104"/>
        <v>29891</v>
      </c>
      <c r="F758" s="7">
        <f t="shared" ca="1" si="105"/>
        <v>0</v>
      </c>
      <c r="G758" s="125">
        <f ca="1">IF('Simulador - 1º Pilar'!$E$99="Sí",IF('Aportaciones Flex'!$B$13&lt;'Aportaciones Flex'!E758,0,F758*$B$8/12),F758*$B$8/12)</f>
        <v>0</v>
      </c>
      <c r="H758" s="125">
        <f t="shared" ca="1" si="101"/>
        <v>0</v>
      </c>
      <c r="I758" s="126">
        <f t="shared" ca="1" si="102"/>
        <v>0</v>
      </c>
      <c r="J758" s="125">
        <f t="shared" ca="1" si="106"/>
        <v>0</v>
      </c>
      <c r="K758" s="151"/>
      <c r="L758" s="125">
        <f t="shared" ca="1" si="107"/>
        <v>0</v>
      </c>
      <c r="P758">
        <f t="shared" si="108"/>
        <v>751</v>
      </c>
      <c r="S758" s="126">
        <f t="shared" ca="1" si="103"/>
        <v>0</v>
      </c>
      <c r="T758" s="126">
        <f t="shared" ca="1" si="109"/>
        <v>0</v>
      </c>
    </row>
    <row r="759" spans="4:20">
      <c r="D759">
        <v>752</v>
      </c>
      <c r="E759" s="6">
        <f t="shared" ca="1" si="104"/>
        <v>29860</v>
      </c>
      <c r="F759" s="7">
        <f t="shared" ca="1" si="105"/>
        <v>0</v>
      </c>
      <c r="G759" s="125">
        <f ca="1">IF('Simulador - 1º Pilar'!$E$99="Sí",IF('Aportaciones Flex'!$B$13&lt;'Aportaciones Flex'!E759,0,F759*$B$8/12),F759*$B$8/12)</f>
        <v>0</v>
      </c>
      <c r="H759" s="125">
        <f t="shared" ca="1" si="101"/>
        <v>0</v>
      </c>
      <c r="I759" s="126">
        <f t="shared" ca="1" si="102"/>
        <v>0</v>
      </c>
      <c r="J759" s="125">
        <f t="shared" ca="1" si="106"/>
        <v>0</v>
      </c>
      <c r="K759" s="151"/>
      <c r="L759" s="125">
        <f t="shared" ca="1" si="107"/>
        <v>0</v>
      </c>
      <c r="P759">
        <f t="shared" si="108"/>
        <v>752</v>
      </c>
      <c r="S759" s="126">
        <f t="shared" ca="1" si="103"/>
        <v>0</v>
      </c>
      <c r="T759" s="126">
        <f t="shared" ca="1" si="109"/>
        <v>0</v>
      </c>
    </row>
    <row r="760" spans="4:20">
      <c r="D760">
        <v>753</v>
      </c>
      <c r="E760" s="6">
        <f t="shared" ca="1" si="104"/>
        <v>29830</v>
      </c>
      <c r="F760" s="7">
        <f t="shared" ca="1" si="105"/>
        <v>0</v>
      </c>
      <c r="G760" s="125">
        <f ca="1">IF('Simulador - 1º Pilar'!$E$99="Sí",IF('Aportaciones Flex'!$B$13&lt;'Aportaciones Flex'!E760,0,F760*$B$8/12),F760*$B$8/12)</f>
        <v>0</v>
      </c>
      <c r="H760" s="125">
        <f t="shared" ca="1" si="101"/>
        <v>0</v>
      </c>
      <c r="I760" s="126">
        <f t="shared" ca="1" si="102"/>
        <v>0</v>
      </c>
      <c r="J760" s="125">
        <f t="shared" ca="1" si="106"/>
        <v>0</v>
      </c>
      <c r="K760" s="151"/>
      <c r="L760" s="125">
        <f t="shared" ca="1" si="107"/>
        <v>0</v>
      </c>
      <c r="P760">
        <f t="shared" si="108"/>
        <v>753</v>
      </c>
      <c r="S760" s="126">
        <f t="shared" ca="1" si="103"/>
        <v>0</v>
      </c>
      <c r="T760" s="126">
        <f t="shared" ca="1" si="109"/>
        <v>0</v>
      </c>
    </row>
    <row r="761" spans="4:20">
      <c r="D761">
        <v>754</v>
      </c>
      <c r="E761" s="6">
        <f t="shared" ca="1" si="104"/>
        <v>29799</v>
      </c>
      <c r="F761" s="7">
        <f t="shared" ca="1" si="105"/>
        <v>0</v>
      </c>
      <c r="G761" s="125">
        <f ca="1">IF('Simulador - 1º Pilar'!$E$99="Sí",IF('Aportaciones Flex'!$B$13&lt;'Aportaciones Flex'!E761,0,F761*$B$8/12),F761*$B$8/12)</f>
        <v>0</v>
      </c>
      <c r="H761" s="125">
        <f t="shared" ca="1" si="101"/>
        <v>0</v>
      </c>
      <c r="I761" s="126">
        <f t="shared" ca="1" si="102"/>
        <v>0</v>
      </c>
      <c r="J761" s="125">
        <f t="shared" ca="1" si="106"/>
        <v>0</v>
      </c>
      <c r="K761" s="151"/>
      <c r="L761" s="125">
        <f t="shared" ca="1" si="107"/>
        <v>0</v>
      </c>
      <c r="P761">
        <f t="shared" si="108"/>
        <v>754</v>
      </c>
      <c r="S761" s="126">
        <f t="shared" ca="1" si="103"/>
        <v>0</v>
      </c>
      <c r="T761" s="126">
        <f t="shared" ca="1" si="109"/>
        <v>0</v>
      </c>
    </row>
    <row r="762" spans="4:20">
      <c r="D762">
        <v>755</v>
      </c>
      <c r="E762" s="6">
        <f t="shared" ca="1" si="104"/>
        <v>29768</v>
      </c>
      <c r="F762" s="7">
        <f t="shared" ca="1" si="105"/>
        <v>0</v>
      </c>
      <c r="G762" s="125">
        <f ca="1">IF('Simulador - 1º Pilar'!$E$99="Sí",IF('Aportaciones Flex'!$B$13&lt;'Aportaciones Flex'!E762,0,F762*$B$8/12),F762*$B$8/12)</f>
        <v>0</v>
      </c>
      <c r="H762" s="125">
        <f t="shared" ca="1" si="101"/>
        <v>0</v>
      </c>
      <c r="I762" s="126">
        <f t="shared" ca="1" si="102"/>
        <v>0</v>
      </c>
      <c r="J762" s="125">
        <f t="shared" ca="1" si="106"/>
        <v>0</v>
      </c>
      <c r="K762" s="151"/>
      <c r="L762" s="125">
        <f t="shared" ca="1" si="107"/>
        <v>0</v>
      </c>
      <c r="P762">
        <f t="shared" si="108"/>
        <v>755</v>
      </c>
      <c r="S762" s="126">
        <f t="shared" ca="1" si="103"/>
        <v>0</v>
      </c>
      <c r="T762" s="126">
        <f t="shared" ca="1" si="109"/>
        <v>0</v>
      </c>
    </row>
    <row r="763" spans="4:20">
      <c r="D763">
        <v>756</v>
      </c>
      <c r="E763" s="6">
        <f t="shared" ca="1" si="104"/>
        <v>29738</v>
      </c>
      <c r="F763" s="7">
        <f t="shared" ca="1" si="105"/>
        <v>0</v>
      </c>
      <c r="G763" s="125">
        <f ca="1">IF('Simulador - 1º Pilar'!$E$99="Sí",IF('Aportaciones Flex'!$B$13&lt;'Aportaciones Flex'!E763,0,F763*$B$8/12),F763*$B$8/12)</f>
        <v>0</v>
      </c>
      <c r="H763" s="125">
        <f t="shared" ca="1" si="101"/>
        <v>0</v>
      </c>
      <c r="I763" s="126">
        <f t="shared" ca="1" si="102"/>
        <v>0</v>
      </c>
      <c r="J763" s="125">
        <f t="shared" ca="1" si="106"/>
        <v>0</v>
      </c>
      <c r="K763" s="151"/>
      <c r="L763" s="125">
        <f t="shared" ca="1" si="107"/>
        <v>0</v>
      </c>
      <c r="P763">
        <f t="shared" si="108"/>
        <v>756</v>
      </c>
      <c r="S763" s="126">
        <f t="shared" ca="1" si="103"/>
        <v>0</v>
      </c>
      <c r="T763" s="126">
        <f t="shared" ca="1" si="109"/>
        <v>0</v>
      </c>
    </row>
    <row r="764" spans="4:20">
      <c r="D764">
        <v>757</v>
      </c>
      <c r="E764" s="6">
        <f t="shared" ca="1" si="104"/>
        <v>29707</v>
      </c>
      <c r="F764" s="7">
        <f t="shared" ca="1" si="105"/>
        <v>0</v>
      </c>
      <c r="G764" s="125">
        <f ca="1">IF('Simulador - 1º Pilar'!$E$99="Sí",IF('Aportaciones Flex'!$B$13&lt;'Aportaciones Flex'!E764,0,F764*$B$8/12),F764*$B$8/12)</f>
        <v>0</v>
      </c>
      <c r="H764" s="125">
        <f t="shared" ca="1" si="101"/>
        <v>0</v>
      </c>
      <c r="I764" s="126">
        <f t="shared" ca="1" si="102"/>
        <v>0</v>
      </c>
      <c r="J764" s="125">
        <f t="shared" ca="1" si="106"/>
        <v>0</v>
      </c>
      <c r="K764" s="151"/>
      <c r="L764" s="125">
        <f t="shared" ca="1" si="107"/>
        <v>0</v>
      </c>
      <c r="P764">
        <f t="shared" si="108"/>
        <v>757</v>
      </c>
      <c r="S764" s="126">
        <f t="shared" ca="1" si="103"/>
        <v>0</v>
      </c>
      <c r="T764" s="126">
        <f t="shared" ca="1" si="109"/>
        <v>0</v>
      </c>
    </row>
    <row r="765" spans="4:20">
      <c r="D765">
        <v>758</v>
      </c>
      <c r="E765" s="6">
        <f t="shared" ca="1" si="104"/>
        <v>29677</v>
      </c>
      <c r="F765" s="7">
        <f t="shared" ca="1" si="105"/>
        <v>0</v>
      </c>
      <c r="G765" s="125">
        <f ca="1">IF('Simulador - 1º Pilar'!$E$99="Sí",IF('Aportaciones Flex'!$B$13&lt;'Aportaciones Flex'!E765,0,F765*$B$8/12),F765*$B$8/12)</f>
        <v>0</v>
      </c>
      <c r="H765" s="125">
        <f t="shared" ca="1" si="101"/>
        <v>0</v>
      </c>
      <c r="I765" s="126">
        <f t="shared" ca="1" si="102"/>
        <v>0</v>
      </c>
      <c r="J765" s="125">
        <f t="shared" ca="1" si="106"/>
        <v>0</v>
      </c>
      <c r="K765" s="151"/>
      <c r="L765" s="125">
        <f t="shared" ca="1" si="107"/>
        <v>0</v>
      </c>
      <c r="P765">
        <f t="shared" si="108"/>
        <v>758</v>
      </c>
      <c r="S765" s="126">
        <f t="shared" ca="1" si="103"/>
        <v>0</v>
      </c>
      <c r="T765" s="126">
        <f t="shared" ca="1" si="109"/>
        <v>0</v>
      </c>
    </row>
    <row r="766" spans="4:20">
      <c r="D766">
        <v>759</v>
      </c>
      <c r="E766" s="6">
        <f t="shared" ca="1" si="104"/>
        <v>29646</v>
      </c>
      <c r="F766" s="7">
        <f t="shared" ca="1" si="105"/>
        <v>0</v>
      </c>
      <c r="G766" s="125">
        <f ca="1">IF('Simulador - 1º Pilar'!$E$99="Sí",IF('Aportaciones Flex'!$B$13&lt;'Aportaciones Flex'!E766,0,F766*$B$8/12),F766*$B$8/12)</f>
        <v>0</v>
      </c>
      <c r="H766" s="125">
        <f t="shared" ca="1" si="101"/>
        <v>0</v>
      </c>
      <c r="I766" s="126">
        <f t="shared" ca="1" si="102"/>
        <v>0</v>
      </c>
      <c r="J766" s="125">
        <f t="shared" ca="1" si="106"/>
        <v>0</v>
      </c>
      <c r="K766" s="151"/>
      <c r="L766" s="125">
        <f t="shared" ca="1" si="107"/>
        <v>0</v>
      </c>
      <c r="P766">
        <f t="shared" si="108"/>
        <v>759</v>
      </c>
      <c r="S766" s="126">
        <f t="shared" ca="1" si="103"/>
        <v>0</v>
      </c>
      <c r="T766" s="126">
        <f t="shared" ca="1" si="109"/>
        <v>0</v>
      </c>
    </row>
    <row r="767" spans="4:20">
      <c r="D767">
        <v>760</v>
      </c>
      <c r="E767" s="6">
        <f t="shared" ca="1" si="104"/>
        <v>29618</v>
      </c>
      <c r="F767" s="7">
        <f t="shared" ca="1" si="105"/>
        <v>0</v>
      </c>
      <c r="G767" s="125">
        <f ca="1">IF('Simulador - 1º Pilar'!$E$99="Sí",IF('Aportaciones Flex'!$B$13&lt;'Aportaciones Flex'!E767,0,F767*$B$8/12),F767*$B$8/12)</f>
        <v>0</v>
      </c>
      <c r="H767" s="125">
        <f t="shared" ca="1" si="101"/>
        <v>0</v>
      </c>
      <c r="I767" s="126">
        <f t="shared" ca="1" si="102"/>
        <v>0</v>
      </c>
      <c r="J767" s="125">
        <f t="shared" ca="1" si="106"/>
        <v>0</v>
      </c>
      <c r="K767" s="151"/>
      <c r="L767" s="125">
        <f t="shared" ca="1" si="107"/>
        <v>0</v>
      </c>
      <c r="P767">
        <f t="shared" si="108"/>
        <v>760</v>
      </c>
      <c r="S767" s="126">
        <f t="shared" ca="1" si="103"/>
        <v>0</v>
      </c>
      <c r="T767" s="126">
        <f t="shared" ca="1" si="109"/>
        <v>0</v>
      </c>
    </row>
    <row r="768" spans="4:20">
      <c r="D768">
        <v>761</v>
      </c>
      <c r="E768" s="6">
        <f t="shared" ca="1" si="104"/>
        <v>29587</v>
      </c>
      <c r="F768" s="7">
        <f t="shared" ca="1" si="105"/>
        <v>0</v>
      </c>
      <c r="G768" s="125">
        <f ca="1">IF('Simulador - 1º Pilar'!$E$99="Sí",IF('Aportaciones Flex'!$B$13&lt;'Aportaciones Flex'!E768,0,F768*$B$8/12),F768*$B$8/12)</f>
        <v>0</v>
      </c>
      <c r="H768" s="125">
        <f t="shared" ca="1" si="101"/>
        <v>0</v>
      </c>
      <c r="I768" s="126">
        <f t="shared" ca="1" si="102"/>
        <v>0</v>
      </c>
      <c r="J768" s="125">
        <f t="shared" ca="1" si="106"/>
        <v>0</v>
      </c>
      <c r="K768" s="151"/>
      <c r="L768" s="125">
        <f t="shared" ca="1" si="107"/>
        <v>0</v>
      </c>
      <c r="P768">
        <f t="shared" si="108"/>
        <v>761</v>
      </c>
      <c r="S768" s="126">
        <f t="shared" ca="1" si="103"/>
        <v>0</v>
      </c>
      <c r="T768" s="126">
        <f t="shared" ca="1" si="109"/>
        <v>0</v>
      </c>
    </row>
    <row r="769" spans="4:20">
      <c r="D769">
        <v>762</v>
      </c>
      <c r="E769" s="6">
        <f t="shared" ca="1" si="104"/>
        <v>29556</v>
      </c>
      <c r="F769" s="7">
        <f t="shared" ca="1" si="105"/>
        <v>0</v>
      </c>
      <c r="G769" s="125">
        <f ca="1">IF('Simulador - 1º Pilar'!$E$99="Sí",IF('Aportaciones Flex'!$B$13&lt;'Aportaciones Flex'!E769,0,F769*$B$8/12),F769*$B$8/12)</f>
        <v>0</v>
      </c>
      <c r="H769" s="125">
        <f t="shared" ca="1" si="101"/>
        <v>0</v>
      </c>
      <c r="I769" s="126">
        <f t="shared" ca="1" si="102"/>
        <v>0</v>
      </c>
      <c r="J769" s="125">
        <f t="shared" ca="1" si="106"/>
        <v>0</v>
      </c>
      <c r="K769" s="151"/>
      <c r="L769" s="125">
        <f t="shared" ca="1" si="107"/>
        <v>0</v>
      </c>
      <c r="P769">
        <f t="shared" si="108"/>
        <v>762</v>
      </c>
      <c r="S769" s="126">
        <f t="shared" ca="1" si="103"/>
        <v>0</v>
      </c>
      <c r="T769" s="126">
        <f t="shared" ca="1" si="109"/>
        <v>0</v>
      </c>
    </row>
    <row r="770" spans="4:20">
      <c r="D770">
        <v>763</v>
      </c>
      <c r="E770" s="6">
        <f t="shared" ca="1" si="104"/>
        <v>29526</v>
      </c>
      <c r="F770" s="7">
        <f t="shared" ca="1" si="105"/>
        <v>0</v>
      </c>
      <c r="G770" s="125">
        <f ca="1">IF('Simulador - 1º Pilar'!$E$99="Sí",IF('Aportaciones Flex'!$B$13&lt;'Aportaciones Flex'!E770,0,F770*$B$8/12),F770*$B$8/12)</f>
        <v>0</v>
      </c>
      <c r="H770" s="125">
        <f t="shared" ref="H770:H833" ca="1" si="110">IF(G770&gt;0,1,0)*$H$5*IF(AND($I$5="NO",YEAR(E770)=YEAR($B$6)+1),1,IF($I$5="SI",1,0))</f>
        <v>0</v>
      </c>
      <c r="I770" s="126">
        <f t="shared" ca="1" si="102"/>
        <v>0</v>
      </c>
      <c r="J770" s="125">
        <f t="shared" ca="1" si="106"/>
        <v>0</v>
      </c>
      <c r="K770" s="151"/>
      <c r="L770" s="125">
        <f t="shared" ca="1" si="107"/>
        <v>0</v>
      </c>
      <c r="P770">
        <f t="shared" si="108"/>
        <v>763</v>
      </c>
      <c r="S770" s="126">
        <f t="shared" ca="1" si="103"/>
        <v>0</v>
      </c>
      <c r="T770" s="126">
        <f t="shared" ca="1" si="109"/>
        <v>0</v>
      </c>
    </row>
    <row r="771" spans="4:20">
      <c r="D771">
        <v>764</v>
      </c>
      <c r="E771" s="6">
        <f t="shared" ca="1" si="104"/>
        <v>29495</v>
      </c>
      <c r="F771" s="7">
        <f t="shared" ca="1" si="105"/>
        <v>0</v>
      </c>
      <c r="G771" s="125">
        <f ca="1">IF('Simulador - 1º Pilar'!$E$99="Sí",IF('Aportaciones Flex'!$B$13&lt;'Aportaciones Flex'!E771,0,F771*$B$8/12),F771*$B$8/12)</f>
        <v>0</v>
      </c>
      <c r="H771" s="125">
        <f t="shared" ca="1" si="110"/>
        <v>0</v>
      </c>
      <c r="I771" s="126">
        <f t="shared" ca="1" si="102"/>
        <v>0</v>
      </c>
      <c r="J771" s="125">
        <f t="shared" ca="1" si="106"/>
        <v>0</v>
      </c>
      <c r="K771" s="151"/>
      <c r="L771" s="125">
        <f t="shared" ca="1" si="107"/>
        <v>0</v>
      </c>
      <c r="P771">
        <f t="shared" si="108"/>
        <v>764</v>
      </c>
      <c r="S771" s="126">
        <f t="shared" ca="1" si="103"/>
        <v>0</v>
      </c>
      <c r="T771" s="126">
        <f t="shared" ca="1" si="109"/>
        <v>0</v>
      </c>
    </row>
    <row r="772" spans="4:20">
      <c r="D772">
        <v>765</v>
      </c>
      <c r="E772" s="6">
        <f t="shared" ca="1" si="104"/>
        <v>29465</v>
      </c>
      <c r="F772" s="7">
        <f t="shared" ca="1" si="105"/>
        <v>0</v>
      </c>
      <c r="G772" s="125">
        <f ca="1">IF('Simulador - 1º Pilar'!$E$99="Sí",IF('Aportaciones Flex'!$B$13&lt;'Aportaciones Flex'!E772,0,F772*$B$8/12),F772*$B$8/12)</f>
        <v>0</v>
      </c>
      <c r="H772" s="125">
        <f t="shared" ca="1" si="110"/>
        <v>0</v>
      </c>
      <c r="I772" s="126">
        <f t="shared" ca="1" si="102"/>
        <v>0</v>
      </c>
      <c r="J772" s="125">
        <f t="shared" ca="1" si="106"/>
        <v>0</v>
      </c>
      <c r="K772" s="151"/>
      <c r="L772" s="125">
        <f t="shared" ca="1" si="107"/>
        <v>0</v>
      </c>
      <c r="P772">
        <f t="shared" si="108"/>
        <v>765</v>
      </c>
      <c r="S772" s="126">
        <f t="shared" ca="1" si="103"/>
        <v>0</v>
      </c>
      <c r="T772" s="126">
        <f t="shared" ca="1" si="109"/>
        <v>0</v>
      </c>
    </row>
    <row r="773" spans="4:20">
      <c r="D773">
        <v>766</v>
      </c>
      <c r="E773" s="6">
        <f t="shared" ca="1" si="104"/>
        <v>29434</v>
      </c>
      <c r="F773" s="7">
        <f t="shared" ca="1" si="105"/>
        <v>0</v>
      </c>
      <c r="G773" s="125">
        <f ca="1">IF('Simulador - 1º Pilar'!$E$99="Sí",IF('Aportaciones Flex'!$B$13&lt;'Aportaciones Flex'!E773,0,F773*$B$8/12),F773*$B$8/12)</f>
        <v>0</v>
      </c>
      <c r="H773" s="125">
        <f t="shared" ca="1" si="110"/>
        <v>0</v>
      </c>
      <c r="I773" s="126">
        <f t="shared" ca="1" si="102"/>
        <v>0</v>
      </c>
      <c r="J773" s="125">
        <f t="shared" ca="1" si="106"/>
        <v>0</v>
      </c>
      <c r="K773" s="151"/>
      <c r="L773" s="125">
        <f t="shared" ca="1" si="107"/>
        <v>0</v>
      </c>
      <c r="P773">
        <f t="shared" si="108"/>
        <v>766</v>
      </c>
      <c r="S773" s="126">
        <f t="shared" ca="1" si="103"/>
        <v>0</v>
      </c>
      <c r="T773" s="126">
        <f t="shared" ca="1" si="109"/>
        <v>0</v>
      </c>
    </row>
    <row r="774" spans="4:20">
      <c r="D774">
        <v>767</v>
      </c>
      <c r="E774" s="6">
        <f t="shared" ca="1" si="104"/>
        <v>29403</v>
      </c>
      <c r="F774" s="7">
        <f t="shared" ca="1" si="105"/>
        <v>0</v>
      </c>
      <c r="G774" s="125">
        <f ca="1">IF('Simulador - 1º Pilar'!$E$99="Sí",IF('Aportaciones Flex'!$B$13&lt;'Aportaciones Flex'!E774,0,F774*$B$8/12),F774*$B$8/12)</f>
        <v>0</v>
      </c>
      <c r="H774" s="125">
        <f t="shared" ca="1" si="110"/>
        <v>0</v>
      </c>
      <c r="I774" s="126">
        <f t="shared" ca="1" si="102"/>
        <v>0</v>
      </c>
      <c r="J774" s="125">
        <f t="shared" ca="1" si="106"/>
        <v>0</v>
      </c>
      <c r="K774" s="151"/>
      <c r="L774" s="125">
        <f t="shared" ca="1" si="107"/>
        <v>0</v>
      </c>
      <c r="P774">
        <f t="shared" si="108"/>
        <v>767</v>
      </c>
      <c r="S774" s="126">
        <f t="shared" ca="1" si="103"/>
        <v>0</v>
      </c>
      <c r="T774" s="126">
        <f t="shared" ca="1" si="109"/>
        <v>0</v>
      </c>
    </row>
    <row r="775" spans="4:20">
      <c r="D775">
        <v>768</v>
      </c>
      <c r="E775" s="6">
        <f t="shared" ca="1" si="104"/>
        <v>29373</v>
      </c>
      <c r="F775" s="7">
        <f t="shared" ca="1" si="105"/>
        <v>0</v>
      </c>
      <c r="G775" s="125">
        <f ca="1">IF('Simulador - 1º Pilar'!$E$99="Sí",IF('Aportaciones Flex'!$B$13&lt;'Aportaciones Flex'!E775,0,F775*$B$8/12),F775*$B$8/12)</f>
        <v>0</v>
      </c>
      <c r="H775" s="125">
        <f t="shared" ca="1" si="110"/>
        <v>0</v>
      </c>
      <c r="I775" s="126">
        <f t="shared" ref="I775:I838" ca="1" si="111">(1+$M$5)^(D775/12)*(H775*(12-IF(MONTH(E776)=12,0,MONTH(E776)))+IF(AND(F775=1,F776=0),$Q$4,0))*IF(AND(F775=1,F776=0),1,0)</f>
        <v>0</v>
      </c>
      <c r="J775" s="125">
        <f t="shared" ca="1" si="106"/>
        <v>0</v>
      </c>
      <c r="K775" s="151"/>
      <c r="L775" s="125">
        <f t="shared" ca="1" si="107"/>
        <v>0</v>
      </c>
      <c r="P775">
        <f t="shared" si="108"/>
        <v>768</v>
      </c>
      <c r="S775" s="126">
        <f t="shared" ref="S775:S838" ca="1" si="112">(1+$M$5)^(D775/12)*(IF(E775=$C$6,$Q$4+$H$5*12,0))</f>
        <v>0</v>
      </c>
      <c r="T775" s="126">
        <f t="shared" ca="1" si="109"/>
        <v>0</v>
      </c>
    </row>
    <row r="776" spans="4:20">
      <c r="D776">
        <v>769</v>
      </c>
      <c r="E776" s="6">
        <f t="shared" ref="E776:E839" ca="1" si="113">+DATE(YEAR(E775),MONTH(E775)-1,DAY(E775))</f>
        <v>29342</v>
      </c>
      <c r="F776" s="7">
        <f t="shared" ref="F776:F839" ca="1" si="114">IF(DATE(YEAR($B$6),MONTH($B$6)+1,DAY(1))=E776,1,IF(MONTH(E776)=1,F777*(1+$F$5),F777))</f>
        <v>0</v>
      </c>
      <c r="G776" s="125">
        <f ca="1">IF('Simulador - 1º Pilar'!$E$99="Sí",IF('Aportaciones Flex'!$B$13&lt;'Aportaciones Flex'!E776,0,F776*$B$8/12),F776*$B$8/12)</f>
        <v>0</v>
      </c>
      <c r="H776" s="125">
        <f t="shared" ca="1" si="110"/>
        <v>0</v>
      </c>
      <c r="I776" s="126">
        <f t="shared" ca="1" si="111"/>
        <v>0</v>
      </c>
      <c r="J776" s="125">
        <f t="shared" ref="J776:J839" ca="1" si="115">(1+$M$5)^(D776/12)*(H776+IF(AND(F776=1,F777=0),$Q$4,0))</f>
        <v>0</v>
      </c>
      <c r="K776" s="151"/>
      <c r="L776" s="125">
        <f t="shared" ref="L776:L839" ca="1" si="116">K776+J776</f>
        <v>0</v>
      </c>
      <c r="P776">
        <f t="shared" ref="P776:P839" si="117">D776</f>
        <v>769</v>
      </c>
      <c r="S776" s="126">
        <f t="shared" ca="1" si="112"/>
        <v>0</v>
      </c>
      <c r="T776" s="126">
        <f t="shared" ref="T776:T839" ca="1" si="118">(1+$M$5)^(D776/12)*(IF(YEAR(E776)&gt;YEAR($C$6),L776,0)+IF(E776=$C$6,$H$5*12+$Q$4,0))</f>
        <v>0</v>
      </c>
    </row>
    <row r="777" spans="4:20">
      <c r="D777">
        <v>770</v>
      </c>
      <c r="E777" s="6">
        <f t="shared" ca="1" si="113"/>
        <v>29312</v>
      </c>
      <c r="F777" s="7">
        <f t="shared" ca="1" si="114"/>
        <v>0</v>
      </c>
      <c r="G777" s="125">
        <f ca="1">IF('Simulador - 1º Pilar'!$E$99="Sí",IF('Aportaciones Flex'!$B$13&lt;'Aportaciones Flex'!E777,0,F777*$B$8/12),F777*$B$8/12)</f>
        <v>0</v>
      </c>
      <c r="H777" s="125">
        <f t="shared" ca="1" si="110"/>
        <v>0</v>
      </c>
      <c r="I777" s="126">
        <f t="shared" ca="1" si="111"/>
        <v>0</v>
      </c>
      <c r="J777" s="125">
        <f t="shared" ca="1" si="115"/>
        <v>0</v>
      </c>
      <c r="K777" s="151"/>
      <c r="L777" s="125">
        <f t="shared" ca="1" si="116"/>
        <v>0</v>
      </c>
      <c r="P777">
        <f t="shared" si="117"/>
        <v>770</v>
      </c>
      <c r="S777" s="126">
        <f t="shared" ca="1" si="112"/>
        <v>0</v>
      </c>
      <c r="T777" s="126">
        <f t="shared" ca="1" si="118"/>
        <v>0</v>
      </c>
    </row>
    <row r="778" spans="4:20">
      <c r="D778">
        <v>771</v>
      </c>
      <c r="E778" s="6">
        <f t="shared" ca="1" si="113"/>
        <v>29281</v>
      </c>
      <c r="F778" s="7">
        <f t="shared" ca="1" si="114"/>
        <v>0</v>
      </c>
      <c r="G778" s="125">
        <f ca="1">IF('Simulador - 1º Pilar'!$E$99="Sí",IF('Aportaciones Flex'!$B$13&lt;'Aportaciones Flex'!E778,0,F778*$B$8/12),F778*$B$8/12)</f>
        <v>0</v>
      </c>
      <c r="H778" s="125">
        <f t="shared" ca="1" si="110"/>
        <v>0</v>
      </c>
      <c r="I778" s="126">
        <f t="shared" ca="1" si="111"/>
        <v>0</v>
      </c>
      <c r="J778" s="125">
        <f t="shared" ca="1" si="115"/>
        <v>0</v>
      </c>
      <c r="K778" s="151"/>
      <c r="L778" s="125">
        <f t="shared" ca="1" si="116"/>
        <v>0</v>
      </c>
      <c r="P778">
        <f t="shared" si="117"/>
        <v>771</v>
      </c>
      <c r="S778" s="126">
        <f t="shared" ca="1" si="112"/>
        <v>0</v>
      </c>
      <c r="T778" s="126">
        <f t="shared" ca="1" si="118"/>
        <v>0</v>
      </c>
    </row>
    <row r="779" spans="4:20">
      <c r="D779">
        <v>772</v>
      </c>
      <c r="E779" s="6">
        <f t="shared" ca="1" si="113"/>
        <v>29252</v>
      </c>
      <c r="F779" s="7">
        <f t="shared" ca="1" si="114"/>
        <v>0</v>
      </c>
      <c r="G779" s="125">
        <f ca="1">IF('Simulador - 1º Pilar'!$E$99="Sí",IF('Aportaciones Flex'!$B$13&lt;'Aportaciones Flex'!E779,0,F779*$B$8/12),F779*$B$8/12)</f>
        <v>0</v>
      </c>
      <c r="H779" s="125">
        <f t="shared" ca="1" si="110"/>
        <v>0</v>
      </c>
      <c r="I779" s="126">
        <f t="shared" ca="1" si="111"/>
        <v>0</v>
      </c>
      <c r="J779" s="125">
        <f t="shared" ca="1" si="115"/>
        <v>0</v>
      </c>
      <c r="K779" s="151"/>
      <c r="L779" s="125">
        <f t="shared" ca="1" si="116"/>
        <v>0</v>
      </c>
      <c r="P779">
        <f t="shared" si="117"/>
        <v>772</v>
      </c>
      <c r="S779" s="126">
        <f t="shared" ca="1" si="112"/>
        <v>0</v>
      </c>
      <c r="T779" s="126">
        <f t="shared" ca="1" si="118"/>
        <v>0</v>
      </c>
    </row>
    <row r="780" spans="4:20">
      <c r="D780">
        <v>773</v>
      </c>
      <c r="E780" s="6">
        <f t="shared" ca="1" si="113"/>
        <v>29221</v>
      </c>
      <c r="F780" s="7">
        <f t="shared" ca="1" si="114"/>
        <v>0</v>
      </c>
      <c r="G780" s="125">
        <f ca="1">IF('Simulador - 1º Pilar'!$E$99="Sí",IF('Aportaciones Flex'!$B$13&lt;'Aportaciones Flex'!E780,0,F780*$B$8/12),F780*$B$8/12)</f>
        <v>0</v>
      </c>
      <c r="H780" s="125">
        <f t="shared" ca="1" si="110"/>
        <v>0</v>
      </c>
      <c r="I780" s="126">
        <f t="shared" ca="1" si="111"/>
        <v>0</v>
      </c>
      <c r="J780" s="125">
        <f t="shared" ca="1" si="115"/>
        <v>0</v>
      </c>
      <c r="K780" s="151"/>
      <c r="L780" s="125">
        <f t="shared" ca="1" si="116"/>
        <v>0</v>
      </c>
      <c r="P780">
        <f t="shared" si="117"/>
        <v>773</v>
      </c>
      <c r="S780" s="126">
        <f t="shared" ca="1" si="112"/>
        <v>0</v>
      </c>
      <c r="T780" s="126">
        <f t="shared" ca="1" si="118"/>
        <v>0</v>
      </c>
    </row>
    <row r="781" spans="4:20">
      <c r="D781">
        <v>774</v>
      </c>
      <c r="E781" s="6">
        <f t="shared" ca="1" si="113"/>
        <v>29190</v>
      </c>
      <c r="F781" s="7">
        <f t="shared" ca="1" si="114"/>
        <v>0</v>
      </c>
      <c r="G781" s="125">
        <f ca="1">IF('Simulador - 1º Pilar'!$E$99="Sí",IF('Aportaciones Flex'!$B$13&lt;'Aportaciones Flex'!E781,0,F781*$B$8/12),F781*$B$8/12)</f>
        <v>0</v>
      </c>
      <c r="H781" s="125">
        <f t="shared" ca="1" si="110"/>
        <v>0</v>
      </c>
      <c r="I781" s="126">
        <f t="shared" ca="1" si="111"/>
        <v>0</v>
      </c>
      <c r="J781" s="125">
        <f t="shared" ca="1" si="115"/>
        <v>0</v>
      </c>
      <c r="K781" s="151"/>
      <c r="L781" s="125">
        <f t="shared" ca="1" si="116"/>
        <v>0</v>
      </c>
      <c r="P781">
        <f t="shared" si="117"/>
        <v>774</v>
      </c>
      <c r="S781" s="126">
        <f t="shared" ca="1" si="112"/>
        <v>0</v>
      </c>
      <c r="T781" s="126">
        <f t="shared" ca="1" si="118"/>
        <v>0</v>
      </c>
    </row>
    <row r="782" spans="4:20">
      <c r="D782">
        <v>775</v>
      </c>
      <c r="E782" s="6">
        <f t="shared" ca="1" si="113"/>
        <v>29160</v>
      </c>
      <c r="F782" s="7">
        <f t="shared" ca="1" si="114"/>
        <v>0</v>
      </c>
      <c r="G782" s="125">
        <f ca="1">IF('Simulador - 1º Pilar'!$E$99="Sí",IF('Aportaciones Flex'!$B$13&lt;'Aportaciones Flex'!E782,0,F782*$B$8/12),F782*$B$8/12)</f>
        <v>0</v>
      </c>
      <c r="H782" s="125">
        <f t="shared" ca="1" si="110"/>
        <v>0</v>
      </c>
      <c r="I782" s="126">
        <f t="shared" ca="1" si="111"/>
        <v>0</v>
      </c>
      <c r="J782" s="125">
        <f t="shared" ca="1" si="115"/>
        <v>0</v>
      </c>
      <c r="K782" s="151"/>
      <c r="L782" s="125">
        <f t="shared" ca="1" si="116"/>
        <v>0</v>
      </c>
      <c r="P782">
        <f t="shared" si="117"/>
        <v>775</v>
      </c>
      <c r="S782" s="126">
        <f t="shared" ca="1" si="112"/>
        <v>0</v>
      </c>
      <c r="T782" s="126">
        <f t="shared" ca="1" si="118"/>
        <v>0</v>
      </c>
    </row>
    <row r="783" spans="4:20">
      <c r="D783">
        <v>776</v>
      </c>
      <c r="E783" s="6">
        <f t="shared" ca="1" si="113"/>
        <v>29129</v>
      </c>
      <c r="F783" s="7">
        <f t="shared" ca="1" si="114"/>
        <v>0</v>
      </c>
      <c r="G783" s="125">
        <f ca="1">IF('Simulador - 1º Pilar'!$E$99="Sí",IF('Aportaciones Flex'!$B$13&lt;'Aportaciones Flex'!E783,0,F783*$B$8/12),F783*$B$8/12)</f>
        <v>0</v>
      </c>
      <c r="H783" s="125">
        <f t="shared" ca="1" si="110"/>
        <v>0</v>
      </c>
      <c r="I783" s="126">
        <f t="shared" ca="1" si="111"/>
        <v>0</v>
      </c>
      <c r="J783" s="125">
        <f t="shared" ca="1" si="115"/>
        <v>0</v>
      </c>
      <c r="K783" s="151"/>
      <c r="L783" s="125">
        <f t="shared" ca="1" si="116"/>
        <v>0</v>
      </c>
      <c r="P783">
        <f t="shared" si="117"/>
        <v>776</v>
      </c>
      <c r="S783" s="126">
        <f t="shared" ca="1" si="112"/>
        <v>0</v>
      </c>
      <c r="T783" s="126">
        <f t="shared" ca="1" si="118"/>
        <v>0</v>
      </c>
    </row>
    <row r="784" spans="4:20">
      <c r="D784">
        <v>777</v>
      </c>
      <c r="E784" s="6">
        <f t="shared" ca="1" si="113"/>
        <v>29099</v>
      </c>
      <c r="F784" s="7">
        <f t="shared" ca="1" si="114"/>
        <v>0</v>
      </c>
      <c r="G784" s="125">
        <f ca="1">IF('Simulador - 1º Pilar'!$E$99="Sí",IF('Aportaciones Flex'!$B$13&lt;'Aportaciones Flex'!E784,0,F784*$B$8/12),F784*$B$8/12)</f>
        <v>0</v>
      </c>
      <c r="H784" s="125">
        <f t="shared" ca="1" si="110"/>
        <v>0</v>
      </c>
      <c r="I784" s="126">
        <f t="shared" ca="1" si="111"/>
        <v>0</v>
      </c>
      <c r="J784" s="125">
        <f t="shared" ca="1" si="115"/>
        <v>0</v>
      </c>
      <c r="K784" s="151"/>
      <c r="L784" s="125">
        <f t="shared" ca="1" si="116"/>
        <v>0</v>
      </c>
      <c r="P784">
        <f t="shared" si="117"/>
        <v>777</v>
      </c>
      <c r="S784" s="126">
        <f t="shared" ca="1" si="112"/>
        <v>0</v>
      </c>
      <c r="T784" s="126">
        <f t="shared" ca="1" si="118"/>
        <v>0</v>
      </c>
    </row>
    <row r="785" spans="4:20">
      <c r="D785">
        <v>778</v>
      </c>
      <c r="E785" s="6">
        <f t="shared" ca="1" si="113"/>
        <v>29068</v>
      </c>
      <c r="F785" s="7">
        <f t="shared" ca="1" si="114"/>
        <v>0</v>
      </c>
      <c r="G785" s="125">
        <f ca="1">IF('Simulador - 1º Pilar'!$E$99="Sí",IF('Aportaciones Flex'!$B$13&lt;'Aportaciones Flex'!E785,0,F785*$B$8/12),F785*$B$8/12)</f>
        <v>0</v>
      </c>
      <c r="H785" s="125">
        <f t="shared" ca="1" si="110"/>
        <v>0</v>
      </c>
      <c r="I785" s="126">
        <f t="shared" ca="1" si="111"/>
        <v>0</v>
      </c>
      <c r="J785" s="125">
        <f t="shared" ca="1" si="115"/>
        <v>0</v>
      </c>
      <c r="K785" s="151"/>
      <c r="L785" s="125">
        <f t="shared" ca="1" si="116"/>
        <v>0</v>
      </c>
      <c r="P785">
        <f t="shared" si="117"/>
        <v>778</v>
      </c>
      <c r="S785" s="126">
        <f t="shared" ca="1" si="112"/>
        <v>0</v>
      </c>
      <c r="T785" s="126">
        <f t="shared" ca="1" si="118"/>
        <v>0</v>
      </c>
    </row>
    <row r="786" spans="4:20">
      <c r="D786">
        <v>779</v>
      </c>
      <c r="E786" s="6">
        <f t="shared" ca="1" si="113"/>
        <v>29037</v>
      </c>
      <c r="F786" s="7">
        <f t="shared" ca="1" si="114"/>
        <v>0</v>
      </c>
      <c r="G786" s="125">
        <f ca="1">IF('Simulador - 1º Pilar'!$E$99="Sí",IF('Aportaciones Flex'!$B$13&lt;'Aportaciones Flex'!E786,0,F786*$B$8/12),F786*$B$8/12)</f>
        <v>0</v>
      </c>
      <c r="H786" s="125">
        <f t="shared" ca="1" si="110"/>
        <v>0</v>
      </c>
      <c r="I786" s="126">
        <f t="shared" ca="1" si="111"/>
        <v>0</v>
      </c>
      <c r="J786" s="125">
        <f t="shared" ca="1" si="115"/>
        <v>0</v>
      </c>
      <c r="K786" s="151"/>
      <c r="L786" s="125">
        <f t="shared" ca="1" si="116"/>
        <v>0</v>
      </c>
      <c r="P786">
        <f t="shared" si="117"/>
        <v>779</v>
      </c>
      <c r="S786" s="126">
        <f t="shared" ca="1" si="112"/>
        <v>0</v>
      </c>
      <c r="T786" s="126">
        <f t="shared" ca="1" si="118"/>
        <v>0</v>
      </c>
    </row>
    <row r="787" spans="4:20">
      <c r="D787">
        <v>780</v>
      </c>
      <c r="E787" s="6">
        <f t="shared" ca="1" si="113"/>
        <v>29007</v>
      </c>
      <c r="F787" s="7">
        <f t="shared" ca="1" si="114"/>
        <v>0</v>
      </c>
      <c r="G787" s="125">
        <f ca="1">IF('Simulador - 1º Pilar'!$E$99="Sí",IF('Aportaciones Flex'!$B$13&lt;'Aportaciones Flex'!E787,0,F787*$B$8/12),F787*$B$8/12)</f>
        <v>0</v>
      </c>
      <c r="H787" s="125">
        <f t="shared" ca="1" si="110"/>
        <v>0</v>
      </c>
      <c r="I787" s="126">
        <f t="shared" ca="1" si="111"/>
        <v>0</v>
      </c>
      <c r="J787" s="125">
        <f t="shared" ca="1" si="115"/>
        <v>0</v>
      </c>
      <c r="K787" s="151"/>
      <c r="L787" s="125">
        <f t="shared" ca="1" si="116"/>
        <v>0</v>
      </c>
      <c r="P787">
        <f t="shared" si="117"/>
        <v>780</v>
      </c>
      <c r="S787" s="126">
        <f t="shared" ca="1" si="112"/>
        <v>0</v>
      </c>
      <c r="T787" s="126">
        <f t="shared" ca="1" si="118"/>
        <v>0</v>
      </c>
    </row>
    <row r="788" spans="4:20">
      <c r="D788">
        <v>781</v>
      </c>
      <c r="E788" s="6">
        <f t="shared" ca="1" si="113"/>
        <v>28976</v>
      </c>
      <c r="F788" s="7">
        <f t="shared" ca="1" si="114"/>
        <v>0</v>
      </c>
      <c r="G788" s="125">
        <f ca="1">IF('Simulador - 1º Pilar'!$E$99="Sí",IF('Aportaciones Flex'!$B$13&lt;'Aportaciones Flex'!E788,0,F788*$B$8/12),F788*$B$8/12)</f>
        <v>0</v>
      </c>
      <c r="H788" s="125">
        <f t="shared" ca="1" si="110"/>
        <v>0</v>
      </c>
      <c r="I788" s="126">
        <f t="shared" ca="1" si="111"/>
        <v>0</v>
      </c>
      <c r="J788" s="125">
        <f t="shared" ca="1" si="115"/>
        <v>0</v>
      </c>
      <c r="K788" s="151"/>
      <c r="L788" s="125">
        <f t="shared" ca="1" si="116"/>
        <v>0</v>
      </c>
      <c r="P788">
        <f t="shared" si="117"/>
        <v>781</v>
      </c>
      <c r="S788" s="126">
        <f t="shared" ca="1" si="112"/>
        <v>0</v>
      </c>
      <c r="T788" s="126">
        <f t="shared" ca="1" si="118"/>
        <v>0</v>
      </c>
    </row>
    <row r="789" spans="4:20">
      <c r="D789">
        <v>782</v>
      </c>
      <c r="E789" s="6">
        <f t="shared" ca="1" si="113"/>
        <v>28946</v>
      </c>
      <c r="F789" s="7">
        <f t="shared" ca="1" si="114"/>
        <v>0</v>
      </c>
      <c r="G789" s="125">
        <f ca="1">IF('Simulador - 1º Pilar'!$E$99="Sí",IF('Aportaciones Flex'!$B$13&lt;'Aportaciones Flex'!E789,0,F789*$B$8/12),F789*$B$8/12)</f>
        <v>0</v>
      </c>
      <c r="H789" s="125">
        <f t="shared" ca="1" si="110"/>
        <v>0</v>
      </c>
      <c r="I789" s="126">
        <f t="shared" ca="1" si="111"/>
        <v>0</v>
      </c>
      <c r="J789" s="125">
        <f t="shared" ca="1" si="115"/>
        <v>0</v>
      </c>
      <c r="K789" s="151"/>
      <c r="L789" s="125">
        <f t="shared" ca="1" si="116"/>
        <v>0</v>
      </c>
      <c r="P789">
        <f t="shared" si="117"/>
        <v>782</v>
      </c>
      <c r="S789" s="126">
        <f t="shared" ca="1" si="112"/>
        <v>0</v>
      </c>
      <c r="T789" s="126">
        <f t="shared" ca="1" si="118"/>
        <v>0</v>
      </c>
    </row>
    <row r="790" spans="4:20">
      <c r="D790">
        <v>783</v>
      </c>
      <c r="E790" s="6">
        <f t="shared" ca="1" si="113"/>
        <v>28915</v>
      </c>
      <c r="F790" s="7">
        <f t="shared" ca="1" si="114"/>
        <v>0</v>
      </c>
      <c r="G790" s="125">
        <f ca="1">IF('Simulador - 1º Pilar'!$E$99="Sí",IF('Aportaciones Flex'!$B$13&lt;'Aportaciones Flex'!E790,0,F790*$B$8/12),F790*$B$8/12)</f>
        <v>0</v>
      </c>
      <c r="H790" s="125">
        <f t="shared" ca="1" si="110"/>
        <v>0</v>
      </c>
      <c r="I790" s="126">
        <f t="shared" ca="1" si="111"/>
        <v>0</v>
      </c>
      <c r="J790" s="125">
        <f t="shared" ca="1" si="115"/>
        <v>0</v>
      </c>
      <c r="K790" s="151"/>
      <c r="L790" s="125">
        <f t="shared" ca="1" si="116"/>
        <v>0</v>
      </c>
      <c r="P790">
        <f t="shared" si="117"/>
        <v>783</v>
      </c>
      <c r="S790" s="126">
        <f t="shared" ca="1" si="112"/>
        <v>0</v>
      </c>
      <c r="T790" s="126">
        <f t="shared" ca="1" si="118"/>
        <v>0</v>
      </c>
    </row>
    <row r="791" spans="4:20">
      <c r="D791">
        <v>784</v>
      </c>
      <c r="E791" s="6">
        <f t="shared" ca="1" si="113"/>
        <v>28887</v>
      </c>
      <c r="F791" s="7">
        <f t="shared" ca="1" si="114"/>
        <v>0</v>
      </c>
      <c r="G791" s="125">
        <f ca="1">IF('Simulador - 1º Pilar'!$E$99="Sí",IF('Aportaciones Flex'!$B$13&lt;'Aportaciones Flex'!E791,0,F791*$B$8/12),F791*$B$8/12)</f>
        <v>0</v>
      </c>
      <c r="H791" s="125">
        <f t="shared" ca="1" si="110"/>
        <v>0</v>
      </c>
      <c r="I791" s="126">
        <f t="shared" ca="1" si="111"/>
        <v>0</v>
      </c>
      <c r="J791" s="125">
        <f t="shared" ca="1" si="115"/>
        <v>0</v>
      </c>
      <c r="K791" s="151"/>
      <c r="L791" s="125">
        <f t="shared" ca="1" si="116"/>
        <v>0</v>
      </c>
      <c r="P791">
        <f t="shared" si="117"/>
        <v>784</v>
      </c>
      <c r="S791" s="126">
        <f t="shared" ca="1" si="112"/>
        <v>0</v>
      </c>
      <c r="T791" s="126">
        <f t="shared" ca="1" si="118"/>
        <v>0</v>
      </c>
    </row>
    <row r="792" spans="4:20">
      <c r="D792">
        <v>785</v>
      </c>
      <c r="E792" s="6">
        <f t="shared" ca="1" si="113"/>
        <v>28856</v>
      </c>
      <c r="F792" s="7">
        <f t="shared" ca="1" si="114"/>
        <v>0</v>
      </c>
      <c r="G792" s="125">
        <f ca="1">IF('Simulador - 1º Pilar'!$E$99="Sí",IF('Aportaciones Flex'!$B$13&lt;'Aportaciones Flex'!E792,0,F792*$B$8/12),F792*$B$8/12)</f>
        <v>0</v>
      </c>
      <c r="H792" s="125">
        <f t="shared" ca="1" si="110"/>
        <v>0</v>
      </c>
      <c r="I792" s="126">
        <f t="shared" ca="1" si="111"/>
        <v>0</v>
      </c>
      <c r="J792" s="125">
        <f t="shared" ca="1" si="115"/>
        <v>0</v>
      </c>
      <c r="K792" s="151"/>
      <c r="L792" s="125">
        <f t="shared" ca="1" si="116"/>
        <v>0</v>
      </c>
      <c r="P792">
        <f t="shared" si="117"/>
        <v>785</v>
      </c>
      <c r="S792" s="126">
        <f t="shared" ca="1" si="112"/>
        <v>0</v>
      </c>
      <c r="T792" s="126">
        <f t="shared" ca="1" si="118"/>
        <v>0</v>
      </c>
    </row>
    <row r="793" spans="4:20">
      <c r="D793">
        <v>786</v>
      </c>
      <c r="E793" s="6">
        <f t="shared" ca="1" si="113"/>
        <v>28825</v>
      </c>
      <c r="F793" s="7">
        <f t="shared" ca="1" si="114"/>
        <v>0</v>
      </c>
      <c r="G793" s="125">
        <f ca="1">IF('Simulador - 1º Pilar'!$E$99="Sí",IF('Aportaciones Flex'!$B$13&lt;'Aportaciones Flex'!E793,0,F793*$B$8/12),F793*$B$8/12)</f>
        <v>0</v>
      </c>
      <c r="H793" s="125">
        <f t="shared" ca="1" si="110"/>
        <v>0</v>
      </c>
      <c r="I793" s="126">
        <f t="shared" ca="1" si="111"/>
        <v>0</v>
      </c>
      <c r="J793" s="125">
        <f t="shared" ca="1" si="115"/>
        <v>0</v>
      </c>
      <c r="K793" s="151"/>
      <c r="L793" s="125">
        <f t="shared" ca="1" si="116"/>
        <v>0</v>
      </c>
      <c r="P793">
        <f t="shared" si="117"/>
        <v>786</v>
      </c>
      <c r="S793" s="126">
        <f t="shared" ca="1" si="112"/>
        <v>0</v>
      </c>
      <c r="T793" s="126">
        <f t="shared" ca="1" si="118"/>
        <v>0</v>
      </c>
    </row>
    <row r="794" spans="4:20">
      <c r="D794">
        <v>787</v>
      </c>
      <c r="E794" s="6">
        <f t="shared" ca="1" si="113"/>
        <v>28795</v>
      </c>
      <c r="F794" s="7">
        <f t="shared" ca="1" si="114"/>
        <v>0</v>
      </c>
      <c r="G794" s="125">
        <f ca="1">IF('Simulador - 1º Pilar'!$E$99="Sí",IF('Aportaciones Flex'!$B$13&lt;'Aportaciones Flex'!E794,0,F794*$B$8/12),F794*$B$8/12)</f>
        <v>0</v>
      </c>
      <c r="H794" s="125">
        <f t="shared" ca="1" si="110"/>
        <v>0</v>
      </c>
      <c r="I794" s="126">
        <f t="shared" ca="1" si="111"/>
        <v>0</v>
      </c>
      <c r="J794" s="125">
        <f t="shared" ca="1" si="115"/>
        <v>0</v>
      </c>
      <c r="K794" s="151"/>
      <c r="L794" s="125">
        <f t="shared" ca="1" si="116"/>
        <v>0</v>
      </c>
      <c r="P794">
        <f t="shared" si="117"/>
        <v>787</v>
      </c>
      <c r="S794" s="126">
        <f t="shared" ca="1" si="112"/>
        <v>0</v>
      </c>
      <c r="T794" s="126">
        <f t="shared" ca="1" si="118"/>
        <v>0</v>
      </c>
    </row>
    <row r="795" spans="4:20">
      <c r="D795">
        <v>788</v>
      </c>
      <c r="E795" s="6">
        <f t="shared" ca="1" si="113"/>
        <v>28764</v>
      </c>
      <c r="F795" s="7">
        <f t="shared" ca="1" si="114"/>
        <v>0</v>
      </c>
      <c r="G795" s="125">
        <f ca="1">IF('Simulador - 1º Pilar'!$E$99="Sí",IF('Aportaciones Flex'!$B$13&lt;'Aportaciones Flex'!E795,0,F795*$B$8/12),F795*$B$8/12)</f>
        <v>0</v>
      </c>
      <c r="H795" s="125">
        <f t="shared" ca="1" si="110"/>
        <v>0</v>
      </c>
      <c r="I795" s="126">
        <f t="shared" ca="1" si="111"/>
        <v>0</v>
      </c>
      <c r="J795" s="125">
        <f t="shared" ca="1" si="115"/>
        <v>0</v>
      </c>
      <c r="K795" s="151"/>
      <c r="L795" s="125">
        <f t="shared" ca="1" si="116"/>
        <v>0</v>
      </c>
      <c r="P795">
        <f t="shared" si="117"/>
        <v>788</v>
      </c>
      <c r="S795" s="126">
        <f t="shared" ca="1" si="112"/>
        <v>0</v>
      </c>
      <c r="T795" s="126">
        <f t="shared" ca="1" si="118"/>
        <v>0</v>
      </c>
    </row>
    <row r="796" spans="4:20">
      <c r="D796">
        <v>789</v>
      </c>
      <c r="E796" s="6">
        <f t="shared" ca="1" si="113"/>
        <v>28734</v>
      </c>
      <c r="F796" s="7">
        <f t="shared" ca="1" si="114"/>
        <v>0</v>
      </c>
      <c r="G796" s="125">
        <f ca="1">IF('Simulador - 1º Pilar'!$E$99="Sí",IF('Aportaciones Flex'!$B$13&lt;'Aportaciones Flex'!E796,0,F796*$B$8/12),F796*$B$8/12)</f>
        <v>0</v>
      </c>
      <c r="H796" s="125">
        <f t="shared" ca="1" si="110"/>
        <v>0</v>
      </c>
      <c r="I796" s="126">
        <f t="shared" ca="1" si="111"/>
        <v>0</v>
      </c>
      <c r="J796" s="125">
        <f t="shared" ca="1" si="115"/>
        <v>0</v>
      </c>
      <c r="K796" s="151"/>
      <c r="L796" s="125">
        <f t="shared" ca="1" si="116"/>
        <v>0</v>
      </c>
      <c r="P796">
        <f t="shared" si="117"/>
        <v>789</v>
      </c>
      <c r="S796" s="126">
        <f t="shared" ca="1" si="112"/>
        <v>0</v>
      </c>
      <c r="T796" s="126">
        <f t="shared" ca="1" si="118"/>
        <v>0</v>
      </c>
    </row>
    <row r="797" spans="4:20">
      <c r="D797">
        <v>790</v>
      </c>
      <c r="E797" s="6">
        <f t="shared" ca="1" si="113"/>
        <v>28703</v>
      </c>
      <c r="F797" s="7">
        <f t="shared" ca="1" si="114"/>
        <v>0</v>
      </c>
      <c r="G797" s="125">
        <f ca="1">IF('Simulador - 1º Pilar'!$E$99="Sí",IF('Aportaciones Flex'!$B$13&lt;'Aportaciones Flex'!E797,0,F797*$B$8/12),F797*$B$8/12)</f>
        <v>0</v>
      </c>
      <c r="H797" s="125">
        <f t="shared" ca="1" si="110"/>
        <v>0</v>
      </c>
      <c r="I797" s="126">
        <f t="shared" ca="1" si="111"/>
        <v>0</v>
      </c>
      <c r="J797" s="125">
        <f t="shared" ca="1" si="115"/>
        <v>0</v>
      </c>
      <c r="K797" s="151"/>
      <c r="L797" s="125">
        <f t="shared" ca="1" si="116"/>
        <v>0</v>
      </c>
      <c r="P797">
        <f t="shared" si="117"/>
        <v>790</v>
      </c>
      <c r="S797" s="126">
        <f t="shared" ca="1" si="112"/>
        <v>0</v>
      </c>
      <c r="T797" s="126">
        <f t="shared" ca="1" si="118"/>
        <v>0</v>
      </c>
    </row>
    <row r="798" spans="4:20">
      <c r="D798">
        <v>791</v>
      </c>
      <c r="E798" s="6">
        <f t="shared" ca="1" si="113"/>
        <v>28672</v>
      </c>
      <c r="F798" s="7">
        <f t="shared" ca="1" si="114"/>
        <v>0</v>
      </c>
      <c r="G798" s="125">
        <f ca="1">IF('Simulador - 1º Pilar'!$E$99="Sí",IF('Aportaciones Flex'!$B$13&lt;'Aportaciones Flex'!E798,0,F798*$B$8/12),F798*$B$8/12)</f>
        <v>0</v>
      </c>
      <c r="H798" s="125">
        <f t="shared" ca="1" si="110"/>
        <v>0</v>
      </c>
      <c r="I798" s="126">
        <f t="shared" ca="1" si="111"/>
        <v>0</v>
      </c>
      <c r="J798" s="125">
        <f t="shared" ca="1" si="115"/>
        <v>0</v>
      </c>
      <c r="K798" s="151"/>
      <c r="L798" s="125">
        <f t="shared" ca="1" si="116"/>
        <v>0</v>
      </c>
      <c r="P798">
        <f t="shared" si="117"/>
        <v>791</v>
      </c>
      <c r="S798" s="126">
        <f t="shared" ca="1" si="112"/>
        <v>0</v>
      </c>
      <c r="T798" s="126">
        <f t="shared" ca="1" si="118"/>
        <v>0</v>
      </c>
    </row>
    <row r="799" spans="4:20">
      <c r="D799">
        <v>792</v>
      </c>
      <c r="E799" s="6">
        <f t="shared" ca="1" si="113"/>
        <v>28642</v>
      </c>
      <c r="F799" s="7">
        <f t="shared" ca="1" si="114"/>
        <v>0</v>
      </c>
      <c r="G799" s="125">
        <f ca="1">IF('Simulador - 1º Pilar'!$E$99="Sí",IF('Aportaciones Flex'!$B$13&lt;'Aportaciones Flex'!E799,0,F799*$B$8/12),F799*$B$8/12)</f>
        <v>0</v>
      </c>
      <c r="H799" s="125">
        <f t="shared" ca="1" si="110"/>
        <v>0</v>
      </c>
      <c r="I799" s="126">
        <f t="shared" ca="1" si="111"/>
        <v>0</v>
      </c>
      <c r="J799" s="125">
        <f t="shared" ca="1" si="115"/>
        <v>0</v>
      </c>
      <c r="K799" s="151"/>
      <c r="L799" s="125">
        <f t="shared" ca="1" si="116"/>
        <v>0</v>
      </c>
      <c r="P799">
        <f t="shared" si="117"/>
        <v>792</v>
      </c>
      <c r="S799" s="126">
        <f t="shared" ca="1" si="112"/>
        <v>0</v>
      </c>
      <c r="T799" s="126">
        <f t="shared" ca="1" si="118"/>
        <v>0</v>
      </c>
    </row>
    <row r="800" spans="4:20">
      <c r="D800">
        <v>793</v>
      </c>
      <c r="E800" s="6">
        <f t="shared" ca="1" si="113"/>
        <v>28611</v>
      </c>
      <c r="F800" s="7">
        <f t="shared" ca="1" si="114"/>
        <v>0</v>
      </c>
      <c r="G800" s="125">
        <f ca="1">IF('Simulador - 1º Pilar'!$E$99="Sí",IF('Aportaciones Flex'!$B$13&lt;'Aportaciones Flex'!E800,0,F800*$B$8/12),F800*$B$8/12)</f>
        <v>0</v>
      </c>
      <c r="H800" s="125">
        <f t="shared" ca="1" si="110"/>
        <v>0</v>
      </c>
      <c r="I800" s="126">
        <f t="shared" ca="1" si="111"/>
        <v>0</v>
      </c>
      <c r="J800" s="125">
        <f t="shared" ca="1" si="115"/>
        <v>0</v>
      </c>
      <c r="K800" s="151"/>
      <c r="L800" s="125">
        <f t="shared" ca="1" si="116"/>
        <v>0</v>
      </c>
      <c r="P800">
        <f t="shared" si="117"/>
        <v>793</v>
      </c>
      <c r="S800" s="126">
        <f t="shared" ca="1" si="112"/>
        <v>0</v>
      </c>
      <c r="T800" s="126">
        <f t="shared" ca="1" si="118"/>
        <v>0</v>
      </c>
    </row>
    <row r="801" spans="4:20">
      <c r="D801">
        <v>794</v>
      </c>
      <c r="E801" s="6">
        <f t="shared" ca="1" si="113"/>
        <v>28581</v>
      </c>
      <c r="F801" s="7">
        <f t="shared" ca="1" si="114"/>
        <v>0</v>
      </c>
      <c r="G801" s="125">
        <f ca="1">IF('Simulador - 1º Pilar'!$E$99="Sí",IF('Aportaciones Flex'!$B$13&lt;'Aportaciones Flex'!E801,0,F801*$B$8/12),F801*$B$8/12)</f>
        <v>0</v>
      </c>
      <c r="H801" s="125">
        <f t="shared" ca="1" si="110"/>
        <v>0</v>
      </c>
      <c r="I801" s="126">
        <f t="shared" ca="1" si="111"/>
        <v>0</v>
      </c>
      <c r="J801" s="125">
        <f t="shared" ca="1" si="115"/>
        <v>0</v>
      </c>
      <c r="K801" s="151"/>
      <c r="L801" s="125">
        <f t="shared" ca="1" si="116"/>
        <v>0</v>
      </c>
      <c r="P801">
        <f t="shared" si="117"/>
        <v>794</v>
      </c>
      <c r="S801" s="126">
        <f t="shared" ca="1" si="112"/>
        <v>0</v>
      </c>
      <c r="T801" s="126">
        <f t="shared" ca="1" si="118"/>
        <v>0</v>
      </c>
    </row>
    <row r="802" spans="4:20">
      <c r="D802">
        <v>795</v>
      </c>
      <c r="E802" s="6">
        <f t="shared" ca="1" si="113"/>
        <v>28550</v>
      </c>
      <c r="F802" s="7">
        <f t="shared" ca="1" si="114"/>
        <v>0</v>
      </c>
      <c r="G802" s="125">
        <f ca="1">IF('Simulador - 1º Pilar'!$E$99="Sí",IF('Aportaciones Flex'!$B$13&lt;'Aportaciones Flex'!E802,0,F802*$B$8/12),F802*$B$8/12)</f>
        <v>0</v>
      </c>
      <c r="H802" s="125">
        <f t="shared" ca="1" si="110"/>
        <v>0</v>
      </c>
      <c r="I802" s="126">
        <f t="shared" ca="1" si="111"/>
        <v>0</v>
      </c>
      <c r="J802" s="125">
        <f t="shared" ca="1" si="115"/>
        <v>0</v>
      </c>
      <c r="K802" s="151"/>
      <c r="L802" s="125">
        <f t="shared" ca="1" si="116"/>
        <v>0</v>
      </c>
      <c r="P802">
        <f t="shared" si="117"/>
        <v>795</v>
      </c>
      <c r="S802" s="126">
        <f t="shared" ca="1" si="112"/>
        <v>0</v>
      </c>
      <c r="T802" s="126">
        <f t="shared" ca="1" si="118"/>
        <v>0</v>
      </c>
    </row>
    <row r="803" spans="4:20">
      <c r="D803">
        <v>796</v>
      </c>
      <c r="E803" s="6">
        <f t="shared" ca="1" si="113"/>
        <v>28522</v>
      </c>
      <c r="F803" s="7">
        <f t="shared" ca="1" si="114"/>
        <v>0</v>
      </c>
      <c r="G803" s="125">
        <f ca="1">IF('Simulador - 1º Pilar'!$E$99="Sí",IF('Aportaciones Flex'!$B$13&lt;'Aportaciones Flex'!E803,0,F803*$B$8/12),F803*$B$8/12)</f>
        <v>0</v>
      </c>
      <c r="H803" s="125">
        <f t="shared" ca="1" si="110"/>
        <v>0</v>
      </c>
      <c r="I803" s="126">
        <f t="shared" ca="1" si="111"/>
        <v>0</v>
      </c>
      <c r="J803" s="125">
        <f t="shared" ca="1" si="115"/>
        <v>0</v>
      </c>
      <c r="K803" s="151"/>
      <c r="L803" s="125">
        <f t="shared" ca="1" si="116"/>
        <v>0</v>
      </c>
      <c r="P803">
        <f t="shared" si="117"/>
        <v>796</v>
      </c>
      <c r="S803" s="126">
        <f t="shared" ca="1" si="112"/>
        <v>0</v>
      </c>
      <c r="T803" s="126">
        <f t="shared" ca="1" si="118"/>
        <v>0</v>
      </c>
    </row>
    <row r="804" spans="4:20">
      <c r="D804">
        <v>797</v>
      </c>
      <c r="E804" s="6">
        <f t="shared" ca="1" si="113"/>
        <v>28491</v>
      </c>
      <c r="F804" s="7">
        <f t="shared" ca="1" si="114"/>
        <v>0</v>
      </c>
      <c r="G804" s="125">
        <f ca="1">IF('Simulador - 1º Pilar'!$E$99="Sí",IF('Aportaciones Flex'!$B$13&lt;'Aportaciones Flex'!E804,0,F804*$B$8/12),F804*$B$8/12)</f>
        <v>0</v>
      </c>
      <c r="H804" s="125">
        <f t="shared" ca="1" si="110"/>
        <v>0</v>
      </c>
      <c r="I804" s="126">
        <f t="shared" ca="1" si="111"/>
        <v>0</v>
      </c>
      <c r="J804" s="125">
        <f t="shared" ca="1" si="115"/>
        <v>0</v>
      </c>
      <c r="K804" s="151"/>
      <c r="L804" s="125">
        <f t="shared" ca="1" si="116"/>
        <v>0</v>
      </c>
      <c r="P804">
        <f t="shared" si="117"/>
        <v>797</v>
      </c>
      <c r="S804" s="126">
        <f t="shared" ca="1" si="112"/>
        <v>0</v>
      </c>
      <c r="T804" s="126">
        <f t="shared" ca="1" si="118"/>
        <v>0</v>
      </c>
    </row>
    <row r="805" spans="4:20">
      <c r="D805">
        <v>798</v>
      </c>
      <c r="E805" s="6">
        <f t="shared" ca="1" si="113"/>
        <v>28460</v>
      </c>
      <c r="F805" s="7">
        <f t="shared" ca="1" si="114"/>
        <v>0</v>
      </c>
      <c r="G805" s="125">
        <f ca="1">IF('Simulador - 1º Pilar'!$E$99="Sí",IF('Aportaciones Flex'!$B$13&lt;'Aportaciones Flex'!E805,0,F805*$B$8/12),F805*$B$8/12)</f>
        <v>0</v>
      </c>
      <c r="H805" s="125">
        <f t="shared" ca="1" si="110"/>
        <v>0</v>
      </c>
      <c r="I805" s="126">
        <f t="shared" ca="1" si="111"/>
        <v>0</v>
      </c>
      <c r="J805" s="125">
        <f t="shared" ca="1" si="115"/>
        <v>0</v>
      </c>
      <c r="K805" s="151"/>
      <c r="L805" s="125">
        <f t="shared" ca="1" si="116"/>
        <v>0</v>
      </c>
      <c r="P805">
        <f t="shared" si="117"/>
        <v>798</v>
      </c>
      <c r="S805" s="126">
        <f t="shared" ca="1" si="112"/>
        <v>0</v>
      </c>
      <c r="T805" s="126">
        <f t="shared" ca="1" si="118"/>
        <v>0</v>
      </c>
    </row>
    <row r="806" spans="4:20">
      <c r="D806">
        <v>799</v>
      </c>
      <c r="E806" s="6">
        <f t="shared" ca="1" si="113"/>
        <v>28430</v>
      </c>
      <c r="F806" s="7">
        <f t="shared" ca="1" si="114"/>
        <v>0</v>
      </c>
      <c r="G806" s="125">
        <f ca="1">IF('Simulador - 1º Pilar'!$E$99="Sí",IF('Aportaciones Flex'!$B$13&lt;'Aportaciones Flex'!E806,0,F806*$B$8/12),F806*$B$8/12)</f>
        <v>0</v>
      </c>
      <c r="H806" s="125">
        <f t="shared" ca="1" si="110"/>
        <v>0</v>
      </c>
      <c r="I806" s="126">
        <f t="shared" ca="1" si="111"/>
        <v>0</v>
      </c>
      <c r="J806" s="125">
        <f t="shared" ca="1" si="115"/>
        <v>0</v>
      </c>
      <c r="K806" s="151"/>
      <c r="L806" s="125">
        <f t="shared" ca="1" si="116"/>
        <v>0</v>
      </c>
      <c r="P806">
        <f t="shared" si="117"/>
        <v>799</v>
      </c>
      <c r="S806" s="126">
        <f t="shared" ca="1" si="112"/>
        <v>0</v>
      </c>
      <c r="T806" s="126">
        <f t="shared" ca="1" si="118"/>
        <v>0</v>
      </c>
    </row>
    <row r="807" spans="4:20">
      <c r="D807">
        <v>800</v>
      </c>
      <c r="E807" s="6">
        <f t="shared" ca="1" si="113"/>
        <v>28399</v>
      </c>
      <c r="F807" s="7">
        <f t="shared" ca="1" si="114"/>
        <v>0</v>
      </c>
      <c r="G807" s="125">
        <f ca="1">IF('Simulador - 1º Pilar'!$E$99="Sí",IF('Aportaciones Flex'!$B$13&lt;'Aportaciones Flex'!E807,0,F807*$B$8/12),F807*$B$8/12)</f>
        <v>0</v>
      </c>
      <c r="H807" s="125">
        <f t="shared" ca="1" si="110"/>
        <v>0</v>
      </c>
      <c r="I807" s="126">
        <f t="shared" ca="1" si="111"/>
        <v>0</v>
      </c>
      <c r="J807" s="125">
        <f t="shared" ca="1" si="115"/>
        <v>0</v>
      </c>
      <c r="K807" s="151"/>
      <c r="L807" s="125">
        <f t="shared" ca="1" si="116"/>
        <v>0</v>
      </c>
      <c r="P807">
        <f t="shared" si="117"/>
        <v>800</v>
      </c>
      <c r="S807" s="126">
        <f t="shared" ca="1" si="112"/>
        <v>0</v>
      </c>
      <c r="T807" s="126">
        <f t="shared" ca="1" si="118"/>
        <v>0</v>
      </c>
    </row>
    <row r="808" spans="4:20">
      <c r="D808">
        <v>801</v>
      </c>
      <c r="E808" s="6">
        <f t="shared" ca="1" si="113"/>
        <v>28369</v>
      </c>
      <c r="F808" s="7">
        <f t="shared" ca="1" si="114"/>
        <v>0</v>
      </c>
      <c r="G808" s="125">
        <f ca="1">IF('Simulador - 1º Pilar'!$E$99="Sí",IF('Aportaciones Flex'!$B$13&lt;'Aportaciones Flex'!E808,0,F808*$B$8/12),F808*$B$8/12)</f>
        <v>0</v>
      </c>
      <c r="H808" s="125">
        <f t="shared" ca="1" si="110"/>
        <v>0</v>
      </c>
      <c r="I808" s="126">
        <f t="shared" ca="1" si="111"/>
        <v>0</v>
      </c>
      <c r="J808" s="125">
        <f t="shared" ca="1" si="115"/>
        <v>0</v>
      </c>
      <c r="K808" s="151"/>
      <c r="L808" s="125">
        <f t="shared" ca="1" si="116"/>
        <v>0</v>
      </c>
      <c r="P808">
        <f t="shared" si="117"/>
        <v>801</v>
      </c>
      <c r="S808" s="126">
        <f t="shared" ca="1" si="112"/>
        <v>0</v>
      </c>
      <c r="T808" s="126">
        <f t="shared" ca="1" si="118"/>
        <v>0</v>
      </c>
    </row>
    <row r="809" spans="4:20">
      <c r="D809">
        <v>802</v>
      </c>
      <c r="E809" s="6">
        <f t="shared" ca="1" si="113"/>
        <v>28338</v>
      </c>
      <c r="F809" s="7">
        <f t="shared" ca="1" si="114"/>
        <v>0</v>
      </c>
      <c r="G809" s="125">
        <f ca="1">IF('Simulador - 1º Pilar'!$E$99="Sí",IF('Aportaciones Flex'!$B$13&lt;'Aportaciones Flex'!E809,0,F809*$B$8/12),F809*$B$8/12)</f>
        <v>0</v>
      </c>
      <c r="H809" s="125">
        <f t="shared" ca="1" si="110"/>
        <v>0</v>
      </c>
      <c r="I809" s="126">
        <f t="shared" ca="1" si="111"/>
        <v>0</v>
      </c>
      <c r="J809" s="125">
        <f t="shared" ca="1" si="115"/>
        <v>0</v>
      </c>
      <c r="K809" s="151"/>
      <c r="L809" s="125">
        <f t="shared" ca="1" si="116"/>
        <v>0</v>
      </c>
      <c r="P809">
        <f t="shared" si="117"/>
        <v>802</v>
      </c>
      <c r="S809" s="126">
        <f t="shared" ca="1" si="112"/>
        <v>0</v>
      </c>
      <c r="T809" s="126">
        <f t="shared" ca="1" si="118"/>
        <v>0</v>
      </c>
    </row>
    <row r="810" spans="4:20">
      <c r="D810">
        <v>803</v>
      </c>
      <c r="E810" s="6">
        <f t="shared" ca="1" si="113"/>
        <v>28307</v>
      </c>
      <c r="F810" s="7">
        <f t="shared" ca="1" si="114"/>
        <v>0</v>
      </c>
      <c r="G810" s="125">
        <f ca="1">IF('Simulador - 1º Pilar'!$E$99="Sí",IF('Aportaciones Flex'!$B$13&lt;'Aportaciones Flex'!E810,0,F810*$B$8/12),F810*$B$8/12)</f>
        <v>0</v>
      </c>
      <c r="H810" s="125">
        <f t="shared" ca="1" si="110"/>
        <v>0</v>
      </c>
      <c r="I810" s="126">
        <f t="shared" ca="1" si="111"/>
        <v>0</v>
      </c>
      <c r="J810" s="125">
        <f t="shared" ca="1" si="115"/>
        <v>0</v>
      </c>
      <c r="K810" s="151"/>
      <c r="L810" s="125">
        <f t="shared" ca="1" si="116"/>
        <v>0</v>
      </c>
      <c r="P810">
        <f t="shared" si="117"/>
        <v>803</v>
      </c>
      <c r="S810" s="126">
        <f t="shared" ca="1" si="112"/>
        <v>0</v>
      </c>
      <c r="T810" s="126">
        <f t="shared" ca="1" si="118"/>
        <v>0</v>
      </c>
    </row>
    <row r="811" spans="4:20">
      <c r="D811">
        <v>804</v>
      </c>
      <c r="E811" s="6">
        <f t="shared" ca="1" si="113"/>
        <v>28277</v>
      </c>
      <c r="F811" s="7">
        <f t="shared" ca="1" si="114"/>
        <v>0</v>
      </c>
      <c r="G811" s="125">
        <f ca="1">IF('Simulador - 1º Pilar'!$E$99="Sí",IF('Aportaciones Flex'!$B$13&lt;'Aportaciones Flex'!E811,0,F811*$B$8/12),F811*$B$8/12)</f>
        <v>0</v>
      </c>
      <c r="H811" s="125">
        <f t="shared" ca="1" si="110"/>
        <v>0</v>
      </c>
      <c r="I811" s="126">
        <f t="shared" ca="1" si="111"/>
        <v>0</v>
      </c>
      <c r="J811" s="125">
        <f t="shared" ca="1" si="115"/>
        <v>0</v>
      </c>
      <c r="K811" s="151"/>
      <c r="L811" s="125">
        <f t="shared" ca="1" si="116"/>
        <v>0</v>
      </c>
      <c r="P811">
        <f t="shared" si="117"/>
        <v>804</v>
      </c>
      <c r="S811" s="126">
        <f t="shared" ca="1" si="112"/>
        <v>0</v>
      </c>
      <c r="T811" s="126">
        <f t="shared" ca="1" si="118"/>
        <v>0</v>
      </c>
    </row>
    <row r="812" spans="4:20">
      <c r="D812">
        <v>805</v>
      </c>
      <c r="E812" s="6">
        <f t="shared" ca="1" si="113"/>
        <v>28246</v>
      </c>
      <c r="F812" s="7">
        <f t="shared" ca="1" si="114"/>
        <v>0</v>
      </c>
      <c r="G812" s="125">
        <f ca="1">IF('Simulador - 1º Pilar'!$E$99="Sí",IF('Aportaciones Flex'!$B$13&lt;'Aportaciones Flex'!E812,0,F812*$B$8/12),F812*$B$8/12)</f>
        <v>0</v>
      </c>
      <c r="H812" s="125">
        <f t="shared" ca="1" si="110"/>
        <v>0</v>
      </c>
      <c r="I812" s="126">
        <f t="shared" ca="1" si="111"/>
        <v>0</v>
      </c>
      <c r="J812" s="125">
        <f t="shared" ca="1" si="115"/>
        <v>0</v>
      </c>
      <c r="K812" s="151"/>
      <c r="L812" s="125">
        <f t="shared" ca="1" si="116"/>
        <v>0</v>
      </c>
      <c r="P812">
        <f t="shared" si="117"/>
        <v>805</v>
      </c>
      <c r="S812" s="126">
        <f t="shared" ca="1" si="112"/>
        <v>0</v>
      </c>
      <c r="T812" s="126">
        <f t="shared" ca="1" si="118"/>
        <v>0</v>
      </c>
    </row>
    <row r="813" spans="4:20">
      <c r="D813">
        <v>806</v>
      </c>
      <c r="E813" s="6">
        <f t="shared" ca="1" si="113"/>
        <v>28216</v>
      </c>
      <c r="F813" s="7">
        <f t="shared" ca="1" si="114"/>
        <v>0</v>
      </c>
      <c r="G813" s="125">
        <f ca="1">IF('Simulador - 1º Pilar'!$E$99="Sí",IF('Aportaciones Flex'!$B$13&lt;'Aportaciones Flex'!E813,0,F813*$B$8/12),F813*$B$8/12)</f>
        <v>0</v>
      </c>
      <c r="H813" s="125">
        <f t="shared" ca="1" si="110"/>
        <v>0</v>
      </c>
      <c r="I813" s="126">
        <f t="shared" ca="1" si="111"/>
        <v>0</v>
      </c>
      <c r="J813" s="125">
        <f t="shared" ca="1" si="115"/>
        <v>0</v>
      </c>
      <c r="K813" s="151"/>
      <c r="L813" s="125">
        <f t="shared" ca="1" si="116"/>
        <v>0</v>
      </c>
      <c r="P813">
        <f t="shared" si="117"/>
        <v>806</v>
      </c>
      <c r="S813" s="126">
        <f t="shared" ca="1" si="112"/>
        <v>0</v>
      </c>
      <c r="T813" s="126">
        <f t="shared" ca="1" si="118"/>
        <v>0</v>
      </c>
    </row>
    <row r="814" spans="4:20">
      <c r="D814">
        <v>807</v>
      </c>
      <c r="E814" s="6">
        <f t="shared" ca="1" si="113"/>
        <v>28185</v>
      </c>
      <c r="F814" s="7">
        <f t="shared" ca="1" si="114"/>
        <v>0</v>
      </c>
      <c r="G814" s="125">
        <f ca="1">IF('Simulador - 1º Pilar'!$E$99="Sí",IF('Aportaciones Flex'!$B$13&lt;'Aportaciones Flex'!E814,0,F814*$B$8/12),F814*$B$8/12)</f>
        <v>0</v>
      </c>
      <c r="H814" s="125">
        <f t="shared" ca="1" si="110"/>
        <v>0</v>
      </c>
      <c r="I814" s="126">
        <f t="shared" ca="1" si="111"/>
        <v>0</v>
      </c>
      <c r="J814" s="125">
        <f t="shared" ca="1" si="115"/>
        <v>0</v>
      </c>
      <c r="K814" s="151"/>
      <c r="L814" s="125">
        <f t="shared" ca="1" si="116"/>
        <v>0</v>
      </c>
      <c r="P814">
        <f t="shared" si="117"/>
        <v>807</v>
      </c>
      <c r="S814" s="126">
        <f t="shared" ca="1" si="112"/>
        <v>0</v>
      </c>
      <c r="T814" s="126">
        <f t="shared" ca="1" si="118"/>
        <v>0</v>
      </c>
    </row>
    <row r="815" spans="4:20">
      <c r="D815">
        <v>808</v>
      </c>
      <c r="E815" s="6">
        <f t="shared" ca="1" si="113"/>
        <v>28157</v>
      </c>
      <c r="F815" s="7">
        <f t="shared" ca="1" si="114"/>
        <v>0</v>
      </c>
      <c r="G815" s="125">
        <f ca="1">IF('Simulador - 1º Pilar'!$E$99="Sí",IF('Aportaciones Flex'!$B$13&lt;'Aportaciones Flex'!E815,0,F815*$B$8/12),F815*$B$8/12)</f>
        <v>0</v>
      </c>
      <c r="H815" s="125">
        <f t="shared" ca="1" si="110"/>
        <v>0</v>
      </c>
      <c r="I815" s="126">
        <f t="shared" ca="1" si="111"/>
        <v>0</v>
      </c>
      <c r="J815" s="125">
        <f t="shared" ca="1" si="115"/>
        <v>0</v>
      </c>
      <c r="K815" s="151"/>
      <c r="L815" s="125">
        <f t="shared" ca="1" si="116"/>
        <v>0</v>
      </c>
      <c r="P815">
        <f t="shared" si="117"/>
        <v>808</v>
      </c>
      <c r="S815" s="126">
        <f t="shared" ca="1" si="112"/>
        <v>0</v>
      </c>
      <c r="T815" s="126">
        <f t="shared" ca="1" si="118"/>
        <v>0</v>
      </c>
    </row>
    <row r="816" spans="4:20">
      <c r="D816">
        <v>809</v>
      </c>
      <c r="E816" s="6">
        <f t="shared" ca="1" si="113"/>
        <v>28126</v>
      </c>
      <c r="F816" s="7">
        <f t="shared" ca="1" si="114"/>
        <v>0</v>
      </c>
      <c r="G816" s="125">
        <f ca="1">IF('Simulador - 1º Pilar'!$E$99="Sí",IF('Aportaciones Flex'!$B$13&lt;'Aportaciones Flex'!E816,0,F816*$B$8/12),F816*$B$8/12)</f>
        <v>0</v>
      </c>
      <c r="H816" s="125">
        <f t="shared" ca="1" si="110"/>
        <v>0</v>
      </c>
      <c r="I816" s="126">
        <f t="shared" ca="1" si="111"/>
        <v>0</v>
      </c>
      <c r="J816" s="125">
        <f t="shared" ca="1" si="115"/>
        <v>0</v>
      </c>
      <c r="K816" s="151"/>
      <c r="L816" s="125">
        <f t="shared" ca="1" si="116"/>
        <v>0</v>
      </c>
      <c r="P816">
        <f t="shared" si="117"/>
        <v>809</v>
      </c>
      <c r="S816" s="126">
        <f t="shared" ca="1" si="112"/>
        <v>0</v>
      </c>
      <c r="T816" s="126">
        <f t="shared" ca="1" si="118"/>
        <v>0</v>
      </c>
    </row>
    <row r="817" spans="4:20">
      <c r="D817">
        <v>810</v>
      </c>
      <c r="E817" s="6">
        <f t="shared" ca="1" si="113"/>
        <v>28095</v>
      </c>
      <c r="F817" s="7">
        <f t="shared" ca="1" si="114"/>
        <v>0</v>
      </c>
      <c r="G817" s="125">
        <f ca="1">IF('Simulador - 1º Pilar'!$E$99="Sí",IF('Aportaciones Flex'!$B$13&lt;'Aportaciones Flex'!E817,0,F817*$B$8/12),F817*$B$8/12)</f>
        <v>0</v>
      </c>
      <c r="H817" s="125">
        <f t="shared" ca="1" si="110"/>
        <v>0</v>
      </c>
      <c r="I817" s="126">
        <f t="shared" ca="1" si="111"/>
        <v>0</v>
      </c>
      <c r="J817" s="125">
        <f t="shared" ca="1" si="115"/>
        <v>0</v>
      </c>
      <c r="K817" s="151"/>
      <c r="L817" s="125">
        <f t="shared" ca="1" si="116"/>
        <v>0</v>
      </c>
      <c r="P817">
        <f t="shared" si="117"/>
        <v>810</v>
      </c>
      <c r="S817" s="126">
        <f t="shared" ca="1" si="112"/>
        <v>0</v>
      </c>
      <c r="T817" s="126">
        <f t="shared" ca="1" si="118"/>
        <v>0</v>
      </c>
    </row>
    <row r="818" spans="4:20">
      <c r="D818">
        <v>811</v>
      </c>
      <c r="E818" s="6">
        <f t="shared" ca="1" si="113"/>
        <v>28065</v>
      </c>
      <c r="F818" s="7">
        <f t="shared" ca="1" si="114"/>
        <v>0</v>
      </c>
      <c r="G818" s="125">
        <f ca="1">IF('Simulador - 1º Pilar'!$E$99="Sí",IF('Aportaciones Flex'!$B$13&lt;'Aportaciones Flex'!E818,0,F818*$B$8/12),F818*$B$8/12)</f>
        <v>0</v>
      </c>
      <c r="H818" s="125">
        <f t="shared" ca="1" si="110"/>
        <v>0</v>
      </c>
      <c r="I818" s="126">
        <f t="shared" ca="1" si="111"/>
        <v>0</v>
      </c>
      <c r="J818" s="125">
        <f t="shared" ca="1" si="115"/>
        <v>0</v>
      </c>
      <c r="K818" s="151"/>
      <c r="L818" s="125">
        <f t="shared" ca="1" si="116"/>
        <v>0</v>
      </c>
      <c r="P818">
        <f t="shared" si="117"/>
        <v>811</v>
      </c>
      <c r="S818" s="126">
        <f t="shared" ca="1" si="112"/>
        <v>0</v>
      </c>
      <c r="T818" s="126">
        <f t="shared" ca="1" si="118"/>
        <v>0</v>
      </c>
    </row>
    <row r="819" spans="4:20">
      <c r="D819">
        <v>812</v>
      </c>
      <c r="E819" s="6">
        <f t="shared" ca="1" si="113"/>
        <v>28034</v>
      </c>
      <c r="F819" s="7">
        <f t="shared" ca="1" si="114"/>
        <v>0</v>
      </c>
      <c r="G819" s="125">
        <f ca="1">IF('Simulador - 1º Pilar'!$E$99="Sí",IF('Aportaciones Flex'!$B$13&lt;'Aportaciones Flex'!E819,0,F819*$B$8/12),F819*$B$8/12)</f>
        <v>0</v>
      </c>
      <c r="H819" s="125">
        <f t="shared" ca="1" si="110"/>
        <v>0</v>
      </c>
      <c r="I819" s="126">
        <f t="shared" ca="1" si="111"/>
        <v>0</v>
      </c>
      <c r="J819" s="125">
        <f t="shared" ca="1" si="115"/>
        <v>0</v>
      </c>
      <c r="K819" s="151"/>
      <c r="L819" s="125">
        <f t="shared" ca="1" si="116"/>
        <v>0</v>
      </c>
      <c r="P819">
        <f t="shared" si="117"/>
        <v>812</v>
      </c>
      <c r="S819" s="126">
        <f t="shared" ca="1" si="112"/>
        <v>0</v>
      </c>
      <c r="T819" s="126">
        <f t="shared" ca="1" si="118"/>
        <v>0</v>
      </c>
    </row>
    <row r="820" spans="4:20">
      <c r="D820">
        <v>813</v>
      </c>
      <c r="E820" s="6">
        <f t="shared" ca="1" si="113"/>
        <v>28004</v>
      </c>
      <c r="F820" s="7">
        <f t="shared" ca="1" si="114"/>
        <v>0</v>
      </c>
      <c r="G820" s="125">
        <f ca="1">IF('Simulador - 1º Pilar'!$E$99="Sí",IF('Aportaciones Flex'!$B$13&lt;'Aportaciones Flex'!E820,0,F820*$B$8/12),F820*$B$8/12)</f>
        <v>0</v>
      </c>
      <c r="H820" s="125">
        <f t="shared" ca="1" si="110"/>
        <v>0</v>
      </c>
      <c r="I820" s="126">
        <f t="shared" ca="1" si="111"/>
        <v>0</v>
      </c>
      <c r="J820" s="125">
        <f t="shared" ca="1" si="115"/>
        <v>0</v>
      </c>
      <c r="K820" s="151"/>
      <c r="L820" s="125">
        <f t="shared" ca="1" si="116"/>
        <v>0</v>
      </c>
      <c r="P820">
        <f t="shared" si="117"/>
        <v>813</v>
      </c>
      <c r="S820" s="126">
        <f t="shared" ca="1" si="112"/>
        <v>0</v>
      </c>
      <c r="T820" s="126">
        <f t="shared" ca="1" si="118"/>
        <v>0</v>
      </c>
    </row>
    <row r="821" spans="4:20">
      <c r="D821">
        <v>814</v>
      </c>
      <c r="E821" s="6">
        <f t="shared" ca="1" si="113"/>
        <v>27973</v>
      </c>
      <c r="F821" s="7">
        <f t="shared" ca="1" si="114"/>
        <v>0</v>
      </c>
      <c r="G821" s="125">
        <f ca="1">IF('Simulador - 1º Pilar'!$E$99="Sí",IF('Aportaciones Flex'!$B$13&lt;'Aportaciones Flex'!E821,0,F821*$B$8/12),F821*$B$8/12)</f>
        <v>0</v>
      </c>
      <c r="H821" s="125">
        <f t="shared" ca="1" si="110"/>
        <v>0</v>
      </c>
      <c r="I821" s="126">
        <f t="shared" ca="1" si="111"/>
        <v>0</v>
      </c>
      <c r="J821" s="125">
        <f t="shared" ca="1" si="115"/>
        <v>0</v>
      </c>
      <c r="K821" s="151"/>
      <c r="L821" s="125">
        <f t="shared" ca="1" si="116"/>
        <v>0</v>
      </c>
      <c r="P821">
        <f t="shared" si="117"/>
        <v>814</v>
      </c>
      <c r="S821" s="126">
        <f t="shared" ca="1" si="112"/>
        <v>0</v>
      </c>
      <c r="T821" s="126">
        <f t="shared" ca="1" si="118"/>
        <v>0</v>
      </c>
    </row>
    <row r="822" spans="4:20">
      <c r="D822">
        <v>815</v>
      </c>
      <c r="E822" s="6">
        <f t="shared" ca="1" si="113"/>
        <v>27942</v>
      </c>
      <c r="F822" s="7">
        <f t="shared" ca="1" si="114"/>
        <v>0</v>
      </c>
      <c r="G822" s="125">
        <f ca="1">IF('Simulador - 1º Pilar'!$E$99="Sí",IF('Aportaciones Flex'!$B$13&lt;'Aportaciones Flex'!E822,0,F822*$B$8/12),F822*$B$8/12)</f>
        <v>0</v>
      </c>
      <c r="H822" s="125">
        <f t="shared" ca="1" si="110"/>
        <v>0</v>
      </c>
      <c r="I822" s="126">
        <f t="shared" ca="1" si="111"/>
        <v>0</v>
      </c>
      <c r="J822" s="125">
        <f t="shared" ca="1" si="115"/>
        <v>0</v>
      </c>
      <c r="K822" s="151"/>
      <c r="L822" s="125">
        <f t="shared" ca="1" si="116"/>
        <v>0</v>
      </c>
      <c r="P822">
        <f t="shared" si="117"/>
        <v>815</v>
      </c>
      <c r="S822" s="126">
        <f t="shared" ca="1" si="112"/>
        <v>0</v>
      </c>
      <c r="T822" s="126">
        <f t="shared" ca="1" si="118"/>
        <v>0</v>
      </c>
    </row>
    <row r="823" spans="4:20">
      <c r="D823">
        <v>816</v>
      </c>
      <c r="E823" s="6">
        <f t="shared" ca="1" si="113"/>
        <v>27912</v>
      </c>
      <c r="F823" s="7">
        <f t="shared" ca="1" si="114"/>
        <v>0</v>
      </c>
      <c r="G823" s="125">
        <f ca="1">IF('Simulador - 1º Pilar'!$E$99="Sí",IF('Aportaciones Flex'!$B$13&lt;'Aportaciones Flex'!E823,0,F823*$B$8/12),F823*$B$8/12)</f>
        <v>0</v>
      </c>
      <c r="H823" s="125">
        <f t="shared" ca="1" si="110"/>
        <v>0</v>
      </c>
      <c r="I823" s="126">
        <f t="shared" ca="1" si="111"/>
        <v>0</v>
      </c>
      <c r="J823" s="125">
        <f t="shared" ca="1" si="115"/>
        <v>0</v>
      </c>
      <c r="K823" s="151"/>
      <c r="L823" s="125">
        <f t="shared" ca="1" si="116"/>
        <v>0</v>
      </c>
      <c r="P823">
        <f t="shared" si="117"/>
        <v>816</v>
      </c>
      <c r="S823" s="126">
        <f t="shared" ca="1" si="112"/>
        <v>0</v>
      </c>
      <c r="T823" s="126">
        <f t="shared" ca="1" si="118"/>
        <v>0</v>
      </c>
    </row>
    <row r="824" spans="4:20">
      <c r="D824">
        <v>817</v>
      </c>
      <c r="E824" s="6">
        <f t="shared" ca="1" si="113"/>
        <v>27881</v>
      </c>
      <c r="F824" s="7">
        <f t="shared" ca="1" si="114"/>
        <v>0</v>
      </c>
      <c r="G824" s="125">
        <f ca="1">IF('Simulador - 1º Pilar'!$E$99="Sí",IF('Aportaciones Flex'!$B$13&lt;'Aportaciones Flex'!E824,0,F824*$B$8/12),F824*$B$8/12)</f>
        <v>0</v>
      </c>
      <c r="H824" s="125">
        <f t="shared" ca="1" si="110"/>
        <v>0</v>
      </c>
      <c r="I824" s="126">
        <f t="shared" ca="1" si="111"/>
        <v>0</v>
      </c>
      <c r="J824" s="125">
        <f t="shared" ca="1" si="115"/>
        <v>0</v>
      </c>
      <c r="K824" s="151"/>
      <c r="L824" s="125">
        <f t="shared" ca="1" si="116"/>
        <v>0</v>
      </c>
      <c r="P824">
        <f t="shared" si="117"/>
        <v>817</v>
      </c>
      <c r="S824" s="126">
        <f t="shared" ca="1" si="112"/>
        <v>0</v>
      </c>
      <c r="T824" s="126">
        <f t="shared" ca="1" si="118"/>
        <v>0</v>
      </c>
    </row>
    <row r="825" spans="4:20">
      <c r="D825">
        <v>818</v>
      </c>
      <c r="E825" s="6">
        <f t="shared" ca="1" si="113"/>
        <v>27851</v>
      </c>
      <c r="F825" s="7">
        <f t="shared" ca="1" si="114"/>
        <v>0</v>
      </c>
      <c r="G825" s="125">
        <f ca="1">IF('Simulador - 1º Pilar'!$E$99="Sí",IF('Aportaciones Flex'!$B$13&lt;'Aportaciones Flex'!E825,0,F825*$B$8/12),F825*$B$8/12)</f>
        <v>0</v>
      </c>
      <c r="H825" s="125">
        <f t="shared" ca="1" si="110"/>
        <v>0</v>
      </c>
      <c r="I825" s="126">
        <f t="shared" ca="1" si="111"/>
        <v>0</v>
      </c>
      <c r="J825" s="125">
        <f t="shared" ca="1" si="115"/>
        <v>0</v>
      </c>
      <c r="K825" s="151"/>
      <c r="L825" s="125">
        <f t="shared" ca="1" si="116"/>
        <v>0</v>
      </c>
      <c r="P825">
        <f t="shared" si="117"/>
        <v>818</v>
      </c>
      <c r="S825" s="126">
        <f t="shared" ca="1" si="112"/>
        <v>0</v>
      </c>
      <c r="T825" s="126">
        <f t="shared" ca="1" si="118"/>
        <v>0</v>
      </c>
    </row>
    <row r="826" spans="4:20">
      <c r="D826">
        <v>819</v>
      </c>
      <c r="E826" s="6">
        <f t="shared" ca="1" si="113"/>
        <v>27820</v>
      </c>
      <c r="F826" s="7">
        <f t="shared" ca="1" si="114"/>
        <v>0</v>
      </c>
      <c r="G826" s="125">
        <f ca="1">IF('Simulador - 1º Pilar'!$E$99="Sí",IF('Aportaciones Flex'!$B$13&lt;'Aportaciones Flex'!E826,0,F826*$B$8/12),F826*$B$8/12)</f>
        <v>0</v>
      </c>
      <c r="H826" s="125">
        <f t="shared" ca="1" si="110"/>
        <v>0</v>
      </c>
      <c r="I826" s="126">
        <f t="shared" ca="1" si="111"/>
        <v>0</v>
      </c>
      <c r="J826" s="125">
        <f t="shared" ca="1" si="115"/>
        <v>0</v>
      </c>
      <c r="K826" s="151"/>
      <c r="L826" s="125">
        <f t="shared" ca="1" si="116"/>
        <v>0</v>
      </c>
      <c r="P826">
        <f t="shared" si="117"/>
        <v>819</v>
      </c>
      <c r="S826" s="126">
        <f t="shared" ca="1" si="112"/>
        <v>0</v>
      </c>
      <c r="T826" s="126">
        <f t="shared" ca="1" si="118"/>
        <v>0</v>
      </c>
    </row>
    <row r="827" spans="4:20">
      <c r="D827">
        <v>820</v>
      </c>
      <c r="E827" s="6">
        <f t="shared" ca="1" si="113"/>
        <v>27791</v>
      </c>
      <c r="F827" s="7">
        <f t="shared" ca="1" si="114"/>
        <v>0</v>
      </c>
      <c r="G827" s="125">
        <f ca="1">IF('Simulador - 1º Pilar'!$E$99="Sí",IF('Aportaciones Flex'!$B$13&lt;'Aportaciones Flex'!E827,0,F827*$B$8/12),F827*$B$8/12)</f>
        <v>0</v>
      </c>
      <c r="H827" s="125">
        <f t="shared" ca="1" si="110"/>
        <v>0</v>
      </c>
      <c r="I827" s="126">
        <f t="shared" ca="1" si="111"/>
        <v>0</v>
      </c>
      <c r="J827" s="125">
        <f t="shared" ca="1" si="115"/>
        <v>0</v>
      </c>
      <c r="K827" s="151"/>
      <c r="L827" s="125">
        <f t="shared" ca="1" si="116"/>
        <v>0</v>
      </c>
      <c r="P827">
        <f t="shared" si="117"/>
        <v>820</v>
      </c>
      <c r="S827" s="126">
        <f t="shared" ca="1" si="112"/>
        <v>0</v>
      </c>
      <c r="T827" s="126">
        <f t="shared" ca="1" si="118"/>
        <v>0</v>
      </c>
    </row>
    <row r="828" spans="4:20">
      <c r="D828">
        <v>821</v>
      </c>
      <c r="E828" s="6">
        <f t="shared" ca="1" si="113"/>
        <v>27760</v>
      </c>
      <c r="F828" s="7">
        <f t="shared" ca="1" si="114"/>
        <v>0</v>
      </c>
      <c r="G828" s="125">
        <f ca="1">IF('Simulador - 1º Pilar'!$E$99="Sí",IF('Aportaciones Flex'!$B$13&lt;'Aportaciones Flex'!E828,0,F828*$B$8/12),F828*$B$8/12)</f>
        <v>0</v>
      </c>
      <c r="H828" s="125">
        <f t="shared" ca="1" si="110"/>
        <v>0</v>
      </c>
      <c r="I828" s="126">
        <f t="shared" ca="1" si="111"/>
        <v>0</v>
      </c>
      <c r="J828" s="125">
        <f t="shared" ca="1" si="115"/>
        <v>0</v>
      </c>
      <c r="K828" s="151"/>
      <c r="L828" s="125">
        <f t="shared" ca="1" si="116"/>
        <v>0</v>
      </c>
      <c r="P828">
        <f t="shared" si="117"/>
        <v>821</v>
      </c>
      <c r="S828" s="126">
        <f t="shared" ca="1" si="112"/>
        <v>0</v>
      </c>
      <c r="T828" s="126">
        <f t="shared" ca="1" si="118"/>
        <v>0</v>
      </c>
    </row>
    <row r="829" spans="4:20">
      <c r="D829">
        <v>822</v>
      </c>
      <c r="E829" s="6">
        <f t="shared" ca="1" si="113"/>
        <v>27729</v>
      </c>
      <c r="F829" s="7">
        <f t="shared" ca="1" si="114"/>
        <v>0</v>
      </c>
      <c r="G829" s="125">
        <f ca="1">IF('Simulador - 1º Pilar'!$E$99="Sí",IF('Aportaciones Flex'!$B$13&lt;'Aportaciones Flex'!E829,0,F829*$B$8/12),F829*$B$8/12)</f>
        <v>0</v>
      </c>
      <c r="H829" s="125">
        <f t="shared" ca="1" si="110"/>
        <v>0</v>
      </c>
      <c r="I829" s="126">
        <f t="shared" ca="1" si="111"/>
        <v>0</v>
      </c>
      <c r="J829" s="125">
        <f t="shared" ca="1" si="115"/>
        <v>0</v>
      </c>
      <c r="K829" s="151"/>
      <c r="L829" s="125">
        <f t="shared" ca="1" si="116"/>
        <v>0</v>
      </c>
      <c r="P829">
        <f t="shared" si="117"/>
        <v>822</v>
      </c>
      <c r="S829" s="126">
        <f t="shared" ca="1" si="112"/>
        <v>0</v>
      </c>
      <c r="T829" s="126">
        <f t="shared" ca="1" si="118"/>
        <v>0</v>
      </c>
    </row>
    <row r="830" spans="4:20">
      <c r="D830">
        <v>823</v>
      </c>
      <c r="E830" s="6">
        <f t="shared" ca="1" si="113"/>
        <v>27699</v>
      </c>
      <c r="F830" s="7">
        <f t="shared" ca="1" si="114"/>
        <v>0</v>
      </c>
      <c r="G830" s="125">
        <f ca="1">IF('Simulador - 1º Pilar'!$E$99="Sí",IF('Aportaciones Flex'!$B$13&lt;'Aportaciones Flex'!E830,0,F830*$B$8/12),F830*$B$8/12)</f>
        <v>0</v>
      </c>
      <c r="H830" s="125">
        <f t="shared" ca="1" si="110"/>
        <v>0</v>
      </c>
      <c r="I830" s="126">
        <f t="shared" ca="1" si="111"/>
        <v>0</v>
      </c>
      <c r="J830" s="125">
        <f t="shared" ca="1" si="115"/>
        <v>0</v>
      </c>
      <c r="K830" s="151"/>
      <c r="L830" s="125">
        <f t="shared" ca="1" si="116"/>
        <v>0</v>
      </c>
      <c r="P830">
        <f t="shared" si="117"/>
        <v>823</v>
      </c>
      <c r="S830" s="126">
        <f t="shared" ca="1" si="112"/>
        <v>0</v>
      </c>
      <c r="T830" s="126">
        <f t="shared" ca="1" si="118"/>
        <v>0</v>
      </c>
    </row>
    <row r="831" spans="4:20">
      <c r="D831">
        <v>824</v>
      </c>
      <c r="E831" s="6">
        <f t="shared" ca="1" si="113"/>
        <v>27668</v>
      </c>
      <c r="F831" s="7">
        <f t="shared" ca="1" si="114"/>
        <v>0</v>
      </c>
      <c r="G831" s="125">
        <f ca="1">IF('Simulador - 1º Pilar'!$E$99="Sí",IF('Aportaciones Flex'!$B$13&lt;'Aportaciones Flex'!E831,0,F831*$B$8/12),F831*$B$8/12)</f>
        <v>0</v>
      </c>
      <c r="H831" s="125">
        <f t="shared" ca="1" si="110"/>
        <v>0</v>
      </c>
      <c r="I831" s="126">
        <f t="shared" ca="1" si="111"/>
        <v>0</v>
      </c>
      <c r="J831" s="125">
        <f t="shared" ca="1" si="115"/>
        <v>0</v>
      </c>
      <c r="K831" s="151"/>
      <c r="L831" s="125">
        <f t="shared" ca="1" si="116"/>
        <v>0</v>
      </c>
      <c r="P831">
        <f t="shared" si="117"/>
        <v>824</v>
      </c>
      <c r="S831" s="126">
        <f t="shared" ca="1" si="112"/>
        <v>0</v>
      </c>
      <c r="T831" s="126">
        <f t="shared" ca="1" si="118"/>
        <v>0</v>
      </c>
    </row>
    <row r="832" spans="4:20">
      <c r="D832">
        <v>825</v>
      </c>
      <c r="E832" s="6">
        <f t="shared" ca="1" si="113"/>
        <v>27638</v>
      </c>
      <c r="F832" s="7">
        <f t="shared" ca="1" si="114"/>
        <v>0</v>
      </c>
      <c r="G832" s="125">
        <f ca="1">IF('Simulador - 1º Pilar'!$E$99="Sí",IF('Aportaciones Flex'!$B$13&lt;'Aportaciones Flex'!E832,0,F832*$B$8/12),F832*$B$8/12)</f>
        <v>0</v>
      </c>
      <c r="H832" s="125">
        <f t="shared" ca="1" si="110"/>
        <v>0</v>
      </c>
      <c r="I832" s="126">
        <f t="shared" ca="1" si="111"/>
        <v>0</v>
      </c>
      <c r="J832" s="125">
        <f t="shared" ca="1" si="115"/>
        <v>0</v>
      </c>
      <c r="K832" s="151"/>
      <c r="L832" s="125">
        <f t="shared" ca="1" si="116"/>
        <v>0</v>
      </c>
      <c r="P832">
        <f t="shared" si="117"/>
        <v>825</v>
      </c>
      <c r="S832" s="126">
        <f t="shared" ca="1" si="112"/>
        <v>0</v>
      </c>
      <c r="T832" s="126">
        <f t="shared" ca="1" si="118"/>
        <v>0</v>
      </c>
    </row>
    <row r="833" spans="4:20">
      <c r="D833">
        <v>826</v>
      </c>
      <c r="E833" s="6">
        <f t="shared" ca="1" si="113"/>
        <v>27607</v>
      </c>
      <c r="F833" s="7">
        <f t="shared" ca="1" si="114"/>
        <v>0</v>
      </c>
      <c r="G833" s="125">
        <f ca="1">IF('Simulador - 1º Pilar'!$E$99="Sí",IF('Aportaciones Flex'!$B$13&lt;'Aportaciones Flex'!E833,0,F833*$B$8/12),F833*$B$8/12)</f>
        <v>0</v>
      </c>
      <c r="H833" s="125">
        <f t="shared" ca="1" si="110"/>
        <v>0</v>
      </c>
      <c r="I833" s="126">
        <f t="shared" ca="1" si="111"/>
        <v>0</v>
      </c>
      <c r="J833" s="125">
        <f t="shared" ca="1" si="115"/>
        <v>0</v>
      </c>
      <c r="K833" s="151"/>
      <c r="L833" s="125">
        <f t="shared" ca="1" si="116"/>
        <v>0</v>
      </c>
      <c r="P833">
        <f t="shared" si="117"/>
        <v>826</v>
      </c>
      <c r="S833" s="126">
        <f t="shared" ca="1" si="112"/>
        <v>0</v>
      </c>
      <c r="T833" s="126">
        <f t="shared" ca="1" si="118"/>
        <v>0</v>
      </c>
    </row>
    <row r="834" spans="4:20">
      <c r="D834">
        <v>827</v>
      </c>
      <c r="E834" s="6">
        <f t="shared" ca="1" si="113"/>
        <v>27576</v>
      </c>
      <c r="F834" s="7">
        <f t="shared" ca="1" si="114"/>
        <v>0</v>
      </c>
      <c r="G834" s="125">
        <f ca="1">IF('Simulador - 1º Pilar'!$E$99="Sí",IF('Aportaciones Flex'!$B$13&lt;'Aportaciones Flex'!E834,0,F834*$B$8/12),F834*$B$8/12)</f>
        <v>0</v>
      </c>
      <c r="H834" s="125">
        <f t="shared" ref="H834:H897" ca="1" si="119">IF(G834&gt;0,1,0)*$H$5*IF(AND($I$5="NO",YEAR(E834)=YEAR($B$6)+1),1,IF($I$5="SI",1,0))</f>
        <v>0</v>
      </c>
      <c r="I834" s="126">
        <f t="shared" ca="1" si="111"/>
        <v>0</v>
      </c>
      <c r="J834" s="125">
        <f t="shared" ca="1" si="115"/>
        <v>0</v>
      </c>
      <c r="K834" s="151"/>
      <c r="L834" s="125">
        <f t="shared" ca="1" si="116"/>
        <v>0</v>
      </c>
      <c r="P834">
        <f t="shared" si="117"/>
        <v>827</v>
      </c>
      <c r="S834" s="126">
        <f t="shared" ca="1" si="112"/>
        <v>0</v>
      </c>
      <c r="T834" s="126">
        <f t="shared" ca="1" si="118"/>
        <v>0</v>
      </c>
    </row>
    <row r="835" spans="4:20">
      <c r="D835">
        <v>828</v>
      </c>
      <c r="E835" s="6">
        <f t="shared" ca="1" si="113"/>
        <v>27546</v>
      </c>
      <c r="F835" s="7">
        <f t="shared" ca="1" si="114"/>
        <v>0</v>
      </c>
      <c r="G835" s="125">
        <f ca="1">IF('Simulador - 1º Pilar'!$E$99="Sí",IF('Aportaciones Flex'!$B$13&lt;'Aportaciones Flex'!E835,0,F835*$B$8/12),F835*$B$8/12)</f>
        <v>0</v>
      </c>
      <c r="H835" s="125">
        <f t="shared" ca="1" si="119"/>
        <v>0</v>
      </c>
      <c r="I835" s="126">
        <f t="shared" ca="1" si="111"/>
        <v>0</v>
      </c>
      <c r="J835" s="125">
        <f t="shared" ca="1" si="115"/>
        <v>0</v>
      </c>
      <c r="K835" s="151"/>
      <c r="L835" s="125">
        <f t="shared" ca="1" si="116"/>
        <v>0</v>
      </c>
      <c r="P835">
        <f t="shared" si="117"/>
        <v>828</v>
      </c>
      <c r="S835" s="126">
        <f t="shared" ca="1" si="112"/>
        <v>0</v>
      </c>
      <c r="T835" s="126">
        <f t="shared" ca="1" si="118"/>
        <v>0</v>
      </c>
    </row>
    <row r="836" spans="4:20">
      <c r="D836">
        <v>829</v>
      </c>
      <c r="E836" s="6">
        <f t="shared" ca="1" si="113"/>
        <v>27515</v>
      </c>
      <c r="F836" s="7">
        <f t="shared" ca="1" si="114"/>
        <v>0</v>
      </c>
      <c r="G836" s="125">
        <f ca="1">IF('Simulador - 1º Pilar'!$E$99="Sí",IF('Aportaciones Flex'!$B$13&lt;'Aportaciones Flex'!E836,0,F836*$B$8/12),F836*$B$8/12)</f>
        <v>0</v>
      </c>
      <c r="H836" s="125">
        <f t="shared" ca="1" si="119"/>
        <v>0</v>
      </c>
      <c r="I836" s="126">
        <f t="shared" ca="1" si="111"/>
        <v>0</v>
      </c>
      <c r="J836" s="125">
        <f t="shared" ca="1" si="115"/>
        <v>0</v>
      </c>
      <c r="K836" s="151"/>
      <c r="L836" s="125">
        <f t="shared" ca="1" si="116"/>
        <v>0</v>
      </c>
      <c r="P836">
        <f t="shared" si="117"/>
        <v>829</v>
      </c>
      <c r="S836" s="126">
        <f t="shared" ca="1" si="112"/>
        <v>0</v>
      </c>
      <c r="T836" s="126">
        <f t="shared" ca="1" si="118"/>
        <v>0</v>
      </c>
    </row>
    <row r="837" spans="4:20">
      <c r="D837">
        <v>830</v>
      </c>
      <c r="E837" s="6">
        <f t="shared" ca="1" si="113"/>
        <v>27485</v>
      </c>
      <c r="F837" s="7">
        <f t="shared" ca="1" si="114"/>
        <v>0</v>
      </c>
      <c r="G837" s="125">
        <f ca="1">IF('Simulador - 1º Pilar'!$E$99="Sí",IF('Aportaciones Flex'!$B$13&lt;'Aportaciones Flex'!E837,0,F837*$B$8/12),F837*$B$8/12)</f>
        <v>0</v>
      </c>
      <c r="H837" s="125">
        <f t="shared" ca="1" si="119"/>
        <v>0</v>
      </c>
      <c r="I837" s="126">
        <f t="shared" ca="1" si="111"/>
        <v>0</v>
      </c>
      <c r="J837" s="125">
        <f t="shared" ca="1" si="115"/>
        <v>0</v>
      </c>
      <c r="K837" s="151"/>
      <c r="L837" s="125">
        <f t="shared" ca="1" si="116"/>
        <v>0</v>
      </c>
      <c r="P837">
        <f t="shared" si="117"/>
        <v>830</v>
      </c>
      <c r="S837" s="126">
        <f t="shared" ca="1" si="112"/>
        <v>0</v>
      </c>
      <c r="T837" s="126">
        <f t="shared" ca="1" si="118"/>
        <v>0</v>
      </c>
    </row>
    <row r="838" spans="4:20">
      <c r="D838">
        <v>831</v>
      </c>
      <c r="E838" s="6">
        <f t="shared" ca="1" si="113"/>
        <v>27454</v>
      </c>
      <c r="F838" s="7">
        <f t="shared" ca="1" si="114"/>
        <v>0</v>
      </c>
      <c r="G838" s="125">
        <f ca="1">IF('Simulador - 1º Pilar'!$E$99="Sí",IF('Aportaciones Flex'!$B$13&lt;'Aportaciones Flex'!E838,0,F838*$B$8/12),F838*$B$8/12)</f>
        <v>0</v>
      </c>
      <c r="H838" s="125">
        <f t="shared" ca="1" si="119"/>
        <v>0</v>
      </c>
      <c r="I838" s="126">
        <f t="shared" ca="1" si="111"/>
        <v>0</v>
      </c>
      <c r="J838" s="125">
        <f t="shared" ca="1" si="115"/>
        <v>0</v>
      </c>
      <c r="K838" s="151"/>
      <c r="L838" s="125">
        <f t="shared" ca="1" si="116"/>
        <v>0</v>
      </c>
      <c r="P838">
        <f t="shared" si="117"/>
        <v>831</v>
      </c>
      <c r="S838" s="126">
        <f t="shared" ca="1" si="112"/>
        <v>0</v>
      </c>
      <c r="T838" s="126">
        <f t="shared" ca="1" si="118"/>
        <v>0</v>
      </c>
    </row>
    <row r="839" spans="4:20">
      <c r="D839">
        <v>832</v>
      </c>
      <c r="E839" s="6">
        <f t="shared" ca="1" si="113"/>
        <v>27426</v>
      </c>
      <c r="F839" s="7">
        <f t="shared" ca="1" si="114"/>
        <v>0</v>
      </c>
      <c r="G839" s="125">
        <f ca="1">IF('Simulador - 1º Pilar'!$E$99="Sí",IF('Aportaciones Flex'!$B$13&lt;'Aportaciones Flex'!E839,0,F839*$B$8/12),F839*$B$8/12)</f>
        <v>0</v>
      </c>
      <c r="H839" s="125">
        <f t="shared" ca="1" si="119"/>
        <v>0</v>
      </c>
      <c r="I839" s="126">
        <f t="shared" ref="I839:I902" ca="1" si="120">(1+$M$5)^(D839/12)*(H839*(12-IF(MONTH(E840)=12,0,MONTH(E840)))+IF(AND(F839=1,F840=0),$Q$4,0))*IF(AND(F839=1,F840=0),1,0)</f>
        <v>0</v>
      </c>
      <c r="J839" s="125">
        <f t="shared" ca="1" si="115"/>
        <v>0</v>
      </c>
      <c r="K839" s="151"/>
      <c r="L839" s="125">
        <f t="shared" ca="1" si="116"/>
        <v>0</v>
      </c>
      <c r="P839">
        <f t="shared" si="117"/>
        <v>832</v>
      </c>
      <c r="S839" s="126">
        <f t="shared" ref="S839:S902" ca="1" si="121">(1+$M$5)^(D839/12)*(IF(E839=$C$6,$Q$4+$H$5*12,0))</f>
        <v>0</v>
      </c>
      <c r="T839" s="126">
        <f t="shared" ca="1" si="118"/>
        <v>0</v>
      </c>
    </row>
    <row r="840" spans="4:20">
      <c r="D840">
        <v>833</v>
      </c>
      <c r="E840" s="6">
        <f t="shared" ref="E840:E903" ca="1" si="122">+DATE(YEAR(E839),MONTH(E839)-1,DAY(E839))</f>
        <v>27395</v>
      </c>
      <c r="F840" s="7">
        <f t="shared" ref="F840:F903" ca="1" si="123">IF(DATE(YEAR($B$6),MONTH($B$6)+1,DAY(1))=E840,1,IF(MONTH(E840)=1,F841*(1+$F$5),F841))</f>
        <v>0</v>
      </c>
      <c r="G840" s="125">
        <f ca="1">IF('Simulador - 1º Pilar'!$E$99="Sí",IF('Aportaciones Flex'!$B$13&lt;'Aportaciones Flex'!E840,0,F840*$B$8/12),F840*$B$8/12)</f>
        <v>0</v>
      </c>
      <c r="H840" s="125">
        <f t="shared" ca="1" si="119"/>
        <v>0</v>
      </c>
      <c r="I840" s="126">
        <f t="shared" ca="1" si="120"/>
        <v>0</v>
      </c>
      <c r="J840" s="125">
        <f t="shared" ref="J840:J903" ca="1" si="124">(1+$M$5)^(D840/12)*(H840+IF(AND(F840=1,F841=0),$Q$4,0))</f>
        <v>0</v>
      </c>
      <c r="K840" s="151"/>
      <c r="L840" s="125">
        <f t="shared" ref="L840:L903" ca="1" si="125">K840+J840</f>
        <v>0</v>
      </c>
      <c r="P840">
        <f t="shared" ref="P840:P903" si="126">D840</f>
        <v>833</v>
      </c>
      <c r="S840" s="126">
        <f t="shared" ca="1" si="121"/>
        <v>0</v>
      </c>
      <c r="T840" s="126">
        <f t="shared" ref="T840:T903" ca="1" si="127">(1+$M$5)^(D840/12)*(IF(YEAR(E840)&gt;YEAR($C$6),L840,0)+IF(E840=$C$6,$H$5*12+$Q$4,0))</f>
        <v>0</v>
      </c>
    </row>
    <row r="841" spans="4:20">
      <c r="D841">
        <v>834</v>
      </c>
      <c r="E841" s="6">
        <f t="shared" ca="1" si="122"/>
        <v>27364</v>
      </c>
      <c r="F841" s="7">
        <f t="shared" ca="1" si="123"/>
        <v>0</v>
      </c>
      <c r="G841" s="125">
        <f ca="1">IF('Simulador - 1º Pilar'!$E$99="Sí",IF('Aportaciones Flex'!$B$13&lt;'Aportaciones Flex'!E841,0,F841*$B$8/12),F841*$B$8/12)</f>
        <v>0</v>
      </c>
      <c r="H841" s="125">
        <f t="shared" ca="1" si="119"/>
        <v>0</v>
      </c>
      <c r="I841" s="126">
        <f t="shared" ca="1" si="120"/>
        <v>0</v>
      </c>
      <c r="J841" s="125">
        <f t="shared" ca="1" si="124"/>
        <v>0</v>
      </c>
      <c r="K841" s="151"/>
      <c r="L841" s="125">
        <f t="shared" ca="1" si="125"/>
        <v>0</v>
      </c>
      <c r="P841">
        <f t="shared" si="126"/>
        <v>834</v>
      </c>
      <c r="S841" s="126">
        <f t="shared" ca="1" si="121"/>
        <v>0</v>
      </c>
      <c r="T841" s="126">
        <f t="shared" ca="1" si="127"/>
        <v>0</v>
      </c>
    </row>
    <row r="842" spans="4:20">
      <c r="D842">
        <v>835</v>
      </c>
      <c r="E842" s="6">
        <f t="shared" ca="1" si="122"/>
        <v>27334</v>
      </c>
      <c r="F842" s="7">
        <f t="shared" ca="1" si="123"/>
        <v>0</v>
      </c>
      <c r="G842" s="125">
        <f ca="1">IF('Simulador - 1º Pilar'!$E$99="Sí",IF('Aportaciones Flex'!$B$13&lt;'Aportaciones Flex'!E842,0,F842*$B$8/12),F842*$B$8/12)</f>
        <v>0</v>
      </c>
      <c r="H842" s="125">
        <f t="shared" ca="1" si="119"/>
        <v>0</v>
      </c>
      <c r="I842" s="126">
        <f t="shared" ca="1" si="120"/>
        <v>0</v>
      </c>
      <c r="J842" s="125">
        <f t="shared" ca="1" si="124"/>
        <v>0</v>
      </c>
      <c r="K842" s="151"/>
      <c r="L842" s="125">
        <f t="shared" ca="1" si="125"/>
        <v>0</v>
      </c>
      <c r="P842">
        <f t="shared" si="126"/>
        <v>835</v>
      </c>
      <c r="S842" s="126">
        <f t="shared" ca="1" si="121"/>
        <v>0</v>
      </c>
      <c r="T842" s="126">
        <f t="shared" ca="1" si="127"/>
        <v>0</v>
      </c>
    </row>
    <row r="843" spans="4:20">
      <c r="D843">
        <v>836</v>
      </c>
      <c r="E843" s="6">
        <f t="shared" ca="1" si="122"/>
        <v>27303</v>
      </c>
      <c r="F843" s="7">
        <f t="shared" ca="1" si="123"/>
        <v>0</v>
      </c>
      <c r="G843" s="125">
        <f ca="1">IF('Simulador - 1º Pilar'!$E$99="Sí",IF('Aportaciones Flex'!$B$13&lt;'Aportaciones Flex'!E843,0,F843*$B$8/12),F843*$B$8/12)</f>
        <v>0</v>
      </c>
      <c r="H843" s="125">
        <f t="shared" ca="1" si="119"/>
        <v>0</v>
      </c>
      <c r="I843" s="126">
        <f t="shared" ca="1" si="120"/>
        <v>0</v>
      </c>
      <c r="J843" s="125">
        <f t="shared" ca="1" si="124"/>
        <v>0</v>
      </c>
      <c r="K843" s="151"/>
      <c r="L843" s="125">
        <f t="shared" ca="1" si="125"/>
        <v>0</v>
      </c>
      <c r="P843">
        <f t="shared" si="126"/>
        <v>836</v>
      </c>
      <c r="S843" s="126">
        <f t="shared" ca="1" si="121"/>
        <v>0</v>
      </c>
      <c r="T843" s="126">
        <f t="shared" ca="1" si="127"/>
        <v>0</v>
      </c>
    </row>
    <row r="844" spans="4:20">
      <c r="D844">
        <v>837</v>
      </c>
      <c r="E844" s="6">
        <f t="shared" ca="1" si="122"/>
        <v>27273</v>
      </c>
      <c r="F844" s="7">
        <f t="shared" ca="1" si="123"/>
        <v>0</v>
      </c>
      <c r="G844" s="125">
        <f ca="1">IF('Simulador - 1º Pilar'!$E$99="Sí",IF('Aportaciones Flex'!$B$13&lt;'Aportaciones Flex'!E844,0,F844*$B$8/12),F844*$B$8/12)</f>
        <v>0</v>
      </c>
      <c r="H844" s="125">
        <f t="shared" ca="1" si="119"/>
        <v>0</v>
      </c>
      <c r="I844" s="126">
        <f t="shared" ca="1" si="120"/>
        <v>0</v>
      </c>
      <c r="J844" s="125">
        <f t="shared" ca="1" si="124"/>
        <v>0</v>
      </c>
      <c r="K844" s="151"/>
      <c r="L844" s="125">
        <f t="shared" ca="1" si="125"/>
        <v>0</v>
      </c>
      <c r="P844">
        <f t="shared" si="126"/>
        <v>837</v>
      </c>
      <c r="S844" s="126">
        <f t="shared" ca="1" si="121"/>
        <v>0</v>
      </c>
      <c r="T844" s="126">
        <f t="shared" ca="1" si="127"/>
        <v>0</v>
      </c>
    </row>
    <row r="845" spans="4:20">
      <c r="D845">
        <v>838</v>
      </c>
      <c r="E845" s="6">
        <f t="shared" ca="1" si="122"/>
        <v>27242</v>
      </c>
      <c r="F845" s="7">
        <f t="shared" ca="1" si="123"/>
        <v>0</v>
      </c>
      <c r="G845" s="125">
        <f ca="1">IF('Simulador - 1º Pilar'!$E$99="Sí",IF('Aportaciones Flex'!$B$13&lt;'Aportaciones Flex'!E845,0,F845*$B$8/12),F845*$B$8/12)</f>
        <v>0</v>
      </c>
      <c r="H845" s="125">
        <f t="shared" ca="1" si="119"/>
        <v>0</v>
      </c>
      <c r="I845" s="126">
        <f t="shared" ca="1" si="120"/>
        <v>0</v>
      </c>
      <c r="J845" s="125">
        <f t="shared" ca="1" si="124"/>
        <v>0</v>
      </c>
      <c r="K845" s="151"/>
      <c r="L845" s="125">
        <f t="shared" ca="1" si="125"/>
        <v>0</v>
      </c>
      <c r="P845">
        <f t="shared" si="126"/>
        <v>838</v>
      </c>
      <c r="S845" s="126">
        <f t="shared" ca="1" si="121"/>
        <v>0</v>
      </c>
      <c r="T845" s="126">
        <f t="shared" ca="1" si="127"/>
        <v>0</v>
      </c>
    </row>
    <row r="846" spans="4:20">
      <c r="D846">
        <v>839</v>
      </c>
      <c r="E846" s="6">
        <f t="shared" ca="1" si="122"/>
        <v>27211</v>
      </c>
      <c r="F846" s="7">
        <f t="shared" ca="1" si="123"/>
        <v>0</v>
      </c>
      <c r="G846" s="125">
        <f ca="1">IF('Simulador - 1º Pilar'!$E$99="Sí",IF('Aportaciones Flex'!$B$13&lt;'Aportaciones Flex'!E846,0,F846*$B$8/12),F846*$B$8/12)</f>
        <v>0</v>
      </c>
      <c r="H846" s="125">
        <f t="shared" ca="1" si="119"/>
        <v>0</v>
      </c>
      <c r="I846" s="126">
        <f t="shared" ca="1" si="120"/>
        <v>0</v>
      </c>
      <c r="J846" s="125">
        <f t="shared" ca="1" si="124"/>
        <v>0</v>
      </c>
      <c r="K846" s="151"/>
      <c r="L846" s="125">
        <f t="shared" ca="1" si="125"/>
        <v>0</v>
      </c>
      <c r="P846">
        <f t="shared" si="126"/>
        <v>839</v>
      </c>
      <c r="S846" s="126">
        <f t="shared" ca="1" si="121"/>
        <v>0</v>
      </c>
      <c r="T846" s="126">
        <f t="shared" ca="1" si="127"/>
        <v>0</v>
      </c>
    </row>
    <row r="847" spans="4:20">
      <c r="D847">
        <v>840</v>
      </c>
      <c r="E847" s="6">
        <f t="shared" ca="1" si="122"/>
        <v>27181</v>
      </c>
      <c r="F847" s="7">
        <f t="shared" ca="1" si="123"/>
        <v>0</v>
      </c>
      <c r="G847" s="125">
        <f ca="1">IF('Simulador - 1º Pilar'!$E$99="Sí",IF('Aportaciones Flex'!$B$13&lt;'Aportaciones Flex'!E847,0,F847*$B$8/12),F847*$B$8/12)</f>
        <v>0</v>
      </c>
      <c r="H847" s="125">
        <f t="shared" ca="1" si="119"/>
        <v>0</v>
      </c>
      <c r="I847" s="126">
        <f t="shared" ca="1" si="120"/>
        <v>0</v>
      </c>
      <c r="J847" s="125">
        <f t="shared" ca="1" si="124"/>
        <v>0</v>
      </c>
      <c r="K847" s="151"/>
      <c r="L847" s="125">
        <f t="shared" ca="1" si="125"/>
        <v>0</v>
      </c>
      <c r="P847">
        <f t="shared" si="126"/>
        <v>840</v>
      </c>
      <c r="S847" s="126">
        <f t="shared" ca="1" si="121"/>
        <v>0</v>
      </c>
      <c r="T847" s="126">
        <f t="shared" ca="1" si="127"/>
        <v>0</v>
      </c>
    </row>
    <row r="848" spans="4:20">
      <c r="D848">
        <v>841</v>
      </c>
      <c r="E848" s="6">
        <f t="shared" ca="1" si="122"/>
        <v>27150</v>
      </c>
      <c r="F848" s="7">
        <f t="shared" ca="1" si="123"/>
        <v>0</v>
      </c>
      <c r="G848" s="125">
        <f ca="1">IF('Simulador - 1º Pilar'!$E$99="Sí",IF('Aportaciones Flex'!$B$13&lt;'Aportaciones Flex'!E848,0,F848*$B$8/12),F848*$B$8/12)</f>
        <v>0</v>
      </c>
      <c r="H848" s="125">
        <f t="shared" ca="1" si="119"/>
        <v>0</v>
      </c>
      <c r="I848" s="126">
        <f t="shared" ca="1" si="120"/>
        <v>0</v>
      </c>
      <c r="J848" s="125">
        <f t="shared" ca="1" si="124"/>
        <v>0</v>
      </c>
      <c r="K848" s="151"/>
      <c r="L848" s="125">
        <f t="shared" ca="1" si="125"/>
        <v>0</v>
      </c>
      <c r="P848">
        <f t="shared" si="126"/>
        <v>841</v>
      </c>
      <c r="S848" s="126">
        <f t="shared" ca="1" si="121"/>
        <v>0</v>
      </c>
      <c r="T848" s="126">
        <f t="shared" ca="1" si="127"/>
        <v>0</v>
      </c>
    </row>
    <row r="849" spans="4:20">
      <c r="D849">
        <v>842</v>
      </c>
      <c r="E849" s="6">
        <f t="shared" ca="1" si="122"/>
        <v>27120</v>
      </c>
      <c r="F849" s="7">
        <f t="shared" ca="1" si="123"/>
        <v>0</v>
      </c>
      <c r="G849" s="125">
        <f ca="1">IF('Simulador - 1º Pilar'!$E$99="Sí",IF('Aportaciones Flex'!$B$13&lt;'Aportaciones Flex'!E849,0,F849*$B$8/12),F849*$B$8/12)</f>
        <v>0</v>
      </c>
      <c r="H849" s="125">
        <f t="shared" ca="1" si="119"/>
        <v>0</v>
      </c>
      <c r="I849" s="126">
        <f t="shared" ca="1" si="120"/>
        <v>0</v>
      </c>
      <c r="J849" s="125">
        <f t="shared" ca="1" si="124"/>
        <v>0</v>
      </c>
      <c r="K849" s="151"/>
      <c r="L849" s="125">
        <f t="shared" ca="1" si="125"/>
        <v>0</v>
      </c>
      <c r="P849">
        <f t="shared" si="126"/>
        <v>842</v>
      </c>
      <c r="S849" s="126">
        <f t="shared" ca="1" si="121"/>
        <v>0</v>
      </c>
      <c r="T849" s="126">
        <f t="shared" ca="1" si="127"/>
        <v>0</v>
      </c>
    </row>
    <row r="850" spans="4:20">
      <c r="D850">
        <v>843</v>
      </c>
      <c r="E850" s="6">
        <f t="shared" ca="1" si="122"/>
        <v>27089</v>
      </c>
      <c r="F850" s="7">
        <f t="shared" ca="1" si="123"/>
        <v>0</v>
      </c>
      <c r="G850" s="125">
        <f ca="1">IF('Simulador - 1º Pilar'!$E$99="Sí",IF('Aportaciones Flex'!$B$13&lt;'Aportaciones Flex'!E850,0,F850*$B$8/12),F850*$B$8/12)</f>
        <v>0</v>
      </c>
      <c r="H850" s="125">
        <f t="shared" ca="1" si="119"/>
        <v>0</v>
      </c>
      <c r="I850" s="126">
        <f t="shared" ca="1" si="120"/>
        <v>0</v>
      </c>
      <c r="J850" s="125">
        <f t="shared" ca="1" si="124"/>
        <v>0</v>
      </c>
      <c r="K850" s="151"/>
      <c r="L850" s="125">
        <f t="shared" ca="1" si="125"/>
        <v>0</v>
      </c>
      <c r="P850">
        <f t="shared" si="126"/>
        <v>843</v>
      </c>
      <c r="S850" s="126">
        <f t="shared" ca="1" si="121"/>
        <v>0</v>
      </c>
      <c r="T850" s="126">
        <f t="shared" ca="1" si="127"/>
        <v>0</v>
      </c>
    </row>
    <row r="851" spans="4:20">
      <c r="D851">
        <v>844</v>
      </c>
      <c r="E851" s="6">
        <f t="shared" ca="1" si="122"/>
        <v>27061</v>
      </c>
      <c r="F851" s="7">
        <f t="shared" ca="1" si="123"/>
        <v>0</v>
      </c>
      <c r="G851" s="125">
        <f ca="1">IF('Simulador - 1º Pilar'!$E$99="Sí",IF('Aportaciones Flex'!$B$13&lt;'Aportaciones Flex'!E851,0,F851*$B$8/12),F851*$B$8/12)</f>
        <v>0</v>
      </c>
      <c r="H851" s="125">
        <f t="shared" ca="1" si="119"/>
        <v>0</v>
      </c>
      <c r="I851" s="126">
        <f t="shared" ca="1" si="120"/>
        <v>0</v>
      </c>
      <c r="J851" s="125">
        <f t="shared" ca="1" si="124"/>
        <v>0</v>
      </c>
      <c r="K851" s="151"/>
      <c r="L851" s="125">
        <f t="shared" ca="1" si="125"/>
        <v>0</v>
      </c>
      <c r="P851">
        <f t="shared" si="126"/>
        <v>844</v>
      </c>
      <c r="S851" s="126">
        <f t="shared" ca="1" si="121"/>
        <v>0</v>
      </c>
      <c r="T851" s="126">
        <f t="shared" ca="1" si="127"/>
        <v>0</v>
      </c>
    </row>
    <row r="852" spans="4:20">
      <c r="D852">
        <v>845</v>
      </c>
      <c r="E852" s="6">
        <f t="shared" ca="1" si="122"/>
        <v>27030</v>
      </c>
      <c r="F852" s="7">
        <f t="shared" ca="1" si="123"/>
        <v>0</v>
      </c>
      <c r="G852" s="125">
        <f ca="1">IF('Simulador - 1º Pilar'!$E$99="Sí",IF('Aportaciones Flex'!$B$13&lt;'Aportaciones Flex'!E852,0,F852*$B$8/12),F852*$B$8/12)</f>
        <v>0</v>
      </c>
      <c r="H852" s="125">
        <f t="shared" ca="1" si="119"/>
        <v>0</v>
      </c>
      <c r="I852" s="126">
        <f t="shared" ca="1" si="120"/>
        <v>0</v>
      </c>
      <c r="J852" s="125">
        <f t="shared" ca="1" si="124"/>
        <v>0</v>
      </c>
      <c r="K852" s="151"/>
      <c r="L852" s="125">
        <f t="shared" ca="1" si="125"/>
        <v>0</v>
      </c>
      <c r="P852">
        <f t="shared" si="126"/>
        <v>845</v>
      </c>
      <c r="S852" s="126">
        <f t="shared" ca="1" si="121"/>
        <v>0</v>
      </c>
      <c r="T852" s="126">
        <f t="shared" ca="1" si="127"/>
        <v>0</v>
      </c>
    </row>
    <row r="853" spans="4:20">
      <c r="D853">
        <v>846</v>
      </c>
      <c r="E853" s="6">
        <f t="shared" ca="1" si="122"/>
        <v>26999</v>
      </c>
      <c r="F853" s="7">
        <f t="shared" ca="1" si="123"/>
        <v>0</v>
      </c>
      <c r="G853" s="125">
        <f ca="1">IF('Simulador - 1º Pilar'!$E$99="Sí",IF('Aportaciones Flex'!$B$13&lt;'Aportaciones Flex'!E853,0,F853*$B$8/12),F853*$B$8/12)</f>
        <v>0</v>
      </c>
      <c r="H853" s="125">
        <f t="shared" ca="1" si="119"/>
        <v>0</v>
      </c>
      <c r="I853" s="126">
        <f t="shared" ca="1" si="120"/>
        <v>0</v>
      </c>
      <c r="J853" s="125">
        <f t="shared" ca="1" si="124"/>
        <v>0</v>
      </c>
      <c r="K853" s="151"/>
      <c r="L853" s="125">
        <f t="shared" ca="1" si="125"/>
        <v>0</v>
      </c>
      <c r="P853">
        <f t="shared" si="126"/>
        <v>846</v>
      </c>
      <c r="S853" s="126">
        <f t="shared" ca="1" si="121"/>
        <v>0</v>
      </c>
      <c r="T853" s="126">
        <f t="shared" ca="1" si="127"/>
        <v>0</v>
      </c>
    </row>
    <row r="854" spans="4:20">
      <c r="D854">
        <v>847</v>
      </c>
      <c r="E854" s="6">
        <f t="shared" ca="1" si="122"/>
        <v>26969</v>
      </c>
      <c r="F854" s="7">
        <f t="shared" ca="1" si="123"/>
        <v>0</v>
      </c>
      <c r="G854" s="125">
        <f ca="1">IF('Simulador - 1º Pilar'!$E$99="Sí",IF('Aportaciones Flex'!$B$13&lt;'Aportaciones Flex'!E854,0,F854*$B$8/12),F854*$B$8/12)</f>
        <v>0</v>
      </c>
      <c r="H854" s="125">
        <f t="shared" ca="1" si="119"/>
        <v>0</v>
      </c>
      <c r="I854" s="126">
        <f t="shared" ca="1" si="120"/>
        <v>0</v>
      </c>
      <c r="J854" s="125">
        <f t="shared" ca="1" si="124"/>
        <v>0</v>
      </c>
      <c r="K854" s="151"/>
      <c r="L854" s="125">
        <f t="shared" ca="1" si="125"/>
        <v>0</v>
      </c>
      <c r="P854">
        <f t="shared" si="126"/>
        <v>847</v>
      </c>
      <c r="S854" s="126">
        <f t="shared" ca="1" si="121"/>
        <v>0</v>
      </c>
      <c r="T854" s="126">
        <f t="shared" ca="1" si="127"/>
        <v>0</v>
      </c>
    </row>
    <row r="855" spans="4:20">
      <c r="D855">
        <v>848</v>
      </c>
      <c r="E855" s="6">
        <f t="shared" ca="1" si="122"/>
        <v>26938</v>
      </c>
      <c r="F855" s="7">
        <f t="shared" ca="1" si="123"/>
        <v>0</v>
      </c>
      <c r="G855" s="125">
        <f ca="1">IF('Simulador - 1º Pilar'!$E$99="Sí",IF('Aportaciones Flex'!$B$13&lt;'Aportaciones Flex'!E855,0,F855*$B$8/12),F855*$B$8/12)</f>
        <v>0</v>
      </c>
      <c r="H855" s="125">
        <f t="shared" ca="1" si="119"/>
        <v>0</v>
      </c>
      <c r="I855" s="126">
        <f t="shared" ca="1" si="120"/>
        <v>0</v>
      </c>
      <c r="J855" s="125">
        <f t="shared" ca="1" si="124"/>
        <v>0</v>
      </c>
      <c r="K855" s="151"/>
      <c r="L855" s="125">
        <f t="shared" ca="1" si="125"/>
        <v>0</v>
      </c>
      <c r="P855">
        <f t="shared" si="126"/>
        <v>848</v>
      </c>
      <c r="S855" s="126">
        <f t="shared" ca="1" si="121"/>
        <v>0</v>
      </c>
      <c r="T855" s="126">
        <f t="shared" ca="1" si="127"/>
        <v>0</v>
      </c>
    </row>
    <row r="856" spans="4:20">
      <c r="D856">
        <v>849</v>
      </c>
      <c r="E856" s="6">
        <f t="shared" ca="1" si="122"/>
        <v>26908</v>
      </c>
      <c r="F856" s="7">
        <f t="shared" ca="1" si="123"/>
        <v>0</v>
      </c>
      <c r="G856" s="125">
        <f ca="1">IF('Simulador - 1º Pilar'!$E$99="Sí",IF('Aportaciones Flex'!$B$13&lt;'Aportaciones Flex'!E856,0,F856*$B$8/12),F856*$B$8/12)</f>
        <v>0</v>
      </c>
      <c r="H856" s="125">
        <f t="shared" ca="1" si="119"/>
        <v>0</v>
      </c>
      <c r="I856" s="126">
        <f t="shared" ca="1" si="120"/>
        <v>0</v>
      </c>
      <c r="J856" s="125">
        <f t="shared" ca="1" si="124"/>
        <v>0</v>
      </c>
      <c r="K856" s="151"/>
      <c r="L856" s="125">
        <f t="shared" ca="1" si="125"/>
        <v>0</v>
      </c>
      <c r="P856">
        <f t="shared" si="126"/>
        <v>849</v>
      </c>
      <c r="S856" s="126">
        <f t="shared" ca="1" si="121"/>
        <v>0</v>
      </c>
      <c r="T856" s="126">
        <f t="shared" ca="1" si="127"/>
        <v>0</v>
      </c>
    </row>
    <row r="857" spans="4:20">
      <c r="D857">
        <v>850</v>
      </c>
      <c r="E857" s="6">
        <f t="shared" ca="1" si="122"/>
        <v>26877</v>
      </c>
      <c r="F857" s="7">
        <f t="shared" ca="1" si="123"/>
        <v>0</v>
      </c>
      <c r="G857" s="125">
        <f ca="1">IF('Simulador - 1º Pilar'!$E$99="Sí",IF('Aportaciones Flex'!$B$13&lt;'Aportaciones Flex'!E857,0,F857*$B$8/12),F857*$B$8/12)</f>
        <v>0</v>
      </c>
      <c r="H857" s="125">
        <f t="shared" ca="1" si="119"/>
        <v>0</v>
      </c>
      <c r="I857" s="126">
        <f t="shared" ca="1" si="120"/>
        <v>0</v>
      </c>
      <c r="J857" s="125">
        <f t="shared" ca="1" si="124"/>
        <v>0</v>
      </c>
      <c r="K857" s="151"/>
      <c r="L857" s="125">
        <f t="shared" ca="1" si="125"/>
        <v>0</v>
      </c>
      <c r="P857">
        <f t="shared" si="126"/>
        <v>850</v>
      </c>
      <c r="S857" s="126">
        <f t="shared" ca="1" si="121"/>
        <v>0</v>
      </c>
      <c r="T857" s="126">
        <f t="shared" ca="1" si="127"/>
        <v>0</v>
      </c>
    </row>
    <row r="858" spans="4:20">
      <c r="D858">
        <v>851</v>
      </c>
      <c r="E858" s="6">
        <f t="shared" ca="1" si="122"/>
        <v>26846</v>
      </c>
      <c r="F858" s="7">
        <f t="shared" ca="1" si="123"/>
        <v>0</v>
      </c>
      <c r="G858" s="125">
        <f ca="1">IF('Simulador - 1º Pilar'!$E$99="Sí",IF('Aportaciones Flex'!$B$13&lt;'Aportaciones Flex'!E858,0,F858*$B$8/12),F858*$B$8/12)</f>
        <v>0</v>
      </c>
      <c r="H858" s="125">
        <f t="shared" ca="1" si="119"/>
        <v>0</v>
      </c>
      <c r="I858" s="126">
        <f t="shared" ca="1" si="120"/>
        <v>0</v>
      </c>
      <c r="J858" s="125">
        <f t="shared" ca="1" si="124"/>
        <v>0</v>
      </c>
      <c r="K858" s="151"/>
      <c r="L858" s="125">
        <f t="shared" ca="1" si="125"/>
        <v>0</v>
      </c>
      <c r="P858">
        <f t="shared" si="126"/>
        <v>851</v>
      </c>
      <c r="S858" s="126">
        <f t="shared" ca="1" si="121"/>
        <v>0</v>
      </c>
      <c r="T858" s="126">
        <f t="shared" ca="1" si="127"/>
        <v>0</v>
      </c>
    </row>
    <row r="859" spans="4:20">
      <c r="D859">
        <v>852</v>
      </c>
      <c r="E859" s="6">
        <f t="shared" ca="1" si="122"/>
        <v>26816</v>
      </c>
      <c r="F859" s="7">
        <f t="shared" ca="1" si="123"/>
        <v>0</v>
      </c>
      <c r="G859" s="125">
        <f ca="1">IF('Simulador - 1º Pilar'!$E$99="Sí",IF('Aportaciones Flex'!$B$13&lt;'Aportaciones Flex'!E859,0,F859*$B$8/12),F859*$B$8/12)</f>
        <v>0</v>
      </c>
      <c r="H859" s="125">
        <f t="shared" ca="1" si="119"/>
        <v>0</v>
      </c>
      <c r="I859" s="126">
        <f t="shared" ca="1" si="120"/>
        <v>0</v>
      </c>
      <c r="J859" s="125">
        <f t="shared" ca="1" si="124"/>
        <v>0</v>
      </c>
      <c r="K859" s="151"/>
      <c r="L859" s="125">
        <f t="shared" ca="1" si="125"/>
        <v>0</v>
      </c>
      <c r="P859">
        <f t="shared" si="126"/>
        <v>852</v>
      </c>
      <c r="S859" s="126">
        <f t="shared" ca="1" si="121"/>
        <v>0</v>
      </c>
      <c r="T859" s="126">
        <f t="shared" ca="1" si="127"/>
        <v>0</v>
      </c>
    </row>
    <row r="860" spans="4:20">
      <c r="D860">
        <v>853</v>
      </c>
      <c r="E860" s="6">
        <f t="shared" ca="1" si="122"/>
        <v>26785</v>
      </c>
      <c r="F860" s="7">
        <f t="shared" ca="1" si="123"/>
        <v>0</v>
      </c>
      <c r="G860" s="125">
        <f ca="1">IF('Simulador - 1º Pilar'!$E$99="Sí",IF('Aportaciones Flex'!$B$13&lt;'Aportaciones Flex'!E860,0,F860*$B$8/12),F860*$B$8/12)</f>
        <v>0</v>
      </c>
      <c r="H860" s="125">
        <f t="shared" ca="1" si="119"/>
        <v>0</v>
      </c>
      <c r="I860" s="126">
        <f t="shared" ca="1" si="120"/>
        <v>0</v>
      </c>
      <c r="J860" s="125">
        <f t="shared" ca="1" si="124"/>
        <v>0</v>
      </c>
      <c r="K860" s="151"/>
      <c r="L860" s="125">
        <f t="shared" ca="1" si="125"/>
        <v>0</v>
      </c>
      <c r="P860">
        <f t="shared" si="126"/>
        <v>853</v>
      </c>
      <c r="S860" s="126">
        <f t="shared" ca="1" si="121"/>
        <v>0</v>
      </c>
      <c r="T860" s="126">
        <f t="shared" ca="1" si="127"/>
        <v>0</v>
      </c>
    </row>
    <row r="861" spans="4:20">
      <c r="D861">
        <v>854</v>
      </c>
      <c r="E861" s="6">
        <f t="shared" ca="1" si="122"/>
        <v>26755</v>
      </c>
      <c r="F861" s="7">
        <f t="shared" ca="1" si="123"/>
        <v>0</v>
      </c>
      <c r="G861" s="125">
        <f ca="1">IF('Simulador - 1º Pilar'!$E$99="Sí",IF('Aportaciones Flex'!$B$13&lt;'Aportaciones Flex'!E861,0,F861*$B$8/12),F861*$B$8/12)</f>
        <v>0</v>
      </c>
      <c r="H861" s="125">
        <f t="shared" ca="1" si="119"/>
        <v>0</v>
      </c>
      <c r="I861" s="126">
        <f t="shared" ca="1" si="120"/>
        <v>0</v>
      </c>
      <c r="J861" s="125">
        <f t="shared" ca="1" si="124"/>
        <v>0</v>
      </c>
      <c r="K861" s="151"/>
      <c r="L861" s="125">
        <f t="shared" ca="1" si="125"/>
        <v>0</v>
      </c>
      <c r="P861">
        <f t="shared" si="126"/>
        <v>854</v>
      </c>
      <c r="S861" s="126">
        <f t="shared" ca="1" si="121"/>
        <v>0</v>
      </c>
      <c r="T861" s="126">
        <f t="shared" ca="1" si="127"/>
        <v>0</v>
      </c>
    </row>
    <row r="862" spans="4:20">
      <c r="D862">
        <v>855</v>
      </c>
      <c r="E862" s="6">
        <f t="shared" ca="1" si="122"/>
        <v>26724</v>
      </c>
      <c r="F862" s="7">
        <f t="shared" ca="1" si="123"/>
        <v>0</v>
      </c>
      <c r="G862" s="125">
        <f ca="1">IF('Simulador - 1º Pilar'!$E$99="Sí",IF('Aportaciones Flex'!$B$13&lt;'Aportaciones Flex'!E862,0,F862*$B$8/12),F862*$B$8/12)</f>
        <v>0</v>
      </c>
      <c r="H862" s="125">
        <f t="shared" ca="1" si="119"/>
        <v>0</v>
      </c>
      <c r="I862" s="126">
        <f t="shared" ca="1" si="120"/>
        <v>0</v>
      </c>
      <c r="J862" s="125">
        <f t="shared" ca="1" si="124"/>
        <v>0</v>
      </c>
      <c r="K862" s="151"/>
      <c r="L862" s="125">
        <f t="shared" ca="1" si="125"/>
        <v>0</v>
      </c>
      <c r="P862">
        <f t="shared" si="126"/>
        <v>855</v>
      </c>
      <c r="S862" s="126">
        <f t="shared" ca="1" si="121"/>
        <v>0</v>
      </c>
      <c r="T862" s="126">
        <f t="shared" ca="1" si="127"/>
        <v>0</v>
      </c>
    </row>
    <row r="863" spans="4:20">
      <c r="D863">
        <v>856</v>
      </c>
      <c r="E863" s="6">
        <f t="shared" ca="1" si="122"/>
        <v>26696</v>
      </c>
      <c r="F863" s="7">
        <f t="shared" ca="1" si="123"/>
        <v>0</v>
      </c>
      <c r="G863" s="125">
        <f ca="1">IF('Simulador - 1º Pilar'!$E$99="Sí",IF('Aportaciones Flex'!$B$13&lt;'Aportaciones Flex'!E863,0,F863*$B$8/12),F863*$B$8/12)</f>
        <v>0</v>
      </c>
      <c r="H863" s="125">
        <f t="shared" ca="1" si="119"/>
        <v>0</v>
      </c>
      <c r="I863" s="126">
        <f t="shared" ca="1" si="120"/>
        <v>0</v>
      </c>
      <c r="J863" s="125">
        <f t="shared" ca="1" si="124"/>
        <v>0</v>
      </c>
      <c r="K863" s="151"/>
      <c r="L863" s="125">
        <f t="shared" ca="1" si="125"/>
        <v>0</v>
      </c>
      <c r="P863">
        <f t="shared" si="126"/>
        <v>856</v>
      </c>
      <c r="S863" s="126">
        <f t="shared" ca="1" si="121"/>
        <v>0</v>
      </c>
      <c r="T863" s="126">
        <f t="shared" ca="1" si="127"/>
        <v>0</v>
      </c>
    </row>
    <row r="864" spans="4:20">
      <c r="D864">
        <v>857</v>
      </c>
      <c r="E864" s="6">
        <f t="shared" ca="1" si="122"/>
        <v>26665</v>
      </c>
      <c r="F864" s="7">
        <f t="shared" ca="1" si="123"/>
        <v>0</v>
      </c>
      <c r="G864" s="125">
        <f ca="1">IF('Simulador - 1º Pilar'!$E$99="Sí",IF('Aportaciones Flex'!$B$13&lt;'Aportaciones Flex'!E864,0,F864*$B$8/12),F864*$B$8/12)</f>
        <v>0</v>
      </c>
      <c r="H864" s="125">
        <f t="shared" ca="1" si="119"/>
        <v>0</v>
      </c>
      <c r="I864" s="126">
        <f t="shared" ca="1" si="120"/>
        <v>0</v>
      </c>
      <c r="J864" s="125">
        <f t="shared" ca="1" si="124"/>
        <v>0</v>
      </c>
      <c r="K864" s="151"/>
      <c r="L864" s="125">
        <f t="shared" ca="1" si="125"/>
        <v>0</v>
      </c>
      <c r="P864">
        <f t="shared" si="126"/>
        <v>857</v>
      </c>
      <c r="S864" s="126">
        <f t="shared" ca="1" si="121"/>
        <v>0</v>
      </c>
      <c r="T864" s="126">
        <f t="shared" ca="1" si="127"/>
        <v>0</v>
      </c>
    </row>
    <row r="865" spans="4:20">
      <c r="D865">
        <v>858</v>
      </c>
      <c r="E865" s="6">
        <f t="shared" ca="1" si="122"/>
        <v>26634</v>
      </c>
      <c r="F865" s="7">
        <f t="shared" ca="1" si="123"/>
        <v>0</v>
      </c>
      <c r="G865" s="125">
        <f ca="1">IF('Simulador - 1º Pilar'!$E$99="Sí",IF('Aportaciones Flex'!$B$13&lt;'Aportaciones Flex'!E865,0,F865*$B$8/12),F865*$B$8/12)</f>
        <v>0</v>
      </c>
      <c r="H865" s="125">
        <f t="shared" ca="1" si="119"/>
        <v>0</v>
      </c>
      <c r="I865" s="126">
        <f t="shared" ca="1" si="120"/>
        <v>0</v>
      </c>
      <c r="J865" s="125">
        <f t="shared" ca="1" si="124"/>
        <v>0</v>
      </c>
      <c r="K865" s="151"/>
      <c r="L865" s="125">
        <f t="shared" ca="1" si="125"/>
        <v>0</v>
      </c>
      <c r="P865">
        <f t="shared" si="126"/>
        <v>858</v>
      </c>
      <c r="S865" s="126">
        <f t="shared" ca="1" si="121"/>
        <v>0</v>
      </c>
      <c r="T865" s="126">
        <f t="shared" ca="1" si="127"/>
        <v>0</v>
      </c>
    </row>
    <row r="866" spans="4:20">
      <c r="D866">
        <v>859</v>
      </c>
      <c r="E866" s="6">
        <f t="shared" ca="1" si="122"/>
        <v>26604</v>
      </c>
      <c r="F866" s="7">
        <f t="shared" ca="1" si="123"/>
        <v>0</v>
      </c>
      <c r="G866" s="125">
        <f ca="1">IF('Simulador - 1º Pilar'!$E$99="Sí",IF('Aportaciones Flex'!$B$13&lt;'Aportaciones Flex'!E866,0,F866*$B$8/12),F866*$B$8/12)</f>
        <v>0</v>
      </c>
      <c r="H866" s="125">
        <f t="shared" ca="1" si="119"/>
        <v>0</v>
      </c>
      <c r="I866" s="126">
        <f t="shared" ca="1" si="120"/>
        <v>0</v>
      </c>
      <c r="J866" s="125">
        <f t="shared" ca="1" si="124"/>
        <v>0</v>
      </c>
      <c r="K866" s="151"/>
      <c r="L866" s="125">
        <f t="shared" ca="1" si="125"/>
        <v>0</v>
      </c>
      <c r="P866">
        <f t="shared" si="126"/>
        <v>859</v>
      </c>
      <c r="S866" s="126">
        <f t="shared" ca="1" si="121"/>
        <v>0</v>
      </c>
      <c r="T866" s="126">
        <f t="shared" ca="1" si="127"/>
        <v>0</v>
      </c>
    </row>
    <row r="867" spans="4:20">
      <c r="D867">
        <v>860</v>
      </c>
      <c r="E867" s="6">
        <f t="shared" ca="1" si="122"/>
        <v>26573</v>
      </c>
      <c r="F867" s="7">
        <f t="shared" ca="1" si="123"/>
        <v>0</v>
      </c>
      <c r="G867" s="125">
        <f ca="1">IF('Simulador - 1º Pilar'!$E$99="Sí",IF('Aportaciones Flex'!$B$13&lt;'Aportaciones Flex'!E867,0,F867*$B$8/12),F867*$B$8/12)</f>
        <v>0</v>
      </c>
      <c r="H867" s="125">
        <f t="shared" ca="1" si="119"/>
        <v>0</v>
      </c>
      <c r="I867" s="126">
        <f t="shared" ca="1" si="120"/>
        <v>0</v>
      </c>
      <c r="J867" s="125">
        <f t="shared" ca="1" si="124"/>
        <v>0</v>
      </c>
      <c r="K867" s="151"/>
      <c r="L867" s="125">
        <f t="shared" ca="1" si="125"/>
        <v>0</v>
      </c>
      <c r="P867">
        <f t="shared" si="126"/>
        <v>860</v>
      </c>
      <c r="S867" s="126">
        <f t="shared" ca="1" si="121"/>
        <v>0</v>
      </c>
      <c r="T867" s="126">
        <f t="shared" ca="1" si="127"/>
        <v>0</v>
      </c>
    </row>
    <row r="868" spans="4:20">
      <c r="D868">
        <v>861</v>
      </c>
      <c r="E868" s="6">
        <f t="shared" ca="1" si="122"/>
        <v>26543</v>
      </c>
      <c r="F868" s="7">
        <f t="shared" ca="1" si="123"/>
        <v>0</v>
      </c>
      <c r="G868" s="125">
        <f ca="1">IF('Simulador - 1º Pilar'!$E$99="Sí",IF('Aportaciones Flex'!$B$13&lt;'Aportaciones Flex'!E868,0,F868*$B$8/12),F868*$B$8/12)</f>
        <v>0</v>
      </c>
      <c r="H868" s="125">
        <f t="shared" ca="1" si="119"/>
        <v>0</v>
      </c>
      <c r="I868" s="126">
        <f t="shared" ca="1" si="120"/>
        <v>0</v>
      </c>
      <c r="J868" s="125">
        <f t="shared" ca="1" si="124"/>
        <v>0</v>
      </c>
      <c r="K868" s="151"/>
      <c r="L868" s="125">
        <f t="shared" ca="1" si="125"/>
        <v>0</v>
      </c>
      <c r="P868">
        <f t="shared" si="126"/>
        <v>861</v>
      </c>
      <c r="S868" s="126">
        <f t="shared" ca="1" si="121"/>
        <v>0</v>
      </c>
      <c r="T868" s="126">
        <f t="shared" ca="1" si="127"/>
        <v>0</v>
      </c>
    </row>
    <row r="869" spans="4:20">
      <c r="D869">
        <v>862</v>
      </c>
      <c r="E869" s="6">
        <f t="shared" ca="1" si="122"/>
        <v>26512</v>
      </c>
      <c r="F869" s="7">
        <f t="shared" ca="1" si="123"/>
        <v>0</v>
      </c>
      <c r="G869" s="125">
        <f ca="1">IF('Simulador - 1º Pilar'!$E$99="Sí",IF('Aportaciones Flex'!$B$13&lt;'Aportaciones Flex'!E869,0,F869*$B$8/12),F869*$B$8/12)</f>
        <v>0</v>
      </c>
      <c r="H869" s="125">
        <f t="shared" ca="1" si="119"/>
        <v>0</v>
      </c>
      <c r="I869" s="126">
        <f t="shared" ca="1" si="120"/>
        <v>0</v>
      </c>
      <c r="J869" s="125">
        <f t="shared" ca="1" si="124"/>
        <v>0</v>
      </c>
      <c r="K869" s="151"/>
      <c r="L869" s="125">
        <f t="shared" ca="1" si="125"/>
        <v>0</v>
      </c>
      <c r="P869">
        <f t="shared" si="126"/>
        <v>862</v>
      </c>
      <c r="S869" s="126">
        <f t="shared" ca="1" si="121"/>
        <v>0</v>
      </c>
      <c r="T869" s="126">
        <f t="shared" ca="1" si="127"/>
        <v>0</v>
      </c>
    </row>
    <row r="870" spans="4:20">
      <c r="D870">
        <v>863</v>
      </c>
      <c r="E870" s="6">
        <f t="shared" ca="1" si="122"/>
        <v>26481</v>
      </c>
      <c r="F870" s="7">
        <f t="shared" ca="1" si="123"/>
        <v>0</v>
      </c>
      <c r="G870" s="125">
        <f ca="1">IF('Simulador - 1º Pilar'!$E$99="Sí",IF('Aportaciones Flex'!$B$13&lt;'Aportaciones Flex'!E870,0,F870*$B$8/12),F870*$B$8/12)</f>
        <v>0</v>
      </c>
      <c r="H870" s="125">
        <f t="shared" ca="1" si="119"/>
        <v>0</v>
      </c>
      <c r="I870" s="126">
        <f t="shared" ca="1" si="120"/>
        <v>0</v>
      </c>
      <c r="J870" s="125">
        <f t="shared" ca="1" si="124"/>
        <v>0</v>
      </c>
      <c r="K870" s="151"/>
      <c r="L870" s="125">
        <f t="shared" ca="1" si="125"/>
        <v>0</v>
      </c>
      <c r="P870">
        <f t="shared" si="126"/>
        <v>863</v>
      </c>
      <c r="S870" s="126">
        <f t="shared" ca="1" si="121"/>
        <v>0</v>
      </c>
      <c r="T870" s="126">
        <f t="shared" ca="1" si="127"/>
        <v>0</v>
      </c>
    </row>
    <row r="871" spans="4:20">
      <c r="D871">
        <v>864</v>
      </c>
      <c r="E871" s="6">
        <f t="shared" ca="1" si="122"/>
        <v>26451</v>
      </c>
      <c r="F871" s="7">
        <f t="shared" ca="1" si="123"/>
        <v>0</v>
      </c>
      <c r="G871" s="125">
        <f ca="1">IF('Simulador - 1º Pilar'!$E$99="Sí",IF('Aportaciones Flex'!$B$13&lt;'Aportaciones Flex'!E871,0,F871*$B$8/12),F871*$B$8/12)</f>
        <v>0</v>
      </c>
      <c r="H871" s="125">
        <f t="shared" ca="1" si="119"/>
        <v>0</v>
      </c>
      <c r="I871" s="126">
        <f t="shared" ca="1" si="120"/>
        <v>0</v>
      </c>
      <c r="J871" s="125">
        <f t="shared" ca="1" si="124"/>
        <v>0</v>
      </c>
      <c r="K871" s="151"/>
      <c r="L871" s="125">
        <f t="shared" ca="1" si="125"/>
        <v>0</v>
      </c>
      <c r="P871">
        <f t="shared" si="126"/>
        <v>864</v>
      </c>
      <c r="S871" s="126">
        <f t="shared" ca="1" si="121"/>
        <v>0</v>
      </c>
      <c r="T871" s="126">
        <f t="shared" ca="1" si="127"/>
        <v>0</v>
      </c>
    </row>
    <row r="872" spans="4:20">
      <c r="D872">
        <v>865</v>
      </c>
      <c r="E872" s="6">
        <f t="shared" ca="1" si="122"/>
        <v>26420</v>
      </c>
      <c r="F872" s="7">
        <f t="shared" ca="1" si="123"/>
        <v>0</v>
      </c>
      <c r="G872" s="125">
        <f ca="1">IF('Simulador - 1º Pilar'!$E$99="Sí",IF('Aportaciones Flex'!$B$13&lt;'Aportaciones Flex'!E872,0,F872*$B$8/12),F872*$B$8/12)</f>
        <v>0</v>
      </c>
      <c r="H872" s="125">
        <f t="shared" ca="1" si="119"/>
        <v>0</v>
      </c>
      <c r="I872" s="126">
        <f t="shared" ca="1" si="120"/>
        <v>0</v>
      </c>
      <c r="J872" s="125">
        <f t="shared" ca="1" si="124"/>
        <v>0</v>
      </c>
      <c r="K872" s="151"/>
      <c r="L872" s="125">
        <f t="shared" ca="1" si="125"/>
        <v>0</v>
      </c>
      <c r="P872">
        <f t="shared" si="126"/>
        <v>865</v>
      </c>
      <c r="S872" s="126">
        <f t="shared" ca="1" si="121"/>
        <v>0</v>
      </c>
      <c r="T872" s="126">
        <f t="shared" ca="1" si="127"/>
        <v>0</v>
      </c>
    </row>
    <row r="873" spans="4:20">
      <c r="D873">
        <v>866</v>
      </c>
      <c r="E873" s="6">
        <f t="shared" ca="1" si="122"/>
        <v>26390</v>
      </c>
      <c r="F873" s="7">
        <f t="shared" ca="1" si="123"/>
        <v>0</v>
      </c>
      <c r="G873" s="125">
        <f ca="1">IF('Simulador - 1º Pilar'!$E$99="Sí",IF('Aportaciones Flex'!$B$13&lt;'Aportaciones Flex'!E873,0,F873*$B$8/12),F873*$B$8/12)</f>
        <v>0</v>
      </c>
      <c r="H873" s="125">
        <f t="shared" ca="1" si="119"/>
        <v>0</v>
      </c>
      <c r="I873" s="126">
        <f t="shared" ca="1" si="120"/>
        <v>0</v>
      </c>
      <c r="J873" s="125">
        <f t="shared" ca="1" si="124"/>
        <v>0</v>
      </c>
      <c r="K873" s="151"/>
      <c r="L873" s="125">
        <f t="shared" ca="1" si="125"/>
        <v>0</v>
      </c>
      <c r="P873">
        <f t="shared" si="126"/>
        <v>866</v>
      </c>
      <c r="S873" s="126">
        <f t="shared" ca="1" si="121"/>
        <v>0</v>
      </c>
      <c r="T873" s="126">
        <f t="shared" ca="1" si="127"/>
        <v>0</v>
      </c>
    </row>
    <row r="874" spans="4:20">
      <c r="D874">
        <v>867</v>
      </c>
      <c r="E874" s="6">
        <f t="shared" ca="1" si="122"/>
        <v>26359</v>
      </c>
      <c r="F874" s="7">
        <f t="shared" ca="1" si="123"/>
        <v>0</v>
      </c>
      <c r="G874" s="125">
        <f ca="1">IF('Simulador - 1º Pilar'!$E$99="Sí",IF('Aportaciones Flex'!$B$13&lt;'Aportaciones Flex'!E874,0,F874*$B$8/12),F874*$B$8/12)</f>
        <v>0</v>
      </c>
      <c r="H874" s="125">
        <f t="shared" ca="1" si="119"/>
        <v>0</v>
      </c>
      <c r="I874" s="126">
        <f t="shared" ca="1" si="120"/>
        <v>0</v>
      </c>
      <c r="J874" s="125">
        <f t="shared" ca="1" si="124"/>
        <v>0</v>
      </c>
      <c r="K874" s="151"/>
      <c r="L874" s="125">
        <f t="shared" ca="1" si="125"/>
        <v>0</v>
      </c>
      <c r="P874">
        <f t="shared" si="126"/>
        <v>867</v>
      </c>
      <c r="S874" s="126">
        <f t="shared" ca="1" si="121"/>
        <v>0</v>
      </c>
      <c r="T874" s="126">
        <f t="shared" ca="1" si="127"/>
        <v>0</v>
      </c>
    </row>
    <row r="875" spans="4:20">
      <c r="D875">
        <v>868</v>
      </c>
      <c r="E875" s="6">
        <f t="shared" ca="1" si="122"/>
        <v>26330</v>
      </c>
      <c r="F875" s="7">
        <f t="shared" ca="1" si="123"/>
        <v>0</v>
      </c>
      <c r="G875" s="125">
        <f ca="1">IF('Simulador - 1º Pilar'!$E$99="Sí",IF('Aportaciones Flex'!$B$13&lt;'Aportaciones Flex'!E875,0,F875*$B$8/12),F875*$B$8/12)</f>
        <v>0</v>
      </c>
      <c r="H875" s="125">
        <f t="shared" ca="1" si="119"/>
        <v>0</v>
      </c>
      <c r="I875" s="126">
        <f t="shared" ca="1" si="120"/>
        <v>0</v>
      </c>
      <c r="J875" s="125">
        <f t="shared" ca="1" si="124"/>
        <v>0</v>
      </c>
      <c r="K875" s="151"/>
      <c r="L875" s="125">
        <f t="shared" ca="1" si="125"/>
        <v>0</v>
      </c>
      <c r="P875">
        <f t="shared" si="126"/>
        <v>868</v>
      </c>
      <c r="S875" s="126">
        <f t="shared" ca="1" si="121"/>
        <v>0</v>
      </c>
      <c r="T875" s="126">
        <f t="shared" ca="1" si="127"/>
        <v>0</v>
      </c>
    </row>
    <row r="876" spans="4:20">
      <c r="D876">
        <v>869</v>
      </c>
      <c r="E876" s="6">
        <f t="shared" ca="1" si="122"/>
        <v>26299</v>
      </c>
      <c r="F876" s="7">
        <f t="shared" ca="1" si="123"/>
        <v>0</v>
      </c>
      <c r="G876" s="125">
        <f ca="1">IF('Simulador - 1º Pilar'!$E$99="Sí",IF('Aportaciones Flex'!$B$13&lt;'Aportaciones Flex'!E876,0,F876*$B$8/12),F876*$B$8/12)</f>
        <v>0</v>
      </c>
      <c r="H876" s="125">
        <f t="shared" ca="1" si="119"/>
        <v>0</v>
      </c>
      <c r="I876" s="126">
        <f t="shared" ca="1" si="120"/>
        <v>0</v>
      </c>
      <c r="J876" s="125">
        <f t="shared" ca="1" si="124"/>
        <v>0</v>
      </c>
      <c r="K876" s="151"/>
      <c r="L876" s="125">
        <f t="shared" ca="1" si="125"/>
        <v>0</v>
      </c>
      <c r="P876">
        <f t="shared" si="126"/>
        <v>869</v>
      </c>
      <c r="S876" s="126">
        <f t="shared" ca="1" si="121"/>
        <v>0</v>
      </c>
      <c r="T876" s="126">
        <f t="shared" ca="1" si="127"/>
        <v>0</v>
      </c>
    </row>
    <row r="877" spans="4:20">
      <c r="D877">
        <v>870</v>
      </c>
      <c r="E877" s="6">
        <f t="shared" ca="1" si="122"/>
        <v>26268</v>
      </c>
      <c r="F877" s="7">
        <f t="shared" ca="1" si="123"/>
        <v>0</v>
      </c>
      <c r="G877" s="125">
        <f ca="1">IF('Simulador - 1º Pilar'!$E$99="Sí",IF('Aportaciones Flex'!$B$13&lt;'Aportaciones Flex'!E877,0,F877*$B$8/12),F877*$B$8/12)</f>
        <v>0</v>
      </c>
      <c r="H877" s="125">
        <f t="shared" ca="1" si="119"/>
        <v>0</v>
      </c>
      <c r="I877" s="126">
        <f t="shared" ca="1" si="120"/>
        <v>0</v>
      </c>
      <c r="J877" s="125">
        <f t="shared" ca="1" si="124"/>
        <v>0</v>
      </c>
      <c r="K877" s="151"/>
      <c r="L877" s="125">
        <f t="shared" ca="1" si="125"/>
        <v>0</v>
      </c>
      <c r="P877">
        <f t="shared" si="126"/>
        <v>870</v>
      </c>
      <c r="S877" s="126">
        <f t="shared" ca="1" si="121"/>
        <v>0</v>
      </c>
      <c r="T877" s="126">
        <f t="shared" ca="1" si="127"/>
        <v>0</v>
      </c>
    </row>
    <row r="878" spans="4:20">
      <c r="D878">
        <v>871</v>
      </c>
      <c r="E878" s="6">
        <f t="shared" ca="1" si="122"/>
        <v>26238</v>
      </c>
      <c r="F878" s="7">
        <f t="shared" ca="1" si="123"/>
        <v>0</v>
      </c>
      <c r="G878" s="125">
        <f ca="1">IF('Simulador - 1º Pilar'!$E$99="Sí",IF('Aportaciones Flex'!$B$13&lt;'Aportaciones Flex'!E878,0,F878*$B$8/12),F878*$B$8/12)</f>
        <v>0</v>
      </c>
      <c r="H878" s="125">
        <f t="shared" ca="1" si="119"/>
        <v>0</v>
      </c>
      <c r="I878" s="126">
        <f t="shared" ca="1" si="120"/>
        <v>0</v>
      </c>
      <c r="J878" s="125">
        <f t="shared" ca="1" si="124"/>
        <v>0</v>
      </c>
      <c r="K878" s="151"/>
      <c r="L878" s="125">
        <f t="shared" ca="1" si="125"/>
        <v>0</v>
      </c>
      <c r="P878">
        <f t="shared" si="126"/>
        <v>871</v>
      </c>
      <c r="S878" s="126">
        <f t="shared" ca="1" si="121"/>
        <v>0</v>
      </c>
      <c r="T878" s="126">
        <f t="shared" ca="1" si="127"/>
        <v>0</v>
      </c>
    </row>
    <row r="879" spans="4:20">
      <c r="D879">
        <v>872</v>
      </c>
      <c r="E879" s="6">
        <f t="shared" ca="1" si="122"/>
        <v>26207</v>
      </c>
      <c r="F879" s="7">
        <f t="shared" ca="1" si="123"/>
        <v>0</v>
      </c>
      <c r="G879" s="125">
        <f ca="1">IF('Simulador - 1º Pilar'!$E$99="Sí",IF('Aportaciones Flex'!$B$13&lt;'Aportaciones Flex'!E879,0,F879*$B$8/12),F879*$B$8/12)</f>
        <v>0</v>
      </c>
      <c r="H879" s="125">
        <f t="shared" ca="1" si="119"/>
        <v>0</v>
      </c>
      <c r="I879" s="126">
        <f t="shared" ca="1" si="120"/>
        <v>0</v>
      </c>
      <c r="J879" s="125">
        <f t="shared" ca="1" si="124"/>
        <v>0</v>
      </c>
      <c r="K879" s="151"/>
      <c r="L879" s="125">
        <f t="shared" ca="1" si="125"/>
        <v>0</v>
      </c>
      <c r="P879">
        <f t="shared" si="126"/>
        <v>872</v>
      </c>
      <c r="S879" s="126">
        <f t="shared" ca="1" si="121"/>
        <v>0</v>
      </c>
      <c r="T879" s="126">
        <f t="shared" ca="1" si="127"/>
        <v>0</v>
      </c>
    </row>
    <row r="880" spans="4:20">
      <c r="D880">
        <v>873</v>
      </c>
      <c r="E880" s="6">
        <f t="shared" ca="1" si="122"/>
        <v>26177</v>
      </c>
      <c r="F880" s="7">
        <f t="shared" ca="1" si="123"/>
        <v>0</v>
      </c>
      <c r="G880" s="125">
        <f ca="1">IF('Simulador - 1º Pilar'!$E$99="Sí",IF('Aportaciones Flex'!$B$13&lt;'Aportaciones Flex'!E880,0,F880*$B$8/12),F880*$B$8/12)</f>
        <v>0</v>
      </c>
      <c r="H880" s="125">
        <f t="shared" ca="1" si="119"/>
        <v>0</v>
      </c>
      <c r="I880" s="126">
        <f t="shared" ca="1" si="120"/>
        <v>0</v>
      </c>
      <c r="J880" s="125">
        <f t="shared" ca="1" si="124"/>
        <v>0</v>
      </c>
      <c r="K880" s="151"/>
      <c r="L880" s="125">
        <f t="shared" ca="1" si="125"/>
        <v>0</v>
      </c>
      <c r="P880">
        <f t="shared" si="126"/>
        <v>873</v>
      </c>
      <c r="S880" s="126">
        <f t="shared" ca="1" si="121"/>
        <v>0</v>
      </c>
      <c r="T880" s="126">
        <f t="shared" ca="1" si="127"/>
        <v>0</v>
      </c>
    </row>
    <row r="881" spans="4:20">
      <c r="D881">
        <v>874</v>
      </c>
      <c r="E881" s="6">
        <f t="shared" ca="1" si="122"/>
        <v>26146</v>
      </c>
      <c r="F881" s="7">
        <f t="shared" ca="1" si="123"/>
        <v>0</v>
      </c>
      <c r="G881" s="125">
        <f ca="1">IF('Simulador - 1º Pilar'!$E$99="Sí",IF('Aportaciones Flex'!$B$13&lt;'Aportaciones Flex'!E881,0,F881*$B$8/12),F881*$B$8/12)</f>
        <v>0</v>
      </c>
      <c r="H881" s="125">
        <f t="shared" ca="1" si="119"/>
        <v>0</v>
      </c>
      <c r="I881" s="126">
        <f t="shared" ca="1" si="120"/>
        <v>0</v>
      </c>
      <c r="J881" s="125">
        <f t="shared" ca="1" si="124"/>
        <v>0</v>
      </c>
      <c r="K881" s="151"/>
      <c r="L881" s="125">
        <f t="shared" ca="1" si="125"/>
        <v>0</v>
      </c>
      <c r="P881">
        <f t="shared" si="126"/>
        <v>874</v>
      </c>
      <c r="S881" s="126">
        <f t="shared" ca="1" si="121"/>
        <v>0</v>
      </c>
      <c r="T881" s="126">
        <f t="shared" ca="1" si="127"/>
        <v>0</v>
      </c>
    </row>
    <row r="882" spans="4:20">
      <c r="D882">
        <v>875</v>
      </c>
      <c r="E882" s="6">
        <f t="shared" ca="1" si="122"/>
        <v>26115</v>
      </c>
      <c r="F882" s="7">
        <f t="shared" ca="1" si="123"/>
        <v>0</v>
      </c>
      <c r="G882" s="125">
        <f ca="1">IF('Simulador - 1º Pilar'!$E$99="Sí",IF('Aportaciones Flex'!$B$13&lt;'Aportaciones Flex'!E882,0,F882*$B$8/12),F882*$B$8/12)</f>
        <v>0</v>
      </c>
      <c r="H882" s="125">
        <f t="shared" ca="1" si="119"/>
        <v>0</v>
      </c>
      <c r="I882" s="126">
        <f t="shared" ca="1" si="120"/>
        <v>0</v>
      </c>
      <c r="J882" s="125">
        <f t="shared" ca="1" si="124"/>
        <v>0</v>
      </c>
      <c r="K882" s="151"/>
      <c r="L882" s="125">
        <f t="shared" ca="1" si="125"/>
        <v>0</v>
      </c>
      <c r="P882">
        <f t="shared" si="126"/>
        <v>875</v>
      </c>
      <c r="S882" s="126">
        <f t="shared" ca="1" si="121"/>
        <v>0</v>
      </c>
      <c r="T882" s="126">
        <f t="shared" ca="1" si="127"/>
        <v>0</v>
      </c>
    </row>
    <row r="883" spans="4:20">
      <c r="D883">
        <v>876</v>
      </c>
      <c r="E883" s="6">
        <f t="shared" ca="1" si="122"/>
        <v>26085</v>
      </c>
      <c r="F883" s="7">
        <f t="shared" ca="1" si="123"/>
        <v>0</v>
      </c>
      <c r="G883" s="125">
        <f ca="1">IF('Simulador - 1º Pilar'!$E$99="Sí",IF('Aportaciones Flex'!$B$13&lt;'Aportaciones Flex'!E883,0,F883*$B$8/12),F883*$B$8/12)</f>
        <v>0</v>
      </c>
      <c r="H883" s="125">
        <f t="shared" ca="1" si="119"/>
        <v>0</v>
      </c>
      <c r="I883" s="126">
        <f t="shared" ca="1" si="120"/>
        <v>0</v>
      </c>
      <c r="J883" s="125">
        <f t="shared" ca="1" si="124"/>
        <v>0</v>
      </c>
      <c r="K883" s="151"/>
      <c r="L883" s="125">
        <f t="shared" ca="1" si="125"/>
        <v>0</v>
      </c>
      <c r="P883">
        <f t="shared" si="126"/>
        <v>876</v>
      </c>
      <c r="S883" s="126">
        <f t="shared" ca="1" si="121"/>
        <v>0</v>
      </c>
      <c r="T883" s="126">
        <f t="shared" ca="1" si="127"/>
        <v>0</v>
      </c>
    </row>
    <row r="884" spans="4:20">
      <c r="D884">
        <v>877</v>
      </c>
      <c r="E884" s="6">
        <f t="shared" ca="1" si="122"/>
        <v>26054</v>
      </c>
      <c r="F884" s="7">
        <f t="shared" ca="1" si="123"/>
        <v>0</v>
      </c>
      <c r="G884" s="125">
        <f ca="1">IF('Simulador - 1º Pilar'!$E$99="Sí",IF('Aportaciones Flex'!$B$13&lt;'Aportaciones Flex'!E884,0,F884*$B$8/12),F884*$B$8/12)</f>
        <v>0</v>
      </c>
      <c r="H884" s="125">
        <f t="shared" ca="1" si="119"/>
        <v>0</v>
      </c>
      <c r="I884" s="126">
        <f t="shared" ca="1" si="120"/>
        <v>0</v>
      </c>
      <c r="J884" s="125">
        <f t="shared" ca="1" si="124"/>
        <v>0</v>
      </c>
      <c r="K884" s="151"/>
      <c r="L884" s="125">
        <f t="shared" ca="1" si="125"/>
        <v>0</v>
      </c>
      <c r="P884">
        <f t="shared" si="126"/>
        <v>877</v>
      </c>
      <c r="S884" s="126">
        <f t="shared" ca="1" si="121"/>
        <v>0</v>
      </c>
      <c r="T884" s="126">
        <f t="shared" ca="1" si="127"/>
        <v>0</v>
      </c>
    </row>
    <row r="885" spans="4:20">
      <c r="D885">
        <v>878</v>
      </c>
      <c r="E885" s="6">
        <f t="shared" ca="1" si="122"/>
        <v>26024</v>
      </c>
      <c r="F885" s="7">
        <f t="shared" ca="1" si="123"/>
        <v>0</v>
      </c>
      <c r="G885" s="125">
        <f ca="1">IF('Simulador - 1º Pilar'!$E$99="Sí",IF('Aportaciones Flex'!$B$13&lt;'Aportaciones Flex'!E885,0,F885*$B$8/12),F885*$B$8/12)</f>
        <v>0</v>
      </c>
      <c r="H885" s="125">
        <f t="shared" ca="1" si="119"/>
        <v>0</v>
      </c>
      <c r="I885" s="126">
        <f t="shared" ca="1" si="120"/>
        <v>0</v>
      </c>
      <c r="J885" s="125">
        <f t="shared" ca="1" si="124"/>
        <v>0</v>
      </c>
      <c r="K885" s="151"/>
      <c r="L885" s="125">
        <f t="shared" ca="1" si="125"/>
        <v>0</v>
      </c>
      <c r="P885">
        <f t="shared" si="126"/>
        <v>878</v>
      </c>
      <c r="S885" s="126">
        <f t="shared" ca="1" si="121"/>
        <v>0</v>
      </c>
      <c r="T885" s="126">
        <f t="shared" ca="1" si="127"/>
        <v>0</v>
      </c>
    </row>
    <row r="886" spans="4:20">
      <c r="D886">
        <v>879</v>
      </c>
      <c r="E886" s="6">
        <f t="shared" ca="1" si="122"/>
        <v>25993</v>
      </c>
      <c r="F886" s="7">
        <f t="shared" ca="1" si="123"/>
        <v>0</v>
      </c>
      <c r="G886" s="125">
        <f ca="1">IF('Simulador - 1º Pilar'!$E$99="Sí",IF('Aportaciones Flex'!$B$13&lt;'Aportaciones Flex'!E886,0,F886*$B$8/12),F886*$B$8/12)</f>
        <v>0</v>
      </c>
      <c r="H886" s="125">
        <f t="shared" ca="1" si="119"/>
        <v>0</v>
      </c>
      <c r="I886" s="126">
        <f t="shared" ca="1" si="120"/>
        <v>0</v>
      </c>
      <c r="J886" s="125">
        <f t="shared" ca="1" si="124"/>
        <v>0</v>
      </c>
      <c r="K886" s="151"/>
      <c r="L886" s="125">
        <f t="shared" ca="1" si="125"/>
        <v>0</v>
      </c>
      <c r="P886">
        <f t="shared" si="126"/>
        <v>879</v>
      </c>
      <c r="S886" s="126">
        <f t="shared" ca="1" si="121"/>
        <v>0</v>
      </c>
      <c r="T886" s="126">
        <f t="shared" ca="1" si="127"/>
        <v>0</v>
      </c>
    </row>
    <row r="887" spans="4:20">
      <c r="D887">
        <v>880</v>
      </c>
      <c r="E887" s="6">
        <f t="shared" ca="1" si="122"/>
        <v>25965</v>
      </c>
      <c r="F887" s="7">
        <f t="shared" ca="1" si="123"/>
        <v>0</v>
      </c>
      <c r="G887" s="125">
        <f ca="1">IF('Simulador - 1º Pilar'!$E$99="Sí",IF('Aportaciones Flex'!$B$13&lt;'Aportaciones Flex'!E887,0,F887*$B$8/12),F887*$B$8/12)</f>
        <v>0</v>
      </c>
      <c r="H887" s="125">
        <f t="shared" ca="1" si="119"/>
        <v>0</v>
      </c>
      <c r="I887" s="126">
        <f t="shared" ca="1" si="120"/>
        <v>0</v>
      </c>
      <c r="J887" s="125">
        <f t="shared" ca="1" si="124"/>
        <v>0</v>
      </c>
      <c r="K887" s="151"/>
      <c r="L887" s="125">
        <f t="shared" ca="1" si="125"/>
        <v>0</v>
      </c>
      <c r="P887">
        <f t="shared" si="126"/>
        <v>880</v>
      </c>
      <c r="S887" s="126">
        <f t="shared" ca="1" si="121"/>
        <v>0</v>
      </c>
      <c r="T887" s="126">
        <f t="shared" ca="1" si="127"/>
        <v>0</v>
      </c>
    </row>
    <row r="888" spans="4:20">
      <c r="D888">
        <v>881</v>
      </c>
      <c r="E888" s="6">
        <f t="shared" ca="1" si="122"/>
        <v>25934</v>
      </c>
      <c r="F888" s="7">
        <f t="shared" ca="1" si="123"/>
        <v>0</v>
      </c>
      <c r="G888" s="125">
        <f ca="1">IF('Simulador - 1º Pilar'!$E$99="Sí",IF('Aportaciones Flex'!$B$13&lt;'Aportaciones Flex'!E888,0,F888*$B$8/12),F888*$B$8/12)</f>
        <v>0</v>
      </c>
      <c r="H888" s="125">
        <f t="shared" ca="1" si="119"/>
        <v>0</v>
      </c>
      <c r="I888" s="126">
        <f t="shared" ca="1" si="120"/>
        <v>0</v>
      </c>
      <c r="J888" s="125">
        <f t="shared" ca="1" si="124"/>
        <v>0</v>
      </c>
      <c r="K888" s="151"/>
      <c r="L888" s="125">
        <f t="shared" ca="1" si="125"/>
        <v>0</v>
      </c>
      <c r="P888">
        <f t="shared" si="126"/>
        <v>881</v>
      </c>
      <c r="S888" s="126">
        <f t="shared" ca="1" si="121"/>
        <v>0</v>
      </c>
      <c r="T888" s="126">
        <f t="shared" ca="1" si="127"/>
        <v>0</v>
      </c>
    </row>
    <row r="889" spans="4:20">
      <c r="D889">
        <v>882</v>
      </c>
      <c r="E889" s="6">
        <f t="shared" ca="1" si="122"/>
        <v>25903</v>
      </c>
      <c r="F889" s="7">
        <f t="shared" ca="1" si="123"/>
        <v>0</v>
      </c>
      <c r="G889" s="125">
        <f ca="1">IF('Simulador - 1º Pilar'!$E$99="Sí",IF('Aportaciones Flex'!$B$13&lt;'Aportaciones Flex'!E889,0,F889*$B$8/12),F889*$B$8/12)</f>
        <v>0</v>
      </c>
      <c r="H889" s="125">
        <f t="shared" ca="1" si="119"/>
        <v>0</v>
      </c>
      <c r="I889" s="126">
        <f t="shared" ca="1" si="120"/>
        <v>0</v>
      </c>
      <c r="J889" s="125">
        <f t="shared" ca="1" si="124"/>
        <v>0</v>
      </c>
      <c r="K889" s="151"/>
      <c r="L889" s="125">
        <f t="shared" ca="1" si="125"/>
        <v>0</v>
      </c>
      <c r="P889">
        <f t="shared" si="126"/>
        <v>882</v>
      </c>
      <c r="S889" s="126">
        <f t="shared" ca="1" si="121"/>
        <v>0</v>
      </c>
      <c r="T889" s="126">
        <f t="shared" ca="1" si="127"/>
        <v>0</v>
      </c>
    </row>
    <row r="890" spans="4:20">
      <c r="D890">
        <v>883</v>
      </c>
      <c r="E890" s="6">
        <f t="shared" ca="1" si="122"/>
        <v>25873</v>
      </c>
      <c r="F890" s="7">
        <f t="shared" ca="1" si="123"/>
        <v>0</v>
      </c>
      <c r="G890" s="125">
        <f ca="1">IF('Simulador - 1º Pilar'!$E$99="Sí",IF('Aportaciones Flex'!$B$13&lt;'Aportaciones Flex'!E890,0,F890*$B$8/12),F890*$B$8/12)</f>
        <v>0</v>
      </c>
      <c r="H890" s="125">
        <f t="shared" ca="1" si="119"/>
        <v>0</v>
      </c>
      <c r="I890" s="126">
        <f t="shared" ca="1" si="120"/>
        <v>0</v>
      </c>
      <c r="J890" s="125">
        <f t="shared" ca="1" si="124"/>
        <v>0</v>
      </c>
      <c r="K890" s="151"/>
      <c r="L890" s="125">
        <f t="shared" ca="1" si="125"/>
        <v>0</v>
      </c>
      <c r="P890">
        <f t="shared" si="126"/>
        <v>883</v>
      </c>
      <c r="S890" s="126">
        <f t="shared" ca="1" si="121"/>
        <v>0</v>
      </c>
      <c r="T890" s="126">
        <f t="shared" ca="1" si="127"/>
        <v>0</v>
      </c>
    </row>
    <row r="891" spans="4:20">
      <c r="D891">
        <v>884</v>
      </c>
      <c r="E891" s="6">
        <f t="shared" ca="1" si="122"/>
        <v>25842</v>
      </c>
      <c r="F891" s="7">
        <f t="shared" ca="1" si="123"/>
        <v>0</v>
      </c>
      <c r="G891" s="125">
        <f ca="1">IF('Simulador - 1º Pilar'!$E$99="Sí",IF('Aportaciones Flex'!$B$13&lt;'Aportaciones Flex'!E891,0,F891*$B$8/12),F891*$B$8/12)</f>
        <v>0</v>
      </c>
      <c r="H891" s="125">
        <f t="shared" ca="1" si="119"/>
        <v>0</v>
      </c>
      <c r="I891" s="126">
        <f t="shared" ca="1" si="120"/>
        <v>0</v>
      </c>
      <c r="J891" s="125">
        <f t="shared" ca="1" si="124"/>
        <v>0</v>
      </c>
      <c r="K891" s="151"/>
      <c r="L891" s="125">
        <f t="shared" ca="1" si="125"/>
        <v>0</v>
      </c>
      <c r="P891">
        <f t="shared" si="126"/>
        <v>884</v>
      </c>
      <c r="S891" s="126">
        <f t="shared" ca="1" si="121"/>
        <v>0</v>
      </c>
      <c r="T891" s="126">
        <f t="shared" ca="1" si="127"/>
        <v>0</v>
      </c>
    </row>
    <row r="892" spans="4:20">
      <c r="D892">
        <v>885</v>
      </c>
      <c r="E892" s="6">
        <f t="shared" ca="1" si="122"/>
        <v>25812</v>
      </c>
      <c r="F892" s="7">
        <f t="shared" ca="1" si="123"/>
        <v>0</v>
      </c>
      <c r="G892" s="125">
        <f ca="1">IF('Simulador - 1º Pilar'!$E$99="Sí",IF('Aportaciones Flex'!$B$13&lt;'Aportaciones Flex'!E892,0,F892*$B$8/12),F892*$B$8/12)</f>
        <v>0</v>
      </c>
      <c r="H892" s="125">
        <f t="shared" ca="1" si="119"/>
        <v>0</v>
      </c>
      <c r="I892" s="126">
        <f t="shared" ca="1" si="120"/>
        <v>0</v>
      </c>
      <c r="J892" s="125">
        <f t="shared" ca="1" si="124"/>
        <v>0</v>
      </c>
      <c r="K892" s="151"/>
      <c r="L892" s="125">
        <f t="shared" ca="1" si="125"/>
        <v>0</v>
      </c>
      <c r="P892">
        <f t="shared" si="126"/>
        <v>885</v>
      </c>
      <c r="S892" s="126">
        <f t="shared" ca="1" si="121"/>
        <v>0</v>
      </c>
      <c r="T892" s="126">
        <f t="shared" ca="1" si="127"/>
        <v>0</v>
      </c>
    </row>
    <row r="893" spans="4:20">
      <c r="D893">
        <v>886</v>
      </c>
      <c r="E893" s="6">
        <f t="shared" ca="1" si="122"/>
        <v>25781</v>
      </c>
      <c r="F893" s="7">
        <f t="shared" ca="1" si="123"/>
        <v>0</v>
      </c>
      <c r="G893" s="125">
        <f ca="1">IF('Simulador - 1º Pilar'!$E$99="Sí",IF('Aportaciones Flex'!$B$13&lt;'Aportaciones Flex'!E893,0,F893*$B$8/12),F893*$B$8/12)</f>
        <v>0</v>
      </c>
      <c r="H893" s="125">
        <f t="shared" ca="1" si="119"/>
        <v>0</v>
      </c>
      <c r="I893" s="126">
        <f t="shared" ca="1" si="120"/>
        <v>0</v>
      </c>
      <c r="J893" s="125">
        <f t="shared" ca="1" si="124"/>
        <v>0</v>
      </c>
      <c r="K893" s="151"/>
      <c r="L893" s="125">
        <f t="shared" ca="1" si="125"/>
        <v>0</v>
      </c>
      <c r="P893">
        <f t="shared" si="126"/>
        <v>886</v>
      </c>
      <c r="S893" s="126">
        <f t="shared" ca="1" si="121"/>
        <v>0</v>
      </c>
      <c r="T893" s="126">
        <f t="shared" ca="1" si="127"/>
        <v>0</v>
      </c>
    </row>
    <row r="894" spans="4:20">
      <c r="D894">
        <v>887</v>
      </c>
      <c r="E894" s="6">
        <f t="shared" ca="1" si="122"/>
        <v>25750</v>
      </c>
      <c r="F894" s="7">
        <f t="shared" ca="1" si="123"/>
        <v>0</v>
      </c>
      <c r="G894" s="125">
        <f ca="1">IF('Simulador - 1º Pilar'!$E$99="Sí",IF('Aportaciones Flex'!$B$13&lt;'Aportaciones Flex'!E894,0,F894*$B$8/12),F894*$B$8/12)</f>
        <v>0</v>
      </c>
      <c r="H894" s="125">
        <f t="shared" ca="1" si="119"/>
        <v>0</v>
      </c>
      <c r="I894" s="126">
        <f t="shared" ca="1" si="120"/>
        <v>0</v>
      </c>
      <c r="J894" s="125">
        <f t="shared" ca="1" si="124"/>
        <v>0</v>
      </c>
      <c r="K894" s="151"/>
      <c r="L894" s="125">
        <f t="shared" ca="1" si="125"/>
        <v>0</v>
      </c>
      <c r="P894">
        <f t="shared" si="126"/>
        <v>887</v>
      </c>
      <c r="S894" s="126">
        <f t="shared" ca="1" si="121"/>
        <v>0</v>
      </c>
      <c r="T894" s="126">
        <f t="shared" ca="1" si="127"/>
        <v>0</v>
      </c>
    </row>
    <row r="895" spans="4:20">
      <c r="D895">
        <v>888</v>
      </c>
      <c r="E895" s="6">
        <f t="shared" ca="1" si="122"/>
        <v>25720</v>
      </c>
      <c r="F895" s="7">
        <f t="shared" ca="1" si="123"/>
        <v>0</v>
      </c>
      <c r="G895" s="125">
        <f ca="1">IF('Simulador - 1º Pilar'!$E$99="Sí",IF('Aportaciones Flex'!$B$13&lt;'Aportaciones Flex'!E895,0,F895*$B$8/12),F895*$B$8/12)</f>
        <v>0</v>
      </c>
      <c r="H895" s="125">
        <f t="shared" ca="1" si="119"/>
        <v>0</v>
      </c>
      <c r="I895" s="126">
        <f t="shared" ca="1" si="120"/>
        <v>0</v>
      </c>
      <c r="J895" s="125">
        <f t="shared" ca="1" si="124"/>
        <v>0</v>
      </c>
      <c r="K895" s="151"/>
      <c r="L895" s="125">
        <f t="shared" ca="1" si="125"/>
        <v>0</v>
      </c>
      <c r="P895">
        <f t="shared" si="126"/>
        <v>888</v>
      </c>
      <c r="S895" s="126">
        <f t="shared" ca="1" si="121"/>
        <v>0</v>
      </c>
      <c r="T895" s="126">
        <f t="shared" ca="1" si="127"/>
        <v>0</v>
      </c>
    </row>
    <row r="896" spans="4:20">
      <c r="D896">
        <v>889</v>
      </c>
      <c r="E896" s="6">
        <f t="shared" ca="1" si="122"/>
        <v>25689</v>
      </c>
      <c r="F896" s="7">
        <f t="shared" ca="1" si="123"/>
        <v>0</v>
      </c>
      <c r="G896" s="125">
        <f ca="1">IF('Simulador - 1º Pilar'!$E$99="Sí",IF('Aportaciones Flex'!$B$13&lt;'Aportaciones Flex'!E896,0,F896*$B$8/12),F896*$B$8/12)</f>
        <v>0</v>
      </c>
      <c r="H896" s="125">
        <f t="shared" ca="1" si="119"/>
        <v>0</v>
      </c>
      <c r="I896" s="126">
        <f t="shared" ca="1" si="120"/>
        <v>0</v>
      </c>
      <c r="J896" s="125">
        <f t="shared" ca="1" si="124"/>
        <v>0</v>
      </c>
      <c r="K896" s="151"/>
      <c r="L896" s="125">
        <f t="shared" ca="1" si="125"/>
        <v>0</v>
      </c>
      <c r="P896">
        <f t="shared" si="126"/>
        <v>889</v>
      </c>
      <c r="S896" s="126">
        <f t="shared" ca="1" si="121"/>
        <v>0</v>
      </c>
      <c r="T896" s="126">
        <f t="shared" ca="1" si="127"/>
        <v>0</v>
      </c>
    </row>
    <row r="897" spans="4:20">
      <c r="D897">
        <v>890</v>
      </c>
      <c r="E897" s="6">
        <f t="shared" ca="1" si="122"/>
        <v>25659</v>
      </c>
      <c r="F897" s="7">
        <f t="shared" ca="1" si="123"/>
        <v>0</v>
      </c>
      <c r="G897" s="125">
        <f ca="1">IF('Simulador - 1º Pilar'!$E$99="Sí",IF('Aportaciones Flex'!$B$13&lt;'Aportaciones Flex'!E897,0,F897*$B$8/12),F897*$B$8/12)</f>
        <v>0</v>
      </c>
      <c r="H897" s="125">
        <f t="shared" ca="1" si="119"/>
        <v>0</v>
      </c>
      <c r="I897" s="126">
        <f t="shared" ca="1" si="120"/>
        <v>0</v>
      </c>
      <c r="J897" s="125">
        <f t="shared" ca="1" si="124"/>
        <v>0</v>
      </c>
      <c r="K897" s="151"/>
      <c r="L897" s="125">
        <f t="shared" ca="1" si="125"/>
        <v>0</v>
      </c>
      <c r="P897">
        <f t="shared" si="126"/>
        <v>890</v>
      </c>
      <c r="S897" s="126">
        <f t="shared" ca="1" si="121"/>
        <v>0</v>
      </c>
      <c r="T897" s="126">
        <f t="shared" ca="1" si="127"/>
        <v>0</v>
      </c>
    </row>
    <row r="898" spans="4:20">
      <c r="D898">
        <v>891</v>
      </c>
      <c r="E898" s="6">
        <f t="shared" ca="1" si="122"/>
        <v>25628</v>
      </c>
      <c r="F898" s="7">
        <f t="shared" ca="1" si="123"/>
        <v>0</v>
      </c>
      <c r="G898" s="125">
        <f ca="1">IF('Simulador - 1º Pilar'!$E$99="Sí",IF('Aportaciones Flex'!$B$13&lt;'Aportaciones Flex'!E898,0,F898*$B$8/12),F898*$B$8/12)</f>
        <v>0</v>
      </c>
      <c r="H898" s="125">
        <f t="shared" ref="H898:H961" ca="1" si="128">IF(G898&gt;0,1,0)*$H$5*IF(AND($I$5="NO",YEAR(E898)=YEAR($B$6)+1),1,IF($I$5="SI",1,0))</f>
        <v>0</v>
      </c>
      <c r="I898" s="126">
        <f t="shared" ca="1" si="120"/>
        <v>0</v>
      </c>
      <c r="J898" s="125">
        <f t="shared" ca="1" si="124"/>
        <v>0</v>
      </c>
      <c r="K898" s="151"/>
      <c r="L898" s="125">
        <f t="shared" ca="1" si="125"/>
        <v>0</v>
      </c>
      <c r="P898">
        <f t="shared" si="126"/>
        <v>891</v>
      </c>
      <c r="S898" s="126">
        <f t="shared" ca="1" si="121"/>
        <v>0</v>
      </c>
      <c r="T898" s="126">
        <f t="shared" ca="1" si="127"/>
        <v>0</v>
      </c>
    </row>
    <row r="899" spans="4:20">
      <c r="D899">
        <v>892</v>
      </c>
      <c r="E899" s="6">
        <f t="shared" ca="1" si="122"/>
        <v>25600</v>
      </c>
      <c r="F899" s="7">
        <f t="shared" ca="1" si="123"/>
        <v>0</v>
      </c>
      <c r="G899" s="125">
        <f ca="1">IF('Simulador - 1º Pilar'!$E$99="Sí",IF('Aportaciones Flex'!$B$13&lt;'Aportaciones Flex'!E899,0,F899*$B$8/12),F899*$B$8/12)</f>
        <v>0</v>
      </c>
      <c r="H899" s="125">
        <f t="shared" ca="1" si="128"/>
        <v>0</v>
      </c>
      <c r="I899" s="126">
        <f t="shared" ca="1" si="120"/>
        <v>0</v>
      </c>
      <c r="J899" s="125">
        <f t="shared" ca="1" si="124"/>
        <v>0</v>
      </c>
      <c r="K899" s="151"/>
      <c r="L899" s="125">
        <f t="shared" ca="1" si="125"/>
        <v>0</v>
      </c>
      <c r="P899">
        <f t="shared" si="126"/>
        <v>892</v>
      </c>
      <c r="S899" s="126">
        <f t="shared" ca="1" si="121"/>
        <v>0</v>
      </c>
      <c r="T899" s="126">
        <f t="shared" ca="1" si="127"/>
        <v>0</v>
      </c>
    </row>
    <row r="900" spans="4:20">
      <c r="D900">
        <v>893</v>
      </c>
      <c r="E900" s="6">
        <f t="shared" ca="1" si="122"/>
        <v>25569</v>
      </c>
      <c r="F900" s="7">
        <f t="shared" ca="1" si="123"/>
        <v>0</v>
      </c>
      <c r="G900" s="125">
        <f ca="1">IF('Simulador - 1º Pilar'!$E$99="Sí",IF('Aportaciones Flex'!$B$13&lt;'Aportaciones Flex'!E900,0,F900*$B$8/12),F900*$B$8/12)</f>
        <v>0</v>
      </c>
      <c r="H900" s="125">
        <f t="shared" ca="1" si="128"/>
        <v>0</v>
      </c>
      <c r="I900" s="126">
        <f t="shared" ca="1" si="120"/>
        <v>0</v>
      </c>
      <c r="J900" s="125">
        <f t="shared" ca="1" si="124"/>
        <v>0</v>
      </c>
      <c r="K900" s="151"/>
      <c r="L900" s="125">
        <f t="shared" ca="1" si="125"/>
        <v>0</v>
      </c>
      <c r="P900">
        <f t="shared" si="126"/>
        <v>893</v>
      </c>
      <c r="S900" s="126">
        <f t="shared" ca="1" si="121"/>
        <v>0</v>
      </c>
      <c r="T900" s="126">
        <f t="shared" ca="1" si="127"/>
        <v>0</v>
      </c>
    </row>
    <row r="901" spans="4:20">
      <c r="D901">
        <v>894</v>
      </c>
      <c r="E901" s="6">
        <f t="shared" ca="1" si="122"/>
        <v>25538</v>
      </c>
      <c r="F901" s="7">
        <f t="shared" ca="1" si="123"/>
        <v>0</v>
      </c>
      <c r="G901" s="125">
        <f ca="1">IF('Simulador - 1º Pilar'!$E$99="Sí",IF('Aportaciones Flex'!$B$13&lt;'Aportaciones Flex'!E901,0,F901*$B$8/12),F901*$B$8/12)</f>
        <v>0</v>
      </c>
      <c r="H901" s="125">
        <f t="shared" ca="1" si="128"/>
        <v>0</v>
      </c>
      <c r="I901" s="126">
        <f t="shared" ca="1" si="120"/>
        <v>0</v>
      </c>
      <c r="J901" s="125">
        <f t="shared" ca="1" si="124"/>
        <v>0</v>
      </c>
      <c r="K901" s="151"/>
      <c r="L901" s="125">
        <f t="shared" ca="1" si="125"/>
        <v>0</v>
      </c>
      <c r="P901">
        <f t="shared" si="126"/>
        <v>894</v>
      </c>
      <c r="S901" s="126">
        <f t="shared" ca="1" si="121"/>
        <v>0</v>
      </c>
      <c r="T901" s="126">
        <f t="shared" ca="1" si="127"/>
        <v>0</v>
      </c>
    </row>
    <row r="902" spans="4:20">
      <c r="D902">
        <v>895</v>
      </c>
      <c r="E902" s="6">
        <f t="shared" ca="1" si="122"/>
        <v>25508</v>
      </c>
      <c r="F902" s="7">
        <f t="shared" ca="1" si="123"/>
        <v>0</v>
      </c>
      <c r="G902" s="125">
        <f ca="1">IF('Simulador - 1º Pilar'!$E$99="Sí",IF('Aportaciones Flex'!$B$13&lt;'Aportaciones Flex'!E902,0,F902*$B$8/12),F902*$B$8/12)</f>
        <v>0</v>
      </c>
      <c r="H902" s="125">
        <f t="shared" ca="1" si="128"/>
        <v>0</v>
      </c>
      <c r="I902" s="126">
        <f t="shared" ca="1" si="120"/>
        <v>0</v>
      </c>
      <c r="J902" s="125">
        <f t="shared" ca="1" si="124"/>
        <v>0</v>
      </c>
      <c r="K902" s="151"/>
      <c r="L902" s="125">
        <f t="shared" ca="1" si="125"/>
        <v>0</v>
      </c>
      <c r="P902">
        <f t="shared" si="126"/>
        <v>895</v>
      </c>
      <c r="S902" s="126">
        <f t="shared" ca="1" si="121"/>
        <v>0</v>
      </c>
      <c r="T902" s="126">
        <f t="shared" ca="1" si="127"/>
        <v>0</v>
      </c>
    </row>
    <row r="903" spans="4:20">
      <c r="D903">
        <v>896</v>
      </c>
      <c r="E903" s="6">
        <f t="shared" ca="1" si="122"/>
        <v>25477</v>
      </c>
      <c r="F903" s="7">
        <f t="shared" ca="1" si="123"/>
        <v>0</v>
      </c>
      <c r="G903" s="125">
        <f ca="1">IF('Simulador - 1º Pilar'!$E$99="Sí",IF('Aportaciones Flex'!$B$13&lt;'Aportaciones Flex'!E903,0,F903*$B$8/12),F903*$B$8/12)</f>
        <v>0</v>
      </c>
      <c r="H903" s="125">
        <f t="shared" ca="1" si="128"/>
        <v>0</v>
      </c>
      <c r="I903" s="126">
        <f t="shared" ref="I903:I966" ca="1" si="129">(1+$M$5)^(D903/12)*(H903*(12-IF(MONTH(E904)=12,0,MONTH(E904)))+IF(AND(F903=1,F904=0),$Q$4,0))*IF(AND(F903=1,F904=0),1,0)</f>
        <v>0</v>
      </c>
      <c r="J903" s="125">
        <f t="shared" ca="1" si="124"/>
        <v>0</v>
      </c>
      <c r="K903" s="151"/>
      <c r="L903" s="125">
        <f t="shared" ca="1" si="125"/>
        <v>0</v>
      </c>
      <c r="P903">
        <f t="shared" si="126"/>
        <v>896</v>
      </c>
      <c r="S903" s="126">
        <f t="shared" ref="S903:S966" ca="1" si="130">(1+$M$5)^(D903/12)*(IF(E903=$C$6,$Q$4+$H$5*12,0))</f>
        <v>0</v>
      </c>
      <c r="T903" s="126">
        <f t="shared" ca="1" si="127"/>
        <v>0</v>
      </c>
    </row>
    <row r="904" spans="4:20">
      <c r="D904">
        <v>897</v>
      </c>
      <c r="E904" s="6">
        <f t="shared" ref="E904:E967" ca="1" si="131">+DATE(YEAR(E903),MONTH(E903)-1,DAY(E903))</f>
        <v>25447</v>
      </c>
      <c r="F904" s="7">
        <f t="shared" ref="F904:F967" ca="1" si="132">IF(DATE(YEAR($B$6),MONTH($B$6)+1,DAY(1))=E904,1,IF(MONTH(E904)=1,F905*(1+$F$5),F905))</f>
        <v>0</v>
      </c>
      <c r="G904" s="125">
        <f ca="1">IF('Simulador - 1º Pilar'!$E$99="Sí",IF('Aportaciones Flex'!$B$13&lt;'Aportaciones Flex'!E904,0,F904*$B$8/12),F904*$B$8/12)</f>
        <v>0</v>
      </c>
      <c r="H904" s="125">
        <f t="shared" ca="1" si="128"/>
        <v>0</v>
      </c>
      <c r="I904" s="126">
        <f t="shared" ca="1" si="129"/>
        <v>0</v>
      </c>
      <c r="J904" s="125">
        <f t="shared" ref="J904:J967" ca="1" si="133">(1+$M$5)^(D904/12)*(H904+IF(AND(F904=1,F905=0),$Q$4,0))</f>
        <v>0</v>
      </c>
      <c r="K904" s="151"/>
      <c r="L904" s="125">
        <f t="shared" ref="L904:L967" ca="1" si="134">K904+J904</f>
        <v>0</v>
      </c>
      <c r="P904">
        <f t="shared" ref="P904:P967" si="135">D904</f>
        <v>897</v>
      </c>
      <c r="S904" s="126">
        <f t="shared" ca="1" si="130"/>
        <v>0</v>
      </c>
      <c r="T904" s="126">
        <f t="shared" ref="T904:T967" ca="1" si="136">(1+$M$5)^(D904/12)*(IF(YEAR(E904)&gt;YEAR($C$6),L904,0)+IF(E904=$C$6,$H$5*12+$Q$4,0))</f>
        <v>0</v>
      </c>
    </row>
    <row r="905" spans="4:20">
      <c r="D905">
        <v>898</v>
      </c>
      <c r="E905" s="6">
        <f t="shared" ca="1" si="131"/>
        <v>25416</v>
      </c>
      <c r="F905" s="7">
        <f t="shared" ca="1" si="132"/>
        <v>0</v>
      </c>
      <c r="G905" s="125">
        <f ca="1">IF('Simulador - 1º Pilar'!$E$99="Sí",IF('Aportaciones Flex'!$B$13&lt;'Aportaciones Flex'!E905,0,F905*$B$8/12),F905*$B$8/12)</f>
        <v>0</v>
      </c>
      <c r="H905" s="125">
        <f t="shared" ca="1" si="128"/>
        <v>0</v>
      </c>
      <c r="I905" s="126">
        <f t="shared" ca="1" si="129"/>
        <v>0</v>
      </c>
      <c r="J905" s="125">
        <f t="shared" ca="1" si="133"/>
        <v>0</v>
      </c>
      <c r="K905" s="151"/>
      <c r="L905" s="125">
        <f t="shared" ca="1" si="134"/>
        <v>0</v>
      </c>
      <c r="P905">
        <f t="shared" si="135"/>
        <v>898</v>
      </c>
      <c r="S905" s="126">
        <f t="shared" ca="1" si="130"/>
        <v>0</v>
      </c>
      <c r="T905" s="126">
        <f t="shared" ca="1" si="136"/>
        <v>0</v>
      </c>
    </row>
    <row r="906" spans="4:20">
      <c r="D906">
        <v>899</v>
      </c>
      <c r="E906" s="6">
        <f t="shared" ca="1" si="131"/>
        <v>25385</v>
      </c>
      <c r="F906" s="7">
        <f t="shared" ca="1" si="132"/>
        <v>0</v>
      </c>
      <c r="G906" s="125">
        <f ca="1">IF('Simulador - 1º Pilar'!$E$99="Sí",IF('Aportaciones Flex'!$B$13&lt;'Aportaciones Flex'!E906,0,F906*$B$8/12),F906*$B$8/12)</f>
        <v>0</v>
      </c>
      <c r="H906" s="125">
        <f t="shared" ca="1" si="128"/>
        <v>0</v>
      </c>
      <c r="I906" s="126">
        <f t="shared" ca="1" si="129"/>
        <v>0</v>
      </c>
      <c r="J906" s="125">
        <f t="shared" ca="1" si="133"/>
        <v>0</v>
      </c>
      <c r="K906" s="151"/>
      <c r="L906" s="125">
        <f t="shared" ca="1" si="134"/>
        <v>0</v>
      </c>
      <c r="P906">
        <f t="shared" si="135"/>
        <v>899</v>
      </c>
      <c r="S906" s="126">
        <f t="shared" ca="1" si="130"/>
        <v>0</v>
      </c>
      <c r="T906" s="126">
        <f t="shared" ca="1" si="136"/>
        <v>0</v>
      </c>
    </row>
    <row r="907" spans="4:20">
      <c r="D907">
        <v>900</v>
      </c>
      <c r="E907" s="6">
        <f t="shared" ca="1" si="131"/>
        <v>25355</v>
      </c>
      <c r="F907" s="7">
        <f t="shared" ca="1" si="132"/>
        <v>0</v>
      </c>
      <c r="G907" s="125">
        <f ca="1">IF('Simulador - 1º Pilar'!$E$99="Sí",IF('Aportaciones Flex'!$B$13&lt;'Aportaciones Flex'!E907,0,F907*$B$8/12),F907*$B$8/12)</f>
        <v>0</v>
      </c>
      <c r="H907" s="125">
        <f t="shared" ca="1" si="128"/>
        <v>0</v>
      </c>
      <c r="I907" s="126">
        <f t="shared" ca="1" si="129"/>
        <v>0</v>
      </c>
      <c r="J907" s="125">
        <f t="shared" ca="1" si="133"/>
        <v>0</v>
      </c>
      <c r="K907" s="151"/>
      <c r="L907" s="125">
        <f t="shared" ca="1" si="134"/>
        <v>0</v>
      </c>
      <c r="P907">
        <f t="shared" si="135"/>
        <v>900</v>
      </c>
      <c r="S907" s="126">
        <f t="shared" ca="1" si="130"/>
        <v>0</v>
      </c>
      <c r="T907" s="126">
        <f t="shared" ca="1" si="136"/>
        <v>0</v>
      </c>
    </row>
    <row r="908" spans="4:20">
      <c r="D908">
        <v>901</v>
      </c>
      <c r="E908" s="6">
        <f t="shared" ca="1" si="131"/>
        <v>25324</v>
      </c>
      <c r="F908" s="7">
        <f t="shared" ca="1" si="132"/>
        <v>0</v>
      </c>
      <c r="G908" s="125">
        <f ca="1">IF('Simulador - 1º Pilar'!$E$99="Sí",IF('Aportaciones Flex'!$B$13&lt;'Aportaciones Flex'!E908,0,F908*$B$8/12),F908*$B$8/12)</f>
        <v>0</v>
      </c>
      <c r="H908" s="125">
        <f t="shared" ca="1" si="128"/>
        <v>0</v>
      </c>
      <c r="I908" s="126">
        <f t="shared" ca="1" si="129"/>
        <v>0</v>
      </c>
      <c r="J908" s="125">
        <f t="shared" ca="1" si="133"/>
        <v>0</v>
      </c>
      <c r="K908" s="151"/>
      <c r="L908" s="125">
        <f t="shared" ca="1" si="134"/>
        <v>0</v>
      </c>
      <c r="P908">
        <f t="shared" si="135"/>
        <v>901</v>
      </c>
      <c r="S908" s="126">
        <f t="shared" ca="1" si="130"/>
        <v>0</v>
      </c>
      <c r="T908" s="126">
        <f t="shared" ca="1" si="136"/>
        <v>0</v>
      </c>
    </row>
    <row r="909" spans="4:20">
      <c r="D909">
        <v>902</v>
      </c>
      <c r="E909" s="6">
        <f t="shared" ca="1" si="131"/>
        <v>25294</v>
      </c>
      <c r="F909" s="7">
        <f t="shared" ca="1" si="132"/>
        <v>0</v>
      </c>
      <c r="G909" s="125">
        <f ca="1">IF('Simulador - 1º Pilar'!$E$99="Sí",IF('Aportaciones Flex'!$B$13&lt;'Aportaciones Flex'!E909,0,F909*$B$8/12),F909*$B$8/12)</f>
        <v>0</v>
      </c>
      <c r="H909" s="125">
        <f t="shared" ca="1" si="128"/>
        <v>0</v>
      </c>
      <c r="I909" s="126">
        <f t="shared" ca="1" si="129"/>
        <v>0</v>
      </c>
      <c r="J909" s="125">
        <f t="shared" ca="1" si="133"/>
        <v>0</v>
      </c>
      <c r="K909" s="151"/>
      <c r="L909" s="125">
        <f t="shared" ca="1" si="134"/>
        <v>0</v>
      </c>
      <c r="P909">
        <f t="shared" si="135"/>
        <v>902</v>
      </c>
      <c r="S909" s="126">
        <f t="shared" ca="1" si="130"/>
        <v>0</v>
      </c>
      <c r="T909" s="126">
        <f t="shared" ca="1" si="136"/>
        <v>0</v>
      </c>
    </row>
    <row r="910" spans="4:20">
      <c r="D910">
        <v>903</v>
      </c>
      <c r="E910" s="6">
        <f t="shared" ca="1" si="131"/>
        <v>25263</v>
      </c>
      <c r="F910" s="7">
        <f t="shared" ca="1" si="132"/>
        <v>0</v>
      </c>
      <c r="G910" s="125">
        <f ca="1">IF('Simulador - 1º Pilar'!$E$99="Sí",IF('Aportaciones Flex'!$B$13&lt;'Aportaciones Flex'!E910,0,F910*$B$8/12),F910*$B$8/12)</f>
        <v>0</v>
      </c>
      <c r="H910" s="125">
        <f t="shared" ca="1" si="128"/>
        <v>0</v>
      </c>
      <c r="I910" s="126">
        <f t="shared" ca="1" si="129"/>
        <v>0</v>
      </c>
      <c r="J910" s="125">
        <f t="shared" ca="1" si="133"/>
        <v>0</v>
      </c>
      <c r="K910" s="151"/>
      <c r="L910" s="125">
        <f t="shared" ca="1" si="134"/>
        <v>0</v>
      </c>
      <c r="P910">
        <f t="shared" si="135"/>
        <v>903</v>
      </c>
      <c r="S910" s="126">
        <f t="shared" ca="1" si="130"/>
        <v>0</v>
      </c>
      <c r="T910" s="126">
        <f t="shared" ca="1" si="136"/>
        <v>0</v>
      </c>
    </row>
    <row r="911" spans="4:20">
      <c r="D911">
        <v>904</v>
      </c>
      <c r="E911" s="6">
        <f t="shared" ca="1" si="131"/>
        <v>25235</v>
      </c>
      <c r="F911" s="7">
        <f t="shared" ca="1" si="132"/>
        <v>0</v>
      </c>
      <c r="G911" s="125">
        <f ca="1">IF('Simulador - 1º Pilar'!$E$99="Sí",IF('Aportaciones Flex'!$B$13&lt;'Aportaciones Flex'!E911,0,F911*$B$8/12),F911*$B$8/12)</f>
        <v>0</v>
      </c>
      <c r="H911" s="125">
        <f t="shared" ca="1" si="128"/>
        <v>0</v>
      </c>
      <c r="I911" s="126">
        <f t="shared" ca="1" si="129"/>
        <v>0</v>
      </c>
      <c r="J911" s="125">
        <f t="shared" ca="1" si="133"/>
        <v>0</v>
      </c>
      <c r="K911" s="151"/>
      <c r="L911" s="125">
        <f t="shared" ca="1" si="134"/>
        <v>0</v>
      </c>
      <c r="P911">
        <f t="shared" si="135"/>
        <v>904</v>
      </c>
      <c r="S911" s="126">
        <f t="shared" ca="1" si="130"/>
        <v>0</v>
      </c>
      <c r="T911" s="126">
        <f t="shared" ca="1" si="136"/>
        <v>0</v>
      </c>
    </row>
    <row r="912" spans="4:20">
      <c r="D912">
        <v>905</v>
      </c>
      <c r="E912" s="6">
        <f t="shared" ca="1" si="131"/>
        <v>25204</v>
      </c>
      <c r="F912" s="7">
        <f t="shared" ca="1" si="132"/>
        <v>0</v>
      </c>
      <c r="G912" s="125">
        <f ca="1">IF('Simulador - 1º Pilar'!$E$99="Sí",IF('Aportaciones Flex'!$B$13&lt;'Aportaciones Flex'!E912,0,F912*$B$8/12),F912*$B$8/12)</f>
        <v>0</v>
      </c>
      <c r="H912" s="125">
        <f t="shared" ca="1" si="128"/>
        <v>0</v>
      </c>
      <c r="I912" s="126">
        <f t="shared" ca="1" si="129"/>
        <v>0</v>
      </c>
      <c r="J912" s="125">
        <f t="shared" ca="1" si="133"/>
        <v>0</v>
      </c>
      <c r="K912" s="151"/>
      <c r="L912" s="125">
        <f t="shared" ca="1" si="134"/>
        <v>0</v>
      </c>
      <c r="P912">
        <f t="shared" si="135"/>
        <v>905</v>
      </c>
      <c r="S912" s="126">
        <f t="shared" ca="1" si="130"/>
        <v>0</v>
      </c>
      <c r="T912" s="126">
        <f t="shared" ca="1" si="136"/>
        <v>0</v>
      </c>
    </row>
    <row r="913" spans="4:20">
      <c r="D913">
        <v>906</v>
      </c>
      <c r="E913" s="6">
        <f t="shared" ca="1" si="131"/>
        <v>25173</v>
      </c>
      <c r="F913" s="7">
        <f t="shared" ca="1" si="132"/>
        <v>0</v>
      </c>
      <c r="G913" s="125">
        <f ca="1">IF('Simulador - 1º Pilar'!$E$99="Sí",IF('Aportaciones Flex'!$B$13&lt;'Aportaciones Flex'!E913,0,F913*$B$8/12),F913*$B$8/12)</f>
        <v>0</v>
      </c>
      <c r="H913" s="125">
        <f t="shared" ca="1" si="128"/>
        <v>0</v>
      </c>
      <c r="I913" s="126">
        <f t="shared" ca="1" si="129"/>
        <v>0</v>
      </c>
      <c r="J913" s="125">
        <f t="shared" ca="1" si="133"/>
        <v>0</v>
      </c>
      <c r="K913" s="151"/>
      <c r="L913" s="125">
        <f t="shared" ca="1" si="134"/>
        <v>0</v>
      </c>
      <c r="P913">
        <f t="shared" si="135"/>
        <v>906</v>
      </c>
      <c r="S913" s="126">
        <f t="shared" ca="1" si="130"/>
        <v>0</v>
      </c>
      <c r="T913" s="126">
        <f t="shared" ca="1" si="136"/>
        <v>0</v>
      </c>
    </row>
    <row r="914" spans="4:20">
      <c r="D914">
        <v>907</v>
      </c>
      <c r="E914" s="6">
        <f t="shared" ca="1" si="131"/>
        <v>25143</v>
      </c>
      <c r="F914" s="7">
        <f t="shared" ca="1" si="132"/>
        <v>0</v>
      </c>
      <c r="G914" s="125">
        <f ca="1">IF('Simulador - 1º Pilar'!$E$99="Sí",IF('Aportaciones Flex'!$B$13&lt;'Aportaciones Flex'!E914,0,F914*$B$8/12),F914*$B$8/12)</f>
        <v>0</v>
      </c>
      <c r="H914" s="125">
        <f t="shared" ca="1" si="128"/>
        <v>0</v>
      </c>
      <c r="I914" s="126">
        <f t="shared" ca="1" si="129"/>
        <v>0</v>
      </c>
      <c r="J914" s="125">
        <f t="shared" ca="1" si="133"/>
        <v>0</v>
      </c>
      <c r="K914" s="151"/>
      <c r="L914" s="125">
        <f t="shared" ca="1" si="134"/>
        <v>0</v>
      </c>
      <c r="P914">
        <f t="shared" si="135"/>
        <v>907</v>
      </c>
      <c r="S914" s="126">
        <f t="shared" ca="1" si="130"/>
        <v>0</v>
      </c>
      <c r="T914" s="126">
        <f t="shared" ca="1" si="136"/>
        <v>0</v>
      </c>
    </row>
    <row r="915" spans="4:20">
      <c r="D915">
        <v>908</v>
      </c>
      <c r="E915" s="6">
        <f t="shared" ca="1" si="131"/>
        <v>25112</v>
      </c>
      <c r="F915" s="7">
        <f t="shared" ca="1" si="132"/>
        <v>0</v>
      </c>
      <c r="G915" s="125">
        <f ca="1">IF('Simulador - 1º Pilar'!$E$99="Sí",IF('Aportaciones Flex'!$B$13&lt;'Aportaciones Flex'!E915,0,F915*$B$8/12),F915*$B$8/12)</f>
        <v>0</v>
      </c>
      <c r="H915" s="125">
        <f t="shared" ca="1" si="128"/>
        <v>0</v>
      </c>
      <c r="I915" s="126">
        <f t="shared" ca="1" si="129"/>
        <v>0</v>
      </c>
      <c r="J915" s="125">
        <f t="shared" ca="1" si="133"/>
        <v>0</v>
      </c>
      <c r="K915" s="151"/>
      <c r="L915" s="125">
        <f t="shared" ca="1" si="134"/>
        <v>0</v>
      </c>
      <c r="P915">
        <f t="shared" si="135"/>
        <v>908</v>
      </c>
      <c r="S915" s="126">
        <f t="shared" ca="1" si="130"/>
        <v>0</v>
      </c>
      <c r="T915" s="126">
        <f t="shared" ca="1" si="136"/>
        <v>0</v>
      </c>
    </row>
    <row r="916" spans="4:20">
      <c r="D916">
        <v>909</v>
      </c>
      <c r="E916" s="6">
        <f t="shared" ca="1" si="131"/>
        <v>25082</v>
      </c>
      <c r="F916" s="7">
        <f t="shared" ca="1" si="132"/>
        <v>0</v>
      </c>
      <c r="G916" s="125">
        <f ca="1">IF('Simulador - 1º Pilar'!$E$99="Sí",IF('Aportaciones Flex'!$B$13&lt;'Aportaciones Flex'!E916,0,F916*$B$8/12),F916*$B$8/12)</f>
        <v>0</v>
      </c>
      <c r="H916" s="125">
        <f t="shared" ca="1" si="128"/>
        <v>0</v>
      </c>
      <c r="I916" s="126">
        <f t="shared" ca="1" si="129"/>
        <v>0</v>
      </c>
      <c r="J916" s="125">
        <f t="shared" ca="1" si="133"/>
        <v>0</v>
      </c>
      <c r="K916" s="151"/>
      <c r="L916" s="125">
        <f t="shared" ca="1" si="134"/>
        <v>0</v>
      </c>
      <c r="P916">
        <f t="shared" si="135"/>
        <v>909</v>
      </c>
      <c r="S916" s="126">
        <f t="shared" ca="1" si="130"/>
        <v>0</v>
      </c>
      <c r="T916" s="126">
        <f t="shared" ca="1" si="136"/>
        <v>0</v>
      </c>
    </row>
    <row r="917" spans="4:20">
      <c r="D917">
        <v>910</v>
      </c>
      <c r="E917" s="6">
        <f t="shared" ca="1" si="131"/>
        <v>25051</v>
      </c>
      <c r="F917" s="7">
        <f t="shared" ca="1" si="132"/>
        <v>0</v>
      </c>
      <c r="G917" s="125">
        <f ca="1">IF('Simulador - 1º Pilar'!$E$99="Sí",IF('Aportaciones Flex'!$B$13&lt;'Aportaciones Flex'!E917,0,F917*$B$8/12),F917*$B$8/12)</f>
        <v>0</v>
      </c>
      <c r="H917" s="125">
        <f t="shared" ca="1" si="128"/>
        <v>0</v>
      </c>
      <c r="I917" s="126">
        <f t="shared" ca="1" si="129"/>
        <v>0</v>
      </c>
      <c r="J917" s="125">
        <f t="shared" ca="1" si="133"/>
        <v>0</v>
      </c>
      <c r="K917" s="151"/>
      <c r="L917" s="125">
        <f t="shared" ca="1" si="134"/>
        <v>0</v>
      </c>
      <c r="P917">
        <f t="shared" si="135"/>
        <v>910</v>
      </c>
      <c r="S917" s="126">
        <f t="shared" ca="1" si="130"/>
        <v>0</v>
      </c>
      <c r="T917" s="126">
        <f t="shared" ca="1" si="136"/>
        <v>0</v>
      </c>
    </row>
    <row r="918" spans="4:20">
      <c r="D918">
        <v>911</v>
      </c>
      <c r="E918" s="6">
        <f t="shared" ca="1" si="131"/>
        <v>25020</v>
      </c>
      <c r="F918" s="7">
        <f t="shared" ca="1" si="132"/>
        <v>0</v>
      </c>
      <c r="G918" s="125">
        <f ca="1">IF('Simulador - 1º Pilar'!$E$99="Sí",IF('Aportaciones Flex'!$B$13&lt;'Aportaciones Flex'!E918,0,F918*$B$8/12),F918*$B$8/12)</f>
        <v>0</v>
      </c>
      <c r="H918" s="125">
        <f t="shared" ca="1" si="128"/>
        <v>0</v>
      </c>
      <c r="I918" s="126">
        <f t="shared" ca="1" si="129"/>
        <v>0</v>
      </c>
      <c r="J918" s="125">
        <f t="shared" ca="1" si="133"/>
        <v>0</v>
      </c>
      <c r="K918" s="151"/>
      <c r="L918" s="125">
        <f t="shared" ca="1" si="134"/>
        <v>0</v>
      </c>
      <c r="P918">
        <f t="shared" si="135"/>
        <v>911</v>
      </c>
      <c r="S918" s="126">
        <f t="shared" ca="1" si="130"/>
        <v>0</v>
      </c>
      <c r="T918" s="126">
        <f t="shared" ca="1" si="136"/>
        <v>0</v>
      </c>
    </row>
    <row r="919" spans="4:20">
      <c r="D919">
        <v>912</v>
      </c>
      <c r="E919" s="6">
        <f t="shared" ca="1" si="131"/>
        <v>24990</v>
      </c>
      <c r="F919" s="7">
        <f t="shared" ca="1" si="132"/>
        <v>0</v>
      </c>
      <c r="G919" s="125">
        <f ca="1">IF('Simulador - 1º Pilar'!$E$99="Sí",IF('Aportaciones Flex'!$B$13&lt;'Aportaciones Flex'!E919,0,F919*$B$8/12),F919*$B$8/12)</f>
        <v>0</v>
      </c>
      <c r="H919" s="125">
        <f t="shared" ca="1" si="128"/>
        <v>0</v>
      </c>
      <c r="I919" s="126">
        <f t="shared" ca="1" si="129"/>
        <v>0</v>
      </c>
      <c r="J919" s="125">
        <f t="shared" ca="1" si="133"/>
        <v>0</v>
      </c>
      <c r="K919" s="151"/>
      <c r="L919" s="125">
        <f t="shared" ca="1" si="134"/>
        <v>0</v>
      </c>
      <c r="P919">
        <f t="shared" si="135"/>
        <v>912</v>
      </c>
      <c r="S919" s="126">
        <f t="shared" ca="1" si="130"/>
        <v>0</v>
      </c>
      <c r="T919" s="126">
        <f t="shared" ca="1" si="136"/>
        <v>0</v>
      </c>
    </row>
    <row r="920" spans="4:20">
      <c r="D920">
        <v>913</v>
      </c>
      <c r="E920" s="6">
        <f t="shared" ca="1" si="131"/>
        <v>24959</v>
      </c>
      <c r="F920" s="7">
        <f t="shared" ca="1" si="132"/>
        <v>0</v>
      </c>
      <c r="G920" s="125">
        <f ca="1">IF('Simulador - 1º Pilar'!$E$99="Sí",IF('Aportaciones Flex'!$B$13&lt;'Aportaciones Flex'!E920,0,F920*$B$8/12),F920*$B$8/12)</f>
        <v>0</v>
      </c>
      <c r="H920" s="125">
        <f t="shared" ca="1" si="128"/>
        <v>0</v>
      </c>
      <c r="I920" s="126">
        <f t="shared" ca="1" si="129"/>
        <v>0</v>
      </c>
      <c r="J920" s="125">
        <f t="shared" ca="1" si="133"/>
        <v>0</v>
      </c>
      <c r="K920" s="151"/>
      <c r="L920" s="125">
        <f t="shared" ca="1" si="134"/>
        <v>0</v>
      </c>
      <c r="P920">
        <f t="shared" si="135"/>
        <v>913</v>
      </c>
      <c r="S920" s="126">
        <f t="shared" ca="1" si="130"/>
        <v>0</v>
      </c>
      <c r="T920" s="126">
        <f t="shared" ca="1" si="136"/>
        <v>0</v>
      </c>
    </row>
    <row r="921" spans="4:20">
      <c r="D921">
        <v>914</v>
      </c>
      <c r="E921" s="6">
        <f t="shared" ca="1" si="131"/>
        <v>24929</v>
      </c>
      <c r="F921" s="7">
        <f t="shared" ca="1" si="132"/>
        <v>0</v>
      </c>
      <c r="G921" s="125">
        <f ca="1">IF('Simulador - 1º Pilar'!$E$99="Sí",IF('Aportaciones Flex'!$B$13&lt;'Aportaciones Flex'!E921,0,F921*$B$8/12),F921*$B$8/12)</f>
        <v>0</v>
      </c>
      <c r="H921" s="125">
        <f t="shared" ca="1" si="128"/>
        <v>0</v>
      </c>
      <c r="I921" s="126">
        <f t="shared" ca="1" si="129"/>
        <v>0</v>
      </c>
      <c r="J921" s="125">
        <f t="shared" ca="1" si="133"/>
        <v>0</v>
      </c>
      <c r="K921" s="151"/>
      <c r="L921" s="125">
        <f t="shared" ca="1" si="134"/>
        <v>0</v>
      </c>
      <c r="P921">
        <f t="shared" si="135"/>
        <v>914</v>
      </c>
      <c r="S921" s="126">
        <f t="shared" ca="1" si="130"/>
        <v>0</v>
      </c>
      <c r="T921" s="126">
        <f t="shared" ca="1" si="136"/>
        <v>0</v>
      </c>
    </row>
    <row r="922" spans="4:20">
      <c r="D922">
        <v>915</v>
      </c>
      <c r="E922" s="6">
        <f t="shared" ca="1" si="131"/>
        <v>24898</v>
      </c>
      <c r="F922" s="7">
        <f t="shared" ca="1" si="132"/>
        <v>0</v>
      </c>
      <c r="G922" s="125">
        <f ca="1">IF('Simulador - 1º Pilar'!$E$99="Sí",IF('Aportaciones Flex'!$B$13&lt;'Aportaciones Flex'!E922,0,F922*$B$8/12),F922*$B$8/12)</f>
        <v>0</v>
      </c>
      <c r="H922" s="125">
        <f t="shared" ca="1" si="128"/>
        <v>0</v>
      </c>
      <c r="I922" s="126">
        <f t="shared" ca="1" si="129"/>
        <v>0</v>
      </c>
      <c r="J922" s="125">
        <f t="shared" ca="1" si="133"/>
        <v>0</v>
      </c>
      <c r="K922" s="151"/>
      <c r="L922" s="125">
        <f t="shared" ca="1" si="134"/>
        <v>0</v>
      </c>
      <c r="P922">
        <f t="shared" si="135"/>
        <v>915</v>
      </c>
      <c r="S922" s="126">
        <f t="shared" ca="1" si="130"/>
        <v>0</v>
      </c>
      <c r="T922" s="126">
        <f t="shared" ca="1" si="136"/>
        <v>0</v>
      </c>
    </row>
    <row r="923" spans="4:20">
      <c r="D923">
        <v>916</v>
      </c>
      <c r="E923" s="6">
        <f t="shared" ca="1" si="131"/>
        <v>24869</v>
      </c>
      <c r="F923" s="7">
        <f t="shared" ca="1" si="132"/>
        <v>0</v>
      </c>
      <c r="G923" s="125">
        <f ca="1">IF('Simulador - 1º Pilar'!$E$99="Sí",IF('Aportaciones Flex'!$B$13&lt;'Aportaciones Flex'!E923,0,F923*$B$8/12),F923*$B$8/12)</f>
        <v>0</v>
      </c>
      <c r="H923" s="125">
        <f t="shared" ca="1" si="128"/>
        <v>0</v>
      </c>
      <c r="I923" s="126">
        <f t="shared" ca="1" si="129"/>
        <v>0</v>
      </c>
      <c r="J923" s="125">
        <f t="shared" ca="1" si="133"/>
        <v>0</v>
      </c>
      <c r="K923" s="151"/>
      <c r="L923" s="125">
        <f t="shared" ca="1" si="134"/>
        <v>0</v>
      </c>
      <c r="P923">
        <f t="shared" si="135"/>
        <v>916</v>
      </c>
      <c r="S923" s="126">
        <f t="shared" ca="1" si="130"/>
        <v>0</v>
      </c>
      <c r="T923" s="126">
        <f t="shared" ca="1" si="136"/>
        <v>0</v>
      </c>
    </row>
    <row r="924" spans="4:20">
      <c r="D924">
        <v>917</v>
      </c>
      <c r="E924" s="6">
        <f t="shared" ca="1" si="131"/>
        <v>24838</v>
      </c>
      <c r="F924" s="7">
        <f t="shared" ca="1" si="132"/>
        <v>0</v>
      </c>
      <c r="G924" s="125">
        <f ca="1">IF('Simulador - 1º Pilar'!$E$99="Sí",IF('Aportaciones Flex'!$B$13&lt;'Aportaciones Flex'!E924,0,F924*$B$8/12),F924*$B$8/12)</f>
        <v>0</v>
      </c>
      <c r="H924" s="125">
        <f t="shared" ca="1" si="128"/>
        <v>0</v>
      </c>
      <c r="I924" s="126">
        <f t="shared" ca="1" si="129"/>
        <v>0</v>
      </c>
      <c r="J924" s="125">
        <f t="shared" ca="1" si="133"/>
        <v>0</v>
      </c>
      <c r="K924" s="151"/>
      <c r="L924" s="125">
        <f t="shared" ca="1" si="134"/>
        <v>0</v>
      </c>
      <c r="P924">
        <f t="shared" si="135"/>
        <v>917</v>
      </c>
      <c r="S924" s="126">
        <f t="shared" ca="1" si="130"/>
        <v>0</v>
      </c>
      <c r="T924" s="126">
        <f t="shared" ca="1" si="136"/>
        <v>0</v>
      </c>
    </row>
    <row r="925" spans="4:20">
      <c r="D925">
        <v>918</v>
      </c>
      <c r="E925" s="6">
        <f t="shared" ca="1" si="131"/>
        <v>24807</v>
      </c>
      <c r="F925" s="7">
        <f t="shared" ca="1" si="132"/>
        <v>0</v>
      </c>
      <c r="G925" s="125">
        <f ca="1">IF('Simulador - 1º Pilar'!$E$99="Sí",IF('Aportaciones Flex'!$B$13&lt;'Aportaciones Flex'!E925,0,F925*$B$8/12),F925*$B$8/12)</f>
        <v>0</v>
      </c>
      <c r="H925" s="125">
        <f t="shared" ca="1" si="128"/>
        <v>0</v>
      </c>
      <c r="I925" s="126">
        <f t="shared" ca="1" si="129"/>
        <v>0</v>
      </c>
      <c r="J925" s="125">
        <f t="shared" ca="1" si="133"/>
        <v>0</v>
      </c>
      <c r="K925" s="151"/>
      <c r="L925" s="125">
        <f t="shared" ca="1" si="134"/>
        <v>0</v>
      </c>
      <c r="P925">
        <f t="shared" si="135"/>
        <v>918</v>
      </c>
      <c r="S925" s="126">
        <f t="shared" ca="1" si="130"/>
        <v>0</v>
      </c>
      <c r="T925" s="126">
        <f t="shared" ca="1" si="136"/>
        <v>0</v>
      </c>
    </row>
    <row r="926" spans="4:20">
      <c r="D926">
        <v>919</v>
      </c>
      <c r="E926" s="6">
        <f t="shared" ca="1" si="131"/>
        <v>24777</v>
      </c>
      <c r="F926" s="7">
        <f t="shared" ca="1" si="132"/>
        <v>0</v>
      </c>
      <c r="G926" s="125">
        <f ca="1">IF('Simulador - 1º Pilar'!$E$99="Sí",IF('Aportaciones Flex'!$B$13&lt;'Aportaciones Flex'!E926,0,F926*$B$8/12),F926*$B$8/12)</f>
        <v>0</v>
      </c>
      <c r="H926" s="125">
        <f t="shared" ca="1" si="128"/>
        <v>0</v>
      </c>
      <c r="I926" s="126">
        <f t="shared" ca="1" si="129"/>
        <v>0</v>
      </c>
      <c r="J926" s="125">
        <f t="shared" ca="1" si="133"/>
        <v>0</v>
      </c>
      <c r="K926" s="151"/>
      <c r="L926" s="125">
        <f t="shared" ca="1" si="134"/>
        <v>0</v>
      </c>
      <c r="P926">
        <f t="shared" si="135"/>
        <v>919</v>
      </c>
      <c r="S926" s="126">
        <f t="shared" ca="1" si="130"/>
        <v>0</v>
      </c>
      <c r="T926" s="126">
        <f t="shared" ca="1" si="136"/>
        <v>0</v>
      </c>
    </row>
    <row r="927" spans="4:20">
      <c r="D927">
        <v>920</v>
      </c>
      <c r="E927" s="6">
        <f t="shared" ca="1" si="131"/>
        <v>24746</v>
      </c>
      <c r="F927" s="7">
        <f t="shared" ca="1" si="132"/>
        <v>0</v>
      </c>
      <c r="G927" s="125">
        <f ca="1">IF('Simulador - 1º Pilar'!$E$99="Sí",IF('Aportaciones Flex'!$B$13&lt;'Aportaciones Flex'!E927,0,F927*$B$8/12),F927*$B$8/12)</f>
        <v>0</v>
      </c>
      <c r="H927" s="125">
        <f t="shared" ca="1" si="128"/>
        <v>0</v>
      </c>
      <c r="I927" s="126">
        <f t="shared" ca="1" si="129"/>
        <v>0</v>
      </c>
      <c r="J927" s="125">
        <f t="shared" ca="1" si="133"/>
        <v>0</v>
      </c>
      <c r="K927" s="151"/>
      <c r="L927" s="125">
        <f t="shared" ca="1" si="134"/>
        <v>0</v>
      </c>
      <c r="P927">
        <f t="shared" si="135"/>
        <v>920</v>
      </c>
      <c r="S927" s="126">
        <f t="shared" ca="1" si="130"/>
        <v>0</v>
      </c>
      <c r="T927" s="126">
        <f t="shared" ca="1" si="136"/>
        <v>0</v>
      </c>
    </row>
    <row r="928" spans="4:20">
      <c r="D928">
        <v>921</v>
      </c>
      <c r="E928" s="6">
        <f t="shared" ca="1" si="131"/>
        <v>24716</v>
      </c>
      <c r="F928" s="7">
        <f t="shared" ca="1" si="132"/>
        <v>0</v>
      </c>
      <c r="G928" s="125">
        <f ca="1">IF('Simulador - 1º Pilar'!$E$99="Sí",IF('Aportaciones Flex'!$B$13&lt;'Aportaciones Flex'!E928,0,F928*$B$8/12),F928*$B$8/12)</f>
        <v>0</v>
      </c>
      <c r="H928" s="125">
        <f t="shared" ca="1" si="128"/>
        <v>0</v>
      </c>
      <c r="I928" s="126">
        <f t="shared" ca="1" si="129"/>
        <v>0</v>
      </c>
      <c r="J928" s="125">
        <f t="shared" ca="1" si="133"/>
        <v>0</v>
      </c>
      <c r="K928" s="151"/>
      <c r="L928" s="125">
        <f t="shared" ca="1" si="134"/>
        <v>0</v>
      </c>
      <c r="P928">
        <f t="shared" si="135"/>
        <v>921</v>
      </c>
      <c r="S928" s="126">
        <f t="shared" ca="1" si="130"/>
        <v>0</v>
      </c>
      <c r="T928" s="126">
        <f t="shared" ca="1" si="136"/>
        <v>0</v>
      </c>
    </row>
    <row r="929" spans="4:20">
      <c r="D929">
        <v>922</v>
      </c>
      <c r="E929" s="6">
        <f t="shared" ca="1" si="131"/>
        <v>24685</v>
      </c>
      <c r="F929" s="7">
        <f t="shared" ca="1" si="132"/>
        <v>0</v>
      </c>
      <c r="G929" s="125">
        <f ca="1">IF('Simulador - 1º Pilar'!$E$99="Sí",IF('Aportaciones Flex'!$B$13&lt;'Aportaciones Flex'!E929,0,F929*$B$8/12),F929*$B$8/12)</f>
        <v>0</v>
      </c>
      <c r="H929" s="125">
        <f t="shared" ca="1" si="128"/>
        <v>0</v>
      </c>
      <c r="I929" s="126">
        <f t="shared" ca="1" si="129"/>
        <v>0</v>
      </c>
      <c r="J929" s="125">
        <f t="shared" ca="1" si="133"/>
        <v>0</v>
      </c>
      <c r="K929" s="151"/>
      <c r="L929" s="125">
        <f t="shared" ca="1" si="134"/>
        <v>0</v>
      </c>
      <c r="P929">
        <f t="shared" si="135"/>
        <v>922</v>
      </c>
      <c r="S929" s="126">
        <f t="shared" ca="1" si="130"/>
        <v>0</v>
      </c>
      <c r="T929" s="126">
        <f t="shared" ca="1" si="136"/>
        <v>0</v>
      </c>
    </row>
    <row r="930" spans="4:20">
      <c r="D930">
        <v>923</v>
      </c>
      <c r="E930" s="6">
        <f t="shared" ca="1" si="131"/>
        <v>24654</v>
      </c>
      <c r="F930" s="7">
        <f t="shared" ca="1" si="132"/>
        <v>0</v>
      </c>
      <c r="G930" s="125">
        <f ca="1">IF('Simulador - 1º Pilar'!$E$99="Sí",IF('Aportaciones Flex'!$B$13&lt;'Aportaciones Flex'!E930,0,F930*$B$8/12),F930*$B$8/12)</f>
        <v>0</v>
      </c>
      <c r="H930" s="125">
        <f t="shared" ca="1" si="128"/>
        <v>0</v>
      </c>
      <c r="I930" s="126">
        <f t="shared" ca="1" si="129"/>
        <v>0</v>
      </c>
      <c r="J930" s="125">
        <f t="shared" ca="1" si="133"/>
        <v>0</v>
      </c>
      <c r="K930" s="151"/>
      <c r="L930" s="125">
        <f t="shared" ca="1" si="134"/>
        <v>0</v>
      </c>
      <c r="P930">
        <f t="shared" si="135"/>
        <v>923</v>
      </c>
      <c r="S930" s="126">
        <f t="shared" ca="1" si="130"/>
        <v>0</v>
      </c>
      <c r="T930" s="126">
        <f t="shared" ca="1" si="136"/>
        <v>0</v>
      </c>
    </row>
    <row r="931" spans="4:20">
      <c r="D931">
        <v>924</v>
      </c>
      <c r="E931" s="6">
        <f t="shared" ca="1" si="131"/>
        <v>24624</v>
      </c>
      <c r="F931" s="7">
        <f t="shared" ca="1" si="132"/>
        <v>0</v>
      </c>
      <c r="G931" s="125">
        <f ca="1">IF('Simulador - 1º Pilar'!$E$99="Sí",IF('Aportaciones Flex'!$B$13&lt;'Aportaciones Flex'!E931,0,F931*$B$8/12),F931*$B$8/12)</f>
        <v>0</v>
      </c>
      <c r="H931" s="125">
        <f t="shared" ca="1" si="128"/>
        <v>0</v>
      </c>
      <c r="I931" s="126">
        <f t="shared" ca="1" si="129"/>
        <v>0</v>
      </c>
      <c r="J931" s="125">
        <f t="shared" ca="1" si="133"/>
        <v>0</v>
      </c>
      <c r="K931" s="151"/>
      <c r="L931" s="125">
        <f t="shared" ca="1" si="134"/>
        <v>0</v>
      </c>
      <c r="P931">
        <f t="shared" si="135"/>
        <v>924</v>
      </c>
      <c r="S931" s="126">
        <f t="shared" ca="1" si="130"/>
        <v>0</v>
      </c>
      <c r="T931" s="126">
        <f t="shared" ca="1" si="136"/>
        <v>0</v>
      </c>
    </row>
    <row r="932" spans="4:20">
      <c r="D932">
        <v>925</v>
      </c>
      <c r="E932" s="6">
        <f t="shared" ca="1" si="131"/>
        <v>24593</v>
      </c>
      <c r="F932" s="7">
        <f t="shared" ca="1" si="132"/>
        <v>0</v>
      </c>
      <c r="G932" s="125">
        <f ca="1">IF('Simulador - 1º Pilar'!$E$99="Sí",IF('Aportaciones Flex'!$B$13&lt;'Aportaciones Flex'!E932,0,F932*$B$8/12),F932*$B$8/12)</f>
        <v>0</v>
      </c>
      <c r="H932" s="125">
        <f t="shared" ca="1" si="128"/>
        <v>0</v>
      </c>
      <c r="I932" s="126">
        <f t="shared" ca="1" si="129"/>
        <v>0</v>
      </c>
      <c r="J932" s="125">
        <f t="shared" ca="1" si="133"/>
        <v>0</v>
      </c>
      <c r="K932" s="151"/>
      <c r="L932" s="125">
        <f t="shared" ca="1" si="134"/>
        <v>0</v>
      </c>
      <c r="P932">
        <f t="shared" si="135"/>
        <v>925</v>
      </c>
      <c r="S932" s="126">
        <f t="shared" ca="1" si="130"/>
        <v>0</v>
      </c>
      <c r="T932" s="126">
        <f t="shared" ca="1" si="136"/>
        <v>0</v>
      </c>
    </row>
    <row r="933" spans="4:20">
      <c r="D933">
        <v>926</v>
      </c>
      <c r="E933" s="6">
        <f t="shared" ca="1" si="131"/>
        <v>24563</v>
      </c>
      <c r="F933" s="7">
        <f t="shared" ca="1" si="132"/>
        <v>0</v>
      </c>
      <c r="G933" s="125">
        <f ca="1">IF('Simulador - 1º Pilar'!$E$99="Sí",IF('Aportaciones Flex'!$B$13&lt;'Aportaciones Flex'!E933,0,F933*$B$8/12),F933*$B$8/12)</f>
        <v>0</v>
      </c>
      <c r="H933" s="125">
        <f t="shared" ca="1" si="128"/>
        <v>0</v>
      </c>
      <c r="I933" s="126">
        <f t="shared" ca="1" si="129"/>
        <v>0</v>
      </c>
      <c r="J933" s="125">
        <f t="shared" ca="1" si="133"/>
        <v>0</v>
      </c>
      <c r="K933" s="151"/>
      <c r="L933" s="125">
        <f t="shared" ca="1" si="134"/>
        <v>0</v>
      </c>
      <c r="P933">
        <f t="shared" si="135"/>
        <v>926</v>
      </c>
      <c r="S933" s="126">
        <f t="shared" ca="1" si="130"/>
        <v>0</v>
      </c>
      <c r="T933" s="126">
        <f t="shared" ca="1" si="136"/>
        <v>0</v>
      </c>
    </row>
    <row r="934" spans="4:20">
      <c r="D934">
        <v>927</v>
      </c>
      <c r="E934" s="6">
        <f t="shared" ca="1" si="131"/>
        <v>24532</v>
      </c>
      <c r="F934" s="7">
        <f t="shared" ca="1" si="132"/>
        <v>0</v>
      </c>
      <c r="G934" s="125">
        <f ca="1">IF('Simulador - 1º Pilar'!$E$99="Sí",IF('Aportaciones Flex'!$B$13&lt;'Aportaciones Flex'!E934,0,F934*$B$8/12),F934*$B$8/12)</f>
        <v>0</v>
      </c>
      <c r="H934" s="125">
        <f t="shared" ca="1" si="128"/>
        <v>0</v>
      </c>
      <c r="I934" s="126">
        <f t="shared" ca="1" si="129"/>
        <v>0</v>
      </c>
      <c r="J934" s="125">
        <f t="shared" ca="1" si="133"/>
        <v>0</v>
      </c>
      <c r="K934" s="151"/>
      <c r="L934" s="125">
        <f t="shared" ca="1" si="134"/>
        <v>0</v>
      </c>
      <c r="P934">
        <f t="shared" si="135"/>
        <v>927</v>
      </c>
      <c r="S934" s="126">
        <f t="shared" ca="1" si="130"/>
        <v>0</v>
      </c>
      <c r="T934" s="126">
        <f t="shared" ca="1" si="136"/>
        <v>0</v>
      </c>
    </row>
    <row r="935" spans="4:20">
      <c r="D935">
        <v>928</v>
      </c>
      <c r="E935" s="6">
        <f t="shared" ca="1" si="131"/>
        <v>24504</v>
      </c>
      <c r="F935" s="7">
        <f t="shared" ca="1" si="132"/>
        <v>0</v>
      </c>
      <c r="G935" s="125">
        <f ca="1">IF('Simulador - 1º Pilar'!$E$99="Sí",IF('Aportaciones Flex'!$B$13&lt;'Aportaciones Flex'!E935,0,F935*$B$8/12),F935*$B$8/12)</f>
        <v>0</v>
      </c>
      <c r="H935" s="125">
        <f t="shared" ca="1" si="128"/>
        <v>0</v>
      </c>
      <c r="I935" s="126">
        <f t="shared" ca="1" si="129"/>
        <v>0</v>
      </c>
      <c r="J935" s="125">
        <f t="shared" ca="1" si="133"/>
        <v>0</v>
      </c>
      <c r="K935" s="151"/>
      <c r="L935" s="125">
        <f t="shared" ca="1" si="134"/>
        <v>0</v>
      </c>
      <c r="P935">
        <f t="shared" si="135"/>
        <v>928</v>
      </c>
      <c r="S935" s="126">
        <f t="shared" ca="1" si="130"/>
        <v>0</v>
      </c>
      <c r="T935" s="126">
        <f t="shared" ca="1" si="136"/>
        <v>0</v>
      </c>
    </row>
    <row r="936" spans="4:20">
      <c r="D936">
        <v>929</v>
      </c>
      <c r="E936" s="6">
        <f t="shared" ca="1" si="131"/>
        <v>24473</v>
      </c>
      <c r="F936" s="7">
        <f t="shared" ca="1" si="132"/>
        <v>0</v>
      </c>
      <c r="G936" s="125">
        <f ca="1">IF('Simulador - 1º Pilar'!$E$99="Sí",IF('Aportaciones Flex'!$B$13&lt;'Aportaciones Flex'!E936,0,F936*$B$8/12),F936*$B$8/12)</f>
        <v>0</v>
      </c>
      <c r="H936" s="125">
        <f t="shared" ca="1" si="128"/>
        <v>0</v>
      </c>
      <c r="I936" s="126">
        <f t="shared" ca="1" si="129"/>
        <v>0</v>
      </c>
      <c r="J936" s="125">
        <f t="shared" ca="1" si="133"/>
        <v>0</v>
      </c>
      <c r="K936" s="151"/>
      <c r="L936" s="125">
        <f t="shared" ca="1" si="134"/>
        <v>0</v>
      </c>
      <c r="P936">
        <f t="shared" si="135"/>
        <v>929</v>
      </c>
      <c r="S936" s="126">
        <f t="shared" ca="1" si="130"/>
        <v>0</v>
      </c>
      <c r="T936" s="126">
        <f t="shared" ca="1" si="136"/>
        <v>0</v>
      </c>
    </row>
    <row r="937" spans="4:20">
      <c r="D937">
        <v>930</v>
      </c>
      <c r="E937" s="6">
        <f t="shared" ca="1" si="131"/>
        <v>24442</v>
      </c>
      <c r="F937" s="7">
        <f t="shared" ca="1" si="132"/>
        <v>0</v>
      </c>
      <c r="G937" s="125">
        <f ca="1">IF('Simulador - 1º Pilar'!$E$99="Sí",IF('Aportaciones Flex'!$B$13&lt;'Aportaciones Flex'!E937,0,F937*$B$8/12),F937*$B$8/12)</f>
        <v>0</v>
      </c>
      <c r="H937" s="125">
        <f t="shared" ca="1" si="128"/>
        <v>0</v>
      </c>
      <c r="I937" s="126">
        <f t="shared" ca="1" si="129"/>
        <v>0</v>
      </c>
      <c r="J937" s="125">
        <f t="shared" ca="1" si="133"/>
        <v>0</v>
      </c>
      <c r="K937" s="151"/>
      <c r="L937" s="125">
        <f t="shared" ca="1" si="134"/>
        <v>0</v>
      </c>
      <c r="P937">
        <f t="shared" si="135"/>
        <v>930</v>
      </c>
      <c r="S937" s="126">
        <f t="shared" ca="1" si="130"/>
        <v>0</v>
      </c>
      <c r="T937" s="126">
        <f t="shared" ca="1" si="136"/>
        <v>0</v>
      </c>
    </row>
    <row r="938" spans="4:20">
      <c r="D938">
        <v>931</v>
      </c>
      <c r="E938" s="6">
        <f t="shared" ca="1" si="131"/>
        <v>24412</v>
      </c>
      <c r="F938" s="7">
        <f t="shared" ca="1" si="132"/>
        <v>0</v>
      </c>
      <c r="G938" s="125">
        <f ca="1">IF('Simulador - 1º Pilar'!$E$99="Sí",IF('Aportaciones Flex'!$B$13&lt;'Aportaciones Flex'!E938,0,F938*$B$8/12),F938*$B$8/12)</f>
        <v>0</v>
      </c>
      <c r="H938" s="125">
        <f t="shared" ca="1" si="128"/>
        <v>0</v>
      </c>
      <c r="I938" s="126">
        <f t="shared" ca="1" si="129"/>
        <v>0</v>
      </c>
      <c r="J938" s="125">
        <f t="shared" ca="1" si="133"/>
        <v>0</v>
      </c>
      <c r="K938" s="151"/>
      <c r="L938" s="125">
        <f t="shared" ca="1" si="134"/>
        <v>0</v>
      </c>
      <c r="P938">
        <f t="shared" si="135"/>
        <v>931</v>
      </c>
      <c r="S938" s="126">
        <f t="shared" ca="1" si="130"/>
        <v>0</v>
      </c>
      <c r="T938" s="126">
        <f t="shared" ca="1" si="136"/>
        <v>0</v>
      </c>
    </row>
    <row r="939" spans="4:20">
      <c r="D939">
        <v>932</v>
      </c>
      <c r="E939" s="6">
        <f t="shared" ca="1" si="131"/>
        <v>24381</v>
      </c>
      <c r="F939" s="7">
        <f t="shared" ca="1" si="132"/>
        <v>0</v>
      </c>
      <c r="G939" s="125">
        <f ca="1">IF('Simulador - 1º Pilar'!$E$99="Sí",IF('Aportaciones Flex'!$B$13&lt;'Aportaciones Flex'!E939,0,F939*$B$8/12),F939*$B$8/12)</f>
        <v>0</v>
      </c>
      <c r="H939" s="125">
        <f t="shared" ca="1" si="128"/>
        <v>0</v>
      </c>
      <c r="I939" s="126">
        <f t="shared" ca="1" si="129"/>
        <v>0</v>
      </c>
      <c r="J939" s="125">
        <f t="shared" ca="1" si="133"/>
        <v>0</v>
      </c>
      <c r="K939" s="151"/>
      <c r="L939" s="125">
        <f t="shared" ca="1" si="134"/>
        <v>0</v>
      </c>
      <c r="P939">
        <f t="shared" si="135"/>
        <v>932</v>
      </c>
      <c r="S939" s="126">
        <f t="shared" ca="1" si="130"/>
        <v>0</v>
      </c>
      <c r="T939" s="126">
        <f t="shared" ca="1" si="136"/>
        <v>0</v>
      </c>
    </row>
    <row r="940" spans="4:20">
      <c r="D940">
        <v>933</v>
      </c>
      <c r="E940" s="6">
        <f t="shared" ca="1" si="131"/>
        <v>24351</v>
      </c>
      <c r="F940" s="7">
        <f t="shared" ca="1" si="132"/>
        <v>0</v>
      </c>
      <c r="G940" s="125">
        <f ca="1">IF('Simulador - 1º Pilar'!$E$99="Sí",IF('Aportaciones Flex'!$B$13&lt;'Aportaciones Flex'!E940,0,F940*$B$8/12),F940*$B$8/12)</f>
        <v>0</v>
      </c>
      <c r="H940" s="125">
        <f t="shared" ca="1" si="128"/>
        <v>0</v>
      </c>
      <c r="I940" s="126">
        <f t="shared" ca="1" si="129"/>
        <v>0</v>
      </c>
      <c r="J940" s="125">
        <f t="shared" ca="1" si="133"/>
        <v>0</v>
      </c>
      <c r="K940" s="151"/>
      <c r="L940" s="125">
        <f t="shared" ca="1" si="134"/>
        <v>0</v>
      </c>
      <c r="P940">
        <f t="shared" si="135"/>
        <v>933</v>
      </c>
      <c r="S940" s="126">
        <f t="shared" ca="1" si="130"/>
        <v>0</v>
      </c>
      <c r="T940" s="126">
        <f t="shared" ca="1" si="136"/>
        <v>0</v>
      </c>
    </row>
    <row r="941" spans="4:20">
      <c r="D941">
        <v>934</v>
      </c>
      <c r="E941" s="6">
        <f t="shared" ca="1" si="131"/>
        <v>24320</v>
      </c>
      <c r="F941" s="7">
        <f t="shared" ca="1" si="132"/>
        <v>0</v>
      </c>
      <c r="G941" s="125">
        <f ca="1">IF('Simulador - 1º Pilar'!$E$99="Sí",IF('Aportaciones Flex'!$B$13&lt;'Aportaciones Flex'!E941,0,F941*$B$8/12),F941*$B$8/12)</f>
        <v>0</v>
      </c>
      <c r="H941" s="125">
        <f t="shared" ca="1" si="128"/>
        <v>0</v>
      </c>
      <c r="I941" s="126">
        <f t="shared" ca="1" si="129"/>
        <v>0</v>
      </c>
      <c r="J941" s="125">
        <f t="shared" ca="1" si="133"/>
        <v>0</v>
      </c>
      <c r="K941" s="151"/>
      <c r="L941" s="125">
        <f t="shared" ca="1" si="134"/>
        <v>0</v>
      </c>
      <c r="P941">
        <f t="shared" si="135"/>
        <v>934</v>
      </c>
      <c r="S941" s="126">
        <f t="shared" ca="1" si="130"/>
        <v>0</v>
      </c>
      <c r="T941" s="126">
        <f t="shared" ca="1" si="136"/>
        <v>0</v>
      </c>
    </row>
    <row r="942" spans="4:20">
      <c r="D942">
        <v>935</v>
      </c>
      <c r="E942" s="6">
        <f t="shared" ca="1" si="131"/>
        <v>24289</v>
      </c>
      <c r="F942" s="7">
        <f t="shared" ca="1" si="132"/>
        <v>0</v>
      </c>
      <c r="G942" s="125">
        <f ca="1">IF('Simulador - 1º Pilar'!$E$99="Sí",IF('Aportaciones Flex'!$B$13&lt;'Aportaciones Flex'!E942,0,F942*$B$8/12),F942*$B$8/12)</f>
        <v>0</v>
      </c>
      <c r="H942" s="125">
        <f t="shared" ca="1" si="128"/>
        <v>0</v>
      </c>
      <c r="I942" s="126">
        <f t="shared" ca="1" si="129"/>
        <v>0</v>
      </c>
      <c r="J942" s="125">
        <f t="shared" ca="1" si="133"/>
        <v>0</v>
      </c>
      <c r="K942" s="151"/>
      <c r="L942" s="125">
        <f t="shared" ca="1" si="134"/>
        <v>0</v>
      </c>
      <c r="P942">
        <f t="shared" si="135"/>
        <v>935</v>
      </c>
      <c r="S942" s="126">
        <f t="shared" ca="1" si="130"/>
        <v>0</v>
      </c>
      <c r="T942" s="126">
        <f t="shared" ca="1" si="136"/>
        <v>0</v>
      </c>
    </row>
    <row r="943" spans="4:20">
      <c r="D943">
        <v>936</v>
      </c>
      <c r="E943" s="6">
        <f t="shared" ca="1" si="131"/>
        <v>24259</v>
      </c>
      <c r="F943" s="7">
        <f t="shared" ca="1" si="132"/>
        <v>0</v>
      </c>
      <c r="G943" s="125">
        <f ca="1">IF('Simulador - 1º Pilar'!$E$99="Sí",IF('Aportaciones Flex'!$B$13&lt;'Aportaciones Flex'!E943,0,F943*$B$8/12),F943*$B$8/12)</f>
        <v>0</v>
      </c>
      <c r="H943" s="125">
        <f t="shared" ca="1" si="128"/>
        <v>0</v>
      </c>
      <c r="I943" s="126">
        <f t="shared" ca="1" si="129"/>
        <v>0</v>
      </c>
      <c r="J943" s="125">
        <f t="shared" ca="1" si="133"/>
        <v>0</v>
      </c>
      <c r="K943" s="151"/>
      <c r="L943" s="125">
        <f t="shared" ca="1" si="134"/>
        <v>0</v>
      </c>
      <c r="P943">
        <f t="shared" si="135"/>
        <v>936</v>
      </c>
      <c r="S943" s="126">
        <f t="shared" ca="1" si="130"/>
        <v>0</v>
      </c>
      <c r="T943" s="126">
        <f t="shared" ca="1" si="136"/>
        <v>0</v>
      </c>
    </row>
    <row r="944" spans="4:20">
      <c r="D944">
        <v>937</v>
      </c>
      <c r="E944" s="6">
        <f t="shared" ca="1" si="131"/>
        <v>24228</v>
      </c>
      <c r="F944" s="7">
        <f t="shared" ca="1" si="132"/>
        <v>0</v>
      </c>
      <c r="G944" s="125">
        <f ca="1">IF('Simulador - 1º Pilar'!$E$99="Sí",IF('Aportaciones Flex'!$B$13&lt;'Aportaciones Flex'!E944,0,F944*$B$8/12),F944*$B$8/12)</f>
        <v>0</v>
      </c>
      <c r="H944" s="125">
        <f t="shared" ca="1" si="128"/>
        <v>0</v>
      </c>
      <c r="I944" s="126">
        <f t="shared" ca="1" si="129"/>
        <v>0</v>
      </c>
      <c r="J944" s="125">
        <f t="shared" ca="1" si="133"/>
        <v>0</v>
      </c>
      <c r="K944" s="151"/>
      <c r="L944" s="125">
        <f t="shared" ca="1" si="134"/>
        <v>0</v>
      </c>
      <c r="P944">
        <f t="shared" si="135"/>
        <v>937</v>
      </c>
      <c r="S944" s="126">
        <f t="shared" ca="1" si="130"/>
        <v>0</v>
      </c>
      <c r="T944" s="126">
        <f t="shared" ca="1" si="136"/>
        <v>0</v>
      </c>
    </row>
    <row r="945" spans="4:20">
      <c r="D945">
        <v>938</v>
      </c>
      <c r="E945" s="6">
        <f t="shared" ca="1" si="131"/>
        <v>24198</v>
      </c>
      <c r="F945" s="7">
        <f t="shared" ca="1" si="132"/>
        <v>0</v>
      </c>
      <c r="G945" s="125">
        <f ca="1">IF('Simulador - 1º Pilar'!$E$99="Sí",IF('Aportaciones Flex'!$B$13&lt;'Aportaciones Flex'!E945,0,F945*$B$8/12),F945*$B$8/12)</f>
        <v>0</v>
      </c>
      <c r="H945" s="125">
        <f t="shared" ca="1" si="128"/>
        <v>0</v>
      </c>
      <c r="I945" s="126">
        <f t="shared" ca="1" si="129"/>
        <v>0</v>
      </c>
      <c r="J945" s="125">
        <f t="shared" ca="1" si="133"/>
        <v>0</v>
      </c>
      <c r="K945" s="151"/>
      <c r="L945" s="125">
        <f t="shared" ca="1" si="134"/>
        <v>0</v>
      </c>
      <c r="P945">
        <f t="shared" si="135"/>
        <v>938</v>
      </c>
      <c r="S945" s="126">
        <f t="shared" ca="1" si="130"/>
        <v>0</v>
      </c>
      <c r="T945" s="126">
        <f t="shared" ca="1" si="136"/>
        <v>0</v>
      </c>
    </row>
    <row r="946" spans="4:20">
      <c r="D946">
        <v>939</v>
      </c>
      <c r="E946" s="6">
        <f t="shared" ca="1" si="131"/>
        <v>24167</v>
      </c>
      <c r="F946" s="7">
        <f t="shared" ca="1" si="132"/>
        <v>0</v>
      </c>
      <c r="G946" s="125">
        <f ca="1">IF('Simulador - 1º Pilar'!$E$99="Sí",IF('Aportaciones Flex'!$B$13&lt;'Aportaciones Flex'!E946,0,F946*$B$8/12),F946*$B$8/12)</f>
        <v>0</v>
      </c>
      <c r="H946" s="125">
        <f t="shared" ca="1" si="128"/>
        <v>0</v>
      </c>
      <c r="I946" s="126">
        <f t="shared" ca="1" si="129"/>
        <v>0</v>
      </c>
      <c r="J946" s="125">
        <f t="shared" ca="1" si="133"/>
        <v>0</v>
      </c>
      <c r="K946" s="151"/>
      <c r="L946" s="125">
        <f t="shared" ca="1" si="134"/>
        <v>0</v>
      </c>
      <c r="P946">
        <f t="shared" si="135"/>
        <v>939</v>
      </c>
      <c r="S946" s="126">
        <f t="shared" ca="1" si="130"/>
        <v>0</v>
      </c>
      <c r="T946" s="126">
        <f t="shared" ca="1" si="136"/>
        <v>0</v>
      </c>
    </row>
    <row r="947" spans="4:20">
      <c r="D947">
        <v>940</v>
      </c>
      <c r="E947" s="6">
        <f t="shared" ca="1" si="131"/>
        <v>24139</v>
      </c>
      <c r="F947" s="7">
        <f t="shared" ca="1" si="132"/>
        <v>0</v>
      </c>
      <c r="G947" s="125">
        <f ca="1">IF('Simulador - 1º Pilar'!$E$99="Sí",IF('Aportaciones Flex'!$B$13&lt;'Aportaciones Flex'!E947,0,F947*$B$8/12),F947*$B$8/12)</f>
        <v>0</v>
      </c>
      <c r="H947" s="125">
        <f t="shared" ca="1" si="128"/>
        <v>0</v>
      </c>
      <c r="I947" s="126">
        <f t="shared" ca="1" si="129"/>
        <v>0</v>
      </c>
      <c r="J947" s="125">
        <f t="shared" ca="1" si="133"/>
        <v>0</v>
      </c>
      <c r="K947" s="151"/>
      <c r="L947" s="125">
        <f t="shared" ca="1" si="134"/>
        <v>0</v>
      </c>
      <c r="P947">
        <f t="shared" si="135"/>
        <v>940</v>
      </c>
      <c r="S947" s="126">
        <f t="shared" ca="1" si="130"/>
        <v>0</v>
      </c>
      <c r="T947" s="126">
        <f t="shared" ca="1" si="136"/>
        <v>0</v>
      </c>
    </row>
    <row r="948" spans="4:20">
      <c r="D948">
        <v>941</v>
      </c>
      <c r="E948" s="6">
        <f t="shared" ca="1" si="131"/>
        <v>24108</v>
      </c>
      <c r="F948" s="7">
        <f t="shared" ca="1" si="132"/>
        <v>0</v>
      </c>
      <c r="G948" s="125">
        <f ca="1">IF('Simulador - 1º Pilar'!$E$99="Sí",IF('Aportaciones Flex'!$B$13&lt;'Aportaciones Flex'!E948,0,F948*$B$8/12),F948*$B$8/12)</f>
        <v>0</v>
      </c>
      <c r="H948" s="125">
        <f t="shared" ca="1" si="128"/>
        <v>0</v>
      </c>
      <c r="I948" s="126">
        <f t="shared" ca="1" si="129"/>
        <v>0</v>
      </c>
      <c r="J948" s="125">
        <f t="shared" ca="1" si="133"/>
        <v>0</v>
      </c>
      <c r="K948" s="151"/>
      <c r="L948" s="125">
        <f t="shared" ca="1" si="134"/>
        <v>0</v>
      </c>
      <c r="P948">
        <f t="shared" si="135"/>
        <v>941</v>
      </c>
      <c r="S948" s="126">
        <f t="shared" ca="1" si="130"/>
        <v>0</v>
      </c>
      <c r="T948" s="126">
        <f t="shared" ca="1" si="136"/>
        <v>0</v>
      </c>
    </row>
    <row r="949" spans="4:20">
      <c r="D949">
        <v>942</v>
      </c>
      <c r="E949" s="6">
        <f t="shared" ca="1" si="131"/>
        <v>24077</v>
      </c>
      <c r="F949" s="7">
        <f t="shared" ca="1" si="132"/>
        <v>0</v>
      </c>
      <c r="G949" s="125">
        <f ca="1">IF('Simulador - 1º Pilar'!$E$99="Sí",IF('Aportaciones Flex'!$B$13&lt;'Aportaciones Flex'!E949,0,F949*$B$8/12),F949*$B$8/12)</f>
        <v>0</v>
      </c>
      <c r="H949" s="125">
        <f t="shared" ca="1" si="128"/>
        <v>0</v>
      </c>
      <c r="I949" s="126">
        <f t="shared" ca="1" si="129"/>
        <v>0</v>
      </c>
      <c r="J949" s="125">
        <f t="shared" ca="1" si="133"/>
        <v>0</v>
      </c>
      <c r="K949" s="151"/>
      <c r="L949" s="125">
        <f t="shared" ca="1" si="134"/>
        <v>0</v>
      </c>
      <c r="P949">
        <f t="shared" si="135"/>
        <v>942</v>
      </c>
      <c r="S949" s="126">
        <f t="shared" ca="1" si="130"/>
        <v>0</v>
      </c>
      <c r="T949" s="126">
        <f t="shared" ca="1" si="136"/>
        <v>0</v>
      </c>
    </row>
    <row r="950" spans="4:20">
      <c r="D950">
        <v>943</v>
      </c>
      <c r="E950" s="6">
        <f t="shared" ca="1" si="131"/>
        <v>24047</v>
      </c>
      <c r="F950" s="7">
        <f t="shared" ca="1" si="132"/>
        <v>0</v>
      </c>
      <c r="G950" s="125">
        <f ca="1">IF('Simulador - 1º Pilar'!$E$99="Sí",IF('Aportaciones Flex'!$B$13&lt;'Aportaciones Flex'!E950,0,F950*$B$8/12),F950*$B$8/12)</f>
        <v>0</v>
      </c>
      <c r="H950" s="125">
        <f t="shared" ca="1" si="128"/>
        <v>0</v>
      </c>
      <c r="I950" s="126">
        <f t="shared" ca="1" si="129"/>
        <v>0</v>
      </c>
      <c r="J950" s="125">
        <f t="shared" ca="1" si="133"/>
        <v>0</v>
      </c>
      <c r="K950" s="151"/>
      <c r="L950" s="125">
        <f t="shared" ca="1" si="134"/>
        <v>0</v>
      </c>
      <c r="P950">
        <f t="shared" si="135"/>
        <v>943</v>
      </c>
      <c r="S950" s="126">
        <f t="shared" ca="1" si="130"/>
        <v>0</v>
      </c>
      <c r="T950" s="126">
        <f t="shared" ca="1" si="136"/>
        <v>0</v>
      </c>
    </row>
    <row r="951" spans="4:20">
      <c r="D951">
        <v>944</v>
      </c>
      <c r="E951" s="6">
        <f t="shared" ca="1" si="131"/>
        <v>24016</v>
      </c>
      <c r="F951" s="7">
        <f t="shared" ca="1" si="132"/>
        <v>0</v>
      </c>
      <c r="G951" s="125">
        <f ca="1">IF('Simulador - 1º Pilar'!$E$99="Sí",IF('Aportaciones Flex'!$B$13&lt;'Aportaciones Flex'!E951,0,F951*$B$8/12),F951*$B$8/12)</f>
        <v>0</v>
      </c>
      <c r="H951" s="125">
        <f t="shared" ca="1" si="128"/>
        <v>0</v>
      </c>
      <c r="I951" s="126">
        <f t="shared" ca="1" si="129"/>
        <v>0</v>
      </c>
      <c r="J951" s="125">
        <f t="shared" ca="1" si="133"/>
        <v>0</v>
      </c>
      <c r="K951" s="151"/>
      <c r="L951" s="125">
        <f t="shared" ca="1" si="134"/>
        <v>0</v>
      </c>
      <c r="P951">
        <f t="shared" si="135"/>
        <v>944</v>
      </c>
      <c r="S951" s="126">
        <f t="shared" ca="1" si="130"/>
        <v>0</v>
      </c>
      <c r="T951" s="126">
        <f t="shared" ca="1" si="136"/>
        <v>0</v>
      </c>
    </row>
    <row r="952" spans="4:20">
      <c r="D952">
        <v>945</v>
      </c>
      <c r="E952" s="6">
        <f t="shared" ca="1" si="131"/>
        <v>23986</v>
      </c>
      <c r="F952" s="7">
        <f t="shared" ca="1" si="132"/>
        <v>0</v>
      </c>
      <c r="G952" s="125">
        <f ca="1">IF('Simulador - 1º Pilar'!$E$99="Sí",IF('Aportaciones Flex'!$B$13&lt;'Aportaciones Flex'!E952,0,F952*$B$8/12),F952*$B$8/12)</f>
        <v>0</v>
      </c>
      <c r="H952" s="125">
        <f t="shared" ca="1" si="128"/>
        <v>0</v>
      </c>
      <c r="I952" s="126">
        <f t="shared" ca="1" si="129"/>
        <v>0</v>
      </c>
      <c r="J952" s="125">
        <f t="shared" ca="1" si="133"/>
        <v>0</v>
      </c>
      <c r="K952" s="151"/>
      <c r="L952" s="125">
        <f t="shared" ca="1" si="134"/>
        <v>0</v>
      </c>
      <c r="P952">
        <f t="shared" si="135"/>
        <v>945</v>
      </c>
      <c r="S952" s="126">
        <f t="shared" ca="1" si="130"/>
        <v>0</v>
      </c>
      <c r="T952" s="126">
        <f t="shared" ca="1" si="136"/>
        <v>0</v>
      </c>
    </row>
    <row r="953" spans="4:20">
      <c r="D953">
        <v>946</v>
      </c>
      <c r="E953" s="6">
        <f t="shared" ca="1" si="131"/>
        <v>23955</v>
      </c>
      <c r="F953" s="7">
        <f t="shared" ca="1" si="132"/>
        <v>0</v>
      </c>
      <c r="G953" s="125">
        <f ca="1">IF('Simulador - 1º Pilar'!$E$99="Sí",IF('Aportaciones Flex'!$B$13&lt;'Aportaciones Flex'!E953,0,F953*$B$8/12),F953*$B$8/12)</f>
        <v>0</v>
      </c>
      <c r="H953" s="125">
        <f t="shared" ca="1" si="128"/>
        <v>0</v>
      </c>
      <c r="I953" s="126">
        <f t="shared" ca="1" si="129"/>
        <v>0</v>
      </c>
      <c r="J953" s="125">
        <f t="shared" ca="1" si="133"/>
        <v>0</v>
      </c>
      <c r="K953" s="151"/>
      <c r="L953" s="125">
        <f t="shared" ca="1" si="134"/>
        <v>0</v>
      </c>
      <c r="P953">
        <f t="shared" si="135"/>
        <v>946</v>
      </c>
      <c r="S953" s="126">
        <f t="shared" ca="1" si="130"/>
        <v>0</v>
      </c>
      <c r="T953" s="126">
        <f t="shared" ca="1" si="136"/>
        <v>0</v>
      </c>
    </row>
    <row r="954" spans="4:20">
      <c r="D954">
        <v>947</v>
      </c>
      <c r="E954" s="6">
        <f t="shared" ca="1" si="131"/>
        <v>23924</v>
      </c>
      <c r="F954" s="7">
        <f t="shared" ca="1" si="132"/>
        <v>0</v>
      </c>
      <c r="G954" s="125">
        <f ca="1">IF('Simulador - 1º Pilar'!$E$99="Sí",IF('Aportaciones Flex'!$B$13&lt;'Aportaciones Flex'!E954,0,F954*$B$8/12),F954*$B$8/12)</f>
        <v>0</v>
      </c>
      <c r="H954" s="125">
        <f t="shared" ca="1" si="128"/>
        <v>0</v>
      </c>
      <c r="I954" s="126">
        <f t="shared" ca="1" si="129"/>
        <v>0</v>
      </c>
      <c r="J954" s="125">
        <f t="shared" ca="1" si="133"/>
        <v>0</v>
      </c>
      <c r="K954" s="151"/>
      <c r="L954" s="125">
        <f t="shared" ca="1" si="134"/>
        <v>0</v>
      </c>
      <c r="P954">
        <f t="shared" si="135"/>
        <v>947</v>
      </c>
      <c r="S954" s="126">
        <f t="shared" ca="1" si="130"/>
        <v>0</v>
      </c>
      <c r="T954" s="126">
        <f t="shared" ca="1" si="136"/>
        <v>0</v>
      </c>
    </row>
    <row r="955" spans="4:20">
      <c r="D955">
        <v>948</v>
      </c>
      <c r="E955" s="6">
        <f t="shared" ca="1" si="131"/>
        <v>23894</v>
      </c>
      <c r="F955" s="7">
        <f t="shared" ca="1" si="132"/>
        <v>0</v>
      </c>
      <c r="G955" s="125">
        <f ca="1">IF('Simulador - 1º Pilar'!$E$99="Sí",IF('Aportaciones Flex'!$B$13&lt;'Aportaciones Flex'!E955,0,F955*$B$8/12),F955*$B$8/12)</f>
        <v>0</v>
      </c>
      <c r="H955" s="125">
        <f t="shared" ca="1" si="128"/>
        <v>0</v>
      </c>
      <c r="I955" s="126">
        <f t="shared" ca="1" si="129"/>
        <v>0</v>
      </c>
      <c r="J955" s="125">
        <f t="shared" ca="1" si="133"/>
        <v>0</v>
      </c>
      <c r="K955" s="151"/>
      <c r="L955" s="125">
        <f t="shared" ca="1" si="134"/>
        <v>0</v>
      </c>
      <c r="P955">
        <f t="shared" si="135"/>
        <v>948</v>
      </c>
      <c r="S955" s="126">
        <f t="shared" ca="1" si="130"/>
        <v>0</v>
      </c>
      <c r="T955" s="126">
        <f t="shared" ca="1" si="136"/>
        <v>0</v>
      </c>
    </row>
    <row r="956" spans="4:20">
      <c r="D956">
        <v>949</v>
      </c>
      <c r="E956" s="6">
        <f t="shared" ca="1" si="131"/>
        <v>23863</v>
      </c>
      <c r="F956" s="7">
        <f t="shared" ca="1" si="132"/>
        <v>0</v>
      </c>
      <c r="G956" s="125">
        <f ca="1">IF('Simulador - 1º Pilar'!$E$99="Sí",IF('Aportaciones Flex'!$B$13&lt;'Aportaciones Flex'!E956,0,F956*$B$8/12),F956*$B$8/12)</f>
        <v>0</v>
      </c>
      <c r="H956" s="125">
        <f t="shared" ca="1" si="128"/>
        <v>0</v>
      </c>
      <c r="I956" s="126">
        <f t="shared" ca="1" si="129"/>
        <v>0</v>
      </c>
      <c r="J956" s="125">
        <f t="shared" ca="1" si="133"/>
        <v>0</v>
      </c>
      <c r="K956" s="151"/>
      <c r="L956" s="125">
        <f t="shared" ca="1" si="134"/>
        <v>0</v>
      </c>
      <c r="P956">
        <f t="shared" si="135"/>
        <v>949</v>
      </c>
      <c r="S956" s="126">
        <f t="shared" ca="1" si="130"/>
        <v>0</v>
      </c>
      <c r="T956" s="126">
        <f t="shared" ca="1" si="136"/>
        <v>0</v>
      </c>
    </row>
    <row r="957" spans="4:20">
      <c r="D957">
        <v>950</v>
      </c>
      <c r="E957" s="6">
        <f t="shared" ca="1" si="131"/>
        <v>23833</v>
      </c>
      <c r="F957" s="7">
        <f t="shared" ca="1" si="132"/>
        <v>0</v>
      </c>
      <c r="G957" s="125">
        <f ca="1">IF('Simulador - 1º Pilar'!$E$99="Sí",IF('Aportaciones Flex'!$B$13&lt;'Aportaciones Flex'!E957,0,F957*$B$8/12),F957*$B$8/12)</f>
        <v>0</v>
      </c>
      <c r="H957" s="125">
        <f t="shared" ca="1" si="128"/>
        <v>0</v>
      </c>
      <c r="I957" s="126">
        <f t="shared" ca="1" si="129"/>
        <v>0</v>
      </c>
      <c r="J957" s="125">
        <f t="shared" ca="1" si="133"/>
        <v>0</v>
      </c>
      <c r="K957" s="151"/>
      <c r="L957" s="125">
        <f t="shared" ca="1" si="134"/>
        <v>0</v>
      </c>
      <c r="P957">
        <f t="shared" si="135"/>
        <v>950</v>
      </c>
      <c r="S957" s="126">
        <f t="shared" ca="1" si="130"/>
        <v>0</v>
      </c>
      <c r="T957" s="126">
        <f t="shared" ca="1" si="136"/>
        <v>0</v>
      </c>
    </row>
    <row r="958" spans="4:20">
      <c r="D958">
        <v>951</v>
      </c>
      <c r="E958" s="6">
        <f t="shared" ca="1" si="131"/>
        <v>23802</v>
      </c>
      <c r="F958" s="7">
        <f t="shared" ca="1" si="132"/>
        <v>0</v>
      </c>
      <c r="G958" s="125">
        <f ca="1">IF('Simulador - 1º Pilar'!$E$99="Sí",IF('Aportaciones Flex'!$B$13&lt;'Aportaciones Flex'!E958,0,F958*$B$8/12),F958*$B$8/12)</f>
        <v>0</v>
      </c>
      <c r="H958" s="125">
        <f t="shared" ca="1" si="128"/>
        <v>0</v>
      </c>
      <c r="I958" s="126">
        <f t="shared" ca="1" si="129"/>
        <v>0</v>
      </c>
      <c r="J958" s="125">
        <f t="shared" ca="1" si="133"/>
        <v>0</v>
      </c>
      <c r="K958" s="151"/>
      <c r="L958" s="125">
        <f t="shared" ca="1" si="134"/>
        <v>0</v>
      </c>
      <c r="P958">
        <f t="shared" si="135"/>
        <v>951</v>
      </c>
      <c r="S958" s="126">
        <f t="shared" ca="1" si="130"/>
        <v>0</v>
      </c>
      <c r="T958" s="126">
        <f t="shared" ca="1" si="136"/>
        <v>0</v>
      </c>
    </row>
    <row r="959" spans="4:20">
      <c r="D959">
        <v>952</v>
      </c>
      <c r="E959" s="6">
        <f t="shared" ca="1" si="131"/>
        <v>23774</v>
      </c>
      <c r="F959" s="7">
        <f t="shared" ca="1" si="132"/>
        <v>0</v>
      </c>
      <c r="G959" s="125">
        <f ca="1">IF('Simulador - 1º Pilar'!$E$99="Sí",IF('Aportaciones Flex'!$B$13&lt;'Aportaciones Flex'!E959,0,F959*$B$8/12),F959*$B$8/12)</f>
        <v>0</v>
      </c>
      <c r="H959" s="125">
        <f t="shared" ca="1" si="128"/>
        <v>0</v>
      </c>
      <c r="I959" s="126">
        <f t="shared" ca="1" si="129"/>
        <v>0</v>
      </c>
      <c r="J959" s="125">
        <f t="shared" ca="1" si="133"/>
        <v>0</v>
      </c>
      <c r="K959" s="151"/>
      <c r="L959" s="125">
        <f t="shared" ca="1" si="134"/>
        <v>0</v>
      </c>
      <c r="P959">
        <f t="shared" si="135"/>
        <v>952</v>
      </c>
      <c r="S959" s="126">
        <f t="shared" ca="1" si="130"/>
        <v>0</v>
      </c>
      <c r="T959" s="126">
        <f t="shared" ca="1" si="136"/>
        <v>0</v>
      </c>
    </row>
    <row r="960" spans="4:20">
      <c r="D960">
        <v>953</v>
      </c>
      <c r="E960" s="6">
        <f t="shared" ca="1" si="131"/>
        <v>23743</v>
      </c>
      <c r="F960" s="7">
        <f t="shared" ca="1" si="132"/>
        <v>0</v>
      </c>
      <c r="G960" s="125">
        <f ca="1">IF('Simulador - 1º Pilar'!$E$99="Sí",IF('Aportaciones Flex'!$B$13&lt;'Aportaciones Flex'!E960,0,F960*$B$8/12),F960*$B$8/12)</f>
        <v>0</v>
      </c>
      <c r="H960" s="125">
        <f t="shared" ca="1" si="128"/>
        <v>0</v>
      </c>
      <c r="I960" s="126">
        <f t="shared" ca="1" si="129"/>
        <v>0</v>
      </c>
      <c r="J960" s="125">
        <f t="shared" ca="1" si="133"/>
        <v>0</v>
      </c>
      <c r="K960" s="151"/>
      <c r="L960" s="125">
        <f t="shared" ca="1" si="134"/>
        <v>0</v>
      </c>
      <c r="P960">
        <f t="shared" si="135"/>
        <v>953</v>
      </c>
      <c r="S960" s="126">
        <f t="shared" ca="1" si="130"/>
        <v>0</v>
      </c>
      <c r="T960" s="126">
        <f t="shared" ca="1" si="136"/>
        <v>0</v>
      </c>
    </row>
    <row r="961" spans="4:20">
      <c r="D961">
        <v>954</v>
      </c>
      <c r="E961" s="6">
        <f t="shared" ca="1" si="131"/>
        <v>23712</v>
      </c>
      <c r="F961" s="7">
        <f t="shared" ca="1" si="132"/>
        <v>0</v>
      </c>
      <c r="G961" s="125">
        <f ca="1">IF('Simulador - 1º Pilar'!$E$99="Sí",IF('Aportaciones Flex'!$B$13&lt;'Aportaciones Flex'!E961,0,F961*$B$8/12),F961*$B$8/12)</f>
        <v>0</v>
      </c>
      <c r="H961" s="125">
        <f t="shared" ca="1" si="128"/>
        <v>0</v>
      </c>
      <c r="I961" s="126">
        <f t="shared" ca="1" si="129"/>
        <v>0</v>
      </c>
      <c r="J961" s="125">
        <f t="shared" ca="1" si="133"/>
        <v>0</v>
      </c>
      <c r="K961" s="151"/>
      <c r="L961" s="125">
        <f t="shared" ca="1" si="134"/>
        <v>0</v>
      </c>
      <c r="P961">
        <f t="shared" si="135"/>
        <v>954</v>
      </c>
      <c r="S961" s="126">
        <f t="shared" ca="1" si="130"/>
        <v>0</v>
      </c>
      <c r="T961" s="126">
        <f t="shared" ca="1" si="136"/>
        <v>0</v>
      </c>
    </row>
    <row r="962" spans="4:20">
      <c r="D962">
        <v>955</v>
      </c>
      <c r="E962" s="6">
        <f t="shared" ca="1" si="131"/>
        <v>23682</v>
      </c>
      <c r="F962" s="7">
        <f t="shared" ca="1" si="132"/>
        <v>0</v>
      </c>
      <c r="G962" s="125">
        <f ca="1">IF('Simulador - 1º Pilar'!$E$99="Sí",IF('Aportaciones Flex'!$B$13&lt;'Aportaciones Flex'!E962,0,F962*$B$8/12),F962*$B$8/12)</f>
        <v>0</v>
      </c>
      <c r="H962" s="125">
        <f t="shared" ref="H962:H1025" ca="1" si="137">IF(G962&gt;0,1,0)*$H$5*IF(AND($I$5="NO",YEAR(E962)=YEAR($B$6)+1),1,IF($I$5="SI",1,0))</f>
        <v>0</v>
      </c>
      <c r="I962" s="126">
        <f t="shared" ca="1" si="129"/>
        <v>0</v>
      </c>
      <c r="J962" s="125">
        <f t="shared" ca="1" si="133"/>
        <v>0</v>
      </c>
      <c r="K962" s="151"/>
      <c r="L962" s="125">
        <f t="shared" ca="1" si="134"/>
        <v>0</v>
      </c>
      <c r="P962">
        <f t="shared" si="135"/>
        <v>955</v>
      </c>
      <c r="S962" s="126">
        <f t="shared" ca="1" si="130"/>
        <v>0</v>
      </c>
      <c r="T962" s="126">
        <f t="shared" ca="1" si="136"/>
        <v>0</v>
      </c>
    </row>
    <row r="963" spans="4:20">
      <c r="D963">
        <v>956</v>
      </c>
      <c r="E963" s="6">
        <f t="shared" ca="1" si="131"/>
        <v>23651</v>
      </c>
      <c r="F963" s="7">
        <f t="shared" ca="1" si="132"/>
        <v>0</v>
      </c>
      <c r="G963" s="125">
        <f ca="1">IF('Simulador - 1º Pilar'!$E$99="Sí",IF('Aportaciones Flex'!$B$13&lt;'Aportaciones Flex'!E963,0,F963*$B$8/12),F963*$B$8/12)</f>
        <v>0</v>
      </c>
      <c r="H963" s="125">
        <f t="shared" ca="1" si="137"/>
        <v>0</v>
      </c>
      <c r="I963" s="126">
        <f t="shared" ca="1" si="129"/>
        <v>0</v>
      </c>
      <c r="J963" s="125">
        <f t="shared" ca="1" si="133"/>
        <v>0</v>
      </c>
      <c r="K963" s="151"/>
      <c r="L963" s="125">
        <f t="shared" ca="1" si="134"/>
        <v>0</v>
      </c>
      <c r="P963">
        <f t="shared" si="135"/>
        <v>956</v>
      </c>
      <c r="S963" s="126">
        <f t="shared" ca="1" si="130"/>
        <v>0</v>
      </c>
      <c r="T963" s="126">
        <f t="shared" ca="1" si="136"/>
        <v>0</v>
      </c>
    </row>
    <row r="964" spans="4:20">
      <c r="D964">
        <v>957</v>
      </c>
      <c r="E964" s="6">
        <f t="shared" ca="1" si="131"/>
        <v>23621</v>
      </c>
      <c r="F964" s="7">
        <f t="shared" ca="1" si="132"/>
        <v>0</v>
      </c>
      <c r="G964" s="125">
        <f ca="1">IF('Simulador - 1º Pilar'!$E$99="Sí",IF('Aportaciones Flex'!$B$13&lt;'Aportaciones Flex'!E964,0,F964*$B$8/12),F964*$B$8/12)</f>
        <v>0</v>
      </c>
      <c r="H964" s="125">
        <f t="shared" ca="1" si="137"/>
        <v>0</v>
      </c>
      <c r="I964" s="126">
        <f t="shared" ca="1" si="129"/>
        <v>0</v>
      </c>
      <c r="J964" s="125">
        <f t="shared" ca="1" si="133"/>
        <v>0</v>
      </c>
      <c r="K964" s="151"/>
      <c r="L964" s="125">
        <f t="shared" ca="1" si="134"/>
        <v>0</v>
      </c>
      <c r="P964">
        <f t="shared" si="135"/>
        <v>957</v>
      </c>
      <c r="S964" s="126">
        <f t="shared" ca="1" si="130"/>
        <v>0</v>
      </c>
      <c r="T964" s="126">
        <f t="shared" ca="1" si="136"/>
        <v>0</v>
      </c>
    </row>
    <row r="965" spans="4:20">
      <c r="D965">
        <v>958</v>
      </c>
      <c r="E965" s="6">
        <f t="shared" ca="1" si="131"/>
        <v>23590</v>
      </c>
      <c r="F965" s="7">
        <f t="shared" ca="1" si="132"/>
        <v>0</v>
      </c>
      <c r="G965" s="125">
        <f ca="1">IF('Simulador - 1º Pilar'!$E$99="Sí",IF('Aportaciones Flex'!$B$13&lt;'Aportaciones Flex'!E965,0,F965*$B$8/12),F965*$B$8/12)</f>
        <v>0</v>
      </c>
      <c r="H965" s="125">
        <f t="shared" ca="1" si="137"/>
        <v>0</v>
      </c>
      <c r="I965" s="126">
        <f t="shared" ca="1" si="129"/>
        <v>0</v>
      </c>
      <c r="J965" s="125">
        <f t="shared" ca="1" si="133"/>
        <v>0</v>
      </c>
      <c r="K965" s="151"/>
      <c r="L965" s="125">
        <f t="shared" ca="1" si="134"/>
        <v>0</v>
      </c>
      <c r="P965">
        <f t="shared" si="135"/>
        <v>958</v>
      </c>
      <c r="S965" s="126">
        <f t="shared" ca="1" si="130"/>
        <v>0</v>
      </c>
      <c r="T965" s="126">
        <f t="shared" ca="1" si="136"/>
        <v>0</v>
      </c>
    </row>
    <row r="966" spans="4:20">
      <c r="D966">
        <v>959</v>
      </c>
      <c r="E966" s="6">
        <f t="shared" ca="1" si="131"/>
        <v>23559</v>
      </c>
      <c r="F966" s="7">
        <f t="shared" ca="1" si="132"/>
        <v>0</v>
      </c>
      <c r="G966" s="125">
        <f ca="1">IF('Simulador - 1º Pilar'!$E$99="Sí",IF('Aportaciones Flex'!$B$13&lt;'Aportaciones Flex'!E966,0,F966*$B$8/12),F966*$B$8/12)</f>
        <v>0</v>
      </c>
      <c r="H966" s="125">
        <f t="shared" ca="1" si="137"/>
        <v>0</v>
      </c>
      <c r="I966" s="126">
        <f t="shared" ca="1" si="129"/>
        <v>0</v>
      </c>
      <c r="J966" s="125">
        <f t="shared" ca="1" si="133"/>
        <v>0</v>
      </c>
      <c r="K966" s="151"/>
      <c r="L966" s="125">
        <f t="shared" ca="1" si="134"/>
        <v>0</v>
      </c>
      <c r="P966">
        <f t="shared" si="135"/>
        <v>959</v>
      </c>
      <c r="S966" s="126">
        <f t="shared" ca="1" si="130"/>
        <v>0</v>
      </c>
      <c r="T966" s="126">
        <f t="shared" ca="1" si="136"/>
        <v>0</v>
      </c>
    </row>
    <row r="967" spans="4:20">
      <c r="D967">
        <v>960</v>
      </c>
      <c r="E967" s="6">
        <f t="shared" ca="1" si="131"/>
        <v>23529</v>
      </c>
      <c r="F967" s="7">
        <f t="shared" ca="1" si="132"/>
        <v>0</v>
      </c>
      <c r="G967" s="125">
        <f ca="1">IF('Simulador - 1º Pilar'!$E$99="Sí",IF('Aportaciones Flex'!$B$13&lt;'Aportaciones Flex'!E967,0,F967*$B$8/12),F967*$B$8/12)</f>
        <v>0</v>
      </c>
      <c r="H967" s="125">
        <f t="shared" ca="1" si="137"/>
        <v>0</v>
      </c>
      <c r="I967" s="126">
        <f t="shared" ref="I967:I1030" ca="1" si="138">(1+$M$5)^(D967/12)*(H967*(12-IF(MONTH(E968)=12,0,MONTH(E968)))+IF(AND(F967=1,F968=0),$Q$4,0))*IF(AND(F967=1,F968=0),1,0)</f>
        <v>0</v>
      </c>
      <c r="J967" s="125">
        <f t="shared" ca="1" si="133"/>
        <v>0</v>
      </c>
      <c r="K967" s="151"/>
      <c r="L967" s="125">
        <f t="shared" ca="1" si="134"/>
        <v>0</v>
      </c>
      <c r="P967">
        <f t="shared" si="135"/>
        <v>960</v>
      </c>
      <c r="S967" s="126">
        <f t="shared" ref="S967:S1030" ca="1" si="139">(1+$M$5)^(D967/12)*(IF(E967=$C$6,$Q$4+$H$5*12,0))</f>
        <v>0</v>
      </c>
      <c r="T967" s="126">
        <f t="shared" ca="1" si="136"/>
        <v>0</v>
      </c>
    </row>
    <row r="968" spans="4:20">
      <c r="D968">
        <v>961</v>
      </c>
      <c r="E968" s="6">
        <f t="shared" ref="E968:E1031" ca="1" si="140">+DATE(YEAR(E967),MONTH(E967)-1,DAY(E967))</f>
        <v>23498</v>
      </c>
      <c r="F968" s="7">
        <f t="shared" ref="F968:F1031" ca="1" si="141">IF(DATE(YEAR($B$6),MONTH($B$6)+1,DAY(1))=E968,1,IF(MONTH(E968)=1,F969*(1+$F$5),F969))</f>
        <v>0</v>
      </c>
      <c r="G968" s="125">
        <f ca="1">IF('Simulador - 1º Pilar'!$E$99="Sí",IF('Aportaciones Flex'!$B$13&lt;'Aportaciones Flex'!E968,0,F968*$B$8/12),F968*$B$8/12)</f>
        <v>0</v>
      </c>
      <c r="H968" s="125">
        <f t="shared" ca="1" si="137"/>
        <v>0</v>
      </c>
      <c r="I968" s="126">
        <f t="shared" ca="1" si="138"/>
        <v>0</v>
      </c>
      <c r="J968" s="125">
        <f t="shared" ref="J968:J1031" ca="1" si="142">(1+$M$5)^(D968/12)*(H968+IF(AND(F968=1,F969=0),$Q$4,0))</f>
        <v>0</v>
      </c>
      <c r="K968" s="151"/>
      <c r="L968" s="125">
        <f t="shared" ref="L968:L1031" ca="1" si="143">K968+J968</f>
        <v>0</v>
      </c>
      <c r="P968">
        <f t="shared" ref="P968:P1031" si="144">D968</f>
        <v>961</v>
      </c>
      <c r="S968" s="126">
        <f t="shared" ca="1" si="139"/>
        <v>0</v>
      </c>
      <c r="T968" s="126">
        <f t="shared" ref="T968:T1031" ca="1" si="145">(1+$M$5)^(D968/12)*(IF(YEAR(E968)&gt;YEAR($C$6),L968,0)+IF(E968=$C$6,$H$5*12+$Q$4,0))</f>
        <v>0</v>
      </c>
    </row>
    <row r="969" spans="4:20">
      <c r="D969">
        <v>962</v>
      </c>
      <c r="E969" s="6">
        <f t="shared" ca="1" si="140"/>
        <v>23468</v>
      </c>
      <c r="F969" s="7">
        <f t="shared" ca="1" si="141"/>
        <v>0</v>
      </c>
      <c r="G969" s="125">
        <f ca="1">IF('Simulador - 1º Pilar'!$E$99="Sí",IF('Aportaciones Flex'!$B$13&lt;'Aportaciones Flex'!E969,0,F969*$B$8/12),F969*$B$8/12)</f>
        <v>0</v>
      </c>
      <c r="H969" s="125">
        <f t="shared" ca="1" si="137"/>
        <v>0</v>
      </c>
      <c r="I969" s="126">
        <f t="shared" ca="1" si="138"/>
        <v>0</v>
      </c>
      <c r="J969" s="125">
        <f t="shared" ca="1" si="142"/>
        <v>0</v>
      </c>
      <c r="K969" s="151"/>
      <c r="L969" s="125">
        <f t="shared" ca="1" si="143"/>
        <v>0</v>
      </c>
      <c r="P969">
        <f t="shared" si="144"/>
        <v>962</v>
      </c>
      <c r="S969" s="126">
        <f t="shared" ca="1" si="139"/>
        <v>0</v>
      </c>
      <c r="T969" s="126">
        <f t="shared" ca="1" si="145"/>
        <v>0</v>
      </c>
    </row>
    <row r="970" spans="4:20">
      <c r="D970">
        <v>963</v>
      </c>
      <c r="E970" s="6">
        <f t="shared" ca="1" si="140"/>
        <v>23437</v>
      </c>
      <c r="F970" s="7">
        <f t="shared" ca="1" si="141"/>
        <v>0</v>
      </c>
      <c r="G970" s="125">
        <f ca="1">IF('Simulador - 1º Pilar'!$E$99="Sí",IF('Aportaciones Flex'!$B$13&lt;'Aportaciones Flex'!E970,0,F970*$B$8/12),F970*$B$8/12)</f>
        <v>0</v>
      </c>
      <c r="H970" s="125">
        <f t="shared" ca="1" si="137"/>
        <v>0</v>
      </c>
      <c r="I970" s="126">
        <f t="shared" ca="1" si="138"/>
        <v>0</v>
      </c>
      <c r="J970" s="125">
        <f t="shared" ca="1" si="142"/>
        <v>0</v>
      </c>
      <c r="K970" s="151"/>
      <c r="L970" s="125">
        <f t="shared" ca="1" si="143"/>
        <v>0</v>
      </c>
      <c r="P970">
        <f t="shared" si="144"/>
        <v>963</v>
      </c>
      <c r="S970" s="126">
        <f t="shared" ca="1" si="139"/>
        <v>0</v>
      </c>
      <c r="T970" s="126">
        <f t="shared" ca="1" si="145"/>
        <v>0</v>
      </c>
    </row>
    <row r="971" spans="4:20">
      <c r="D971">
        <v>964</v>
      </c>
      <c r="E971" s="6">
        <f t="shared" ca="1" si="140"/>
        <v>23408</v>
      </c>
      <c r="F971" s="7">
        <f t="shared" ca="1" si="141"/>
        <v>0</v>
      </c>
      <c r="G971" s="125">
        <f ca="1">IF('Simulador - 1º Pilar'!$E$99="Sí",IF('Aportaciones Flex'!$B$13&lt;'Aportaciones Flex'!E971,0,F971*$B$8/12),F971*$B$8/12)</f>
        <v>0</v>
      </c>
      <c r="H971" s="125">
        <f t="shared" ca="1" si="137"/>
        <v>0</v>
      </c>
      <c r="I971" s="126">
        <f t="shared" ca="1" si="138"/>
        <v>0</v>
      </c>
      <c r="J971" s="125">
        <f t="shared" ca="1" si="142"/>
        <v>0</v>
      </c>
      <c r="K971" s="151"/>
      <c r="L971" s="125">
        <f t="shared" ca="1" si="143"/>
        <v>0</v>
      </c>
      <c r="P971">
        <f t="shared" si="144"/>
        <v>964</v>
      </c>
      <c r="S971" s="126">
        <f t="shared" ca="1" si="139"/>
        <v>0</v>
      </c>
      <c r="T971" s="126">
        <f t="shared" ca="1" si="145"/>
        <v>0</v>
      </c>
    </row>
    <row r="972" spans="4:20">
      <c r="D972">
        <v>965</v>
      </c>
      <c r="E972" s="6">
        <f t="shared" ca="1" si="140"/>
        <v>23377</v>
      </c>
      <c r="F972" s="7">
        <f t="shared" ca="1" si="141"/>
        <v>0</v>
      </c>
      <c r="G972" s="125">
        <f ca="1">IF('Simulador - 1º Pilar'!$E$99="Sí",IF('Aportaciones Flex'!$B$13&lt;'Aportaciones Flex'!E972,0,F972*$B$8/12),F972*$B$8/12)</f>
        <v>0</v>
      </c>
      <c r="H972" s="125">
        <f t="shared" ca="1" si="137"/>
        <v>0</v>
      </c>
      <c r="I972" s="126">
        <f t="shared" ca="1" si="138"/>
        <v>0</v>
      </c>
      <c r="J972" s="125">
        <f t="shared" ca="1" si="142"/>
        <v>0</v>
      </c>
      <c r="K972" s="151"/>
      <c r="L972" s="125">
        <f t="shared" ca="1" si="143"/>
        <v>0</v>
      </c>
      <c r="P972">
        <f t="shared" si="144"/>
        <v>965</v>
      </c>
      <c r="S972" s="126">
        <f t="shared" ca="1" si="139"/>
        <v>0</v>
      </c>
      <c r="T972" s="126">
        <f t="shared" ca="1" si="145"/>
        <v>0</v>
      </c>
    </row>
    <row r="973" spans="4:20">
      <c r="D973">
        <v>966</v>
      </c>
      <c r="E973" s="6">
        <f t="shared" ca="1" si="140"/>
        <v>23346</v>
      </c>
      <c r="F973" s="7">
        <f t="shared" ca="1" si="141"/>
        <v>0</v>
      </c>
      <c r="G973" s="125">
        <f ca="1">IF('Simulador - 1º Pilar'!$E$99="Sí",IF('Aportaciones Flex'!$B$13&lt;'Aportaciones Flex'!E973,0,F973*$B$8/12),F973*$B$8/12)</f>
        <v>0</v>
      </c>
      <c r="H973" s="125">
        <f t="shared" ca="1" si="137"/>
        <v>0</v>
      </c>
      <c r="I973" s="126">
        <f t="shared" ca="1" si="138"/>
        <v>0</v>
      </c>
      <c r="J973" s="125">
        <f t="shared" ca="1" si="142"/>
        <v>0</v>
      </c>
      <c r="K973" s="151"/>
      <c r="L973" s="125">
        <f t="shared" ca="1" si="143"/>
        <v>0</v>
      </c>
      <c r="P973">
        <f t="shared" si="144"/>
        <v>966</v>
      </c>
      <c r="S973" s="126">
        <f t="shared" ca="1" si="139"/>
        <v>0</v>
      </c>
      <c r="T973" s="126">
        <f t="shared" ca="1" si="145"/>
        <v>0</v>
      </c>
    </row>
    <row r="974" spans="4:20">
      <c r="D974">
        <v>967</v>
      </c>
      <c r="E974" s="6">
        <f t="shared" ca="1" si="140"/>
        <v>23316</v>
      </c>
      <c r="F974" s="7">
        <f t="shared" ca="1" si="141"/>
        <v>0</v>
      </c>
      <c r="G974" s="125">
        <f ca="1">IF('Simulador - 1º Pilar'!$E$99="Sí",IF('Aportaciones Flex'!$B$13&lt;'Aportaciones Flex'!E974,0,F974*$B$8/12),F974*$B$8/12)</f>
        <v>0</v>
      </c>
      <c r="H974" s="125">
        <f t="shared" ca="1" si="137"/>
        <v>0</v>
      </c>
      <c r="I974" s="126">
        <f t="shared" ca="1" si="138"/>
        <v>0</v>
      </c>
      <c r="J974" s="125">
        <f t="shared" ca="1" si="142"/>
        <v>0</v>
      </c>
      <c r="K974" s="151"/>
      <c r="L974" s="125">
        <f t="shared" ca="1" si="143"/>
        <v>0</v>
      </c>
      <c r="P974">
        <f t="shared" si="144"/>
        <v>967</v>
      </c>
      <c r="S974" s="126">
        <f t="shared" ca="1" si="139"/>
        <v>0</v>
      </c>
      <c r="T974" s="126">
        <f t="shared" ca="1" si="145"/>
        <v>0</v>
      </c>
    </row>
    <row r="975" spans="4:20">
      <c r="D975">
        <v>968</v>
      </c>
      <c r="E975" s="6">
        <f t="shared" ca="1" si="140"/>
        <v>23285</v>
      </c>
      <c r="F975" s="7">
        <f t="shared" ca="1" si="141"/>
        <v>0</v>
      </c>
      <c r="G975" s="125">
        <f ca="1">IF('Simulador - 1º Pilar'!$E$99="Sí",IF('Aportaciones Flex'!$B$13&lt;'Aportaciones Flex'!E975,0,F975*$B$8/12),F975*$B$8/12)</f>
        <v>0</v>
      </c>
      <c r="H975" s="125">
        <f t="shared" ca="1" si="137"/>
        <v>0</v>
      </c>
      <c r="I975" s="126">
        <f t="shared" ca="1" si="138"/>
        <v>0</v>
      </c>
      <c r="J975" s="125">
        <f t="shared" ca="1" si="142"/>
        <v>0</v>
      </c>
      <c r="K975" s="151"/>
      <c r="L975" s="125">
        <f t="shared" ca="1" si="143"/>
        <v>0</v>
      </c>
      <c r="P975">
        <f t="shared" si="144"/>
        <v>968</v>
      </c>
      <c r="S975" s="126">
        <f t="shared" ca="1" si="139"/>
        <v>0</v>
      </c>
      <c r="T975" s="126">
        <f t="shared" ca="1" si="145"/>
        <v>0</v>
      </c>
    </row>
    <row r="976" spans="4:20">
      <c r="D976">
        <v>969</v>
      </c>
      <c r="E976" s="6">
        <f t="shared" ca="1" si="140"/>
        <v>23255</v>
      </c>
      <c r="F976" s="7">
        <f t="shared" ca="1" si="141"/>
        <v>0</v>
      </c>
      <c r="G976" s="125">
        <f ca="1">IF('Simulador - 1º Pilar'!$E$99="Sí",IF('Aportaciones Flex'!$B$13&lt;'Aportaciones Flex'!E976,0,F976*$B$8/12),F976*$B$8/12)</f>
        <v>0</v>
      </c>
      <c r="H976" s="125">
        <f t="shared" ca="1" si="137"/>
        <v>0</v>
      </c>
      <c r="I976" s="126">
        <f t="shared" ca="1" si="138"/>
        <v>0</v>
      </c>
      <c r="J976" s="125">
        <f t="shared" ca="1" si="142"/>
        <v>0</v>
      </c>
      <c r="K976" s="151"/>
      <c r="L976" s="125">
        <f t="shared" ca="1" si="143"/>
        <v>0</v>
      </c>
      <c r="P976">
        <f t="shared" si="144"/>
        <v>969</v>
      </c>
      <c r="S976" s="126">
        <f t="shared" ca="1" si="139"/>
        <v>0</v>
      </c>
      <c r="T976" s="126">
        <f t="shared" ca="1" si="145"/>
        <v>0</v>
      </c>
    </row>
    <row r="977" spans="4:20">
      <c r="D977">
        <v>970</v>
      </c>
      <c r="E977" s="6">
        <f t="shared" ca="1" si="140"/>
        <v>23224</v>
      </c>
      <c r="F977" s="7">
        <f t="shared" ca="1" si="141"/>
        <v>0</v>
      </c>
      <c r="G977" s="125">
        <f ca="1">IF('Simulador - 1º Pilar'!$E$99="Sí",IF('Aportaciones Flex'!$B$13&lt;'Aportaciones Flex'!E977,0,F977*$B$8/12),F977*$B$8/12)</f>
        <v>0</v>
      </c>
      <c r="H977" s="125">
        <f t="shared" ca="1" si="137"/>
        <v>0</v>
      </c>
      <c r="I977" s="126">
        <f t="shared" ca="1" si="138"/>
        <v>0</v>
      </c>
      <c r="J977" s="125">
        <f t="shared" ca="1" si="142"/>
        <v>0</v>
      </c>
      <c r="K977" s="151"/>
      <c r="L977" s="125">
        <f t="shared" ca="1" si="143"/>
        <v>0</v>
      </c>
      <c r="P977">
        <f t="shared" si="144"/>
        <v>970</v>
      </c>
      <c r="S977" s="126">
        <f t="shared" ca="1" si="139"/>
        <v>0</v>
      </c>
      <c r="T977" s="126">
        <f t="shared" ca="1" si="145"/>
        <v>0</v>
      </c>
    </row>
    <row r="978" spans="4:20">
      <c r="D978">
        <v>971</v>
      </c>
      <c r="E978" s="6">
        <f t="shared" ca="1" si="140"/>
        <v>23193</v>
      </c>
      <c r="F978" s="7">
        <f t="shared" ca="1" si="141"/>
        <v>0</v>
      </c>
      <c r="G978" s="125">
        <f ca="1">IF('Simulador - 1º Pilar'!$E$99="Sí",IF('Aportaciones Flex'!$B$13&lt;'Aportaciones Flex'!E978,0,F978*$B$8/12),F978*$B$8/12)</f>
        <v>0</v>
      </c>
      <c r="H978" s="125">
        <f t="shared" ca="1" si="137"/>
        <v>0</v>
      </c>
      <c r="I978" s="126">
        <f t="shared" ca="1" si="138"/>
        <v>0</v>
      </c>
      <c r="J978" s="125">
        <f t="shared" ca="1" si="142"/>
        <v>0</v>
      </c>
      <c r="K978" s="151"/>
      <c r="L978" s="125">
        <f t="shared" ca="1" si="143"/>
        <v>0</v>
      </c>
      <c r="P978">
        <f t="shared" si="144"/>
        <v>971</v>
      </c>
      <c r="S978" s="126">
        <f t="shared" ca="1" si="139"/>
        <v>0</v>
      </c>
      <c r="T978" s="126">
        <f t="shared" ca="1" si="145"/>
        <v>0</v>
      </c>
    </row>
    <row r="979" spans="4:20">
      <c r="D979">
        <v>972</v>
      </c>
      <c r="E979" s="6">
        <f t="shared" ca="1" si="140"/>
        <v>23163</v>
      </c>
      <c r="F979" s="7">
        <f t="shared" ca="1" si="141"/>
        <v>0</v>
      </c>
      <c r="G979" s="125">
        <f ca="1">IF('Simulador - 1º Pilar'!$E$99="Sí",IF('Aportaciones Flex'!$B$13&lt;'Aportaciones Flex'!E979,0,F979*$B$8/12),F979*$B$8/12)</f>
        <v>0</v>
      </c>
      <c r="H979" s="125">
        <f t="shared" ca="1" si="137"/>
        <v>0</v>
      </c>
      <c r="I979" s="126">
        <f t="shared" ca="1" si="138"/>
        <v>0</v>
      </c>
      <c r="J979" s="125">
        <f t="shared" ca="1" si="142"/>
        <v>0</v>
      </c>
      <c r="K979" s="151"/>
      <c r="L979" s="125">
        <f t="shared" ca="1" si="143"/>
        <v>0</v>
      </c>
      <c r="P979">
        <f t="shared" si="144"/>
        <v>972</v>
      </c>
      <c r="S979" s="126">
        <f t="shared" ca="1" si="139"/>
        <v>0</v>
      </c>
      <c r="T979" s="126">
        <f t="shared" ca="1" si="145"/>
        <v>0</v>
      </c>
    </row>
    <row r="980" spans="4:20">
      <c r="D980">
        <v>973</v>
      </c>
      <c r="E980" s="6">
        <f t="shared" ca="1" si="140"/>
        <v>23132</v>
      </c>
      <c r="F980" s="7">
        <f t="shared" ca="1" si="141"/>
        <v>0</v>
      </c>
      <c r="G980" s="125">
        <f ca="1">IF('Simulador - 1º Pilar'!$E$99="Sí",IF('Aportaciones Flex'!$B$13&lt;'Aportaciones Flex'!E980,0,F980*$B$8/12),F980*$B$8/12)</f>
        <v>0</v>
      </c>
      <c r="H980" s="125">
        <f t="shared" ca="1" si="137"/>
        <v>0</v>
      </c>
      <c r="I980" s="126">
        <f t="shared" ca="1" si="138"/>
        <v>0</v>
      </c>
      <c r="J980" s="125">
        <f t="shared" ca="1" si="142"/>
        <v>0</v>
      </c>
      <c r="K980" s="151"/>
      <c r="L980" s="125">
        <f t="shared" ca="1" si="143"/>
        <v>0</v>
      </c>
      <c r="P980">
        <f t="shared" si="144"/>
        <v>973</v>
      </c>
      <c r="S980" s="126">
        <f t="shared" ca="1" si="139"/>
        <v>0</v>
      </c>
      <c r="T980" s="126">
        <f t="shared" ca="1" si="145"/>
        <v>0</v>
      </c>
    </row>
    <row r="981" spans="4:20">
      <c r="D981">
        <v>974</v>
      </c>
      <c r="E981" s="6">
        <f t="shared" ca="1" si="140"/>
        <v>23102</v>
      </c>
      <c r="F981" s="7">
        <f t="shared" ca="1" si="141"/>
        <v>0</v>
      </c>
      <c r="G981" s="125">
        <f ca="1">IF('Simulador - 1º Pilar'!$E$99="Sí",IF('Aportaciones Flex'!$B$13&lt;'Aportaciones Flex'!E981,0,F981*$B$8/12),F981*$B$8/12)</f>
        <v>0</v>
      </c>
      <c r="H981" s="125">
        <f t="shared" ca="1" si="137"/>
        <v>0</v>
      </c>
      <c r="I981" s="126">
        <f t="shared" ca="1" si="138"/>
        <v>0</v>
      </c>
      <c r="J981" s="125">
        <f t="shared" ca="1" si="142"/>
        <v>0</v>
      </c>
      <c r="K981" s="151"/>
      <c r="L981" s="125">
        <f t="shared" ca="1" si="143"/>
        <v>0</v>
      </c>
      <c r="P981">
        <f t="shared" si="144"/>
        <v>974</v>
      </c>
      <c r="S981" s="126">
        <f t="shared" ca="1" si="139"/>
        <v>0</v>
      </c>
      <c r="T981" s="126">
        <f t="shared" ca="1" si="145"/>
        <v>0</v>
      </c>
    </row>
    <row r="982" spans="4:20">
      <c r="D982">
        <v>975</v>
      </c>
      <c r="E982" s="6">
        <f t="shared" ca="1" si="140"/>
        <v>23071</v>
      </c>
      <c r="F982" s="7">
        <f t="shared" ca="1" si="141"/>
        <v>0</v>
      </c>
      <c r="G982" s="125">
        <f ca="1">IF('Simulador - 1º Pilar'!$E$99="Sí",IF('Aportaciones Flex'!$B$13&lt;'Aportaciones Flex'!E982,0,F982*$B$8/12),F982*$B$8/12)</f>
        <v>0</v>
      </c>
      <c r="H982" s="125">
        <f t="shared" ca="1" si="137"/>
        <v>0</v>
      </c>
      <c r="I982" s="126">
        <f t="shared" ca="1" si="138"/>
        <v>0</v>
      </c>
      <c r="J982" s="125">
        <f t="shared" ca="1" si="142"/>
        <v>0</v>
      </c>
      <c r="K982" s="151"/>
      <c r="L982" s="125">
        <f t="shared" ca="1" si="143"/>
        <v>0</v>
      </c>
      <c r="P982">
        <f t="shared" si="144"/>
        <v>975</v>
      </c>
      <c r="S982" s="126">
        <f t="shared" ca="1" si="139"/>
        <v>0</v>
      </c>
      <c r="T982" s="126">
        <f t="shared" ca="1" si="145"/>
        <v>0</v>
      </c>
    </row>
    <row r="983" spans="4:20">
      <c r="D983">
        <v>976</v>
      </c>
      <c r="E983" s="6">
        <f t="shared" ca="1" si="140"/>
        <v>23043</v>
      </c>
      <c r="F983" s="7">
        <f t="shared" ca="1" si="141"/>
        <v>0</v>
      </c>
      <c r="G983" s="125">
        <f ca="1">IF('Simulador - 1º Pilar'!$E$99="Sí",IF('Aportaciones Flex'!$B$13&lt;'Aportaciones Flex'!E983,0,F983*$B$8/12),F983*$B$8/12)</f>
        <v>0</v>
      </c>
      <c r="H983" s="125">
        <f t="shared" ca="1" si="137"/>
        <v>0</v>
      </c>
      <c r="I983" s="126">
        <f t="shared" ca="1" si="138"/>
        <v>0</v>
      </c>
      <c r="J983" s="125">
        <f t="shared" ca="1" si="142"/>
        <v>0</v>
      </c>
      <c r="K983" s="151"/>
      <c r="L983" s="125">
        <f t="shared" ca="1" si="143"/>
        <v>0</v>
      </c>
      <c r="P983">
        <f t="shared" si="144"/>
        <v>976</v>
      </c>
      <c r="S983" s="126">
        <f t="shared" ca="1" si="139"/>
        <v>0</v>
      </c>
      <c r="T983" s="126">
        <f t="shared" ca="1" si="145"/>
        <v>0</v>
      </c>
    </row>
    <row r="984" spans="4:20">
      <c r="D984">
        <v>977</v>
      </c>
      <c r="E984" s="6">
        <f t="shared" ca="1" si="140"/>
        <v>23012</v>
      </c>
      <c r="F984" s="7">
        <f t="shared" ca="1" si="141"/>
        <v>0</v>
      </c>
      <c r="G984" s="125">
        <f ca="1">IF('Simulador - 1º Pilar'!$E$99="Sí",IF('Aportaciones Flex'!$B$13&lt;'Aportaciones Flex'!E984,0,F984*$B$8/12),F984*$B$8/12)</f>
        <v>0</v>
      </c>
      <c r="H984" s="125">
        <f t="shared" ca="1" si="137"/>
        <v>0</v>
      </c>
      <c r="I984" s="126">
        <f t="shared" ca="1" si="138"/>
        <v>0</v>
      </c>
      <c r="J984" s="125">
        <f t="shared" ca="1" si="142"/>
        <v>0</v>
      </c>
      <c r="K984" s="151"/>
      <c r="L984" s="125">
        <f t="shared" ca="1" si="143"/>
        <v>0</v>
      </c>
      <c r="P984">
        <f t="shared" si="144"/>
        <v>977</v>
      </c>
      <c r="S984" s="126">
        <f t="shared" ca="1" si="139"/>
        <v>0</v>
      </c>
      <c r="T984" s="126">
        <f t="shared" ca="1" si="145"/>
        <v>0</v>
      </c>
    </row>
    <row r="985" spans="4:20">
      <c r="D985">
        <v>978</v>
      </c>
      <c r="E985" s="6">
        <f t="shared" ca="1" si="140"/>
        <v>22981</v>
      </c>
      <c r="F985" s="7">
        <f t="shared" ca="1" si="141"/>
        <v>0</v>
      </c>
      <c r="G985" s="125">
        <f ca="1">IF('Simulador - 1º Pilar'!$E$99="Sí",IF('Aportaciones Flex'!$B$13&lt;'Aportaciones Flex'!E985,0,F985*$B$8/12),F985*$B$8/12)</f>
        <v>0</v>
      </c>
      <c r="H985" s="125">
        <f t="shared" ca="1" si="137"/>
        <v>0</v>
      </c>
      <c r="I985" s="126">
        <f t="shared" ca="1" si="138"/>
        <v>0</v>
      </c>
      <c r="J985" s="125">
        <f t="shared" ca="1" si="142"/>
        <v>0</v>
      </c>
      <c r="K985" s="151"/>
      <c r="L985" s="125">
        <f t="shared" ca="1" si="143"/>
        <v>0</v>
      </c>
      <c r="P985">
        <f t="shared" si="144"/>
        <v>978</v>
      </c>
      <c r="S985" s="126">
        <f t="shared" ca="1" si="139"/>
        <v>0</v>
      </c>
      <c r="T985" s="126">
        <f t="shared" ca="1" si="145"/>
        <v>0</v>
      </c>
    </row>
    <row r="986" spans="4:20">
      <c r="D986">
        <v>979</v>
      </c>
      <c r="E986" s="6">
        <f t="shared" ca="1" si="140"/>
        <v>22951</v>
      </c>
      <c r="F986" s="7">
        <f t="shared" ca="1" si="141"/>
        <v>0</v>
      </c>
      <c r="G986" s="125">
        <f ca="1">IF('Simulador - 1º Pilar'!$E$99="Sí",IF('Aportaciones Flex'!$B$13&lt;'Aportaciones Flex'!E986,0,F986*$B$8/12),F986*$B$8/12)</f>
        <v>0</v>
      </c>
      <c r="H986" s="125">
        <f t="shared" ca="1" si="137"/>
        <v>0</v>
      </c>
      <c r="I986" s="126">
        <f t="shared" ca="1" si="138"/>
        <v>0</v>
      </c>
      <c r="J986" s="125">
        <f t="shared" ca="1" si="142"/>
        <v>0</v>
      </c>
      <c r="K986" s="151"/>
      <c r="L986" s="125">
        <f t="shared" ca="1" si="143"/>
        <v>0</v>
      </c>
      <c r="P986">
        <f t="shared" si="144"/>
        <v>979</v>
      </c>
      <c r="S986" s="126">
        <f t="shared" ca="1" si="139"/>
        <v>0</v>
      </c>
      <c r="T986" s="126">
        <f t="shared" ca="1" si="145"/>
        <v>0</v>
      </c>
    </row>
    <row r="987" spans="4:20">
      <c r="D987">
        <v>980</v>
      </c>
      <c r="E987" s="6">
        <f t="shared" ca="1" si="140"/>
        <v>22920</v>
      </c>
      <c r="F987" s="7">
        <f t="shared" ca="1" si="141"/>
        <v>0</v>
      </c>
      <c r="G987" s="125">
        <f ca="1">IF('Simulador - 1º Pilar'!$E$99="Sí",IF('Aportaciones Flex'!$B$13&lt;'Aportaciones Flex'!E987,0,F987*$B$8/12),F987*$B$8/12)</f>
        <v>0</v>
      </c>
      <c r="H987" s="125">
        <f t="shared" ca="1" si="137"/>
        <v>0</v>
      </c>
      <c r="I987" s="126">
        <f t="shared" ca="1" si="138"/>
        <v>0</v>
      </c>
      <c r="J987" s="125">
        <f t="shared" ca="1" si="142"/>
        <v>0</v>
      </c>
      <c r="K987" s="151"/>
      <c r="L987" s="125">
        <f t="shared" ca="1" si="143"/>
        <v>0</v>
      </c>
      <c r="P987">
        <f t="shared" si="144"/>
        <v>980</v>
      </c>
      <c r="S987" s="126">
        <f t="shared" ca="1" si="139"/>
        <v>0</v>
      </c>
      <c r="T987" s="126">
        <f t="shared" ca="1" si="145"/>
        <v>0</v>
      </c>
    </row>
    <row r="988" spans="4:20">
      <c r="D988">
        <v>981</v>
      </c>
      <c r="E988" s="6">
        <f t="shared" ca="1" si="140"/>
        <v>22890</v>
      </c>
      <c r="F988" s="7">
        <f t="shared" ca="1" si="141"/>
        <v>0</v>
      </c>
      <c r="G988" s="125">
        <f ca="1">IF('Simulador - 1º Pilar'!$E$99="Sí",IF('Aportaciones Flex'!$B$13&lt;'Aportaciones Flex'!E988,0,F988*$B$8/12),F988*$B$8/12)</f>
        <v>0</v>
      </c>
      <c r="H988" s="125">
        <f t="shared" ca="1" si="137"/>
        <v>0</v>
      </c>
      <c r="I988" s="126">
        <f t="shared" ca="1" si="138"/>
        <v>0</v>
      </c>
      <c r="J988" s="125">
        <f t="shared" ca="1" si="142"/>
        <v>0</v>
      </c>
      <c r="K988" s="151"/>
      <c r="L988" s="125">
        <f t="shared" ca="1" si="143"/>
        <v>0</v>
      </c>
      <c r="P988">
        <f t="shared" si="144"/>
        <v>981</v>
      </c>
      <c r="S988" s="126">
        <f t="shared" ca="1" si="139"/>
        <v>0</v>
      </c>
      <c r="T988" s="126">
        <f t="shared" ca="1" si="145"/>
        <v>0</v>
      </c>
    </row>
    <row r="989" spans="4:20">
      <c r="D989">
        <v>982</v>
      </c>
      <c r="E989" s="6">
        <f t="shared" ca="1" si="140"/>
        <v>22859</v>
      </c>
      <c r="F989" s="7">
        <f t="shared" ca="1" si="141"/>
        <v>0</v>
      </c>
      <c r="G989" s="125">
        <f ca="1">IF('Simulador - 1º Pilar'!$E$99="Sí",IF('Aportaciones Flex'!$B$13&lt;'Aportaciones Flex'!E989,0,F989*$B$8/12),F989*$B$8/12)</f>
        <v>0</v>
      </c>
      <c r="H989" s="125">
        <f t="shared" ca="1" si="137"/>
        <v>0</v>
      </c>
      <c r="I989" s="126">
        <f t="shared" ca="1" si="138"/>
        <v>0</v>
      </c>
      <c r="J989" s="125">
        <f t="shared" ca="1" si="142"/>
        <v>0</v>
      </c>
      <c r="K989" s="151"/>
      <c r="L989" s="125">
        <f t="shared" ca="1" si="143"/>
        <v>0</v>
      </c>
      <c r="P989">
        <f t="shared" si="144"/>
        <v>982</v>
      </c>
      <c r="S989" s="126">
        <f t="shared" ca="1" si="139"/>
        <v>0</v>
      </c>
      <c r="T989" s="126">
        <f t="shared" ca="1" si="145"/>
        <v>0</v>
      </c>
    </row>
    <row r="990" spans="4:20">
      <c r="D990">
        <v>983</v>
      </c>
      <c r="E990" s="6">
        <f t="shared" ca="1" si="140"/>
        <v>22828</v>
      </c>
      <c r="F990" s="7">
        <f t="shared" ca="1" si="141"/>
        <v>0</v>
      </c>
      <c r="G990" s="125">
        <f ca="1">IF('Simulador - 1º Pilar'!$E$99="Sí",IF('Aportaciones Flex'!$B$13&lt;'Aportaciones Flex'!E990,0,F990*$B$8/12),F990*$B$8/12)</f>
        <v>0</v>
      </c>
      <c r="H990" s="125">
        <f t="shared" ca="1" si="137"/>
        <v>0</v>
      </c>
      <c r="I990" s="126">
        <f t="shared" ca="1" si="138"/>
        <v>0</v>
      </c>
      <c r="J990" s="125">
        <f t="shared" ca="1" si="142"/>
        <v>0</v>
      </c>
      <c r="K990" s="151"/>
      <c r="L990" s="125">
        <f t="shared" ca="1" si="143"/>
        <v>0</v>
      </c>
      <c r="P990">
        <f t="shared" si="144"/>
        <v>983</v>
      </c>
      <c r="S990" s="126">
        <f t="shared" ca="1" si="139"/>
        <v>0</v>
      </c>
      <c r="T990" s="126">
        <f t="shared" ca="1" si="145"/>
        <v>0</v>
      </c>
    </row>
    <row r="991" spans="4:20">
      <c r="D991">
        <v>984</v>
      </c>
      <c r="E991" s="6">
        <f t="shared" ca="1" si="140"/>
        <v>22798</v>
      </c>
      <c r="F991" s="7">
        <f t="shared" ca="1" si="141"/>
        <v>0</v>
      </c>
      <c r="G991" s="125">
        <f ca="1">IF('Simulador - 1º Pilar'!$E$99="Sí",IF('Aportaciones Flex'!$B$13&lt;'Aportaciones Flex'!E991,0,F991*$B$8/12),F991*$B$8/12)</f>
        <v>0</v>
      </c>
      <c r="H991" s="125">
        <f t="shared" ca="1" si="137"/>
        <v>0</v>
      </c>
      <c r="I991" s="126">
        <f t="shared" ca="1" si="138"/>
        <v>0</v>
      </c>
      <c r="J991" s="125">
        <f t="shared" ca="1" si="142"/>
        <v>0</v>
      </c>
      <c r="K991" s="151"/>
      <c r="L991" s="125">
        <f t="shared" ca="1" si="143"/>
        <v>0</v>
      </c>
      <c r="P991">
        <f t="shared" si="144"/>
        <v>984</v>
      </c>
      <c r="S991" s="126">
        <f t="shared" ca="1" si="139"/>
        <v>0</v>
      </c>
      <c r="T991" s="126">
        <f t="shared" ca="1" si="145"/>
        <v>0</v>
      </c>
    </row>
    <row r="992" spans="4:20">
      <c r="D992">
        <v>985</v>
      </c>
      <c r="E992" s="6">
        <f t="shared" ca="1" si="140"/>
        <v>22767</v>
      </c>
      <c r="F992" s="7">
        <f t="shared" ca="1" si="141"/>
        <v>0</v>
      </c>
      <c r="G992" s="125">
        <f ca="1">IF('Simulador - 1º Pilar'!$E$99="Sí",IF('Aportaciones Flex'!$B$13&lt;'Aportaciones Flex'!E992,0,F992*$B$8/12),F992*$B$8/12)</f>
        <v>0</v>
      </c>
      <c r="H992" s="125">
        <f t="shared" ca="1" si="137"/>
        <v>0</v>
      </c>
      <c r="I992" s="126">
        <f t="shared" ca="1" si="138"/>
        <v>0</v>
      </c>
      <c r="J992" s="125">
        <f t="shared" ca="1" si="142"/>
        <v>0</v>
      </c>
      <c r="K992" s="151"/>
      <c r="L992" s="125">
        <f t="shared" ca="1" si="143"/>
        <v>0</v>
      </c>
      <c r="P992">
        <f t="shared" si="144"/>
        <v>985</v>
      </c>
      <c r="S992" s="126">
        <f t="shared" ca="1" si="139"/>
        <v>0</v>
      </c>
      <c r="T992" s="126">
        <f t="shared" ca="1" si="145"/>
        <v>0</v>
      </c>
    </row>
    <row r="993" spans="4:20">
      <c r="D993">
        <v>986</v>
      </c>
      <c r="E993" s="6">
        <f t="shared" ca="1" si="140"/>
        <v>22737</v>
      </c>
      <c r="F993" s="7">
        <f t="shared" ca="1" si="141"/>
        <v>0</v>
      </c>
      <c r="G993" s="125">
        <f ca="1">IF('Simulador - 1º Pilar'!$E$99="Sí",IF('Aportaciones Flex'!$B$13&lt;'Aportaciones Flex'!E993,0,F993*$B$8/12),F993*$B$8/12)</f>
        <v>0</v>
      </c>
      <c r="H993" s="125">
        <f t="shared" ca="1" si="137"/>
        <v>0</v>
      </c>
      <c r="I993" s="126">
        <f t="shared" ca="1" si="138"/>
        <v>0</v>
      </c>
      <c r="J993" s="125">
        <f t="shared" ca="1" si="142"/>
        <v>0</v>
      </c>
      <c r="K993" s="151"/>
      <c r="L993" s="125">
        <f t="shared" ca="1" si="143"/>
        <v>0</v>
      </c>
      <c r="P993">
        <f t="shared" si="144"/>
        <v>986</v>
      </c>
      <c r="S993" s="126">
        <f t="shared" ca="1" si="139"/>
        <v>0</v>
      </c>
      <c r="T993" s="126">
        <f t="shared" ca="1" si="145"/>
        <v>0</v>
      </c>
    </row>
    <row r="994" spans="4:20">
      <c r="D994">
        <v>987</v>
      </c>
      <c r="E994" s="6">
        <f t="shared" ca="1" si="140"/>
        <v>22706</v>
      </c>
      <c r="F994" s="7">
        <f t="shared" ca="1" si="141"/>
        <v>0</v>
      </c>
      <c r="G994" s="125">
        <f ca="1">IF('Simulador - 1º Pilar'!$E$99="Sí",IF('Aportaciones Flex'!$B$13&lt;'Aportaciones Flex'!E994,0,F994*$B$8/12),F994*$B$8/12)</f>
        <v>0</v>
      </c>
      <c r="H994" s="125">
        <f t="shared" ca="1" si="137"/>
        <v>0</v>
      </c>
      <c r="I994" s="126">
        <f t="shared" ca="1" si="138"/>
        <v>0</v>
      </c>
      <c r="J994" s="125">
        <f t="shared" ca="1" si="142"/>
        <v>0</v>
      </c>
      <c r="K994" s="151"/>
      <c r="L994" s="125">
        <f t="shared" ca="1" si="143"/>
        <v>0</v>
      </c>
      <c r="P994">
        <f t="shared" si="144"/>
        <v>987</v>
      </c>
      <c r="S994" s="126">
        <f t="shared" ca="1" si="139"/>
        <v>0</v>
      </c>
      <c r="T994" s="126">
        <f t="shared" ca="1" si="145"/>
        <v>0</v>
      </c>
    </row>
    <row r="995" spans="4:20">
      <c r="D995">
        <v>988</v>
      </c>
      <c r="E995" s="6">
        <f t="shared" ca="1" si="140"/>
        <v>22678</v>
      </c>
      <c r="F995" s="7">
        <f t="shared" ca="1" si="141"/>
        <v>0</v>
      </c>
      <c r="G995" s="125">
        <f ca="1">IF('Simulador - 1º Pilar'!$E$99="Sí",IF('Aportaciones Flex'!$B$13&lt;'Aportaciones Flex'!E995,0,F995*$B$8/12),F995*$B$8/12)</f>
        <v>0</v>
      </c>
      <c r="H995" s="125">
        <f t="shared" ca="1" si="137"/>
        <v>0</v>
      </c>
      <c r="I995" s="126">
        <f t="shared" ca="1" si="138"/>
        <v>0</v>
      </c>
      <c r="J995" s="125">
        <f t="shared" ca="1" si="142"/>
        <v>0</v>
      </c>
      <c r="K995" s="151"/>
      <c r="L995" s="125">
        <f t="shared" ca="1" si="143"/>
        <v>0</v>
      </c>
      <c r="P995">
        <f t="shared" si="144"/>
        <v>988</v>
      </c>
      <c r="S995" s="126">
        <f t="shared" ca="1" si="139"/>
        <v>0</v>
      </c>
      <c r="T995" s="126">
        <f t="shared" ca="1" si="145"/>
        <v>0</v>
      </c>
    </row>
    <row r="996" spans="4:20">
      <c r="D996">
        <v>989</v>
      </c>
      <c r="E996" s="6">
        <f t="shared" ca="1" si="140"/>
        <v>22647</v>
      </c>
      <c r="F996" s="7">
        <f t="shared" ca="1" si="141"/>
        <v>0</v>
      </c>
      <c r="G996" s="125">
        <f ca="1">IF('Simulador - 1º Pilar'!$E$99="Sí",IF('Aportaciones Flex'!$B$13&lt;'Aportaciones Flex'!E996,0,F996*$B$8/12),F996*$B$8/12)</f>
        <v>0</v>
      </c>
      <c r="H996" s="125">
        <f t="shared" ca="1" si="137"/>
        <v>0</v>
      </c>
      <c r="I996" s="126">
        <f t="shared" ca="1" si="138"/>
        <v>0</v>
      </c>
      <c r="J996" s="125">
        <f t="shared" ca="1" si="142"/>
        <v>0</v>
      </c>
      <c r="K996" s="151"/>
      <c r="L996" s="125">
        <f t="shared" ca="1" si="143"/>
        <v>0</v>
      </c>
      <c r="P996">
        <f t="shared" si="144"/>
        <v>989</v>
      </c>
      <c r="S996" s="126">
        <f t="shared" ca="1" si="139"/>
        <v>0</v>
      </c>
      <c r="T996" s="126">
        <f t="shared" ca="1" si="145"/>
        <v>0</v>
      </c>
    </row>
    <row r="997" spans="4:20">
      <c r="D997">
        <v>990</v>
      </c>
      <c r="E997" s="6">
        <f t="shared" ca="1" si="140"/>
        <v>22616</v>
      </c>
      <c r="F997" s="7">
        <f t="shared" ca="1" si="141"/>
        <v>0</v>
      </c>
      <c r="G997" s="125">
        <f ca="1">IF('Simulador - 1º Pilar'!$E$99="Sí",IF('Aportaciones Flex'!$B$13&lt;'Aportaciones Flex'!E997,0,F997*$B$8/12),F997*$B$8/12)</f>
        <v>0</v>
      </c>
      <c r="H997" s="125">
        <f t="shared" ca="1" si="137"/>
        <v>0</v>
      </c>
      <c r="I997" s="126">
        <f t="shared" ca="1" si="138"/>
        <v>0</v>
      </c>
      <c r="J997" s="125">
        <f t="shared" ca="1" si="142"/>
        <v>0</v>
      </c>
      <c r="K997" s="151"/>
      <c r="L997" s="125">
        <f t="shared" ca="1" si="143"/>
        <v>0</v>
      </c>
      <c r="P997">
        <f t="shared" si="144"/>
        <v>990</v>
      </c>
      <c r="S997" s="126">
        <f t="shared" ca="1" si="139"/>
        <v>0</v>
      </c>
      <c r="T997" s="126">
        <f t="shared" ca="1" si="145"/>
        <v>0</v>
      </c>
    </row>
    <row r="998" spans="4:20">
      <c r="D998">
        <v>991</v>
      </c>
      <c r="E998" s="6">
        <f t="shared" ca="1" si="140"/>
        <v>22586</v>
      </c>
      <c r="F998" s="7">
        <f t="shared" ca="1" si="141"/>
        <v>0</v>
      </c>
      <c r="G998" s="125">
        <f ca="1">IF('Simulador - 1º Pilar'!$E$99="Sí",IF('Aportaciones Flex'!$B$13&lt;'Aportaciones Flex'!E998,0,F998*$B$8/12),F998*$B$8/12)</f>
        <v>0</v>
      </c>
      <c r="H998" s="125">
        <f t="shared" ca="1" si="137"/>
        <v>0</v>
      </c>
      <c r="I998" s="126">
        <f t="shared" ca="1" si="138"/>
        <v>0</v>
      </c>
      <c r="J998" s="125">
        <f t="shared" ca="1" si="142"/>
        <v>0</v>
      </c>
      <c r="K998" s="151"/>
      <c r="L998" s="125">
        <f t="shared" ca="1" si="143"/>
        <v>0</v>
      </c>
      <c r="P998">
        <f t="shared" si="144"/>
        <v>991</v>
      </c>
      <c r="S998" s="126">
        <f t="shared" ca="1" si="139"/>
        <v>0</v>
      </c>
      <c r="T998" s="126">
        <f t="shared" ca="1" si="145"/>
        <v>0</v>
      </c>
    </row>
    <row r="999" spans="4:20">
      <c r="D999">
        <v>992</v>
      </c>
      <c r="E999" s="6">
        <f t="shared" ca="1" si="140"/>
        <v>22555</v>
      </c>
      <c r="F999" s="7">
        <f t="shared" ca="1" si="141"/>
        <v>0</v>
      </c>
      <c r="G999" s="125">
        <f ca="1">IF('Simulador - 1º Pilar'!$E$99="Sí",IF('Aportaciones Flex'!$B$13&lt;'Aportaciones Flex'!E999,0,F999*$B$8/12),F999*$B$8/12)</f>
        <v>0</v>
      </c>
      <c r="H999" s="125">
        <f t="shared" ca="1" si="137"/>
        <v>0</v>
      </c>
      <c r="I999" s="126">
        <f t="shared" ca="1" si="138"/>
        <v>0</v>
      </c>
      <c r="J999" s="125">
        <f t="shared" ca="1" si="142"/>
        <v>0</v>
      </c>
      <c r="K999" s="151"/>
      <c r="L999" s="125">
        <f t="shared" ca="1" si="143"/>
        <v>0</v>
      </c>
      <c r="P999">
        <f t="shared" si="144"/>
        <v>992</v>
      </c>
      <c r="S999" s="126">
        <f t="shared" ca="1" si="139"/>
        <v>0</v>
      </c>
      <c r="T999" s="126">
        <f t="shared" ca="1" si="145"/>
        <v>0</v>
      </c>
    </row>
    <row r="1000" spans="4:20">
      <c r="D1000">
        <v>993</v>
      </c>
      <c r="E1000" s="6">
        <f t="shared" ca="1" si="140"/>
        <v>22525</v>
      </c>
      <c r="F1000" s="7">
        <f t="shared" ca="1" si="141"/>
        <v>0</v>
      </c>
      <c r="G1000" s="125">
        <f ca="1">IF('Simulador - 1º Pilar'!$E$99="Sí",IF('Aportaciones Flex'!$B$13&lt;'Aportaciones Flex'!E1000,0,F1000*$B$8/12),F1000*$B$8/12)</f>
        <v>0</v>
      </c>
      <c r="H1000" s="125">
        <f t="shared" ca="1" si="137"/>
        <v>0</v>
      </c>
      <c r="I1000" s="126">
        <f t="shared" ca="1" si="138"/>
        <v>0</v>
      </c>
      <c r="J1000" s="125">
        <f t="shared" ca="1" si="142"/>
        <v>0</v>
      </c>
      <c r="K1000" s="151"/>
      <c r="L1000" s="125">
        <f t="shared" ca="1" si="143"/>
        <v>0</v>
      </c>
      <c r="P1000">
        <f t="shared" si="144"/>
        <v>993</v>
      </c>
      <c r="S1000" s="126">
        <f t="shared" ca="1" si="139"/>
        <v>0</v>
      </c>
      <c r="T1000" s="126">
        <f t="shared" ca="1" si="145"/>
        <v>0</v>
      </c>
    </row>
    <row r="1001" spans="4:20">
      <c r="D1001">
        <v>994</v>
      </c>
      <c r="E1001" s="6">
        <f t="shared" ca="1" si="140"/>
        <v>22494</v>
      </c>
      <c r="F1001" s="7">
        <f t="shared" ca="1" si="141"/>
        <v>0</v>
      </c>
      <c r="G1001" s="125">
        <f ca="1">IF('Simulador - 1º Pilar'!$E$99="Sí",IF('Aportaciones Flex'!$B$13&lt;'Aportaciones Flex'!E1001,0,F1001*$B$8/12),F1001*$B$8/12)</f>
        <v>0</v>
      </c>
      <c r="H1001" s="125">
        <f t="shared" ca="1" si="137"/>
        <v>0</v>
      </c>
      <c r="I1001" s="126">
        <f t="shared" ca="1" si="138"/>
        <v>0</v>
      </c>
      <c r="J1001" s="125">
        <f t="shared" ca="1" si="142"/>
        <v>0</v>
      </c>
      <c r="K1001" s="151"/>
      <c r="L1001" s="125">
        <f t="shared" ca="1" si="143"/>
        <v>0</v>
      </c>
      <c r="P1001">
        <f t="shared" si="144"/>
        <v>994</v>
      </c>
      <c r="S1001" s="126">
        <f t="shared" ca="1" si="139"/>
        <v>0</v>
      </c>
      <c r="T1001" s="126">
        <f t="shared" ca="1" si="145"/>
        <v>0</v>
      </c>
    </row>
    <row r="1002" spans="4:20">
      <c r="D1002">
        <v>995</v>
      </c>
      <c r="E1002" s="6">
        <f t="shared" ca="1" si="140"/>
        <v>22463</v>
      </c>
      <c r="F1002" s="7">
        <f t="shared" ca="1" si="141"/>
        <v>0</v>
      </c>
      <c r="G1002" s="125">
        <f ca="1">IF('Simulador - 1º Pilar'!$E$99="Sí",IF('Aportaciones Flex'!$B$13&lt;'Aportaciones Flex'!E1002,0,F1002*$B$8/12),F1002*$B$8/12)</f>
        <v>0</v>
      </c>
      <c r="H1002" s="125">
        <f t="shared" ca="1" si="137"/>
        <v>0</v>
      </c>
      <c r="I1002" s="126">
        <f t="shared" ca="1" si="138"/>
        <v>0</v>
      </c>
      <c r="J1002" s="125">
        <f t="shared" ca="1" si="142"/>
        <v>0</v>
      </c>
      <c r="K1002" s="151"/>
      <c r="L1002" s="125">
        <f t="shared" ca="1" si="143"/>
        <v>0</v>
      </c>
      <c r="P1002">
        <f t="shared" si="144"/>
        <v>995</v>
      </c>
      <c r="S1002" s="126">
        <f t="shared" ca="1" si="139"/>
        <v>0</v>
      </c>
      <c r="T1002" s="126">
        <f t="shared" ca="1" si="145"/>
        <v>0</v>
      </c>
    </row>
    <row r="1003" spans="4:20">
      <c r="D1003">
        <v>996</v>
      </c>
      <c r="E1003" s="6">
        <f t="shared" ca="1" si="140"/>
        <v>22433</v>
      </c>
      <c r="F1003" s="7">
        <f t="shared" ca="1" si="141"/>
        <v>0</v>
      </c>
      <c r="G1003" s="125">
        <f ca="1">IF('Simulador - 1º Pilar'!$E$99="Sí",IF('Aportaciones Flex'!$B$13&lt;'Aportaciones Flex'!E1003,0,F1003*$B$8/12),F1003*$B$8/12)</f>
        <v>0</v>
      </c>
      <c r="H1003" s="125">
        <f t="shared" ca="1" si="137"/>
        <v>0</v>
      </c>
      <c r="I1003" s="126">
        <f t="shared" ca="1" si="138"/>
        <v>0</v>
      </c>
      <c r="J1003" s="125">
        <f t="shared" ca="1" si="142"/>
        <v>0</v>
      </c>
      <c r="K1003" s="151"/>
      <c r="L1003" s="125">
        <f t="shared" ca="1" si="143"/>
        <v>0</v>
      </c>
      <c r="P1003">
        <f t="shared" si="144"/>
        <v>996</v>
      </c>
      <c r="S1003" s="126">
        <f t="shared" ca="1" si="139"/>
        <v>0</v>
      </c>
      <c r="T1003" s="126">
        <f t="shared" ca="1" si="145"/>
        <v>0</v>
      </c>
    </row>
    <row r="1004" spans="4:20">
      <c r="D1004">
        <v>997</v>
      </c>
      <c r="E1004" s="6">
        <f t="shared" ca="1" si="140"/>
        <v>22402</v>
      </c>
      <c r="F1004" s="7">
        <f t="shared" ca="1" si="141"/>
        <v>0</v>
      </c>
      <c r="G1004" s="125">
        <f ca="1">IF('Simulador - 1º Pilar'!$E$99="Sí",IF('Aportaciones Flex'!$B$13&lt;'Aportaciones Flex'!E1004,0,F1004*$B$8/12),F1004*$B$8/12)</f>
        <v>0</v>
      </c>
      <c r="H1004" s="125">
        <f t="shared" ca="1" si="137"/>
        <v>0</v>
      </c>
      <c r="I1004" s="126">
        <f t="shared" ca="1" si="138"/>
        <v>0</v>
      </c>
      <c r="J1004" s="125">
        <f t="shared" ca="1" si="142"/>
        <v>0</v>
      </c>
      <c r="K1004" s="151"/>
      <c r="L1004" s="125">
        <f t="shared" ca="1" si="143"/>
        <v>0</v>
      </c>
      <c r="P1004">
        <f t="shared" si="144"/>
        <v>997</v>
      </c>
      <c r="S1004" s="126">
        <f t="shared" ca="1" si="139"/>
        <v>0</v>
      </c>
      <c r="T1004" s="126">
        <f t="shared" ca="1" si="145"/>
        <v>0</v>
      </c>
    </row>
    <row r="1005" spans="4:20">
      <c r="D1005">
        <v>998</v>
      </c>
      <c r="E1005" s="6">
        <f t="shared" ca="1" si="140"/>
        <v>22372</v>
      </c>
      <c r="F1005" s="7">
        <f t="shared" ca="1" si="141"/>
        <v>0</v>
      </c>
      <c r="G1005" s="125">
        <f ca="1">IF('Simulador - 1º Pilar'!$E$99="Sí",IF('Aportaciones Flex'!$B$13&lt;'Aportaciones Flex'!E1005,0,F1005*$B$8/12),F1005*$B$8/12)</f>
        <v>0</v>
      </c>
      <c r="H1005" s="125">
        <f t="shared" ca="1" si="137"/>
        <v>0</v>
      </c>
      <c r="I1005" s="126">
        <f t="shared" ca="1" si="138"/>
        <v>0</v>
      </c>
      <c r="J1005" s="125">
        <f t="shared" ca="1" si="142"/>
        <v>0</v>
      </c>
      <c r="K1005" s="151"/>
      <c r="L1005" s="125">
        <f t="shared" ca="1" si="143"/>
        <v>0</v>
      </c>
      <c r="P1005">
        <f t="shared" si="144"/>
        <v>998</v>
      </c>
      <c r="S1005" s="126">
        <f t="shared" ca="1" si="139"/>
        <v>0</v>
      </c>
      <c r="T1005" s="126">
        <f t="shared" ca="1" si="145"/>
        <v>0</v>
      </c>
    </row>
    <row r="1006" spans="4:20">
      <c r="D1006">
        <v>999</v>
      </c>
      <c r="E1006" s="6">
        <f t="shared" ca="1" si="140"/>
        <v>22341</v>
      </c>
      <c r="F1006" s="7">
        <f t="shared" ca="1" si="141"/>
        <v>0</v>
      </c>
      <c r="G1006" s="125">
        <f ca="1">IF('Simulador - 1º Pilar'!$E$99="Sí",IF('Aportaciones Flex'!$B$13&lt;'Aportaciones Flex'!E1006,0,F1006*$B$8/12),F1006*$B$8/12)</f>
        <v>0</v>
      </c>
      <c r="H1006" s="125">
        <f t="shared" ca="1" si="137"/>
        <v>0</v>
      </c>
      <c r="I1006" s="126">
        <f t="shared" ca="1" si="138"/>
        <v>0</v>
      </c>
      <c r="J1006" s="125">
        <f t="shared" ca="1" si="142"/>
        <v>0</v>
      </c>
      <c r="K1006" s="151"/>
      <c r="L1006" s="125">
        <f t="shared" ca="1" si="143"/>
        <v>0</v>
      </c>
      <c r="P1006">
        <f t="shared" si="144"/>
        <v>999</v>
      </c>
      <c r="S1006" s="126">
        <f t="shared" ca="1" si="139"/>
        <v>0</v>
      </c>
      <c r="T1006" s="126">
        <f t="shared" ca="1" si="145"/>
        <v>0</v>
      </c>
    </row>
    <row r="1007" spans="4:20">
      <c r="D1007">
        <v>1000</v>
      </c>
      <c r="E1007" s="6">
        <f t="shared" ca="1" si="140"/>
        <v>22313</v>
      </c>
      <c r="F1007" s="7">
        <f t="shared" ca="1" si="141"/>
        <v>0</v>
      </c>
      <c r="G1007" s="125">
        <f ca="1">IF('Simulador - 1º Pilar'!$E$99="Sí",IF('Aportaciones Flex'!$B$13&lt;'Aportaciones Flex'!E1007,0,F1007*$B$8/12),F1007*$B$8/12)</f>
        <v>0</v>
      </c>
      <c r="H1007" s="125">
        <f t="shared" ca="1" si="137"/>
        <v>0</v>
      </c>
      <c r="I1007" s="126">
        <f t="shared" ca="1" si="138"/>
        <v>0</v>
      </c>
      <c r="J1007" s="125">
        <f t="shared" ca="1" si="142"/>
        <v>0</v>
      </c>
      <c r="K1007" s="151"/>
      <c r="L1007" s="125">
        <f t="shared" ca="1" si="143"/>
        <v>0</v>
      </c>
      <c r="P1007">
        <f t="shared" si="144"/>
        <v>1000</v>
      </c>
      <c r="S1007" s="126">
        <f t="shared" ca="1" si="139"/>
        <v>0</v>
      </c>
      <c r="T1007" s="126">
        <f t="shared" ca="1" si="145"/>
        <v>0</v>
      </c>
    </row>
    <row r="1008" spans="4:20">
      <c r="D1008">
        <v>1001</v>
      </c>
      <c r="E1008" s="6">
        <f t="shared" ca="1" si="140"/>
        <v>22282</v>
      </c>
      <c r="F1008" s="7">
        <f t="shared" ca="1" si="141"/>
        <v>0</v>
      </c>
      <c r="G1008" s="125">
        <f ca="1">IF('Simulador - 1º Pilar'!$E$99="Sí",IF('Aportaciones Flex'!$B$13&lt;'Aportaciones Flex'!E1008,0,F1008*$B$8/12),F1008*$B$8/12)</f>
        <v>0</v>
      </c>
      <c r="H1008" s="125">
        <f t="shared" ca="1" si="137"/>
        <v>0</v>
      </c>
      <c r="I1008" s="126">
        <f t="shared" ca="1" si="138"/>
        <v>0</v>
      </c>
      <c r="J1008" s="125">
        <f t="shared" ca="1" si="142"/>
        <v>0</v>
      </c>
      <c r="K1008" s="151"/>
      <c r="L1008" s="125">
        <f t="shared" ca="1" si="143"/>
        <v>0</v>
      </c>
      <c r="P1008">
        <f t="shared" si="144"/>
        <v>1001</v>
      </c>
      <c r="S1008" s="126">
        <f t="shared" ca="1" si="139"/>
        <v>0</v>
      </c>
      <c r="T1008" s="126">
        <f t="shared" ca="1" si="145"/>
        <v>0</v>
      </c>
    </row>
    <row r="1009" spans="4:20">
      <c r="D1009">
        <v>1002</v>
      </c>
      <c r="E1009" s="6">
        <f t="shared" ca="1" si="140"/>
        <v>22251</v>
      </c>
      <c r="F1009" s="7">
        <f t="shared" ca="1" si="141"/>
        <v>0</v>
      </c>
      <c r="G1009" s="125">
        <f ca="1">IF('Simulador - 1º Pilar'!$E$99="Sí",IF('Aportaciones Flex'!$B$13&lt;'Aportaciones Flex'!E1009,0,F1009*$B$8/12),F1009*$B$8/12)</f>
        <v>0</v>
      </c>
      <c r="H1009" s="125">
        <f t="shared" ca="1" si="137"/>
        <v>0</v>
      </c>
      <c r="I1009" s="126">
        <f t="shared" ca="1" si="138"/>
        <v>0</v>
      </c>
      <c r="J1009" s="125">
        <f t="shared" ca="1" si="142"/>
        <v>0</v>
      </c>
      <c r="K1009" s="151"/>
      <c r="L1009" s="125">
        <f t="shared" ca="1" si="143"/>
        <v>0</v>
      </c>
      <c r="P1009">
        <f t="shared" si="144"/>
        <v>1002</v>
      </c>
      <c r="S1009" s="126">
        <f t="shared" ca="1" si="139"/>
        <v>0</v>
      </c>
      <c r="T1009" s="126">
        <f t="shared" ca="1" si="145"/>
        <v>0</v>
      </c>
    </row>
    <row r="1010" spans="4:20">
      <c r="D1010">
        <v>1003</v>
      </c>
      <c r="E1010" s="6">
        <f t="shared" ca="1" si="140"/>
        <v>22221</v>
      </c>
      <c r="F1010" s="7">
        <f t="shared" ca="1" si="141"/>
        <v>0</v>
      </c>
      <c r="G1010" s="125">
        <f ca="1">IF('Simulador - 1º Pilar'!$E$99="Sí",IF('Aportaciones Flex'!$B$13&lt;'Aportaciones Flex'!E1010,0,F1010*$B$8/12),F1010*$B$8/12)</f>
        <v>0</v>
      </c>
      <c r="H1010" s="125">
        <f t="shared" ca="1" si="137"/>
        <v>0</v>
      </c>
      <c r="I1010" s="126">
        <f t="shared" ca="1" si="138"/>
        <v>0</v>
      </c>
      <c r="J1010" s="125">
        <f t="shared" ca="1" si="142"/>
        <v>0</v>
      </c>
      <c r="K1010" s="151"/>
      <c r="L1010" s="125">
        <f t="shared" ca="1" si="143"/>
        <v>0</v>
      </c>
      <c r="P1010">
        <f t="shared" si="144"/>
        <v>1003</v>
      </c>
      <c r="S1010" s="126">
        <f t="shared" ca="1" si="139"/>
        <v>0</v>
      </c>
      <c r="T1010" s="126">
        <f t="shared" ca="1" si="145"/>
        <v>0</v>
      </c>
    </row>
    <row r="1011" spans="4:20">
      <c r="D1011">
        <v>1004</v>
      </c>
      <c r="E1011" s="6">
        <f t="shared" ca="1" si="140"/>
        <v>22190</v>
      </c>
      <c r="F1011" s="7">
        <f t="shared" ca="1" si="141"/>
        <v>0</v>
      </c>
      <c r="G1011" s="125">
        <f ca="1">IF('Simulador - 1º Pilar'!$E$99="Sí",IF('Aportaciones Flex'!$B$13&lt;'Aportaciones Flex'!E1011,0,F1011*$B$8/12),F1011*$B$8/12)</f>
        <v>0</v>
      </c>
      <c r="H1011" s="125">
        <f t="shared" ca="1" si="137"/>
        <v>0</v>
      </c>
      <c r="I1011" s="126">
        <f t="shared" ca="1" si="138"/>
        <v>0</v>
      </c>
      <c r="J1011" s="125">
        <f t="shared" ca="1" si="142"/>
        <v>0</v>
      </c>
      <c r="K1011" s="151"/>
      <c r="L1011" s="125">
        <f t="shared" ca="1" si="143"/>
        <v>0</v>
      </c>
      <c r="P1011">
        <f t="shared" si="144"/>
        <v>1004</v>
      </c>
      <c r="S1011" s="126">
        <f t="shared" ca="1" si="139"/>
        <v>0</v>
      </c>
      <c r="T1011" s="126">
        <f t="shared" ca="1" si="145"/>
        <v>0</v>
      </c>
    </row>
    <row r="1012" spans="4:20">
      <c r="D1012">
        <v>1005</v>
      </c>
      <c r="E1012" s="6">
        <f t="shared" ca="1" si="140"/>
        <v>22160</v>
      </c>
      <c r="F1012" s="7">
        <f t="shared" ca="1" si="141"/>
        <v>0</v>
      </c>
      <c r="G1012" s="125">
        <f ca="1">IF('Simulador - 1º Pilar'!$E$99="Sí",IF('Aportaciones Flex'!$B$13&lt;'Aportaciones Flex'!E1012,0,F1012*$B$8/12),F1012*$B$8/12)</f>
        <v>0</v>
      </c>
      <c r="H1012" s="125">
        <f t="shared" ca="1" si="137"/>
        <v>0</v>
      </c>
      <c r="I1012" s="126">
        <f t="shared" ca="1" si="138"/>
        <v>0</v>
      </c>
      <c r="J1012" s="125">
        <f t="shared" ca="1" si="142"/>
        <v>0</v>
      </c>
      <c r="K1012" s="151"/>
      <c r="L1012" s="125">
        <f t="shared" ca="1" si="143"/>
        <v>0</v>
      </c>
      <c r="P1012">
        <f t="shared" si="144"/>
        <v>1005</v>
      </c>
      <c r="S1012" s="126">
        <f t="shared" ca="1" si="139"/>
        <v>0</v>
      </c>
      <c r="T1012" s="126">
        <f t="shared" ca="1" si="145"/>
        <v>0</v>
      </c>
    </row>
    <row r="1013" spans="4:20">
      <c r="D1013">
        <v>1006</v>
      </c>
      <c r="E1013" s="6">
        <f t="shared" ca="1" si="140"/>
        <v>22129</v>
      </c>
      <c r="F1013" s="7">
        <f t="shared" ca="1" si="141"/>
        <v>0</v>
      </c>
      <c r="G1013" s="125">
        <f ca="1">IF('Simulador - 1º Pilar'!$E$99="Sí",IF('Aportaciones Flex'!$B$13&lt;'Aportaciones Flex'!E1013,0,F1013*$B$8/12),F1013*$B$8/12)</f>
        <v>0</v>
      </c>
      <c r="H1013" s="125">
        <f t="shared" ca="1" si="137"/>
        <v>0</v>
      </c>
      <c r="I1013" s="126">
        <f t="shared" ca="1" si="138"/>
        <v>0</v>
      </c>
      <c r="J1013" s="125">
        <f t="shared" ca="1" si="142"/>
        <v>0</v>
      </c>
      <c r="K1013" s="151"/>
      <c r="L1013" s="125">
        <f t="shared" ca="1" si="143"/>
        <v>0</v>
      </c>
      <c r="P1013">
        <f t="shared" si="144"/>
        <v>1006</v>
      </c>
      <c r="S1013" s="126">
        <f t="shared" ca="1" si="139"/>
        <v>0</v>
      </c>
      <c r="T1013" s="126">
        <f t="shared" ca="1" si="145"/>
        <v>0</v>
      </c>
    </row>
    <row r="1014" spans="4:20">
      <c r="D1014">
        <v>1007</v>
      </c>
      <c r="E1014" s="6">
        <f t="shared" ca="1" si="140"/>
        <v>22098</v>
      </c>
      <c r="F1014" s="7">
        <f t="shared" ca="1" si="141"/>
        <v>0</v>
      </c>
      <c r="G1014" s="125">
        <f ca="1">IF('Simulador - 1º Pilar'!$E$99="Sí",IF('Aportaciones Flex'!$B$13&lt;'Aportaciones Flex'!E1014,0,F1014*$B$8/12),F1014*$B$8/12)</f>
        <v>0</v>
      </c>
      <c r="H1014" s="125">
        <f t="shared" ca="1" si="137"/>
        <v>0</v>
      </c>
      <c r="I1014" s="126">
        <f t="shared" ca="1" si="138"/>
        <v>0</v>
      </c>
      <c r="J1014" s="125">
        <f t="shared" ca="1" si="142"/>
        <v>0</v>
      </c>
      <c r="K1014" s="151"/>
      <c r="L1014" s="125">
        <f t="shared" ca="1" si="143"/>
        <v>0</v>
      </c>
      <c r="P1014">
        <f t="shared" si="144"/>
        <v>1007</v>
      </c>
      <c r="S1014" s="126">
        <f t="shared" ca="1" si="139"/>
        <v>0</v>
      </c>
      <c r="T1014" s="126">
        <f t="shared" ca="1" si="145"/>
        <v>0</v>
      </c>
    </row>
    <row r="1015" spans="4:20">
      <c r="D1015">
        <v>1008</v>
      </c>
      <c r="E1015" s="6">
        <f t="shared" ca="1" si="140"/>
        <v>22068</v>
      </c>
      <c r="F1015" s="7">
        <f t="shared" ca="1" si="141"/>
        <v>0</v>
      </c>
      <c r="G1015" s="125">
        <f ca="1">IF('Simulador - 1º Pilar'!$E$99="Sí",IF('Aportaciones Flex'!$B$13&lt;'Aportaciones Flex'!E1015,0,F1015*$B$8/12),F1015*$B$8/12)</f>
        <v>0</v>
      </c>
      <c r="H1015" s="125">
        <f t="shared" ca="1" si="137"/>
        <v>0</v>
      </c>
      <c r="I1015" s="126">
        <f t="shared" ca="1" si="138"/>
        <v>0</v>
      </c>
      <c r="J1015" s="125">
        <f t="shared" ca="1" si="142"/>
        <v>0</v>
      </c>
      <c r="K1015" s="151"/>
      <c r="L1015" s="125">
        <f t="shared" ca="1" si="143"/>
        <v>0</v>
      </c>
      <c r="P1015">
        <f t="shared" si="144"/>
        <v>1008</v>
      </c>
      <c r="S1015" s="126">
        <f t="shared" ca="1" si="139"/>
        <v>0</v>
      </c>
      <c r="T1015" s="126">
        <f t="shared" ca="1" si="145"/>
        <v>0</v>
      </c>
    </row>
    <row r="1016" spans="4:20">
      <c r="D1016">
        <v>1009</v>
      </c>
      <c r="E1016" s="6">
        <f t="shared" ca="1" si="140"/>
        <v>22037</v>
      </c>
      <c r="F1016" s="7">
        <f t="shared" ca="1" si="141"/>
        <v>0</v>
      </c>
      <c r="G1016" s="125">
        <f ca="1">IF('Simulador - 1º Pilar'!$E$99="Sí",IF('Aportaciones Flex'!$B$13&lt;'Aportaciones Flex'!E1016,0,F1016*$B$8/12),F1016*$B$8/12)</f>
        <v>0</v>
      </c>
      <c r="H1016" s="125">
        <f t="shared" ca="1" si="137"/>
        <v>0</v>
      </c>
      <c r="I1016" s="126">
        <f t="shared" ca="1" si="138"/>
        <v>0</v>
      </c>
      <c r="J1016" s="125">
        <f t="shared" ca="1" si="142"/>
        <v>0</v>
      </c>
      <c r="K1016" s="151"/>
      <c r="L1016" s="125">
        <f t="shared" ca="1" si="143"/>
        <v>0</v>
      </c>
      <c r="P1016">
        <f t="shared" si="144"/>
        <v>1009</v>
      </c>
      <c r="S1016" s="126">
        <f t="shared" ca="1" si="139"/>
        <v>0</v>
      </c>
      <c r="T1016" s="126">
        <f t="shared" ca="1" si="145"/>
        <v>0</v>
      </c>
    </row>
    <row r="1017" spans="4:20">
      <c r="D1017">
        <v>1010</v>
      </c>
      <c r="E1017" s="6">
        <f t="shared" ca="1" si="140"/>
        <v>22007</v>
      </c>
      <c r="F1017" s="7">
        <f t="shared" ca="1" si="141"/>
        <v>0</v>
      </c>
      <c r="G1017" s="125">
        <f ca="1">IF('Simulador - 1º Pilar'!$E$99="Sí",IF('Aportaciones Flex'!$B$13&lt;'Aportaciones Flex'!E1017,0,F1017*$B$8/12),F1017*$B$8/12)</f>
        <v>0</v>
      </c>
      <c r="H1017" s="125">
        <f t="shared" ca="1" si="137"/>
        <v>0</v>
      </c>
      <c r="I1017" s="126">
        <f t="shared" ca="1" si="138"/>
        <v>0</v>
      </c>
      <c r="J1017" s="125">
        <f t="shared" ca="1" si="142"/>
        <v>0</v>
      </c>
      <c r="K1017" s="151"/>
      <c r="L1017" s="125">
        <f t="shared" ca="1" si="143"/>
        <v>0</v>
      </c>
      <c r="P1017">
        <f t="shared" si="144"/>
        <v>1010</v>
      </c>
      <c r="S1017" s="126">
        <f t="shared" ca="1" si="139"/>
        <v>0</v>
      </c>
      <c r="T1017" s="126">
        <f t="shared" ca="1" si="145"/>
        <v>0</v>
      </c>
    </row>
    <row r="1018" spans="4:20">
      <c r="D1018">
        <v>1011</v>
      </c>
      <c r="E1018" s="6">
        <f t="shared" ca="1" si="140"/>
        <v>21976</v>
      </c>
      <c r="F1018" s="7">
        <f t="shared" ca="1" si="141"/>
        <v>0</v>
      </c>
      <c r="G1018" s="125">
        <f ca="1">IF('Simulador - 1º Pilar'!$E$99="Sí",IF('Aportaciones Flex'!$B$13&lt;'Aportaciones Flex'!E1018,0,F1018*$B$8/12),F1018*$B$8/12)</f>
        <v>0</v>
      </c>
      <c r="H1018" s="125">
        <f t="shared" ca="1" si="137"/>
        <v>0</v>
      </c>
      <c r="I1018" s="126">
        <f t="shared" ca="1" si="138"/>
        <v>0</v>
      </c>
      <c r="J1018" s="125">
        <f t="shared" ca="1" si="142"/>
        <v>0</v>
      </c>
      <c r="K1018" s="151"/>
      <c r="L1018" s="125">
        <f t="shared" ca="1" si="143"/>
        <v>0</v>
      </c>
      <c r="P1018">
        <f t="shared" si="144"/>
        <v>1011</v>
      </c>
      <c r="S1018" s="126">
        <f t="shared" ca="1" si="139"/>
        <v>0</v>
      </c>
      <c r="T1018" s="126">
        <f t="shared" ca="1" si="145"/>
        <v>0</v>
      </c>
    </row>
    <row r="1019" spans="4:20">
      <c r="D1019">
        <v>1012</v>
      </c>
      <c r="E1019" s="6">
        <f t="shared" ca="1" si="140"/>
        <v>21947</v>
      </c>
      <c r="F1019" s="7">
        <f t="shared" ca="1" si="141"/>
        <v>0</v>
      </c>
      <c r="G1019" s="125">
        <f ca="1">IF('Simulador - 1º Pilar'!$E$99="Sí",IF('Aportaciones Flex'!$B$13&lt;'Aportaciones Flex'!E1019,0,F1019*$B$8/12),F1019*$B$8/12)</f>
        <v>0</v>
      </c>
      <c r="H1019" s="125">
        <f t="shared" ca="1" si="137"/>
        <v>0</v>
      </c>
      <c r="I1019" s="126">
        <f t="shared" ca="1" si="138"/>
        <v>0</v>
      </c>
      <c r="J1019" s="125">
        <f t="shared" ca="1" si="142"/>
        <v>0</v>
      </c>
      <c r="K1019" s="151"/>
      <c r="L1019" s="125">
        <f t="shared" ca="1" si="143"/>
        <v>0</v>
      </c>
      <c r="P1019">
        <f t="shared" si="144"/>
        <v>1012</v>
      </c>
      <c r="S1019" s="126">
        <f t="shared" ca="1" si="139"/>
        <v>0</v>
      </c>
      <c r="T1019" s="126">
        <f t="shared" ca="1" si="145"/>
        <v>0</v>
      </c>
    </row>
    <row r="1020" spans="4:20">
      <c r="D1020">
        <v>1013</v>
      </c>
      <c r="E1020" s="6">
        <f t="shared" ca="1" si="140"/>
        <v>21916</v>
      </c>
      <c r="F1020" s="7">
        <f t="shared" ca="1" si="141"/>
        <v>0</v>
      </c>
      <c r="G1020" s="125">
        <f ca="1">IF('Simulador - 1º Pilar'!$E$99="Sí",IF('Aportaciones Flex'!$B$13&lt;'Aportaciones Flex'!E1020,0,F1020*$B$8/12),F1020*$B$8/12)</f>
        <v>0</v>
      </c>
      <c r="H1020" s="125">
        <f t="shared" ca="1" si="137"/>
        <v>0</v>
      </c>
      <c r="I1020" s="126">
        <f t="shared" ca="1" si="138"/>
        <v>0</v>
      </c>
      <c r="J1020" s="125">
        <f t="shared" ca="1" si="142"/>
        <v>0</v>
      </c>
      <c r="K1020" s="151"/>
      <c r="L1020" s="125">
        <f t="shared" ca="1" si="143"/>
        <v>0</v>
      </c>
      <c r="P1020">
        <f t="shared" si="144"/>
        <v>1013</v>
      </c>
      <c r="S1020" s="126">
        <f t="shared" ca="1" si="139"/>
        <v>0</v>
      </c>
      <c r="T1020" s="126">
        <f t="shared" ca="1" si="145"/>
        <v>0</v>
      </c>
    </row>
    <row r="1021" spans="4:20">
      <c r="D1021">
        <v>1014</v>
      </c>
      <c r="E1021" s="6">
        <f t="shared" ca="1" si="140"/>
        <v>21885</v>
      </c>
      <c r="F1021" s="7">
        <f t="shared" ca="1" si="141"/>
        <v>0</v>
      </c>
      <c r="G1021" s="125">
        <f ca="1">IF('Simulador - 1º Pilar'!$E$99="Sí",IF('Aportaciones Flex'!$B$13&lt;'Aportaciones Flex'!E1021,0,F1021*$B$8/12),F1021*$B$8/12)</f>
        <v>0</v>
      </c>
      <c r="H1021" s="125">
        <f t="shared" ca="1" si="137"/>
        <v>0</v>
      </c>
      <c r="I1021" s="126">
        <f t="shared" ca="1" si="138"/>
        <v>0</v>
      </c>
      <c r="J1021" s="125">
        <f t="shared" ca="1" si="142"/>
        <v>0</v>
      </c>
      <c r="K1021" s="151"/>
      <c r="L1021" s="125">
        <f t="shared" ca="1" si="143"/>
        <v>0</v>
      </c>
      <c r="P1021">
        <f t="shared" si="144"/>
        <v>1014</v>
      </c>
      <c r="S1021" s="126">
        <f t="shared" ca="1" si="139"/>
        <v>0</v>
      </c>
      <c r="T1021" s="126">
        <f t="shared" ca="1" si="145"/>
        <v>0</v>
      </c>
    </row>
    <row r="1022" spans="4:20">
      <c r="D1022">
        <v>1015</v>
      </c>
      <c r="E1022" s="6">
        <f t="shared" ca="1" si="140"/>
        <v>21855</v>
      </c>
      <c r="F1022" s="7">
        <f t="shared" ca="1" si="141"/>
        <v>0</v>
      </c>
      <c r="G1022" s="125">
        <f ca="1">IF('Simulador - 1º Pilar'!$E$99="Sí",IF('Aportaciones Flex'!$B$13&lt;'Aportaciones Flex'!E1022,0,F1022*$B$8/12),F1022*$B$8/12)</f>
        <v>0</v>
      </c>
      <c r="H1022" s="125">
        <f t="shared" ca="1" si="137"/>
        <v>0</v>
      </c>
      <c r="I1022" s="126">
        <f t="shared" ca="1" si="138"/>
        <v>0</v>
      </c>
      <c r="J1022" s="125">
        <f t="shared" ca="1" si="142"/>
        <v>0</v>
      </c>
      <c r="K1022" s="151"/>
      <c r="L1022" s="125">
        <f t="shared" ca="1" si="143"/>
        <v>0</v>
      </c>
      <c r="P1022">
        <f t="shared" si="144"/>
        <v>1015</v>
      </c>
      <c r="S1022" s="126">
        <f t="shared" ca="1" si="139"/>
        <v>0</v>
      </c>
      <c r="T1022" s="126">
        <f t="shared" ca="1" si="145"/>
        <v>0</v>
      </c>
    </row>
    <row r="1023" spans="4:20">
      <c r="D1023">
        <v>1016</v>
      </c>
      <c r="E1023" s="6">
        <f t="shared" ca="1" si="140"/>
        <v>21824</v>
      </c>
      <c r="F1023" s="7">
        <f t="shared" ca="1" si="141"/>
        <v>0</v>
      </c>
      <c r="G1023" s="125">
        <f ca="1">IF('Simulador - 1º Pilar'!$E$99="Sí",IF('Aportaciones Flex'!$B$13&lt;'Aportaciones Flex'!E1023,0,F1023*$B$8/12),F1023*$B$8/12)</f>
        <v>0</v>
      </c>
      <c r="H1023" s="125">
        <f t="shared" ca="1" si="137"/>
        <v>0</v>
      </c>
      <c r="I1023" s="126">
        <f t="shared" ca="1" si="138"/>
        <v>0</v>
      </c>
      <c r="J1023" s="125">
        <f t="shared" ca="1" si="142"/>
        <v>0</v>
      </c>
      <c r="K1023" s="151"/>
      <c r="L1023" s="125">
        <f t="shared" ca="1" si="143"/>
        <v>0</v>
      </c>
      <c r="P1023">
        <f t="shared" si="144"/>
        <v>1016</v>
      </c>
      <c r="S1023" s="126">
        <f t="shared" ca="1" si="139"/>
        <v>0</v>
      </c>
      <c r="T1023" s="126">
        <f t="shared" ca="1" si="145"/>
        <v>0</v>
      </c>
    </row>
    <row r="1024" spans="4:20">
      <c r="D1024">
        <v>1017</v>
      </c>
      <c r="E1024" s="6">
        <f t="shared" ca="1" si="140"/>
        <v>21794</v>
      </c>
      <c r="F1024" s="7">
        <f t="shared" ca="1" si="141"/>
        <v>0</v>
      </c>
      <c r="G1024" s="125">
        <f ca="1">IF('Simulador - 1º Pilar'!$E$99="Sí",IF('Aportaciones Flex'!$B$13&lt;'Aportaciones Flex'!E1024,0,F1024*$B$8/12),F1024*$B$8/12)</f>
        <v>0</v>
      </c>
      <c r="H1024" s="125">
        <f t="shared" ca="1" si="137"/>
        <v>0</v>
      </c>
      <c r="I1024" s="126">
        <f t="shared" ca="1" si="138"/>
        <v>0</v>
      </c>
      <c r="J1024" s="125">
        <f t="shared" ca="1" si="142"/>
        <v>0</v>
      </c>
      <c r="K1024" s="151"/>
      <c r="L1024" s="125">
        <f t="shared" ca="1" si="143"/>
        <v>0</v>
      </c>
      <c r="P1024">
        <f t="shared" si="144"/>
        <v>1017</v>
      </c>
      <c r="S1024" s="126">
        <f t="shared" ca="1" si="139"/>
        <v>0</v>
      </c>
      <c r="T1024" s="126">
        <f t="shared" ca="1" si="145"/>
        <v>0</v>
      </c>
    </row>
    <row r="1025" spans="4:20">
      <c r="D1025">
        <v>1018</v>
      </c>
      <c r="E1025" s="6">
        <f t="shared" ca="1" si="140"/>
        <v>21763</v>
      </c>
      <c r="F1025" s="7">
        <f t="shared" ca="1" si="141"/>
        <v>0</v>
      </c>
      <c r="G1025" s="125">
        <f ca="1">IF('Simulador - 1º Pilar'!$E$99="Sí",IF('Aportaciones Flex'!$B$13&lt;'Aportaciones Flex'!E1025,0,F1025*$B$8/12),F1025*$B$8/12)</f>
        <v>0</v>
      </c>
      <c r="H1025" s="125">
        <f t="shared" ca="1" si="137"/>
        <v>0</v>
      </c>
      <c r="I1025" s="126">
        <f t="shared" ca="1" si="138"/>
        <v>0</v>
      </c>
      <c r="J1025" s="125">
        <f t="shared" ca="1" si="142"/>
        <v>0</v>
      </c>
      <c r="K1025" s="151"/>
      <c r="L1025" s="125">
        <f t="shared" ca="1" si="143"/>
        <v>0</v>
      </c>
      <c r="P1025">
        <f t="shared" si="144"/>
        <v>1018</v>
      </c>
      <c r="S1025" s="126">
        <f t="shared" ca="1" si="139"/>
        <v>0</v>
      </c>
      <c r="T1025" s="126">
        <f t="shared" ca="1" si="145"/>
        <v>0</v>
      </c>
    </row>
    <row r="1026" spans="4:20">
      <c r="D1026">
        <v>1019</v>
      </c>
      <c r="E1026" s="6">
        <f t="shared" ca="1" si="140"/>
        <v>21732</v>
      </c>
      <c r="F1026" s="7">
        <f t="shared" ca="1" si="141"/>
        <v>0</v>
      </c>
      <c r="G1026" s="125">
        <f ca="1">IF('Simulador - 1º Pilar'!$E$99="Sí",IF('Aportaciones Flex'!$B$13&lt;'Aportaciones Flex'!E1026,0,F1026*$B$8/12),F1026*$B$8/12)</f>
        <v>0</v>
      </c>
      <c r="H1026" s="125">
        <f t="shared" ref="H1026:H1066" ca="1" si="146">IF(G1026&gt;0,1,0)*$H$5*IF(AND($I$5="NO",YEAR(E1026)=YEAR($B$6)+1),1,IF($I$5="SI",1,0))</f>
        <v>0</v>
      </c>
      <c r="I1026" s="126">
        <f t="shared" ca="1" si="138"/>
        <v>0</v>
      </c>
      <c r="J1026" s="125">
        <f t="shared" ca="1" si="142"/>
        <v>0</v>
      </c>
      <c r="K1026" s="151"/>
      <c r="L1026" s="125">
        <f t="shared" ca="1" si="143"/>
        <v>0</v>
      </c>
      <c r="P1026">
        <f t="shared" si="144"/>
        <v>1019</v>
      </c>
      <c r="S1026" s="126">
        <f t="shared" ca="1" si="139"/>
        <v>0</v>
      </c>
      <c r="T1026" s="126">
        <f t="shared" ca="1" si="145"/>
        <v>0</v>
      </c>
    </row>
    <row r="1027" spans="4:20">
      <c r="D1027">
        <v>1020</v>
      </c>
      <c r="E1027" s="6">
        <f t="shared" ca="1" si="140"/>
        <v>21702</v>
      </c>
      <c r="F1027" s="7">
        <f t="shared" ca="1" si="141"/>
        <v>0</v>
      </c>
      <c r="G1027" s="125">
        <f ca="1">IF('Simulador - 1º Pilar'!$E$99="Sí",IF('Aportaciones Flex'!$B$13&lt;'Aportaciones Flex'!E1027,0,F1027*$B$8/12),F1027*$B$8/12)</f>
        <v>0</v>
      </c>
      <c r="H1027" s="125">
        <f t="shared" ca="1" si="146"/>
        <v>0</v>
      </c>
      <c r="I1027" s="126">
        <f t="shared" ca="1" si="138"/>
        <v>0</v>
      </c>
      <c r="J1027" s="125">
        <f t="shared" ca="1" si="142"/>
        <v>0</v>
      </c>
      <c r="K1027" s="151"/>
      <c r="L1027" s="125">
        <f t="shared" ca="1" si="143"/>
        <v>0</v>
      </c>
      <c r="P1027">
        <f t="shared" si="144"/>
        <v>1020</v>
      </c>
      <c r="S1027" s="126">
        <f t="shared" ca="1" si="139"/>
        <v>0</v>
      </c>
      <c r="T1027" s="126">
        <f t="shared" ca="1" si="145"/>
        <v>0</v>
      </c>
    </row>
    <row r="1028" spans="4:20">
      <c r="D1028">
        <v>1021</v>
      </c>
      <c r="E1028" s="6">
        <f t="shared" ca="1" si="140"/>
        <v>21671</v>
      </c>
      <c r="F1028" s="7">
        <f t="shared" ca="1" si="141"/>
        <v>0</v>
      </c>
      <c r="G1028" s="125">
        <f ca="1">IF('Simulador - 1º Pilar'!$E$99="Sí",IF('Aportaciones Flex'!$B$13&lt;'Aportaciones Flex'!E1028,0,F1028*$B$8/12),F1028*$B$8/12)</f>
        <v>0</v>
      </c>
      <c r="H1028" s="125">
        <f t="shared" ca="1" si="146"/>
        <v>0</v>
      </c>
      <c r="I1028" s="126">
        <f t="shared" ca="1" si="138"/>
        <v>0</v>
      </c>
      <c r="J1028" s="125">
        <f t="shared" ca="1" si="142"/>
        <v>0</v>
      </c>
      <c r="K1028" s="151"/>
      <c r="L1028" s="125">
        <f t="shared" ca="1" si="143"/>
        <v>0</v>
      </c>
      <c r="P1028">
        <f t="shared" si="144"/>
        <v>1021</v>
      </c>
      <c r="S1028" s="126">
        <f t="shared" ca="1" si="139"/>
        <v>0</v>
      </c>
      <c r="T1028" s="126">
        <f t="shared" ca="1" si="145"/>
        <v>0</v>
      </c>
    </row>
    <row r="1029" spans="4:20">
      <c r="D1029">
        <v>1022</v>
      </c>
      <c r="E1029" s="6">
        <f t="shared" ca="1" si="140"/>
        <v>21641</v>
      </c>
      <c r="F1029" s="7">
        <f t="shared" ca="1" si="141"/>
        <v>0</v>
      </c>
      <c r="G1029" s="125">
        <f ca="1">IF('Simulador - 1º Pilar'!$E$99="Sí",IF('Aportaciones Flex'!$B$13&lt;'Aportaciones Flex'!E1029,0,F1029*$B$8/12),F1029*$B$8/12)</f>
        <v>0</v>
      </c>
      <c r="H1029" s="125">
        <f t="shared" ca="1" si="146"/>
        <v>0</v>
      </c>
      <c r="I1029" s="126">
        <f t="shared" ca="1" si="138"/>
        <v>0</v>
      </c>
      <c r="J1029" s="125">
        <f t="shared" ca="1" si="142"/>
        <v>0</v>
      </c>
      <c r="K1029" s="151"/>
      <c r="L1029" s="125">
        <f t="shared" ca="1" si="143"/>
        <v>0</v>
      </c>
      <c r="P1029">
        <f t="shared" si="144"/>
        <v>1022</v>
      </c>
      <c r="S1029" s="126">
        <f t="shared" ca="1" si="139"/>
        <v>0</v>
      </c>
      <c r="T1029" s="126">
        <f t="shared" ca="1" si="145"/>
        <v>0</v>
      </c>
    </row>
    <row r="1030" spans="4:20">
      <c r="D1030">
        <v>1023</v>
      </c>
      <c r="E1030" s="6">
        <f t="shared" ca="1" si="140"/>
        <v>21610</v>
      </c>
      <c r="F1030" s="7">
        <f t="shared" ca="1" si="141"/>
        <v>0</v>
      </c>
      <c r="G1030" s="125">
        <f ca="1">IF('Simulador - 1º Pilar'!$E$99="Sí",IF('Aportaciones Flex'!$B$13&lt;'Aportaciones Flex'!E1030,0,F1030*$B$8/12),F1030*$B$8/12)</f>
        <v>0</v>
      </c>
      <c r="H1030" s="125">
        <f t="shared" ca="1" si="146"/>
        <v>0</v>
      </c>
      <c r="I1030" s="126">
        <f t="shared" ca="1" si="138"/>
        <v>0</v>
      </c>
      <c r="J1030" s="125">
        <f t="shared" ca="1" si="142"/>
        <v>0</v>
      </c>
      <c r="K1030" s="151"/>
      <c r="L1030" s="125">
        <f t="shared" ca="1" si="143"/>
        <v>0</v>
      </c>
      <c r="P1030">
        <f t="shared" si="144"/>
        <v>1023</v>
      </c>
      <c r="S1030" s="126">
        <f t="shared" ca="1" si="139"/>
        <v>0</v>
      </c>
      <c r="T1030" s="126">
        <f t="shared" ca="1" si="145"/>
        <v>0</v>
      </c>
    </row>
    <row r="1031" spans="4:20">
      <c r="D1031">
        <v>1024</v>
      </c>
      <c r="E1031" s="6">
        <f t="shared" ca="1" si="140"/>
        <v>21582</v>
      </c>
      <c r="F1031" s="7">
        <f t="shared" ca="1" si="141"/>
        <v>0</v>
      </c>
      <c r="G1031" s="125">
        <f ca="1">IF('Simulador - 1º Pilar'!$E$99="Sí",IF('Aportaciones Flex'!$B$13&lt;'Aportaciones Flex'!E1031,0,F1031*$B$8/12),F1031*$B$8/12)</f>
        <v>0</v>
      </c>
      <c r="H1031" s="125">
        <f t="shared" ca="1" si="146"/>
        <v>0</v>
      </c>
      <c r="I1031" s="126">
        <f t="shared" ref="I1031:I1066" ca="1" si="147">(1+$M$5)^(D1031/12)*(H1031*(12-IF(MONTH(E1032)=12,0,MONTH(E1032)))+IF(AND(F1031=1,F1032=0),$Q$4,0))*IF(AND(F1031=1,F1032=0),1,0)</f>
        <v>0</v>
      </c>
      <c r="J1031" s="125">
        <f t="shared" ca="1" si="142"/>
        <v>0</v>
      </c>
      <c r="K1031" s="151"/>
      <c r="L1031" s="125">
        <f t="shared" ca="1" si="143"/>
        <v>0</v>
      </c>
      <c r="P1031">
        <f t="shared" si="144"/>
        <v>1024</v>
      </c>
      <c r="S1031" s="126">
        <f t="shared" ref="S1031:S1066" ca="1" si="148">(1+$M$5)^(D1031/12)*(IF(E1031=$C$6,$Q$4+$H$5*12,0))</f>
        <v>0</v>
      </c>
      <c r="T1031" s="126">
        <f t="shared" ca="1" si="145"/>
        <v>0</v>
      </c>
    </row>
    <row r="1032" spans="4:20">
      <c r="D1032">
        <v>1025</v>
      </c>
      <c r="E1032" s="6">
        <f t="shared" ref="E1032:E1066" ca="1" si="149">+DATE(YEAR(E1031),MONTH(E1031)-1,DAY(E1031))</f>
        <v>21551</v>
      </c>
      <c r="F1032" s="7">
        <f t="shared" ref="F1032:F1066" ca="1" si="150">IF(DATE(YEAR($B$6),MONTH($B$6)+1,DAY(1))=E1032,1,IF(MONTH(E1032)=1,F1033*(1+$F$5),F1033))</f>
        <v>0</v>
      </c>
      <c r="G1032" s="125">
        <f ca="1">IF('Simulador - 1º Pilar'!$E$99="Sí",IF('Aportaciones Flex'!$B$13&lt;'Aportaciones Flex'!E1032,0,F1032*$B$8/12),F1032*$B$8/12)</f>
        <v>0</v>
      </c>
      <c r="H1032" s="125">
        <f t="shared" ca="1" si="146"/>
        <v>0</v>
      </c>
      <c r="I1032" s="126">
        <f t="shared" ca="1" si="147"/>
        <v>0</v>
      </c>
      <c r="J1032" s="125">
        <f t="shared" ref="J1032:J1066" ca="1" si="151">(1+$M$5)^(D1032/12)*(H1032+IF(AND(F1032=1,F1033=0),$Q$4,0))</f>
        <v>0</v>
      </c>
      <c r="K1032" s="151"/>
      <c r="L1032" s="125">
        <f t="shared" ref="L1032:L1066" ca="1" si="152">K1032+J1032</f>
        <v>0</v>
      </c>
      <c r="P1032">
        <f t="shared" ref="P1032:P1066" si="153">D1032</f>
        <v>1025</v>
      </c>
      <c r="S1032" s="126">
        <f t="shared" ca="1" si="148"/>
        <v>0</v>
      </c>
      <c r="T1032" s="126">
        <f t="shared" ref="T1032:T1066" ca="1" si="154">(1+$M$5)^(D1032/12)*(IF(YEAR(E1032)&gt;YEAR($C$6),L1032,0)+IF(E1032=$C$6,$H$5*12+$Q$4,0))</f>
        <v>0</v>
      </c>
    </row>
    <row r="1033" spans="4:20">
      <c r="D1033">
        <v>1026</v>
      </c>
      <c r="E1033" s="6">
        <f t="shared" ca="1" si="149"/>
        <v>21520</v>
      </c>
      <c r="F1033" s="7">
        <f t="shared" ca="1" si="150"/>
        <v>0</v>
      </c>
      <c r="G1033" s="125">
        <f ca="1">IF('Simulador - 1º Pilar'!$E$99="Sí",IF('Aportaciones Flex'!$B$13&lt;'Aportaciones Flex'!E1033,0,F1033*$B$8/12),F1033*$B$8/12)</f>
        <v>0</v>
      </c>
      <c r="H1033" s="125">
        <f t="shared" ca="1" si="146"/>
        <v>0</v>
      </c>
      <c r="I1033" s="126">
        <f t="shared" ca="1" si="147"/>
        <v>0</v>
      </c>
      <c r="J1033" s="125">
        <f t="shared" ca="1" si="151"/>
        <v>0</v>
      </c>
      <c r="K1033" s="151"/>
      <c r="L1033" s="125">
        <f t="shared" ca="1" si="152"/>
        <v>0</v>
      </c>
      <c r="P1033">
        <f t="shared" si="153"/>
        <v>1026</v>
      </c>
      <c r="S1033" s="126">
        <f t="shared" ca="1" si="148"/>
        <v>0</v>
      </c>
      <c r="T1033" s="126">
        <f t="shared" ca="1" si="154"/>
        <v>0</v>
      </c>
    </row>
    <row r="1034" spans="4:20">
      <c r="D1034">
        <v>1027</v>
      </c>
      <c r="E1034" s="6">
        <f t="shared" ca="1" si="149"/>
        <v>21490</v>
      </c>
      <c r="F1034" s="7">
        <f t="shared" ca="1" si="150"/>
        <v>0</v>
      </c>
      <c r="G1034" s="125">
        <f ca="1">IF('Simulador - 1º Pilar'!$E$99="Sí",IF('Aportaciones Flex'!$B$13&lt;'Aportaciones Flex'!E1034,0,F1034*$B$8/12),F1034*$B$8/12)</f>
        <v>0</v>
      </c>
      <c r="H1034" s="125">
        <f t="shared" ca="1" si="146"/>
        <v>0</v>
      </c>
      <c r="I1034" s="126">
        <f t="shared" ca="1" si="147"/>
        <v>0</v>
      </c>
      <c r="J1034" s="125">
        <f t="shared" ca="1" si="151"/>
        <v>0</v>
      </c>
      <c r="K1034" s="151"/>
      <c r="L1034" s="125">
        <f t="shared" ca="1" si="152"/>
        <v>0</v>
      </c>
      <c r="P1034">
        <f t="shared" si="153"/>
        <v>1027</v>
      </c>
      <c r="S1034" s="126">
        <f t="shared" ca="1" si="148"/>
        <v>0</v>
      </c>
      <c r="T1034" s="126">
        <f t="shared" ca="1" si="154"/>
        <v>0</v>
      </c>
    </row>
    <row r="1035" spans="4:20">
      <c r="D1035">
        <v>1028</v>
      </c>
      <c r="E1035" s="6">
        <f t="shared" ca="1" si="149"/>
        <v>21459</v>
      </c>
      <c r="F1035" s="7">
        <f t="shared" ca="1" si="150"/>
        <v>0</v>
      </c>
      <c r="G1035" s="125">
        <f ca="1">IF('Simulador - 1º Pilar'!$E$99="Sí",IF('Aportaciones Flex'!$B$13&lt;'Aportaciones Flex'!E1035,0,F1035*$B$8/12),F1035*$B$8/12)</f>
        <v>0</v>
      </c>
      <c r="H1035" s="125">
        <f t="shared" ca="1" si="146"/>
        <v>0</v>
      </c>
      <c r="I1035" s="126">
        <f t="shared" ca="1" si="147"/>
        <v>0</v>
      </c>
      <c r="J1035" s="125">
        <f t="shared" ca="1" si="151"/>
        <v>0</v>
      </c>
      <c r="K1035" s="151"/>
      <c r="L1035" s="125">
        <f t="shared" ca="1" si="152"/>
        <v>0</v>
      </c>
      <c r="P1035">
        <f t="shared" si="153"/>
        <v>1028</v>
      </c>
      <c r="S1035" s="126">
        <f t="shared" ca="1" si="148"/>
        <v>0</v>
      </c>
      <c r="T1035" s="126">
        <f t="shared" ca="1" si="154"/>
        <v>0</v>
      </c>
    </row>
    <row r="1036" spans="4:20">
      <c r="D1036">
        <v>1029</v>
      </c>
      <c r="E1036" s="6">
        <f t="shared" ca="1" si="149"/>
        <v>21429</v>
      </c>
      <c r="F1036" s="7">
        <f t="shared" ca="1" si="150"/>
        <v>0</v>
      </c>
      <c r="G1036" s="125">
        <f ca="1">IF('Simulador - 1º Pilar'!$E$99="Sí",IF('Aportaciones Flex'!$B$13&lt;'Aportaciones Flex'!E1036,0,F1036*$B$8/12),F1036*$B$8/12)</f>
        <v>0</v>
      </c>
      <c r="H1036" s="125">
        <f t="shared" ca="1" si="146"/>
        <v>0</v>
      </c>
      <c r="I1036" s="126">
        <f t="shared" ca="1" si="147"/>
        <v>0</v>
      </c>
      <c r="J1036" s="125">
        <f t="shared" ca="1" si="151"/>
        <v>0</v>
      </c>
      <c r="K1036" s="151"/>
      <c r="L1036" s="125">
        <f t="shared" ca="1" si="152"/>
        <v>0</v>
      </c>
      <c r="P1036">
        <f t="shared" si="153"/>
        <v>1029</v>
      </c>
      <c r="S1036" s="126">
        <f t="shared" ca="1" si="148"/>
        <v>0</v>
      </c>
      <c r="T1036" s="126">
        <f t="shared" ca="1" si="154"/>
        <v>0</v>
      </c>
    </row>
    <row r="1037" spans="4:20">
      <c r="D1037">
        <v>1030</v>
      </c>
      <c r="E1037" s="6">
        <f t="shared" ca="1" si="149"/>
        <v>21398</v>
      </c>
      <c r="F1037" s="7">
        <f t="shared" ca="1" si="150"/>
        <v>0</v>
      </c>
      <c r="G1037" s="125">
        <f ca="1">IF('Simulador - 1º Pilar'!$E$99="Sí",IF('Aportaciones Flex'!$B$13&lt;'Aportaciones Flex'!E1037,0,F1037*$B$8/12),F1037*$B$8/12)</f>
        <v>0</v>
      </c>
      <c r="H1037" s="125">
        <f t="shared" ca="1" si="146"/>
        <v>0</v>
      </c>
      <c r="I1037" s="126">
        <f t="shared" ca="1" si="147"/>
        <v>0</v>
      </c>
      <c r="J1037" s="125">
        <f t="shared" ca="1" si="151"/>
        <v>0</v>
      </c>
      <c r="K1037" s="151"/>
      <c r="L1037" s="125">
        <f t="shared" ca="1" si="152"/>
        <v>0</v>
      </c>
      <c r="P1037">
        <f t="shared" si="153"/>
        <v>1030</v>
      </c>
      <c r="S1037" s="126">
        <f t="shared" ca="1" si="148"/>
        <v>0</v>
      </c>
      <c r="T1037" s="126">
        <f t="shared" ca="1" si="154"/>
        <v>0</v>
      </c>
    </row>
    <row r="1038" spans="4:20">
      <c r="D1038">
        <v>1031</v>
      </c>
      <c r="E1038" s="6">
        <f t="shared" ca="1" si="149"/>
        <v>21367</v>
      </c>
      <c r="F1038" s="7">
        <f t="shared" ca="1" si="150"/>
        <v>0</v>
      </c>
      <c r="G1038" s="125">
        <f ca="1">IF('Simulador - 1º Pilar'!$E$99="Sí",IF('Aportaciones Flex'!$B$13&lt;'Aportaciones Flex'!E1038,0,F1038*$B$8/12),F1038*$B$8/12)</f>
        <v>0</v>
      </c>
      <c r="H1038" s="125">
        <f t="shared" ca="1" si="146"/>
        <v>0</v>
      </c>
      <c r="I1038" s="126">
        <f t="shared" ca="1" si="147"/>
        <v>0</v>
      </c>
      <c r="J1038" s="125">
        <f t="shared" ca="1" si="151"/>
        <v>0</v>
      </c>
      <c r="K1038" s="151"/>
      <c r="L1038" s="125">
        <f t="shared" ca="1" si="152"/>
        <v>0</v>
      </c>
      <c r="P1038">
        <f t="shared" si="153"/>
        <v>1031</v>
      </c>
      <c r="S1038" s="126">
        <f t="shared" ca="1" si="148"/>
        <v>0</v>
      </c>
      <c r="T1038" s="126">
        <f t="shared" ca="1" si="154"/>
        <v>0</v>
      </c>
    </row>
    <row r="1039" spans="4:20">
      <c r="D1039">
        <v>1032</v>
      </c>
      <c r="E1039" s="6">
        <f t="shared" ca="1" si="149"/>
        <v>21337</v>
      </c>
      <c r="F1039" s="7">
        <f t="shared" ca="1" si="150"/>
        <v>0</v>
      </c>
      <c r="G1039" s="125">
        <f ca="1">IF('Simulador - 1º Pilar'!$E$99="Sí",IF('Aportaciones Flex'!$B$13&lt;'Aportaciones Flex'!E1039,0,F1039*$B$8/12),F1039*$B$8/12)</f>
        <v>0</v>
      </c>
      <c r="H1039" s="125">
        <f t="shared" ca="1" si="146"/>
        <v>0</v>
      </c>
      <c r="I1039" s="126">
        <f t="shared" ca="1" si="147"/>
        <v>0</v>
      </c>
      <c r="J1039" s="125">
        <f t="shared" ca="1" si="151"/>
        <v>0</v>
      </c>
      <c r="K1039" s="151"/>
      <c r="L1039" s="125">
        <f t="shared" ca="1" si="152"/>
        <v>0</v>
      </c>
      <c r="P1039">
        <f t="shared" si="153"/>
        <v>1032</v>
      </c>
      <c r="S1039" s="126">
        <f t="shared" ca="1" si="148"/>
        <v>0</v>
      </c>
      <c r="T1039" s="126">
        <f t="shared" ca="1" si="154"/>
        <v>0</v>
      </c>
    </row>
    <row r="1040" spans="4:20">
      <c r="D1040">
        <v>1033</v>
      </c>
      <c r="E1040" s="6">
        <f t="shared" ca="1" si="149"/>
        <v>21306</v>
      </c>
      <c r="F1040" s="7">
        <f t="shared" ca="1" si="150"/>
        <v>0</v>
      </c>
      <c r="G1040" s="125">
        <f ca="1">IF('Simulador - 1º Pilar'!$E$99="Sí",IF('Aportaciones Flex'!$B$13&lt;'Aportaciones Flex'!E1040,0,F1040*$B$8/12),F1040*$B$8/12)</f>
        <v>0</v>
      </c>
      <c r="H1040" s="125">
        <f t="shared" ca="1" si="146"/>
        <v>0</v>
      </c>
      <c r="I1040" s="126">
        <f t="shared" ca="1" si="147"/>
        <v>0</v>
      </c>
      <c r="J1040" s="125">
        <f t="shared" ca="1" si="151"/>
        <v>0</v>
      </c>
      <c r="K1040" s="151"/>
      <c r="L1040" s="125">
        <f t="shared" ca="1" si="152"/>
        <v>0</v>
      </c>
      <c r="P1040">
        <f t="shared" si="153"/>
        <v>1033</v>
      </c>
      <c r="S1040" s="126">
        <f t="shared" ca="1" si="148"/>
        <v>0</v>
      </c>
      <c r="T1040" s="126">
        <f t="shared" ca="1" si="154"/>
        <v>0</v>
      </c>
    </row>
    <row r="1041" spans="4:20">
      <c r="D1041">
        <v>1034</v>
      </c>
      <c r="E1041" s="6">
        <f t="shared" ca="1" si="149"/>
        <v>21276</v>
      </c>
      <c r="F1041" s="7">
        <f t="shared" ca="1" si="150"/>
        <v>0</v>
      </c>
      <c r="G1041" s="125">
        <f ca="1">IF('Simulador - 1º Pilar'!$E$99="Sí",IF('Aportaciones Flex'!$B$13&lt;'Aportaciones Flex'!E1041,0,F1041*$B$8/12),F1041*$B$8/12)</f>
        <v>0</v>
      </c>
      <c r="H1041" s="125">
        <f t="shared" ca="1" si="146"/>
        <v>0</v>
      </c>
      <c r="I1041" s="126">
        <f t="shared" ca="1" si="147"/>
        <v>0</v>
      </c>
      <c r="J1041" s="125">
        <f t="shared" ca="1" si="151"/>
        <v>0</v>
      </c>
      <c r="K1041" s="151"/>
      <c r="L1041" s="125">
        <f t="shared" ca="1" si="152"/>
        <v>0</v>
      </c>
      <c r="P1041">
        <f t="shared" si="153"/>
        <v>1034</v>
      </c>
      <c r="S1041" s="126">
        <f t="shared" ca="1" si="148"/>
        <v>0</v>
      </c>
      <c r="T1041" s="126">
        <f t="shared" ca="1" si="154"/>
        <v>0</v>
      </c>
    </row>
    <row r="1042" spans="4:20">
      <c r="D1042">
        <v>1035</v>
      </c>
      <c r="E1042" s="6">
        <f t="shared" ca="1" si="149"/>
        <v>21245</v>
      </c>
      <c r="F1042" s="7">
        <f t="shared" ca="1" si="150"/>
        <v>0</v>
      </c>
      <c r="G1042" s="125">
        <f ca="1">IF('Simulador - 1º Pilar'!$E$99="Sí",IF('Aportaciones Flex'!$B$13&lt;'Aportaciones Flex'!E1042,0,F1042*$B$8/12),F1042*$B$8/12)</f>
        <v>0</v>
      </c>
      <c r="H1042" s="125">
        <f t="shared" ca="1" si="146"/>
        <v>0</v>
      </c>
      <c r="I1042" s="126">
        <f t="shared" ca="1" si="147"/>
        <v>0</v>
      </c>
      <c r="J1042" s="125">
        <f t="shared" ca="1" si="151"/>
        <v>0</v>
      </c>
      <c r="K1042" s="151"/>
      <c r="L1042" s="125">
        <f t="shared" ca="1" si="152"/>
        <v>0</v>
      </c>
      <c r="P1042">
        <f t="shared" si="153"/>
        <v>1035</v>
      </c>
      <c r="S1042" s="126">
        <f t="shared" ca="1" si="148"/>
        <v>0</v>
      </c>
      <c r="T1042" s="126">
        <f t="shared" ca="1" si="154"/>
        <v>0</v>
      </c>
    </row>
    <row r="1043" spans="4:20">
      <c r="D1043">
        <v>1036</v>
      </c>
      <c r="E1043" s="6">
        <f t="shared" ca="1" si="149"/>
        <v>21217</v>
      </c>
      <c r="F1043" s="7">
        <f t="shared" ca="1" si="150"/>
        <v>0</v>
      </c>
      <c r="G1043" s="125">
        <f ca="1">IF('Simulador - 1º Pilar'!$E$99="Sí",IF('Aportaciones Flex'!$B$13&lt;'Aportaciones Flex'!E1043,0,F1043*$B$8/12),F1043*$B$8/12)</f>
        <v>0</v>
      </c>
      <c r="H1043" s="125">
        <f t="shared" ca="1" si="146"/>
        <v>0</v>
      </c>
      <c r="I1043" s="126">
        <f t="shared" ca="1" si="147"/>
        <v>0</v>
      </c>
      <c r="J1043" s="125">
        <f t="shared" ca="1" si="151"/>
        <v>0</v>
      </c>
      <c r="K1043" s="151"/>
      <c r="L1043" s="125">
        <f t="shared" ca="1" si="152"/>
        <v>0</v>
      </c>
      <c r="P1043">
        <f t="shared" si="153"/>
        <v>1036</v>
      </c>
      <c r="S1043" s="126">
        <f t="shared" ca="1" si="148"/>
        <v>0</v>
      </c>
      <c r="T1043" s="126">
        <f t="shared" ca="1" si="154"/>
        <v>0</v>
      </c>
    </row>
    <row r="1044" spans="4:20">
      <c r="D1044">
        <v>1037</v>
      </c>
      <c r="E1044" s="6">
        <f t="shared" ca="1" si="149"/>
        <v>21186</v>
      </c>
      <c r="F1044" s="7">
        <f t="shared" ca="1" si="150"/>
        <v>0</v>
      </c>
      <c r="G1044" s="125">
        <f ca="1">IF('Simulador - 1º Pilar'!$E$99="Sí",IF('Aportaciones Flex'!$B$13&lt;'Aportaciones Flex'!E1044,0,F1044*$B$8/12),F1044*$B$8/12)</f>
        <v>0</v>
      </c>
      <c r="H1044" s="125">
        <f t="shared" ca="1" si="146"/>
        <v>0</v>
      </c>
      <c r="I1044" s="126">
        <f t="shared" ca="1" si="147"/>
        <v>0</v>
      </c>
      <c r="J1044" s="125">
        <f t="shared" ca="1" si="151"/>
        <v>0</v>
      </c>
      <c r="K1044" s="151"/>
      <c r="L1044" s="125">
        <f t="shared" ca="1" si="152"/>
        <v>0</v>
      </c>
      <c r="P1044">
        <f t="shared" si="153"/>
        <v>1037</v>
      </c>
      <c r="S1044" s="126">
        <f t="shared" ca="1" si="148"/>
        <v>0</v>
      </c>
      <c r="T1044" s="126">
        <f t="shared" ca="1" si="154"/>
        <v>0</v>
      </c>
    </row>
    <row r="1045" spans="4:20">
      <c r="D1045">
        <v>1038</v>
      </c>
      <c r="E1045" s="6">
        <f t="shared" ca="1" si="149"/>
        <v>21155</v>
      </c>
      <c r="F1045" s="7">
        <f t="shared" ca="1" si="150"/>
        <v>0</v>
      </c>
      <c r="G1045" s="125">
        <f ca="1">IF('Simulador - 1º Pilar'!$E$99="Sí",IF('Aportaciones Flex'!$B$13&lt;'Aportaciones Flex'!E1045,0,F1045*$B$8/12),F1045*$B$8/12)</f>
        <v>0</v>
      </c>
      <c r="H1045" s="125">
        <f t="shared" ca="1" si="146"/>
        <v>0</v>
      </c>
      <c r="I1045" s="126">
        <f t="shared" ca="1" si="147"/>
        <v>0</v>
      </c>
      <c r="J1045" s="125">
        <f t="shared" ca="1" si="151"/>
        <v>0</v>
      </c>
      <c r="K1045" s="151"/>
      <c r="L1045" s="125">
        <f t="shared" ca="1" si="152"/>
        <v>0</v>
      </c>
      <c r="P1045">
        <f t="shared" si="153"/>
        <v>1038</v>
      </c>
      <c r="S1045" s="126">
        <f t="shared" ca="1" si="148"/>
        <v>0</v>
      </c>
      <c r="T1045" s="126">
        <f t="shared" ca="1" si="154"/>
        <v>0</v>
      </c>
    </row>
    <row r="1046" spans="4:20">
      <c r="D1046">
        <v>1039</v>
      </c>
      <c r="E1046" s="6">
        <f t="shared" ca="1" si="149"/>
        <v>21125</v>
      </c>
      <c r="F1046" s="7">
        <f t="shared" ca="1" si="150"/>
        <v>0</v>
      </c>
      <c r="G1046" s="125">
        <f ca="1">IF('Simulador - 1º Pilar'!$E$99="Sí",IF('Aportaciones Flex'!$B$13&lt;'Aportaciones Flex'!E1046,0,F1046*$B$8/12),F1046*$B$8/12)</f>
        <v>0</v>
      </c>
      <c r="H1046" s="125">
        <f t="shared" ca="1" si="146"/>
        <v>0</v>
      </c>
      <c r="I1046" s="126">
        <f t="shared" ca="1" si="147"/>
        <v>0</v>
      </c>
      <c r="J1046" s="125">
        <f t="shared" ca="1" si="151"/>
        <v>0</v>
      </c>
      <c r="K1046" s="151"/>
      <c r="L1046" s="125">
        <f t="shared" ca="1" si="152"/>
        <v>0</v>
      </c>
      <c r="P1046">
        <f t="shared" si="153"/>
        <v>1039</v>
      </c>
      <c r="S1046" s="126">
        <f t="shared" ca="1" si="148"/>
        <v>0</v>
      </c>
      <c r="T1046" s="126">
        <f t="shared" ca="1" si="154"/>
        <v>0</v>
      </c>
    </row>
    <row r="1047" spans="4:20">
      <c r="D1047">
        <v>1040</v>
      </c>
      <c r="E1047" s="6">
        <f t="shared" ca="1" si="149"/>
        <v>21094</v>
      </c>
      <c r="F1047" s="7">
        <f t="shared" ca="1" si="150"/>
        <v>0</v>
      </c>
      <c r="G1047" s="125">
        <f ca="1">IF('Simulador - 1º Pilar'!$E$99="Sí",IF('Aportaciones Flex'!$B$13&lt;'Aportaciones Flex'!E1047,0,F1047*$B$8/12),F1047*$B$8/12)</f>
        <v>0</v>
      </c>
      <c r="H1047" s="125">
        <f t="shared" ca="1" si="146"/>
        <v>0</v>
      </c>
      <c r="I1047" s="126">
        <f t="shared" ca="1" si="147"/>
        <v>0</v>
      </c>
      <c r="J1047" s="125">
        <f t="shared" ca="1" si="151"/>
        <v>0</v>
      </c>
      <c r="K1047" s="151"/>
      <c r="L1047" s="125">
        <f t="shared" ca="1" si="152"/>
        <v>0</v>
      </c>
      <c r="P1047">
        <f t="shared" si="153"/>
        <v>1040</v>
      </c>
      <c r="S1047" s="126">
        <f t="shared" ca="1" si="148"/>
        <v>0</v>
      </c>
      <c r="T1047" s="126">
        <f t="shared" ca="1" si="154"/>
        <v>0</v>
      </c>
    </row>
    <row r="1048" spans="4:20">
      <c r="D1048">
        <v>1041</v>
      </c>
      <c r="E1048" s="6">
        <f t="shared" ca="1" si="149"/>
        <v>21064</v>
      </c>
      <c r="F1048" s="7">
        <f t="shared" ca="1" si="150"/>
        <v>0</v>
      </c>
      <c r="G1048" s="125">
        <f ca="1">IF('Simulador - 1º Pilar'!$E$99="Sí",IF('Aportaciones Flex'!$B$13&lt;'Aportaciones Flex'!E1048,0,F1048*$B$8/12),F1048*$B$8/12)</f>
        <v>0</v>
      </c>
      <c r="H1048" s="125">
        <f t="shared" ca="1" si="146"/>
        <v>0</v>
      </c>
      <c r="I1048" s="126">
        <f t="shared" ca="1" si="147"/>
        <v>0</v>
      </c>
      <c r="J1048" s="125">
        <f t="shared" ca="1" si="151"/>
        <v>0</v>
      </c>
      <c r="K1048" s="151"/>
      <c r="L1048" s="125">
        <f t="shared" ca="1" si="152"/>
        <v>0</v>
      </c>
      <c r="P1048">
        <f t="shared" si="153"/>
        <v>1041</v>
      </c>
      <c r="S1048" s="126">
        <f t="shared" ca="1" si="148"/>
        <v>0</v>
      </c>
      <c r="T1048" s="126">
        <f t="shared" ca="1" si="154"/>
        <v>0</v>
      </c>
    </row>
    <row r="1049" spans="4:20">
      <c r="D1049">
        <v>1042</v>
      </c>
      <c r="E1049" s="6">
        <f t="shared" ca="1" si="149"/>
        <v>21033</v>
      </c>
      <c r="F1049" s="7">
        <f t="shared" ca="1" si="150"/>
        <v>0</v>
      </c>
      <c r="G1049" s="125">
        <f ca="1">IF('Simulador - 1º Pilar'!$E$99="Sí",IF('Aportaciones Flex'!$B$13&lt;'Aportaciones Flex'!E1049,0,F1049*$B$8/12),F1049*$B$8/12)</f>
        <v>0</v>
      </c>
      <c r="H1049" s="125">
        <f t="shared" ca="1" si="146"/>
        <v>0</v>
      </c>
      <c r="I1049" s="126">
        <f t="shared" ca="1" si="147"/>
        <v>0</v>
      </c>
      <c r="J1049" s="125">
        <f t="shared" ca="1" si="151"/>
        <v>0</v>
      </c>
      <c r="K1049" s="151"/>
      <c r="L1049" s="125">
        <f t="shared" ca="1" si="152"/>
        <v>0</v>
      </c>
      <c r="P1049">
        <f t="shared" si="153"/>
        <v>1042</v>
      </c>
      <c r="S1049" s="126">
        <f t="shared" ca="1" si="148"/>
        <v>0</v>
      </c>
      <c r="T1049" s="126">
        <f t="shared" ca="1" si="154"/>
        <v>0</v>
      </c>
    </row>
    <row r="1050" spans="4:20">
      <c r="D1050">
        <v>1043</v>
      </c>
      <c r="E1050" s="6">
        <f t="shared" ca="1" si="149"/>
        <v>21002</v>
      </c>
      <c r="F1050" s="7">
        <f t="shared" ca="1" si="150"/>
        <v>0</v>
      </c>
      <c r="G1050" s="125">
        <f ca="1">IF('Simulador - 1º Pilar'!$E$99="Sí",IF('Aportaciones Flex'!$B$13&lt;'Aportaciones Flex'!E1050,0,F1050*$B$8/12),F1050*$B$8/12)</f>
        <v>0</v>
      </c>
      <c r="H1050" s="125">
        <f t="shared" ca="1" si="146"/>
        <v>0</v>
      </c>
      <c r="I1050" s="126">
        <f t="shared" ca="1" si="147"/>
        <v>0</v>
      </c>
      <c r="J1050" s="125">
        <f t="shared" ca="1" si="151"/>
        <v>0</v>
      </c>
      <c r="K1050" s="151"/>
      <c r="L1050" s="125">
        <f t="shared" ca="1" si="152"/>
        <v>0</v>
      </c>
      <c r="P1050">
        <f t="shared" si="153"/>
        <v>1043</v>
      </c>
      <c r="S1050" s="126">
        <f t="shared" ca="1" si="148"/>
        <v>0</v>
      </c>
      <c r="T1050" s="126">
        <f t="shared" ca="1" si="154"/>
        <v>0</v>
      </c>
    </row>
    <row r="1051" spans="4:20">
      <c r="D1051">
        <v>1044</v>
      </c>
      <c r="E1051" s="6">
        <f t="shared" ca="1" si="149"/>
        <v>20972</v>
      </c>
      <c r="F1051" s="7">
        <f t="shared" ca="1" si="150"/>
        <v>0</v>
      </c>
      <c r="G1051" s="125">
        <f ca="1">IF('Simulador - 1º Pilar'!$E$99="Sí",IF('Aportaciones Flex'!$B$13&lt;'Aportaciones Flex'!E1051,0,F1051*$B$8/12),F1051*$B$8/12)</f>
        <v>0</v>
      </c>
      <c r="H1051" s="125">
        <f t="shared" ca="1" si="146"/>
        <v>0</v>
      </c>
      <c r="I1051" s="126">
        <f t="shared" ca="1" si="147"/>
        <v>0</v>
      </c>
      <c r="J1051" s="125">
        <f t="shared" ca="1" si="151"/>
        <v>0</v>
      </c>
      <c r="K1051" s="151"/>
      <c r="L1051" s="125">
        <f t="shared" ca="1" si="152"/>
        <v>0</v>
      </c>
      <c r="P1051">
        <f t="shared" si="153"/>
        <v>1044</v>
      </c>
      <c r="S1051" s="126">
        <f t="shared" ca="1" si="148"/>
        <v>0</v>
      </c>
      <c r="T1051" s="126">
        <f t="shared" ca="1" si="154"/>
        <v>0</v>
      </c>
    </row>
    <row r="1052" spans="4:20">
      <c r="D1052">
        <v>1045</v>
      </c>
      <c r="E1052" s="6">
        <f t="shared" ca="1" si="149"/>
        <v>20941</v>
      </c>
      <c r="F1052" s="7">
        <f t="shared" ca="1" si="150"/>
        <v>0</v>
      </c>
      <c r="G1052" s="125">
        <f ca="1">IF('Simulador - 1º Pilar'!$E$99="Sí",IF('Aportaciones Flex'!$B$13&lt;'Aportaciones Flex'!E1052,0,F1052*$B$8/12),F1052*$B$8/12)</f>
        <v>0</v>
      </c>
      <c r="H1052" s="125">
        <f t="shared" ca="1" si="146"/>
        <v>0</v>
      </c>
      <c r="I1052" s="126">
        <f t="shared" ca="1" si="147"/>
        <v>0</v>
      </c>
      <c r="J1052" s="125">
        <f t="shared" ca="1" si="151"/>
        <v>0</v>
      </c>
      <c r="K1052" s="151"/>
      <c r="L1052" s="125">
        <f t="shared" ca="1" si="152"/>
        <v>0</v>
      </c>
      <c r="P1052">
        <f t="shared" si="153"/>
        <v>1045</v>
      </c>
      <c r="S1052" s="126">
        <f t="shared" ca="1" si="148"/>
        <v>0</v>
      </c>
      <c r="T1052" s="126">
        <f t="shared" ca="1" si="154"/>
        <v>0</v>
      </c>
    </row>
    <row r="1053" spans="4:20">
      <c r="D1053">
        <v>1046</v>
      </c>
      <c r="E1053" s="6">
        <f t="shared" ca="1" si="149"/>
        <v>20911</v>
      </c>
      <c r="F1053" s="7">
        <f t="shared" ca="1" si="150"/>
        <v>0</v>
      </c>
      <c r="G1053" s="125">
        <f ca="1">IF('Simulador - 1º Pilar'!$E$99="Sí",IF('Aportaciones Flex'!$B$13&lt;'Aportaciones Flex'!E1053,0,F1053*$B$8/12),F1053*$B$8/12)</f>
        <v>0</v>
      </c>
      <c r="H1053" s="125">
        <f t="shared" ca="1" si="146"/>
        <v>0</v>
      </c>
      <c r="I1053" s="126">
        <f t="shared" ca="1" si="147"/>
        <v>0</v>
      </c>
      <c r="J1053" s="125">
        <f t="shared" ca="1" si="151"/>
        <v>0</v>
      </c>
      <c r="K1053" s="151"/>
      <c r="L1053" s="125">
        <f t="shared" ca="1" si="152"/>
        <v>0</v>
      </c>
      <c r="P1053">
        <f t="shared" si="153"/>
        <v>1046</v>
      </c>
      <c r="S1053" s="126">
        <f t="shared" ca="1" si="148"/>
        <v>0</v>
      </c>
      <c r="T1053" s="126">
        <f t="shared" ca="1" si="154"/>
        <v>0</v>
      </c>
    </row>
    <row r="1054" spans="4:20">
      <c r="D1054">
        <v>1047</v>
      </c>
      <c r="E1054" s="6">
        <f t="shared" ca="1" si="149"/>
        <v>20880</v>
      </c>
      <c r="F1054" s="7">
        <f t="shared" ca="1" si="150"/>
        <v>0</v>
      </c>
      <c r="G1054" s="125">
        <f ca="1">IF('Simulador - 1º Pilar'!$E$99="Sí",IF('Aportaciones Flex'!$B$13&lt;'Aportaciones Flex'!E1054,0,F1054*$B$8/12),F1054*$B$8/12)</f>
        <v>0</v>
      </c>
      <c r="H1054" s="125">
        <f t="shared" ca="1" si="146"/>
        <v>0</v>
      </c>
      <c r="I1054" s="126">
        <f t="shared" ca="1" si="147"/>
        <v>0</v>
      </c>
      <c r="J1054" s="125">
        <f t="shared" ca="1" si="151"/>
        <v>0</v>
      </c>
      <c r="K1054" s="151"/>
      <c r="L1054" s="125">
        <f t="shared" ca="1" si="152"/>
        <v>0</v>
      </c>
      <c r="P1054">
        <f t="shared" si="153"/>
        <v>1047</v>
      </c>
      <c r="S1054" s="126">
        <f t="shared" ca="1" si="148"/>
        <v>0</v>
      </c>
      <c r="T1054" s="126">
        <f t="shared" ca="1" si="154"/>
        <v>0</v>
      </c>
    </row>
    <row r="1055" spans="4:20">
      <c r="D1055">
        <v>1048</v>
      </c>
      <c r="E1055" s="6">
        <f t="shared" ca="1" si="149"/>
        <v>20852</v>
      </c>
      <c r="F1055" s="7">
        <f t="shared" ca="1" si="150"/>
        <v>0</v>
      </c>
      <c r="G1055" s="125">
        <f ca="1">IF('Simulador - 1º Pilar'!$E$99="Sí",IF('Aportaciones Flex'!$B$13&lt;'Aportaciones Flex'!E1055,0,F1055*$B$8/12),F1055*$B$8/12)</f>
        <v>0</v>
      </c>
      <c r="H1055" s="125">
        <f t="shared" ca="1" si="146"/>
        <v>0</v>
      </c>
      <c r="I1055" s="126">
        <f t="shared" ca="1" si="147"/>
        <v>0</v>
      </c>
      <c r="J1055" s="125">
        <f t="shared" ca="1" si="151"/>
        <v>0</v>
      </c>
      <c r="K1055" s="151"/>
      <c r="L1055" s="125">
        <f t="shared" ca="1" si="152"/>
        <v>0</v>
      </c>
      <c r="P1055">
        <f t="shared" si="153"/>
        <v>1048</v>
      </c>
      <c r="S1055" s="126">
        <f t="shared" ca="1" si="148"/>
        <v>0</v>
      </c>
      <c r="T1055" s="126">
        <f t="shared" ca="1" si="154"/>
        <v>0</v>
      </c>
    </row>
    <row r="1056" spans="4:20">
      <c r="D1056">
        <v>1049</v>
      </c>
      <c r="E1056" s="6">
        <f t="shared" ca="1" si="149"/>
        <v>20821</v>
      </c>
      <c r="F1056" s="7">
        <f t="shared" ca="1" si="150"/>
        <v>0</v>
      </c>
      <c r="G1056" s="125">
        <f ca="1">IF('Simulador - 1º Pilar'!$E$99="Sí",IF('Aportaciones Flex'!$B$13&lt;'Aportaciones Flex'!E1056,0,F1056*$B$8/12),F1056*$B$8/12)</f>
        <v>0</v>
      </c>
      <c r="H1056" s="125">
        <f t="shared" ca="1" si="146"/>
        <v>0</v>
      </c>
      <c r="I1056" s="126">
        <f t="shared" ca="1" si="147"/>
        <v>0</v>
      </c>
      <c r="J1056" s="125">
        <f t="shared" ca="1" si="151"/>
        <v>0</v>
      </c>
      <c r="K1056" s="151"/>
      <c r="L1056" s="125">
        <f t="shared" ca="1" si="152"/>
        <v>0</v>
      </c>
      <c r="P1056">
        <f t="shared" si="153"/>
        <v>1049</v>
      </c>
      <c r="S1056" s="126">
        <f t="shared" ca="1" si="148"/>
        <v>0</v>
      </c>
      <c r="T1056" s="126">
        <f t="shared" ca="1" si="154"/>
        <v>0</v>
      </c>
    </row>
    <row r="1057" spans="4:20">
      <c r="D1057">
        <v>1050</v>
      </c>
      <c r="E1057" s="6">
        <f t="shared" ca="1" si="149"/>
        <v>20790</v>
      </c>
      <c r="F1057" s="7">
        <f t="shared" ca="1" si="150"/>
        <v>0</v>
      </c>
      <c r="G1057" s="125">
        <f ca="1">IF('Simulador - 1º Pilar'!$E$99="Sí",IF('Aportaciones Flex'!$B$13&lt;'Aportaciones Flex'!E1057,0,F1057*$B$8/12),F1057*$B$8/12)</f>
        <v>0</v>
      </c>
      <c r="H1057" s="125">
        <f t="shared" ca="1" si="146"/>
        <v>0</v>
      </c>
      <c r="I1057" s="126">
        <f t="shared" ca="1" si="147"/>
        <v>0</v>
      </c>
      <c r="J1057" s="125">
        <f t="shared" ca="1" si="151"/>
        <v>0</v>
      </c>
      <c r="K1057" s="151"/>
      <c r="L1057" s="125">
        <f t="shared" ca="1" si="152"/>
        <v>0</v>
      </c>
      <c r="P1057">
        <f t="shared" si="153"/>
        <v>1050</v>
      </c>
      <c r="S1057" s="126">
        <f t="shared" ca="1" si="148"/>
        <v>0</v>
      </c>
      <c r="T1057" s="126">
        <f t="shared" ca="1" si="154"/>
        <v>0</v>
      </c>
    </row>
    <row r="1058" spans="4:20">
      <c r="D1058">
        <v>1051</v>
      </c>
      <c r="E1058" s="6">
        <f t="shared" ca="1" si="149"/>
        <v>20760</v>
      </c>
      <c r="F1058" s="7">
        <f t="shared" ca="1" si="150"/>
        <v>0</v>
      </c>
      <c r="G1058" s="125">
        <f ca="1">IF('Simulador - 1º Pilar'!$E$99="Sí",IF('Aportaciones Flex'!$B$13&lt;'Aportaciones Flex'!E1058,0,F1058*$B$8/12),F1058*$B$8/12)</f>
        <v>0</v>
      </c>
      <c r="H1058" s="125">
        <f t="shared" ca="1" si="146"/>
        <v>0</v>
      </c>
      <c r="I1058" s="126">
        <f t="shared" ca="1" si="147"/>
        <v>0</v>
      </c>
      <c r="J1058" s="125">
        <f t="shared" ca="1" si="151"/>
        <v>0</v>
      </c>
      <c r="K1058" s="151"/>
      <c r="L1058" s="125">
        <f t="shared" ca="1" si="152"/>
        <v>0</v>
      </c>
      <c r="P1058">
        <f t="shared" si="153"/>
        <v>1051</v>
      </c>
      <c r="S1058" s="126">
        <f t="shared" ca="1" si="148"/>
        <v>0</v>
      </c>
      <c r="T1058" s="126">
        <f t="shared" ca="1" si="154"/>
        <v>0</v>
      </c>
    </row>
    <row r="1059" spans="4:20">
      <c r="D1059">
        <v>1052</v>
      </c>
      <c r="E1059" s="6">
        <f t="shared" ca="1" si="149"/>
        <v>20729</v>
      </c>
      <c r="F1059" s="7">
        <f t="shared" ca="1" si="150"/>
        <v>0</v>
      </c>
      <c r="G1059" s="125">
        <f ca="1">IF('Simulador - 1º Pilar'!$E$99="Sí",IF('Aportaciones Flex'!$B$13&lt;'Aportaciones Flex'!E1059,0,F1059*$B$8/12),F1059*$B$8/12)</f>
        <v>0</v>
      </c>
      <c r="H1059" s="125">
        <f t="shared" ca="1" si="146"/>
        <v>0</v>
      </c>
      <c r="I1059" s="126">
        <f t="shared" ca="1" si="147"/>
        <v>0</v>
      </c>
      <c r="J1059" s="125">
        <f t="shared" ca="1" si="151"/>
        <v>0</v>
      </c>
      <c r="K1059" s="151"/>
      <c r="L1059" s="125">
        <f t="shared" ca="1" si="152"/>
        <v>0</v>
      </c>
      <c r="P1059">
        <f t="shared" si="153"/>
        <v>1052</v>
      </c>
      <c r="S1059" s="126">
        <f t="shared" ca="1" si="148"/>
        <v>0</v>
      </c>
      <c r="T1059" s="126">
        <f t="shared" ca="1" si="154"/>
        <v>0</v>
      </c>
    </row>
    <row r="1060" spans="4:20">
      <c r="D1060">
        <v>1053</v>
      </c>
      <c r="E1060" s="6">
        <f t="shared" ca="1" si="149"/>
        <v>20699</v>
      </c>
      <c r="F1060" s="7">
        <f t="shared" ca="1" si="150"/>
        <v>0</v>
      </c>
      <c r="G1060" s="125">
        <f ca="1">IF('Simulador - 1º Pilar'!$E$99="Sí",IF('Aportaciones Flex'!$B$13&lt;'Aportaciones Flex'!E1060,0,F1060*$B$8/12),F1060*$B$8/12)</f>
        <v>0</v>
      </c>
      <c r="H1060" s="125">
        <f t="shared" ca="1" si="146"/>
        <v>0</v>
      </c>
      <c r="I1060" s="126">
        <f t="shared" ca="1" si="147"/>
        <v>0</v>
      </c>
      <c r="J1060" s="125">
        <f t="shared" ca="1" si="151"/>
        <v>0</v>
      </c>
      <c r="K1060" s="151"/>
      <c r="L1060" s="125">
        <f t="shared" ca="1" si="152"/>
        <v>0</v>
      </c>
      <c r="P1060">
        <f t="shared" si="153"/>
        <v>1053</v>
      </c>
      <c r="S1060" s="126">
        <f t="shared" ca="1" si="148"/>
        <v>0</v>
      </c>
      <c r="T1060" s="126">
        <f t="shared" ca="1" si="154"/>
        <v>0</v>
      </c>
    </row>
    <row r="1061" spans="4:20">
      <c r="D1061">
        <v>1054</v>
      </c>
      <c r="E1061" s="6">
        <f t="shared" ca="1" si="149"/>
        <v>20668</v>
      </c>
      <c r="F1061" s="7">
        <f t="shared" ca="1" si="150"/>
        <v>0</v>
      </c>
      <c r="G1061" s="125">
        <f ca="1">IF('Simulador - 1º Pilar'!$E$99="Sí",IF('Aportaciones Flex'!$B$13&lt;'Aportaciones Flex'!E1061,0,F1061*$B$8/12),F1061*$B$8/12)</f>
        <v>0</v>
      </c>
      <c r="H1061" s="125">
        <f t="shared" ca="1" si="146"/>
        <v>0</v>
      </c>
      <c r="I1061" s="126">
        <f t="shared" ca="1" si="147"/>
        <v>0</v>
      </c>
      <c r="J1061" s="125">
        <f t="shared" ca="1" si="151"/>
        <v>0</v>
      </c>
      <c r="K1061" s="151"/>
      <c r="L1061" s="125">
        <f t="shared" ca="1" si="152"/>
        <v>0</v>
      </c>
      <c r="P1061">
        <f t="shared" si="153"/>
        <v>1054</v>
      </c>
      <c r="S1061" s="126">
        <f t="shared" ca="1" si="148"/>
        <v>0</v>
      </c>
      <c r="T1061" s="126">
        <f t="shared" ca="1" si="154"/>
        <v>0</v>
      </c>
    </row>
    <row r="1062" spans="4:20">
      <c r="D1062">
        <v>1055</v>
      </c>
      <c r="E1062" s="6">
        <f t="shared" ca="1" si="149"/>
        <v>20637</v>
      </c>
      <c r="F1062" s="7">
        <f t="shared" ca="1" si="150"/>
        <v>0</v>
      </c>
      <c r="G1062" s="125">
        <f ca="1">IF('Simulador - 1º Pilar'!$E$99="Sí",IF('Aportaciones Flex'!$B$13&lt;'Aportaciones Flex'!E1062,0,F1062*$B$8/12),F1062*$B$8/12)</f>
        <v>0</v>
      </c>
      <c r="H1062" s="125">
        <f t="shared" ca="1" si="146"/>
        <v>0</v>
      </c>
      <c r="I1062" s="126">
        <f t="shared" ca="1" si="147"/>
        <v>0</v>
      </c>
      <c r="J1062" s="125">
        <f t="shared" ca="1" si="151"/>
        <v>0</v>
      </c>
      <c r="K1062" s="151"/>
      <c r="L1062" s="125">
        <f t="shared" ca="1" si="152"/>
        <v>0</v>
      </c>
      <c r="P1062">
        <f t="shared" si="153"/>
        <v>1055</v>
      </c>
      <c r="S1062" s="126">
        <f t="shared" ca="1" si="148"/>
        <v>0</v>
      </c>
      <c r="T1062" s="126">
        <f t="shared" ca="1" si="154"/>
        <v>0</v>
      </c>
    </row>
    <row r="1063" spans="4:20">
      <c r="D1063">
        <v>1056</v>
      </c>
      <c r="E1063" s="6">
        <f t="shared" ca="1" si="149"/>
        <v>20607</v>
      </c>
      <c r="F1063" s="7">
        <f t="shared" ca="1" si="150"/>
        <v>0</v>
      </c>
      <c r="G1063" s="125">
        <f ca="1">IF('Simulador - 1º Pilar'!$E$99="Sí",IF('Aportaciones Flex'!$B$13&lt;'Aportaciones Flex'!E1063,0,F1063*$B$8/12),F1063*$B$8/12)</f>
        <v>0</v>
      </c>
      <c r="H1063" s="125">
        <f t="shared" ca="1" si="146"/>
        <v>0</v>
      </c>
      <c r="I1063" s="126">
        <f t="shared" ca="1" si="147"/>
        <v>0</v>
      </c>
      <c r="J1063" s="125">
        <f t="shared" ca="1" si="151"/>
        <v>0</v>
      </c>
      <c r="K1063" s="151"/>
      <c r="L1063" s="125">
        <f t="shared" ca="1" si="152"/>
        <v>0</v>
      </c>
      <c r="P1063">
        <f t="shared" si="153"/>
        <v>1056</v>
      </c>
      <c r="S1063" s="126">
        <f t="shared" ca="1" si="148"/>
        <v>0</v>
      </c>
      <c r="T1063" s="126">
        <f t="shared" ca="1" si="154"/>
        <v>0</v>
      </c>
    </row>
    <row r="1064" spans="4:20">
      <c r="D1064">
        <v>1057</v>
      </c>
      <c r="E1064" s="6">
        <f t="shared" ca="1" si="149"/>
        <v>20576</v>
      </c>
      <c r="F1064" s="7">
        <f t="shared" ca="1" si="150"/>
        <v>0</v>
      </c>
      <c r="G1064" s="125">
        <f ca="1">IF('Simulador - 1º Pilar'!$E$99="Sí",IF('Aportaciones Flex'!$B$13&lt;'Aportaciones Flex'!E1064,0,F1064*$B$8/12),F1064*$B$8/12)</f>
        <v>0</v>
      </c>
      <c r="H1064" s="125">
        <f t="shared" ca="1" si="146"/>
        <v>0</v>
      </c>
      <c r="I1064" s="126">
        <f t="shared" ca="1" si="147"/>
        <v>0</v>
      </c>
      <c r="J1064" s="125">
        <f t="shared" ca="1" si="151"/>
        <v>0</v>
      </c>
      <c r="K1064" s="151"/>
      <c r="L1064" s="125">
        <f t="shared" ca="1" si="152"/>
        <v>0</v>
      </c>
      <c r="P1064">
        <f t="shared" si="153"/>
        <v>1057</v>
      </c>
      <c r="S1064" s="126">
        <f t="shared" ca="1" si="148"/>
        <v>0</v>
      </c>
      <c r="T1064" s="126">
        <f t="shared" ca="1" si="154"/>
        <v>0</v>
      </c>
    </row>
    <row r="1065" spans="4:20">
      <c r="D1065">
        <v>1058</v>
      </c>
      <c r="E1065" s="6">
        <f t="shared" ca="1" si="149"/>
        <v>20546</v>
      </c>
      <c r="F1065" s="7">
        <f t="shared" ca="1" si="150"/>
        <v>0</v>
      </c>
      <c r="G1065" s="125">
        <f ca="1">IF('Simulador - 1º Pilar'!$E$99="Sí",IF('Aportaciones Flex'!$B$13&lt;'Aportaciones Flex'!E1065,0,F1065*$B$8/12),F1065*$B$8/12)</f>
        <v>0</v>
      </c>
      <c r="H1065" s="125">
        <f t="shared" ca="1" si="146"/>
        <v>0</v>
      </c>
      <c r="I1065" s="126">
        <f t="shared" ca="1" si="147"/>
        <v>0</v>
      </c>
      <c r="J1065" s="125">
        <f t="shared" ca="1" si="151"/>
        <v>0</v>
      </c>
      <c r="K1065" s="151"/>
      <c r="L1065" s="125">
        <f t="shared" ca="1" si="152"/>
        <v>0</v>
      </c>
      <c r="P1065">
        <f t="shared" si="153"/>
        <v>1058</v>
      </c>
      <c r="S1065" s="126">
        <f t="shared" ca="1" si="148"/>
        <v>0</v>
      </c>
      <c r="T1065" s="126">
        <f t="shared" ca="1" si="154"/>
        <v>0</v>
      </c>
    </row>
    <row r="1066" spans="4:20">
      <c r="D1066">
        <v>1059</v>
      </c>
      <c r="E1066" s="6">
        <f t="shared" ca="1" si="149"/>
        <v>20515</v>
      </c>
      <c r="F1066" s="7">
        <f t="shared" ca="1" si="150"/>
        <v>0</v>
      </c>
      <c r="G1066" s="125">
        <f ca="1">IF('Simulador - 1º Pilar'!$E$99="Sí",IF('Aportaciones Flex'!$B$13&lt;'Aportaciones Flex'!E1066,0,F1066*$B$8/12),F1066*$B$8/12)</f>
        <v>0</v>
      </c>
      <c r="H1066" s="125">
        <f t="shared" ca="1" si="146"/>
        <v>0</v>
      </c>
      <c r="I1066" s="126">
        <f t="shared" ca="1" si="147"/>
        <v>0</v>
      </c>
      <c r="J1066" s="125">
        <f t="shared" ca="1" si="151"/>
        <v>0</v>
      </c>
      <c r="K1066" s="151"/>
      <c r="L1066" s="125">
        <f t="shared" ca="1" si="152"/>
        <v>0</v>
      </c>
      <c r="P1066">
        <f t="shared" si="153"/>
        <v>1059</v>
      </c>
      <c r="S1066" s="126">
        <f t="shared" ca="1" si="148"/>
        <v>0</v>
      </c>
      <c r="T1066" s="126">
        <f t="shared" ca="1" si="154"/>
        <v>0</v>
      </c>
    </row>
    <row r="1067" spans="4:20">
      <c r="K1067" s="151"/>
    </row>
    <row r="1068" spans="4:20">
      <c r="K1068" s="151"/>
    </row>
    <row r="1069" spans="4:20">
      <c r="K1069" s="151"/>
    </row>
    <row r="1070" spans="4:20">
      <c r="K1070" s="151"/>
    </row>
    <row r="1071" spans="4:20">
      <c r="K1071" s="151"/>
    </row>
    <row r="1072" spans="4:20">
      <c r="K1072" s="151"/>
    </row>
    <row r="1073" spans="11:11">
      <c r="K1073" s="151"/>
    </row>
    <row r="1074" spans="11:11">
      <c r="K1074" s="151"/>
    </row>
    <row r="1075" spans="11:11">
      <c r="K1075" s="151"/>
    </row>
    <row r="1076" spans="11:11">
      <c r="K1076" s="151"/>
    </row>
    <row r="1077" spans="11:11">
      <c r="K1077" s="151"/>
    </row>
    <row r="1078" spans="11:11">
      <c r="K1078" s="15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4"/>
  </sheetPr>
  <dimension ref="A1:CW163"/>
  <sheetViews>
    <sheetView showGridLines="0" zoomScale="85" zoomScaleNormal="85" workbookViewId="0"/>
  </sheetViews>
  <sheetFormatPr defaultColWidth="9.109375" defaultRowHeight="13.8"/>
  <cols>
    <col min="1" max="1" width="5.88671875" style="535" customWidth="1"/>
    <col min="2" max="2" width="0.88671875" style="172" customWidth="1"/>
    <col min="3" max="3" width="2.109375" style="172" customWidth="1"/>
    <col min="4" max="4" width="1" style="172" customWidth="1"/>
    <col min="5" max="5" width="26" style="172" customWidth="1"/>
    <col min="6" max="6" width="18.109375" style="172" customWidth="1"/>
    <col min="7" max="7" width="21" style="172" customWidth="1"/>
    <col min="8" max="8" width="18.44140625" style="172" customWidth="1"/>
    <col min="9" max="9" width="4.109375" style="172" customWidth="1"/>
    <col min="10" max="10" width="2.109375" style="172" customWidth="1"/>
    <col min="11" max="11" width="1" style="172" customWidth="1"/>
    <col min="12" max="12" width="16" style="172" customWidth="1"/>
    <col min="13" max="19" width="1.5546875" style="172" customWidth="1"/>
    <col min="20" max="20" width="18.109375" style="172" customWidth="1"/>
    <col min="21" max="21" width="0.44140625" style="172" customWidth="1"/>
    <col min="22" max="22" width="18.109375" style="172" customWidth="1"/>
    <col min="23" max="23" width="11.44140625" style="172" customWidth="1"/>
    <col min="24" max="24" width="6.5546875" style="172" customWidth="1"/>
    <col min="25" max="25" width="35" style="173" customWidth="1"/>
    <col min="26" max="26" width="13.109375" style="173" customWidth="1"/>
    <col min="27" max="27" width="1.5546875" style="173" customWidth="1"/>
    <col min="28" max="29" width="9.109375" style="173"/>
    <col min="30" max="30" width="9.109375" style="535" customWidth="1"/>
    <col min="31" max="31" width="9.109375" style="535"/>
    <col min="32" max="32" width="13.88671875" style="535" customWidth="1"/>
    <col min="33" max="33" width="16.6640625" style="535" customWidth="1"/>
    <col min="34" max="34" width="10.44140625" style="535" bestFit="1" customWidth="1"/>
    <col min="35" max="35" width="10.5546875" style="535" customWidth="1"/>
    <col min="36" max="36" width="36.109375" style="708" bestFit="1" customWidth="1"/>
    <col min="37" max="37" width="15.6640625" style="708" customWidth="1"/>
    <col min="38" max="38" width="11.6640625" style="708" customWidth="1"/>
    <col min="39" max="39" width="8.33203125" style="708" bestFit="1" customWidth="1"/>
    <col min="40" max="41" width="9.109375" style="708"/>
    <col min="42" max="42" width="9.109375" style="708" customWidth="1"/>
    <col min="43" max="48" width="9.109375" style="708"/>
    <col min="49" max="50" width="26.44140625" style="708" customWidth="1"/>
    <col min="51" max="90" width="9.109375" style="708"/>
    <col min="91" max="101" width="9.109375" style="535"/>
    <col min="102" max="16384" width="9.109375" style="173"/>
  </cols>
  <sheetData>
    <row r="1" spans="1:101" s="535" customFormat="1" ht="14.4">
      <c r="B1" s="676"/>
      <c r="C1" s="676"/>
      <c r="D1" s="676"/>
      <c r="E1"/>
      <c r="F1"/>
      <c r="G1"/>
      <c r="H1"/>
      <c r="I1"/>
      <c r="J1"/>
      <c r="K1"/>
      <c r="L1"/>
      <c r="M1"/>
      <c r="N1"/>
      <c r="O1"/>
      <c r="P1"/>
      <c r="Q1"/>
      <c r="R1"/>
      <c r="S1"/>
      <c r="T1"/>
      <c r="U1"/>
      <c r="V1"/>
      <c r="W1" s="681"/>
      <c r="X1" s="681"/>
      <c r="AJ1" s="708"/>
      <c r="AK1" s="708"/>
      <c r="AL1" s="708"/>
      <c r="AM1" s="708"/>
      <c r="AN1" s="708"/>
      <c r="AO1" s="708"/>
      <c r="AP1" s="708"/>
      <c r="AQ1" s="708"/>
      <c r="AR1" s="708"/>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c r="BQ1" s="708"/>
      <c r="BR1" s="708"/>
      <c r="BS1" s="708"/>
      <c r="BT1" s="708"/>
      <c r="BU1" s="708"/>
      <c r="BV1" s="708"/>
      <c r="BW1" s="708"/>
      <c r="BX1" s="708"/>
      <c r="BY1" s="708"/>
      <c r="BZ1" s="708"/>
      <c r="CA1" s="708"/>
      <c r="CB1" s="708"/>
      <c r="CC1" s="708"/>
      <c r="CD1" s="708"/>
      <c r="CE1" s="708"/>
      <c r="CF1" s="708"/>
      <c r="CG1" s="708"/>
      <c r="CH1" s="708"/>
      <c r="CI1" s="708"/>
      <c r="CJ1" s="708"/>
      <c r="CK1" s="708"/>
      <c r="CL1" s="708"/>
    </row>
    <row r="2" spans="1:101" ht="36.6" customHeight="1">
      <c r="B2" s="205"/>
      <c r="C2" s="965" t="s">
        <v>395</v>
      </c>
      <c r="D2" s="965"/>
      <c r="E2" s="965"/>
      <c r="F2" s="965"/>
      <c r="G2" s="965"/>
      <c r="H2" s="965"/>
      <c r="I2" s="965"/>
      <c r="J2" s="965"/>
      <c r="K2" s="965"/>
      <c r="L2" s="965"/>
      <c r="M2" s="965"/>
      <c r="N2" s="965"/>
      <c r="O2" s="965"/>
      <c r="P2" s="965"/>
      <c r="Q2" s="965"/>
      <c r="R2" s="965"/>
      <c r="S2" s="965"/>
      <c r="T2" s="965"/>
      <c r="U2" s="965"/>
      <c r="V2" s="965"/>
      <c r="W2" s="296"/>
      <c r="X2" s="296"/>
      <c r="Y2" s="224"/>
    </row>
    <row r="3" spans="1:101" ht="26.1" customHeight="1">
      <c r="B3" s="205"/>
      <c r="C3" s="966" t="s">
        <v>356</v>
      </c>
      <c r="D3" s="966"/>
      <c r="E3" s="966"/>
      <c r="F3" s="966"/>
      <c r="G3" s="966"/>
      <c r="H3" s="966"/>
      <c r="I3" s="966"/>
      <c r="J3" s="272"/>
      <c r="K3" s="272"/>
      <c r="L3" s="272"/>
      <c r="M3" s="272"/>
      <c r="O3" s="290"/>
      <c r="P3" s="290"/>
      <c r="Q3" s="290"/>
      <c r="R3" s="290"/>
      <c r="S3" s="290"/>
      <c r="T3" s="967" t="s">
        <v>224</v>
      </c>
      <c r="U3" s="967"/>
      <c r="V3" s="384">
        <f ca="1">+'Simulador - 1º Pilar'!G20</f>
        <v>52781</v>
      </c>
      <c r="W3" s="290"/>
      <c r="X3" s="290"/>
      <c r="Y3" s="225"/>
    </row>
    <row r="4" spans="1:101" ht="3.75" customHeight="1">
      <c r="B4" s="205"/>
      <c r="C4" s="293"/>
      <c r="D4" s="374"/>
      <c r="G4" s="293"/>
      <c r="H4" s="293"/>
      <c r="I4" s="293"/>
      <c r="J4"/>
      <c r="K4"/>
      <c r="L4" s="293"/>
      <c r="M4" s="293"/>
      <c r="N4"/>
      <c r="O4"/>
      <c r="P4"/>
      <c r="Q4"/>
      <c r="R4"/>
      <c r="S4"/>
      <c r="T4"/>
      <c r="U4"/>
      <c r="V4" s="291"/>
      <c r="W4" s="292"/>
      <c r="X4" s="292"/>
      <c r="Y4" s="225"/>
      <c r="AC4"/>
    </row>
    <row r="5" spans="1:101" ht="3.75" customHeight="1">
      <c r="B5" s="205"/>
      <c r="C5" s="295"/>
      <c r="D5" s="374"/>
      <c r="E5" s="297"/>
      <c r="F5" s="278"/>
      <c r="G5" s="295"/>
      <c r="H5" s="295"/>
      <c r="I5" s="295"/>
      <c r="J5"/>
      <c r="K5"/>
      <c r="L5"/>
      <c r="M5"/>
      <c r="N5"/>
      <c r="O5"/>
      <c r="P5"/>
      <c r="Q5"/>
      <c r="R5"/>
      <c r="S5"/>
      <c r="T5"/>
      <c r="U5"/>
      <c r="V5"/>
      <c r="W5"/>
      <c r="X5"/>
      <c r="Y5"/>
    </row>
    <row r="6" spans="1:101" ht="3.75" customHeight="1">
      <c r="A6" s="676"/>
      <c r="B6" s="205"/>
      <c r="C6" s="205"/>
      <c r="D6" s="205"/>
      <c r="E6" s="205"/>
      <c r="F6" s="205"/>
      <c r="G6" s="205"/>
      <c r="H6" s="959"/>
      <c r="I6" s="959"/>
      <c r="J6"/>
      <c r="K6"/>
      <c r="L6"/>
      <c r="M6"/>
      <c r="N6"/>
      <c r="O6"/>
      <c r="P6"/>
      <c r="Q6"/>
      <c r="R6"/>
      <c r="S6"/>
      <c r="T6"/>
      <c r="U6"/>
      <c r="V6"/>
      <c r="W6"/>
      <c r="X6"/>
      <c r="Y6"/>
    </row>
    <row r="7" spans="1:101" ht="3.75" customHeight="1">
      <c r="A7" s="676"/>
      <c r="B7" s="205"/>
      <c r="C7" s="11"/>
      <c r="D7" s="11"/>
      <c r="E7" s="11"/>
      <c r="F7" s="11"/>
      <c r="G7" s="11"/>
      <c r="H7" s="11"/>
      <c r="I7" s="11"/>
      <c r="J7"/>
      <c r="K7"/>
      <c r="L7"/>
      <c r="M7"/>
      <c r="N7"/>
      <c r="O7"/>
      <c r="P7"/>
      <c r="Q7"/>
      <c r="R7"/>
      <c r="S7"/>
      <c r="T7"/>
      <c r="U7"/>
      <c r="V7"/>
      <c r="W7"/>
      <c r="X7"/>
      <c r="Y7" s="237"/>
    </row>
    <row r="8" spans="1:101" ht="17.399999999999999" customHeight="1">
      <c r="A8" s="676"/>
      <c r="B8" s="205"/>
      <c r="C8" s="952" t="s">
        <v>378</v>
      </c>
      <c r="D8" s="952"/>
      <c r="E8" s="952"/>
      <c r="F8" s="952"/>
      <c r="G8" s="952"/>
      <c r="H8" s="952"/>
      <c r="I8" s="952"/>
      <c r="J8" s="952"/>
      <c r="K8" s="952"/>
      <c r="L8" s="952"/>
      <c r="M8"/>
      <c r="N8"/>
      <c r="O8"/>
      <c r="P8"/>
      <c r="Q8"/>
      <c r="R8"/>
      <c r="Z8" s="276"/>
      <c r="AA8" s="276"/>
      <c r="AB8" s="276"/>
      <c r="AC8" s="276"/>
      <c r="AD8" s="670"/>
      <c r="AE8" s="670"/>
      <c r="AF8" s="670"/>
      <c r="AG8" s="670"/>
      <c r="AH8" s="670"/>
      <c r="AK8" s="709"/>
      <c r="AL8" s="709"/>
    </row>
    <row r="9" spans="1:101" customFormat="1" ht="2.1" customHeight="1">
      <c r="A9" s="671"/>
      <c r="B9" s="11"/>
      <c r="C9" s="11"/>
      <c r="D9" s="11"/>
      <c r="E9" s="11"/>
      <c r="F9" s="11"/>
      <c r="G9" s="11"/>
      <c r="H9" s="11"/>
      <c r="I9" s="11"/>
      <c r="J9" s="11"/>
      <c r="K9" s="11"/>
      <c r="L9" s="11"/>
      <c r="M9" s="11"/>
      <c r="N9" s="11"/>
      <c r="O9" s="11"/>
      <c r="P9" s="11"/>
      <c r="Q9" s="11"/>
      <c r="R9" s="11"/>
      <c r="S9" s="205"/>
      <c r="T9" s="378"/>
      <c r="U9" s="378"/>
      <c r="V9" s="378"/>
      <c r="W9" s="172"/>
      <c r="X9" s="172"/>
      <c r="Y9" s="173"/>
      <c r="AD9" s="537"/>
      <c r="AE9" s="537"/>
      <c r="AF9" s="537"/>
      <c r="AG9" s="537"/>
      <c r="AH9" s="537"/>
      <c r="AI9" s="537"/>
      <c r="AJ9" s="710"/>
      <c r="AK9" s="711">
        <f>MAX(100%-AK8,0)</f>
        <v>1</v>
      </c>
      <c r="AL9" s="711">
        <f>MAX(100%-AL8,0)</f>
        <v>1</v>
      </c>
      <c r="AM9" s="710"/>
      <c r="AN9" s="710"/>
      <c r="AO9" s="710"/>
      <c r="AP9" s="710"/>
      <c r="AQ9" s="710"/>
      <c r="AR9" s="710"/>
      <c r="AS9" s="710"/>
      <c r="AT9" s="710"/>
      <c r="AU9" s="710"/>
      <c r="AV9" s="710"/>
      <c r="AW9" s="710"/>
      <c r="AX9" s="710"/>
      <c r="AY9" s="710"/>
      <c r="AZ9" s="710"/>
      <c r="BA9" s="710"/>
      <c r="BB9" s="710"/>
      <c r="BC9" s="710"/>
      <c r="BD9" s="710"/>
      <c r="BE9" s="710"/>
      <c r="BF9" s="710"/>
      <c r="BG9" s="710"/>
      <c r="BH9" s="710"/>
      <c r="BI9" s="710"/>
      <c r="BJ9" s="710"/>
      <c r="BK9" s="710"/>
      <c r="BL9" s="710"/>
      <c r="BM9" s="710"/>
      <c r="BN9" s="710"/>
      <c r="BO9" s="710"/>
      <c r="BP9" s="710"/>
      <c r="BQ9" s="710"/>
      <c r="BR9" s="710"/>
      <c r="BS9" s="710"/>
      <c r="BT9" s="710"/>
      <c r="BU9" s="710"/>
      <c r="BV9" s="710"/>
      <c r="BW9" s="710"/>
      <c r="BX9" s="710"/>
      <c r="BY9" s="710"/>
      <c r="BZ9" s="710"/>
      <c r="CA9" s="710"/>
      <c r="CB9" s="710"/>
      <c r="CC9" s="710"/>
      <c r="CD9" s="710"/>
      <c r="CE9" s="710"/>
      <c r="CF9" s="710"/>
      <c r="CG9" s="710"/>
      <c r="CH9" s="710"/>
      <c r="CI9" s="710"/>
      <c r="CJ9" s="710"/>
      <c r="CK9" s="710"/>
      <c r="CL9" s="710"/>
      <c r="CM9" s="537"/>
      <c r="CN9" s="537"/>
      <c r="CO9" s="537"/>
      <c r="CP9" s="537"/>
      <c r="CQ9" s="537"/>
      <c r="CR9" s="537"/>
      <c r="CS9" s="537"/>
      <c r="CT9" s="537"/>
      <c r="CU9" s="537"/>
      <c r="CV9" s="537"/>
      <c r="CW9" s="537"/>
    </row>
    <row r="10" spans="1:101" ht="17.399999999999999" customHeight="1">
      <c r="A10" s="676"/>
      <c r="B10" s="205"/>
      <c r="C10" s="960" t="s">
        <v>340</v>
      </c>
      <c r="D10" s="376"/>
      <c r="E10" s="950" t="s">
        <v>370</v>
      </c>
      <c r="F10" s="950"/>
      <c r="G10" s="378"/>
      <c r="H10" s="379" t="s">
        <v>420</v>
      </c>
      <c r="I10" s="378"/>
      <c r="J10" s="954">
        <f ca="1">+SUM('Aportaciones PPE'!AX7:AX18)</f>
        <v>10000</v>
      </c>
      <c r="K10" s="954"/>
      <c r="L10" s="954"/>
      <c r="M10" s="11"/>
      <c r="N10" s="11"/>
      <c r="O10" s="11"/>
      <c r="P10" s="11"/>
      <c r="Q10" s="11"/>
      <c r="R10" s="11"/>
      <c r="S10" s="205"/>
      <c r="T10" s="379" t="s">
        <v>368</v>
      </c>
      <c r="U10" s="378"/>
      <c r="V10" s="379" t="s">
        <v>369</v>
      </c>
    </row>
    <row r="11" spans="1:101" ht="2.1" customHeight="1">
      <c r="A11" s="676"/>
      <c r="B11" s="205"/>
      <c r="C11" s="960"/>
      <c r="D11"/>
      <c r="E11"/>
      <c r="F11"/>
      <c r="G11"/>
      <c r="H11"/>
      <c r="I11"/>
      <c r="J11"/>
      <c r="K11"/>
      <c r="L11"/>
      <c r="M11"/>
      <c r="N11"/>
      <c r="O11"/>
      <c r="P11"/>
      <c r="Q11"/>
      <c r="R11"/>
      <c r="S11"/>
      <c r="T11"/>
      <c r="U11"/>
      <c r="V11"/>
      <c r="W11"/>
      <c r="X11"/>
    </row>
    <row r="12" spans="1:101" ht="17.399999999999999" customHeight="1">
      <c r="A12" s="676"/>
      <c r="B12" s="205"/>
      <c r="C12" s="960"/>
      <c r="D12" s="376"/>
      <c r="E12" s="950" t="s">
        <v>372</v>
      </c>
      <c r="F12" s="950"/>
      <c r="G12" s="378"/>
      <c r="H12" s="379" t="str">
        <f>+IF($F$65="Si",$F$67,$F$68)</f>
        <v>0% Sal. Pensionable</v>
      </c>
      <c r="I12" s="378"/>
      <c r="J12" s="954">
        <f ca="1">+SUM('Aportaciones PPE'!AN7:AN18)</f>
        <v>0</v>
      </c>
      <c r="K12" s="954"/>
      <c r="L12" s="954"/>
      <c r="M12" s="11"/>
      <c r="N12" s="11"/>
      <c r="O12" s="11"/>
      <c r="P12" s="11"/>
      <c r="Q12" s="11"/>
      <c r="R12" s="11"/>
      <c r="S12" s="205"/>
      <c r="T12" s="391" cm="1">
        <f t="array" aca="1" ref="T12:U12" ca="1">IF('Simulador - Datos personales'!E5:F5=4,0,F79)</f>
        <v>263679.71109206742</v>
      </c>
      <c r="U12" s="378">
        <f ca="1"/>
        <v>263679.71109206742</v>
      </c>
      <c r="V12" s="391" cm="1">
        <f t="array" aca="1" ref="V12:W12" ca="1">IF('Simulador - Datos personales'!E5:F5=4,0,T12/'Renta Vitalicia'!$F$5/12)</f>
        <v>1053.9409152382768</v>
      </c>
      <c r="W12" s="172">
        <f ca="1"/>
        <v>1053.9409152382768</v>
      </c>
    </row>
    <row r="13" spans="1:101" customFormat="1" ht="2.1" customHeight="1">
      <c r="A13" s="676"/>
      <c r="B13" s="205"/>
      <c r="C13" s="960"/>
      <c r="AD13" s="537"/>
      <c r="AE13" s="537"/>
      <c r="AF13" s="537"/>
      <c r="AG13" s="537"/>
      <c r="AH13" s="537"/>
      <c r="AI13" s="537"/>
      <c r="AJ13" s="710"/>
      <c r="AK13" s="710"/>
      <c r="AL13" s="710"/>
      <c r="AM13" s="710"/>
      <c r="AN13" s="710"/>
      <c r="AO13" s="710"/>
      <c r="AP13" s="710"/>
      <c r="AQ13" s="710"/>
      <c r="AR13" s="710"/>
      <c r="AS13" s="710"/>
      <c r="AT13" s="710"/>
      <c r="AU13" s="710"/>
      <c r="AV13" s="710"/>
      <c r="AW13" s="710"/>
      <c r="AX13" s="710"/>
      <c r="AY13" s="710"/>
      <c r="AZ13" s="710"/>
      <c r="BA13" s="710"/>
      <c r="BB13" s="710"/>
      <c r="BC13" s="710"/>
      <c r="BD13" s="710"/>
      <c r="BE13" s="710"/>
      <c r="BF13" s="710"/>
      <c r="BG13" s="710"/>
      <c r="BH13" s="710"/>
      <c r="BI13" s="710"/>
      <c r="BJ13" s="710"/>
      <c r="BK13" s="710"/>
      <c r="BL13" s="710"/>
      <c r="BM13" s="710"/>
      <c r="BN13" s="710"/>
      <c r="BO13" s="710"/>
      <c r="BP13" s="710"/>
      <c r="BQ13" s="710"/>
      <c r="BR13" s="710"/>
      <c r="BS13" s="710"/>
      <c r="BT13" s="710"/>
      <c r="BU13" s="710"/>
      <c r="BV13" s="710"/>
      <c r="BW13" s="710"/>
      <c r="BX13" s="710"/>
      <c r="BY13" s="710"/>
      <c r="BZ13" s="710"/>
      <c r="CA13" s="710"/>
      <c r="CB13" s="710"/>
      <c r="CC13" s="710"/>
      <c r="CD13" s="710"/>
      <c r="CE13" s="710"/>
      <c r="CF13" s="710"/>
      <c r="CG13" s="710"/>
      <c r="CH13" s="710"/>
      <c r="CI13" s="710"/>
      <c r="CJ13" s="710"/>
      <c r="CK13" s="710"/>
      <c r="CL13" s="710"/>
      <c r="CM13" s="537"/>
      <c r="CN13" s="537"/>
      <c r="CO13" s="537"/>
      <c r="CP13" s="537"/>
      <c r="CQ13" s="537"/>
      <c r="CR13" s="537"/>
      <c r="CS13" s="537"/>
      <c r="CT13" s="537"/>
      <c r="CU13" s="537"/>
      <c r="CV13" s="537"/>
      <c r="CW13" s="537"/>
    </row>
    <row r="14" spans="1:101" ht="17.399999999999999" customHeight="1">
      <c r="A14" s="676"/>
      <c r="B14" s="205"/>
      <c r="C14" s="960"/>
      <c r="D14" s="376"/>
      <c r="E14" s="950" t="s">
        <v>558</v>
      </c>
      <c r="F14" s="950"/>
      <c r="G14" s="378"/>
      <c r="H14" s="669" t="str">
        <f>+H12</f>
        <v>0% Sal. Pensionable</v>
      </c>
      <c r="I14" s="378"/>
      <c r="J14" s="954">
        <f ca="1">+SUM('Aportaciones PPE'!AS7:AS18)</f>
        <v>0</v>
      </c>
      <c r="K14" s="954"/>
      <c r="L14" s="954"/>
      <c r="M14" s="11"/>
      <c r="N14" s="11"/>
      <c r="O14" s="11"/>
      <c r="P14" s="11"/>
      <c r="Q14" s="11"/>
      <c r="R14" s="11"/>
      <c r="S14" s="205"/>
      <c r="T14" s="957" t="s">
        <v>305</v>
      </c>
      <c r="U14" s="957"/>
      <c r="V14" s="957"/>
    </row>
    <row r="15" spans="1:101" customFormat="1" ht="2.1" customHeight="1">
      <c r="A15" s="676"/>
      <c r="B15" s="205"/>
      <c r="C15" s="960"/>
      <c r="AD15" s="537"/>
      <c r="AE15" s="537"/>
      <c r="AF15" s="537"/>
      <c r="AG15" s="537"/>
      <c r="AH15" s="537"/>
      <c r="AI15" s="537"/>
      <c r="AJ15" s="710"/>
      <c r="AK15" s="710"/>
      <c r="AL15" s="710"/>
      <c r="AM15" s="710"/>
      <c r="AN15" s="710"/>
      <c r="AO15" s="710"/>
      <c r="AP15" s="710"/>
      <c r="AQ15" s="710"/>
      <c r="AR15" s="710"/>
      <c r="AS15" s="710"/>
      <c r="AT15" s="710"/>
      <c r="AU15" s="710"/>
      <c r="AV15" s="710"/>
      <c r="AW15" s="710"/>
      <c r="AX15" s="710"/>
      <c r="AY15" s="710"/>
      <c r="AZ15" s="710"/>
      <c r="BA15" s="710"/>
      <c r="BB15" s="710"/>
      <c r="BC15" s="710"/>
      <c r="BD15" s="710"/>
      <c r="BE15" s="710"/>
      <c r="BF15" s="710"/>
      <c r="BG15" s="710"/>
      <c r="BH15" s="710"/>
      <c r="BI15" s="710"/>
      <c r="BJ15" s="710"/>
      <c r="BK15" s="710"/>
      <c r="BL15" s="710"/>
      <c r="BM15" s="710"/>
      <c r="BN15" s="710"/>
      <c r="BO15" s="710"/>
      <c r="BP15" s="710"/>
      <c r="BQ15" s="710"/>
      <c r="BR15" s="710"/>
      <c r="BS15" s="710"/>
      <c r="BT15" s="710"/>
      <c r="BU15" s="710"/>
      <c r="BV15" s="710"/>
      <c r="BW15" s="710"/>
      <c r="BX15" s="710"/>
      <c r="BY15" s="710"/>
      <c r="BZ15" s="710"/>
      <c r="CA15" s="710"/>
      <c r="CB15" s="710"/>
      <c r="CC15" s="710"/>
      <c r="CD15" s="710"/>
      <c r="CE15" s="710"/>
      <c r="CF15" s="710"/>
      <c r="CG15" s="710"/>
      <c r="CH15" s="710"/>
      <c r="CI15" s="710"/>
      <c r="CJ15" s="710"/>
      <c r="CK15" s="710"/>
      <c r="CL15" s="710"/>
      <c r="CM15" s="537"/>
      <c r="CN15" s="537"/>
      <c r="CO15" s="537"/>
      <c r="CP15" s="537"/>
      <c r="CQ15" s="537"/>
      <c r="CR15" s="537"/>
      <c r="CS15" s="537"/>
      <c r="CT15" s="537"/>
      <c r="CU15" s="537"/>
      <c r="CV15" s="537"/>
      <c r="CW15" s="537"/>
    </row>
    <row r="16" spans="1:101" ht="17.399999999999999" customHeight="1">
      <c r="A16" s="676"/>
      <c r="B16" s="205"/>
      <c r="C16" s="960"/>
      <c r="D16" s="394"/>
      <c r="E16" s="955" t="s">
        <v>1237</v>
      </c>
      <c r="F16" s="955"/>
      <c r="G16" s="955"/>
      <c r="H16" s="955"/>
      <c r="I16" s="392"/>
      <c r="J16" s="964">
        <f>'Aportaciones PPE'!S4</f>
        <v>3000</v>
      </c>
      <c r="K16" s="964"/>
      <c r="L16" s="964"/>
      <c r="M16" s="11"/>
      <c r="N16" s="11"/>
      <c r="O16" s="11"/>
      <c r="P16" s="11"/>
      <c r="Q16" s="11"/>
      <c r="R16" s="11"/>
      <c r="S16" s="205"/>
      <c r="T16" s="956">
        <f ca="1">V12/(F78/12)</f>
        <v>3.3392565865424481E-2</v>
      </c>
      <c r="U16" s="956"/>
      <c r="V16" s="956"/>
    </row>
    <row r="17" spans="1:101" customFormat="1" ht="8.1" customHeight="1">
      <c r="A17" s="671"/>
      <c r="B17" s="11"/>
      <c r="C17" s="375"/>
      <c r="D17" s="375"/>
      <c r="E17" s="378"/>
      <c r="F17" s="378"/>
      <c r="G17" s="378"/>
      <c r="H17" s="378"/>
      <c r="I17" s="378"/>
      <c r="J17" s="378"/>
      <c r="K17" s="378"/>
      <c r="L17" s="378"/>
      <c r="M17" s="11"/>
      <c r="N17" s="11"/>
      <c r="O17" s="11"/>
      <c r="P17" s="11"/>
      <c r="Q17" s="11"/>
      <c r="R17" s="11"/>
      <c r="S17" s="205"/>
      <c r="T17" s="378"/>
      <c r="U17" s="378"/>
      <c r="V17" s="378"/>
      <c r="W17" s="172"/>
      <c r="X17" s="172"/>
      <c r="Y17" s="173"/>
      <c r="AD17" s="537"/>
      <c r="AE17" s="537"/>
      <c r="AF17" s="535"/>
      <c r="AG17" s="535"/>
      <c r="AH17" s="537"/>
      <c r="AI17" s="537"/>
      <c r="AJ17" s="710"/>
      <c r="AK17" s="710"/>
      <c r="AL17" s="710"/>
      <c r="AM17" s="710"/>
      <c r="AN17" s="710"/>
      <c r="AO17" s="710"/>
      <c r="AP17" s="710"/>
      <c r="AQ17" s="710"/>
      <c r="AR17" s="710"/>
      <c r="AS17" s="710"/>
      <c r="AT17" s="710"/>
      <c r="AU17" s="710"/>
      <c r="AV17" s="710"/>
      <c r="AW17" s="710"/>
      <c r="AX17" s="710"/>
      <c r="AY17" s="710"/>
      <c r="AZ17" s="710"/>
      <c r="BA17" s="710"/>
      <c r="BB17" s="710"/>
      <c r="BC17" s="710"/>
      <c r="BD17" s="710"/>
      <c r="BE17" s="710"/>
      <c r="BF17" s="710"/>
      <c r="BG17" s="710"/>
      <c r="BH17" s="710"/>
      <c r="BI17" s="710"/>
      <c r="BJ17" s="710"/>
      <c r="BK17" s="710"/>
      <c r="BL17" s="710"/>
      <c r="BM17" s="710"/>
      <c r="BN17" s="710"/>
      <c r="BO17" s="710"/>
      <c r="BP17" s="710"/>
      <c r="BQ17" s="710"/>
      <c r="BR17" s="710"/>
      <c r="BS17" s="710"/>
      <c r="BT17" s="710"/>
      <c r="BU17" s="710"/>
      <c r="BV17" s="710"/>
      <c r="BW17" s="710"/>
      <c r="BX17" s="710"/>
      <c r="BY17" s="710"/>
      <c r="BZ17" s="710"/>
      <c r="CA17" s="710"/>
      <c r="CB17" s="710"/>
      <c r="CC17" s="710"/>
      <c r="CD17" s="710"/>
      <c r="CE17" s="710"/>
      <c r="CF17" s="710"/>
      <c r="CG17" s="710"/>
      <c r="CH17" s="710"/>
      <c r="CI17" s="710"/>
      <c r="CJ17" s="710"/>
      <c r="CK17" s="710"/>
      <c r="CL17" s="710"/>
      <c r="CM17" s="537"/>
      <c r="CN17" s="537"/>
      <c r="CO17" s="537"/>
      <c r="CP17" s="537"/>
      <c r="CQ17" s="537"/>
      <c r="CR17" s="537"/>
      <c r="CS17" s="537"/>
      <c r="CT17" s="537"/>
      <c r="CU17" s="537"/>
      <c r="CV17" s="537"/>
      <c r="CW17" s="537"/>
    </row>
    <row r="18" spans="1:101" ht="17.399999999999999" customHeight="1">
      <c r="A18" s="676"/>
      <c r="B18" s="205"/>
      <c r="C18" s="961" t="s">
        <v>360</v>
      </c>
      <c r="D18" s="376"/>
      <c r="E18" s="950" t="str">
        <f>"Excesos "&amp;E10</f>
        <v>Excesos Aportación anual empresa</v>
      </c>
      <c r="F18" s="950"/>
      <c r="G18" s="378"/>
      <c r="H18" s="957" t="s">
        <v>1243</v>
      </c>
      <c r="I18" s="378"/>
      <c r="J18" s="954">
        <f ca="1">+SUM('Aportaciones PPE'!AY7:AY18)</f>
        <v>1031.562499999998</v>
      </c>
      <c r="K18" s="954"/>
      <c r="L18" s="954"/>
      <c r="M18" s="11"/>
      <c r="N18" s="11"/>
      <c r="O18" s="11"/>
      <c r="P18" s="11"/>
      <c r="Q18" s="11"/>
      <c r="R18" s="11"/>
      <c r="S18" s="205"/>
      <c r="T18" s="379" t="s">
        <v>368</v>
      </c>
      <c r="U18" s="378"/>
      <c r="V18" s="379" t="s">
        <v>369</v>
      </c>
    </row>
    <row r="19" spans="1:101" customFormat="1" ht="2.1" customHeight="1">
      <c r="A19" s="676"/>
      <c r="B19" s="205"/>
      <c r="C19" s="961"/>
      <c r="H19" s="957"/>
      <c r="AD19" s="537"/>
      <c r="AE19" s="537"/>
      <c r="AF19" s="537"/>
      <c r="AG19" s="537"/>
      <c r="AH19" s="537"/>
      <c r="AI19" s="537"/>
      <c r="AJ19" s="710"/>
      <c r="AK19" s="710"/>
      <c r="AL19" s="710"/>
      <c r="AM19" s="710"/>
      <c r="AN19" s="710"/>
      <c r="AO19" s="710"/>
      <c r="AP19" s="710"/>
      <c r="AQ19" s="710"/>
      <c r="AR19" s="710"/>
      <c r="AS19" s="710"/>
      <c r="AT19" s="710"/>
      <c r="AU19" s="710"/>
      <c r="AV19" s="710"/>
      <c r="AW19" s="710"/>
      <c r="AX19" s="710"/>
      <c r="AY19" s="710"/>
      <c r="AZ19" s="710"/>
      <c r="BA19" s="710"/>
      <c r="BB19" s="710"/>
      <c r="BC19" s="710"/>
      <c r="BD19" s="710"/>
      <c r="BE19" s="710"/>
      <c r="BF19" s="710"/>
      <c r="BG19" s="710"/>
      <c r="BH19" s="710"/>
      <c r="BI19" s="710"/>
      <c r="BJ19" s="710"/>
      <c r="BK19" s="710"/>
      <c r="BL19" s="710"/>
      <c r="BM19" s="710"/>
      <c r="BN19" s="710"/>
      <c r="BO19" s="710"/>
      <c r="BP19" s="710"/>
      <c r="BQ19" s="710"/>
      <c r="BR19" s="710"/>
      <c r="BS19" s="710"/>
      <c r="BT19" s="710"/>
      <c r="BU19" s="710"/>
      <c r="BV19" s="710"/>
      <c r="BW19" s="710"/>
      <c r="BX19" s="710"/>
      <c r="BY19" s="710"/>
      <c r="BZ19" s="710"/>
      <c r="CA19" s="710"/>
      <c r="CB19" s="710"/>
      <c r="CC19" s="710"/>
      <c r="CD19" s="710"/>
      <c r="CE19" s="710"/>
      <c r="CF19" s="710"/>
      <c r="CG19" s="710"/>
      <c r="CH19" s="710"/>
      <c r="CI19" s="710"/>
      <c r="CJ19" s="710"/>
      <c r="CK19" s="710"/>
      <c r="CL19" s="710"/>
      <c r="CM19" s="537"/>
      <c r="CN19" s="537"/>
      <c r="CO19" s="537"/>
      <c r="CP19" s="537"/>
      <c r="CQ19" s="537"/>
      <c r="CR19" s="537"/>
      <c r="CS19" s="537"/>
      <c r="CT19" s="537"/>
      <c r="CU19" s="537"/>
      <c r="CV19" s="537"/>
      <c r="CW19" s="537"/>
    </row>
    <row r="20" spans="1:101" ht="17.399999999999999" customHeight="1">
      <c r="A20" s="676"/>
      <c r="B20" s="205"/>
      <c r="C20" s="961"/>
      <c r="D20" s="376"/>
      <c r="E20" s="950" t="s">
        <v>372</v>
      </c>
      <c r="F20" s="950"/>
      <c r="G20" s="378"/>
      <c r="H20" s="957"/>
      <c r="I20" s="378"/>
      <c r="J20" s="954">
        <f ca="1">+SUM('Aportaciones PPE'!AO7:AO18)</f>
        <v>0</v>
      </c>
      <c r="K20" s="954"/>
      <c r="L20" s="954"/>
      <c r="M20" s="11"/>
      <c r="N20" s="11"/>
      <c r="O20" s="11"/>
      <c r="P20" s="11"/>
      <c r="Q20" s="11"/>
      <c r="R20" s="11"/>
      <c r="S20" s="205"/>
      <c r="T20" s="391">
        <f ca="1">F80</f>
        <v>97231.770879228206</v>
      </c>
      <c r="U20" s="378"/>
      <c r="V20" s="391">
        <f ca="1">T20/'Renta Vitalicia'!$F$5/12</f>
        <v>388.64022251189095</v>
      </c>
      <c r="AB20"/>
    </row>
    <row r="21" spans="1:101" customFormat="1" ht="2.1" customHeight="1">
      <c r="A21" s="676"/>
      <c r="B21" s="205"/>
      <c r="C21" s="961"/>
      <c r="H21" s="957"/>
      <c r="AD21" s="537"/>
      <c r="AE21" s="537"/>
      <c r="AF21" s="537"/>
      <c r="AG21" s="537"/>
      <c r="AH21" s="537"/>
      <c r="AI21" s="537"/>
      <c r="AJ21" s="710"/>
      <c r="AK21" s="710"/>
      <c r="AL21" s="710"/>
      <c r="AM21" s="710"/>
      <c r="AN21" s="710"/>
      <c r="AO21" s="710"/>
      <c r="AP21" s="710"/>
      <c r="AQ21" s="710"/>
      <c r="AR21" s="710"/>
      <c r="AS21" s="710"/>
      <c r="AT21" s="710"/>
      <c r="AU21" s="710"/>
      <c r="AV21" s="710"/>
      <c r="AW21" s="710"/>
      <c r="AX21" s="710"/>
      <c r="AY21" s="710"/>
      <c r="AZ21" s="710"/>
      <c r="BA21" s="710"/>
      <c r="BB21" s="710"/>
      <c r="BC21" s="710"/>
      <c r="BD21" s="710"/>
      <c r="BE21" s="710"/>
      <c r="BF21" s="710"/>
      <c r="BG21" s="710"/>
      <c r="BH21" s="710"/>
      <c r="BI21" s="710"/>
      <c r="BJ21" s="710"/>
      <c r="BK21" s="710"/>
      <c r="BL21" s="710"/>
      <c r="BM21" s="710"/>
      <c r="BN21" s="710"/>
      <c r="BO21" s="710"/>
      <c r="BP21" s="710"/>
      <c r="BQ21" s="710"/>
      <c r="BR21" s="710"/>
      <c r="BS21" s="710"/>
      <c r="BT21" s="710"/>
      <c r="BU21" s="710"/>
      <c r="BV21" s="710"/>
      <c r="BW21" s="710"/>
      <c r="BX21" s="710"/>
      <c r="BY21" s="710"/>
      <c r="BZ21" s="710"/>
      <c r="CA21" s="710"/>
      <c r="CB21" s="710"/>
      <c r="CC21" s="710"/>
      <c r="CD21" s="710"/>
      <c r="CE21" s="710"/>
      <c r="CF21" s="710"/>
      <c r="CG21" s="710"/>
      <c r="CH21" s="710"/>
      <c r="CI21" s="710"/>
      <c r="CJ21" s="710"/>
      <c r="CK21" s="710"/>
      <c r="CL21" s="710"/>
      <c r="CM21" s="537"/>
      <c r="CN21" s="537"/>
      <c r="CO21" s="537"/>
      <c r="CP21" s="537"/>
      <c r="CQ21" s="537"/>
      <c r="CR21" s="537"/>
      <c r="CS21" s="537"/>
      <c r="CT21" s="537"/>
      <c r="CU21" s="537"/>
      <c r="CV21" s="537"/>
      <c r="CW21" s="537"/>
    </row>
    <row r="22" spans="1:101" ht="17.399999999999999" customHeight="1">
      <c r="A22" s="676"/>
      <c r="B22" s="205"/>
      <c r="C22" s="961"/>
      <c r="D22" s="376"/>
      <c r="E22" s="950" t="s">
        <v>605</v>
      </c>
      <c r="F22" s="950"/>
      <c r="G22" s="378"/>
      <c r="H22" s="957"/>
      <c r="I22" s="378"/>
      <c r="J22" s="954">
        <f ca="1">+SUM('Aportaciones PPE'!AT7:AT18)</f>
        <v>0</v>
      </c>
      <c r="K22" s="954"/>
      <c r="L22" s="954"/>
      <c r="M22" s="11"/>
      <c r="N22" s="11"/>
      <c r="O22" s="11"/>
      <c r="P22" s="11"/>
      <c r="Q22" s="11"/>
      <c r="R22" s="11"/>
      <c r="S22" s="205"/>
      <c r="T22" s="957" t="s">
        <v>305</v>
      </c>
      <c r="U22" s="957"/>
      <c r="V22" s="957"/>
    </row>
    <row r="23" spans="1:101" customFormat="1" ht="2.1" customHeight="1">
      <c r="A23" s="676"/>
      <c r="B23" s="205"/>
      <c r="C23" s="961"/>
      <c r="H23" s="379"/>
      <c r="AD23" s="537"/>
      <c r="AE23" s="537"/>
      <c r="AF23" s="537"/>
      <c r="AG23" s="537"/>
      <c r="AH23" s="537"/>
      <c r="AI23" s="537"/>
      <c r="AJ23" s="710"/>
      <c r="AK23" s="710"/>
      <c r="AL23" s="710"/>
      <c r="AM23" s="710"/>
      <c r="AN23" s="710"/>
      <c r="AO23" s="710"/>
      <c r="AP23" s="710"/>
      <c r="AQ23" s="710"/>
      <c r="AR23" s="710"/>
      <c r="AS23" s="710"/>
      <c r="AT23" s="710"/>
      <c r="AU23" s="710"/>
      <c r="AV23" s="710"/>
      <c r="AW23" s="710"/>
      <c r="AX23" s="710"/>
      <c r="AY23" s="710"/>
      <c r="AZ23" s="710"/>
      <c r="BA23" s="710"/>
      <c r="BB23" s="710"/>
      <c r="BC23" s="710"/>
      <c r="BD23" s="710"/>
      <c r="BE23" s="710"/>
      <c r="BF23" s="710"/>
      <c r="BG23" s="710"/>
      <c r="BH23" s="710"/>
      <c r="BI23" s="710"/>
      <c r="BJ23" s="710"/>
      <c r="BK23" s="710"/>
      <c r="BL23" s="710"/>
      <c r="BM23" s="710"/>
      <c r="BN23" s="710"/>
      <c r="BO23" s="710"/>
      <c r="BP23" s="710"/>
      <c r="BQ23" s="710"/>
      <c r="BR23" s="710"/>
      <c r="BS23" s="710"/>
      <c r="BT23" s="710"/>
      <c r="BU23" s="710"/>
      <c r="BV23" s="710"/>
      <c r="BW23" s="710"/>
      <c r="BX23" s="710"/>
      <c r="BY23" s="710"/>
      <c r="BZ23" s="710"/>
      <c r="CA23" s="710"/>
      <c r="CB23" s="710"/>
      <c r="CC23" s="710"/>
      <c r="CD23" s="710"/>
      <c r="CE23" s="710"/>
      <c r="CF23" s="710"/>
      <c r="CG23" s="710"/>
      <c r="CH23" s="710"/>
      <c r="CI23" s="710"/>
      <c r="CJ23" s="710"/>
      <c r="CK23" s="710"/>
      <c r="CL23" s="710"/>
      <c r="CM23" s="537"/>
      <c r="CN23" s="537"/>
      <c r="CO23" s="537"/>
      <c r="CP23" s="537"/>
      <c r="CQ23" s="537"/>
      <c r="CR23" s="537"/>
      <c r="CS23" s="537"/>
      <c r="CT23" s="537"/>
      <c r="CU23" s="537"/>
      <c r="CV23" s="537"/>
      <c r="CW23" s="537"/>
    </row>
    <row r="24" spans="1:101" ht="17.399999999999999" customHeight="1">
      <c r="A24" s="676"/>
      <c r="B24" s="205"/>
      <c r="C24" s="961"/>
      <c r="D24" s="394"/>
      <c r="E24" s="955" t="s">
        <v>1229</v>
      </c>
      <c r="F24" s="955"/>
      <c r="G24" s="955"/>
      <c r="H24" s="955"/>
      <c r="I24" s="392"/>
      <c r="J24" s="964">
        <f>'Aportaciones PPE'!K2</f>
        <v>900</v>
      </c>
      <c r="K24" s="964"/>
      <c r="L24" s="964"/>
      <c r="M24" s="11"/>
      <c r="N24" s="11"/>
      <c r="O24" s="11"/>
      <c r="P24" s="11"/>
      <c r="Q24" s="11"/>
      <c r="R24" s="11"/>
      <c r="S24" s="205"/>
      <c r="T24" s="956">
        <f ca="1">V20/($F$78/12)</f>
        <v>1.2313493138510068E-2</v>
      </c>
      <c r="U24" s="956"/>
      <c r="V24" s="956"/>
    </row>
    <row r="25" spans="1:101" customFormat="1" ht="6" customHeight="1">
      <c r="A25" s="671"/>
      <c r="B25" s="11"/>
      <c r="C25" s="11"/>
      <c r="D25" s="11"/>
      <c r="E25" s="11"/>
      <c r="F25" s="11"/>
      <c r="G25" s="11"/>
      <c r="H25" s="11"/>
      <c r="I25" s="11"/>
      <c r="J25" s="11"/>
      <c r="K25" s="11"/>
      <c r="L25" s="11"/>
      <c r="M25" s="11"/>
      <c r="N25" s="11"/>
      <c r="O25" s="11"/>
      <c r="P25" s="11"/>
      <c r="Q25" s="11"/>
      <c r="R25" s="11"/>
      <c r="S25" s="205"/>
      <c r="T25" s="378"/>
      <c r="U25" s="378"/>
      <c r="V25" s="378"/>
      <c r="W25" s="172"/>
      <c r="X25" s="172"/>
      <c r="Y25" s="173"/>
      <c r="AD25" s="537"/>
      <c r="AE25" s="537"/>
      <c r="AF25" s="537"/>
      <c r="AG25" s="537"/>
      <c r="AH25" s="537"/>
      <c r="AI25" s="537"/>
      <c r="AJ25" s="710"/>
      <c r="AK25" s="710"/>
      <c r="AL25" s="710"/>
      <c r="AM25" s="710"/>
      <c r="AN25" s="710"/>
      <c r="AO25" s="710"/>
      <c r="AP25" s="710"/>
      <c r="AQ25" s="710"/>
      <c r="AR25" s="710"/>
      <c r="AS25" s="710"/>
      <c r="AT25" s="710"/>
      <c r="AU25" s="710"/>
      <c r="AV25" s="710"/>
      <c r="AW25" s="710"/>
      <c r="AX25" s="710"/>
      <c r="AY25" s="710"/>
      <c r="AZ25" s="710"/>
      <c r="BA25" s="710"/>
      <c r="BB25" s="710"/>
      <c r="BC25" s="710"/>
      <c r="BD25" s="710"/>
      <c r="BE25" s="710"/>
      <c r="BF25" s="710"/>
      <c r="BG25" s="710"/>
      <c r="BH25" s="710"/>
      <c r="BI25" s="710"/>
      <c r="BJ25" s="710"/>
      <c r="BK25" s="710"/>
      <c r="BL25" s="710"/>
      <c r="BM25" s="710"/>
      <c r="BN25" s="710"/>
      <c r="BO25" s="710"/>
      <c r="BP25" s="710"/>
      <c r="BQ25" s="710"/>
      <c r="BR25" s="710"/>
      <c r="BS25" s="710"/>
      <c r="BT25" s="710"/>
      <c r="BU25" s="710"/>
      <c r="BV25" s="710"/>
      <c r="BW25" s="710"/>
      <c r="BX25" s="710"/>
      <c r="BY25" s="710"/>
      <c r="BZ25" s="710"/>
      <c r="CA25" s="710"/>
      <c r="CB25" s="710"/>
      <c r="CC25" s="710"/>
      <c r="CD25" s="710"/>
      <c r="CE25" s="710"/>
      <c r="CF25" s="710"/>
      <c r="CG25" s="710"/>
      <c r="CH25" s="710"/>
      <c r="CI25" s="710"/>
      <c r="CJ25" s="710"/>
      <c r="CK25" s="710"/>
      <c r="CL25" s="710"/>
      <c r="CM25" s="537"/>
      <c r="CN25" s="537"/>
      <c r="CO25" s="537"/>
      <c r="CP25" s="537"/>
      <c r="CQ25" s="537"/>
      <c r="CR25" s="537"/>
      <c r="CS25" s="537"/>
      <c r="CT25" s="537"/>
      <c r="CU25" s="537"/>
      <c r="CV25" s="537"/>
      <c r="CW25" s="537"/>
    </row>
    <row r="26" spans="1:101" customFormat="1" ht="6" customHeight="1">
      <c r="A26" s="671"/>
      <c r="B26" s="8"/>
      <c r="C26" s="8"/>
      <c r="D26" s="8"/>
      <c r="E26" s="8"/>
      <c r="F26" s="8"/>
      <c r="G26" s="8"/>
      <c r="H26" s="8"/>
      <c r="I26" s="11"/>
      <c r="J26" s="11"/>
      <c r="K26" s="11"/>
      <c r="L26" s="11"/>
      <c r="M26" s="11"/>
      <c r="N26" s="11"/>
      <c r="O26" s="11"/>
      <c r="P26" s="11"/>
      <c r="Q26" s="11"/>
      <c r="R26" s="11"/>
      <c r="S26" s="205"/>
      <c r="T26" s="378"/>
      <c r="U26" s="378"/>
      <c r="V26" s="378"/>
      <c r="W26" s="172"/>
      <c r="X26" s="172"/>
      <c r="Y26" s="173"/>
      <c r="AD26" s="537"/>
      <c r="AE26" s="537"/>
      <c r="AF26" s="537"/>
      <c r="AG26" s="537"/>
      <c r="AH26" s="537"/>
      <c r="AI26" s="537"/>
      <c r="AJ26" s="710"/>
      <c r="AK26" s="710"/>
      <c r="AL26" s="710"/>
      <c r="AM26" s="710"/>
      <c r="AN26" s="710"/>
      <c r="AO26" s="710"/>
      <c r="AP26" s="710"/>
      <c r="AQ26" s="710"/>
      <c r="AR26" s="710"/>
      <c r="AS26" s="710"/>
      <c r="AT26" s="710"/>
      <c r="AU26" s="710"/>
      <c r="AV26" s="710"/>
      <c r="AW26" s="710"/>
      <c r="AX26" s="710"/>
      <c r="AY26" s="710"/>
      <c r="AZ26" s="710"/>
      <c r="BA26" s="710"/>
      <c r="BB26" s="710"/>
      <c r="BC26" s="710"/>
      <c r="BD26" s="710"/>
      <c r="BE26" s="710"/>
      <c r="BF26" s="710"/>
      <c r="BG26" s="710"/>
      <c r="BH26" s="710"/>
      <c r="BI26" s="710"/>
      <c r="BJ26" s="710"/>
      <c r="BK26" s="710"/>
      <c r="BL26" s="710"/>
      <c r="BM26" s="710"/>
      <c r="BN26" s="710"/>
      <c r="BO26" s="710"/>
      <c r="BP26" s="710"/>
      <c r="BQ26" s="710"/>
      <c r="BR26" s="710"/>
      <c r="BS26" s="710"/>
      <c r="BT26" s="710"/>
      <c r="BU26" s="710"/>
      <c r="BV26" s="710"/>
      <c r="BW26" s="710"/>
      <c r="BX26" s="710"/>
      <c r="BY26" s="710"/>
      <c r="BZ26" s="710"/>
      <c r="CA26" s="710"/>
      <c r="CB26" s="710"/>
      <c r="CC26" s="710"/>
      <c r="CD26" s="710"/>
      <c r="CE26" s="710"/>
      <c r="CF26" s="710"/>
      <c r="CG26" s="710"/>
      <c r="CH26" s="710"/>
      <c r="CI26" s="710"/>
      <c r="CJ26" s="710"/>
      <c r="CK26" s="710"/>
      <c r="CL26" s="710"/>
      <c r="CM26" s="537"/>
      <c r="CN26" s="537"/>
      <c r="CO26" s="537"/>
      <c r="CP26" s="537"/>
      <c r="CQ26" s="537"/>
      <c r="CR26" s="537"/>
      <c r="CS26" s="537"/>
      <c r="CT26" s="537"/>
      <c r="CU26" s="537"/>
      <c r="CV26" s="537"/>
      <c r="CW26" s="537"/>
    </row>
    <row r="27" spans="1:101" customFormat="1" ht="6" customHeight="1">
      <c r="A27" s="682"/>
      <c r="B27" s="8"/>
      <c r="C27" s="8"/>
      <c r="D27" s="8"/>
      <c r="E27" s="8"/>
      <c r="F27" s="8"/>
      <c r="G27" s="8"/>
      <c r="H27" s="8"/>
      <c r="I27" s="8"/>
      <c r="J27" s="8"/>
      <c r="K27" s="8"/>
      <c r="L27" s="11"/>
      <c r="M27" s="11"/>
      <c r="N27" s="11"/>
      <c r="O27" s="11"/>
      <c r="P27" s="11"/>
      <c r="Q27" s="11"/>
      <c r="R27" s="11"/>
      <c r="S27" s="205"/>
      <c r="T27" s="378"/>
      <c r="U27" s="378"/>
      <c r="V27" s="378"/>
      <c r="W27" s="172"/>
      <c r="X27" s="172"/>
      <c r="Y27" s="173"/>
      <c r="AD27" s="537"/>
      <c r="AE27" s="537"/>
      <c r="AF27" s="537"/>
      <c r="AG27" s="537"/>
      <c r="AH27" s="537"/>
      <c r="AI27" s="537"/>
      <c r="AJ27" s="710"/>
      <c r="AK27" s="710"/>
      <c r="AL27" s="710"/>
      <c r="AM27" s="710"/>
      <c r="AN27" s="710"/>
      <c r="AO27" s="710"/>
      <c r="AP27" s="710"/>
      <c r="AQ27" s="710"/>
      <c r="AR27" s="710"/>
      <c r="AS27" s="710"/>
      <c r="AT27" s="710"/>
      <c r="AU27" s="710"/>
      <c r="AV27" s="710"/>
      <c r="AW27" s="710"/>
      <c r="AX27" s="710"/>
      <c r="AY27" s="710"/>
      <c r="AZ27" s="710"/>
      <c r="BA27" s="710"/>
      <c r="BB27" s="710"/>
      <c r="BC27" s="710"/>
      <c r="BD27" s="710"/>
      <c r="BE27" s="710"/>
      <c r="BF27" s="710"/>
      <c r="BG27" s="710"/>
      <c r="BH27" s="710"/>
      <c r="BI27" s="710"/>
      <c r="BJ27" s="710"/>
      <c r="BK27" s="710"/>
      <c r="BL27" s="710"/>
      <c r="BM27" s="710"/>
      <c r="BN27" s="710"/>
      <c r="BO27" s="710"/>
      <c r="BP27" s="710"/>
      <c r="BQ27" s="710"/>
      <c r="BR27" s="710"/>
      <c r="BS27" s="710"/>
      <c r="BT27" s="710"/>
      <c r="BU27" s="710"/>
      <c r="BV27" s="710"/>
      <c r="BW27" s="710"/>
      <c r="BX27" s="710"/>
      <c r="BY27" s="710"/>
      <c r="BZ27" s="710"/>
      <c r="CA27" s="710"/>
      <c r="CB27" s="710"/>
      <c r="CC27" s="710"/>
      <c r="CD27" s="710"/>
      <c r="CE27" s="710"/>
      <c r="CF27" s="710"/>
      <c r="CG27" s="710"/>
      <c r="CH27" s="710"/>
      <c r="CI27" s="710"/>
      <c r="CJ27" s="710"/>
      <c r="CK27" s="710"/>
      <c r="CL27" s="710"/>
      <c r="CM27" s="537"/>
      <c r="CN27" s="537"/>
      <c r="CO27" s="537"/>
      <c r="CP27" s="537"/>
      <c r="CQ27" s="537"/>
      <c r="CR27" s="537"/>
      <c r="CS27" s="537"/>
      <c r="CT27" s="537"/>
      <c r="CU27" s="537"/>
      <c r="CV27" s="537"/>
      <c r="CW27" s="537"/>
    </row>
    <row r="28" spans="1:101" ht="17.399999999999999" customHeight="1">
      <c r="A28" s="676"/>
      <c r="B28" s="205"/>
      <c r="C28" s="952" t="s">
        <v>373</v>
      </c>
      <c r="D28" s="952"/>
      <c r="E28" s="952"/>
      <c r="F28" s="952"/>
      <c r="G28" s="952"/>
      <c r="H28" s="952"/>
      <c r="I28" s="952"/>
      <c r="J28" s="952"/>
      <c r="K28" s="952"/>
      <c r="L28" s="952"/>
      <c r="M28" s="11"/>
      <c r="N28" s="11"/>
      <c r="O28" s="11"/>
      <c r="P28" s="11"/>
      <c r="Q28" s="11"/>
      <c r="R28" s="11"/>
      <c r="S28" s="205"/>
      <c r="T28" s="378"/>
      <c r="U28" s="378"/>
      <c r="V28" s="378"/>
    </row>
    <row r="29" spans="1:101" customFormat="1" ht="2.1" customHeight="1">
      <c r="A29" s="671"/>
      <c r="B29" s="11"/>
      <c r="C29" s="11"/>
      <c r="D29" s="11"/>
      <c r="E29" s="11"/>
      <c r="F29" s="11"/>
      <c r="G29" s="11"/>
      <c r="H29" s="11"/>
      <c r="I29" s="11"/>
      <c r="J29" s="11"/>
      <c r="K29" s="11"/>
      <c r="L29" s="11"/>
      <c r="M29" s="11"/>
      <c r="N29" s="11"/>
      <c r="O29" s="11"/>
      <c r="P29" s="11"/>
      <c r="Q29" s="11"/>
      <c r="R29" s="11"/>
      <c r="S29" s="205"/>
      <c r="T29" s="378"/>
      <c r="U29" s="378"/>
      <c r="V29" s="378"/>
      <c r="W29" s="172"/>
      <c r="X29" s="172"/>
      <c r="Y29" s="173"/>
      <c r="AD29" s="537"/>
      <c r="AE29" s="537"/>
      <c r="AF29" s="537"/>
      <c r="AG29" s="537"/>
      <c r="AH29" s="537"/>
      <c r="AI29" s="537"/>
      <c r="AJ29" s="710"/>
      <c r="AK29" s="710"/>
      <c r="AL29" s="710"/>
      <c r="AM29" s="710"/>
      <c r="AN29" s="710"/>
      <c r="AO29" s="710"/>
      <c r="AP29" s="710"/>
      <c r="AQ29" s="710"/>
      <c r="AR29" s="710"/>
      <c r="AS29" s="710"/>
      <c r="AT29" s="710"/>
      <c r="AU29" s="710"/>
      <c r="AV29" s="710"/>
      <c r="AW29" s="710"/>
      <c r="AX29" s="710"/>
      <c r="AY29" s="710"/>
      <c r="AZ29" s="710"/>
      <c r="BA29" s="710"/>
      <c r="BB29" s="710"/>
      <c r="BC29" s="710"/>
      <c r="BD29" s="710"/>
      <c r="BE29" s="710"/>
      <c r="BF29" s="710"/>
      <c r="BG29" s="710"/>
      <c r="BH29" s="710"/>
      <c r="BI29" s="710"/>
      <c r="BJ29" s="710"/>
      <c r="BK29" s="710"/>
      <c r="BL29" s="710"/>
      <c r="BM29" s="710"/>
      <c r="BN29" s="710"/>
      <c r="BO29" s="710"/>
      <c r="BP29" s="710"/>
      <c r="BQ29" s="710"/>
      <c r="BR29" s="710"/>
      <c r="BS29" s="710"/>
      <c r="BT29" s="710"/>
      <c r="BU29" s="710"/>
      <c r="BV29" s="710"/>
      <c r="BW29" s="710"/>
      <c r="BX29" s="710"/>
      <c r="BY29" s="710"/>
      <c r="BZ29" s="710"/>
      <c r="CA29" s="710"/>
      <c r="CB29" s="710"/>
      <c r="CC29" s="710"/>
      <c r="CD29" s="710"/>
      <c r="CE29" s="710"/>
      <c r="CF29" s="710"/>
      <c r="CG29" s="710"/>
      <c r="CH29" s="710"/>
      <c r="CI29" s="710"/>
      <c r="CJ29" s="710"/>
      <c r="CK29" s="710"/>
      <c r="CL29" s="710"/>
      <c r="CM29" s="537"/>
      <c r="CN29" s="537"/>
      <c r="CO29" s="537"/>
      <c r="CP29" s="537"/>
      <c r="CQ29" s="537"/>
      <c r="CR29" s="537"/>
      <c r="CS29" s="537"/>
      <c r="CT29" s="537"/>
      <c r="CU29" s="537"/>
      <c r="CV29" s="537"/>
      <c r="CW29" s="537"/>
    </row>
    <row r="30" spans="1:101" ht="8.85" customHeight="1">
      <c r="A30" s="676"/>
      <c r="B30" s="205"/>
      <c r="C30" s="962" t="s">
        <v>362</v>
      </c>
      <c r="D30" s="376"/>
      <c r="E30" s="963" t="s">
        <v>370</v>
      </c>
      <c r="F30" s="963"/>
      <c r="G30" s="380"/>
      <c r="H30" s="957" t="str">
        <f>+TEXT(VLOOKUP('Simulador - Datos personales'!E5,BBDD!$C$4:$L$938,10,0),"0%")&amp;" Sal. Pensionable"</f>
        <v>0% Sal. Pensionable</v>
      </c>
      <c r="I30" s="380"/>
      <c r="J30" s="954">
        <f>VLOOKUP('Simulador - Datos personales'!E5,BBDD!$C$4:$L$938,10,0)*'Simulador - Datos personales'!E15</f>
        <v>0</v>
      </c>
      <c r="K30" s="954"/>
      <c r="L30" s="954"/>
      <c r="M30" s="11"/>
      <c r="N30" s="11"/>
      <c r="O30" s="11"/>
      <c r="P30" s="11"/>
      <c r="Q30" s="11"/>
      <c r="R30" s="11"/>
      <c r="S30" s="205"/>
      <c r="T30" s="957" t="s">
        <v>368</v>
      </c>
      <c r="U30" s="378"/>
      <c r="V30" s="957" t="s">
        <v>369</v>
      </c>
    </row>
    <row r="31" spans="1:101" ht="8.85" customHeight="1">
      <c r="A31" s="676"/>
      <c r="B31" s="205"/>
      <c r="C31" s="962"/>
      <c r="D31" s="376"/>
      <c r="E31" s="963"/>
      <c r="F31" s="963"/>
      <c r="G31" s="380"/>
      <c r="H31" s="957"/>
      <c r="I31" s="380"/>
      <c r="J31" s="954"/>
      <c r="K31" s="954"/>
      <c r="L31" s="954"/>
      <c r="M31" s="11"/>
      <c r="N31" s="11"/>
      <c r="O31" s="11"/>
      <c r="P31" s="11"/>
      <c r="Q31" s="11"/>
      <c r="R31" s="11"/>
      <c r="S31" s="205"/>
      <c r="T31" s="957"/>
      <c r="U31" s="383"/>
      <c r="V31" s="957"/>
      <c r="AD31" s="672"/>
    </row>
    <row r="32" spans="1:101" ht="2.1" customHeight="1">
      <c r="A32" s="676"/>
      <c r="B32" s="205"/>
      <c r="C32" s="962"/>
      <c r="D32" s="376"/>
      <c r="E32" s="963"/>
      <c r="F32" s="963"/>
      <c r="G32" s="380"/>
      <c r="H32" s="957"/>
      <c r="I32" s="380"/>
      <c r="J32" s="954"/>
      <c r="K32" s="954"/>
      <c r="L32" s="954"/>
      <c r="M32" s="11"/>
      <c r="N32" s="11"/>
      <c r="O32" s="11"/>
      <c r="P32" s="11"/>
      <c r="Q32" s="11"/>
      <c r="R32" s="11"/>
      <c r="S32" s="205"/>
      <c r="T32"/>
      <c r="U32"/>
      <c r="V32"/>
      <c r="AD32" s="672"/>
    </row>
    <row r="33" spans="1:101" ht="8.25" customHeight="1" thickBot="1">
      <c r="A33" s="676"/>
      <c r="B33" s="205"/>
      <c r="C33" s="962"/>
      <c r="D33" s="376"/>
      <c r="E33" s="963"/>
      <c r="F33" s="963"/>
      <c r="G33" s="380"/>
      <c r="H33" s="957"/>
      <c r="I33" s="380"/>
      <c r="J33" s="954"/>
      <c r="K33" s="954"/>
      <c r="L33" s="954"/>
      <c r="M33" s="11"/>
      <c r="N33" s="11"/>
      <c r="O33" s="11"/>
      <c r="P33" s="11"/>
      <c r="Q33" s="11"/>
      <c r="R33" s="11"/>
      <c r="S33" s="205"/>
      <c r="T33" s="951">
        <f ca="1">F82</f>
        <v>0</v>
      </c>
      <c r="U33" s="383"/>
      <c r="V33" s="951">
        <f ca="1">T33/'Renta Vitalicia'!$F$5/12</f>
        <v>0</v>
      </c>
      <c r="Z33" s="306"/>
    </row>
    <row r="34" spans="1:101" ht="2.1" customHeight="1" thickTop="1">
      <c r="A34" s="676"/>
      <c r="B34" s="205"/>
      <c r="C34" s="962"/>
      <c r="D34"/>
      <c r="E34"/>
      <c r="F34"/>
      <c r="G34"/>
      <c r="H34"/>
      <c r="I34"/>
      <c r="J34"/>
      <c r="K34"/>
      <c r="L34"/>
      <c r="M34"/>
      <c r="N34"/>
      <c r="O34" s="11"/>
      <c r="P34" s="11"/>
      <c r="Q34" s="11"/>
      <c r="R34" s="11"/>
      <c r="S34" s="205"/>
      <c r="T34" s="951"/>
      <c r="U34" s="383"/>
      <c r="V34" s="951"/>
      <c r="Z34" s="396"/>
    </row>
    <row r="35" spans="1:101" ht="8.85" customHeight="1">
      <c r="A35" s="676"/>
      <c r="B35" s="205"/>
      <c r="C35" s="962"/>
      <c r="D35" s="376"/>
      <c r="E35" s="963" t="s">
        <v>371</v>
      </c>
      <c r="F35" s="963"/>
      <c r="G35" s="380"/>
      <c r="H35" s="957" t="s">
        <v>420</v>
      </c>
      <c r="I35" s="380"/>
      <c r="J35" s="954">
        <f>5%*'Simulador - Datos personales'!E15</f>
        <v>10500</v>
      </c>
      <c r="K35" s="954"/>
      <c r="L35" s="954"/>
      <c r="M35" s="11"/>
      <c r="N35" s="11"/>
      <c r="O35" s="11"/>
      <c r="P35" s="11"/>
      <c r="Q35" s="11"/>
      <c r="R35" s="11"/>
      <c r="S35" s="205"/>
      <c r="T35" s="951"/>
      <c r="U35" s="378"/>
      <c r="V35" s="951"/>
      <c r="AG35" s="673"/>
    </row>
    <row r="36" spans="1:101" ht="2.1" customHeight="1">
      <c r="A36" s="676"/>
      <c r="B36" s="205"/>
      <c r="C36" s="962"/>
      <c r="D36" s="376"/>
      <c r="E36" s="963"/>
      <c r="F36" s="963"/>
      <c r="G36" s="380"/>
      <c r="H36" s="957"/>
      <c r="I36" s="380"/>
      <c r="J36" s="954"/>
      <c r="K36" s="954"/>
      <c r="L36" s="954"/>
      <c r="M36" s="11"/>
      <c r="N36" s="11"/>
      <c r="O36" s="11"/>
      <c r="P36" s="11"/>
      <c r="Q36" s="11"/>
      <c r="R36" s="11"/>
      <c r="S36" s="205"/>
      <c r="T36"/>
      <c r="U36"/>
      <c r="V36"/>
      <c r="W36"/>
      <c r="X36"/>
      <c r="AG36" s="673"/>
    </row>
    <row r="37" spans="1:101" ht="8.85" customHeight="1">
      <c r="A37" s="676"/>
      <c r="B37" s="205"/>
      <c r="C37" s="962"/>
      <c r="D37" s="377"/>
      <c r="E37" s="963"/>
      <c r="F37" s="963"/>
      <c r="G37" s="383"/>
      <c r="H37" s="957"/>
      <c r="I37" s="383"/>
      <c r="J37" s="954"/>
      <c r="K37" s="954"/>
      <c r="L37" s="954"/>
      <c r="M37" s="11"/>
      <c r="N37" s="11"/>
      <c r="O37" s="11"/>
      <c r="P37" s="11"/>
      <c r="Q37" s="11"/>
      <c r="R37" s="11"/>
      <c r="S37" s="205"/>
      <c r="T37" s="957" t="s">
        <v>305</v>
      </c>
      <c r="U37" s="957"/>
      <c r="V37" s="957"/>
      <c r="AG37" s="673"/>
    </row>
    <row r="38" spans="1:101" customFormat="1" ht="8.85" customHeight="1">
      <c r="A38" s="671"/>
      <c r="B38" s="11"/>
      <c r="C38" s="962"/>
      <c r="D38" s="395"/>
      <c r="E38" s="963"/>
      <c r="F38" s="963"/>
      <c r="G38" s="378"/>
      <c r="H38" s="957"/>
      <c r="I38" s="378"/>
      <c r="J38" s="954"/>
      <c r="K38" s="954"/>
      <c r="L38" s="954"/>
      <c r="M38" s="11"/>
      <c r="N38" s="11"/>
      <c r="O38" s="11"/>
      <c r="P38" s="11"/>
      <c r="Q38" s="11"/>
      <c r="R38" s="11"/>
      <c r="S38" s="205"/>
      <c r="T38" s="957"/>
      <c r="U38" s="957"/>
      <c r="V38" s="957"/>
      <c r="W38" s="172"/>
      <c r="X38" s="172"/>
      <c r="Y38" s="173"/>
      <c r="AD38" s="537"/>
      <c r="AE38" s="537"/>
      <c r="AF38" s="537"/>
      <c r="AG38" s="537"/>
      <c r="AH38" s="537"/>
      <c r="AI38" s="537"/>
      <c r="AJ38" s="710"/>
      <c r="AK38" s="710"/>
      <c r="AL38" s="710"/>
      <c r="AM38" s="710"/>
      <c r="AN38" s="710"/>
      <c r="AO38" s="710"/>
      <c r="AP38" s="710"/>
      <c r="AQ38" s="710"/>
      <c r="AR38" s="710"/>
      <c r="AS38" s="710"/>
      <c r="AT38" s="710"/>
      <c r="AU38" s="710"/>
      <c r="AV38" s="710"/>
      <c r="AW38" s="710"/>
      <c r="AX38" s="710"/>
      <c r="AY38" s="710"/>
      <c r="AZ38" s="710"/>
      <c r="BA38" s="710"/>
      <c r="BB38" s="710"/>
      <c r="BC38" s="710"/>
      <c r="BD38" s="710"/>
      <c r="BE38" s="710"/>
      <c r="BF38" s="710"/>
      <c r="BG38" s="710"/>
      <c r="BH38" s="710"/>
      <c r="BI38" s="710"/>
      <c r="BJ38" s="710"/>
      <c r="BK38" s="710"/>
      <c r="BL38" s="710"/>
      <c r="BM38" s="710"/>
      <c r="BN38" s="710"/>
      <c r="BO38" s="710"/>
      <c r="BP38" s="710"/>
      <c r="BQ38" s="710"/>
      <c r="BR38" s="710"/>
      <c r="BS38" s="710"/>
      <c r="BT38" s="710"/>
      <c r="BU38" s="710"/>
      <c r="BV38" s="710"/>
      <c r="BW38" s="710"/>
      <c r="BX38" s="710"/>
      <c r="BY38" s="710"/>
      <c r="BZ38" s="710"/>
      <c r="CA38" s="710"/>
      <c r="CB38" s="710"/>
      <c r="CC38" s="710"/>
      <c r="CD38" s="710"/>
      <c r="CE38" s="710"/>
      <c r="CF38" s="710"/>
      <c r="CG38" s="710"/>
      <c r="CH38" s="710"/>
      <c r="CI38" s="710"/>
      <c r="CJ38" s="710"/>
      <c r="CK38" s="710"/>
      <c r="CL38" s="710"/>
      <c r="CM38" s="537"/>
      <c r="CN38" s="537"/>
      <c r="CO38" s="537"/>
      <c r="CP38" s="537"/>
      <c r="CQ38" s="537"/>
      <c r="CR38" s="537"/>
      <c r="CS38" s="537"/>
      <c r="CT38" s="537"/>
      <c r="CU38" s="537"/>
      <c r="CV38" s="537"/>
      <c r="CW38" s="537"/>
    </row>
    <row r="39" spans="1:101" customFormat="1" ht="2.1" customHeight="1">
      <c r="A39" s="671"/>
      <c r="B39" s="11"/>
      <c r="C39" s="962"/>
      <c r="AD39" s="537"/>
      <c r="AE39" s="537"/>
      <c r="AF39" s="537"/>
      <c r="AG39" s="537"/>
      <c r="AH39" s="537"/>
      <c r="AI39" s="537"/>
      <c r="AJ39" s="710"/>
      <c r="AK39" s="710"/>
      <c r="AL39" s="710"/>
      <c r="AM39" s="710"/>
      <c r="AN39" s="710"/>
      <c r="AO39" s="710"/>
      <c r="AP39" s="710"/>
      <c r="AQ39" s="710"/>
      <c r="AR39" s="710"/>
      <c r="AS39" s="710"/>
      <c r="AT39" s="710"/>
      <c r="AU39" s="710"/>
      <c r="AV39" s="710"/>
      <c r="AW39" s="710"/>
      <c r="AX39" s="710"/>
      <c r="AY39" s="710"/>
      <c r="AZ39" s="710"/>
      <c r="BA39" s="710"/>
      <c r="BB39" s="710"/>
      <c r="BC39" s="710"/>
      <c r="BD39" s="710"/>
      <c r="BE39" s="710"/>
      <c r="BF39" s="710"/>
      <c r="BG39" s="710"/>
      <c r="BH39" s="710"/>
      <c r="BI39" s="710"/>
      <c r="BJ39" s="710"/>
      <c r="BK39" s="710"/>
      <c r="BL39" s="710"/>
      <c r="BM39" s="710"/>
      <c r="BN39" s="710"/>
      <c r="BO39" s="710"/>
      <c r="BP39" s="710"/>
      <c r="BQ39" s="710"/>
      <c r="BR39" s="710"/>
      <c r="BS39" s="710"/>
      <c r="BT39" s="710"/>
      <c r="BU39" s="710"/>
      <c r="BV39" s="710"/>
      <c r="BW39" s="710"/>
      <c r="BX39" s="710"/>
      <c r="BY39" s="710"/>
      <c r="BZ39" s="710"/>
      <c r="CA39" s="710"/>
      <c r="CB39" s="710"/>
      <c r="CC39" s="710"/>
      <c r="CD39" s="710"/>
      <c r="CE39" s="710"/>
      <c r="CF39" s="710"/>
      <c r="CG39" s="710"/>
      <c r="CH39" s="710"/>
      <c r="CI39" s="710"/>
      <c r="CJ39" s="710"/>
      <c r="CK39" s="710"/>
      <c r="CL39" s="710"/>
      <c r="CM39" s="537"/>
      <c r="CN39" s="537"/>
      <c r="CO39" s="537"/>
      <c r="CP39" s="537"/>
      <c r="CQ39" s="537"/>
      <c r="CR39" s="537"/>
      <c r="CS39" s="537"/>
      <c r="CT39" s="537"/>
      <c r="CU39" s="537"/>
      <c r="CV39" s="537"/>
      <c r="CW39" s="537"/>
    </row>
    <row r="40" spans="1:101" customFormat="1" ht="17.399999999999999" customHeight="1">
      <c r="A40" s="671"/>
      <c r="B40" s="11"/>
      <c r="C40" s="962"/>
      <c r="D40" s="394"/>
      <c r="E40" s="955" t="s">
        <v>1229</v>
      </c>
      <c r="F40" s="955"/>
      <c r="G40" s="955"/>
      <c r="H40" s="955"/>
      <c r="I40" s="393"/>
      <c r="J40" s="964">
        <f>'Aportaciones Poliza'!Q4</f>
        <v>0</v>
      </c>
      <c r="K40" s="964"/>
      <c r="L40" s="964"/>
      <c r="M40" s="11"/>
      <c r="N40" s="11"/>
      <c r="O40" s="11"/>
      <c r="P40" s="11"/>
      <c r="Q40" s="11"/>
      <c r="R40" s="11"/>
      <c r="S40" s="205"/>
      <c r="T40" s="956">
        <f ca="1">V33/($F$78/12)</f>
        <v>0</v>
      </c>
      <c r="U40" s="956"/>
      <c r="V40" s="956"/>
      <c r="W40" s="172"/>
      <c r="X40" s="172"/>
      <c r="Y40" s="173"/>
      <c r="AD40" s="537"/>
      <c r="AE40" s="537"/>
      <c r="AF40" s="537"/>
      <c r="AG40" s="537"/>
      <c r="AH40" s="537"/>
      <c r="AI40" s="537"/>
      <c r="AJ40" s="710"/>
      <c r="AK40" s="710"/>
      <c r="AL40" s="710"/>
      <c r="AM40" s="710"/>
      <c r="AN40" s="710"/>
      <c r="AO40" s="710"/>
      <c r="AP40" s="710"/>
      <c r="AQ40" s="710"/>
      <c r="AR40" s="710"/>
      <c r="AS40" s="710"/>
      <c r="AT40" s="710"/>
      <c r="AU40" s="710"/>
      <c r="AV40" s="710"/>
      <c r="AW40" s="710"/>
      <c r="AX40" s="710"/>
      <c r="AY40" s="710"/>
      <c r="AZ40" s="710"/>
      <c r="BA40" s="710"/>
      <c r="BB40" s="710"/>
      <c r="BC40" s="710"/>
      <c r="BD40" s="710"/>
      <c r="BE40" s="710"/>
      <c r="BF40" s="710"/>
      <c r="BG40" s="710"/>
      <c r="BH40" s="710"/>
      <c r="BI40" s="710"/>
      <c r="BJ40" s="710"/>
      <c r="BK40" s="710"/>
      <c r="BL40" s="710"/>
      <c r="BM40" s="710"/>
      <c r="BN40" s="710"/>
      <c r="BO40" s="710"/>
      <c r="BP40" s="710"/>
      <c r="BQ40" s="710"/>
      <c r="BR40" s="710"/>
      <c r="BS40" s="710"/>
      <c r="BT40" s="710"/>
      <c r="BU40" s="710"/>
      <c r="BV40" s="710"/>
      <c r="BW40" s="710"/>
      <c r="BX40" s="710"/>
      <c r="BY40" s="710"/>
      <c r="BZ40" s="710"/>
      <c r="CA40" s="710"/>
      <c r="CB40" s="710"/>
      <c r="CC40" s="710"/>
      <c r="CD40" s="710"/>
      <c r="CE40" s="710"/>
      <c r="CF40" s="710"/>
      <c r="CG40" s="710"/>
      <c r="CH40" s="710"/>
      <c r="CI40" s="710"/>
      <c r="CJ40" s="710"/>
      <c r="CK40" s="710"/>
      <c r="CL40" s="710"/>
      <c r="CM40" s="537"/>
      <c r="CN40" s="537"/>
      <c r="CO40" s="537"/>
      <c r="CP40" s="537"/>
      <c r="CQ40" s="537"/>
      <c r="CR40" s="537"/>
      <c r="CS40" s="537"/>
      <c r="CT40" s="537"/>
      <c r="CU40" s="537"/>
      <c r="CV40" s="537"/>
      <c r="CW40" s="537"/>
    </row>
    <row r="41" spans="1:101" customFormat="1" ht="6.75" customHeight="1">
      <c r="A41" s="671"/>
      <c r="B41" s="11"/>
      <c r="C41" s="11"/>
      <c r="D41" s="11"/>
      <c r="E41" s="11"/>
      <c r="F41" s="11"/>
      <c r="G41" s="11"/>
      <c r="H41" s="11"/>
      <c r="I41" s="11"/>
      <c r="J41" s="11"/>
      <c r="K41" s="11"/>
      <c r="L41" s="11"/>
      <c r="M41" s="11"/>
      <c r="N41" s="11"/>
      <c r="O41" s="11"/>
      <c r="P41" s="11"/>
      <c r="Q41" s="11"/>
      <c r="R41" s="11"/>
      <c r="S41" s="205"/>
      <c r="T41" s="378"/>
      <c r="U41" s="378"/>
      <c r="V41" s="378"/>
      <c r="W41" s="172"/>
      <c r="X41" s="172"/>
      <c r="Y41" s="173"/>
      <c r="AD41" s="537"/>
      <c r="AE41" s="537"/>
      <c r="AF41" s="537"/>
      <c r="AG41" s="537"/>
      <c r="AH41" s="537"/>
      <c r="AI41" s="537"/>
      <c r="AJ41" s="710"/>
      <c r="AK41" s="710"/>
      <c r="AL41" s="710"/>
      <c r="AM41" s="710"/>
      <c r="AN41" s="710"/>
      <c r="AO41" s="710"/>
      <c r="AP41" s="710"/>
      <c r="AQ41" s="710"/>
      <c r="AR41" s="710"/>
      <c r="AS41" s="710"/>
      <c r="AT41" s="710"/>
      <c r="AU41" s="710"/>
      <c r="AV41" s="710"/>
      <c r="AW41" s="710"/>
      <c r="AX41" s="710"/>
      <c r="AY41" s="710"/>
      <c r="AZ41" s="710"/>
      <c r="BA41" s="710"/>
      <c r="BB41" s="710"/>
      <c r="BC41" s="710"/>
      <c r="BD41" s="710"/>
      <c r="BE41" s="710"/>
      <c r="BF41" s="710"/>
      <c r="BG41" s="710"/>
      <c r="BH41" s="710"/>
      <c r="BI41" s="710"/>
      <c r="BJ41" s="710"/>
      <c r="BK41" s="710"/>
      <c r="BL41" s="710"/>
      <c r="BM41" s="710"/>
      <c r="BN41" s="710"/>
      <c r="BO41" s="710"/>
      <c r="BP41" s="710"/>
      <c r="BQ41" s="710"/>
      <c r="BR41" s="710"/>
      <c r="BS41" s="710"/>
      <c r="BT41" s="710"/>
      <c r="BU41" s="710"/>
      <c r="BV41" s="710"/>
      <c r="BW41" s="710"/>
      <c r="BX41" s="710"/>
      <c r="BY41" s="710"/>
      <c r="BZ41" s="710"/>
      <c r="CA41" s="710"/>
      <c r="CB41" s="710"/>
      <c r="CC41" s="710"/>
      <c r="CD41" s="710"/>
      <c r="CE41" s="710"/>
      <c r="CF41" s="710"/>
      <c r="CG41" s="710"/>
      <c r="CH41" s="710"/>
      <c r="CI41" s="710"/>
      <c r="CJ41" s="710"/>
      <c r="CK41" s="710"/>
      <c r="CL41" s="710"/>
      <c r="CM41" s="537"/>
      <c r="CN41" s="537"/>
      <c r="CO41" s="537"/>
      <c r="CP41" s="537"/>
      <c r="CQ41" s="537"/>
      <c r="CR41" s="537"/>
      <c r="CS41" s="537"/>
      <c r="CT41" s="537"/>
      <c r="CU41" s="537"/>
      <c r="CV41" s="537"/>
      <c r="CW41" s="537"/>
    </row>
    <row r="42" spans="1:101" customFormat="1" ht="6.75" customHeight="1">
      <c r="A42" s="671"/>
      <c r="B42" s="11"/>
      <c r="C42" s="11"/>
      <c r="D42" s="11"/>
      <c r="E42" s="11"/>
      <c r="F42" s="11"/>
      <c r="G42" s="11"/>
      <c r="H42" s="11"/>
      <c r="I42" s="11"/>
      <c r="J42" s="11"/>
      <c r="K42" s="11"/>
      <c r="L42" s="11"/>
      <c r="M42" s="11"/>
      <c r="N42" s="11"/>
      <c r="O42" s="11"/>
      <c r="P42" s="11"/>
      <c r="Q42" s="11"/>
      <c r="R42" s="11"/>
      <c r="S42" s="205"/>
      <c r="T42" s="378"/>
      <c r="U42" s="378"/>
      <c r="V42" s="378"/>
      <c r="W42" s="172"/>
      <c r="X42" s="172"/>
      <c r="Y42" s="173"/>
      <c r="AD42" s="537"/>
      <c r="AE42" s="537"/>
      <c r="AF42" s="537"/>
      <c r="AG42" s="537"/>
      <c r="AH42" s="537"/>
      <c r="AI42" s="537"/>
      <c r="AJ42" s="710"/>
      <c r="AK42" s="710"/>
      <c r="AL42" s="710"/>
      <c r="AM42" s="710"/>
      <c r="AN42" s="710"/>
      <c r="AO42" s="710"/>
      <c r="AP42" s="710"/>
      <c r="AQ42" s="710"/>
      <c r="AR42" s="710"/>
      <c r="AS42" s="710"/>
      <c r="AT42" s="710"/>
      <c r="AU42" s="710"/>
      <c r="AV42" s="710"/>
      <c r="AW42" s="710"/>
      <c r="AX42" s="710"/>
      <c r="AY42" s="710"/>
      <c r="AZ42" s="710"/>
      <c r="BA42" s="710"/>
      <c r="BB42" s="710"/>
      <c r="BC42" s="710"/>
      <c r="BD42" s="710"/>
      <c r="BE42" s="710"/>
      <c r="BF42" s="710"/>
      <c r="BG42" s="710"/>
      <c r="BH42" s="710"/>
      <c r="BI42" s="710"/>
      <c r="BJ42" s="710"/>
      <c r="BK42" s="710"/>
      <c r="BL42" s="710"/>
      <c r="BM42" s="710"/>
      <c r="BN42" s="710"/>
      <c r="BO42" s="710"/>
      <c r="BP42" s="710"/>
      <c r="BQ42" s="710"/>
      <c r="BR42" s="710"/>
      <c r="BS42" s="710"/>
      <c r="BT42" s="710"/>
      <c r="BU42" s="710"/>
      <c r="BV42" s="710"/>
      <c r="BW42" s="710"/>
      <c r="BX42" s="710"/>
      <c r="BY42" s="710"/>
      <c r="BZ42" s="710"/>
      <c r="CA42" s="710"/>
      <c r="CB42" s="710"/>
      <c r="CC42" s="710"/>
      <c r="CD42" s="710"/>
      <c r="CE42" s="710"/>
      <c r="CF42" s="710"/>
      <c r="CG42" s="710"/>
      <c r="CH42" s="710"/>
      <c r="CI42" s="710"/>
      <c r="CJ42" s="710"/>
      <c r="CK42" s="710"/>
      <c r="CL42" s="710"/>
      <c r="CM42" s="537"/>
      <c r="CN42" s="537"/>
      <c r="CO42" s="537"/>
      <c r="CP42" s="537"/>
      <c r="CQ42" s="537"/>
      <c r="CR42" s="537"/>
      <c r="CS42" s="537"/>
      <c r="CT42" s="537"/>
      <c r="CU42" s="537"/>
      <c r="CV42" s="537"/>
      <c r="CW42" s="537"/>
    </row>
    <row r="43" spans="1:101" customFormat="1" ht="6.75" customHeight="1">
      <c r="A43" s="671"/>
      <c r="B43" s="11"/>
      <c r="C43" s="11"/>
      <c r="D43" s="11"/>
      <c r="E43" s="11"/>
      <c r="F43" s="11"/>
      <c r="G43" s="11"/>
      <c r="H43" s="11"/>
      <c r="I43" s="11"/>
      <c r="J43" s="11"/>
      <c r="K43" s="11"/>
      <c r="L43" s="11"/>
      <c r="M43" s="11"/>
      <c r="N43" s="11"/>
      <c r="O43" s="11"/>
      <c r="P43" s="11"/>
      <c r="Q43" s="11"/>
      <c r="R43" s="11"/>
      <c r="S43" s="205"/>
      <c r="T43" s="378"/>
      <c r="U43" s="378"/>
      <c r="V43" s="378"/>
      <c r="W43" s="172"/>
      <c r="X43" s="172"/>
      <c r="Y43" s="173"/>
      <c r="AD43" s="537"/>
      <c r="AE43" s="537"/>
      <c r="AF43" s="537"/>
      <c r="AG43" s="537"/>
      <c r="AH43" s="537"/>
      <c r="AI43" s="537"/>
      <c r="AJ43" s="710"/>
      <c r="AK43" s="710"/>
      <c r="AL43" s="710"/>
      <c r="AM43" s="710"/>
      <c r="AN43" s="710"/>
      <c r="AO43" s="710"/>
      <c r="AP43" s="710"/>
      <c r="AQ43" s="710"/>
      <c r="AR43" s="710"/>
      <c r="AS43" s="710"/>
      <c r="AT43" s="710"/>
      <c r="AU43" s="710"/>
      <c r="AV43" s="710"/>
      <c r="AW43" s="710"/>
      <c r="AX43" s="710"/>
      <c r="AY43" s="710"/>
      <c r="AZ43" s="710"/>
      <c r="BA43" s="710"/>
      <c r="BB43" s="710"/>
      <c r="BC43" s="710"/>
      <c r="BD43" s="710"/>
      <c r="BE43" s="710"/>
      <c r="BF43" s="710"/>
      <c r="BG43" s="710"/>
      <c r="BH43" s="710"/>
      <c r="BI43" s="710"/>
      <c r="BJ43" s="710"/>
      <c r="BK43" s="710"/>
      <c r="BL43" s="710"/>
      <c r="BM43" s="710"/>
      <c r="BN43" s="710"/>
      <c r="BO43" s="710"/>
      <c r="BP43" s="710"/>
      <c r="BQ43" s="710"/>
      <c r="BR43" s="710"/>
      <c r="BS43" s="710"/>
      <c r="BT43" s="710"/>
      <c r="BU43" s="710"/>
      <c r="BV43" s="710"/>
      <c r="BW43" s="710"/>
      <c r="BX43" s="710"/>
      <c r="BY43" s="710"/>
      <c r="BZ43" s="710"/>
      <c r="CA43" s="710"/>
      <c r="CB43" s="710"/>
      <c r="CC43" s="710"/>
      <c r="CD43" s="710"/>
      <c r="CE43" s="710"/>
      <c r="CF43" s="710"/>
      <c r="CG43" s="710"/>
      <c r="CH43" s="710"/>
      <c r="CI43" s="710"/>
      <c r="CJ43" s="710"/>
      <c r="CK43" s="710"/>
      <c r="CL43" s="710"/>
      <c r="CM43" s="537"/>
      <c r="CN43" s="537"/>
      <c r="CO43" s="537"/>
      <c r="CP43" s="537"/>
      <c r="CQ43" s="537"/>
      <c r="CR43" s="537"/>
      <c r="CS43" s="537"/>
      <c r="CT43" s="537"/>
      <c r="CU43" s="537"/>
      <c r="CV43" s="537"/>
      <c r="CW43" s="537"/>
    </row>
    <row r="44" spans="1:101" customFormat="1" ht="6.75" customHeight="1">
      <c r="A44" s="671"/>
      <c r="B44" s="11"/>
      <c r="C44" s="11"/>
      <c r="D44" s="11"/>
      <c r="E44" s="11"/>
      <c r="F44" s="11"/>
      <c r="G44" s="11"/>
      <c r="H44" s="11"/>
      <c r="I44" s="11"/>
      <c r="J44" s="11"/>
      <c r="K44" s="11"/>
      <c r="L44" s="11"/>
      <c r="M44" s="11"/>
      <c r="N44" s="11"/>
      <c r="O44" s="11"/>
      <c r="P44" s="11"/>
      <c r="Q44" s="11"/>
      <c r="R44" s="11"/>
      <c r="S44" s="205"/>
      <c r="T44" s="378"/>
      <c r="U44" s="378"/>
      <c r="V44" s="378"/>
      <c r="W44" s="172"/>
      <c r="X44" s="172"/>
      <c r="Y44" s="173"/>
      <c r="AD44" s="537"/>
      <c r="AE44" s="537"/>
      <c r="AF44" s="537"/>
      <c r="AG44" s="537"/>
      <c r="AH44" s="537"/>
      <c r="AI44" s="537"/>
      <c r="AJ44" s="710"/>
      <c r="AK44" s="710"/>
      <c r="AL44" s="710"/>
      <c r="AM44" s="710"/>
      <c r="AN44" s="710"/>
      <c r="AO44" s="710"/>
      <c r="AP44" s="710"/>
      <c r="AQ44" s="710"/>
      <c r="AR44" s="710"/>
      <c r="AS44" s="710"/>
      <c r="AT44" s="710"/>
      <c r="AU44" s="710"/>
      <c r="AV44" s="710"/>
      <c r="AW44" s="710"/>
      <c r="AX44" s="710"/>
      <c r="AY44" s="710"/>
      <c r="AZ44" s="710"/>
      <c r="BA44" s="710"/>
      <c r="BB44" s="710"/>
      <c r="BC44" s="710"/>
      <c r="BD44" s="710"/>
      <c r="BE44" s="710"/>
      <c r="BF44" s="710"/>
      <c r="BG44" s="710"/>
      <c r="BH44" s="710"/>
      <c r="BI44" s="710"/>
      <c r="BJ44" s="710"/>
      <c r="BK44" s="710"/>
      <c r="BL44" s="710"/>
      <c r="BM44" s="710"/>
      <c r="BN44" s="710"/>
      <c r="BO44" s="710"/>
      <c r="BP44" s="710"/>
      <c r="BQ44" s="710"/>
      <c r="BR44" s="710"/>
      <c r="BS44" s="710"/>
      <c r="BT44" s="710"/>
      <c r="BU44" s="710"/>
      <c r="BV44" s="710"/>
      <c r="BW44" s="710"/>
      <c r="BX44" s="710"/>
      <c r="BY44" s="710"/>
      <c r="BZ44" s="710"/>
      <c r="CA44" s="710"/>
      <c r="CB44" s="710"/>
      <c r="CC44" s="710"/>
      <c r="CD44" s="710"/>
      <c r="CE44" s="710"/>
      <c r="CF44" s="710"/>
      <c r="CG44" s="710"/>
      <c r="CH44" s="710"/>
      <c r="CI44" s="710"/>
      <c r="CJ44" s="710"/>
      <c r="CK44" s="710"/>
      <c r="CL44" s="710"/>
      <c r="CM44" s="537"/>
      <c r="CN44" s="537"/>
      <c r="CO44" s="537"/>
      <c r="CP44" s="537"/>
      <c r="CQ44" s="537"/>
      <c r="CR44" s="537"/>
      <c r="CS44" s="537"/>
      <c r="CT44" s="537"/>
      <c r="CU44" s="537"/>
      <c r="CV44" s="537"/>
      <c r="CW44" s="537"/>
    </row>
    <row r="45" spans="1:101" ht="17.399999999999999" customHeight="1">
      <c r="A45" s="676"/>
      <c r="B45" s="205"/>
      <c r="C45" s="952" t="s">
        <v>361</v>
      </c>
      <c r="D45" s="952"/>
      <c r="E45" s="952"/>
      <c r="F45" s="952"/>
      <c r="G45" s="952"/>
      <c r="H45" s="952"/>
      <c r="I45" s="952"/>
      <c r="J45" s="952"/>
      <c r="K45" s="952"/>
      <c r="L45" s="952"/>
      <c r="M45" s="11"/>
      <c r="N45" s="11"/>
      <c r="O45" s="11"/>
      <c r="P45" s="11"/>
      <c r="Q45" s="11"/>
      <c r="R45" s="11"/>
      <c r="S45" s="205"/>
      <c r="T45" s="378"/>
      <c r="U45" s="378"/>
      <c r="V45" s="378"/>
      <c r="AG45" s="673"/>
    </row>
    <row r="46" spans="1:101" customFormat="1" ht="2.1" customHeight="1">
      <c r="A46" s="671"/>
      <c r="B46" s="11"/>
      <c r="C46" s="11"/>
      <c r="D46" s="11"/>
      <c r="E46" s="11"/>
      <c r="F46" s="11"/>
      <c r="G46" s="11"/>
      <c r="H46" s="11"/>
      <c r="I46" s="11"/>
      <c r="J46" s="11"/>
      <c r="K46" s="11"/>
      <c r="L46" s="11"/>
      <c r="M46" s="11"/>
      <c r="N46" s="11"/>
      <c r="O46" s="11"/>
      <c r="P46" s="11"/>
      <c r="Q46" s="11"/>
      <c r="R46" s="11"/>
      <c r="S46" s="205"/>
      <c r="T46" s="378"/>
      <c r="U46" s="378"/>
      <c r="V46" s="378"/>
      <c r="W46" s="172"/>
      <c r="X46" s="172"/>
      <c r="Y46" s="173"/>
      <c r="AD46" s="537"/>
      <c r="AE46" s="537"/>
      <c r="AF46" s="537"/>
      <c r="AG46" s="537"/>
      <c r="AH46" s="537"/>
      <c r="AI46" s="537"/>
      <c r="AJ46" s="710"/>
      <c r="AK46" s="710"/>
      <c r="AL46" s="710"/>
      <c r="AM46" s="710"/>
      <c r="AN46" s="710"/>
      <c r="AO46" s="710"/>
      <c r="AP46" s="710"/>
      <c r="AQ46" s="710"/>
      <c r="AR46" s="710"/>
      <c r="AS46" s="710"/>
      <c r="AT46" s="710"/>
      <c r="AU46" s="710"/>
      <c r="AV46" s="710"/>
      <c r="AW46" s="710"/>
      <c r="AX46" s="710"/>
      <c r="AY46" s="710"/>
      <c r="AZ46" s="710"/>
      <c r="BA46" s="710"/>
      <c r="BB46" s="710"/>
      <c r="BC46" s="710"/>
      <c r="BD46" s="710"/>
      <c r="BE46" s="710"/>
      <c r="BF46" s="710"/>
      <c r="BG46" s="710"/>
      <c r="BH46" s="710"/>
      <c r="BI46" s="710"/>
      <c r="BJ46" s="710"/>
      <c r="BK46" s="710"/>
      <c r="BL46" s="710"/>
      <c r="BM46" s="710"/>
      <c r="BN46" s="710"/>
      <c r="BO46" s="710"/>
      <c r="BP46" s="710"/>
      <c r="BQ46" s="710"/>
      <c r="BR46" s="710"/>
      <c r="BS46" s="710"/>
      <c r="BT46" s="710"/>
      <c r="BU46" s="710"/>
      <c r="BV46" s="710"/>
      <c r="BW46" s="710"/>
      <c r="BX46" s="710"/>
      <c r="BY46" s="710"/>
      <c r="BZ46" s="710"/>
      <c r="CA46" s="710"/>
      <c r="CB46" s="710"/>
      <c r="CC46" s="710"/>
      <c r="CD46" s="710"/>
      <c r="CE46" s="710"/>
      <c r="CF46" s="710"/>
      <c r="CG46" s="710"/>
      <c r="CH46" s="710"/>
      <c r="CI46" s="710"/>
      <c r="CJ46" s="710"/>
      <c r="CK46" s="710"/>
      <c r="CL46" s="710"/>
      <c r="CM46" s="537"/>
      <c r="CN46" s="537"/>
      <c r="CO46" s="537"/>
      <c r="CP46" s="537"/>
      <c r="CQ46" s="537"/>
      <c r="CR46" s="537"/>
      <c r="CS46" s="537"/>
      <c r="CT46" s="537"/>
      <c r="CU46" s="537"/>
      <c r="CV46" s="537"/>
      <c r="CW46" s="537"/>
    </row>
    <row r="47" spans="1:101" ht="17.399999999999999" customHeight="1">
      <c r="A47" s="676"/>
      <c r="B47" s="205"/>
      <c r="C47" s="958" t="s">
        <v>374</v>
      </c>
      <c r="D47" s="377"/>
      <c r="E47" s="950" t="s">
        <v>371</v>
      </c>
      <c r="F47" s="950"/>
      <c r="G47" s="378"/>
      <c r="H47" s="953"/>
      <c r="I47" s="390"/>
      <c r="J47" s="954">
        <f>IF(H47&gt;30%*'Simulador - Datos personales'!E13,"Límite superado",H47)</f>
        <v>0</v>
      </c>
      <c r="K47" s="954"/>
      <c r="L47" s="954"/>
      <c r="M47" s="11"/>
      <c r="N47" s="11"/>
      <c r="O47" s="11"/>
      <c r="P47" s="11"/>
      <c r="Q47" s="11"/>
      <c r="R47" s="11"/>
      <c r="S47" s="205"/>
      <c r="T47" s="379" t="s">
        <v>368</v>
      </c>
      <c r="U47" s="378"/>
      <c r="V47" s="379" t="s">
        <v>369</v>
      </c>
    </row>
    <row r="48" spans="1:101" ht="2.1" customHeight="1">
      <c r="A48" s="676"/>
      <c r="B48" s="205"/>
      <c r="C48" s="958"/>
      <c r="D48" s="377"/>
      <c r="E48" s="950"/>
      <c r="F48" s="950"/>
      <c r="G48" s="378"/>
      <c r="H48" s="953"/>
      <c r="I48" s="390"/>
      <c r="J48" s="954"/>
      <c r="K48" s="954"/>
      <c r="L48" s="954"/>
      <c r="M48" s="11"/>
      <c r="N48" s="11"/>
      <c r="O48" s="11"/>
      <c r="P48" s="11"/>
      <c r="Q48" s="11"/>
      <c r="R48" s="11"/>
      <c r="S48" s="205"/>
      <c r="T48"/>
      <c r="U48"/>
      <c r="V48"/>
    </row>
    <row r="49" spans="1:90" ht="17.399999999999999" customHeight="1">
      <c r="A49" s="676"/>
      <c r="B49" s="205"/>
      <c r="C49" s="958"/>
      <c r="D49" s="377"/>
      <c r="E49" s="950"/>
      <c r="F49" s="950"/>
      <c r="G49" s="378"/>
      <c r="H49" s="953"/>
      <c r="I49" s="383"/>
      <c r="J49" s="954"/>
      <c r="K49" s="954"/>
      <c r="L49" s="954"/>
      <c r="M49" s="11"/>
      <c r="N49" s="11"/>
      <c r="O49" s="11"/>
      <c r="P49" s="11"/>
      <c r="Q49" s="11"/>
      <c r="R49" s="11"/>
      <c r="S49" s="205"/>
      <c r="T49" s="391">
        <f ca="1">IF(H47&gt;30%*'Simulador - Datos personales'!E13,"Límite superado",'Aportaciones Flex'!J5)</f>
        <v>4988.1230914451753</v>
      </c>
      <c r="U49" s="378"/>
      <c r="V49" s="391">
        <f ca="1">IF(H47&gt;30%*'Simulador - Datos personales'!E13,"Límite superado",T49/'Renta Vitalicia'!$F$5/12)</f>
        <v>19.937776003111939</v>
      </c>
      <c r="AG49" s="537"/>
    </row>
    <row r="50" spans="1:90" ht="2.1" customHeight="1">
      <c r="A50" s="676"/>
      <c r="B50" s="205"/>
      <c r="C50" s="958"/>
      <c r="D50" s="377"/>
      <c r="E50" s="950"/>
      <c r="F50" s="950"/>
      <c r="G50" s="378"/>
      <c r="H50" s="953"/>
      <c r="I50" s="383"/>
      <c r="J50" s="954"/>
      <c r="K50" s="954"/>
      <c r="L50" s="954"/>
      <c r="M50" s="11"/>
      <c r="N50" s="11"/>
      <c r="O50" s="11"/>
      <c r="P50" s="11"/>
      <c r="Q50" s="11"/>
      <c r="R50" s="11"/>
      <c r="S50" s="205"/>
      <c r="T50"/>
      <c r="U50"/>
      <c r="V50"/>
      <c r="AG50" s="537"/>
    </row>
    <row r="51" spans="1:90" ht="17.399999999999999" customHeight="1">
      <c r="A51" s="676"/>
      <c r="B51" s="205"/>
      <c r="C51" s="958"/>
      <c r="D51" s="377"/>
      <c r="E51" s="950"/>
      <c r="F51" s="950"/>
      <c r="G51" s="378"/>
      <c r="H51" s="953"/>
      <c r="I51" s="383"/>
      <c r="J51" s="954"/>
      <c r="K51" s="954"/>
      <c r="L51" s="954"/>
      <c r="M51" s="11"/>
      <c r="N51" s="11"/>
      <c r="O51" s="11"/>
      <c r="P51" s="11"/>
      <c r="Q51" s="11"/>
      <c r="R51" s="11"/>
      <c r="S51" s="205"/>
      <c r="T51" s="957" t="s">
        <v>305</v>
      </c>
      <c r="U51" s="957"/>
      <c r="V51" s="957"/>
      <c r="AG51" s="537"/>
    </row>
    <row r="52" spans="1:90" ht="2.1" customHeight="1">
      <c r="A52" s="676"/>
      <c r="B52" s="205"/>
      <c r="C52" s="958"/>
      <c r="D52"/>
      <c r="E52"/>
      <c r="F52"/>
      <c r="G52"/>
      <c r="H52"/>
      <c r="I52"/>
      <c r="J52"/>
      <c r="K52"/>
      <c r="L52"/>
      <c r="M52"/>
      <c r="N52"/>
      <c r="O52" s="11"/>
      <c r="P52" s="11"/>
      <c r="Q52" s="11"/>
      <c r="R52" s="11"/>
      <c r="S52" s="205"/>
      <c r="T52"/>
      <c r="U52"/>
      <c r="V52"/>
      <c r="AG52" s="537"/>
    </row>
    <row r="53" spans="1:90" ht="17.399999999999999" customHeight="1">
      <c r="A53" s="676"/>
      <c r="B53" s="205"/>
      <c r="C53" s="958"/>
      <c r="D53" s="394"/>
      <c r="E53" s="955" t="s">
        <v>1229</v>
      </c>
      <c r="F53" s="955"/>
      <c r="G53" s="955"/>
      <c r="H53" s="955"/>
      <c r="I53" s="392"/>
      <c r="J53" s="964">
        <f>'Aportaciones Flex'!Q4</f>
        <v>3200</v>
      </c>
      <c r="K53" s="964"/>
      <c r="L53" s="964"/>
      <c r="M53" s="11"/>
      <c r="N53" s="11"/>
      <c r="O53" s="11"/>
      <c r="P53" s="11"/>
      <c r="Q53" s="11"/>
      <c r="R53" s="11"/>
      <c r="S53" s="205"/>
      <c r="T53" s="956">
        <f ca="1">IFERROR(V49/($F$78/12),"-")</f>
        <v>6.3169907228003926E-4</v>
      </c>
      <c r="U53" s="956"/>
      <c r="V53" s="956"/>
      <c r="AG53" s="537"/>
    </row>
    <row r="54" spans="1:90" ht="8.1" customHeight="1">
      <c r="A54" s="676"/>
      <c r="B54" s="205"/>
      <c r="C54" s="11"/>
      <c r="D54" s="11"/>
      <c r="E54" s="11"/>
      <c r="F54" s="11"/>
      <c r="G54" s="11"/>
      <c r="H54" s="11"/>
      <c r="I54" s="11"/>
      <c r="J54"/>
      <c r="K54"/>
      <c r="L54"/>
      <c r="M54"/>
      <c r="N54"/>
      <c r="O54"/>
      <c r="P54"/>
      <c r="Q54"/>
      <c r="R54"/>
      <c r="S54"/>
      <c r="T54"/>
      <c r="U54"/>
      <c r="V54"/>
      <c r="W54"/>
      <c r="X54"/>
      <c r="Y54" s="237"/>
      <c r="AG54" s="537"/>
    </row>
    <row r="55" spans="1:90" s="535" customFormat="1" ht="33.75" customHeight="1">
      <c r="A55" s="676"/>
      <c r="B55" s="676"/>
      <c r="C55" s="671"/>
      <c r="D55" s="671"/>
      <c r="E55" s="671"/>
      <c r="F55" s="671"/>
      <c r="G55" s="671"/>
      <c r="H55" s="671"/>
      <c r="I55" s="671"/>
      <c r="J55" s="671"/>
      <c r="K55" s="671"/>
      <c r="L55" s="671"/>
      <c r="M55" s="671"/>
      <c r="N55" s="671"/>
      <c r="O55" s="671"/>
      <c r="P55" s="671"/>
      <c r="Q55" s="671"/>
      <c r="R55" s="671"/>
      <c r="S55" s="671"/>
      <c r="T55" s="671"/>
      <c r="U55" s="671"/>
      <c r="V55" s="671"/>
      <c r="W55" s="683"/>
      <c r="X55" s="683"/>
      <c r="Y55" s="676"/>
      <c r="AF55" s="674"/>
      <c r="AJ55" s="708"/>
      <c r="AK55" s="708"/>
      <c r="AL55" s="708"/>
      <c r="AM55" s="708"/>
      <c r="AN55" s="708"/>
      <c r="AO55" s="708"/>
      <c r="AP55" s="708"/>
      <c r="AQ55" s="708"/>
      <c r="AR55" s="708"/>
      <c r="AS55" s="708"/>
      <c r="AT55" s="708"/>
      <c r="AU55" s="708"/>
      <c r="AV55" s="708"/>
      <c r="AW55" s="708"/>
      <c r="AX55" s="708"/>
      <c r="AY55" s="708"/>
      <c r="AZ55" s="708"/>
      <c r="BA55" s="708"/>
      <c r="BB55" s="708"/>
      <c r="BC55" s="708"/>
      <c r="BD55" s="708"/>
      <c r="BE55" s="708"/>
      <c r="BF55" s="708"/>
      <c r="BG55" s="708"/>
      <c r="BH55" s="708"/>
      <c r="BI55" s="708"/>
      <c r="BJ55" s="708"/>
      <c r="BK55" s="708"/>
      <c r="BL55" s="708"/>
      <c r="BM55" s="708"/>
      <c r="BN55" s="708"/>
      <c r="BO55" s="708"/>
      <c r="BP55" s="708"/>
      <c r="BQ55" s="708"/>
      <c r="BR55" s="708"/>
      <c r="BS55" s="708"/>
      <c r="BT55" s="708"/>
      <c r="BU55" s="708"/>
      <c r="BV55" s="708"/>
      <c r="BW55" s="708"/>
      <c r="BX55" s="708"/>
      <c r="BY55" s="708"/>
      <c r="BZ55" s="708"/>
      <c r="CA55" s="708"/>
      <c r="CB55" s="708"/>
      <c r="CC55" s="708"/>
      <c r="CD55" s="708"/>
      <c r="CE55" s="708"/>
      <c r="CF55" s="708"/>
      <c r="CG55" s="708"/>
      <c r="CH55" s="708"/>
      <c r="CI55" s="708"/>
      <c r="CJ55" s="708"/>
      <c r="CK55" s="708"/>
      <c r="CL55" s="708"/>
    </row>
    <row r="56" spans="1:90" s="535" customFormat="1" ht="6" customHeight="1">
      <c r="A56" s="676"/>
      <c r="B56" s="537"/>
      <c r="C56" s="537"/>
      <c r="D56" s="537"/>
      <c r="E56" s="537"/>
      <c r="F56" s="537"/>
      <c r="G56" s="537"/>
      <c r="H56" s="537"/>
      <c r="I56" s="537"/>
      <c r="J56" s="537"/>
      <c r="K56" s="537"/>
      <c r="L56" s="537"/>
      <c r="M56" s="537"/>
      <c r="N56" s="537"/>
      <c r="O56" s="537"/>
      <c r="P56" s="537"/>
      <c r="Q56" s="537"/>
      <c r="R56" s="537"/>
      <c r="S56" s="537"/>
      <c r="T56" s="537"/>
      <c r="U56" s="537"/>
      <c r="V56" s="537"/>
      <c r="W56" s="537"/>
      <c r="X56" s="683"/>
      <c r="Y56" s="676"/>
      <c r="AJ56" s="708"/>
      <c r="AK56" s="708"/>
      <c r="AL56" s="708"/>
      <c r="AM56" s="708"/>
      <c r="AN56" s="708"/>
      <c r="AO56" s="708"/>
      <c r="AP56" s="708"/>
      <c r="AQ56" s="708"/>
      <c r="AR56" s="708"/>
      <c r="AS56" s="708"/>
      <c r="AT56" s="708"/>
      <c r="AU56" s="708"/>
      <c r="AV56" s="708"/>
      <c r="AW56" s="708"/>
      <c r="AX56" s="708"/>
      <c r="AY56" s="708"/>
      <c r="AZ56" s="708"/>
      <c r="BA56" s="708"/>
      <c r="BB56" s="708"/>
      <c r="BC56" s="708"/>
      <c r="BD56" s="708"/>
      <c r="BE56" s="708"/>
      <c r="BF56" s="708"/>
      <c r="BG56" s="708"/>
      <c r="BH56" s="708"/>
      <c r="BI56" s="708"/>
      <c r="BJ56" s="708"/>
      <c r="BK56" s="708"/>
      <c r="BL56" s="708"/>
      <c r="BM56" s="708"/>
      <c r="BN56" s="708"/>
      <c r="BO56" s="708"/>
      <c r="BP56" s="708"/>
      <c r="BQ56" s="708"/>
      <c r="BR56" s="708"/>
      <c r="BS56" s="708"/>
      <c r="BT56" s="708"/>
      <c r="BU56" s="708"/>
      <c r="BV56" s="708"/>
      <c r="BW56" s="708"/>
      <c r="BX56" s="708"/>
      <c r="BY56" s="708"/>
      <c r="BZ56" s="708"/>
      <c r="CA56" s="708"/>
      <c r="CB56" s="708"/>
      <c r="CC56" s="708"/>
      <c r="CD56" s="708"/>
      <c r="CE56" s="708"/>
      <c r="CF56" s="708"/>
      <c r="CG56" s="708"/>
      <c r="CH56" s="708"/>
      <c r="CI56" s="708"/>
      <c r="CJ56" s="708"/>
      <c r="CK56" s="708"/>
      <c r="CL56" s="708"/>
    </row>
    <row r="57" spans="1:90" s="535" customFormat="1" ht="24" customHeight="1">
      <c r="A57" s="676"/>
      <c r="B57" s="537"/>
      <c r="C57" s="537"/>
      <c r="D57" s="537"/>
      <c r="F57" s="694"/>
      <c r="G57" s="694"/>
      <c r="H57" s="694"/>
      <c r="I57" s="694"/>
      <c r="J57" s="694"/>
      <c r="K57" s="694"/>
      <c r="L57" s="694"/>
      <c r="M57" s="694"/>
      <c r="N57" s="691"/>
      <c r="O57" s="691"/>
      <c r="P57" s="691"/>
      <c r="Q57" s="691"/>
      <c r="R57" s="691"/>
      <c r="S57" s="691"/>
      <c r="T57" s="691"/>
      <c r="U57" s="537"/>
      <c r="V57" s="537"/>
      <c r="W57" s="537"/>
      <c r="X57" s="683"/>
      <c r="Y57" s="676"/>
      <c r="AJ57" s="708"/>
      <c r="AK57" s="708"/>
      <c r="AL57" s="708"/>
      <c r="AM57" s="708"/>
      <c r="AN57" s="708"/>
      <c r="AO57" s="708"/>
      <c r="AP57" s="708"/>
      <c r="AQ57" s="708"/>
      <c r="AR57" s="708"/>
      <c r="AS57" s="708"/>
      <c r="AT57" s="708"/>
      <c r="AU57" s="708"/>
      <c r="AV57" s="708"/>
      <c r="AW57" s="708"/>
      <c r="AX57" s="708"/>
      <c r="AY57" s="708"/>
      <c r="AZ57" s="708"/>
      <c r="BA57" s="708"/>
      <c r="BB57" s="708"/>
      <c r="BC57" s="708"/>
      <c r="BD57" s="708"/>
      <c r="BE57" s="708"/>
      <c r="BF57" s="708"/>
      <c r="BG57" s="708"/>
      <c r="BH57" s="708"/>
      <c r="BI57" s="708"/>
      <c r="BJ57" s="708"/>
      <c r="BK57" s="708"/>
      <c r="BL57" s="708"/>
      <c r="BM57" s="708"/>
      <c r="BN57" s="708"/>
      <c r="BO57" s="708"/>
      <c r="BP57" s="708"/>
      <c r="BQ57" s="708"/>
      <c r="BR57" s="708"/>
      <c r="BS57" s="708"/>
      <c r="BT57" s="708"/>
      <c r="BU57" s="708"/>
      <c r="BV57" s="708"/>
      <c r="BW57" s="708"/>
      <c r="BX57" s="708"/>
      <c r="BY57" s="708"/>
      <c r="BZ57" s="708"/>
      <c r="CA57" s="708"/>
      <c r="CB57" s="708"/>
      <c r="CC57" s="708"/>
      <c r="CD57" s="708"/>
      <c r="CE57" s="708"/>
      <c r="CF57" s="708"/>
      <c r="CG57" s="708"/>
      <c r="CH57" s="708"/>
      <c r="CI57" s="708"/>
      <c r="CJ57" s="708"/>
      <c r="CK57" s="708"/>
      <c r="CL57" s="708"/>
    </row>
    <row r="58" spans="1:90" s="535" customFormat="1" ht="9" customHeight="1">
      <c r="A58" s="676"/>
      <c r="B58" s="537"/>
      <c r="C58" s="537"/>
      <c r="D58" s="537"/>
      <c r="E58" s="694"/>
      <c r="F58" s="694"/>
      <c r="G58" s="694"/>
      <c r="H58" s="694"/>
      <c r="I58" s="694"/>
      <c r="J58" s="694"/>
      <c r="K58" s="694"/>
      <c r="L58" s="694"/>
      <c r="M58" s="694"/>
      <c r="N58" s="691"/>
      <c r="O58" s="691"/>
      <c r="P58" s="691"/>
      <c r="Q58" s="691"/>
      <c r="R58" s="691"/>
      <c r="S58" s="691"/>
      <c r="T58" s="691"/>
      <c r="U58" s="537"/>
      <c r="V58" s="537"/>
      <c r="W58" s="537"/>
      <c r="X58" s="683"/>
      <c r="Y58" s="676"/>
      <c r="AJ58" s="708"/>
      <c r="AK58" s="708"/>
      <c r="AL58" s="708"/>
      <c r="AM58" s="708"/>
      <c r="AN58" s="708"/>
      <c r="AO58" s="708"/>
      <c r="AP58" s="708"/>
      <c r="AQ58" s="708"/>
      <c r="AR58" s="708"/>
      <c r="AS58" s="708"/>
      <c r="AT58" s="708"/>
      <c r="AU58" s="708"/>
      <c r="AV58" s="708"/>
      <c r="AW58" s="708"/>
      <c r="AX58" s="708"/>
      <c r="AY58" s="708"/>
      <c r="AZ58" s="708"/>
      <c r="BA58" s="708"/>
      <c r="BB58" s="708"/>
      <c r="BC58" s="708"/>
      <c r="BD58" s="708"/>
      <c r="BE58" s="708"/>
      <c r="BF58" s="708"/>
      <c r="BG58" s="708"/>
      <c r="BH58" s="708"/>
      <c r="BI58" s="708"/>
      <c r="BJ58" s="708"/>
      <c r="BK58" s="708"/>
      <c r="BL58" s="708"/>
      <c r="BM58" s="708"/>
      <c r="BN58" s="708"/>
      <c r="BO58" s="708"/>
      <c r="BP58" s="708"/>
      <c r="BQ58" s="708"/>
      <c r="BR58" s="708"/>
      <c r="BS58" s="708"/>
      <c r="BT58" s="708"/>
      <c r="BU58" s="708"/>
      <c r="BV58" s="708"/>
      <c r="BW58" s="708"/>
      <c r="BX58" s="708"/>
      <c r="BY58" s="708"/>
      <c r="BZ58" s="708"/>
      <c r="CA58" s="708"/>
      <c r="CB58" s="708"/>
      <c r="CC58" s="708"/>
      <c r="CD58" s="708"/>
      <c r="CE58" s="708"/>
      <c r="CF58" s="708"/>
      <c r="CG58" s="708"/>
      <c r="CH58" s="708"/>
      <c r="CI58" s="708"/>
      <c r="CJ58" s="708"/>
      <c r="CK58" s="708"/>
      <c r="CL58" s="708"/>
    </row>
    <row r="59" spans="1:90" s="742" customFormat="1" ht="39" customHeight="1">
      <c r="A59" s="735"/>
      <c r="B59" s="736"/>
      <c r="C59" s="736"/>
      <c r="D59" s="736"/>
      <c r="E59" s="737" t="s">
        <v>466</v>
      </c>
      <c r="F59" s="738"/>
      <c r="G59" s="738"/>
      <c r="H59" s="739"/>
      <c r="I59" s="739"/>
      <c r="J59" s="739"/>
      <c r="K59" s="739"/>
      <c r="L59" s="739"/>
      <c r="M59" s="739"/>
      <c r="N59" s="740"/>
      <c r="O59" s="740"/>
      <c r="P59" s="740"/>
      <c r="Q59" s="740"/>
      <c r="R59" s="740"/>
      <c r="S59" s="740"/>
      <c r="T59" s="740"/>
      <c r="U59" s="736"/>
      <c r="V59" s="736"/>
      <c r="W59" s="736"/>
      <c r="X59" s="741"/>
      <c r="Y59" s="735"/>
      <c r="AJ59" s="743"/>
      <c r="AK59" s="743"/>
      <c r="AL59" s="743"/>
      <c r="AM59" s="743"/>
      <c r="AN59" s="743"/>
      <c r="AO59" s="743"/>
      <c r="AP59" s="743"/>
      <c r="AQ59" s="743"/>
      <c r="AR59" s="743"/>
      <c r="AS59" s="743"/>
      <c r="AT59" s="743"/>
      <c r="AU59" s="743"/>
      <c r="AV59" s="743"/>
      <c r="AW59" s="743"/>
      <c r="AX59" s="743"/>
      <c r="AY59" s="743"/>
      <c r="AZ59" s="743"/>
      <c r="BA59" s="743"/>
      <c r="BB59" s="743"/>
      <c r="BC59" s="743"/>
      <c r="BD59" s="743"/>
      <c r="BE59" s="743"/>
      <c r="BF59" s="743"/>
      <c r="BG59" s="743"/>
      <c r="BH59" s="743"/>
      <c r="BI59" s="743"/>
      <c r="BJ59" s="743"/>
      <c r="BK59" s="743"/>
      <c r="BL59" s="743"/>
      <c r="BM59" s="743"/>
      <c r="BN59" s="743"/>
      <c r="BO59" s="743"/>
      <c r="BP59" s="743"/>
      <c r="BQ59" s="743"/>
      <c r="BR59" s="743"/>
      <c r="BS59" s="743"/>
      <c r="BT59" s="743"/>
      <c r="BU59" s="743"/>
      <c r="BV59" s="743"/>
      <c r="BW59" s="743"/>
      <c r="BX59" s="743"/>
      <c r="BY59" s="743"/>
      <c r="BZ59" s="743"/>
      <c r="CA59" s="743"/>
      <c r="CB59" s="743"/>
      <c r="CC59" s="743"/>
      <c r="CD59" s="743"/>
      <c r="CE59" s="743"/>
      <c r="CF59" s="743"/>
      <c r="CG59" s="743"/>
      <c r="CH59" s="743"/>
      <c r="CI59" s="743"/>
      <c r="CJ59" s="743"/>
      <c r="CK59" s="743"/>
      <c r="CL59" s="743"/>
    </row>
    <row r="60" spans="1:90" s="535" customFormat="1" ht="14.25" customHeight="1">
      <c r="A60" s="676"/>
      <c r="B60" s="537"/>
      <c r="C60" s="537"/>
      <c r="D60" s="537"/>
      <c r="E60" s="692" t="s">
        <v>582</v>
      </c>
      <c r="F60" s="172"/>
      <c r="G60" s="172"/>
      <c r="H60" s="694"/>
      <c r="I60" s="694"/>
      <c r="J60" s="694"/>
      <c r="K60" s="694"/>
      <c r="L60" s="694"/>
      <c r="M60" s="694"/>
      <c r="N60" s="691"/>
      <c r="O60" s="691"/>
      <c r="P60" s="691"/>
      <c r="Q60" s="691"/>
      <c r="R60" s="691"/>
      <c r="S60" s="691"/>
      <c r="T60" s="691"/>
      <c r="U60" s="537"/>
      <c r="V60" s="537"/>
      <c r="W60" s="537"/>
      <c r="X60" s="683"/>
      <c r="Y60" s="676"/>
      <c r="AJ60" s="708"/>
      <c r="AK60" s="708"/>
      <c r="AL60" s="708"/>
      <c r="AM60" s="708"/>
      <c r="AN60" s="708"/>
      <c r="AO60" s="708"/>
      <c r="AP60" s="708"/>
      <c r="AQ60" s="708"/>
      <c r="AR60" s="708"/>
      <c r="AS60" s="708"/>
      <c r="AT60" s="708"/>
      <c r="AU60" s="708"/>
      <c r="AV60" s="708"/>
      <c r="AW60" s="708"/>
      <c r="AX60" s="708"/>
      <c r="AY60" s="708"/>
      <c r="AZ60" s="708"/>
      <c r="BA60" s="708"/>
      <c r="BB60" s="708"/>
      <c r="BC60" s="708"/>
      <c r="BD60" s="708"/>
      <c r="BE60" s="708"/>
      <c r="BF60" s="708"/>
      <c r="BG60" s="708"/>
      <c r="BH60" s="708"/>
      <c r="BI60" s="708"/>
      <c r="BJ60" s="708"/>
      <c r="BK60" s="708"/>
      <c r="BL60" s="708"/>
      <c r="BM60" s="708"/>
      <c r="BN60" s="708"/>
      <c r="BO60" s="708"/>
      <c r="BP60" s="708"/>
      <c r="BQ60" s="708"/>
      <c r="BR60" s="708"/>
      <c r="BS60" s="708"/>
      <c r="BT60" s="708"/>
      <c r="BU60" s="708"/>
      <c r="BV60" s="708"/>
      <c r="BW60" s="708"/>
      <c r="BX60" s="708"/>
      <c r="BY60" s="708"/>
      <c r="BZ60" s="708"/>
      <c r="CA60" s="708"/>
      <c r="CB60" s="708"/>
      <c r="CC60" s="708"/>
      <c r="CD60" s="708"/>
      <c r="CE60" s="708"/>
      <c r="CF60" s="708"/>
      <c r="CG60" s="708"/>
      <c r="CH60" s="708"/>
      <c r="CI60" s="708"/>
      <c r="CJ60" s="708"/>
      <c r="CK60" s="708"/>
      <c r="CL60" s="708"/>
    </row>
    <row r="61" spans="1:90" ht="17.399999999999999">
      <c r="A61" s="676"/>
      <c r="B61"/>
      <c r="C61"/>
      <c r="D61"/>
      <c r="E61" s="237" t="s">
        <v>442</v>
      </c>
      <c r="F61" s="237"/>
      <c r="H61" s="694"/>
      <c r="I61" s="694"/>
      <c r="J61" s="694"/>
      <c r="K61" s="694"/>
      <c r="L61" s="694"/>
      <c r="M61" s="694"/>
      <c r="N61" s="694"/>
      <c r="O61" s="694"/>
      <c r="P61" s="694"/>
      <c r="Q61" s="694"/>
      <c r="R61" s="694"/>
      <c r="S61" s="694"/>
      <c r="T61" s="694"/>
      <c r="U61"/>
      <c r="V61"/>
      <c r="W61"/>
      <c r="X61" s="292"/>
      <c r="Y61" s="237"/>
    </row>
    <row r="62" spans="1:90" ht="9.75" customHeight="1">
      <c r="A62" s="676"/>
      <c r="B62"/>
      <c r="C62"/>
      <c r="D62"/>
      <c r="E62" s="535"/>
      <c r="F62" s="535"/>
      <c r="G62" s="535"/>
      <c r="H62" s="691"/>
      <c r="I62" s="691"/>
      <c r="J62" s="691"/>
      <c r="K62" s="691"/>
      <c r="L62" s="691"/>
      <c r="M62" s="691"/>
      <c r="N62" s="694"/>
      <c r="O62" s="694"/>
      <c r="P62" s="694"/>
      <c r="Q62" s="694"/>
      <c r="R62" s="694"/>
      <c r="S62" s="694"/>
      <c r="T62" s="694"/>
      <c r="U62"/>
      <c r="V62"/>
      <c r="W62"/>
      <c r="X62" s="292"/>
      <c r="Y62" s="237"/>
    </row>
    <row r="63" spans="1:90" ht="17.399999999999999">
      <c r="A63" s="676"/>
      <c r="B63"/>
      <c r="C63"/>
      <c r="D63"/>
      <c r="E63" s="693" t="s">
        <v>566</v>
      </c>
      <c r="F63" s="676"/>
      <c r="G63" s="676"/>
      <c r="H63" s="695"/>
      <c r="I63" s="695"/>
      <c r="J63" s="696"/>
      <c r="K63" s="696"/>
      <c r="L63" s="697"/>
      <c r="M63" s="695"/>
      <c r="N63" s="694"/>
      <c r="O63" s="694"/>
      <c r="P63" s="694"/>
      <c r="Q63" s="694"/>
      <c r="R63" s="694"/>
      <c r="S63" s="694"/>
      <c r="T63" s="694"/>
      <c r="U63"/>
      <c r="V63"/>
      <c r="W63"/>
      <c r="X63" s="292"/>
      <c r="Y63" s="237"/>
    </row>
    <row r="64" spans="1:90" ht="17.399999999999999">
      <c r="A64" s="676"/>
      <c r="B64"/>
      <c r="C64"/>
      <c r="D64"/>
      <c r="E64" s="721" t="s">
        <v>562</v>
      </c>
      <c r="F64" s="195" t="s">
        <v>583</v>
      </c>
      <c r="G64" s="525"/>
      <c r="H64" s="695"/>
      <c r="I64" s="695"/>
      <c r="J64" s="696"/>
      <c r="K64" s="696"/>
      <c r="L64" s="697"/>
      <c r="M64" s="695"/>
      <c r="N64" s="694"/>
      <c r="O64" s="694"/>
      <c r="P64" s="694"/>
      <c r="Q64" s="694"/>
      <c r="R64" s="694"/>
      <c r="S64" s="694"/>
      <c r="T64" s="694"/>
      <c r="U64"/>
      <c r="V64"/>
      <c r="W64"/>
      <c r="X64" s="292"/>
      <c r="Y64" s="237"/>
    </row>
    <row r="65" spans="1:90" ht="17.399999999999999">
      <c r="A65" s="676"/>
      <c r="B65"/>
      <c r="C65"/>
      <c r="D65"/>
      <c r="E65" s="727" t="s">
        <v>564</v>
      </c>
      <c r="F65" s="728"/>
      <c r="G65" s="744"/>
      <c r="H65" s="695"/>
      <c r="I65" s="695"/>
      <c r="J65" s="695"/>
      <c r="K65" s="695"/>
      <c r="L65" s="695"/>
      <c r="M65" s="695"/>
      <c r="N65" s="694"/>
      <c r="O65" s="694"/>
      <c r="P65" s="694"/>
      <c r="Q65" s="694"/>
      <c r="R65" s="694"/>
      <c r="S65" s="694"/>
      <c r="T65" s="694"/>
      <c r="U65"/>
      <c r="V65"/>
      <c r="W65"/>
      <c r="X65" s="292"/>
      <c r="Y65" s="237"/>
    </row>
    <row r="66" spans="1:90" s="535" customFormat="1" ht="17.399999999999999">
      <c r="A66" s="676"/>
      <c r="B66" s="537"/>
      <c r="C66" s="537"/>
      <c r="D66" s="537"/>
      <c r="E66" s="727" t="s">
        <v>565</v>
      </c>
      <c r="F66" s="525"/>
      <c r="G66" s="525"/>
      <c r="H66" s="695"/>
      <c r="I66" s="695"/>
      <c r="J66" s="695"/>
      <c r="K66" s="695"/>
      <c r="L66" s="695"/>
      <c r="M66" s="695"/>
      <c r="N66" s="691"/>
      <c r="O66" s="691"/>
      <c r="P66" s="691"/>
      <c r="Q66" s="691"/>
      <c r="R66" s="691"/>
      <c r="S66" s="691"/>
      <c r="T66" s="691"/>
      <c r="U66" s="537"/>
      <c r="V66" s="537"/>
      <c r="W66" s="537"/>
      <c r="X66" s="683"/>
      <c r="Y66" s="676"/>
      <c r="AJ66" s="708"/>
      <c r="AK66" s="708"/>
      <c r="AL66" s="708"/>
      <c r="AM66" s="708"/>
      <c r="AN66" s="708"/>
      <c r="AO66" s="708"/>
      <c r="AP66" s="708"/>
      <c r="AQ66" s="708"/>
      <c r="AR66" s="708"/>
      <c r="AS66" s="708"/>
      <c r="AT66" s="708"/>
      <c r="AU66" s="708"/>
      <c r="AV66" s="708"/>
      <c r="AW66" s="708"/>
      <c r="AX66" s="708"/>
      <c r="AY66" s="708"/>
      <c r="AZ66" s="708"/>
      <c r="BA66" s="708"/>
      <c r="BB66" s="708"/>
      <c r="BC66" s="708"/>
      <c r="BD66" s="708"/>
      <c r="BE66" s="708"/>
      <c r="BF66" s="708"/>
      <c r="BG66" s="708"/>
      <c r="BH66" s="708"/>
      <c r="BI66" s="708"/>
      <c r="BJ66" s="708"/>
      <c r="BK66" s="708"/>
      <c r="BL66" s="708"/>
      <c r="BM66" s="708"/>
      <c r="BN66" s="708"/>
      <c r="BO66" s="708"/>
      <c r="BP66" s="708"/>
      <c r="BQ66" s="708"/>
      <c r="BR66" s="708"/>
      <c r="BS66" s="708"/>
      <c r="BT66" s="708"/>
      <c r="BU66" s="708"/>
      <c r="BV66" s="708"/>
      <c r="BW66" s="708"/>
      <c r="BX66" s="708"/>
      <c r="BY66" s="708"/>
      <c r="BZ66" s="708"/>
      <c r="CA66" s="708"/>
      <c r="CB66" s="708"/>
      <c r="CC66" s="708"/>
      <c r="CD66" s="708"/>
      <c r="CE66" s="708"/>
      <c r="CF66" s="708"/>
      <c r="CG66" s="708"/>
      <c r="CH66" s="708"/>
      <c r="CI66" s="708"/>
      <c r="CJ66" s="708"/>
      <c r="CK66" s="708"/>
      <c r="CL66" s="708"/>
    </row>
    <row r="67" spans="1:90" s="535" customFormat="1" ht="17.399999999999999">
      <c r="A67" s="676"/>
      <c r="B67" s="684"/>
      <c r="C67" s="685"/>
      <c r="D67" s="685"/>
      <c r="E67" s="525"/>
      <c r="F67" s="525" t="s">
        <v>613</v>
      </c>
      <c r="G67" s="525"/>
      <c r="H67" s="695"/>
      <c r="I67" s="695"/>
      <c r="J67" s="695"/>
      <c r="K67" s="695"/>
      <c r="L67" s="695"/>
      <c r="M67" s="695"/>
      <c r="N67" s="695"/>
      <c r="O67" s="695"/>
      <c r="P67" s="695"/>
      <c r="Q67" s="695"/>
      <c r="R67" s="695"/>
      <c r="S67" s="695"/>
      <c r="T67" s="695"/>
      <c r="U67" s="671"/>
      <c r="V67" s="671"/>
      <c r="W67" s="683"/>
      <c r="X67" s="683"/>
      <c r="Y67" s="676"/>
      <c r="AJ67" s="708"/>
      <c r="AK67" s="708"/>
      <c r="AL67" s="708"/>
      <c r="AM67" s="708"/>
      <c r="AN67" s="708"/>
      <c r="AO67" s="708"/>
      <c r="AP67" s="708"/>
      <c r="AQ67" s="708"/>
      <c r="AR67" s="708"/>
      <c r="AS67" s="708"/>
      <c r="AT67" s="708"/>
      <c r="AU67" s="708"/>
      <c r="AV67" s="708"/>
      <c r="AW67" s="708"/>
      <c r="AX67" s="708"/>
      <c r="AY67" s="708"/>
      <c r="AZ67" s="708"/>
      <c r="BA67" s="708"/>
      <c r="BB67" s="708"/>
      <c r="BC67" s="708"/>
      <c r="BD67" s="708"/>
      <c r="BE67" s="708"/>
      <c r="BF67" s="708"/>
      <c r="BG67" s="708"/>
      <c r="BH67" s="708"/>
      <c r="BI67" s="708"/>
      <c r="BJ67" s="708"/>
      <c r="BK67" s="708"/>
      <c r="BL67" s="708"/>
      <c r="BM67" s="708"/>
      <c r="BN67" s="708"/>
      <c r="BO67" s="708"/>
      <c r="BP67" s="708"/>
      <c r="BQ67" s="708"/>
      <c r="BR67" s="708"/>
      <c r="BS67" s="708"/>
      <c r="BT67" s="708"/>
      <c r="BU67" s="708"/>
      <c r="BV67" s="708"/>
      <c r="BW67" s="708"/>
      <c r="BX67" s="708"/>
      <c r="BY67" s="708"/>
      <c r="BZ67" s="708"/>
      <c r="CA67" s="708"/>
      <c r="CB67" s="708"/>
      <c r="CC67" s="708"/>
      <c r="CD67" s="708"/>
      <c r="CE67" s="708"/>
      <c r="CF67" s="708"/>
      <c r="CG67" s="708"/>
      <c r="CH67" s="708"/>
      <c r="CI67" s="708"/>
      <c r="CJ67" s="708"/>
      <c r="CK67" s="708"/>
      <c r="CL67" s="708"/>
    </row>
    <row r="68" spans="1:90" s="535" customFormat="1" ht="18" thickBot="1">
      <c r="A68" s="676"/>
      <c r="B68" s="684"/>
      <c r="C68" s="685"/>
      <c r="D68" s="685"/>
      <c r="E68" s="525"/>
      <c r="F68" s="525" t="s">
        <v>563</v>
      </c>
      <c r="G68" s="525"/>
      <c r="H68" s="695"/>
      <c r="I68" s="695"/>
      <c r="J68" s="695"/>
      <c r="K68" s="695"/>
      <c r="L68" s="695"/>
      <c r="M68" s="695"/>
      <c r="N68" s="695"/>
      <c r="O68" s="695"/>
      <c r="P68" s="695"/>
      <c r="Q68" s="695"/>
      <c r="R68" s="695"/>
      <c r="S68" s="695"/>
      <c r="T68" s="695"/>
      <c r="U68" s="671"/>
      <c r="V68" s="671"/>
      <c r="W68" s="683"/>
      <c r="X68" s="683"/>
      <c r="Y68" s="676"/>
      <c r="AJ68" s="708"/>
      <c r="AK68" s="708"/>
      <c r="AL68" s="708"/>
      <c r="AM68" s="708"/>
      <c r="AN68" s="708"/>
      <c r="AO68" s="708"/>
      <c r="AP68" s="708"/>
      <c r="AQ68" s="708"/>
      <c r="AR68" s="708"/>
      <c r="AS68" s="708"/>
      <c r="AT68" s="708"/>
      <c r="AU68" s="708"/>
      <c r="AV68" s="708"/>
      <c r="AW68" s="708"/>
      <c r="AX68" s="708"/>
      <c r="AY68" s="708"/>
      <c r="AZ68" s="708"/>
      <c r="BA68" s="708"/>
      <c r="BB68" s="708"/>
      <c r="BC68" s="708"/>
      <c r="BD68" s="708"/>
      <c r="BE68" s="708"/>
      <c r="BF68" s="708"/>
      <c r="BG68" s="708"/>
      <c r="BH68" s="708"/>
      <c r="BI68" s="708"/>
      <c r="BJ68" s="708"/>
      <c r="BK68" s="708"/>
      <c r="BL68" s="708"/>
      <c r="BM68" s="708"/>
      <c r="BN68" s="708"/>
      <c r="BO68" s="708"/>
      <c r="BP68" s="708"/>
      <c r="BQ68" s="708"/>
      <c r="BR68" s="708"/>
      <c r="BS68" s="708"/>
      <c r="BT68" s="708"/>
      <c r="BU68" s="708"/>
      <c r="BV68" s="708"/>
      <c r="BW68" s="708"/>
      <c r="BX68" s="708"/>
      <c r="BY68" s="708"/>
      <c r="BZ68" s="708"/>
      <c r="CA68" s="708"/>
      <c r="CB68" s="708"/>
      <c r="CC68" s="708"/>
      <c r="CD68" s="708"/>
      <c r="CE68" s="708"/>
      <c r="CF68" s="708"/>
      <c r="CG68" s="708"/>
      <c r="CH68" s="708"/>
      <c r="CI68" s="708"/>
      <c r="CJ68" s="708"/>
      <c r="CK68" s="708"/>
      <c r="CL68" s="708"/>
    </row>
    <row r="69" spans="1:90" s="535" customFormat="1" ht="18" thickTop="1">
      <c r="A69" s="676"/>
      <c r="B69" s="686"/>
      <c r="C69" s="671"/>
      <c r="D69" s="671"/>
      <c r="E69" s="675"/>
      <c r="F69" s="675"/>
      <c r="G69" s="525"/>
      <c r="H69" s="695"/>
      <c r="I69" s="695"/>
      <c r="J69" s="695"/>
      <c r="K69" s="695"/>
      <c r="L69" s="695"/>
      <c r="M69" s="695"/>
      <c r="N69" s="695"/>
      <c r="O69" s="695"/>
      <c r="P69" s="695"/>
      <c r="Q69" s="695"/>
      <c r="R69" s="695"/>
      <c r="S69" s="695"/>
      <c r="T69" s="695"/>
      <c r="U69" s="671"/>
      <c r="V69" s="671"/>
      <c r="W69" s="683"/>
      <c r="X69" s="683"/>
      <c r="Y69" s="676"/>
      <c r="AJ69" s="708"/>
      <c r="AK69" s="708"/>
      <c r="AL69" s="708"/>
      <c r="AM69" s="708"/>
      <c r="AN69" s="708"/>
      <c r="AO69" s="708"/>
      <c r="AP69" s="708"/>
      <c r="AQ69" s="708"/>
      <c r="AR69" s="708"/>
      <c r="AS69" s="708"/>
      <c r="AT69" s="708"/>
      <c r="AU69" s="708"/>
      <c r="AV69" s="708"/>
      <c r="AW69" s="708"/>
      <c r="AX69" s="708"/>
      <c r="AY69" s="708"/>
      <c r="AZ69" s="708"/>
      <c r="BA69" s="708"/>
      <c r="BB69" s="708"/>
      <c r="BC69" s="708"/>
      <c r="BD69" s="708"/>
      <c r="BE69" s="708"/>
      <c r="BF69" s="708"/>
      <c r="BG69" s="708"/>
      <c r="BH69" s="708"/>
      <c r="BI69" s="708"/>
      <c r="BJ69" s="708"/>
      <c r="BK69" s="708"/>
      <c r="BL69" s="708"/>
      <c r="BM69" s="708"/>
      <c r="BN69" s="708"/>
      <c r="BO69" s="708"/>
      <c r="BP69" s="708"/>
      <c r="BQ69" s="708"/>
      <c r="BR69" s="708"/>
      <c r="BS69" s="708"/>
      <c r="BT69" s="708"/>
      <c r="BU69" s="708"/>
      <c r="BV69" s="708"/>
      <c r="BW69" s="708"/>
      <c r="BX69" s="708"/>
      <c r="BY69" s="708"/>
      <c r="BZ69" s="708"/>
      <c r="CA69" s="708"/>
      <c r="CB69" s="708"/>
      <c r="CC69" s="708"/>
      <c r="CD69" s="708"/>
      <c r="CE69" s="708"/>
      <c r="CF69" s="708"/>
      <c r="CG69" s="708"/>
      <c r="CH69" s="708"/>
      <c r="CI69" s="708"/>
      <c r="CJ69" s="708"/>
      <c r="CK69" s="708"/>
      <c r="CL69" s="708"/>
    </row>
    <row r="70" spans="1:90" s="535" customFormat="1" ht="17.399999999999999">
      <c r="A70" s="676"/>
      <c r="B70" s="676"/>
      <c r="C70" s="671"/>
      <c r="D70" s="671"/>
      <c r="E70" s="693" t="s">
        <v>569</v>
      </c>
      <c r="F70" s="195"/>
      <c r="G70" s="195"/>
      <c r="H70" s="691"/>
      <c r="I70" s="691"/>
      <c r="J70" s="691"/>
      <c r="K70" s="691"/>
      <c r="L70" s="691"/>
      <c r="M70" s="695"/>
      <c r="N70" s="695"/>
      <c r="O70" s="695"/>
      <c r="P70" s="695"/>
      <c r="Q70" s="695"/>
      <c r="R70" s="695"/>
      <c r="S70" s="695"/>
      <c r="T70" s="695"/>
      <c r="U70" s="671"/>
      <c r="V70" s="671"/>
      <c r="W70" s="683"/>
      <c r="X70" s="683"/>
      <c r="Y70" s="676"/>
      <c r="AJ70" s="708"/>
      <c r="AK70" s="708"/>
      <c r="AL70" s="708"/>
      <c r="AM70" s="708"/>
      <c r="AN70" s="708"/>
      <c r="AO70" s="708"/>
      <c r="AP70" s="708"/>
      <c r="AQ70" s="708"/>
      <c r="AR70" s="708"/>
      <c r="AS70" s="708"/>
      <c r="AT70" s="708"/>
      <c r="AU70" s="708"/>
      <c r="AV70" s="708"/>
      <c r="AW70" s="708"/>
      <c r="AX70" s="708"/>
      <c r="AY70" s="708"/>
      <c r="AZ70" s="708"/>
      <c r="BA70" s="708"/>
      <c r="BB70" s="708"/>
      <c r="BC70" s="708"/>
      <c r="BD70" s="708"/>
      <c r="BE70" s="708"/>
      <c r="BF70" s="708"/>
      <c r="BG70" s="708"/>
      <c r="BH70" s="708"/>
      <c r="BI70" s="708"/>
      <c r="BJ70" s="708"/>
      <c r="BK70" s="708"/>
      <c r="BL70" s="708"/>
      <c r="BM70" s="708"/>
      <c r="BN70" s="708"/>
      <c r="BO70" s="708"/>
      <c r="BP70" s="708"/>
      <c r="BQ70" s="708"/>
      <c r="BR70" s="708"/>
      <c r="BS70" s="708"/>
      <c r="BT70" s="708"/>
      <c r="BU70" s="708"/>
      <c r="BV70" s="708"/>
      <c r="BW70" s="708"/>
      <c r="BX70" s="708"/>
      <c r="BY70" s="708"/>
      <c r="BZ70" s="708"/>
      <c r="CA70" s="708"/>
      <c r="CB70" s="708"/>
      <c r="CC70" s="708"/>
      <c r="CD70" s="708"/>
      <c r="CE70" s="708"/>
      <c r="CF70" s="708"/>
      <c r="CG70" s="708"/>
      <c r="CH70" s="708"/>
      <c r="CI70" s="708"/>
      <c r="CJ70" s="708"/>
      <c r="CK70" s="708"/>
      <c r="CL70" s="708"/>
    </row>
    <row r="71" spans="1:90" s="535" customFormat="1" ht="17.399999999999999">
      <c r="A71" s="676"/>
      <c r="B71" s="676"/>
      <c r="C71" s="671"/>
      <c r="D71" s="671"/>
      <c r="E71" s="195" t="s">
        <v>567</v>
      </c>
      <c r="F71" s="542">
        <f ca="1">+T16+T24+T40+T53</f>
        <v>4.633775807621459E-2</v>
      </c>
      <c r="H71" s="691"/>
      <c r="I71" s="691"/>
      <c r="J71" s="691"/>
      <c r="K71" s="691"/>
      <c r="L71" s="691"/>
      <c r="M71" s="695"/>
      <c r="N71" s="695"/>
      <c r="O71" s="695"/>
      <c r="P71" s="695"/>
      <c r="Q71" s="695"/>
      <c r="R71" s="695"/>
      <c r="S71" s="695"/>
      <c r="T71" s="695"/>
      <c r="U71" s="671"/>
      <c r="V71" s="671"/>
      <c r="W71" s="683"/>
      <c r="X71" s="683"/>
      <c r="Y71" s="676"/>
      <c r="AJ71" s="708"/>
      <c r="AK71" s="708"/>
      <c r="AL71" s="708"/>
      <c r="AM71" s="708"/>
      <c r="AN71" s="708"/>
      <c r="AO71" s="708"/>
      <c r="AP71" s="708"/>
      <c r="AQ71" s="708"/>
      <c r="AR71" s="708"/>
      <c r="AS71" s="708"/>
      <c r="AT71" s="708"/>
      <c r="AU71" s="708"/>
      <c r="AV71" s="708"/>
      <c r="AW71" s="708"/>
      <c r="AX71" s="708"/>
      <c r="AY71" s="708"/>
      <c r="AZ71" s="708"/>
      <c r="BA71" s="708"/>
      <c r="BB71" s="708"/>
      <c r="BC71" s="708"/>
      <c r="BD71" s="708"/>
      <c r="BE71" s="708"/>
      <c r="BF71" s="708"/>
      <c r="BG71" s="708"/>
      <c r="BH71" s="708"/>
      <c r="BI71" s="708"/>
      <c r="BJ71" s="708"/>
      <c r="BK71" s="708"/>
      <c r="BL71" s="708"/>
      <c r="BM71" s="708"/>
      <c r="BN71" s="708"/>
      <c r="BO71" s="708"/>
      <c r="BP71" s="708"/>
      <c r="BQ71" s="708"/>
      <c r="BR71" s="708"/>
      <c r="BS71" s="708"/>
      <c r="BT71" s="708"/>
      <c r="BU71" s="708"/>
      <c r="BV71" s="708"/>
      <c r="BW71" s="708"/>
      <c r="BX71" s="708"/>
      <c r="BY71" s="708"/>
      <c r="BZ71" s="708"/>
      <c r="CA71" s="708"/>
      <c r="CB71" s="708"/>
      <c r="CC71" s="708"/>
      <c r="CD71" s="708"/>
      <c r="CE71" s="708"/>
      <c r="CF71" s="708"/>
      <c r="CG71" s="708"/>
      <c r="CH71" s="708"/>
      <c r="CI71" s="708"/>
      <c r="CJ71" s="708"/>
      <c r="CK71" s="708"/>
      <c r="CL71" s="708"/>
    </row>
    <row r="72" spans="1:90" s="535" customFormat="1" ht="17.399999999999999">
      <c r="A72" s="676"/>
      <c r="B72" s="676"/>
      <c r="C72" s="671"/>
      <c r="D72" s="671"/>
      <c r="E72" s="195" t="s">
        <v>568</v>
      </c>
      <c r="F72" s="580">
        <f ca="1">MAX(100%-F71,0)</f>
        <v>0.95366224192378546</v>
      </c>
      <c r="H72" s="695"/>
      <c r="I72" s="691"/>
      <c r="J72" s="691"/>
      <c r="K72" s="691"/>
      <c r="L72" s="691"/>
      <c r="M72" s="691"/>
      <c r="N72" s="695"/>
      <c r="O72" s="695"/>
      <c r="P72" s="695"/>
      <c r="Q72" s="695"/>
      <c r="R72" s="695"/>
      <c r="S72" s="695"/>
      <c r="T72" s="695"/>
      <c r="U72" s="671"/>
      <c r="V72" s="671"/>
      <c r="W72" s="683"/>
      <c r="X72" s="683"/>
      <c r="Y72" s="676"/>
      <c r="AJ72" s="708"/>
      <c r="AK72" s="708"/>
      <c r="AL72" s="708"/>
      <c r="AM72" s="708"/>
      <c r="AN72" s="708"/>
      <c r="AO72" s="708"/>
      <c r="AP72" s="708"/>
      <c r="AQ72" s="708"/>
      <c r="AR72" s="708"/>
      <c r="AS72" s="708"/>
      <c r="AT72" s="708"/>
      <c r="AU72" s="708"/>
      <c r="AV72" s="708"/>
      <c r="AW72" s="708"/>
      <c r="AX72" s="708"/>
      <c r="AY72" s="708"/>
      <c r="AZ72" s="708"/>
      <c r="BA72" s="708"/>
      <c r="BB72" s="708"/>
      <c r="BC72" s="708"/>
      <c r="BD72" s="708"/>
      <c r="BE72" s="708"/>
      <c r="BF72" s="708"/>
      <c r="BG72" s="708"/>
      <c r="BH72" s="708"/>
      <c r="BI72" s="708"/>
      <c r="BJ72" s="708"/>
      <c r="BK72" s="708"/>
      <c r="BL72" s="708"/>
      <c r="BM72" s="708"/>
      <c r="BN72" s="708"/>
      <c r="BO72" s="708"/>
      <c r="BP72" s="708"/>
      <c r="BQ72" s="708"/>
      <c r="BR72" s="708"/>
      <c r="BS72" s="708"/>
      <c r="BT72" s="708"/>
      <c r="BU72" s="708"/>
      <c r="BV72" s="708"/>
      <c r="BW72" s="708"/>
      <c r="BX72" s="708"/>
      <c r="BY72" s="708"/>
      <c r="BZ72" s="708"/>
      <c r="CA72" s="708"/>
      <c r="CB72" s="708"/>
      <c r="CC72" s="708"/>
      <c r="CD72" s="708"/>
      <c r="CE72" s="708"/>
      <c r="CF72" s="708"/>
      <c r="CG72" s="708"/>
      <c r="CH72" s="708"/>
      <c r="CI72" s="708"/>
      <c r="CJ72" s="708"/>
      <c r="CK72" s="708"/>
      <c r="CL72" s="708"/>
    </row>
    <row r="73" spans="1:90" s="675" customFormat="1" ht="14.4">
      <c r="B73" s="678"/>
      <c r="C73" s="671"/>
      <c r="D73" s="671"/>
      <c r="H73" s="698"/>
      <c r="I73" s="698"/>
      <c r="J73" s="698"/>
      <c r="K73" s="698"/>
      <c r="L73" s="698"/>
      <c r="M73" s="698"/>
      <c r="N73" s="699"/>
      <c r="O73" s="699"/>
      <c r="P73" s="699"/>
      <c r="Q73" s="699"/>
      <c r="R73" s="699"/>
      <c r="S73" s="699"/>
      <c r="T73" s="699"/>
      <c r="U73" s="678"/>
      <c r="V73" s="671"/>
      <c r="W73" s="671"/>
      <c r="X73" s="671"/>
      <c r="Y73" s="676"/>
      <c r="AJ73" s="712"/>
      <c r="AK73" s="712"/>
      <c r="AL73" s="712"/>
      <c r="AM73" s="712"/>
      <c r="AN73" s="712"/>
      <c r="AO73" s="712"/>
      <c r="AP73" s="712"/>
      <c r="AQ73" s="712"/>
      <c r="AR73" s="712"/>
      <c r="AS73" s="712"/>
      <c r="AT73" s="712"/>
      <c r="AU73" s="712"/>
      <c r="AV73" s="712"/>
      <c r="AW73" s="712"/>
      <c r="AX73" s="712"/>
      <c r="AY73" s="712"/>
      <c r="AZ73" s="712"/>
      <c r="BA73" s="712"/>
      <c r="BB73" s="712"/>
      <c r="BC73" s="712"/>
      <c r="BD73" s="712"/>
      <c r="BE73" s="712"/>
      <c r="BF73" s="712"/>
      <c r="BG73" s="712"/>
      <c r="BH73" s="712"/>
      <c r="BI73" s="712"/>
      <c r="BJ73" s="712"/>
      <c r="BK73" s="712"/>
      <c r="BL73" s="712"/>
      <c r="BM73" s="712"/>
      <c r="BN73" s="712"/>
      <c r="BO73" s="712"/>
      <c r="BP73" s="712"/>
      <c r="BQ73" s="712"/>
      <c r="BR73" s="712"/>
      <c r="BS73" s="712"/>
      <c r="BT73" s="712"/>
      <c r="BU73" s="712"/>
      <c r="BV73" s="712"/>
      <c r="BW73" s="712"/>
      <c r="BX73" s="712"/>
      <c r="BY73" s="712"/>
      <c r="BZ73" s="712"/>
      <c r="CA73" s="712"/>
      <c r="CB73" s="712"/>
      <c r="CC73" s="712"/>
      <c r="CD73" s="712"/>
      <c r="CE73" s="712"/>
      <c r="CF73" s="712"/>
      <c r="CG73" s="712"/>
      <c r="CH73" s="712"/>
      <c r="CI73" s="712"/>
      <c r="CJ73" s="712"/>
      <c r="CK73" s="712"/>
      <c r="CL73" s="712"/>
    </row>
    <row r="74" spans="1:90" s="535" customFormat="1" ht="22.8">
      <c r="C74" s="537"/>
      <c r="E74" s="195" t="s">
        <v>556</v>
      </c>
      <c r="F74" s="542">
        <f ca="1">+F113+'Simulador - 1º Pilar'!$G$51</f>
        <v>0.17833914669726864</v>
      </c>
      <c r="H74" s="691"/>
      <c r="I74" s="691"/>
      <c r="J74" s="691"/>
      <c r="K74" s="691"/>
      <c r="L74" s="691"/>
      <c r="M74" s="691"/>
      <c r="N74" s="949"/>
      <c r="O74" s="949"/>
      <c r="P74" s="949"/>
      <c r="Q74" s="949"/>
      <c r="R74" s="949"/>
      <c r="S74" s="949"/>
      <c r="T74" s="949"/>
      <c r="U74" s="734"/>
      <c r="V74" s="671"/>
      <c r="W74" s="671"/>
      <c r="X74" s="671"/>
      <c r="Y74" s="676"/>
      <c r="AJ74" s="708"/>
      <c r="AK74" s="708"/>
      <c r="AL74" s="708"/>
      <c r="AM74" s="708"/>
      <c r="AN74" s="708"/>
      <c r="AO74" s="708"/>
      <c r="AP74" s="708"/>
      <c r="AQ74" s="708"/>
      <c r="AR74" s="708"/>
      <c r="AS74" s="708"/>
      <c r="AT74" s="708"/>
      <c r="AU74" s="708"/>
      <c r="AV74" s="708"/>
      <c r="AW74" s="708"/>
      <c r="AX74" s="708"/>
      <c r="AY74" s="708"/>
      <c r="AZ74" s="708"/>
      <c r="BA74" s="708"/>
      <c r="BB74" s="708"/>
      <c r="BC74" s="708"/>
      <c r="BD74" s="708"/>
      <c r="BE74" s="708"/>
      <c r="BF74" s="708"/>
      <c r="BG74" s="708"/>
      <c r="BH74" s="708"/>
      <c r="BI74" s="708"/>
      <c r="BJ74" s="708"/>
      <c r="BK74" s="708"/>
      <c r="BL74" s="708"/>
      <c r="BM74" s="708"/>
      <c r="BN74" s="708"/>
      <c r="BO74" s="708"/>
      <c r="BP74" s="708"/>
      <c r="BQ74" s="708"/>
      <c r="BR74" s="708"/>
      <c r="BS74" s="708"/>
      <c r="BT74" s="708"/>
      <c r="BU74" s="708"/>
      <c r="BV74" s="708"/>
      <c r="BW74" s="708"/>
      <c r="BX74" s="708"/>
      <c r="BY74" s="708"/>
      <c r="BZ74" s="708"/>
      <c r="CA74" s="708"/>
      <c r="CB74" s="708"/>
      <c r="CC74" s="708"/>
      <c r="CD74" s="708"/>
      <c r="CE74" s="708"/>
      <c r="CF74" s="708"/>
      <c r="CG74" s="708"/>
      <c r="CH74" s="708"/>
      <c r="CI74" s="708"/>
      <c r="CJ74" s="708"/>
      <c r="CK74" s="708"/>
      <c r="CL74" s="708"/>
    </row>
    <row r="75" spans="1:90" s="535" customFormat="1" ht="14.4" customHeight="1">
      <c r="C75" s="537"/>
      <c r="E75" s="195" t="s">
        <v>557</v>
      </c>
      <c r="F75" s="580">
        <f ca="1">MAX(100%-F74,0)</f>
        <v>0.82166085330273142</v>
      </c>
      <c r="H75" s="691"/>
      <c r="I75" s="691"/>
      <c r="J75" s="691"/>
      <c r="K75" s="691"/>
      <c r="L75" s="691"/>
      <c r="M75" s="691"/>
      <c r="N75" s="695"/>
      <c r="O75" s="695"/>
      <c r="P75" s="695"/>
      <c r="Q75" s="695"/>
      <c r="R75" s="695"/>
      <c r="S75" s="695"/>
      <c r="T75" s="695"/>
      <c r="U75" s="671"/>
      <c r="V75" s="671"/>
      <c r="AJ75" s="708"/>
      <c r="AN75" s="708"/>
      <c r="AO75" s="708"/>
      <c r="AP75" s="708"/>
      <c r="AQ75" s="708"/>
      <c r="AR75" s="708"/>
      <c r="AS75" s="708"/>
      <c r="AT75" s="708"/>
      <c r="AU75" s="708"/>
      <c r="AV75" s="708"/>
      <c r="AW75" s="708"/>
      <c r="AX75" s="708"/>
      <c r="AY75" s="708"/>
      <c r="AZ75" s="708"/>
      <c r="BA75" s="708"/>
      <c r="BB75" s="708"/>
      <c r="BC75" s="708"/>
      <c r="BD75" s="708"/>
      <c r="BE75" s="708"/>
      <c r="BF75" s="708"/>
      <c r="BG75" s="708"/>
      <c r="BH75" s="708"/>
      <c r="BI75" s="708"/>
      <c r="BJ75" s="708"/>
      <c r="BK75" s="708"/>
      <c r="BL75" s="708"/>
      <c r="BM75" s="708"/>
      <c r="BN75" s="708"/>
      <c r="BO75" s="708"/>
      <c r="BP75" s="708"/>
      <c r="BQ75" s="708"/>
      <c r="BR75" s="708"/>
      <c r="BS75" s="708"/>
      <c r="BT75" s="708"/>
      <c r="BU75" s="708"/>
      <c r="BV75" s="708"/>
      <c r="BW75" s="708"/>
      <c r="BX75" s="708"/>
      <c r="BY75" s="708"/>
      <c r="BZ75" s="708"/>
      <c r="CA75" s="708"/>
      <c r="CB75" s="708"/>
      <c r="CC75" s="708"/>
      <c r="CD75" s="708"/>
      <c r="CE75" s="708"/>
      <c r="CF75" s="708"/>
      <c r="CG75" s="708"/>
      <c r="CH75" s="708"/>
      <c r="CI75" s="708"/>
      <c r="CJ75" s="708"/>
      <c r="CK75" s="708"/>
      <c r="CL75" s="708"/>
    </row>
    <row r="76" spans="1:90" s="535" customFormat="1" ht="14.4">
      <c r="C76" s="537"/>
      <c r="D76" s="537"/>
      <c r="H76" s="691"/>
      <c r="I76" s="691"/>
      <c r="J76" s="691"/>
      <c r="K76" s="691"/>
      <c r="L76" s="691"/>
      <c r="M76" s="691"/>
      <c r="N76" s="691"/>
      <c r="O76" s="691"/>
      <c r="P76" s="691"/>
      <c r="Q76" s="691"/>
      <c r="R76" s="691"/>
      <c r="S76" s="691"/>
      <c r="T76" s="691"/>
      <c r="U76" s="537"/>
      <c r="V76" s="671"/>
      <c r="AJ76" s="708"/>
      <c r="AN76" s="708"/>
      <c r="AO76" s="708"/>
      <c r="AP76" s="708"/>
      <c r="AQ76" s="708"/>
      <c r="AR76" s="708"/>
      <c r="AS76" s="708"/>
      <c r="AT76" s="708"/>
      <c r="AU76" s="708"/>
      <c r="AV76" s="708"/>
      <c r="AW76" s="708"/>
      <c r="AX76" s="708"/>
      <c r="AY76" s="708"/>
      <c r="AZ76" s="708"/>
      <c r="BA76" s="708"/>
      <c r="BB76" s="708"/>
      <c r="BC76" s="708"/>
      <c r="BD76" s="708"/>
      <c r="BE76" s="708"/>
      <c r="BF76" s="708"/>
      <c r="BG76" s="708"/>
      <c r="BH76" s="708"/>
      <c r="BI76" s="708"/>
      <c r="BJ76" s="708"/>
      <c r="BK76" s="708"/>
      <c r="BL76" s="708"/>
      <c r="BM76" s="708"/>
      <c r="BN76" s="708"/>
      <c r="BO76" s="708"/>
      <c r="BP76" s="708"/>
      <c r="BQ76" s="708"/>
      <c r="BR76" s="708"/>
      <c r="BS76" s="708"/>
      <c r="BT76" s="708"/>
      <c r="BU76" s="708"/>
      <c r="BV76" s="708"/>
      <c r="BW76" s="708"/>
      <c r="BX76" s="708"/>
      <c r="BY76" s="708"/>
      <c r="BZ76" s="708"/>
      <c r="CA76" s="708"/>
      <c r="CB76" s="708"/>
      <c r="CC76" s="708"/>
      <c r="CD76" s="708"/>
      <c r="CE76" s="708"/>
      <c r="CF76" s="708"/>
      <c r="CG76" s="708"/>
      <c r="CH76" s="708"/>
      <c r="CI76" s="708"/>
      <c r="CJ76" s="708"/>
      <c r="CK76" s="708"/>
      <c r="CL76" s="708"/>
    </row>
    <row r="77" spans="1:90" s="535" customFormat="1" ht="33.6" customHeight="1">
      <c r="C77" s="537"/>
      <c r="D77" s="537"/>
      <c r="E77" s="729" t="s">
        <v>322</v>
      </c>
      <c r="F77" s="677"/>
      <c r="G77" s="677"/>
      <c r="H77" s="701"/>
      <c r="I77" s="691"/>
      <c r="J77" s="691"/>
      <c r="K77" s="691"/>
      <c r="L77" s="691"/>
      <c r="M77" s="691"/>
      <c r="N77" s="691"/>
      <c r="O77" s="691"/>
      <c r="P77" s="691"/>
      <c r="Q77" s="691"/>
      <c r="R77" s="691"/>
      <c r="S77" s="691"/>
      <c r="T77" s="691"/>
      <c r="U77" s="537"/>
      <c r="V77" s="671"/>
      <c r="AJ77" s="708"/>
      <c r="AN77" s="708"/>
      <c r="AO77" s="708"/>
      <c r="AP77" s="708"/>
      <c r="AQ77" s="708"/>
      <c r="AR77" s="708"/>
      <c r="AS77" s="708"/>
      <c r="AT77" s="708"/>
      <c r="AU77" s="708"/>
      <c r="AV77" s="708"/>
      <c r="AW77" s="708"/>
      <c r="AX77" s="708"/>
      <c r="AY77" s="708"/>
      <c r="AZ77" s="708"/>
      <c r="BA77" s="708"/>
      <c r="BB77" s="708"/>
      <c r="BC77" s="708"/>
      <c r="BD77" s="708"/>
      <c r="BE77" s="708"/>
      <c r="BF77" s="708"/>
      <c r="BG77" s="708"/>
      <c r="BH77" s="708"/>
      <c r="BI77" s="708"/>
      <c r="BJ77" s="708"/>
      <c r="BK77" s="708"/>
      <c r="BL77" s="708"/>
      <c r="BM77" s="708"/>
      <c r="BN77" s="708"/>
      <c r="BO77" s="708"/>
      <c r="BP77" s="708"/>
      <c r="BQ77" s="708"/>
      <c r="BR77" s="708"/>
      <c r="BS77" s="708"/>
      <c r="BT77" s="708"/>
      <c r="BU77" s="708"/>
      <c r="BV77" s="708"/>
      <c r="BW77" s="708"/>
      <c r="BX77" s="708"/>
      <c r="BY77" s="708"/>
      <c r="BZ77" s="708"/>
      <c r="CA77" s="708"/>
      <c r="CB77" s="708"/>
      <c r="CC77" s="708"/>
      <c r="CD77" s="708"/>
      <c r="CE77" s="708"/>
      <c r="CF77" s="708"/>
      <c r="CG77" s="708"/>
      <c r="CH77" s="708"/>
      <c r="CI77" s="708"/>
      <c r="CJ77" s="708"/>
      <c r="CK77" s="708"/>
      <c r="CL77" s="708"/>
    </row>
    <row r="78" spans="1:90" s="535" customFormat="1" ht="14.4">
      <c r="A78"/>
      <c r="C78" s="537"/>
      <c r="D78" s="537"/>
      <c r="E78" s="188" t="s">
        <v>250</v>
      </c>
      <c r="F78" s="730">
        <f ca="1">+'Simulador - 1º Pilar'!$G$50</f>
        <v>378745.7074676209</v>
      </c>
      <c r="G78" s="688"/>
      <c r="H78" s="700"/>
      <c r="I78" s="695"/>
      <c r="J78" s="695"/>
      <c r="K78" s="695"/>
      <c r="L78" s="695"/>
      <c r="M78" s="695"/>
      <c r="N78" s="695"/>
      <c r="O78" s="695"/>
      <c r="P78" s="695"/>
      <c r="Q78" s="695"/>
      <c r="R78" s="695"/>
      <c r="S78" s="695"/>
      <c r="T78" s="695"/>
      <c r="U78" s="671"/>
      <c r="V78" s="677"/>
      <c r="AA78" s="676"/>
      <c r="AB78" s="676"/>
      <c r="AC78" s="676"/>
      <c r="AD78" s="676"/>
      <c r="AE78" s="676"/>
      <c r="AI78" s="676"/>
      <c r="AJ78" s="713"/>
      <c r="AN78" s="708"/>
      <c r="AO78" s="708"/>
      <c r="AP78" s="708"/>
      <c r="AQ78" s="708"/>
      <c r="AR78" s="708"/>
      <c r="AS78" s="708"/>
      <c r="AT78" s="708"/>
      <c r="AU78" s="708"/>
      <c r="AV78" s="708"/>
      <c r="AW78" s="708"/>
      <c r="AX78" s="708"/>
      <c r="AY78" s="708"/>
      <c r="AZ78" s="708"/>
      <c r="BA78" s="708"/>
      <c r="BB78" s="708"/>
      <c r="BC78" s="708"/>
      <c r="BD78" s="708"/>
      <c r="BE78" s="708"/>
      <c r="BF78" s="708"/>
      <c r="BG78" s="708"/>
      <c r="BH78" s="708"/>
      <c r="BI78" s="708"/>
      <c r="BJ78" s="708"/>
      <c r="BK78" s="708"/>
      <c r="BL78" s="708"/>
      <c r="BM78" s="708"/>
      <c r="BN78" s="708"/>
      <c r="BO78" s="708"/>
      <c r="BP78" s="708"/>
      <c r="BQ78" s="708"/>
      <c r="BR78" s="708"/>
      <c r="BS78" s="708"/>
      <c r="BT78" s="708"/>
      <c r="BU78" s="708"/>
      <c r="BV78" s="708"/>
      <c r="BW78" s="708"/>
      <c r="BX78" s="708"/>
      <c r="BY78" s="708"/>
      <c r="BZ78" s="708"/>
      <c r="CA78" s="708"/>
      <c r="CB78" s="708"/>
      <c r="CC78" s="708"/>
      <c r="CD78" s="708"/>
      <c r="CE78" s="708"/>
      <c r="CF78" s="708"/>
      <c r="CG78" s="708"/>
      <c r="CH78" s="708"/>
      <c r="CI78" s="708"/>
      <c r="CJ78" s="708"/>
      <c r="CK78" s="708"/>
      <c r="CL78" s="708"/>
    </row>
    <row r="79" spans="1:90" s="535" customFormat="1" ht="14.4">
      <c r="C79" s="537"/>
      <c r="D79" s="537"/>
      <c r="E79" s="720" t="s">
        <v>570</v>
      </c>
      <c r="F79" s="731">
        <f ca="1">'Aportaciones PPE'!AA5</f>
        <v>263679.71109206742</v>
      </c>
      <c r="G79" s="732"/>
      <c r="H79" s="700"/>
      <c r="I79" s="695"/>
      <c r="J79" s="695"/>
      <c r="K79" s="695"/>
      <c r="L79" s="695"/>
      <c r="M79" s="695"/>
      <c r="N79" s="695"/>
      <c r="O79" s="695"/>
      <c r="P79" s="695"/>
      <c r="Q79" s="695"/>
      <c r="R79" s="695"/>
      <c r="S79" s="695"/>
      <c r="T79" s="695"/>
      <c r="U79" s="671"/>
      <c r="V79" s="677"/>
      <c r="AA79" s="676"/>
      <c r="AB79" s="676"/>
      <c r="AC79" s="676"/>
      <c r="AD79" s="676"/>
      <c r="AE79" s="676"/>
      <c r="AI79" s="676"/>
      <c r="AJ79" s="713"/>
      <c r="AN79" s="708"/>
      <c r="AO79" s="708"/>
      <c r="AP79" s="708"/>
      <c r="AQ79" s="708"/>
      <c r="AR79" s="708"/>
      <c r="AS79" s="708"/>
      <c r="AT79" s="708"/>
      <c r="AU79" s="708"/>
      <c r="AV79" s="708"/>
      <c r="AW79" s="708"/>
      <c r="AX79" s="708"/>
      <c r="AY79" s="708"/>
      <c r="AZ79" s="708"/>
      <c r="BA79" s="708"/>
      <c r="BB79" s="708"/>
      <c r="BC79" s="708"/>
      <c r="BD79" s="708"/>
      <c r="BE79" s="708"/>
      <c r="BF79" s="708"/>
      <c r="BG79" s="708"/>
      <c r="BH79" s="708"/>
      <c r="BI79" s="708"/>
      <c r="BJ79" s="708"/>
      <c r="BK79" s="708"/>
      <c r="BL79" s="708"/>
      <c r="BM79" s="708"/>
      <c r="BN79" s="708"/>
      <c r="BO79" s="708"/>
      <c r="BP79" s="708"/>
      <c r="BQ79" s="708"/>
      <c r="BR79" s="708"/>
      <c r="BS79" s="708"/>
      <c r="BT79" s="708"/>
      <c r="BU79" s="708"/>
      <c r="BV79" s="708"/>
      <c r="BW79" s="708"/>
      <c r="BX79" s="708"/>
      <c r="BY79" s="708"/>
      <c r="BZ79" s="708"/>
      <c r="CA79" s="708"/>
      <c r="CB79" s="708"/>
      <c r="CC79" s="708"/>
      <c r="CD79" s="708"/>
      <c r="CE79" s="708"/>
      <c r="CF79" s="708"/>
      <c r="CG79" s="708"/>
      <c r="CH79" s="708"/>
      <c r="CI79" s="708"/>
      <c r="CJ79" s="708"/>
      <c r="CK79" s="708"/>
      <c r="CL79" s="708"/>
    </row>
    <row r="80" spans="1:90" s="535" customFormat="1" ht="14.4">
      <c r="C80" s="537"/>
      <c r="D80" s="537"/>
      <c r="E80" s="720" t="s">
        <v>581</v>
      </c>
      <c r="F80" s="731">
        <f ca="1">'Aportaciones PPE'!N1</f>
        <v>97231.770879228206</v>
      </c>
      <c r="G80" s="732"/>
      <c r="H80" s="701"/>
      <c r="I80" s="695"/>
      <c r="J80" s="695"/>
      <c r="K80" s="695"/>
      <c r="L80" s="695"/>
      <c r="M80" s="695"/>
      <c r="N80" s="695"/>
      <c r="O80" s="695"/>
      <c r="P80" s="695"/>
      <c r="Q80" s="695"/>
      <c r="R80" s="695"/>
      <c r="S80" s="695"/>
      <c r="T80" s="695"/>
      <c r="U80" s="671"/>
      <c r="V80" s="677"/>
      <c r="AA80" s="676"/>
      <c r="AB80" s="676"/>
      <c r="AC80" s="676"/>
      <c r="AD80" s="676"/>
      <c r="AE80" s="676"/>
      <c r="AI80" s="676"/>
      <c r="AJ80" s="713"/>
      <c r="AN80" s="708"/>
      <c r="AO80" s="708"/>
      <c r="AP80" s="708"/>
      <c r="AQ80" s="708"/>
      <c r="AR80" s="708"/>
      <c r="AS80" s="708"/>
      <c r="AT80" s="708"/>
      <c r="AU80" s="708"/>
      <c r="AV80" s="708"/>
      <c r="AW80" s="708"/>
      <c r="AX80" s="708"/>
      <c r="AY80" s="708"/>
      <c r="AZ80" s="708"/>
      <c r="BA80" s="708"/>
      <c r="BB80" s="708"/>
      <c r="BC80" s="708"/>
      <c r="BD80" s="708"/>
      <c r="BE80" s="708"/>
      <c r="BF80" s="708"/>
      <c r="BG80" s="708"/>
      <c r="BH80" s="708"/>
      <c r="BI80" s="708"/>
      <c r="BJ80" s="708"/>
      <c r="BK80" s="708"/>
      <c r="BL80" s="708"/>
      <c r="BM80" s="708"/>
      <c r="BN80" s="708"/>
      <c r="BO80" s="708"/>
      <c r="BP80" s="708"/>
      <c r="BQ80" s="708"/>
      <c r="BR80" s="708"/>
      <c r="BS80" s="708"/>
      <c r="BT80" s="708"/>
      <c r="BU80" s="708"/>
      <c r="BV80" s="708"/>
      <c r="BW80" s="708"/>
      <c r="BX80" s="708"/>
      <c r="BY80" s="708"/>
      <c r="BZ80" s="708"/>
      <c r="CA80" s="708"/>
      <c r="CB80" s="708"/>
      <c r="CC80" s="708"/>
      <c r="CD80" s="708"/>
      <c r="CE80" s="708"/>
      <c r="CF80" s="708"/>
      <c r="CG80" s="708"/>
      <c r="CH80" s="708"/>
      <c r="CI80" s="708"/>
      <c r="CJ80" s="708"/>
      <c r="CK80" s="708"/>
      <c r="CL80" s="708"/>
    </row>
    <row r="81" spans="1:90" s="675" customFormat="1" ht="14.4">
      <c r="C81" s="537"/>
      <c r="D81" s="537"/>
      <c r="E81" s="720" t="s">
        <v>571</v>
      </c>
      <c r="F81" s="731">
        <f ca="1">+'Aportaciones Flex'!J5</f>
        <v>4988.1230914451753</v>
      </c>
      <c r="G81" s="732"/>
      <c r="H81" s="702"/>
      <c r="I81" s="703"/>
      <c r="J81" s="695"/>
      <c r="K81" s="695"/>
      <c r="L81" s="695"/>
      <c r="M81" s="695"/>
      <c r="N81" s="695"/>
      <c r="O81" s="695"/>
      <c r="P81" s="695"/>
      <c r="Q81" s="695"/>
      <c r="R81" s="695"/>
      <c r="S81" s="695"/>
      <c r="T81" s="695"/>
      <c r="U81" s="671"/>
      <c r="V81" s="677"/>
      <c r="AA81" s="678"/>
      <c r="AB81" s="678"/>
      <c r="AC81" s="678"/>
      <c r="AD81" s="678"/>
      <c r="AE81" s="678"/>
      <c r="AI81" s="678"/>
      <c r="AJ81" s="715"/>
      <c r="AN81" s="712"/>
      <c r="AO81" s="712"/>
      <c r="AP81" s="712"/>
      <c r="AQ81" s="712"/>
      <c r="AR81" s="712"/>
      <c r="AS81" s="712"/>
      <c r="AT81" s="712"/>
      <c r="AU81" s="712"/>
      <c r="AV81" s="712"/>
      <c r="AW81" s="712"/>
      <c r="AX81" s="708"/>
      <c r="AY81" s="712"/>
      <c r="AZ81" s="712"/>
      <c r="BA81" s="712"/>
      <c r="BB81" s="712"/>
      <c r="BC81" s="712"/>
      <c r="BD81" s="712"/>
      <c r="BE81" s="712"/>
      <c r="BF81" s="712"/>
      <c r="BG81" s="712"/>
      <c r="BH81" s="712"/>
      <c r="BI81" s="712"/>
      <c r="BJ81" s="712"/>
      <c r="BK81" s="712"/>
      <c r="BL81" s="712"/>
      <c r="BM81" s="712"/>
      <c r="BN81" s="712"/>
      <c r="BO81" s="712"/>
      <c r="BP81" s="712"/>
      <c r="BQ81" s="712"/>
      <c r="BR81" s="712"/>
      <c r="BS81" s="712"/>
      <c r="BT81" s="712"/>
      <c r="BU81" s="712"/>
      <c r="BV81" s="712"/>
      <c r="BW81" s="712"/>
      <c r="BX81" s="712"/>
      <c r="BY81" s="712"/>
      <c r="BZ81" s="712"/>
      <c r="CA81" s="712"/>
      <c r="CB81" s="712"/>
      <c r="CC81" s="712"/>
      <c r="CD81" s="712"/>
      <c r="CE81" s="712"/>
      <c r="CF81" s="712"/>
      <c r="CG81" s="712"/>
      <c r="CH81" s="712"/>
      <c r="CI81" s="712"/>
      <c r="CJ81" s="712"/>
      <c r="CK81" s="712"/>
      <c r="CL81" s="712"/>
    </row>
    <row r="82" spans="1:90" s="535" customFormat="1" ht="14.4">
      <c r="C82" s="537"/>
      <c r="D82" s="537"/>
      <c r="E82" s="720" t="s">
        <v>580</v>
      </c>
      <c r="F82" s="731">
        <f ca="1">'Aportaciones Poliza'!L5</f>
        <v>0</v>
      </c>
      <c r="G82" s="732"/>
      <c r="H82" s="701"/>
      <c r="I82" s="695"/>
      <c r="J82" s="695"/>
      <c r="K82" s="695"/>
      <c r="L82" s="695"/>
      <c r="M82" s="695"/>
      <c r="N82" s="695"/>
      <c r="O82" s="695"/>
      <c r="P82" s="695"/>
      <c r="Q82" s="695"/>
      <c r="R82" s="695"/>
      <c r="S82" s="695"/>
      <c r="T82" s="695"/>
      <c r="U82" s="671"/>
      <c r="V82" s="677"/>
      <c r="AA82" s="676"/>
      <c r="AB82" s="676"/>
      <c r="AC82" s="676"/>
      <c r="AD82" s="676"/>
      <c r="AE82" s="676"/>
      <c r="AI82" s="676"/>
      <c r="AJ82" s="713"/>
      <c r="AN82" s="708"/>
      <c r="AO82" s="708"/>
      <c r="AP82" s="708"/>
      <c r="AQ82" s="708"/>
      <c r="AR82" s="708"/>
      <c r="AS82" s="708"/>
      <c r="AT82" s="708"/>
      <c r="AU82" s="708"/>
      <c r="AV82" s="708"/>
      <c r="AW82" s="708"/>
      <c r="AX82" s="708"/>
      <c r="AY82" s="708"/>
      <c r="AZ82" s="708"/>
      <c r="BA82" s="708"/>
      <c r="BB82" s="708"/>
      <c r="BC82" s="708"/>
      <c r="BD82" s="708"/>
      <c r="BE82" s="708"/>
      <c r="BF82" s="708"/>
      <c r="BG82" s="708"/>
      <c r="BH82" s="708"/>
      <c r="BI82" s="708"/>
      <c r="BJ82" s="708"/>
      <c r="BK82" s="708"/>
      <c r="BL82" s="708"/>
      <c r="BM82" s="708"/>
      <c r="BN82" s="708"/>
      <c r="BO82" s="708"/>
      <c r="BP82" s="708"/>
      <c r="BQ82" s="708"/>
      <c r="BR82" s="708"/>
      <c r="BS82" s="708"/>
      <c r="BT82" s="708"/>
      <c r="BU82" s="708"/>
      <c r="BV82" s="708"/>
      <c r="BW82" s="708"/>
      <c r="BX82" s="708"/>
      <c r="BY82" s="708"/>
      <c r="BZ82" s="708"/>
      <c r="CA82" s="708"/>
      <c r="CB82" s="708"/>
      <c r="CC82" s="708"/>
      <c r="CD82" s="708"/>
      <c r="CE82" s="708"/>
      <c r="CF82" s="708"/>
      <c r="CG82" s="708"/>
      <c r="CH82" s="708"/>
      <c r="CI82" s="708"/>
      <c r="CJ82" s="708"/>
      <c r="CK82" s="708"/>
      <c r="CL82" s="708"/>
    </row>
    <row r="83" spans="1:90" s="535" customFormat="1" ht="33.6" customHeight="1">
      <c r="C83" s="537"/>
      <c r="D83" s="537"/>
      <c r="G83" s="688"/>
      <c r="H83" s="700"/>
      <c r="I83" s="695"/>
      <c r="J83" s="695"/>
      <c r="K83" s="695"/>
      <c r="L83" s="695"/>
      <c r="M83" s="695"/>
      <c r="N83" s="695"/>
      <c r="O83" s="695"/>
      <c r="P83" s="695"/>
      <c r="Q83" s="695"/>
      <c r="R83" s="695"/>
      <c r="S83" s="695"/>
      <c r="T83" s="695"/>
      <c r="U83" s="671"/>
      <c r="V83" s="677"/>
      <c r="AA83" s="676"/>
      <c r="AB83" s="676"/>
      <c r="AC83" s="676"/>
      <c r="AD83" s="676"/>
      <c r="AE83" s="676"/>
      <c r="AI83" s="676"/>
      <c r="AJ83" s="713"/>
      <c r="AN83" s="708"/>
      <c r="AO83" s="708"/>
      <c r="AP83" s="708"/>
      <c r="AQ83" s="708"/>
      <c r="AR83" s="708"/>
      <c r="AS83" s="708"/>
      <c r="AT83" s="708"/>
      <c r="AU83" s="708"/>
      <c r="AV83" s="708"/>
      <c r="AW83" s="708"/>
      <c r="AX83" s="708"/>
      <c r="AY83" s="708"/>
      <c r="AZ83" s="708"/>
      <c r="BA83" s="708"/>
      <c r="BB83" s="708"/>
      <c r="BC83" s="708"/>
      <c r="BD83" s="708"/>
      <c r="BE83" s="708"/>
      <c r="BF83" s="708"/>
      <c r="BG83" s="708"/>
      <c r="BH83" s="708"/>
      <c r="BI83" s="708"/>
      <c r="BJ83" s="708"/>
      <c r="BK83" s="708"/>
      <c r="BL83" s="708"/>
      <c r="BM83" s="708"/>
      <c r="BN83" s="708"/>
      <c r="BO83" s="708"/>
      <c r="BP83" s="708"/>
      <c r="BQ83" s="708"/>
      <c r="BR83" s="708"/>
      <c r="BS83" s="708"/>
      <c r="BT83" s="708"/>
      <c r="BU83" s="708"/>
      <c r="BV83" s="708"/>
      <c r="BW83" s="708"/>
      <c r="BX83" s="708"/>
      <c r="BY83" s="708"/>
      <c r="BZ83" s="708"/>
      <c r="CA83" s="708"/>
      <c r="CB83" s="708"/>
      <c r="CC83" s="708"/>
      <c r="CD83" s="708"/>
      <c r="CE83" s="708"/>
      <c r="CF83" s="708"/>
      <c r="CG83" s="708"/>
      <c r="CH83" s="708"/>
      <c r="CI83" s="708"/>
      <c r="CJ83" s="708"/>
      <c r="CK83" s="708"/>
      <c r="CL83" s="708"/>
    </row>
    <row r="84" spans="1:90" s="535" customFormat="1" ht="33.6" customHeight="1">
      <c r="C84" s="537"/>
      <c r="D84" s="537"/>
      <c r="E84" s="705" t="s">
        <v>572</v>
      </c>
      <c r="G84" s="676"/>
      <c r="H84" s="695"/>
      <c r="I84" s="695"/>
      <c r="J84" s="695"/>
      <c r="K84" s="695"/>
      <c r="L84" s="695"/>
      <c r="M84" s="695"/>
      <c r="N84" s="695"/>
      <c r="O84" s="695"/>
      <c r="P84" s="695"/>
      <c r="Q84" s="695"/>
      <c r="R84" s="695"/>
      <c r="S84" s="695"/>
      <c r="T84" s="695"/>
      <c r="U84" s="671"/>
      <c r="V84" s="671"/>
      <c r="W84" s="671"/>
      <c r="X84" s="671"/>
      <c r="Y84" s="676"/>
      <c r="Z84" s="676"/>
      <c r="AA84" s="676"/>
      <c r="AB84" s="676"/>
      <c r="AC84" s="676"/>
      <c r="AD84" s="676"/>
      <c r="AE84" s="676"/>
      <c r="AF84" s="676"/>
      <c r="AG84" s="676"/>
      <c r="AH84" s="679"/>
      <c r="AI84" s="676"/>
      <c r="AJ84" s="713"/>
      <c r="AK84" s="708"/>
      <c r="AL84" s="708"/>
      <c r="AM84" s="708"/>
      <c r="AN84" s="708"/>
      <c r="AO84" s="708"/>
      <c r="AP84" s="708"/>
      <c r="AQ84" s="708"/>
      <c r="AR84" s="708"/>
      <c r="AS84" s="708"/>
      <c r="AT84" s="708"/>
      <c r="AU84" s="708"/>
      <c r="AV84" s="708"/>
      <c r="AW84" s="708"/>
      <c r="AX84" s="708"/>
      <c r="AY84" s="708"/>
      <c r="AZ84" s="708"/>
      <c r="BA84" s="708"/>
      <c r="BB84" s="708"/>
      <c r="BC84" s="708"/>
      <c r="BD84" s="708"/>
      <c r="BE84" s="708"/>
      <c r="BF84" s="708"/>
      <c r="BG84" s="708"/>
      <c r="BH84" s="708"/>
      <c r="BI84" s="708"/>
      <c r="BJ84" s="708"/>
      <c r="BK84" s="708"/>
      <c r="BL84" s="708"/>
      <c r="BM84" s="708"/>
      <c r="BN84" s="708"/>
      <c r="BO84" s="708"/>
      <c r="BP84" s="708"/>
      <c r="BQ84" s="708"/>
      <c r="BR84" s="708"/>
      <c r="BS84" s="708"/>
      <c r="BT84" s="708"/>
      <c r="BU84" s="708"/>
      <c r="BV84" s="708"/>
      <c r="BW84" s="708"/>
      <c r="BX84" s="708"/>
      <c r="BY84" s="708"/>
      <c r="BZ84" s="708"/>
      <c r="CA84" s="708"/>
      <c r="CB84" s="708"/>
      <c r="CC84" s="708"/>
      <c r="CD84" s="708"/>
      <c r="CE84" s="708"/>
      <c r="CF84" s="708"/>
      <c r="CG84" s="708"/>
      <c r="CH84" s="708"/>
      <c r="CI84" s="708"/>
      <c r="CJ84" s="708"/>
      <c r="CK84" s="708"/>
      <c r="CL84" s="708"/>
    </row>
    <row r="85" spans="1:90" s="535" customFormat="1" ht="33.6" customHeight="1">
      <c r="C85" s="537"/>
      <c r="D85" s="537"/>
      <c r="E85" s="868" t="s">
        <v>261</v>
      </c>
      <c r="F85" s="868"/>
      <c r="G85" s="671"/>
      <c r="H85" s="671"/>
      <c r="I85" s="671"/>
      <c r="J85" s="671"/>
      <c r="K85" s="671"/>
      <c r="L85" s="671"/>
      <c r="M85" s="671"/>
      <c r="N85" s="671"/>
      <c r="O85" s="671"/>
      <c r="P85" s="671"/>
      <c r="Q85" s="671"/>
      <c r="R85" s="671"/>
      <c r="S85" s="671"/>
      <c r="T85" s="671"/>
      <c r="U85" s="671"/>
      <c r="V85" s="671"/>
      <c r="W85" s="671"/>
      <c r="X85" s="671"/>
      <c r="Y85" s="676"/>
      <c r="Z85" s="676"/>
      <c r="AA85" s="676"/>
      <c r="AB85" s="676"/>
      <c r="AC85" s="676"/>
      <c r="AD85" s="676"/>
      <c r="AE85" s="676"/>
      <c r="AF85" s="676"/>
      <c r="AG85" s="676"/>
      <c r="AH85" s="679"/>
      <c r="AI85" s="676"/>
      <c r="AJ85" s="713"/>
      <c r="AK85" s="708"/>
      <c r="AL85" s="708"/>
      <c r="AM85" s="708"/>
      <c r="AN85" s="708"/>
      <c r="AO85" s="708"/>
      <c r="AP85" s="708"/>
      <c r="AQ85" s="708"/>
      <c r="AR85" s="708"/>
      <c r="AS85" s="708"/>
      <c r="AT85" s="708"/>
      <c r="AU85" s="708"/>
      <c r="AV85" s="708"/>
      <c r="AW85" s="708"/>
      <c r="AX85" s="708"/>
      <c r="AY85" s="708"/>
      <c r="AZ85" s="708"/>
      <c r="BA85" s="708"/>
      <c r="BB85" s="708"/>
      <c r="BC85" s="708"/>
      <c r="BD85" s="708"/>
      <c r="BE85" s="708"/>
      <c r="BF85" s="708"/>
      <c r="BG85" s="708"/>
      <c r="BH85" s="708"/>
      <c r="BI85" s="708"/>
      <c r="BJ85" s="708"/>
      <c r="BK85" s="708"/>
      <c r="BL85" s="708"/>
      <c r="BM85" s="708"/>
      <c r="BN85" s="708"/>
      <c r="BO85" s="708"/>
      <c r="BP85" s="708"/>
      <c r="BQ85" s="708"/>
      <c r="BR85" s="708"/>
      <c r="BS85" s="708"/>
      <c r="BT85" s="708"/>
      <c r="BU85" s="708"/>
      <c r="BV85" s="708"/>
      <c r="BW85" s="708"/>
      <c r="BX85" s="708"/>
      <c r="BY85" s="708"/>
      <c r="BZ85" s="708"/>
      <c r="CA85" s="708"/>
      <c r="CB85" s="708"/>
      <c r="CC85" s="708"/>
      <c r="CD85" s="708"/>
      <c r="CE85" s="708"/>
      <c r="CF85" s="708"/>
      <c r="CG85" s="708"/>
      <c r="CH85" s="708"/>
      <c r="CI85" s="708"/>
      <c r="CJ85" s="708"/>
      <c r="CK85" s="708"/>
      <c r="CL85" s="708"/>
    </row>
    <row r="86" spans="1:90" s="675" customFormat="1" ht="17.25" customHeight="1">
      <c r="C86" s="537"/>
      <c r="D86" s="537"/>
      <c r="E86" s="706">
        <v>1</v>
      </c>
      <c r="F86" s="707" t="s">
        <v>260</v>
      </c>
      <c r="G86" s="671"/>
      <c r="H86" s="671"/>
      <c r="I86" s="671"/>
      <c r="J86" s="671"/>
      <c r="K86" s="671"/>
      <c r="L86" s="671"/>
      <c r="M86" s="671"/>
      <c r="N86" s="671"/>
      <c r="O86" s="671"/>
      <c r="P86" s="671"/>
      <c r="Q86" s="671"/>
      <c r="R86" s="671"/>
      <c r="S86" s="671"/>
      <c r="T86" s="671"/>
      <c r="U86" s="671"/>
      <c r="V86" s="671"/>
      <c r="W86" s="671"/>
      <c r="X86" s="671"/>
      <c r="Y86" s="676"/>
      <c r="Z86" s="678"/>
      <c r="AA86" s="678"/>
      <c r="AB86" s="678"/>
      <c r="AC86" s="678"/>
      <c r="AD86" s="678"/>
      <c r="AE86" s="678"/>
      <c r="AF86" s="678"/>
      <c r="AG86" s="678"/>
      <c r="AH86" s="680"/>
      <c r="AI86" s="678"/>
      <c r="AJ86" s="715"/>
      <c r="AK86" s="712"/>
      <c r="AL86" s="712"/>
      <c r="AM86" s="712"/>
      <c r="AN86" s="712"/>
      <c r="AO86" s="712"/>
      <c r="AP86" s="712"/>
      <c r="AQ86" s="712"/>
      <c r="AR86" s="712"/>
      <c r="AS86" s="712"/>
      <c r="AT86" s="712"/>
      <c r="AU86" s="712"/>
      <c r="AV86" s="712"/>
      <c r="AW86" s="712"/>
      <c r="AX86" s="712"/>
      <c r="AY86" s="712"/>
      <c r="AZ86" s="712"/>
      <c r="BA86" s="712"/>
      <c r="BB86" s="712"/>
      <c r="BC86" s="712"/>
      <c r="BD86" s="712"/>
      <c r="BE86" s="712"/>
      <c r="BF86" s="712"/>
      <c r="BG86" s="712"/>
      <c r="BH86" s="712"/>
      <c r="BI86" s="712"/>
      <c r="BJ86" s="712"/>
      <c r="BK86" s="712"/>
      <c r="BL86" s="712"/>
      <c r="BM86" s="712"/>
      <c r="BN86" s="712"/>
      <c r="BO86" s="712"/>
      <c r="BP86" s="712"/>
      <c r="BQ86" s="712"/>
      <c r="BR86" s="712"/>
      <c r="BS86" s="712"/>
      <c r="BT86" s="712"/>
      <c r="BU86" s="712"/>
      <c r="BV86" s="712"/>
      <c r="BW86" s="712"/>
      <c r="BX86" s="712"/>
      <c r="BY86" s="712"/>
      <c r="BZ86" s="712"/>
      <c r="CA86" s="712"/>
      <c r="CB86" s="712"/>
      <c r="CC86" s="712"/>
      <c r="CD86" s="712"/>
      <c r="CE86" s="712"/>
      <c r="CF86" s="712"/>
      <c r="CG86" s="712"/>
      <c r="CH86" s="712"/>
      <c r="CI86" s="712"/>
      <c r="CJ86" s="712"/>
      <c r="CK86" s="712"/>
      <c r="CL86" s="712"/>
    </row>
    <row r="87" spans="1:90" s="535" customFormat="1" ht="14.4">
      <c r="C87" s="537"/>
      <c r="D87" s="537"/>
      <c r="E87" s="706">
        <v>2</v>
      </c>
      <c r="F87" s="707" t="s">
        <v>259</v>
      </c>
      <c r="G87" s="671"/>
      <c r="H87" s="671"/>
      <c r="I87" s="671"/>
      <c r="J87" s="671"/>
      <c r="K87" s="671"/>
      <c r="L87" s="671"/>
      <c r="M87" s="671"/>
      <c r="N87" s="671"/>
      <c r="O87" s="671"/>
      <c r="P87" s="671"/>
      <c r="Q87" s="671"/>
      <c r="R87" s="671"/>
      <c r="S87" s="671"/>
      <c r="T87" s="671"/>
      <c r="U87" s="671"/>
      <c r="V87" s="671"/>
      <c r="W87" s="671"/>
      <c r="X87" s="671"/>
      <c r="AA87" s="676"/>
      <c r="AB87" s="676"/>
      <c r="AC87" s="676"/>
      <c r="AD87" s="676"/>
      <c r="AE87" s="676"/>
      <c r="AF87" s="676"/>
      <c r="AG87" s="676"/>
      <c r="AH87" s="676"/>
      <c r="AI87" s="676"/>
      <c r="AJ87" s="713"/>
      <c r="AK87" s="708"/>
      <c r="AL87" s="708"/>
      <c r="AM87" s="708"/>
      <c r="AN87" s="708"/>
      <c r="AO87" s="708"/>
      <c r="AP87" s="708"/>
      <c r="AQ87" s="708"/>
      <c r="AR87" s="708"/>
      <c r="AS87" s="708"/>
      <c r="AT87" s="708"/>
      <c r="AU87" s="708"/>
      <c r="AV87" s="708"/>
      <c r="AW87" s="708"/>
      <c r="AX87" s="708"/>
      <c r="AY87" s="708"/>
      <c r="AZ87" s="708"/>
      <c r="BA87" s="708"/>
      <c r="BB87" s="708"/>
      <c r="BC87" s="708"/>
      <c r="BD87" s="708"/>
      <c r="BE87" s="708"/>
      <c r="BF87" s="708"/>
      <c r="BG87" s="708"/>
      <c r="BH87" s="708"/>
      <c r="BI87" s="708"/>
      <c r="BJ87" s="708"/>
      <c r="BK87" s="708"/>
      <c r="BL87" s="708"/>
      <c r="BM87" s="708"/>
      <c r="BN87" s="708"/>
      <c r="BO87" s="708"/>
      <c r="BP87" s="708"/>
      <c r="BQ87" s="708"/>
      <c r="BR87" s="708"/>
      <c r="BS87" s="708"/>
      <c r="BT87" s="708"/>
      <c r="BU87" s="708"/>
      <c r="BV87" s="708"/>
      <c r="BW87" s="708"/>
      <c r="BX87" s="708"/>
      <c r="BY87" s="708"/>
      <c r="BZ87" s="708"/>
      <c r="CA87" s="708"/>
      <c r="CB87" s="708"/>
      <c r="CC87" s="708"/>
      <c r="CD87" s="708"/>
      <c r="CE87" s="708"/>
      <c r="CF87" s="708"/>
      <c r="CG87" s="708"/>
      <c r="CH87" s="708"/>
      <c r="CI87" s="708"/>
      <c r="CJ87" s="708"/>
      <c r="CK87" s="708"/>
      <c r="CL87" s="708"/>
    </row>
    <row r="88" spans="1:90" s="535" customFormat="1" ht="14.4">
      <c r="C88" s="537"/>
      <c r="D88" s="537"/>
      <c r="E88" s="706">
        <v>3</v>
      </c>
      <c r="F88" s="707" t="s">
        <v>258</v>
      </c>
      <c r="G88" s="671"/>
      <c r="H88" s="671"/>
      <c r="I88" s="671"/>
      <c r="J88" s="671"/>
      <c r="K88" s="671"/>
      <c r="L88" s="671"/>
      <c r="M88" s="671"/>
      <c r="N88" s="671"/>
      <c r="O88" s="671"/>
      <c r="P88" s="671"/>
      <c r="Q88" s="671"/>
      <c r="R88" s="671"/>
      <c r="S88" s="671"/>
      <c r="T88" s="671"/>
      <c r="U88" s="671"/>
      <c r="V88" s="687"/>
      <c r="W88" s="671"/>
      <c r="X88" s="671"/>
      <c r="AA88" s="676"/>
      <c r="AB88" s="676"/>
      <c r="AC88" s="676"/>
      <c r="AD88" s="676"/>
      <c r="AE88" s="676"/>
      <c r="AF88" s="676"/>
      <c r="AG88" s="676"/>
      <c r="AH88" s="676"/>
      <c r="AI88" s="676"/>
      <c r="AJ88" s="713"/>
      <c r="AK88" s="708"/>
      <c r="AL88" s="708"/>
      <c r="AM88" s="708"/>
      <c r="AN88" s="708"/>
      <c r="AO88" s="708"/>
      <c r="AP88" s="708"/>
      <c r="AQ88" s="708"/>
      <c r="AR88" s="708"/>
      <c r="AS88" s="708"/>
      <c r="AT88" s="708"/>
      <c r="AU88" s="708"/>
      <c r="AV88" s="708"/>
      <c r="AW88" s="708"/>
      <c r="AX88" s="708"/>
      <c r="AY88" s="708"/>
      <c r="AZ88" s="708"/>
      <c r="BA88" s="708"/>
      <c r="BB88" s="708"/>
      <c r="BC88" s="708"/>
      <c r="BD88" s="708"/>
      <c r="BE88" s="708"/>
      <c r="BF88" s="708"/>
      <c r="BG88" s="708"/>
      <c r="BH88" s="708"/>
      <c r="BI88" s="708"/>
      <c r="BJ88" s="708"/>
      <c r="BK88" s="708"/>
      <c r="BL88" s="708"/>
      <c r="BM88" s="708"/>
      <c r="BN88" s="708"/>
      <c r="BO88" s="708"/>
      <c r="BP88" s="708"/>
      <c r="BQ88" s="708"/>
      <c r="BR88" s="708"/>
      <c r="BS88" s="708"/>
      <c r="BT88" s="708"/>
      <c r="BU88" s="708"/>
      <c r="BV88" s="708"/>
      <c r="BW88" s="708"/>
      <c r="BX88" s="708"/>
      <c r="BY88" s="708"/>
      <c r="BZ88" s="708"/>
      <c r="CA88" s="708"/>
      <c r="CB88" s="708"/>
      <c r="CC88" s="708"/>
      <c r="CD88" s="708"/>
      <c r="CE88" s="708"/>
      <c r="CF88" s="708"/>
      <c r="CG88" s="708"/>
      <c r="CH88" s="708"/>
      <c r="CI88" s="708"/>
      <c r="CJ88" s="708"/>
      <c r="CK88" s="708"/>
      <c r="CL88" s="708"/>
    </row>
    <row r="89" spans="1:90" s="535" customFormat="1" ht="14.4">
      <c r="B89" s="677"/>
      <c r="E89" s="706">
        <v>4</v>
      </c>
      <c r="F89" s="707" t="s">
        <v>257</v>
      </c>
      <c r="G89" s="677"/>
      <c r="H89" s="677"/>
      <c r="I89" s="677"/>
      <c r="J89" s="677"/>
      <c r="K89" s="677"/>
      <c r="L89" s="677"/>
      <c r="M89" s="677"/>
      <c r="N89" s="677"/>
      <c r="O89" s="677"/>
      <c r="P89" s="677"/>
      <c r="Q89" s="677"/>
      <c r="R89" s="677"/>
      <c r="S89" s="671"/>
      <c r="T89" s="671"/>
      <c r="U89" s="671"/>
      <c r="V89" s="687"/>
      <c r="W89" s="671"/>
      <c r="X89" s="671"/>
      <c r="AA89" s="676"/>
      <c r="AB89" s="676"/>
      <c r="AC89" s="676"/>
      <c r="AD89" s="676"/>
      <c r="AE89" s="676"/>
      <c r="AF89" s="676"/>
      <c r="AG89" s="676"/>
      <c r="AH89" s="676"/>
      <c r="AI89" s="676"/>
      <c r="AJ89" s="713"/>
      <c r="AK89" s="708"/>
      <c r="AL89" s="708"/>
      <c r="AM89" s="708"/>
      <c r="AN89" s="708"/>
      <c r="AO89" s="708"/>
      <c r="AP89" s="708"/>
      <c r="AQ89" s="708"/>
      <c r="AR89" s="708"/>
      <c r="AS89" s="708"/>
      <c r="AT89" s="708"/>
      <c r="AU89" s="708"/>
      <c r="AV89" s="708"/>
      <c r="AW89" s="708"/>
      <c r="AX89" s="708"/>
      <c r="AY89" s="708"/>
      <c r="AZ89" s="708"/>
      <c r="BA89" s="708"/>
      <c r="BB89" s="708"/>
      <c r="BC89" s="708"/>
      <c r="BD89" s="708"/>
      <c r="BE89" s="708"/>
      <c r="BF89" s="708"/>
      <c r="BG89" s="708"/>
      <c r="BH89" s="708"/>
      <c r="BI89" s="708"/>
      <c r="BJ89" s="708"/>
      <c r="BK89" s="708"/>
      <c r="BL89" s="708"/>
      <c r="BM89" s="708"/>
      <c r="BN89" s="708"/>
      <c r="BO89" s="708"/>
      <c r="BP89" s="708"/>
      <c r="BQ89" s="708"/>
      <c r="BR89" s="708"/>
      <c r="BS89" s="708"/>
      <c r="BT89" s="708"/>
      <c r="BU89" s="708"/>
      <c r="BV89" s="708"/>
      <c r="BW89" s="708"/>
      <c r="BX89" s="708"/>
      <c r="BY89" s="708"/>
      <c r="BZ89" s="708"/>
      <c r="CA89" s="708"/>
      <c r="CB89" s="708"/>
      <c r="CC89" s="708"/>
      <c r="CD89" s="708"/>
      <c r="CE89" s="708"/>
      <c r="CF89" s="708"/>
      <c r="CG89" s="708"/>
      <c r="CH89" s="708"/>
      <c r="CI89" s="708"/>
      <c r="CJ89" s="708"/>
      <c r="CK89" s="708"/>
      <c r="CL89" s="708"/>
    </row>
    <row r="90" spans="1:90" s="535" customFormat="1" ht="33.6" customHeight="1">
      <c r="B90" s="677"/>
      <c r="E90" s="706">
        <v>5</v>
      </c>
      <c r="F90" s="707" t="s">
        <v>614</v>
      </c>
      <c r="G90" s="677"/>
      <c r="H90" s="677"/>
      <c r="I90" s="677"/>
      <c r="J90" s="677"/>
      <c r="K90" s="677"/>
      <c r="L90" s="677"/>
      <c r="M90" s="677"/>
      <c r="N90" s="677"/>
      <c r="O90" s="677"/>
      <c r="P90" s="677"/>
      <c r="Q90" s="677"/>
      <c r="R90" s="677"/>
      <c r="S90" s="671"/>
      <c r="T90" s="671"/>
      <c r="U90" s="671"/>
      <c r="V90" s="671"/>
      <c r="W90" s="671"/>
      <c r="X90" s="671"/>
      <c r="AA90" s="676"/>
      <c r="AB90" s="676"/>
      <c r="AC90" s="676"/>
      <c r="AD90" s="676"/>
      <c r="AE90" s="676"/>
      <c r="AF90" s="676"/>
      <c r="AG90" s="676"/>
      <c r="AH90" s="676"/>
      <c r="AI90" s="676"/>
      <c r="AJ90" s="713"/>
      <c r="AK90" s="708"/>
      <c r="AL90" s="708"/>
      <c r="AM90" s="708"/>
      <c r="AN90" s="708"/>
      <c r="AO90" s="708"/>
      <c r="AP90" s="708"/>
      <c r="AQ90" s="708"/>
      <c r="AR90" s="708"/>
      <c r="AS90" s="708"/>
      <c r="AT90" s="708"/>
      <c r="AU90" s="708"/>
      <c r="AV90" s="708"/>
      <c r="AW90" s="708"/>
      <c r="AX90" s="708"/>
      <c r="AY90" s="708"/>
      <c r="AZ90" s="708"/>
      <c r="BA90" s="708"/>
      <c r="BB90" s="708"/>
      <c r="BC90" s="708"/>
      <c r="BD90" s="708"/>
      <c r="BE90" s="708"/>
      <c r="BF90" s="708"/>
      <c r="BG90" s="708"/>
      <c r="BH90" s="708"/>
      <c r="BI90" s="708"/>
      <c r="BJ90" s="708"/>
      <c r="BK90" s="708"/>
      <c r="BL90" s="708"/>
      <c r="BM90" s="708"/>
      <c r="BN90" s="708"/>
      <c r="BO90" s="708"/>
      <c r="BP90" s="708"/>
      <c r="BQ90" s="708"/>
      <c r="BR90" s="708"/>
      <c r="BS90" s="708"/>
      <c r="BT90" s="708"/>
      <c r="BU90" s="708"/>
      <c r="BV90" s="708"/>
      <c r="BW90" s="708"/>
      <c r="BX90" s="708"/>
      <c r="BY90" s="708"/>
      <c r="BZ90" s="708"/>
      <c r="CA90" s="708"/>
      <c r="CB90" s="708"/>
      <c r="CC90" s="708"/>
      <c r="CD90" s="708"/>
      <c r="CE90" s="708"/>
      <c r="CF90" s="708"/>
      <c r="CG90" s="708"/>
      <c r="CH90" s="708"/>
      <c r="CI90" s="708"/>
      <c r="CJ90" s="708"/>
      <c r="CK90" s="708"/>
      <c r="CL90" s="708"/>
    </row>
    <row r="91" spans="1:90" s="708" customFormat="1" ht="33.6" customHeight="1">
      <c r="B91" s="714"/>
      <c r="E91" s="705" t="s">
        <v>573</v>
      </c>
      <c r="G91" s="714"/>
      <c r="H91" s="714"/>
      <c r="I91" s="714"/>
      <c r="J91" s="714"/>
      <c r="K91" s="714"/>
      <c r="L91" s="714"/>
      <c r="M91" s="714"/>
      <c r="N91" s="714"/>
      <c r="O91" s="714"/>
      <c r="P91" s="714"/>
      <c r="Q91" s="714"/>
      <c r="R91" s="714"/>
      <c r="S91" s="711"/>
      <c r="T91" s="711"/>
      <c r="U91" s="711"/>
      <c r="V91" s="711"/>
      <c r="W91" s="711"/>
      <c r="X91" s="711"/>
      <c r="AA91" s="713"/>
      <c r="AB91" s="713"/>
      <c r="AC91" s="713"/>
      <c r="AD91" s="713"/>
      <c r="AE91" s="713"/>
      <c r="AF91" s="713"/>
      <c r="AG91" s="713"/>
      <c r="AH91" s="713"/>
      <c r="AI91" s="713"/>
      <c r="AJ91" s="713"/>
    </row>
    <row r="92" spans="1:90" s="710" customFormat="1" ht="33.6" customHeight="1">
      <c r="A92" s="711"/>
      <c r="B92" s="716"/>
      <c r="C92" s="711"/>
      <c r="E92" s="722">
        <v>1</v>
      </c>
      <c r="F92" s="721" t="s">
        <v>574</v>
      </c>
      <c r="G92" s="195"/>
      <c r="H92" s="521"/>
      <c r="I92" s="714"/>
      <c r="J92" s="714"/>
      <c r="K92" s="714"/>
      <c r="L92" s="714"/>
      <c r="M92" s="714"/>
      <c r="N92" s="714"/>
      <c r="O92" s="714"/>
      <c r="P92" s="714"/>
      <c r="Q92" s="714"/>
      <c r="R92" s="714"/>
      <c r="V92" s="711"/>
      <c r="W92" s="711"/>
      <c r="X92" s="711"/>
      <c r="Y92" s="711"/>
    </row>
    <row r="93" spans="1:90" s="710" customFormat="1" ht="33.6" customHeight="1">
      <c r="B93" s="714"/>
      <c r="E93" s="723" t="s">
        <v>364</v>
      </c>
      <c r="F93" s="721" t="s">
        <v>575</v>
      </c>
      <c r="G93" s="195"/>
      <c r="H93" s="521"/>
      <c r="I93" s="714"/>
      <c r="J93" s="714"/>
      <c r="K93" s="714"/>
      <c r="L93" s="714"/>
      <c r="M93" s="714"/>
      <c r="N93" s="714"/>
      <c r="O93" s="714"/>
      <c r="P93" s="714"/>
      <c r="Q93" s="714"/>
      <c r="R93" s="714"/>
      <c r="V93" s="711"/>
      <c r="W93" s="711"/>
      <c r="X93" s="711"/>
    </row>
    <row r="94" spans="1:90" s="710" customFormat="1" ht="14.4">
      <c r="B94" s="714"/>
      <c r="E94" s="195"/>
      <c r="F94" s="195"/>
      <c r="G94" s="195"/>
      <c r="H94" s="521"/>
      <c r="I94" s="714"/>
      <c r="J94" s="714"/>
      <c r="K94" s="714"/>
      <c r="L94" s="714"/>
      <c r="M94" s="714"/>
      <c r="N94" s="714"/>
      <c r="O94" s="714"/>
      <c r="P94" s="714"/>
      <c r="Q94" s="714"/>
      <c r="R94" s="714"/>
    </row>
    <row r="95" spans="1:90" s="708" customFormat="1">
      <c r="B95" s="714"/>
      <c r="C95" s="714"/>
      <c r="E95" s="521" t="s">
        <v>250</v>
      </c>
      <c r="F95" s="733">
        <f ca="1">+'Simulador - 1º Pilar'!$G$50</f>
        <v>378745.7074676209</v>
      </c>
      <c r="G95" s="521"/>
      <c r="H95" s="557"/>
      <c r="I95" s="714"/>
      <c r="J95" s="714"/>
      <c r="K95" s="714"/>
      <c r="L95" s="714"/>
      <c r="M95" s="714"/>
      <c r="N95" s="714"/>
      <c r="O95" s="714"/>
      <c r="P95" s="714"/>
      <c r="Q95" s="714"/>
      <c r="R95" s="714"/>
    </row>
    <row r="96" spans="1:90" s="708" customFormat="1">
      <c r="B96" s="714"/>
      <c r="C96" s="714"/>
      <c r="E96" s="725" t="s">
        <v>255</v>
      </c>
      <c r="F96" s="726">
        <f ca="1">F108</f>
        <v>3.3392565865424481E-2</v>
      </c>
      <c r="G96" s="521"/>
      <c r="H96" s="557"/>
      <c r="I96" s="714"/>
      <c r="J96" s="714"/>
      <c r="K96" s="714"/>
      <c r="L96" s="714"/>
      <c r="M96" s="714"/>
      <c r="N96" s="714"/>
      <c r="O96" s="714"/>
      <c r="P96" s="714"/>
      <c r="Q96" s="714"/>
      <c r="R96" s="714"/>
    </row>
    <row r="97" spans="1:48" s="708" customFormat="1">
      <c r="A97" s="713"/>
      <c r="B97" s="716"/>
      <c r="C97" s="716"/>
      <c r="E97" s="725" t="s">
        <v>396</v>
      </c>
      <c r="F97" s="726">
        <f ca="1">F109</f>
        <v>1.2313493138510068E-2</v>
      </c>
      <c r="G97" s="521"/>
      <c r="H97" s="724"/>
      <c r="I97" s="716"/>
      <c r="J97" s="716"/>
      <c r="K97" s="716"/>
      <c r="L97" s="716"/>
      <c r="M97" s="716"/>
      <c r="N97" s="716"/>
      <c r="O97" s="716"/>
      <c r="P97" s="716"/>
      <c r="Q97" s="716"/>
      <c r="R97" s="716"/>
      <c r="S97" s="713"/>
      <c r="T97" s="713"/>
      <c r="U97" s="713"/>
      <c r="V97" s="713"/>
    </row>
    <row r="98" spans="1:48" s="708" customFormat="1">
      <c r="A98" s="713"/>
      <c r="B98" s="717"/>
      <c r="C98" s="717"/>
      <c r="E98" s="725" t="s">
        <v>312</v>
      </c>
      <c r="F98" s="726">
        <f ca="1">MAX(100%-F96-F97,0)</f>
        <v>0.95429394099606546</v>
      </c>
      <c r="G98" s="521"/>
      <c r="H98" s="704"/>
      <c r="I98" s="717"/>
      <c r="J98" s="717"/>
      <c r="K98" s="717"/>
      <c r="L98" s="717"/>
      <c r="M98" s="717"/>
      <c r="N98" s="717"/>
      <c r="O98" s="718"/>
      <c r="P98" s="717"/>
      <c r="Q98" s="717"/>
      <c r="R98" s="717"/>
      <c r="S98" s="717"/>
      <c r="T98" s="717"/>
      <c r="U98" s="717"/>
      <c r="V98" s="715"/>
    </row>
    <row r="99" spans="1:48" s="708" customFormat="1">
      <c r="B99" s="714"/>
      <c r="C99" s="714"/>
      <c r="E99" s="521" t="s">
        <v>576</v>
      </c>
      <c r="F99" s="580">
        <f ca="1">+F96+F97</f>
        <v>4.5706059003934547E-2</v>
      </c>
      <c r="H99" s="557"/>
      <c r="I99" s="714"/>
      <c r="J99" s="714"/>
      <c r="K99" s="714"/>
      <c r="L99" s="714"/>
      <c r="M99" s="714"/>
      <c r="N99" s="714"/>
      <c r="O99" s="714"/>
      <c r="P99" s="714"/>
      <c r="Q99" s="714"/>
      <c r="R99" s="714"/>
    </row>
    <row r="100" spans="1:48" s="708" customFormat="1">
      <c r="B100" s="714"/>
      <c r="C100" s="714"/>
      <c r="E100" s="195" t="s">
        <v>577</v>
      </c>
      <c r="F100" s="580">
        <f ca="1">MAX(100%-F99,0)</f>
        <v>0.95429394099606546</v>
      </c>
      <c r="H100" s="557"/>
      <c r="I100" s="714"/>
      <c r="J100" s="714"/>
      <c r="K100" s="714"/>
      <c r="L100" s="714"/>
      <c r="M100" s="714"/>
      <c r="N100" s="714"/>
      <c r="O100" s="714"/>
      <c r="P100" s="714"/>
      <c r="Q100" s="714"/>
      <c r="R100" s="714"/>
      <c r="AI100" s="714"/>
      <c r="AJ100" s="714"/>
      <c r="AK100" s="714"/>
      <c r="AL100" s="714"/>
      <c r="AM100" s="714"/>
      <c r="AN100" s="714"/>
      <c r="AO100" s="714"/>
      <c r="AP100" s="714"/>
      <c r="AQ100" s="714"/>
      <c r="AR100" s="714"/>
      <c r="AS100" s="714"/>
      <c r="AT100" s="714"/>
      <c r="AU100" s="714"/>
      <c r="AV100" s="714"/>
    </row>
    <row r="101" spans="1:48" s="708" customFormat="1" ht="33.6" customHeight="1">
      <c r="B101" s="714"/>
      <c r="C101" s="719"/>
      <c r="D101" s="719"/>
      <c r="E101" s="521"/>
      <c r="F101" s="521"/>
      <c r="G101" s="521"/>
      <c r="H101" s="521"/>
      <c r="I101" s="714"/>
      <c r="J101" s="714"/>
      <c r="K101" s="714"/>
      <c r="L101" s="714"/>
      <c r="M101" s="714"/>
      <c r="N101" s="714"/>
      <c r="O101" s="714"/>
      <c r="P101" s="714"/>
      <c r="Q101" s="714"/>
      <c r="R101" s="714"/>
      <c r="AI101" s="714"/>
      <c r="AJ101" s="714"/>
      <c r="AK101" s="714"/>
      <c r="AL101" s="714"/>
      <c r="AM101" s="714"/>
      <c r="AN101" s="714"/>
      <c r="AO101" s="714"/>
      <c r="AP101" s="714"/>
      <c r="AQ101" s="714"/>
      <c r="AR101" s="714"/>
      <c r="AS101" s="714"/>
      <c r="AT101" s="714"/>
      <c r="AU101" s="714"/>
      <c r="AV101" s="714"/>
    </row>
    <row r="102" spans="1:48" s="708" customFormat="1" ht="33.6" customHeight="1">
      <c r="B102" s="714"/>
      <c r="C102" s="719"/>
      <c r="D102" s="719"/>
      <c r="E102" s="521"/>
      <c r="F102" s="521"/>
      <c r="G102" s="521"/>
      <c r="H102" s="521"/>
      <c r="I102" s="714"/>
      <c r="J102" s="714"/>
      <c r="K102" s="714"/>
      <c r="L102" s="714"/>
      <c r="M102" s="714"/>
      <c r="N102" s="714"/>
      <c r="O102" s="714"/>
      <c r="P102" s="714"/>
      <c r="Q102" s="714"/>
      <c r="R102" s="714"/>
      <c r="AI102" s="714"/>
      <c r="AJ102" s="714"/>
      <c r="AK102" s="714"/>
      <c r="AL102" s="714"/>
      <c r="AM102" s="714"/>
      <c r="AN102" s="714"/>
      <c r="AO102" s="714"/>
      <c r="AP102" s="714"/>
      <c r="AQ102" s="714"/>
      <c r="AR102" s="714"/>
      <c r="AS102" s="714"/>
      <c r="AT102" s="714"/>
      <c r="AU102" s="714"/>
      <c r="AV102" s="714"/>
    </row>
    <row r="103" spans="1:48" s="708" customFormat="1" ht="60.75" customHeight="1">
      <c r="B103" s="714"/>
      <c r="C103" s="714"/>
      <c r="D103" s="714"/>
      <c r="E103" s="705" t="s">
        <v>578</v>
      </c>
      <c r="F103" s="714"/>
      <c r="G103" s="714"/>
      <c r="H103" s="714"/>
      <c r="I103" s="714"/>
      <c r="J103" s="714"/>
      <c r="K103" s="714"/>
      <c r="L103" s="714"/>
      <c r="M103" s="714"/>
      <c r="N103" s="714"/>
      <c r="O103" s="714"/>
      <c r="P103" s="714"/>
      <c r="Q103" s="714"/>
      <c r="R103" s="714"/>
      <c r="AI103" s="714"/>
      <c r="AJ103" s="714"/>
      <c r="AK103" s="714"/>
      <c r="AL103" s="714"/>
      <c r="AM103" s="714"/>
      <c r="AN103" s="714"/>
      <c r="AO103" s="714"/>
      <c r="AP103" s="714"/>
      <c r="AQ103" s="714"/>
      <c r="AR103" s="714"/>
      <c r="AS103" s="714"/>
      <c r="AT103" s="714"/>
      <c r="AU103" s="714"/>
      <c r="AV103" s="714"/>
    </row>
    <row r="104" spans="1:48" s="708" customFormat="1" ht="33.6" customHeight="1">
      <c r="B104" s="714"/>
      <c r="C104" s="714"/>
      <c r="D104" s="671"/>
      <c r="E104" s="722">
        <v>3</v>
      </c>
      <c r="F104" s="721" t="s">
        <v>574</v>
      </c>
      <c r="G104" s="535"/>
      <c r="H104" s="714"/>
      <c r="I104" s="714"/>
      <c r="J104" s="714"/>
      <c r="K104" s="714"/>
      <c r="L104" s="714"/>
      <c r="M104" s="714"/>
      <c r="N104" s="714"/>
      <c r="O104" s="714"/>
      <c r="P104" s="714"/>
      <c r="Q104" s="714"/>
      <c r="R104" s="714"/>
      <c r="AI104" s="714"/>
      <c r="AJ104" s="714"/>
      <c r="AK104" s="714"/>
      <c r="AL104" s="714"/>
      <c r="AM104" s="714"/>
      <c r="AN104" s="714"/>
      <c r="AO104" s="714"/>
      <c r="AP104" s="714"/>
      <c r="AQ104" s="714"/>
      <c r="AR104" s="714"/>
      <c r="AS104" s="714"/>
      <c r="AT104" s="714"/>
      <c r="AU104" s="714"/>
      <c r="AV104" s="714"/>
    </row>
    <row r="105" spans="1:48" s="708" customFormat="1" ht="33.6" customHeight="1">
      <c r="B105" s="714"/>
      <c r="C105" s="714"/>
      <c r="D105" s="671"/>
      <c r="E105" s="723" t="s">
        <v>365</v>
      </c>
      <c r="F105" s="721" t="s">
        <v>575</v>
      </c>
      <c r="G105" s="535"/>
      <c r="H105" s="714"/>
      <c r="I105" s="714"/>
      <c r="J105" s="714"/>
      <c r="K105" s="714"/>
      <c r="L105" s="714"/>
      <c r="M105" s="714"/>
      <c r="N105" s="714"/>
      <c r="O105" s="714"/>
      <c r="P105" s="714"/>
      <c r="Q105" s="714"/>
      <c r="R105" s="714"/>
    </row>
    <row r="106" spans="1:48" s="708" customFormat="1" ht="14.4">
      <c r="B106" s="714"/>
      <c r="C106" s="714"/>
      <c r="D106" s="671"/>
      <c r="E106" s="195"/>
      <c r="F106" s="676"/>
      <c r="G106" s="535"/>
      <c r="H106" s="714"/>
      <c r="I106" s="714"/>
      <c r="J106" s="714"/>
      <c r="K106" s="714"/>
      <c r="L106" s="714"/>
      <c r="M106" s="714"/>
      <c r="N106" s="714"/>
      <c r="O106" s="714"/>
      <c r="P106" s="714"/>
      <c r="Q106" s="714"/>
      <c r="R106" s="714"/>
    </row>
    <row r="107" spans="1:48" s="708" customFormat="1">
      <c r="B107" s="714"/>
      <c r="C107" s="714"/>
      <c r="E107" s="521" t="s">
        <v>250</v>
      </c>
      <c r="F107" s="579">
        <f ca="1">F78</f>
        <v>378745.7074676209</v>
      </c>
      <c r="G107" s="521"/>
      <c r="H107" s="714"/>
      <c r="I107" s="714"/>
      <c r="J107" s="714"/>
      <c r="K107" s="714"/>
      <c r="L107" s="714"/>
      <c r="M107" s="714"/>
      <c r="N107" s="714"/>
      <c r="O107" s="714"/>
      <c r="P107" s="714"/>
      <c r="Q107" s="714"/>
      <c r="R107" s="714"/>
    </row>
    <row r="108" spans="1:48" s="708" customFormat="1">
      <c r="B108" s="714"/>
      <c r="C108" s="714"/>
      <c r="E108" s="725" t="s">
        <v>255</v>
      </c>
      <c r="F108" s="726">
        <f ca="1">$T$16</f>
        <v>3.3392565865424481E-2</v>
      </c>
      <c r="G108" s="521"/>
      <c r="H108" s="714"/>
      <c r="I108" s="714"/>
      <c r="J108" s="714"/>
      <c r="K108" s="714"/>
      <c r="L108" s="714"/>
      <c r="M108" s="714"/>
      <c r="N108" s="714"/>
      <c r="O108" s="714"/>
      <c r="P108" s="714"/>
      <c r="Q108" s="714"/>
      <c r="R108" s="714"/>
    </row>
    <row r="109" spans="1:48" s="708" customFormat="1">
      <c r="B109" s="714"/>
      <c r="C109" s="714"/>
      <c r="E109" s="725" t="s">
        <v>254</v>
      </c>
      <c r="F109" s="726">
        <f ca="1">$T$24</f>
        <v>1.2313493138510068E-2</v>
      </c>
      <c r="G109" s="521"/>
      <c r="H109" s="714"/>
      <c r="I109" s="714"/>
      <c r="J109" s="714"/>
      <c r="K109" s="714"/>
      <c r="L109" s="714"/>
      <c r="M109" s="714"/>
      <c r="N109" s="714"/>
      <c r="O109" s="714"/>
      <c r="P109" s="714"/>
      <c r="Q109" s="714"/>
      <c r="R109" s="714"/>
    </row>
    <row r="110" spans="1:48" s="708" customFormat="1">
      <c r="B110" s="714"/>
      <c r="C110" s="714"/>
      <c r="E110" s="725" t="s">
        <v>380</v>
      </c>
      <c r="F110" s="726">
        <f ca="1">$T$40</f>
        <v>0</v>
      </c>
      <c r="G110" s="521"/>
      <c r="H110" s="714"/>
      <c r="I110" s="714"/>
      <c r="J110" s="714"/>
      <c r="K110" s="714"/>
      <c r="L110" s="714"/>
      <c r="M110" s="714"/>
      <c r="N110" s="714"/>
      <c r="O110" s="714"/>
      <c r="P110" s="714"/>
      <c r="Q110" s="714"/>
      <c r="R110" s="714"/>
    </row>
    <row r="111" spans="1:48" s="708" customFormat="1">
      <c r="B111" s="714"/>
      <c r="C111" s="714"/>
      <c r="E111" s="725" t="s">
        <v>367</v>
      </c>
      <c r="F111" s="726">
        <f ca="1">T53</f>
        <v>6.3169907228003926E-4</v>
      </c>
      <c r="H111" s="714"/>
      <c r="I111" s="714"/>
      <c r="J111" s="714"/>
      <c r="K111" s="714"/>
      <c r="L111" s="714"/>
      <c r="M111" s="714"/>
      <c r="N111" s="714"/>
      <c r="O111" s="714"/>
      <c r="P111" s="714"/>
      <c r="Q111" s="714"/>
      <c r="R111" s="714"/>
    </row>
    <row r="112" spans="1:48" s="708" customFormat="1">
      <c r="B112" s="714"/>
      <c r="C112" s="714"/>
      <c r="E112" s="725" t="s">
        <v>312</v>
      </c>
      <c r="F112" s="726">
        <f ca="1">100%-F108-F109-F110-F111</f>
        <v>0.95366224192378546</v>
      </c>
      <c r="H112" s="714"/>
      <c r="I112" s="714"/>
      <c r="J112" s="714"/>
      <c r="K112" s="714"/>
      <c r="L112" s="714"/>
      <c r="M112" s="714"/>
      <c r="N112" s="714"/>
      <c r="O112" s="714"/>
      <c r="P112" s="714"/>
      <c r="Q112" s="714"/>
      <c r="R112" s="714"/>
    </row>
    <row r="113" spans="5:7" s="708" customFormat="1">
      <c r="E113" s="521" t="s">
        <v>576</v>
      </c>
      <c r="F113" s="580">
        <f ca="1">+F108+F109+F110+F111</f>
        <v>4.633775807621459E-2</v>
      </c>
      <c r="G113" s="195"/>
    </row>
    <row r="114" spans="5:7" s="708" customFormat="1">
      <c r="E114" s="195" t="s">
        <v>577</v>
      </c>
      <c r="F114" s="580">
        <f ca="1">MAX(100%-F113,0)</f>
        <v>0.95366224192378546</v>
      </c>
    </row>
    <row r="115" spans="5:7" s="708" customFormat="1" ht="33.6" customHeight="1"/>
    <row r="116" spans="5:7" s="708" customFormat="1" ht="33.6" customHeight="1"/>
    <row r="117" spans="5:7" s="708" customFormat="1" ht="33.6" customHeight="1"/>
    <row r="118" spans="5:7" s="708" customFormat="1" ht="33.6" customHeight="1"/>
    <row r="119" spans="5:7" s="708" customFormat="1" ht="33.6" customHeight="1"/>
    <row r="120" spans="5:7" s="708" customFormat="1" ht="33.6" customHeight="1">
      <c r="E120" s="705" t="s">
        <v>579</v>
      </c>
    </row>
    <row r="121" spans="5:7" s="708" customFormat="1" ht="33.6" customHeight="1">
      <c r="E121" s="722">
        <v>4</v>
      </c>
      <c r="F121" s="721" t="s">
        <v>574</v>
      </c>
    </row>
    <row r="122" spans="5:7" s="708" customFormat="1" ht="33.6" customHeight="1">
      <c r="E122" s="723" t="s">
        <v>366</v>
      </c>
      <c r="F122" s="721" t="s">
        <v>575</v>
      </c>
    </row>
    <row r="123" spans="5:7" s="708" customFormat="1"/>
    <row r="124" spans="5:7" s="708" customFormat="1">
      <c r="E124" s="521" t="s">
        <v>250</v>
      </c>
      <c r="F124" s="579">
        <f ca="1">+'Simulador - 1º Pilar'!$G$50</f>
        <v>378745.7074676209</v>
      </c>
      <c r="G124" s="714"/>
    </row>
    <row r="125" spans="5:7" s="708" customFormat="1">
      <c r="E125" s="725" t="s">
        <v>380</v>
      </c>
      <c r="F125" s="726">
        <f ca="1">F110</f>
        <v>0</v>
      </c>
      <c r="G125" s="714"/>
    </row>
    <row r="126" spans="5:7" s="708" customFormat="1">
      <c r="E126" s="725" t="s">
        <v>367</v>
      </c>
      <c r="F126" s="726">
        <f ca="1">$F$111</f>
        <v>6.3169907228003926E-4</v>
      </c>
      <c r="G126" s="714"/>
    </row>
    <row r="127" spans="5:7" s="708" customFormat="1">
      <c r="E127" s="725" t="s">
        <v>312</v>
      </c>
      <c r="F127" s="726">
        <f ca="1">100%-F125-F126</f>
        <v>0.99936830092772</v>
      </c>
      <c r="G127" s="714"/>
    </row>
    <row r="128" spans="5:7" s="708" customFormat="1">
      <c r="E128" s="521" t="s">
        <v>576</v>
      </c>
      <c r="F128" s="580">
        <f ca="1">+F125+F126</f>
        <v>6.3169907228003926E-4</v>
      </c>
    </row>
    <row r="129" spans="5:48" s="708" customFormat="1">
      <c r="E129" s="195" t="s">
        <v>577</v>
      </c>
      <c r="F129" s="580">
        <f ca="1">MAX(100%-F128,0)</f>
        <v>0.99936830092772</v>
      </c>
      <c r="AI129" s="714"/>
      <c r="AJ129" s="714"/>
      <c r="AK129" s="714"/>
      <c r="AL129" s="714"/>
      <c r="AM129" s="714"/>
      <c r="AN129" s="714"/>
      <c r="AO129" s="714"/>
      <c r="AP129" s="714"/>
      <c r="AQ129" s="714"/>
      <c r="AR129" s="714"/>
      <c r="AS129" s="714"/>
      <c r="AT129" s="714"/>
      <c r="AU129" s="714"/>
      <c r="AV129" s="714"/>
    </row>
    <row r="130" spans="5:48" s="708" customFormat="1" ht="33.6" customHeight="1">
      <c r="AI130" s="714"/>
      <c r="AJ130" s="714"/>
      <c r="AK130" s="714"/>
      <c r="AL130" s="714"/>
      <c r="AM130" s="714"/>
      <c r="AN130" s="714"/>
      <c r="AO130" s="714"/>
      <c r="AP130" s="714"/>
      <c r="AQ130" s="714"/>
      <c r="AR130" s="714"/>
      <c r="AS130" s="714"/>
      <c r="AT130" s="714"/>
      <c r="AU130" s="714"/>
      <c r="AV130" s="714"/>
    </row>
    <row r="131" spans="5:48" s="708" customFormat="1" ht="33.6" customHeight="1">
      <c r="AI131" s="714"/>
      <c r="AJ131" s="714"/>
      <c r="AK131" s="714"/>
      <c r="AL131" s="714"/>
      <c r="AM131" s="714"/>
      <c r="AN131" s="714"/>
      <c r="AO131" s="714"/>
      <c r="AP131" s="714"/>
      <c r="AQ131" s="714"/>
      <c r="AR131" s="714"/>
      <c r="AS131" s="714"/>
      <c r="AT131" s="714"/>
      <c r="AU131" s="714"/>
      <c r="AV131" s="714"/>
    </row>
    <row r="132" spans="5:48" s="708" customFormat="1" ht="33.6" customHeight="1">
      <c r="AI132" s="714"/>
      <c r="AJ132" s="714"/>
      <c r="AK132" s="714"/>
      <c r="AL132" s="714"/>
      <c r="AM132" s="714"/>
      <c r="AN132" s="714"/>
      <c r="AO132" s="714"/>
      <c r="AP132" s="714"/>
      <c r="AQ132" s="714"/>
      <c r="AR132" s="714"/>
      <c r="AS132" s="714"/>
      <c r="AT132" s="714"/>
      <c r="AU132" s="714"/>
      <c r="AV132" s="714"/>
    </row>
    <row r="133" spans="5:48" s="708" customFormat="1" ht="33.6" customHeight="1">
      <c r="AI133" s="714"/>
      <c r="AJ133" s="714"/>
      <c r="AK133" s="714"/>
      <c r="AL133" s="714"/>
      <c r="AM133" s="714"/>
      <c r="AN133" s="714"/>
      <c r="AO133" s="714"/>
      <c r="AP133" s="714"/>
      <c r="AQ133" s="714"/>
      <c r="AR133" s="714"/>
      <c r="AS133" s="714"/>
      <c r="AT133" s="714"/>
      <c r="AU133" s="714"/>
      <c r="AV133" s="714"/>
    </row>
    <row r="134" spans="5:48" s="708" customFormat="1" ht="33.6" customHeight="1">
      <c r="AI134" s="714"/>
      <c r="AJ134" s="714"/>
      <c r="AK134" s="714"/>
      <c r="AL134" s="714"/>
      <c r="AM134" s="714"/>
      <c r="AN134" s="714"/>
      <c r="AO134" s="714"/>
      <c r="AP134" s="714"/>
      <c r="AQ134" s="714"/>
      <c r="AR134" s="714"/>
      <c r="AS134" s="714"/>
      <c r="AT134" s="714"/>
      <c r="AU134" s="714"/>
      <c r="AV134" s="714"/>
    </row>
    <row r="135" spans="5:48" s="708" customFormat="1" ht="33.6" customHeight="1">
      <c r="E135" s="705" t="s">
        <v>604</v>
      </c>
      <c r="AI135" s="714"/>
      <c r="AJ135" s="714"/>
      <c r="AK135" s="714"/>
      <c r="AL135" s="714"/>
      <c r="AM135" s="714"/>
      <c r="AN135" s="714"/>
      <c r="AO135" s="714"/>
      <c r="AP135" s="714"/>
      <c r="AQ135" s="714"/>
      <c r="AR135" s="714"/>
      <c r="AS135" s="714"/>
      <c r="AT135" s="714"/>
      <c r="AU135" s="714"/>
      <c r="AV135" s="714"/>
    </row>
    <row r="136" spans="5:48" s="708" customFormat="1" ht="33.6" customHeight="1">
      <c r="E136" s="722">
        <v>2</v>
      </c>
      <c r="F136" s="721" t="s">
        <v>574</v>
      </c>
      <c r="AI136" s="714"/>
      <c r="AJ136" s="714"/>
      <c r="AK136" s="714"/>
      <c r="AL136" s="714"/>
      <c r="AM136" s="714"/>
      <c r="AN136" s="714"/>
      <c r="AO136" s="714"/>
      <c r="AP136" s="714"/>
      <c r="AQ136" s="714"/>
      <c r="AR136" s="714"/>
      <c r="AS136" s="714"/>
      <c r="AT136" s="714"/>
      <c r="AU136" s="714"/>
      <c r="AV136" s="714"/>
    </row>
    <row r="137" spans="5:48" s="708" customFormat="1" ht="33.6" customHeight="1">
      <c r="E137" s="723" t="s">
        <v>364</v>
      </c>
      <c r="F137" s="721" t="s">
        <v>575</v>
      </c>
      <c r="AI137" s="714"/>
      <c r="AJ137" s="714"/>
      <c r="AK137" s="714"/>
      <c r="AL137" s="714"/>
      <c r="AM137" s="714"/>
      <c r="AN137" s="714"/>
      <c r="AO137" s="714"/>
      <c r="AP137" s="714"/>
      <c r="AQ137" s="714"/>
      <c r="AR137" s="714"/>
      <c r="AS137" s="714"/>
      <c r="AT137" s="714"/>
      <c r="AU137" s="714"/>
      <c r="AV137" s="714"/>
    </row>
    <row r="138" spans="5:48" s="708" customFormat="1">
      <c r="E138" s="521" t="s">
        <v>250</v>
      </c>
      <c r="F138" s="579">
        <f ca="1">F109</f>
        <v>1.2313493138510068E-2</v>
      </c>
      <c r="AI138" s="714"/>
      <c r="AJ138" s="714"/>
      <c r="AK138" s="714"/>
      <c r="AL138" s="714"/>
      <c r="AM138" s="714"/>
      <c r="AN138" s="714"/>
      <c r="AO138" s="714"/>
      <c r="AP138" s="714"/>
      <c r="AQ138" s="714"/>
      <c r="AR138" s="714"/>
      <c r="AS138" s="714"/>
      <c r="AT138" s="714"/>
      <c r="AU138" s="714"/>
      <c r="AV138" s="714"/>
    </row>
    <row r="139" spans="5:48" s="708" customFormat="1">
      <c r="E139" s="725" t="s">
        <v>255</v>
      </c>
      <c r="F139" s="726">
        <f ca="1">$T$16</f>
        <v>3.3392565865424481E-2</v>
      </c>
      <c r="AI139" s="714"/>
      <c r="AJ139" s="714"/>
      <c r="AK139" s="714"/>
      <c r="AL139" s="714"/>
      <c r="AM139" s="714"/>
      <c r="AN139" s="714"/>
      <c r="AO139" s="714"/>
      <c r="AP139" s="714"/>
      <c r="AQ139" s="714"/>
      <c r="AR139" s="714"/>
      <c r="AS139" s="714"/>
      <c r="AT139" s="714"/>
      <c r="AU139" s="714"/>
      <c r="AV139" s="714"/>
    </row>
    <row r="140" spans="5:48" s="708" customFormat="1">
      <c r="E140" s="725" t="s">
        <v>254</v>
      </c>
      <c r="F140" s="726">
        <f ca="1">$T$24</f>
        <v>1.2313493138510068E-2</v>
      </c>
      <c r="AI140" s="714"/>
      <c r="AJ140" s="714"/>
      <c r="AK140" s="714"/>
      <c r="AL140" s="714"/>
      <c r="AM140" s="714"/>
      <c r="AN140" s="714"/>
      <c r="AO140" s="714"/>
      <c r="AP140" s="714"/>
      <c r="AQ140" s="714"/>
      <c r="AR140" s="714"/>
      <c r="AS140" s="714"/>
      <c r="AT140" s="714"/>
      <c r="AU140" s="714"/>
      <c r="AV140" s="714"/>
    </row>
    <row r="141" spans="5:48" s="708" customFormat="1">
      <c r="E141" s="725" t="s">
        <v>367</v>
      </c>
      <c r="F141" s="726">
        <f ca="1">$F$111</f>
        <v>6.3169907228003926E-4</v>
      </c>
      <c r="AI141" s="714"/>
      <c r="AJ141" s="714"/>
      <c r="AK141" s="714"/>
      <c r="AL141" s="714"/>
      <c r="AM141" s="714"/>
      <c r="AN141" s="714"/>
      <c r="AO141" s="714"/>
      <c r="AP141" s="714"/>
      <c r="AQ141" s="714"/>
      <c r="AR141" s="714"/>
      <c r="AS141" s="714"/>
      <c r="AT141" s="714"/>
      <c r="AU141" s="714"/>
      <c r="AV141" s="714"/>
    </row>
    <row r="142" spans="5:48" s="708" customFormat="1">
      <c r="E142" s="725" t="s">
        <v>312</v>
      </c>
      <c r="F142" s="726">
        <f ca="1">100%-F140-F141-F139</f>
        <v>0.95366224192378546</v>
      </c>
      <c r="AI142" s="714"/>
      <c r="AJ142" s="714"/>
      <c r="AK142" s="714"/>
      <c r="AL142" s="714"/>
      <c r="AM142" s="714"/>
      <c r="AN142" s="714"/>
      <c r="AO142" s="714"/>
      <c r="AP142" s="714"/>
      <c r="AQ142" s="714"/>
      <c r="AR142" s="714"/>
      <c r="AS142" s="714"/>
      <c r="AT142" s="714"/>
      <c r="AU142" s="714"/>
      <c r="AV142" s="714"/>
    </row>
    <row r="143" spans="5:48" s="708" customFormat="1">
      <c r="E143" s="521" t="s">
        <v>576</v>
      </c>
      <c r="F143" s="580">
        <f ca="1">+F139+F140+F141</f>
        <v>4.633775807621459E-2</v>
      </c>
      <c r="AI143" s="714"/>
      <c r="AJ143" s="714"/>
      <c r="AK143" s="714"/>
      <c r="AL143" s="714"/>
      <c r="AM143" s="714"/>
      <c r="AN143" s="714"/>
      <c r="AO143" s="714"/>
      <c r="AP143" s="714"/>
      <c r="AQ143" s="714"/>
      <c r="AR143" s="714"/>
      <c r="AS143" s="714"/>
      <c r="AT143" s="714"/>
      <c r="AU143" s="714"/>
      <c r="AV143" s="714"/>
    </row>
    <row r="144" spans="5:48" s="708" customFormat="1" ht="33.6" customHeight="1">
      <c r="E144" s="195" t="s">
        <v>577</v>
      </c>
      <c r="F144" s="580">
        <f ca="1">MAX(100%-F143,0)</f>
        <v>0.95366224192378546</v>
      </c>
      <c r="AI144" s="714"/>
      <c r="AJ144" s="714"/>
      <c r="AK144" s="714"/>
      <c r="AL144" s="714"/>
      <c r="AM144" s="714"/>
      <c r="AN144" s="714"/>
      <c r="AO144" s="714"/>
      <c r="AP144" s="714"/>
      <c r="AQ144" s="714"/>
      <c r="AR144" s="714"/>
      <c r="AS144" s="714"/>
      <c r="AT144" s="714"/>
      <c r="AU144" s="714"/>
      <c r="AV144" s="714"/>
    </row>
    <row r="145" spans="5:90" s="708" customFormat="1" ht="33.6" customHeight="1">
      <c r="AI145" s="714"/>
      <c r="AJ145" s="714"/>
      <c r="AK145" s="714"/>
      <c r="AL145" s="714"/>
      <c r="AM145" s="714"/>
      <c r="AN145" s="714"/>
      <c r="AO145" s="714"/>
      <c r="AP145" s="714"/>
      <c r="AQ145" s="714"/>
      <c r="AR145" s="714"/>
      <c r="AS145" s="714"/>
      <c r="AT145" s="714"/>
      <c r="AU145" s="714"/>
      <c r="AV145" s="714"/>
    </row>
    <row r="146" spans="5:90" s="708" customFormat="1" ht="33.6" customHeight="1">
      <c r="AI146" s="714"/>
      <c r="AJ146" s="714"/>
      <c r="AK146" s="714"/>
      <c r="AL146" s="714"/>
      <c r="AM146" s="714"/>
      <c r="AN146" s="714"/>
      <c r="AO146" s="714"/>
      <c r="AP146" s="714"/>
      <c r="AQ146" s="714"/>
      <c r="AR146" s="714"/>
      <c r="AS146" s="714"/>
      <c r="AT146" s="714"/>
      <c r="AU146" s="714"/>
      <c r="AV146" s="714"/>
    </row>
    <row r="147" spans="5:90" s="708" customFormat="1" ht="33.6" customHeight="1">
      <c r="AI147" s="714"/>
      <c r="AJ147" s="714"/>
      <c r="AK147" s="714"/>
      <c r="AL147" s="714"/>
      <c r="AM147" s="714"/>
      <c r="AN147" s="714"/>
      <c r="AO147" s="714"/>
      <c r="AP147" s="714"/>
      <c r="AQ147" s="714"/>
      <c r="AR147" s="714"/>
      <c r="AS147" s="714"/>
      <c r="AT147" s="714"/>
      <c r="AU147" s="714"/>
      <c r="AV147" s="714"/>
    </row>
    <row r="148" spans="5:90" s="708" customFormat="1" ht="33.6" customHeight="1">
      <c r="AI148" s="714"/>
      <c r="AJ148" s="714"/>
      <c r="AK148" s="714"/>
      <c r="AL148" s="714"/>
      <c r="AM148" s="714"/>
      <c r="AN148" s="714"/>
      <c r="AO148" s="714"/>
      <c r="AP148" s="714"/>
      <c r="AQ148" s="714"/>
      <c r="AR148" s="714"/>
      <c r="AS148" s="714"/>
      <c r="AT148" s="714"/>
      <c r="AU148" s="714"/>
      <c r="AV148" s="714"/>
    </row>
    <row r="149" spans="5:90" s="708" customFormat="1" ht="33.6" customHeight="1">
      <c r="AI149" s="714"/>
      <c r="AJ149" s="714"/>
      <c r="AK149" s="714"/>
      <c r="AL149" s="714"/>
      <c r="AM149" s="714"/>
      <c r="AN149" s="714"/>
      <c r="AO149" s="714"/>
      <c r="AP149" s="714"/>
      <c r="AQ149" s="714"/>
      <c r="AR149" s="714"/>
      <c r="AS149" s="714"/>
      <c r="AT149" s="714"/>
      <c r="AU149" s="714"/>
      <c r="AV149" s="714"/>
    </row>
    <row r="150" spans="5:90" s="708" customFormat="1" ht="33.6" customHeight="1">
      <c r="AI150" s="714"/>
      <c r="AJ150" s="714"/>
      <c r="AK150" s="714"/>
      <c r="AL150" s="714"/>
      <c r="AM150" s="714"/>
      <c r="AN150" s="714"/>
      <c r="AO150" s="714"/>
      <c r="AP150" s="714"/>
      <c r="AQ150" s="714"/>
      <c r="AR150" s="714"/>
      <c r="AS150" s="714"/>
      <c r="AT150" s="714"/>
      <c r="AU150" s="714"/>
      <c r="AV150" s="714"/>
    </row>
    <row r="151" spans="5:90" s="708" customFormat="1" ht="33.6" customHeight="1">
      <c r="AI151" s="714"/>
      <c r="AJ151" s="714"/>
      <c r="AK151" s="714"/>
      <c r="AL151" s="714"/>
      <c r="AM151" s="714"/>
      <c r="AN151" s="714"/>
      <c r="AO151" s="714"/>
      <c r="AP151" s="714"/>
      <c r="AQ151" s="714"/>
      <c r="AR151" s="714"/>
      <c r="AS151" s="714"/>
      <c r="AT151" s="714"/>
      <c r="AU151" s="714"/>
      <c r="AV151" s="714"/>
    </row>
    <row r="152" spans="5:90" s="708" customFormat="1" ht="33.6" customHeight="1">
      <c r="AI152" s="714"/>
      <c r="AJ152" s="714"/>
      <c r="AK152" s="714"/>
      <c r="AL152" s="714"/>
      <c r="AM152" s="714"/>
      <c r="AN152" s="714"/>
      <c r="AO152" s="714"/>
      <c r="AP152" s="714"/>
      <c r="AQ152" s="714"/>
      <c r="AR152" s="714"/>
      <c r="AS152" s="714"/>
      <c r="AT152" s="714"/>
      <c r="AU152" s="714"/>
      <c r="AV152" s="714"/>
    </row>
    <row r="153" spans="5:90" s="708" customFormat="1" ht="33.6" customHeight="1">
      <c r="AI153" s="714"/>
      <c r="AJ153" s="714"/>
      <c r="AK153" s="714"/>
      <c r="AL153" s="714"/>
      <c r="AM153" s="714"/>
      <c r="AN153" s="714"/>
      <c r="AO153" s="714"/>
      <c r="AP153" s="714"/>
      <c r="AQ153" s="714"/>
      <c r="AR153" s="714"/>
      <c r="AS153" s="714"/>
      <c r="AT153" s="714"/>
      <c r="AU153" s="714"/>
      <c r="AV153" s="714"/>
    </row>
    <row r="154" spans="5:90" s="708" customFormat="1" ht="33.6" customHeight="1">
      <c r="E154" s="705" t="s">
        <v>615</v>
      </c>
      <c r="AI154" s="714"/>
      <c r="AJ154" s="714"/>
      <c r="AK154" s="714"/>
      <c r="AL154" s="714"/>
      <c r="AM154" s="714"/>
      <c r="AN154" s="714"/>
      <c r="AO154" s="714"/>
      <c r="AP154" s="714"/>
      <c r="AQ154" s="714"/>
      <c r="AR154" s="714"/>
      <c r="AS154" s="714"/>
      <c r="AT154" s="714"/>
      <c r="AU154" s="714"/>
      <c r="AV154" s="714"/>
    </row>
    <row r="155" spans="5:90" s="708" customFormat="1" ht="33.6" customHeight="1">
      <c r="E155" s="722">
        <v>5</v>
      </c>
      <c r="F155" s="721" t="s">
        <v>574</v>
      </c>
      <c r="AI155" s="714"/>
      <c r="AJ155" s="714"/>
      <c r="AK155" s="714"/>
      <c r="AL155" s="714"/>
      <c r="AM155" s="714"/>
      <c r="AN155" s="714"/>
      <c r="AO155" s="714"/>
      <c r="AP155" s="714"/>
      <c r="AQ155" s="714"/>
      <c r="AR155" s="714"/>
      <c r="AS155" s="714"/>
      <c r="AT155" s="714"/>
      <c r="AU155" s="714"/>
      <c r="AV155" s="714"/>
    </row>
    <row r="156" spans="5:90" s="708" customFormat="1" ht="33.6" customHeight="1">
      <c r="E156" s="723" t="s">
        <v>366</v>
      </c>
      <c r="F156" s="721" t="s">
        <v>575</v>
      </c>
      <c r="AI156" s="714"/>
      <c r="AJ156" s="714"/>
      <c r="AK156" s="714"/>
      <c r="AL156" s="714"/>
      <c r="AM156" s="714"/>
      <c r="AN156" s="714"/>
      <c r="AO156" s="714"/>
      <c r="AP156" s="714"/>
      <c r="AQ156" s="714"/>
      <c r="AR156" s="714"/>
      <c r="AS156" s="714"/>
      <c r="AT156" s="714"/>
      <c r="AU156" s="714"/>
      <c r="AV156" s="714"/>
    </row>
    <row r="157" spans="5:90" s="708" customFormat="1" ht="33.6" customHeight="1">
      <c r="AI157" s="714"/>
      <c r="AJ157" s="714"/>
      <c r="AK157" s="714"/>
      <c r="AL157" s="714"/>
      <c r="AM157" s="714"/>
      <c r="AN157" s="714"/>
      <c r="AO157" s="714"/>
      <c r="AP157" s="714"/>
      <c r="AQ157" s="714"/>
      <c r="AR157" s="714"/>
      <c r="AS157" s="714"/>
      <c r="AT157" s="714"/>
      <c r="AU157" s="714"/>
      <c r="AV157" s="714"/>
    </row>
    <row r="158" spans="5:90" s="708" customFormat="1" ht="21.9" customHeight="1">
      <c r="E158" s="521" t="s">
        <v>250</v>
      </c>
      <c r="F158" s="579">
        <f ca="1">+'Simulador - 1º Pilar'!$G$50</f>
        <v>378745.7074676209</v>
      </c>
      <c r="AI158" s="714"/>
      <c r="AJ158" s="714"/>
      <c r="AK158" s="714"/>
      <c r="AL158" s="714"/>
      <c r="AM158" s="714"/>
      <c r="AN158" s="714"/>
      <c r="AO158" s="714"/>
      <c r="AP158" s="714"/>
      <c r="AQ158" s="714"/>
      <c r="AR158" s="714"/>
      <c r="AS158" s="714"/>
      <c r="AT158" s="714"/>
      <c r="AU158" s="714"/>
      <c r="AV158" s="714"/>
    </row>
    <row r="159" spans="5:90" s="708" customFormat="1" ht="21.9" customHeight="1">
      <c r="E159" s="521"/>
      <c r="F159" s="580"/>
      <c r="AI159" s="714"/>
      <c r="AJ159" s="714"/>
      <c r="AK159" s="714"/>
      <c r="AL159" s="714"/>
      <c r="AM159" s="714"/>
      <c r="AN159" s="714"/>
      <c r="AO159" s="714"/>
      <c r="AP159" s="714"/>
      <c r="AQ159" s="714"/>
      <c r="AR159" s="714"/>
      <c r="AS159" s="714"/>
      <c r="AT159" s="714"/>
      <c r="AU159" s="714"/>
      <c r="AV159" s="714"/>
    </row>
    <row r="160" spans="5:90" s="535" customFormat="1" ht="21.9" customHeight="1">
      <c r="E160" s="725" t="s">
        <v>367</v>
      </c>
      <c r="F160" s="726">
        <f ca="1">$F$111</f>
        <v>6.3169907228003926E-4</v>
      </c>
      <c r="AI160" s="677"/>
      <c r="AJ160" s="714"/>
      <c r="AK160" s="714"/>
      <c r="AL160" s="714"/>
      <c r="AM160" s="714"/>
      <c r="AN160" s="714"/>
      <c r="AO160" s="714"/>
      <c r="AP160" s="714"/>
      <c r="AQ160" s="714"/>
      <c r="AR160" s="714"/>
      <c r="AS160" s="714"/>
      <c r="AT160" s="714"/>
      <c r="AU160" s="714"/>
      <c r="AV160" s="714"/>
      <c r="AW160" s="708"/>
      <c r="AX160" s="708"/>
      <c r="AY160" s="708"/>
      <c r="AZ160" s="708"/>
      <c r="BA160" s="708"/>
      <c r="BB160" s="708"/>
      <c r="BC160" s="708"/>
      <c r="BD160" s="708"/>
      <c r="BE160" s="708"/>
      <c r="BF160" s="708"/>
      <c r="BG160" s="708"/>
      <c r="BH160" s="708"/>
      <c r="BI160" s="708"/>
      <c r="BJ160" s="708"/>
      <c r="BK160" s="708"/>
      <c r="BL160" s="708"/>
      <c r="BM160" s="708"/>
      <c r="BN160" s="708"/>
      <c r="BO160" s="708"/>
      <c r="BP160" s="708"/>
      <c r="BQ160" s="708"/>
      <c r="BR160" s="708"/>
      <c r="BS160" s="708"/>
      <c r="BT160" s="708"/>
      <c r="BU160" s="708"/>
      <c r="BV160" s="708"/>
      <c r="BW160" s="708"/>
      <c r="BX160" s="708"/>
      <c r="BY160" s="708"/>
      <c r="BZ160" s="708"/>
      <c r="CA160" s="708"/>
      <c r="CB160" s="708"/>
      <c r="CC160" s="708"/>
      <c r="CD160" s="708"/>
      <c r="CE160" s="708"/>
      <c r="CF160" s="708"/>
      <c r="CG160" s="708"/>
      <c r="CH160" s="708"/>
      <c r="CI160" s="708"/>
      <c r="CJ160" s="708"/>
      <c r="CK160" s="708"/>
      <c r="CL160" s="708"/>
    </row>
    <row r="161" spans="5:90" s="535" customFormat="1" ht="21.9" customHeight="1">
      <c r="E161" s="725" t="s">
        <v>312</v>
      </c>
      <c r="F161" s="726">
        <f ca="1">100%-F160</f>
        <v>0.99936830092772</v>
      </c>
      <c r="AI161" s="677"/>
      <c r="AJ161" s="714"/>
      <c r="AK161" s="714"/>
      <c r="AL161" s="714"/>
      <c r="AM161" s="714"/>
      <c r="AN161" s="714"/>
      <c r="AO161" s="714"/>
      <c r="AP161" s="714"/>
      <c r="AQ161" s="714"/>
      <c r="AR161" s="714"/>
      <c r="AS161" s="714"/>
      <c r="AT161" s="714"/>
      <c r="AU161" s="714"/>
      <c r="AV161" s="714"/>
      <c r="AW161" s="708"/>
      <c r="AX161" s="708"/>
      <c r="AY161" s="708"/>
      <c r="AZ161" s="708"/>
      <c r="BA161" s="708"/>
      <c r="BB161" s="708"/>
      <c r="BC161" s="708"/>
      <c r="BD161" s="708"/>
      <c r="BE161" s="708"/>
      <c r="BF161" s="708"/>
      <c r="BG161" s="708"/>
      <c r="BH161" s="708"/>
      <c r="BI161" s="708"/>
      <c r="BJ161" s="708"/>
      <c r="BK161" s="708"/>
      <c r="BL161" s="708"/>
      <c r="BM161" s="708"/>
      <c r="BN161" s="708"/>
      <c r="BO161" s="708"/>
      <c r="BP161" s="708"/>
      <c r="BQ161" s="708"/>
      <c r="BR161" s="708"/>
      <c r="BS161" s="708"/>
      <c r="BT161" s="708"/>
      <c r="BU161" s="708"/>
      <c r="BV161" s="708"/>
      <c r="BW161" s="708"/>
      <c r="BX161" s="708"/>
      <c r="BY161" s="708"/>
      <c r="BZ161" s="708"/>
      <c r="CA161" s="708"/>
      <c r="CB161" s="708"/>
      <c r="CC161" s="708"/>
      <c r="CD161" s="708"/>
      <c r="CE161" s="708"/>
      <c r="CF161" s="708"/>
      <c r="CG161" s="708"/>
      <c r="CH161" s="708"/>
      <c r="CI161" s="708"/>
      <c r="CJ161" s="708"/>
      <c r="CK161" s="708"/>
      <c r="CL161" s="708"/>
    </row>
    <row r="162" spans="5:90">
      <c r="E162" s="521" t="s">
        <v>576</v>
      </c>
      <c r="F162" s="580">
        <f ca="1">+F159+F160</f>
        <v>6.3169907228003926E-4</v>
      </c>
    </row>
    <row r="163" spans="5:90">
      <c r="E163" s="195" t="s">
        <v>577</v>
      </c>
      <c r="F163" s="580">
        <f ca="1">MAX(100%-F162,0)</f>
        <v>0.99936830092772</v>
      </c>
    </row>
  </sheetData>
  <mergeCells count="55">
    <mergeCell ref="J53:L53"/>
    <mergeCell ref="J10:L10"/>
    <mergeCell ref="E12:F12"/>
    <mergeCell ref="T3:U3"/>
    <mergeCell ref="J16:L16"/>
    <mergeCell ref="J24:L24"/>
    <mergeCell ref="J12:L12"/>
    <mergeCell ref="J14:L14"/>
    <mergeCell ref="C2:V2"/>
    <mergeCell ref="C3:I3"/>
    <mergeCell ref="T40:V40"/>
    <mergeCell ref="T16:V16"/>
    <mergeCell ref="T14:V14"/>
    <mergeCell ref="T22:V22"/>
    <mergeCell ref="J30:L33"/>
    <mergeCell ref="E16:H16"/>
    <mergeCell ref="H18:H22"/>
    <mergeCell ref="J18:L18"/>
    <mergeCell ref="E20:F20"/>
    <mergeCell ref="J20:L20"/>
    <mergeCell ref="J22:L22"/>
    <mergeCell ref="C8:L8"/>
    <mergeCell ref="V33:V35"/>
    <mergeCell ref="T30:T31"/>
    <mergeCell ref="V30:V31"/>
    <mergeCell ref="H6:I6"/>
    <mergeCell ref="C10:C16"/>
    <mergeCell ref="C18:C24"/>
    <mergeCell ref="E18:F18"/>
    <mergeCell ref="E10:F10"/>
    <mergeCell ref="E14:F14"/>
    <mergeCell ref="C30:C40"/>
    <mergeCell ref="E30:F33"/>
    <mergeCell ref="H30:H33"/>
    <mergeCell ref="E35:F38"/>
    <mergeCell ref="H35:H38"/>
    <mergeCell ref="E24:H24"/>
    <mergeCell ref="C28:L28"/>
    <mergeCell ref="J40:L40"/>
    <mergeCell ref="E85:F85"/>
    <mergeCell ref="N74:T74"/>
    <mergeCell ref="E22:F22"/>
    <mergeCell ref="T33:T35"/>
    <mergeCell ref="C45:L45"/>
    <mergeCell ref="E47:F51"/>
    <mergeCell ref="H47:H51"/>
    <mergeCell ref="J47:L51"/>
    <mergeCell ref="E53:H53"/>
    <mergeCell ref="T24:V24"/>
    <mergeCell ref="T53:V53"/>
    <mergeCell ref="T51:V51"/>
    <mergeCell ref="C47:C53"/>
    <mergeCell ref="J35:L38"/>
    <mergeCell ref="E40:H40"/>
    <mergeCell ref="T37:V38"/>
  </mergeCells>
  <conditionalFormatting sqref="T10 V10 V18 V47 V30">
    <cfRule type="expression" dxfId="7" priority="117">
      <formula>$E$77&lt;3</formula>
    </cfRule>
  </conditionalFormatting>
  <conditionalFormatting sqref="T10">
    <cfRule type="expression" dxfId="6" priority="118">
      <formula>$E$77&lt;3</formula>
    </cfRule>
  </conditionalFormatting>
  <conditionalFormatting sqref="T18">
    <cfRule type="expression" dxfId="5" priority="5">
      <formula>$E$77&lt;3</formula>
    </cfRule>
  </conditionalFormatting>
  <conditionalFormatting sqref="T18">
    <cfRule type="expression" dxfId="4" priority="6">
      <formula>$E$77&lt;3</formula>
    </cfRule>
  </conditionalFormatting>
  <conditionalFormatting sqref="T47">
    <cfRule type="expression" dxfId="3" priority="3">
      <formula>$E$77&lt;3</formula>
    </cfRule>
  </conditionalFormatting>
  <conditionalFormatting sqref="T47">
    <cfRule type="expression" dxfId="2" priority="4">
      <formula>$E$77&lt;3</formula>
    </cfRule>
  </conditionalFormatting>
  <conditionalFormatting sqref="T30">
    <cfRule type="expression" dxfId="1" priority="1">
      <formula>$E$77&lt;3</formula>
    </cfRule>
  </conditionalFormatting>
  <conditionalFormatting sqref="T30">
    <cfRule type="expression" dxfId="0" priority="2">
      <formula>$E$77&lt;3</formula>
    </cfRule>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300" r:id="rId4" name="Button 12">
              <controlPr defaultSize="0" print="0" autoFill="0" autoPict="0">
                <anchor moveWithCells="1" sizeWithCells="1">
                  <from>
                    <xdr:col>7</xdr:col>
                    <xdr:colOff>0</xdr:colOff>
                    <xdr:row>46</xdr:row>
                    <xdr:rowOff>388620</xdr:rowOff>
                  </from>
                  <to>
                    <xdr:col>7</xdr:col>
                    <xdr:colOff>2697480</xdr:colOff>
                    <xdr:row>50</xdr:row>
                    <xdr:rowOff>99060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M1066"/>
  <sheetViews>
    <sheetView zoomScale="70" zoomScaleNormal="70" workbookViewId="0">
      <pane ySplit="12" topLeftCell="A13" activePane="bottomLeft" state="frozen"/>
      <selection pane="bottomLeft" activeCell="E4" sqref="E4"/>
    </sheetView>
  </sheetViews>
  <sheetFormatPr defaultColWidth="14.88671875" defaultRowHeight="14.4"/>
  <cols>
    <col min="1" max="1" width="26.5546875" customWidth="1"/>
    <col min="13" max="13" width="15.88671875" bestFit="1" customWidth="1"/>
  </cols>
  <sheetData>
    <row r="1" spans="1:39">
      <c r="D1" s="968" t="s">
        <v>528</v>
      </c>
      <c r="E1" s="968"/>
      <c r="F1" s="968"/>
      <c r="G1" s="968"/>
      <c r="H1" s="968"/>
      <c r="I1" s="968"/>
      <c r="J1" s="968"/>
      <c r="K1" s="968"/>
      <c r="L1" s="968"/>
      <c r="M1" s="968"/>
      <c r="N1" s="968"/>
      <c r="P1" s="969" t="s">
        <v>273</v>
      </c>
      <c r="Q1" s="969"/>
      <c r="R1" s="969"/>
      <c r="S1" s="969"/>
      <c r="T1" s="969"/>
      <c r="U1" s="969"/>
      <c r="V1" s="969"/>
      <c r="W1" s="969"/>
      <c r="X1" s="969"/>
      <c r="Y1" s="969"/>
      <c r="Z1" s="969"/>
      <c r="AC1" s="970" t="s">
        <v>274</v>
      </c>
      <c r="AD1" s="970"/>
      <c r="AE1" s="970"/>
      <c r="AF1" s="970"/>
      <c r="AG1" s="970"/>
      <c r="AH1" s="970"/>
      <c r="AI1" s="970"/>
      <c r="AJ1" s="970"/>
      <c r="AK1" s="970"/>
      <c r="AL1" s="970"/>
      <c r="AM1" s="970"/>
    </row>
    <row r="2" spans="1:39">
      <c r="K2" s="149" t="s">
        <v>345</v>
      </c>
      <c r="P2" s="4" t="s">
        <v>234</v>
      </c>
      <c r="Q2" s="4" t="e">
        <f>'Simulador - 3º Pilar'!#REF!</f>
        <v>#REF!</v>
      </c>
      <c r="AC2" s="4" t="s">
        <v>234</v>
      </c>
      <c r="AD2" s="4" t="e">
        <f>'Simulador - 3º Pilar'!#REF!</f>
        <v>#REF!</v>
      </c>
    </row>
    <row r="3" spans="1:39">
      <c r="A3" s="194" t="s">
        <v>161</v>
      </c>
      <c r="D3" t="s">
        <v>166</v>
      </c>
      <c r="E3" t="str">
        <f>'Simulador - 3º Pilar'!I19</f>
        <v>Mi propio perfil</v>
      </c>
      <c r="P3" t="s">
        <v>166</v>
      </c>
      <c r="Q3" t="e">
        <f>'Simulador - 3º Pilar'!#REF!</f>
        <v>#REF!</v>
      </c>
      <c r="AC3" t="s">
        <v>166</v>
      </c>
      <c r="AD3" t="e">
        <f>'Simulador - 3º Pilar'!#REF!</f>
        <v>#REF!</v>
      </c>
    </row>
    <row r="4" spans="1:39" ht="15" thickBot="1">
      <c r="E4" s="151">
        <f>'Simulador - 3º Pilar'!I20</f>
        <v>0.1</v>
      </c>
      <c r="F4" s="127" t="s">
        <v>163</v>
      </c>
      <c r="G4" s="127" t="s">
        <v>166</v>
      </c>
      <c r="H4" s="141" t="s">
        <v>160</v>
      </c>
      <c r="I4" s="141" t="s">
        <v>167</v>
      </c>
      <c r="M4" s="141" t="s">
        <v>216</v>
      </c>
      <c r="N4" s="4">
        <f>'Simulador - 3º Pilar'!I14</f>
        <v>0</v>
      </c>
      <c r="Q4" t="e">
        <f>'Simulador - 3º Pilar'!#REF!</f>
        <v>#REF!</v>
      </c>
      <c r="R4" s="127" t="s">
        <v>163</v>
      </c>
      <c r="T4" s="198" t="s">
        <v>160</v>
      </c>
      <c r="U4" s="198" t="s">
        <v>167</v>
      </c>
      <c r="V4" s="127" t="s">
        <v>166</v>
      </c>
      <c r="Y4" s="198" t="s">
        <v>216</v>
      </c>
      <c r="Z4" s="4" t="e">
        <f>'Simulador - 3º Pilar'!#REF!</f>
        <v>#REF!</v>
      </c>
      <c r="AD4" t="e">
        <f>'Simulador - 3º Pilar'!#REF!</f>
        <v>#REF!</v>
      </c>
      <c r="AE4" s="127" t="s">
        <v>163</v>
      </c>
      <c r="AG4" s="198" t="s">
        <v>160</v>
      </c>
      <c r="AH4" s="198" t="s">
        <v>167</v>
      </c>
      <c r="AI4" s="127" t="s">
        <v>166</v>
      </c>
      <c r="AL4" s="198" t="s">
        <v>216</v>
      </c>
      <c r="AM4" s="200" t="e">
        <f>'Simulador - 3º Pilar'!#REF!</f>
        <v>#REF!</v>
      </c>
    </row>
    <row r="5" spans="1:39" ht="15" thickBot="1">
      <c r="F5" s="146">
        <v>0</v>
      </c>
      <c r="G5" s="146">
        <f>IF(E3="Perfil conservador: 1,40%",1.4%,IF(E3="Perfil moderado: 2,04%",2.04%,IF(E3="Perfil arriesgado: 4,34%",4.34%,E4)))</f>
        <v>0.1</v>
      </c>
      <c r="H5" s="129">
        <f ca="1">SUM(H7:H330)</f>
        <v>0</v>
      </c>
      <c r="I5" s="129">
        <f ca="1">SUM(I7:I33000)</f>
        <v>0</v>
      </c>
      <c r="J5" s="495" t="e">
        <f ca="1">SUM(J7:J1066)</f>
        <v>#REF!</v>
      </c>
      <c r="K5" s="497">
        <f ca="1">SUM(K7:K33000)</f>
        <v>0</v>
      </c>
      <c r="L5" s="498">
        <f ca="1">SUM(L7:L1066)</f>
        <v>0</v>
      </c>
      <c r="M5" t="s">
        <v>280</v>
      </c>
      <c r="N5" s="123">
        <f>'Simulador - 3º Pilar'!I15</f>
        <v>44561</v>
      </c>
      <c r="R5" s="146">
        <v>0</v>
      </c>
      <c r="T5" s="129" t="e">
        <f ca="1">SUM(T7:T330)</f>
        <v>#REF!</v>
      </c>
      <c r="U5" s="129" t="e">
        <f ca="1">SUM(U7:U33000)</f>
        <v>#REF!</v>
      </c>
      <c r="V5" s="146" t="e">
        <f>IF(Q3="Perfil conservador: 1,40%",1.4%,IF(Q3="Perfil moderado: 2,04%",2.04%,IF(Q3="Perfil arriesgado: 4,34%",4.34%,Q4)))</f>
        <v>#REF!</v>
      </c>
      <c r="Y5" t="s">
        <v>280</v>
      </c>
      <c r="Z5" s="123" t="e">
        <f>'Simulador - 3º Pilar'!#REF!</f>
        <v>#REF!</v>
      </c>
      <c r="AE5" s="146">
        <v>0</v>
      </c>
      <c r="AG5" s="129" t="e">
        <f ca="1">SUM(AG7:AG330)</f>
        <v>#REF!</v>
      </c>
      <c r="AH5" s="129" t="e">
        <f ca="1">SUM(AH7:AH33000)</f>
        <v>#REF!</v>
      </c>
      <c r="AI5" s="146" t="e">
        <f>IF(AD3="Perfil conservador: 1,40%",1.4%,IF(AD3="Perfil moderado: 2,04%",2.04%,IF(AD3="Perfil arriesgado: 4,34%",4.34%,AD4)))</f>
        <v>#REF!</v>
      </c>
      <c r="AL5" t="s">
        <v>280</v>
      </c>
      <c r="AM5" s="123" t="e">
        <f>'Simulador - 3º Pilar'!#REF!</f>
        <v>#REF!</v>
      </c>
    </row>
    <row r="6" spans="1:39">
      <c r="A6" s="4" t="s">
        <v>175</v>
      </c>
      <c r="B6" s="6">
        <f ca="1">PJSS!B5</f>
        <v>45558</v>
      </c>
      <c r="C6" s="123">
        <f ca="1">DATE(YEAR(B6),MONTH(B6)+1,DAY(1))</f>
        <v>45566</v>
      </c>
      <c r="E6" s="141" t="s">
        <v>161</v>
      </c>
      <c r="F6" s="141" t="s">
        <v>164</v>
      </c>
      <c r="G6" s="141" t="s">
        <v>165</v>
      </c>
      <c r="H6" s="141" t="s">
        <v>160</v>
      </c>
      <c r="I6" s="141" t="s">
        <v>166</v>
      </c>
      <c r="J6" s="141" t="s">
        <v>454</v>
      </c>
      <c r="K6" s="490" t="s">
        <v>455</v>
      </c>
      <c r="L6" s="490" t="s">
        <v>456</v>
      </c>
      <c r="N6" s="123">
        <f>DATE(YEAR(N5),MONTH(N5)+1,DAY(1))</f>
        <v>44562</v>
      </c>
      <c r="Q6" s="198" t="s">
        <v>161</v>
      </c>
      <c r="R6" s="198" t="s">
        <v>164</v>
      </c>
      <c r="S6" s="198" t="s">
        <v>165</v>
      </c>
      <c r="T6" s="198" t="s">
        <v>160</v>
      </c>
      <c r="U6" s="198" t="s">
        <v>166</v>
      </c>
      <c r="V6" s="198" t="s">
        <v>162</v>
      </c>
      <c r="Z6" s="123" t="e">
        <f>DATE(YEAR(Z5),MONTH(Z5)+1,DAY(1))</f>
        <v>#REF!</v>
      </c>
      <c r="AD6" s="198" t="s">
        <v>161</v>
      </c>
      <c r="AE6" s="198" t="s">
        <v>164</v>
      </c>
      <c r="AF6" s="198" t="s">
        <v>165</v>
      </c>
      <c r="AG6" s="198" t="s">
        <v>160</v>
      </c>
      <c r="AH6" s="198" t="s">
        <v>166</v>
      </c>
      <c r="AI6" s="198" t="s">
        <v>162</v>
      </c>
      <c r="AM6" s="123" t="e">
        <f>DATE(YEAR(AM5),MONTH(AM5)+1,DAY(1))</f>
        <v>#REF!</v>
      </c>
    </row>
    <row r="7" spans="1:39">
      <c r="A7" s="4" t="s">
        <v>176</v>
      </c>
      <c r="B7" s="6">
        <f ca="1">'Aportaciones PPE'!B7</f>
        <v>52810</v>
      </c>
      <c r="E7" s="6">
        <f ca="1">DATE(YEAR($B$7),MONTH($B$7)-1,DAY($B$7))</f>
        <v>52779</v>
      </c>
      <c r="F7" s="7">
        <f ca="1">MAX(IF(DATE(YEAR($B$6),MONTH($B$6)+1,DAY(1))=$E7,1,IF(MONTH($E7)=1,F8*(1+$F$5),F8)),1)</f>
        <v>1</v>
      </c>
      <c r="G7" s="125">
        <f ca="1">F7*$B$8/12</f>
        <v>17500</v>
      </c>
      <c r="H7" s="125">
        <f ca="1">IF(F7=1,F7*$B$10/MIN(12,'Simulador - 3º Pilar'!$E$88),0)</f>
        <v>0</v>
      </c>
      <c r="I7" s="128">
        <f ca="1">1*H7</f>
        <v>0</v>
      </c>
      <c r="J7" s="494">
        <f ca="1">(1+$G$5)^(D7/12)*(H7*(12-IF(MONTH(E8)=12,0,MONTH(E8)))+IF(AND(F7=1,F8=0),$Q$4,0))*IF(AND(F7=1,F8=0),1,0)</f>
        <v>0</v>
      </c>
      <c r="K7" s="126">
        <f ca="1">(1+$G$5)^(D7/12)*(IF(E7=$N$7,$N$4,0)+IF(E7=$C$6,$B$10,0))</f>
        <v>0</v>
      </c>
      <c r="L7" s="126">
        <f t="shared" ref="L7:L70" ca="1" si="0">(1+$G$5)^(D7/12)*(IF((E7)&gt;($B$6),H7,0)+IF(E7=$N$7,$N$4,0)+IF(E7=$C$6,0,0))</f>
        <v>0</v>
      </c>
      <c r="M7" s="126"/>
      <c r="N7" s="201">
        <f>IF(N6&gt;8000,N6,DATE(YEAR($B$6),MONTH($B$6)+1,DAY(1)))</f>
        <v>44562</v>
      </c>
      <c r="Q7" s="6">
        <f ca="1">DATE(YEAR($B$7),MONTH($B$7)-1,DAY($B$7))</f>
        <v>52779</v>
      </c>
      <c r="R7" s="165" t="e">
        <f ca="1">MAX(IF(DATE(YEAR($B$6),MONTH($B$6)+1,DAY(1))=$E7,1,IF(MONTH($E7)=1,R8*(1+$F$5),R8)),1)</f>
        <v>#REF!</v>
      </c>
      <c r="S7" s="125" t="e">
        <f ca="1">R7*$B$8/12</f>
        <v>#REF!</v>
      </c>
      <c r="T7" s="125" t="e">
        <f ca="1">R7*$B$11/12</f>
        <v>#REF!</v>
      </c>
      <c r="U7" s="243" t="e">
        <f ca="1">1*T7+IF(AND(R7=1,R8=0,SUM(U8:U1066)=0),$Z$4,0)</f>
        <v>#REF!</v>
      </c>
      <c r="V7" s="143">
        <f>'Simulador - Datos personales'!S86</f>
        <v>0</v>
      </c>
      <c r="W7" s="6">
        <v>83824</v>
      </c>
      <c r="Z7" s="201" t="e">
        <f>IF(Z6&gt;8000,Z6,DATE(YEAR($B$6),MONTH($B$6)+1,DAY(1)))</f>
        <v>#REF!</v>
      </c>
      <c r="AD7" s="6">
        <f ca="1">DATE(YEAR($B$7),MONTH($B$7)-1,DAY($B$7))</f>
        <v>52779</v>
      </c>
      <c r="AE7" s="165" t="e">
        <f ca="1">MAX(IF(DATE(YEAR($B$6),MONTH($B$6)+1,DAY(1))=$E7,1,IF(MONTH($E7)=1,AE8*(1+$F$5),AE8)),1)</f>
        <v>#REF!</v>
      </c>
      <c r="AF7" s="125" t="e">
        <f ca="1">AE7*$B$8/12</f>
        <v>#REF!</v>
      </c>
      <c r="AG7" s="125" t="e">
        <f ca="1">AE7*$B$12/12</f>
        <v>#REF!</v>
      </c>
      <c r="AH7" s="243" t="e">
        <f ca="1">1*AG7+IF(AND(AE7=1,AE8=0,SUM(AH8:AH1066)=0),$AM$4,0)</f>
        <v>#REF!</v>
      </c>
      <c r="AI7" s="143">
        <f>'Simulador - Datos personales'!AF86</f>
        <v>0</v>
      </c>
      <c r="AJ7" s="6">
        <v>83824</v>
      </c>
      <c r="AM7" s="201" t="e">
        <f>IF(AM6&gt;8000,AM6,DATE(YEAR($B$6),MONTH($B$6)+1,DAY(1)))</f>
        <v>#REF!</v>
      </c>
    </row>
    <row r="8" spans="1:39">
      <c r="A8" s="4" t="s">
        <v>4</v>
      </c>
      <c r="B8" s="4">
        <f>'Simulador - Datos personales'!E15</f>
        <v>210000</v>
      </c>
      <c r="C8" s="7">
        <f>B8/12</f>
        <v>17500</v>
      </c>
      <c r="D8">
        <v>1</v>
      </c>
      <c r="E8" s="6">
        <f ca="1">+DATE(YEAR(E7),MONTH(E7)-1,DAY(E7))</f>
        <v>52749</v>
      </c>
      <c r="F8" s="7">
        <f ca="1">IF($C$6=$E8,1,IF(MONTH($E8)=1,F9*(1+$F$5),F9))</f>
        <v>1</v>
      </c>
      <c r="G8" s="125">
        <f ca="1">F8*$B$8/12</f>
        <v>17500</v>
      </c>
      <c r="H8" s="125">
        <f ca="1">IF(F8=1,F8*$B$10/MIN(12,'Simulador - 3º Pilar'!$E$88),0)</f>
        <v>0</v>
      </c>
      <c r="I8" s="128">
        <f t="shared" ref="I8:I71" ca="1" si="1">(1+$G$5)^(D8/12)*(H8+IF(E8=$N$7,$N$4,0))</f>
        <v>0</v>
      </c>
      <c r="J8" s="494">
        <f t="shared" ref="J8:J71" ca="1" si="2">(1+$G$5)^(D8/12)*(H8*(12-IF(MONTH(E9)=12,0,MONTH(E9)))+IF(AND(F8=1,F9=0),$Q$4,0))*IF(AND(F8=1,F9=0),1,0)</f>
        <v>0</v>
      </c>
      <c r="K8" s="126">
        <f t="shared" ref="K8:K71" ca="1" si="3">(1+$G$5)^(D8/12)*(IF(E8=$N$7,$N$4,0)+IF(E8=$C$6,$B$10,0))</f>
        <v>0</v>
      </c>
      <c r="L8" s="126">
        <f t="shared" ca="1" si="0"/>
        <v>0</v>
      </c>
      <c r="M8" t="s">
        <v>551</v>
      </c>
      <c r="P8">
        <v>1</v>
      </c>
      <c r="Q8" s="6">
        <f ca="1">+DATE(YEAR(Q7),MONTH(Q7)-1,DAY(Q7))</f>
        <v>52749</v>
      </c>
      <c r="R8" s="7" t="e">
        <f ca="1">IF($Z$7=$E8,1,IF(MONTH($E8)=1,R9*(1+$F$5),R9))</f>
        <v>#REF!</v>
      </c>
      <c r="S8" s="125" t="e">
        <f ca="1">R8*$B$8/12</f>
        <v>#REF!</v>
      </c>
      <c r="T8" s="125" t="e">
        <f t="shared" ref="T8:T71" ca="1" si="4">R8*$B$11/12</f>
        <v>#REF!</v>
      </c>
      <c r="U8" s="128" t="e">
        <f ca="1">(1+$V$5)^(P8/12)*(T8+IF(Q8=$Z$7,$Z$4,0))</f>
        <v>#REF!</v>
      </c>
      <c r="V8" s="124">
        <v>0.02</v>
      </c>
      <c r="W8" s="6">
        <v>47300</v>
      </c>
      <c r="AB8" s="4" t="e">
        <f ca="1">IF(DATE(YEAR($B$6),MONTH($B$6)+1,DAY(1))=$E8,1,IF(MONTH($E8)=1,AE9*(1+$F$5),AE9))</f>
        <v>#REF!</v>
      </c>
      <c r="AC8">
        <v>1</v>
      </c>
      <c r="AD8" s="6">
        <f ca="1">+DATE(YEAR(AD7),MONTH(AD7)-1,DAY(AD7))</f>
        <v>52749</v>
      </c>
      <c r="AE8" s="7" t="e">
        <f ca="1">IF($AM$7=$E8,1,IF(MONTH($E8)=1,AE9*(1+$F$5),AE9))</f>
        <v>#REF!</v>
      </c>
      <c r="AF8" s="125" t="e">
        <f ca="1">AE8*$B$8/12</f>
        <v>#REF!</v>
      </c>
      <c r="AG8" s="125" t="e">
        <f t="shared" ref="AG8:AG71" ca="1" si="5">AE8*$B$12/12</f>
        <v>#REF!</v>
      </c>
      <c r="AH8" s="128" t="e">
        <f ca="1">(1+$AI$5)^(AC8/12)*(AG8+IF(AD8=$AM$7,$AM$4,0))</f>
        <v>#REF!</v>
      </c>
      <c r="AI8" s="124">
        <v>0.02</v>
      </c>
      <c r="AJ8" s="6">
        <v>47300</v>
      </c>
    </row>
    <row r="9" spans="1:39">
      <c r="D9">
        <v>2</v>
      </c>
      <c r="E9" s="6">
        <f t="shared" ref="E9:E72" ca="1" si="6">+DATE(YEAR(E8),MONTH(E8)-1,DAY(E8))</f>
        <v>52718</v>
      </c>
      <c r="F9" s="7">
        <f t="shared" ref="F9:F72" ca="1" si="7">IF($C$6=$E9,1,IF(MONTH($E9)=1,F10*(1+$F$5),F10))</f>
        <v>1</v>
      </c>
      <c r="G9" s="125">
        <f t="shared" ref="G9:G71" ca="1" si="8">F9*$B$8/12</f>
        <v>17500</v>
      </c>
      <c r="H9" s="125">
        <f ca="1">IF(F9=1,F9*$B$10/MIN(12,'Simulador - 3º Pilar'!$E$88),0)</f>
        <v>0</v>
      </c>
      <c r="I9" s="128">
        <f t="shared" ca="1" si="1"/>
        <v>0</v>
      </c>
      <c r="J9" s="494">
        <f t="shared" ca="1" si="2"/>
        <v>0</v>
      </c>
      <c r="K9" s="126">
        <f t="shared" ca="1" si="3"/>
        <v>0</v>
      </c>
      <c r="L9" s="126">
        <f t="shared" ca="1" si="0"/>
        <v>0</v>
      </c>
      <c r="P9">
        <v>2</v>
      </c>
      <c r="Q9" s="6">
        <f t="shared" ref="Q9:Q72" ca="1" si="9">+DATE(YEAR(Q8),MONTH(Q8)-1,DAY(Q8))</f>
        <v>52718</v>
      </c>
      <c r="R9" s="7" t="e">
        <f t="shared" ref="R9:R72" ca="1" si="10">IF($Z$7=$E9,1,IF(MONTH($E9)=1,R10*(1+$F$5),R10))</f>
        <v>#REF!</v>
      </c>
      <c r="S9" s="125" t="e">
        <f t="shared" ref="S9:S72" ca="1" si="11">R9*$B$8/12</f>
        <v>#REF!</v>
      </c>
      <c r="T9" s="125" t="e">
        <f t="shared" ca="1" si="4"/>
        <v>#REF!</v>
      </c>
      <c r="U9" s="128" t="e">
        <f t="shared" ref="U9:U72" ca="1" si="12">(1+$V$5)^(P9/12)*(T9+IF(Q9=$Z$7,$Z$4,0))</f>
        <v>#REF!</v>
      </c>
      <c r="V9" s="124">
        <v>0.03</v>
      </c>
      <c r="AC9">
        <v>2</v>
      </c>
      <c r="AD9" s="6">
        <f t="shared" ref="AD9:AD72" ca="1" si="13">+DATE(YEAR(AD8),MONTH(AD8)-1,DAY(AD8))</f>
        <v>52718</v>
      </c>
      <c r="AE9" s="7" t="e">
        <f t="shared" ref="AE9:AE72" ca="1" si="14">IF($AM$7=$E9,1,IF(MONTH($E9)=1,AE10*(1+$F$5),AE10))</f>
        <v>#REF!</v>
      </c>
      <c r="AF9" s="125" t="e">
        <f t="shared" ref="AF9:AF72" ca="1" si="15">AE9*$B$8/12</f>
        <v>#REF!</v>
      </c>
      <c r="AG9" s="125" t="e">
        <f t="shared" ca="1" si="5"/>
        <v>#REF!</v>
      </c>
      <c r="AH9" s="128" t="e">
        <f t="shared" ref="AH9:AH72" ca="1" si="16">(1+$AI$5)^(AC9/12)*(AG9+IF(AD9=$AM$7,$AM$4,0))</f>
        <v>#REF!</v>
      </c>
      <c r="AI9" s="124">
        <v>0.03</v>
      </c>
    </row>
    <row r="10" spans="1:39">
      <c r="A10" s="4" t="s">
        <v>300</v>
      </c>
      <c r="B10" s="4">
        <f>'Simulador - 3º Pilar'!K10</f>
        <v>0</v>
      </c>
      <c r="C10" s="126"/>
      <c r="D10">
        <v>3</v>
      </c>
      <c r="E10" s="6">
        <f t="shared" ca="1" si="6"/>
        <v>52688</v>
      </c>
      <c r="F10" s="7">
        <f t="shared" ca="1" si="7"/>
        <v>1</v>
      </c>
      <c r="G10" s="125">
        <f t="shared" ca="1" si="8"/>
        <v>17500</v>
      </c>
      <c r="H10" s="125">
        <f ca="1">IF(F10=1,F10*$B$10/MIN(12,'Simulador - 3º Pilar'!$E$88),0)</f>
        <v>0</v>
      </c>
      <c r="I10" s="128">
        <f t="shared" ca="1" si="1"/>
        <v>0</v>
      </c>
      <c r="J10" s="494">
        <f t="shared" ca="1" si="2"/>
        <v>0</v>
      </c>
      <c r="K10" s="126">
        <f t="shared" ca="1" si="3"/>
        <v>0</v>
      </c>
      <c r="L10" s="126">
        <f t="shared" ca="1" si="0"/>
        <v>0</v>
      </c>
      <c r="P10">
        <v>3</v>
      </c>
      <c r="Q10" s="6">
        <f t="shared" ca="1" si="9"/>
        <v>52688</v>
      </c>
      <c r="R10" s="7" t="e">
        <f t="shared" ca="1" si="10"/>
        <v>#REF!</v>
      </c>
      <c r="S10" s="125" t="e">
        <f t="shared" ca="1" si="11"/>
        <v>#REF!</v>
      </c>
      <c r="T10" s="125" t="e">
        <f t="shared" ca="1" si="4"/>
        <v>#REF!</v>
      </c>
      <c r="U10" s="128" t="e">
        <f t="shared" ca="1" si="12"/>
        <v>#REF!</v>
      </c>
      <c r="AC10">
        <v>3</v>
      </c>
      <c r="AD10" s="6">
        <f t="shared" ca="1" si="13"/>
        <v>52688</v>
      </c>
      <c r="AE10" s="7" t="e">
        <f t="shared" ca="1" si="14"/>
        <v>#REF!</v>
      </c>
      <c r="AF10" s="125" t="e">
        <f t="shared" ca="1" si="15"/>
        <v>#REF!</v>
      </c>
      <c r="AG10" s="125" t="e">
        <f t="shared" ca="1" si="5"/>
        <v>#REF!</v>
      </c>
      <c r="AH10" s="128" t="e">
        <f t="shared" ca="1" si="16"/>
        <v>#REF!</v>
      </c>
    </row>
    <row r="11" spans="1:39">
      <c r="A11" s="4" t="s">
        <v>301</v>
      </c>
      <c r="B11" t="e">
        <f>+'Simulador - 3º Pilar'!#REF!</f>
        <v>#REF!</v>
      </c>
      <c r="D11">
        <v>4</v>
      </c>
      <c r="E11" s="6">
        <f t="shared" ca="1" si="6"/>
        <v>52657</v>
      </c>
      <c r="F11" s="7">
        <f t="shared" ca="1" si="7"/>
        <v>1</v>
      </c>
      <c r="G11" s="125">
        <f t="shared" ca="1" si="8"/>
        <v>17500</v>
      </c>
      <c r="H11" s="125">
        <f ca="1">IF(F11=1,F11*$B$10/MIN(12,'Simulador - 3º Pilar'!$E$88),0)</f>
        <v>0</v>
      </c>
      <c r="I11" s="128">
        <f t="shared" ca="1" si="1"/>
        <v>0</v>
      </c>
      <c r="J11" s="494">
        <f t="shared" ca="1" si="2"/>
        <v>0</v>
      </c>
      <c r="K11" s="126">
        <f t="shared" ca="1" si="3"/>
        <v>0</v>
      </c>
      <c r="L11" s="126">
        <f t="shared" ca="1" si="0"/>
        <v>0</v>
      </c>
      <c r="P11">
        <v>4</v>
      </c>
      <c r="Q11" s="6">
        <f t="shared" ca="1" si="9"/>
        <v>52657</v>
      </c>
      <c r="R11" s="7" t="e">
        <f t="shared" ca="1" si="10"/>
        <v>#REF!</v>
      </c>
      <c r="S11" s="125" t="e">
        <f t="shared" ca="1" si="11"/>
        <v>#REF!</v>
      </c>
      <c r="T11" s="125" t="e">
        <f t="shared" ca="1" si="4"/>
        <v>#REF!</v>
      </c>
      <c r="U11" s="128" t="e">
        <f t="shared" ca="1" si="12"/>
        <v>#REF!</v>
      </c>
      <c r="AC11">
        <v>4</v>
      </c>
      <c r="AD11" s="6">
        <f t="shared" ca="1" si="13"/>
        <v>52657</v>
      </c>
      <c r="AE11" s="7" t="e">
        <f t="shared" ca="1" si="14"/>
        <v>#REF!</v>
      </c>
      <c r="AF11" s="125" t="e">
        <f t="shared" ca="1" si="15"/>
        <v>#REF!</v>
      </c>
      <c r="AG11" s="125" t="e">
        <f t="shared" ca="1" si="5"/>
        <v>#REF!</v>
      </c>
      <c r="AH11" s="128" t="e">
        <f t="shared" ca="1" si="16"/>
        <v>#REF!</v>
      </c>
    </row>
    <row r="12" spans="1:39">
      <c r="A12" s="4" t="s">
        <v>302</v>
      </c>
      <c r="B12" t="e">
        <f>+'Simulador - 3º Pilar'!#REF!</f>
        <v>#REF!</v>
      </c>
      <c r="D12">
        <v>5</v>
      </c>
      <c r="E12" s="6">
        <f t="shared" ca="1" si="6"/>
        <v>52628</v>
      </c>
      <c r="F12" s="7">
        <f t="shared" ca="1" si="7"/>
        <v>1</v>
      </c>
      <c r="G12" s="125">
        <f t="shared" ca="1" si="8"/>
        <v>17500</v>
      </c>
      <c r="H12" s="125">
        <f ca="1">IF(F12=1,F12*$B$10/MIN(12,'Simulador - 3º Pilar'!$E$88),0)</f>
        <v>0</v>
      </c>
      <c r="I12" s="128">
        <f t="shared" ca="1" si="1"/>
        <v>0</v>
      </c>
      <c r="J12" s="494">
        <f t="shared" ca="1" si="2"/>
        <v>0</v>
      </c>
      <c r="K12" s="126">
        <f t="shared" ca="1" si="3"/>
        <v>0</v>
      </c>
      <c r="L12" s="126">
        <f t="shared" ca="1" si="0"/>
        <v>0</v>
      </c>
      <c r="P12">
        <v>5</v>
      </c>
      <c r="Q12" s="6">
        <f t="shared" ca="1" si="9"/>
        <v>52628</v>
      </c>
      <c r="R12" s="7" t="e">
        <f t="shared" ca="1" si="10"/>
        <v>#REF!</v>
      </c>
      <c r="S12" s="125" t="e">
        <f t="shared" ca="1" si="11"/>
        <v>#REF!</v>
      </c>
      <c r="T12" s="125" t="e">
        <f t="shared" ca="1" si="4"/>
        <v>#REF!</v>
      </c>
      <c r="U12" s="128" t="e">
        <f t="shared" ca="1" si="12"/>
        <v>#REF!</v>
      </c>
      <c r="AC12">
        <v>5</v>
      </c>
      <c r="AD12" s="6">
        <f t="shared" ca="1" si="13"/>
        <v>52628</v>
      </c>
      <c r="AE12" s="7" t="e">
        <f t="shared" ca="1" si="14"/>
        <v>#REF!</v>
      </c>
      <c r="AF12" s="125" t="e">
        <f t="shared" ca="1" si="15"/>
        <v>#REF!</v>
      </c>
      <c r="AG12" s="125" t="e">
        <f t="shared" ca="1" si="5"/>
        <v>#REF!</v>
      </c>
      <c r="AH12" s="128" t="e">
        <f t="shared" ca="1" si="16"/>
        <v>#REF!</v>
      </c>
    </row>
    <row r="13" spans="1:39">
      <c r="D13">
        <v>6</v>
      </c>
      <c r="E13" s="6">
        <f t="shared" ca="1" si="6"/>
        <v>52597</v>
      </c>
      <c r="F13" s="7">
        <f t="shared" ca="1" si="7"/>
        <v>1</v>
      </c>
      <c r="G13" s="125">
        <f t="shared" ca="1" si="8"/>
        <v>17500</v>
      </c>
      <c r="H13" s="125">
        <f ca="1">IF(F13=1,F13*$B$10/MIN(12,'Simulador - 3º Pilar'!$E$88),0)</f>
        <v>0</v>
      </c>
      <c r="I13" s="128">
        <f t="shared" ca="1" si="1"/>
        <v>0</v>
      </c>
      <c r="J13" s="494">
        <f t="shared" ca="1" si="2"/>
        <v>0</v>
      </c>
      <c r="K13" s="126">
        <f t="shared" ca="1" si="3"/>
        <v>0</v>
      </c>
      <c r="L13" s="126">
        <f t="shared" ca="1" si="0"/>
        <v>0</v>
      </c>
      <c r="P13">
        <v>6</v>
      </c>
      <c r="Q13" s="6">
        <f t="shared" ca="1" si="9"/>
        <v>52597</v>
      </c>
      <c r="R13" s="7" t="e">
        <f t="shared" ca="1" si="10"/>
        <v>#REF!</v>
      </c>
      <c r="S13" s="125" t="e">
        <f t="shared" ca="1" si="11"/>
        <v>#REF!</v>
      </c>
      <c r="T13" s="125" t="e">
        <f t="shared" ca="1" si="4"/>
        <v>#REF!</v>
      </c>
      <c r="U13" s="128" t="e">
        <f t="shared" ca="1" si="12"/>
        <v>#REF!</v>
      </c>
      <c r="AC13">
        <v>6</v>
      </c>
      <c r="AD13" s="6">
        <f t="shared" ca="1" si="13"/>
        <v>52597</v>
      </c>
      <c r="AE13" s="7" t="e">
        <f t="shared" ca="1" si="14"/>
        <v>#REF!</v>
      </c>
      <c r="AF13" s="125" t="e">
        <f t="shared" ca="1" si="15"/>
        <v>#REF!</v>
      </c>
      <c r="AG13" s="125" t="e">
        <f t="shared" ca="1" si="5"/>
        <v>#REF!</v>
      </c>
      <c r="AH13" s="128" t="e">
        <f t="shared" ca="1" si="16"/>
        <v>#REF!</v>
      </c>
    </row>
    <row r="14" spans="1:39">
      <c r="D14">
        <v>7</v>
      </c>
      <c r="E14" s="6">
        <f t="shared" ca="1" si="6"/>
        <v>52566</v>
      </c>
      <c r="F14" s="7">
        <f t="shared" ca="1" si="7"/>
        <v>1</v>
      </c>
      <c r="G14" s="125">
        <f t="shared" ca="1" si="8"/>
        <v>17500</v>
      </c>
      <c r="H14" s="125">
        <f ca="1">IF(F14=1,F14*$B$10/MIN(12,'Simulador - 3º Pilar'!$E$88),0)</f>
        <v>0</v>
      </c>
      <c r="I14" s="128">
        <f t="shared" ca="1" si="1"/>
        <v>0</v>
      </c>
      <c r="J14" s="494">
        <f t="shared" ca="1" si="2"/>
        <v>0</v>
      </c>
      <c r="K14" s="126">
        <f t="shared" ca="1" si="3"/>
        <v>0</v>
      </c>
      <c r="L14" s="126">
        <f t="shared" ca="1" si="0"/>
        <v>0</v>
      </c>
      <c r="P14">
        <v>7</v>
      </c>
      <c r="Q14" s="6">
        <f t="shared" ca="1" si="9"/>
        <v>52566</v>
      </c>
      <c r="R14" s="7" t="e">
        <f t="shared" ca="1" si="10"/>
        <v>#REF!</v>
      </c>
      <c r="S14" s="125" t="e">
        <f t="shared" ca="1" si="11"/>
        <v>#REF!</v>
      </c>
      <c r="T14" s="125" t="e">
        <f t="shared" ca="1" si="4"/>
        <v>#REF!</v>
      </c>
      <c r="U14" s="128" t="e">
        <f t="shared" ca="1" si="12"/>
        <v>#REF!</v>
      </c>
      <c r="AC14">
        <v>7</v>
      </c>
      <c r="AD14" s="6">
        <f t="shared" ca="1" si="13"/>
        <v>52566</v>
      </c>
      <c r="AE14" s="7" t="e">
        <f t="shared" ca="1" si="14"/>
        <v>#REF!</v>
      </c>
      <c r="AF14" s="125" t="e">
        <f t="shared" ca="1" si="15"/>
        <v>#REF!</v>
      </c>
      <c r="AG14" s="125" t="e">
        <f t="shared" ca="1" si="5"/>
        <v>#REF!</v>
      </c>
      <c r="AH14" s="128" t="e">
        <f t="shared" ca="1" si="16"/>
        <v>#REF!</v>
      </c>
    </row>
    <row r="15" spans="1:39">
      <c r="D15">
        <v>8</v>
      </c>
      <c r="E15" s="6">
        <f t="shared" ca="1" si="6"/>
        <v>52536</v>
      </c>
      <c r="F15" s="7">
        <f t="shared" ca="1" si="7"/>
        <v>1</v>
      </c>
      <c r="G15" s="125">
        <f t="shared" ca="1" si="8"/>
        <v>17500</v>
      </c>
      <c r="H15" s="125">
        <f ca="1">IF(F15=1,F15*$B$10/MIN(12,'Simulador - 3º Pilar'!$E$88),0)</f>
        <v>0</v>
      </c>
      <c r="I15" s="128">
        <f t="shared" ca="1" si="1"/>
        <v>0</v>
      </c>
      <c r="J15" s="494">
        <f t="shared" ca="1" si="2"/>
        <v>0</v>
      </c>
      <c r="K15" s="126">
        <f t="shared" ca="1" si="3"/>
        <v>0</v>
      </c>
      <c r="L15" s="126">
        <f t="shared" ca="1" si="0"/>
        <v>0</v>
      </c>
      <c r="P15">
        <v>8</v>
      </c>
      <c r="Q15" s="6">
        <f t="shared" ca="1" si="9"/>
        <v>52536</v>
      </c>
      <c r="R15" s="7" t="e">
        <f t="shared" ca="1" si="10"/>
        <v>#REF!</v>
      </c>
      <c r="S15" s="125" t="e">
        <f t="shared" ca="1" si="11"/>
        <v>#REF!</v>
      </c>
      <c r="T15" s="125" t="e">
        <f t="shared" ca="1" si="4"/>
        <v>#REF!</v>
      </c>
      <c r="U15" s="128" t="e">
        <f t="shared" ca="1" si="12"/>
        <v>#REF!</v>
      </c>
      <c r="AC15">
        <v>8</v>
      </c>
      <c r="AD15" s="6">
        <f t="shared" ca="1" si="13"/>
        <v>52536</v>
      </c>
      <c r="AE15" s="7" t="e">
        <f t="shared" ca="1" si="14"/>
        <v>#REF!</v>
      </c>
      <c r="AF15" s="125" t="e">
        <f t="shared" ca="1" si="15"/>
        <v>#REF!</v>
      </c>
      <c r="AG15" s="125" t="e">
        <f t="shared" ca="1" si="5"/>
        <v>#REF!</v>
      </c>
      <c r="AH15" s="128" t="e">
        <f t="shared" ca="1" si="16"/>
        <v>#REF!</v>
      </c>
    </row>
    <row r="16" spans="1:39">
      <c r="D16">
        <v>9</v>
      </c>
      <c r="E16" s="6">
        <f t="shared" ca="1" si="6"/>
        <v>52505</v>
      </c>
      <c r="F16" s="7">
        <f t="shared" ca="1" si="7"/>
        <v>1</v>
      </c>
      <c r="G16" s="125">
        <f t="shared" ca="1" si="8"/>
        <v>17500</v>
      </c>
      <c r="H16" s="125">
        <f ca="1">IF(F16=1,F16*$B$10/MIN(12,'Simulador - 3º Pilar'!$E$88),0)</f>
        <v>0</v>
      </c>
      <c r="I16" s="128">
        <f t="shared" ca="1" si="1"/>
        <v>0</v>
      </c>
      <c r="J16" s="494">
        <f t="shared" ca="1" si="2"/>
        <v>0</v>
      </c>
      <c r="K16" s="126">
        <f t="shared" ca="1" si="3"/>
        <v>0</v>
      </c>
      <c r="L16" s="126">
        <f t="shared" ca="1" si="0"/>
        <v>0</v>
      </c>
      <c r="P16">
        <v>9</v>
      </c>
      <c r="Q16" s="6">
        <f t="shared" ca="1" si="9"/>
        <v>52505</v>
      </c>
      <c r="R16" s="7" t="e">
        <f t="shared" ca="1" si="10"/>
        <v>#REF!</v>
      </c>
      <c r="S16" s="125" t="e">
        <f t="shared" ca="1" si="11"/>
        <v>#REF!</v>
      </c>
      <c r="T16" s="125" t="e">
        <f t="shared" ca="1" si="4"/>
        <v>#REF!</v>
      </c>
      <c r="U16" s="128" t="e">
        <f t="shared" ca="1" si="12"/>
        <v>#REF!</v>
      </c>
      <c r="AC16">
        <v>9</v>
      </c>
      <c r="AD16" s="6">
        <f t="shared" ca="1" si="13"/>
        <v>52505</v>
      </c>
      <c r="AE16" s="7" t="e">
        <f t="shared" ca="1" si="14"/>
        <v>#REF!</v>
      </c>
      <c r="AF16" s="125" t="e">
        <f t="shared" ca="1" si="15"/>
        <v>#REF!</v>
      </c>
      <c r="AG16" s="125" t="e">
        <f t="shared" ca="1" si="5"/>
        <v>#REF!</v>
      </c>
      <c r="AH16" s="128" t="e">
        <f t="shared" ca="1" si="16"/>
        <v>#REF!</v>
      </c>
    </row>
    <row r="17" spans="4:35">
      <c r="D17">
        <v>10</v>
      </c>
      <c r="E17" s="6">
        <f t="shared" ca="1" si="6"/>
        <v>52475</v>
      </c>
      <c r="F17" s="7">
        <f t="shared" ca="1" si="7"/>
        <v>1</v>
      </c>
      <c r="G17" s="125">
        <f t="shared" ca="1" si="8"/>
        <v>17500</v>
      </c>
      <c r="H17" s="125">
        <f ca="1">IF(F17=1,F17*$B$10/MIN(12,'Simulador - 3º Pilar'!$E$88),0)</f>
        <v>0</v>
      </c>
      <c r="I17" s="128">
        <f t="shared" ca="1" si="1"/>
        <v>0</v>
      </c>
      <c r="J17" s="494">
        <f t="shared" ca="1" si="2"/>
        <v>0</v>
      </c>
      <c r="K17" s="126">
        <f t="shared" ca="1" si="3"/>
        <v>0</v>
      </c>
      <c r="L17" s="126">
        <f t="shared" ca="1" si="0"/>
        <v>0</v>
      </c>
      <c r="P17">
        <v>10</v>
      </c>
      <c r="Q17" s="6">
        <f t="shared" ca="1" si="9"/>
        <v>52475</v>
      </c>
      <c r="R17" s="7" t="e">
        <f t="shared" ca="1" si="10"/>
        <v>#REF!</v>
      </c>
      <c r="S17" s="125" t="e">
        <f t="shared" ca="1" si="11"/>
        <v>#REF!</v>
      </c>
      <c r="T17" s="125" t="e">
        <f t="shared" ca="1" si="4"/>
        <v>#REF!</v>
      </c>
      <c r="U17" s="128" t="e">
        <f t="shared" ca="1" si="12"/>
        <v>#REF!</v>
      </c>
      <c r="AC17">
        <v>10</v>
      </c>
      <c r="AD17" s="6">
        <f t="shared" ca="1" si="13"/>
        <v>52475</v>
      </c>
      <c r="AE17" s="7" t="e">
        <f t="shared" ca="1" si="14"/>
        <v>#REF!</v>
      </c>
      <c r="AF17" s="125" t="e">
        <f t="shared" ca="1" si="15"/>
        <v>#REF!</v>
      </c>
      <c r="AG17" s="125" t="e">
        <f t="shared" ca="1" si="5"/>
        <v>#REF!</v>
      </c>
      <c r="AH17" s="128" t="e">
        <f t="shared" ca="1" si="16"/>
        <v>#REF!</v>
      </c>
    </row>
    <row r="18" spans="4:35">
      <c r="D18">
        <v>11</v>
      </c>
      <c r="E18" s="6">
        <f t="shared" ca="1" si="6"/>
        <v>52444</v>
      </c>
      <c r="F18" s="7">
        <f t="shared" ca="1" si="7"/>
        <v>1</v>
      </c>
      <c r="G18" s="125">
        <f t="shared" ca="1" si="8"/>
        <v>17500</v>
      </c>
      <c r="H18" s="125">
        <f ca="1">IF(F18=1,F18*$B$10/MIN(12,'Simulador - 3º Pilar'!$E$88),0)</f>
        <v>0</v>
      </c>
      <c r="I18" s="128">
        <f t="shared" ca="1" si="1"/>
        <v>0</v>
      </c>
      <c r="J18" s="494">
        <f t="shared" ca="1" si="2"/>
        <v>0</v>
      </c>
      <c r="K18" s="126">
        <f t="shared" ca="1" si="3"/>
        <v>0</v>
      </c>
      <c r="L18" s="126">
        <f t="shared" ca="1" si="0"/>
        <v>0</v>
      </c>
      <c r="P18">
        <v>11</v>
      </c>
      <c r="Q18" s="6">
        <f t="shared" ca="1" si="9"/>
        <v>52444</v>
      </c>
      <c r="R18" s="7" t="e">
        <f t="shared" ca="1" si="10"/>
        <v>#REF!</v>
      </c>
      <c r="S18" s="125" t="e">
        <f t="shared" ca="1" si="11"/>
        <v>#REF!</v>
      </c>
      <c r="T18" s="125" t="e">
        <f t="shared" ca="1" si="4"/>
        <v>#REF!</v>
      </c>
      <c r="U18" s="128" t="e">
        <f t="shared" ca="1" si="12"/>
        <v>#REF!</v>
      </c>
      <c r="AC18">
        <v>11</v>
      </c>
      <c r="AD18" s="6">
        <f t="shared" ca="1" si="13"/>
        <v>52444</v>
      </c>
      <c r="AE18" s="7" t="e">
        <f t="shared" ca="1" si="14"/>
        <v>#REF!</v>
      </c>
      <c r="AF18" s="125" t="e">
        <f t="shared" ca="1" si="15"/>
        <v>#REF!</v>
      </c>
      <c r="AG18" s="125" t="e">
        <f t="shared" ca="1" si="5"/>
        <v>#REF!</v>
      </c>
      <c r="AH18" s="128" t="e">
        <f t="shared" ca="1" si="16"/>
        <v>#REF!</v>
      </c>
    </row>
    <row r="19" spans="4:35">
      <c r="D19">
        <v>12</v>
      </c>
      <c r="E19" s="6">
        <f t="shared" ca="1" si="6"/>
        <v>52413</v>
      </c>
      <c r="F19" s="7">
        <f t="shared" ca="1" si="7"/>
        <v>1</v>
      </c>
      <c r="G19" s="125">
        <f t="shared" ca="1" si="8"/>
        <v>17500</v>
      </c>
      <c r="H19" s="125">
        <f ca="1">IF(F19=1,F19*$B$10/MIN(12,'Simulador - 3º Pilar'!$E$88),0)</f>
        <v>0</v>
      </c>
      <c r="I19" s="128">
        <f t="shared" ca="1" si="1"/>
        <v>0</v>
      </c>
      <c r="J19" s="494">
        <f t="shared" ca="1" si="2"/>
        <v>0</v>
      </c>
      <c r="K19" s="126">
        <f t="shared" ca="1" si="3"/>
        <v>0</v>
      </c>
      <c r="L19" s="126">
        <f t="shared" ca="1" si="0"/>
        <v>0</v>
      </c>
      <c r="P19">
        <v>12</v>
      </c>
      <c r="Q19" s="6">
        <f t="shared" ca="1" si="9"/>
        <v>52413</v>
      </c>
      <c r="R19" s="7" t="e">
        <f t="shared" ca="1" si="10"/>
        <v>#REF!</v>
      </c>
      <c r="S19" s="125" t="e">
        <f t="shared" ca="1" si="11"/>
        <v>#REF!</v>
      </c>
      <c r="T19" s="125" t="e">
        <f t="shared" ca="1" si="4"/>
        <v>#REF!</v>
      </c>
      <c r="U19" s="128" t="e">
        <f t="shared" ca="1" si="12"/>
        <v>#REF!</v>
      </c>
      <c r="V19" s="126"/>
      <c r="AC19">
        <v>12</v>
      </c>
      <c r="AD19" s="6">
        <f t="shared" ca="1" si="13"/>
        <v>52413</v>
      </c>
      <c r="AE19" s="7" t="e">
        <f t="shared" ca="1" si="14"/>
        <v>#REF!</v>
      </c>
      <c r="AF19" s="125" t="e">
        <f t="shared" ca="1" si="15"/>
        <v>#REF!</v>
      </c>
      <c r="AG19" s="125" t="e">
        <f t="shared" ca="1" si="5"/>
        <v>#REF!</v>
      </c>
      <c r="AH19" s="128" t="e">
        <f t="shared" ca="1" si="16"/>
        <v>#REF!</v>
      </c>
      <c r="AI19" s="126"/>
    </row>
    <row r="20" spans="4:35">
      <c r="D20">
        <v>13</v>
      </c>
      <c r="E20" s="6">
        <f t="shared" ca="1" si="6"/>
        <v>52383</v>
      </c>
      <c r="F20" s="7">
        <f t="shared" ca="1" si="7"/>
        <v>1</v>
      </c>
      <c r="G20" s="125">
        <f t="shared" ca="1" si="8"/>
        <v>17500</v>
      </c>
      <c r="H20" s="125">
        <f ca="1">IF(F20=1,F20*$B$10/MIN(12,'Simulador - 3º Pilar'!$E$88),0)</f>
        <v>0</v>
      </c>
      <c r="I20" s="128">
        <f t="shared" ca="1" si="1"/>
        <v>0</v>
      </c>
      <c r="J20" s="494">
        <f t="shared" ca="1" si="2"/>
        <v>0</v>
      </c>
      <c r="K20" s="126">
        <f t="shared" ca="1" si="3"/>
        <v>0</v>
      </c>
      <c r="L20" s="126">
        <f t="shared" ca="1" si="0"/>
        <v>0</v>
      </c>
      <c r="P20">
        <v>13</v>
      </c>
      <c r="Q20" s="6">
        <f t="shared" ca="1" si="9"/>
        <v>52383</v>
      </c>
      <c r="R20" s="7" t="e">
        <f t="shared" ca="1" si="10"/>
        <v>#REF!</v>
      </c>
      <c r="S20" s="125" t="e">
        <f t="shared" ca="1" si="11"/>
        <v>#REF!</v>
      </c>
      <c r="T20" s="125" t="e">
        <f t="shared" ca="1" si="4"/>
        <v>#REF!</v>
      </c>
      <c r="U20" s="128" t="e">
        <f t="shared" ca="1" si="12"/>
        <v>#REF!</v>
      </c>
      <c r="AC20">
        <v>13</v>
      </c>
      <c r="AD20" s="6">
        <f t="shared" ca="1" si="13"/>
        <v>52383</v>
      </c>
      <c r="AE20" s="7" t="e">
        <f t="shared" ca="1" si="14"/>
        <v>#REF!</v>
      </c>
      <c r="AF20" s="125" t="e">
        <f t="shared" ca="1" si="15"/>
        <v>#REF!</v>
      </c>
      <c r="AG20" s="125" t="e">
        <f t="shared" ca="1" si="5"/>
        <v>#REF!</v>
      </c>
      <c r="AH20" s="128" t="e">
        <f t="shared" ca="1" si="16"/>
        <v>#REF!</v>
      </c>
    </row>
    <row r="21" spans="4:35">
      <c r="D21">
        <v>14</v>
      </c>
      <c r="E21" s="6">
        <f t="shared" ca="1" si="6"/>
        <v>52352</v>
      </c>
      <c r="F21" s="7">
        <f t="shared" ca="1" si="7"/>
        <v>1</v>
      </c>
      <c r="G21" s="125">
        <f t="shared" ca="1" si="8"/>
        <v>17500</v>
      </c>
      <c r="H21" s="125">
        <f ca="1">IF(F21=1,F21*$B$10/MIN(12,'Simulador - 3º Pilar'!$E$88),0)</f>
        <v>0</v>
      </c>
      <c r="I21" s="128">
        <f t="shared" ca="1" si="1"/>
        <v>0</v>
      </c>
      <c r="J21" s="494">
        <f t="shared" ca="1" si="2"/>
        <v>0</v>
      </c>
      <c r="K21" s="126">
        <f t="shared" ca="1" si="3"/>
        <v>0</v>
      </c>
      <c r="L21" s="126">
        <f t="shared" ca="1" si="0"/>
        <v>0</v>
      </c>
      <c r="P21">
        <v>14</v>
      </c>
      <c r="Q21" s="6">
        <f t="shared" ca="1" si="9"/>
        <v>52352</v>
      </c>
      <c r="R21" s="7" t="e">
        <f t="shared" ca="1" si="10"/>
        <v>#REF!</v>
      </c>
      <c r="S21" s="125" t="e">
        <f t="shared" ca="1" si="11"/>
        <v>#REF!</v>
      </c>
      <c r="T21" s="125" t="e">
        <f t="shared" ca="1" si="4"/>
        <v>#REF!</v>
      </c>
      <c r="U21" s="128" t="e">
        <f t="shared" ca="1" si="12"/>
        <v>#REF!</v>
      </c>
      <c r="AC21">
        <v>14</v>
      </c>
      <c r="AD21" s="6">
        <f t="shared" ca="1" si="13"/>
        <v>52352</v>
      </c>
      <c r="AE21" s="7" t="e">
        <f t="shared" ca="1" si="14"/>
        <v>#REF!</v>
      </c>
      <c r="AF21" s="125" t="e">
        <f t="shared" ca="1" si="15"/>
        <v>#REF!</v>
      </c>
      <c r="AG21" s="125" t="e">
        <f t="shared" ca="1" si="5"/>
        <v>#REF!</v>
      </c>
      <c r="AH21" s="128" t="e">
        <f t="shared" ca="1" si="16"/>
        <v>#REF!</v>
      </c>
    </row>
    <row r="22" spans="4:35">
      <c r="D22">
        <v>15</v>
      </c>
      <c r="E22" s="6">
        <f t="shared" ca="1" si="6"/>
        <v>52322</v>
      </c>
      <c r="F22" s="7">
        <f t="shared" ca="1" si="7"/>
        <v>1</v>
      </c>
      <c r="G22" s="125">
        <f t="shared" ca="1" si="8"/>
        <v>17500</v>
      </c>
      <c r="H22" s="125">
        <f ca="1">IF(F22=1,F22*$B$10/MIN(12,'Simulador - 3º Pilar'!$E$88),0)</f>
        <v>0</v>
      </c>
      <c r="I22" s="128">
        <f t="shared" ca="1" si="1"/>
        <v>0</v>
      </c>
      <c r="J22" s="494">
        <f t="shared" ca="1" si="2"/>
        <v>0</v>
      </c>
      <c r="K22" s="126">
        <f t="shared" ca="1" si="3"/>
        <v>0</v>
      </c>
      <c r="L22" s="126">
        <f t="shared" ca="1" si="0"/>
        <v>0</v>
      </c>
      <c r="P22">
        <v>15</v>
      </c>
      <c r="Q22" s="6">
        <f t="shared" ca="1" si="9"/>
        <v>52322</v>
      </c>
      <c r="R22" s="7" t="e">
        <f t="shared" ca="1" si="10"/>
        <v>#REF!</v>
      </c>
      <c r="S22" s="125" t="e">
        <f t="shared" ca="1" si="11"/>
        <v>#REF!</v>
      </c>
      <c r="T22" s="125" t="e">
        <f t="shared" ca="1" si="4"/>
        <v>#REF!</v>
      </c>
      <c r="U22" s="128" t="e">
        <f t="shared" ca="1" si="12"/>
        <v>#REF!</v>
      </c>
      <c r="AC22">
        <v>15</v>
      </c>
      <c r="AD22" s="6">
        <f t="shared" ca="1" si="13"/>
        <v>52322</v>
      </c>
      <c r="AE22" s="7" t="e">
        <f t="shared" ca="1" si="14"/>
        <v>#REF!</v>
      </c>
      <c r="AF22" s="125" t="e">
        <f t="shared" ca="1" si="15"/>
        <v>#REF!</v>
      </c>
      <c r="AG22" s="125" t="e">
        <f t="shared" ca="1" si="5"/>
        <v>#REF!</v>
      </c>
      <c r="AH22" s="128" t="e">
        <f t="shared" ca="1" si="16"/>
        <v>#REF!</v>
      </c>
    </row>
    <row r="23" spans="4:35">
      <c r="D23">
        <v>16</v>
      </c>
      <c r="E23" s="6">
        <f t="shared" ca="1" si="6"/>
        <v>52291</v>
      </c>
      <c r="F23" s="7">
        <f t="shared" ca="1" si="7"/>
        <v>1</v>
      </c>
      <c r="G23" s="125">
        <f t="shared" ca="1" si="8"/>
        <v>17500</v>
      </c>
      <c r="H23" s="125">
        <f ca="1">IF(F23=1,F23*$B$10/MIN(12,'Simulador - 3º Pilar'!$E$88),0)</f>
        <v>0</v>
      </c>
      <c r="I23" s="128">
        <f t="shared" ca="1" si="1"/>
        <v>0</v>
      </c>
      <c r="J23" s="494">
        <f t="shared" ca="1" si="2"/>
        <v>0</v>
      </c>
      <c r="K23" s="126">
        <f t="shared" ca="1" si="3"/>
        <v>0</v>
      </c>
      <c r="L23" s="126">
        <f t="shared" ca="1" si="0"/>
        <v>0</v>
      </c>
      <c r="P23">
        <v>16</v>
      </c>
      <c r="Q23" s="6">
        <f t="shared" ca="1" si="9"/>
        <v>52291</v>
      </c>
      <c r="R23" s="7" t="e">
        <f t="shared" ca="1" si="10"/>
        <v>#REF!</v>
      </c>
      <c r="S23" s="125" t="e">
        <f t="shared" ca="1" si="11"/>
        <v>#REF!</v>
      </c>
      <c r="T23" s="125" t="e">
        <f t="shared" ca="1" si="4"/>
        <v>#REF!</v>
      </c>
      <c r="U23" s="128" t="e">
        <f t="shared" ca="1" si="12"/>
        <v>#REF!</v>
      </c>
      <c r="AC23">
        <v>16</v>
      </c>
      <c r="AD23" s="6">
        <f t="shared" ca="1" si="13"/>
        <v>52291</v>
      </c>
      <c r="AE23" s="7" t="e">
        <f t="shared" ca="1" si="14"/>
        <v>#REF!</v>
      </c>
      <c r="AF23" s="125" t="e">
        <f t="shared" ca="1" si="15"/>
        <v>#REF!</v>
      </c>
      <c r="AG23" s="125" t="e">
        <f t="shared" ca="1" si="5"/>
        <v>#REF!</v>
      </c>
      <c r="AH23" s="128" t="e">
        <f t="shared" ca="1" si="16"/>
        <v>#REF!</v>
      </c>
    </row>
    <row r="24" spans="4:35">
      <c r="D24">
        <v>17</v>
      </c>
      <c r="E24" s="6">
        <f t="shared" ca="1" si="6"/>
        <v>52263</v>
      </c>
      <c r="F24" s="7">
        <f t="shared" ca="1" si="7"/>
        <v>1</v>
      </c>
      <c r="G24" s="125">
        <f t="shared" ca="1" si="8"/>
        <v>17500</v>
      </c>
      <c r="H24" s="125">
        <f ca="1">IF(F24=1,F24*$B$10/MIN(12,'Simulador - 3º Pilar'!$E$88),0)</f>
        <v>0</v>
      </c>
      <c r="I24" s="128">
        <f t="shared" ca="1" si="1"/>
        <v>0</v>
      </c>
      <c r="J24" s="494">
        <f t="shared" ca="1" si="2"/>
        <v>0</v>
      </c>
      <c r="K24" s="126">
        <f t="shared" ca="1" si="3"/>
        <v>0</v>
      </c>
      <c r="L24" s="126">
        <f t="shared" ca="1" si="0"/>
        <v>0</v>
      </c>
      <c r="P24">
        <v>17</v>
      </c>
      <c r="Q24" s="6">
        <f t="shared" ca="1" si="9"/>
        <v>52263</v>
      </c>
      <c r="R24" s="7" t="e">
        <f t="shared" ca="1" si="10"/>
        <v>#REF!</v>
      </c>
      <c r="S24" s="125" t="e">
        <f t="shared" ca="1" si="11"/>
        <v>#REF!</v>
      </c>
      <c r="T24" s="125" t="e">
        <f t="shared" ca="1" si="4"/>
        <v>#REF!</v>
      </c>
      <c r="U24" s="128" t="e">
        <f t="shared" ca="1" si="12"/>
        <v>#REF!</v>
      </c>
      <c r="AC24">
        <v>17</v>
      </c>
      <c r="AD24" s="6">
        <f t="shared" ca="1" si="13"/>
        <v>52263</v>
      </c>
      <c r="AE24" s="7" t="e">
        <f t="shared" ca="1" si="14"/>
        <v>#REF!</v>
      </c>
      <c r="AF24" s="125" t="e">
        <f t="shared" ca="1" si="15"/>
        <v>#REF!</v>
      </c>
      <c r="AG24" s="125" t="e">
        <f t="shared" ca="1" si="5"/>
        <v>#REF!</v>
      </c>
      <c r="AH24" s="128" t="e">
        <f t="shared" ca="1" si="16"/>
        <v>#REF!</v>
      </c>
    </row>
    <row r="25" spans="4:35">
      <c r="D25">
        <v>18</v>
      </c>
      <c r="E25" s="6">
        <f t="shared" ca="1" si="6"/>
        <v>52232</v>
      </c>
      <c r="F25" s="7">
        <f t="shared" ca="1" si="7"/>
        <v>1</v>
      </c>
      <c r="G25" s="125">
        <f t="shared" ca="1" si="8"/>
        <v>17500</v>
      </c>
      <c r="H25" s="125">
        <f ca="1">IF(F25=1,F25*$B$10/MIN(12,'Simulador - 3º Pilar'!$E$88),0)</f>
        <v>0</v>
      </c>
      <c r="I25" s="128">
        <f t="shared" ca="1" si="1"/>
        <v>0</v>
      </c>
      <c r="J25" s="494">
        <f t="shared" ca="1" si="2"/>
        <v>0</v>
      </c>
      <c r="K25" s="126">
        <f t="shared" ca="1" si="3"/>
        <v>0</v>
      </c>
      <c r="L25" s="126">
        <f t="shared" ca="1" si="0"/>
        <v>0</v>
      </c>
      <c r="P25">
        <v>18</v>
      </c>
      <c r="Q25" s="6">
        <f t="shared" ca="1" si="9"/>
        <v>52232</v>
      </c>
      <c r="R25" s="7" t="e">
        <f t="shared" ca="1" si="10"/>
        <v>#REF!</v>
      </c>
      <c r="S25" s="125" t="e">
        <f t="shared" ca="1" si="11"/>
        <v>#REF!</v>
      </c>
      <c r="T25" s="125" t="e">
        <f t="shared" ca="1" si="4"/>
        <v>#REF!</v>
      </c>
      <c r="U25" s="128" t="e">
        <f t="shared" ca="1" si="12"/>
        <v>#REF!</v>
      </c>
      <c r="AC25">
        <v>18</v>
      </c>
      <c r="AD25" s="6">
        <f t="shared" ca="1" si="13"/>
        <v>52232</v>
      </c>
      <c r="AE25" s="7" t="e">
        <f t="shared" ca="1" si="14"/>
        <v>#REF!</v>
      </c>
      <c r="AF25" s="125" t="e">
        <f t="shared" ca="1" si="15"/>
        <v>#REF!</v>
      </c>
      <c r="AG25" s="125" t="e">
        <f t="shared" ca="1" si="5"/>
        <v>#REF!</v>
      </c>
      <c r="AH25" s="128" t="e">
        <f t="shared" ca="1" si="16"/>
        <v>#REF!</v>
      </c>
    </row>
    <row r="26" spans="4:35">
      <c r="D26">
        <v>19</v>
      </c>
      <c r="E26" s="6">
        <f t="shared" ca="1" si="6"/>
        <v>52201</v>
      </c>
      <c r="F26" s="7">
        <f t="shared" ca="1" si="7"/>
        <v>1</v>
      </c>
      <c r="G26" s="125">
        <f t="shared" ca="1" si="8"/>
        <v>17500</v>
      </c>
      <c r="H26" s="125">
        <f ca="1">IF(F26=1,F26*$B$10/MIN(12,'Simulador - 3º Pilar'!$E$88),0)</f>
        <v>0</v>
      </c>
      <c r="I26" s="128">
        <f t="shared" ca="1" si="1"/>
        <v>0</v>
      </c>
      <c r="J26" s="494">
        <f t="shared" ca="1" si="2"/>
        <v>0</v>
      </c>
      <c r="K26" s="126">
        <f t="shared" ca="1" si="3"/>
        <v>0</v>
      </c>
      <c r="L26" s="126">
        <f t="shared" ca="1" si="0"/>
        <v>0</v>
      </c>
      <c r="P26">
        <v>19</v>
      </c>
      <c r="Q26" s="6">
        <f t="shared" ca="1" si="9"/>
        <v>52201</v>
      </c>
      <c r="R26" s="7" t="e">
        <f t="shared" ca="1" si="10"/>
        <v>#REF!</v>
      </c>
      <c r="S26" s="125" t="e">
        <f t="shared" ca="1" si="11"/>
        <v>#REF!</v>
      </c>
      <c r="T26" s="125" t="e">
        <f t="shared" ca="1" si="4"/>
        <v>#REF!</v>
      </c>
      <c r="U26" s="128" t="e">
        <f t="shared" ca="1" si="12"/>
        <v>#REF!</v>
      </c>
      <c r="AC26">
        <v>19</v>
      </c>
      <c r="AD26" s="6">
        <f t="shared" ca="1" si="13"/>
        <v>52201</v>
      </c>
      <c r="AE26" s="7" t="e">
        <f t="shared" ca="1" si="14"/>
        <v>#REF!</v>
      </c>
      <c r="AF26" s="125" t="e">
        <f t="shared" ca="1" si="15"/>
        <v>#REF!</v>
      </c>
      <c r="AG26" s="125" t="e">
        <f t="shared" ca="1" si="5"/>
        <v>#REF!</v>
      </c>
      <c r="AH26" s="128" t="e">
        <f t="shared" ca="1" si="16"/>
        <v>#REF!</v>
      </c>
    </row>
    <row r="27" spans="4:35">
      <c r="D27">
        <v>20</v>
      </c>
      <c r="E27" s="6">
        <f t="shared" ca="1" si="6"/>
        <v>52171</v>
      </c>
      <c r="F27" s="7">
        <f t="shared" ca="1" si="7"/>
        <v>1</v>
      </c>
      <c r="G27" s="125">
        <f t="shared" ca="1" si="8"/>
        <v>17500</v>
      </c>
      <c r="H27" s="125">
        <f ca="1">IF(F27=1,F27*$B$10/MIN(12,'Simulador - 3º Pilar'!$E$88),0)</f>
        <v>0</v>
      </c>
      <c r="I27" s="128">
        <f t="shared" ca="1" si="1"/>
        <v>0</v>
      </c>
      <c r="J27" s="494">
        <f t="shared" ca="1" si="2"/>
        <v>0</v>
      </c>
      <c r="K27" s="126">
        <f t="shared" ca="1" si="3"/>
        <v>0</v>
      </c>
      <c r="L27" s="126">
        <f t="shared" ca="1" si="0"/>
        <v>0</v>
      </c>
      <c r="P27">
        <v>20</v>
      </c>
      <c r="Q27" s="6">
        <f t="shared" ca="1" si="9"/>
        <v>52171</v>
      </c>
      <c r="R27" s="7" t="e">
        <f t="shared" ca="1" si="10"/>
        <v>#REF!</v>
      </c>
      <c r="S27" s="125" t="e">
        <f t="shared" ca="1" si="11"/>
        <v>#REF!</v>
      </c>
      <c r="T27" s="125" t="e">
        <f t="shared" ca="1" si="4"/>
        <v>#REF!</v>
      </c>
      <c r="U27" s="128" t="e">
        <f t="shared" ca="1" si="12"/>
        <v>#REF!</v>
      </c>
      <c r="AC27">
        <v>20</v>
      </c>
      <c r="AD27" s="6">
        <f t="shared" ca="1" si="13"/>
        <v>52171</v>
      </c>
      <c r="AE27" s="7" t="e">
        <f t="shared" ca="1" si="14"/>
        <v>#REF!</v>
      </c>
      <c r="AF27" s="125" t="e">
        <f t="shared" ca="1" si="15"/>
        <v>#REF!</v>
      </c>
      <c r="AG27" s="125" t="e">
        <f t="shared" ca="1" si="5"/>
        <v>#REF!</v>
      </c>
      <c r="AH27" s="128" t="e">
        <f t="shared" ca="1" si="16"/>
        <v>#REF!</v>
      </c>
    </row>
    <row r="28" spans="4:35">
      <c r="D28">
        <v>21</v>
      </c>
      <c r="E28" s="6">
        <f t="shared" ca="1" si="6"/>
        <v>52140</v>
      </c>
      <c r="F28" s="7">
        <f t="shared" ca="1" si="7"/>
        <v>1</v>
      </c>
      <c r="G28" s="125">
        <f t="shared" ca="1" si="8"/>
        <v>17500</v>
      </c>
      <c r="H28" s="125">
        <f ca="1">IF(F28=1,F28*$B$10/MIN(12,'Simulador - 3º Pilar'!$E$88),0)</f>
        <v>0</v>
      </c>
      <c r="I28" s="128">
        <f t="shared" ca="1" si="1"/>
        <v>0</v>
      </c>
      <c r="J28" s="494">
        <f t="shared" ca="1" si="2"/>
        <v>0</v>
      </c>
      <c r="K28" s="126">
        <f t="shared" ca="1" si="3"/>
        <v>0</v>
      </c>
      <c r="L28" s="126">
        <f t="shared" ca="1" si="0"/>
        <v>0</v>
      </c>
      <c r="P28">
        <v>21</v>
      </c>
      <c r="Q28" s="6">
        <f t="shared" ca="1" si="9"/>
        <v>52140</v>
      </c>
      <c r="R28" s="7" t="e">
        <f t="shared" ca="1" si="10"/>
        <v>#REF!</v>
      </c>
      <c r="S28" s="125" t="e">
        <f t="shared" ca="1" si="11"/>
        <v>#REF!</v>
      </c>
      <c r="T28" s="125" t="e">
        <f t="shared" ca="1" si="4"/>
        <v>#REF!</v>
      </c>
      <c r="U28" s="128" t="e">
        <f t="shared" ca="1" si="12"/>
        <v>#REF!</v>
      </c>
      <c r="AC28">
        <v>21</v>
      </c>
      <c r="AD28" s="6">
        <f t="shared" ca="1" si="13"/>
        <v>52140</v>
      </c>
      <c r="AE28" s="7" t="e">
        <f t="shared" ca="1" si="14"/>
        <v>#REF!</v>
      </c>
      <c r="AF28" s="125" t="e">
        <f t="shared" ca="1" si="15"/>
        <v>#REF!</v>
      </c>
      <c r="AG28" s="125" t="e">
        <f t="shared" ca="1" si="5"/>
        <v>#REF!</v>
      </c>
      <c r="AH28" s="128" t="e">
        <f t="shared" ca="1" si="16"/>
        <v>#REF!</v>
      </c>
    </row>
    <row r="29" spans="4:35">
      <c r="D29">
        <v>22</v>
      </c>
      <c r="E29" s="6">
        <f t="shared" ca="1" si="6"/>
        <v>52110</v>
      </c>
      <c r="F29" s="7">
        <f t="shared" ca="1" si="7"/>
        <v>1</v>
      </c>
      <c r="G29" s="125">
        <f t="shared" ca="1" si="8"/>
        <v>17500</v>
      </c>
      <c r="H29" s="125">
        <f ca="1">IF(F29=1,F29*$B$10/MIN(12,'Simulador - 3º Pilar'!$E$88),0)</f>
        <v>0</v>
      </c>
      <c r="I29" s="128">
        <f t="shared" ca="1" si="1"/>
        <v>0</v>
      </c>
      <c r="J29" s="494">
        <f t="shared" ca="1" si="2"/>
        <v>0</v>
      </c>
      <c r="K29" s="126">
        <f t="shared" ca="1" si="3"/>
        <v>0</v>
      </c>
      <c r="L29" s="126">
        <f t="shared" ca="1" si="0"/>
        <v>0</v>
      </c>
      <c r="P29">
        <v>22</v>
      </c>
      <c r="Q29" s="6">
        <f t="shared" ca="1" si="9"/>
        <v>52110</v>
      </c>
      <c r="R29" s="7" t="e">
        <f t="shared" ca="1" si="10"/>
        <v>#REF!</v>
      </c>
      <c r="S29" s="125" t="e">
        <f t="shared" ca="1" si="11"/>
        <v>#REF!</v>
      </c>
      <c r="T29" s="125" t="e">
        <f t="shared" ca="1" si="4"/>
        <v>#REF!</v>
      </c>
      <c r="U29" s="128" t="e">
        <f t="shared" ca="1" si="12"/>
        <v>#REF!</v>
      </c>
      <c r="AC29">
        <v>22</v>
      </c>
      <c r="AD29" s="6">
        <f t="shared" ca="1" si="13"/>
        <v>52110</v>
      </c>
      <c r="AE29" s="7" t="e">
        <f t="shared" ca="1" si="14"/>
        <v>#REF!</v>
      </c>
      <c r="AF29" s="125" t="e">
        <f t="shared" ca="1" si="15"/>
        <v>#REF!</v>
      </c>
      <c r="AG29" s="125" t="e">
        <f t="shared" ca="1" si="5"/>
        <v>#REF!</v>
      </c>
      <c r="AH29" s="128" t="e">
        <f t="shared" ca="1" si="16"/>
        <v>#REF!</v>
      </c>
    </row>
    <row r="30" spans="4:35">
      <c r="D30">
        <v>23</v>
      </c>
      <c r="E30" s="6">
        <f t="shared" ca="1" si="6"/>
        <v>52079</v>
      </c>
      <c r="F30" s="7">
        <f t="shared" ca="1" si="7"/>
        <v>1</v>
      </c>
      <c r="G30" s="125">
        <f t="shared" ca="1" si="8"/>
        <v>17500</v>
      </c>
      <c r="H30" s="125">
        <f ca="1">IF(F30=1,F30*$B$10/MIN(12,'Simulador - 3º Pilar'!$E$88),0)</f>
        <v>0</v>
      </c>
      <c r="I30" s="128">
        <f t="shared" ca="1" si="1"/>
        <v>0</v>
      </c>
      <c r="J30" s="494">
        <f t="shared" ca="1" si="2"/>
        <v>0</v>
      </c>
      <c r="K30" s="126">
        <f t="shared" ca="1" si="3"/>
        <v>0</v>
      </c>
      <c r="L30" s="126">
        <f t="shared" ca="1" si="0"/>
        <v>0</v>
      </c>
      <c r="P30">
        <v>23</v>
      </c>
      <c r="Q30" s="6">
        <f t="shared" ca="1" si="9"/>
        <v>52079</v>
      </c>
      <c r="R30" s="7" t="e">
        <f t="shared" ca="1" si="10"/>
        <v>#REF!</v>
      </c>
      <c r="S30" s="125" t="e">
        <f t="shared" ca="1" si="11"/>
        <v>#REF!</v>
      </c>
      <c r="T30" s="125" t="e">
        <f t="shared" ca="1" si="4"/>
        <v>#REF!</v>
      </c>
      <c r="U30" s="128" t="e">
        <f t="shared" ca="1" si="12"/>
        <v>#REF!</v>
      </c>
      <c r="AC30">
        <v>23</v>
      </c>
      <c r="AD30" s="6">
        <f t="shared" ca="1" si="13"/>
        <v>52079</v>
      </c>
      <c r="AE30" s="7" t="e">
        <f t="shared" ca="1" si="14"/>
        <v>#REF!</v>
      </c>
      <c r="AF30" s="125" t="e">
        <f t="shared" ca="1" si="15"/>
        <v>#REF!</v>
      </c>
      <c r="AG30" s="125" t="e">
        <f t="shared" ca="1" si="5"/>
        <v>#REF!</v>
      </c>
      <c r="AH30" s="128" t="e">
        <f t="shared" ca="1" si="16"/>
        <v>#REF!</v>
      </c>
    </row>
    <row r="31" spans="4:35">
      <c r="D31">
        <v>24</v>
      </c>
      <c r="E31" s="6">
        <f t="shared" ca="1" si="6"/>
        <v>52048</v>
      </c>
      <c r="F31" s="7">
        <f t="shared" ca="1" si="7"/>
        <v>1</v>
      </c>
      <c r="G31" s="125">
        <f t="shared" ca="1" si="8"/>
        <v>17500</v>
      </c>
      <c r="H31" s="125">
        <f ca="1">IF(F31=1,F31*$B$10/MIN(12,'Simulador - 3º Pilar'!$E$88),0)</f>
        <v>0</v>
      </c>
      <c r="I31" s="128">
        <f t="shared" ca="1" si="1"/>
        <v>0</v>
      </c>
      <c r="J31" s="494">
        <f t="shared" ca="1" si="2"/>
        <v>0</v>
      </c>
      <c r="K31" s="126">
        <f t="shared" ca="1" si="3"/>
        <v>0</v>
      </c>
      <c r="L31" s="126">
        <f t="shared" ca="1" si="0"/>
        <v>0</v>
      </c>
      <c r="P31">
        <v>24</v>
      </c>
      <c r="Q31" s="6">
        <f t="shared" ca="1" si="9"/>
        <v>52048</v>
      </c>
      <c r="R31" s="7" t="e">
        <f t="shared" ca="1" si="10"/>
        <v>#REF!</v>
      </c>
      <c r="S31" s="125" t="e">
        <f t="shared" ca="1" si="11"/>
        <v>#REF!</v>
      </c>
      <c r="T31" s="125" t="e">
        <f t="shared" ca="1" si="4"/>
        <v>#REF!</v>
      </c>
      <c r="U31" s="128" t="e">
        <f t="shared" ca="1" si="12"/>
        <v>#REF!</v>
      </c>
      <c r="AC31">
        <v>24</v>
      </c>
      <c r="AD31" s="6">
        <f t="shared" ca="1" si="13"/>
        <v>52048</v>
      </c>
      <c r="AE31" s="7" t="e">
        <f t="shared" ca="1" si="14"/>
        <v>#REF!</v>
      </c>
      <c r="AF31" s="125" t="e">
        <f t="shared" ca="1" si="15"/>
        <v>#REF!</v>
      </c>
      <c r="AG31" s="125" t="e">
        <f t="shared" ca="1" si="5"/>
        <v>#REF!</v>
      </c>
      <c r="AH31" s="128" t="e">
        <f t="shared" ca="1" si="16"/>
        <v>#REF!</v>
      </c>
    </row>
    <row r="32" spans="4:35">
      <c r="D32">
        <v>25</v>
      </c>
      <c r="E32" s="6">
        <f t="shared" ca="1" si="6"/>
        <v>52018</v>
      </c>
      <c r="F32" s="7">
        <f t="shared" ca="1" si="7"/>
        <v>1</v>
      </c>
      <c r="G32" s="125">
        <f t="shared" ca="1" si="8"/>
        <v>17500</v>
      </c>
      <c r="H32" s="125">
        <f ca="1">IF(F32=1,F32*$B$10/MIN(12,'Simulador - 3º Pilar'!$E$88),0)</f>
        <v>0</v>
      </c>
      <c r="I32" s="128">
        <f t="shared" ca="1" si="1"/>
        <v>0</v>
      </c>
      <c r="J32" s="494">
        <f t="shared" ca="1" si="2"/>
        <v>0</v>
      </c>
      <c r="K32" s="126">
        <f t="shared" ca="1" si="3"/>
        <v>0</v>
      </c>
      <c r="L32" s="126">
        <f t="shared" ca="1" si="0"/>
        <v>0</v>
      </c>
      <c r="P32">
        <v>25</v>
      </c>
      <c r="Q32" s="6">
        <f t="shared" ca="1" si="9"/>
        <v>52018</v>
      </c>
      <c r="R32" s="7" t="e">
        <f t="shared" ca="1" si="10"/>
        <v>#REF!</v>
      </c>
      <c r="S32" s="125" t="e">
        <f t="shared" ca="1" si="11"/>
        <v>#REF!</v>
      </c>
      <c r="T32" s="125" t="e">
        <f t="shared" ca="1" si="4"/>
        <v>#REF!</v>
      </c>
      <c r="U32" s="128" t="e">
        <f t="shared" ca="1" si="12"/>
        <v>#REF!</v>
      </c>
      <c r="AC32">
        <v>25</v>
      </c>
      <c r="AD32" s="6">
        <f t="shared" ca="1" si="13"/>
        <v>52018</v>
      </c>
      <c r="AE32" s="7" t="e">
        <f t="shared" ca="1" si="14"/>
        <v>#REF!</v>
      </c>
      <c r="AF32" s="125" t="e">
        <f t="shared" ca="1" si="15"/>
        <v>#REF!</v>
      </c>
      <c r="AG32" s="125" t="e">
        <f t="shared" ca="1" si="5"/>
        <v>#REF!</v>
      </c>
      <c r="AH32" s="128" t="e">
        <f t="shared" ca="1" si="16"/>
        <v>#REF!</v>
      </c>
    </row>
    <row r="33" spans="4:34">
      <c r="D33">
        <v>26</v>
      </c>
      <c r="E33" s="6">
        <f t="shared" ca="1" si="6"/>
        <v>51987</v>
      </c>
      <c r="F33" s="7">
        <f t="shared" ca="1" si="7"/>
        <v>1</v>
      </c>
      <c r="G33" s="125">
        <f t="shared" ca="1" si="8"/>
        <v>17500</v>
      </c>
      <c r="H33" s="125">
        <f ca="1">IF(F33=1,F33*$B$10/MIN(12,'Simulador - 3º Pilar'!$E$88),0)</f>
        <v>0</v>
      </c>
      <c r="I33" s="128">
        <f t="shared" ca="1" si="1"/>
        <v>0</v>
      </c>
      <c r="J33" s="494">
        <f t="shared" ca="1" si="2"/>
        <v>0</v>
      </c>
      <c r="K33" s="126">
        <f t="shared" ca="1" si="3"/>
        <v>0</v>
      </c>
      <c r="L33" s="126">
        <f t="shared" ca="1" si="0"/>
        <v>0</v>
      </c>
      <c r="P33">
        <v>26</v>
      </c>
      <c r="Q33" s="6">
        <f t="shared" ca="1" si="9"/>
        <v>51987</v>
      </c>
      <c r="R33" s="7" t="e">
        <f t="shared" ca="1" si="10"/>
        <v>#REF!</v>
      </c>
      <c r="S33" s="125" t="e">
        <f t="shared" ca="1" si="11"/>
        <v>#REF!</v>
      </c>
      <c r="T33" s="125" t="e">
        <f t="shared" ca="1" si="4"/>
        <v>#REF!</v>
      </c>
      <c r="U33" s="128" t="e">
        <f t="shared" ca="1" si="12"/>
        <v>#REF!</v>
      </c>
      <c r="AC33">
        <v>26</v>
      </c>
      <c r="AD33" s="6">
        <f t="shared" ca="1" si="13"/>
        <v>51987</v>
      </c>
      <c r="AE33" s="7" t="e">
        <f t="shared" ca="1" si="14"/>
        <v>#REF!</v>
      </c>
      <c r="AF33" s="125" t="e">
        <f t="shared" ca="1" si="15"/>
        <v>#REF!</v>
      </c>
      <c r="AG33" s="125" t="e">
        <f t="shared" ca="1" si="5"/>
        <v>#REF!</v>
      </c>
      <c r="AH33" s="128" t="e">
        <f t="shared" ca="1" si="16"/>
        <v>#REF!</v>
      </c>
    </row>
    <row r="34" spans="4:34">
      <c r="D34">
        <v>27</v>
      </c>
      <c r="E34" s="6">
        <f t="shared" ca="1" si="6"/>
        <v>51957</v>
      </c>
      <c r="F34" s="7">
        <f t="shared" ca="1" si="7"/>
        <v>1</v>
      </c>
      <c r="G34" s="125">
        <f t="shared" ca="1" si="8"/>
        <v>17500</v>
      </c>
      <c r="H34" s="125">
        <f ca="1">IF(F34=1,F34*$B$10/MIN(12,'Simulador - 3º Pilar'!$E$88),0)</f>
        <v>0</v>
      </c>
      <c r="I34" s="128">
        <f t="shared" ca="1" si="1"/>
        <v>0</v>
      </c>
      <c r="J34" s="494">
        <f t="shared" ca="1" si="2"/>
        <v>0</v>
      </c>
      <c r="K34" s="126">
        <f t="shared" ca="1" si="3"/>
        <v>0</v>
      </c>
      <c r="L34" s="126">
        <f t="shared" ca="1" si="0"/>
        <v>0</v>
      </c>
      <c r="P34">
        <v>27</v>
      </c>
      <c r="Q34" s="6">
        <f t="shared" ca="1" si="9"/>
        <v>51957</v>
      </c>
      <c r="R34" s="7" t="e">
        <f t="shared" ca="1" si="10"/>
        <v>#REF!</v>
      </c>
      <c r="S34" s="125" t="e">
        <f t="shared" ca="1" si="11"/>
        <v>#REF!</v>
      </c>
      <c r="T34" s="125" t="e">
        <f t="shared" ca="1" si="4"/>
        <v>#REF!</v>
      </c>
      <c r="U34" s="128" t="e">
        <f t="shared" ca="1" si="12"/>
        <v>#REF!</v>
      </c>
      <c r="AC34">
        <v>27</v>
      </c>
      <c r="AD34" s="6">
        <f t="shared" ca="1" si="13"/>
        <v>51957</v>
      </c>
      <c r="AE34" s="7" t="e">
        <f t="shared" ca="1" si="14"/>
        <v>#REF!</v>
      </c>
      <c r="AF34" s="125" t="e">
        <f t="shared" ca="1" si="15"/>
        <v>#REF!</v>
      </c>
      <c r="AG34" s="125" t="e">
        <f t="shared" ca="1" si="5"/>
        <v>#REF!</v>
      </c>
      <c r="AH34" s="128" t="e">
        <f t="shared" ca="1" si="16"/>
        <v>#REF!</v>
      </c>
    </row>
    <row r="35" spans="4:34">
      <c r="D35">
        <v>28</v>
      </c>
      <c r="E35" s="6">
        <f t="shared" ca="1" si="6"/>
        <v>51926</v>
      </c>
      <c r="F35" s="7">
        <f t="shared" ca="1" si="7"/>
        <v>1</v>
      </c>
      <c r="G35" s="125">
        <f t="shared" ca="1" si="8"/>
        <v>17500</v>
      </c>
      <c r="H35" s="125">
        <f ca="1">IF(F35=1,F35*$B$10/MIN(12,'Simulador - 3º Pilar'!$E$88),0)</f>
        <v>0</v>
      </c>
      <c r="I35" s="128">
        <f t="shared" ca="1" si="1"/>
        <v>0</v>
      </c>
      <c r="J35" s="494">
        <f t="shared" ca="1" si="2"/>
        <v>0</v>
      </c>
      <c r="K35" s="126">
        <f t="shared" ca="1" si="3"/>
        <v>0</v>
      </c>
      <c r="L35" s="126">
        <f t="shared" ca="1" si="0"/>
        <v>0</v>
      </c>
      <c r="P35">
        <v>28</v>
      </c>
      <c r="Q35" s="6">
        <f t="shared" ca="1" si="9"/>
        <v>51926</v>
      </c>
      <c r="R35" s="7" t="e">
        <f t="shared" ca="1" si="10"/>
        <v>#REF!</v>
      </c>
      <c r="S35" s="125" t="e">
        <f t="shared" ca="1" si="11"/>
        <v>#REF!</v>
      </c>
      <c r="T35" s="125" t="e">
        <f t="shared" ca="1" si="4"/>
        <v>#REF!</v>
      </c>
      <c r="U35" s="128" t="e">
        <f t="shared" ca="1" si="12"/>
        <v>#REF!</v>
      </c>
      <c r="AC35">
        <v>28</v>
      </c>
      <c r="AD35" s="6">
        <f t="shared" ca="1" si="13"/>
        <v>51926</v>
      </c>
      <c r="AE35" s="7" t="e">
        <f t="shared" ca="1" si="14"/>
        <v>#REF!</v>
      </c>
      <c r="AF35" s="125" t="e">
        <f t="shared" ca="1" si="15"/>
        <v>#REF!</v>
      </c>
      <c r="AG35" s="125" t="e">
        <f t="shared" ca="1" si="5"/>
        <v>#REF!</v>
      </c>
      <c r="AH35" s="128" t="e">
        <f t="shared" ca="1" si="16"/>
        <v>#REF!</v>
      </c>
    </row>
    <row r="36" spans="4:34">
      <c r="D36">
        <v>29</v>
      </c>
      <c r="E36" s="6">
        <f t="shared" ca="1" si="6"/>
        <v>51898</v>
      </c>
      <c r="F36" s="7">
        <f t="shared" ca="1" si="7"/>
        <v>1</v>
      </c>
      <c r="G36" s="125">
        <f t="shared" ca="1" si="8"/>
        <v>17500</v>
      </c>
      <c r="H36" s="125">
        <f ca="1">IF(F36=1,F36*$B$10/MIN(12,'Simulador - 3º Pilar'!$E$88),0)</f>
        <v>0</v>
      </c>
      <c r="I36" s="128">
        <f t="shared" ca="1" si="1"/>
        <v>0</v>
      </c>
      <c r="J36" s="494">
        <f t="shared" ca="1" si="2"/>
        <v>0</v>
      </c>
      <c r="K36" s="126">
        <f t="shared" ca="1" si="3"/>
        <v>0</v>
      </c>
      <c r="L36" s="126">
        <f t="shared" ca="1" si="0"/>
        <v>0</v>
      </c>
      <c r="P36">
        <v>29</v>
      </c>
      <c r="Q36" s="6">
        <f t="shared" ca="1" si="9"/>
        <v>51898</v>
      </c>
      <c r="R36" s="7" t="e">
        <f t="shared" ca="1" si="10"/>
        <v>#REF!</v>
      </c>
      <c r="S36" s="125" t="e">
        <f t="shared" ca="1" si="11"/>
        <v>#REF!</v>
      </c>
      <c r="T36" s="125" t="e">
        <f t="shared" ca="1" si="4"/>
        <v>#REF!</v>
      </c>
      <c r="U36" s="128" t="e">
        <f t="shared" ca="1" si="12"/>
        <v>#REF!</v>
      </c>
      <c r="AC36">
        <v>29</v>
      </c>
      <c r="AD36" s="6">
        <f t="shared" ca="1" si="13"/>
        <v>51898</v>
      </c>
      <c r="AE36" s="7" t="e">
        <f t="shared" ca="1" si="14"/>
        <v>#REF!</v>
      </c>
      <c r="AF36" s="125" t="e">
        <f t="shared" ca="1" si="15"/>
        <v>#REF!</v>
      </c>
      <c r="AG36" s="125" t="e">
        <f t="shared" ca="1" si="5"/>
        <v>#REF!</v>
      </c>
      <c r="AH36" s="128" t="e">
        <f t="shared" ca="1" si="16"/>
        <v>#REF!</v>
      </c>
    </row>
    <row r="37" spans="4:34">
      <c r="D37">
        <v>30</v>
      </c>
      <c r="E37" s="6">
        <f t="shared" ca="1" si="6"/>
        <v>51867</v>
      </c>
      <c r="F37" s="7">
        <f t="shared" ca="1" si="7"/>
        <v>1</v>
      </c>
      <c r="G37" s="125">
        <f t="shared" ca="1" si="8"/>
        <v>17500</v>
      </c>
      <c r="H37" s="125">
        <f ca="1">IF(F37=1,F37*$B$10/MIN(12,'Simulador - 3º Pilar'!$E$88),0)</f>
        <v>0</v>
      </c>
      <c r="I37" s="128">
        <f t="shared" ca="1" si="1"/>
        <v>0</v>
      </c>
      <c r="J37" s="494">
        <f t="shared" ca="1" si="2"/>
        <v>0</v>
      </c>
      <c r="K37" s="126">
        <f t="shared" ca="1" si="3"/>
        <v>0</v>
      </c>
      <c r="L37" s="126">
        <f t="shared" ca="1" si="0"/>
        <v>0</v>
      </c>
      <c r="P37">
        <v>30</v>
      </c>
      <c r="Q37" s="6">
        <f t="shared" ca="1" si="9"/>
        <v>51867</v>
      </c>
      <c r="R37" s="7" t="e">
        <f t="shared" ca="1" si="10"/>
        <v>#REF!</v>
      </c>
      <c r="S37" s="125" t="e">
        <f t="shared" ca="1" si="11"/>
        <v>#REF!</v>
      </c>
      <c r="T37" s="125" t="e">
        <f t="shared" ca="1" si="4"/>
        <v>#REF!</v>
      </c>
      <c r="U37" s="128" t="e">
        <f t="shared" ca="1" si="12"/>
        <v>#REF!</v>
      </c>
      <c r="AC37">
        <v>30</v>
      </c>
      <c r="AD37" s="6">
        <f t="shared" ca="1" si="13"/>
        <v>51867</v>
      </c>
      <c r="AE37" s="7" t="e">
        <f t="shared" ca="1" si="14"/>
        <v>#REF!</v>
      </c>
      <c r="AF37" s="125" t="e">
        <f t="shared" ca="1" si="15"/>
        <v>#REF!</v>
      </c>
      <c r="AG37" s="125" t="e">
        <f t="shared" ca="1" si="5"/>
        <v>#REF!</v>
      </c>
      <c r="AH37" s="128" t="e">
        <f t="shared" ca="1" si="16"/>
        <v>#REF!</v>
      </c>
    </row>
    <row r="38" spans="4:34">
      <c r="D38">
        <v>31</v>
      </c>
      <c r="E38" s="6">
        <f t="shared" ca="1" si="6"/>
        <v>51836</v>
      </c>
      <c r="F38" s="7">
        <f t="shared" ca="1" si="7"/>
        <v>1</v>
      </c>
      <c r="G38" s="125">
        <f t="shared" ca="1" si="8"/>
        <v>17500</v>
      </c>
      <c r="H38" s="125">
        <f ca="1">IF(F38=1,F38*$B$10/MIN(12,'Simulador - 3º Pilar'!$E$88),0)</f>
        <v>0</v>
      </c>
      <c r="I38" s="128">
        <f t="shared" ca="1" si="1"/>
        <v>0</v>
      </c>
      <c r="J38" s="494">
        <f t="shared" ca="1" si="2"/>
        <v>0</v>
      </c>
      <c r="K38" s="126">
        <f t="shared" ca="1" si="3"/>
        <v>0</v>
      </c>
      <c r="L38" s="126">
        <f t="shared" ca="1" si="0"/>
        <v>0</v>
      </c>
      <c r="P38">
        <v>31</v>
      </c>
      <c r="Q38" s="6">
        <f t="shared" ca="1" si="9"/>
        <v>51836</v>
      </c>
      <c r="R38" s="7" t="e">
        <f t="shared" ca="1" si="10"/>
        <v>#REF!</v>
      </c>
      <c r="S38" s="125" t="e">
        <f t="shared" ca="1" si="11"/>
        <v>#REF!</v>
      </c>
      <c r="T38" s="125" t="e">
        <f t="shared" ca="1" si="4"/>
        <v>#REF!</v>
      </c>
      <c r="U38" s="128" t="e">
        <f t="shared" ca="1" si="12"/>
        <v>#REF!</v>
      </c>
      <c r="AC38">
        <v>31</v>
      </c>
      <c r="AD38" s="6">
        <f t="shared" ca="1" si="13"/>
        <v>51836</v>
      </c>
      <c r="AE38" s="7" t="e">
        <f t="shared" ca="1" si="14"/>
        <v>#REF!</v>
      </c>
      <c r="AF38" s="125" t="e">
        <f t="shared" ca="1" si="15"/>
        <v>#REF!</v>
      </c>
      <c r="AG38" s="125" t="e">
        <f t="shared" ca="1" si="5"/>
        <v>#REF!</v>
      </c>
      <c r="AH38" s="128" t="e">
        <f t="shared" ca="1" si="16"/>
        <v>#REF!</v>
      </c>
    </row>
    <row r="39" spans="4:34">
      <c r="D39">
        <v>32</v>
      </c>
      <c r="E39" s="6">
        <f t="shared" ca="1" si="6"/>
        <v>51806</v>
      </c>
      <c r="F39" s="7">
        <f t="shared" ca="1" si="7"/>
        <v>1</v>
      </c>
      <c r="G39" s="125">
        <f t="shared" ca="1" si="8"/>
        <v>17500</v>
      </c>
      <c r="H39" s="125">
        <f ca="1">IF(F39=1,F39*$B$10/MIN(12,'Simulador - 3º Pilar'!$E$88),0)</f>
        <v>0</v>
      </c>
      <c r="I39" s="128">
        <f t="shared" ca="1" si="1"/>
        <v>0</v>
      </c>
      <c r="J39" s="494">
        <f t="shared" ca="1" si="2"/>
        <v>0</v>
      </c>
      <c r="K39" s="126">
        <f t="shared" ca="1" si="3"/>
        <v>0</v>
      </c>
      <c r="L39" s="126">
        <f t="shared" ca="1" si="0"/>
        <v>0</v>
      </c>
      <c r="P39">
        <v>32</v>
      </c>
      <c r="Q39" s="6">
        <f t="shared" ca="1" si="9"/>
        <v>51806</v>
      </c>
      <c r="R39" s="7" t="e">
        <f t="shared" ca="1" si="10"/>
        <v>#REF!</v>
      </c>
      <c r="S39" s="125" t="e">
        <f t="shared" ca="1" si="11"/>
        <v>#REF!</v>
      </c>
      <c r="T39" s="125" t="e">
        <f t="shared" ca="1" si="4"/>
        <v>#REF!</v>
      </c>
      <c r="U39" s="128" t="e">
        <f t="shared" ca="1" si="12"/>
        <v>#REF!</v>
      </c>
      <c r="AC39">
        <v>32</v>
      </c>
      <c r="AD39" s="6">
        <f t="shared" ca="1" si="13"/>
        <v>51806</v>
      </c>
      <c r="AE39" s="7" t="e">
        <f t="shared" ca="1" si="14"/>
        <v>#REF!</v>
      </c>
      <c r="AF39" s="125" t="e">
        <f t="shared" ca="1" si="15"/>
        <v>#REF!</v>
      </c>
      <c r="AG39" s="125" t="e">
        <f t="shared" ca="1" si="5"/>
        <v>#REF!</v>
      </c>
      <c r="AH39" s="128" t="e">
        <f t="shared" ca="1" si="16"/>
        <v>#REF!</v>
      </c>
    </row>
    <row r="40" spans="4:34">
      <c r="D40">
        <v>33</v>
      </c>
      <c r="E40" s="6">
        <f t="shared" ca="1" si="6"/>
        <v>51775</v>
      </c>
      <c r="F40" s="7">
        <f t="shared" ca="1" si="7"/>
        <v>1</v>
      </c>
      <c r="G40" s="125">
        <f t="shared" ca="1" si="8"/>
        <v>17500</v>
      </c>
      <c r="H40" s="125">
        <f ca="1">IF(F40=1,F40*$B$10/MIN(12,'Simulador - 3º Pilar'!$E$88),0)</f>
        <v>0</v>
      </c>
      <c r="I40" s="128">
        <f t="shared" ca="1" si="1"/>
        <v>0</v>
      </c>
      <c r="J40" s="494">
        <f t="shared" ca="1" si="2"/>
        <v>0</v>
      </c>
      <c r="K40" s="126">
        <f t="shared" ca="1" si="3"/>
        <v>0</v>
      </c>
      <c r="L40" s="126">
        <f t="shared" ca="1" si="0"/>
        <v>0</v>
      </c>
      <c r="P40">
        <v>33</v>
      </c>
      <c r="Q40" s="6">
        <f t="shared" ca="1" si="9"/>
        <v>51775</v>
      </c>
      <c r="R40" s="7" t="e">
        <f t="shared" ca="1" si="10"/>
        <v>#REF!</v>
      </c>
      <c r="S40" s="125" t="e">
        <f t="shared" ca="1" si="11"/>
        <v>#REF!</v>
      </c>
      <c r="T40" s="125" t="e">
        <f t="shared" ca="1" si="4"/>
        <v>#REF!</v>
      </c>
      <c r="U40" s="128" t="e">
        <f t="shared" ca="1" si="12"/>
        <v>#REF!</v>
      </c>
      <c r="AC40">
        <v>33</v>
      </c>
      <c r="AD40" s="6">
        <f t="shared" ca="1" si="13"/>
        <v>51775</v>
      </c>
      <c r="AE40" s="7" t="e">
        <f t="shared" ca="1" si="14"/>
        <v>#REF!</v>
      </c>
      <c r="AF40" s="125" t="e">
        <f t="shared" ca="1" si="15"/>
        <v>#REF!</v>
      </c>
      <c r="AG40" s="125" t="e">
        <f t="shared" ca="1" si="5"/>
        <v>#REF!</v>
      </c>
      <c r="AH40" s="128" t="e">
        <f t="shared" ca="1" si="16"/>
        <v>#REF!</v>
      </c>
    </row>
    <row r="41" spans="4:34">
      <c r="D41">
        <v>34</v>
      </c>
      <c r="E41" s="6">
        <f t="shared" ca="1" si="6"/>
        <v>51745</v>
      </c>
      <c r="F41" s="7">
        <f t="shared" ca="1" si="7"/>
        <v>1</v>
      </c>
      <c r="G41" s="125">
        <f t="shared" ca="1" si="8"/>
        <v>17500</v>
      </c>
      <c r="H41" s="125">
        <f ca="1">IF(F41=1,F41*$B$10/MIN(12,'Simulador - 3º Pilar'!$E$88),0)</f>
        <v>0</v>
      </c>
      <c r="I41" s="128">
        <f t="shared" ca="1" si="1"/>
        <v>0</v>
      </c>
      <c r="J41" s="494">
        <f t="shared" ca="1" si="2"/>
        <v>0</v>
      </c>
      <c r="K41" s="126">
        <f t="shared" ca="1" si="3"/>
        <v>0</v>
      </c>
      <c r="L41" s="126">
        <f t="shared" ca="1" si="0"/>
        <v>0</v>
      </c>
      <c r="P41">
        <v>34</v>
      </c>
      <c r="Q41" s="6">
        <f t="shared" ca="1" si="9"/>
        <v>51745</v>
      </c>
      <c r="R41" s="7" t="e">
        <f t="shared" ca="1" si="10"/>
        <v>#REF!</v>
      </c>
      <c r="S41" s="125" t="e">
        <f t="shared" ca="1" si="11"/>
        <v>#REF!</v>
      </c>
      <c r="T41" s="125" t="e">
        <f t="shared" ca="1" si="4"/>
        <v>#REF!</v>
      </c>
      <c r="U41" s="128" t="e">
        <f t="shared" ca="1" si="12"/>
        <v>#REF!</v>
      </c>
      <c r="AC41">
        <v>34</v>
      </c>
      <c r="AD41" s="6">
        <f t="shared" ca="1" si="13"/>
        <v>51745</v>
      </c>
      <c r="AE41" s="7" t="e">
        <f t="shared" ca="1" si="14"/>
        <v>#REF!</v>
      </c>
      <c r="AF41" s="125" t="e">
        <f t="shared" ca="1" si="15"/>
        <v>#REF!</v>
      </c>
      <c r="AG41" s="125" t="e">
        <f t="shared" ca="1" si="5"/>
        <v>#REF!</v>
      </c>
      <c r="AH41" s="128" t="e">
        <f t="shared" ca="1" si="16"/>
        <v>#REF!</v>
      </c>
    </row>
    <row r="42" spans="4:34">
      <c r="D42">
        <v>35</v>
      </c>
      <c r="E42" s="6">
        <f t="shared" ca="1" si="6"/>
        <v>51714</v>
      </c>
      <c r="F42" s="7">
        <f t="shared" ca="1" si="7"/>
        <v>1</v>
      </c>
      <c r="G42" s="125">
        <f t="shared" ca="1" si="8"/>
        <v>17500</v>
      </c>
      <c r="H42" s="125">
        <f ca="1">IF(F42=1,F42*$B$10/MIN(12,'Simulador - 3º Pilar'!$E$88),0)</f>
        <v>0</v>
      </c>
      <c r="I42" s="128">
        <f t="shared" ca="1" si="1"/>
        <v>0</v>
      </c>
      <c r="J42" s="494">
        <f t="shared" ca="1" si="2"/>
        <v>0</v>
      </c>
      <c r="K42" s="126">
        <f t="shared" ca="1" si="3"/>
        <v>0</v>
      </c>
      <c r="L42" s="126">
        <f t="shared" ca="1" si="0"/>
        <v>0</v>
      </c>
      <c r="P42">
        <v>35</v>
      </c>
      <c r="Q42" s="6">
        <f t="shared" ca="1" si="9"/>
        <v>51714</v>
      </c>
      <c r="R42" s="7" t="e">
        <f t="shared" ca="1" si="10"/>
        <v>#REF!</v>
      </c>
      <c r="S42" s="125" t="e">
        <f t="shared" ca="1" si="11"/>
        <v>#REF!</v>
      </c>
      <c r="T42" s="125" t="e">
        <f t="shared" ca="1" si="4"/>
        <v>#REF!</v>
      </c>
      <c r="U42" s="128" t="e">
        <f t="shared" ca="1" si="12"/>
        <v>#REF!</v>
      </c>
      <c r="AC42">
        <v>35</v>
      </c>
      <c r="AD42" s="6">
        <f t="shared" ca="1" si="13"/>
        <v>51714</v>
      </c>
      <c r="AE42" s="7" t="e">
        <f t="shared" ca="1" si="14"/>
        <v>#REF!</v>
      </c>
      <c r="AF42" s="125" t="e">
        <f t="shared" ca="1" si="15"/>
        <v>#REF!</v>
      </c>
      <c r="AG42" s="125" t="e">
        <f t="shared" ca="1" si="5"/>
        <v>#REF!</v>
      </c>
      <c r="AH42" s="128" t="e">
        <f t="shared" ca="1" si="16"/>
        <v>#REF!</v>
      </c>
    </row>
    <row r="43" spans="4:34">
      <c r="D43">
        <v>36</v>
      </c>
      <c r="E43" s="6">
        <f t="shared" ca="1" si="6"/>
        <v>51683</v>
      </c>
      <c r="F43" s="7">
        <f t="shared" ca="1" si="7"/>
        <v>1</v>
      </c>
      <c r="G43" s="125">
        <f t="shared" ca="1" si="8"/>
        <v>17500</v>
      </c>
      <c r="H43" s="125">
        <f ca="1">IF(F43=1,F43*$B$10/MIN(12,'Simulador - 3º Pilar'!$E$88),0)</f>
        <v>0</v>
      </c>
      <c r="I43" s="128">
        <f t="shared" ca="1" si="1"/>
        <v>0</v>
      </c>
      <c r="J43" s="494">
        <f t="shared" ca="1" si="2"/>
        <v>0</v>
      </c>
      <c r="K43" s="126">
        <f t="shared" ca="1" si="3"/>
        <v>0</v>
      </c>
      <c r="L43" s="126">
        <f t="shared" ca="1" si="0"/>
        <v>0</v>
      </c>
      <c r="P43">
        <v>36</v>
      </c>
      <c r="Q43" s="6">
        <f t="shared" ca="1" si="9"/>
        <v>51683</v>
      </c>
      <c r="R43" s="7" t="e">
        <f t="shared" ca="1" si="10"/>
        <v>#REF!</v>
      </c>
      <c r="S43" s="125" t="e">
        <f t="shared" ca="1" si="11"/>
        <v>#REF!</v>
      </c>
      <c r="T43" s="125" t="e">
        <f t="shared" ca="1" si="4"/>
        <v>#REF!</v>
      </c>
      <c r="U43" s="128" t="e">
        <f t="shared" ca="1" si="12"/>
        <v>#REF!</v>
      </c>
      <c r="AC43">
        <v>36</v>
      </c>
      <c r="AD43" s="6">
        <f t="shared" ca="1" si="13"/>
        <v>51683</v>
      </c>
      <c r="AE43" s="7" t="e">
        <f t="shared" ca="1" si="14"/>
        <v>#REF!</v>
      </c>
      <c r="AF43" s="125" t="e">
        <f t="shared" ca="1" si="15"/>
        <v>#REF!</v>
      </c>
      <c r="AG43" s="125" t="e">
        <f t="shared" ca="1" si="5"/>
        <v>#REF!</v>
      </c>
      <c r="AH43" s="128" t="e">
        <f t="shared" ca="1" si="16"/>
        <v>#REF!</v>
      </c>
    </row>
    <row r="44" spans="4:34">
      <c r="D44">
        <v>37</v>
      </c>
      <c r="E44" s="6">
        <f t="shared" ca="1" si="6"/>
        <v>51653</v>
      </c>
      <c r="F44" s="7">
        <f t="shared" ca="1" si="7"/>
        <v>1</v>
      </c>
      <c r="G44" s="125">
        <f t="shared" ca="1" si="8"/>
        <v>17500</v>
      </c>
      <c r="H44" s="125">
        <f ca="1">IF(F44=1,F44*$B$10/MIN(12,'Simulador - 3º Pilar'!$E$88),0)</f>
        <v>0</v>
      </c>
      <c r="I44" s="128">
        <f t="shared" ca="1" si="1"/>
        <v>0</v>
      </c>
      <c r="J44" s="494">
        <f t="shared" ca="1" si="2"/>
        <v>0</v>
      </c>
      <c r="K44" s="126">
        <f t="shared" ca="1" si="3"/>
        <v>0</v>
      </c>
      <c r="L44" s="126">
        <f t="shared" ca="1" si="0"/>
        <v>0</v>
      </c>
      <c r="P44">
        <v>37</v>
      </c>
      <c r="Q44" s="6">
        <f t="shared" ca="1" si="9"/>
        <v>51653</v>
      </c>
      <c r="R44" s="7" t="e">
        <f t="shared" ca="1" si="10"/>
        <v>#REF!</v>
      </c>
      <c r="S44" s="125" t="e">
        <f t="shared" ca="1" si="11"/>
        <v>#REF!</v>
      </c>
      <c r="T44" s="125" t="e">
        <f t="shared" ca="1" si="4"/>
        <v>#REF!</v>
      </c>
      <c r="U44" s="128" t="e">
        <f t="shared" ca="1" si="12"/>
        <v>#REF!</v>
      </c>
      <c r="AC44">
        <v>37</v>
      </c>
      <c r="AD44" s="6">
        <f t="shared" ca="1" si="13"/>
        <v>51653</v>
      </c>
      <c r="AE44" s="7" t="e">
        <f t="shared" ca="1" si="14"/>
        <v>#REF!</v>
      </c>
      <c r="AF44" s="125" t="e">
        <f t="shared" ca="1" si="15"/>
        <v>#REF!</v>
      </c>
      <c r="AG44" s="125" t="e">
        <f t="shared" ca="1" si="5"/>
        <v>#REF!</v>
      </c>
      <c r="AH44" s="128" t="e">
        <f t="shared" ca="1" si="16"/>
        <v>#REF!</v>
      </c>
    </row>
    <row r="45" spans="4:34">
      <c r="D45">
        <v>38</v>
      </c>
      <c r="E45" s="6">
        <f t="shared" ca="1" si="6"/>
        <v>51622</v>
      </c>
      <c r="F45" s="7">
        <f t="shared" ca="1" si="7"/>
        <v>1</v>
      </c>
      <c r="G45" s="125">
        <f t="shared" ca="1" si="8"/>
        <v>17500</v>
      </c>
      <c r="H45" s="125">
        <f ca="1">IF(F45=1,F45*$B$10/MIN(12,'Simulador - 3º Pilar'!$E$88),0)</f>
        <v>0</v>
      </c>
      <c r="I45" s="128">
        <f t="shared" ca="1" si="1"/>
        <v>0</v>
      </c>
      <c r="J45" s="494">
        <f t="shared" ca="1" si="2"/>
        <v>0</v>
      </c>
      <c r="K45" s="126">
        <f t="shared" ca="1" si="3"/>
        <v>0</v>
      </c>
      <c r="L45" s="126">
        <f t="shared" ca="1" si="0"/>
        <v>0</v>
      </c>
      <c r="P45">
        <v>38</v>
      </c>
      <c r="Q45" s="6">
        <f t="shared" ca="1" si="9"/>
        <v>51622</v>
      </c>
      <c r="R45" s="7" t="e">
        <f t="shared" ca="1" si="10"/>
        <v>#REF!</v>
      </c>
      <c r="S45" s="125" t="e">
        <f t="shared" ca="1" si="11"/>
        <v>#REF!</v>
      </c>
      <c r="T45" s="125" t="e">
        <f t="shared" ca="1" si="4"/>
        <v>#REF!</v>
      </c>
      <c r="U45" s="128" t="e">
        <f t="shared" ca="1" si="12"/>
        <v>#REF!</v>
      </c>
      <c r="AC45">
        <v>38</v>
      </c>
      <c r="AD45" s="6">
        <f t="shared" ca="1" si="13"/>
        <v>51622</v>
      </c>
      <c r="AE45" s="7" t="e">
        <f t="shared" ca="1" si="14"/>
        <v>#REF!</v>
      </c>
      <c r="AF45" s="125" t="e">
        <f t="shared" ca="1" si="15"/>
        <v>#REF!</v>
      </c>
      <c r="AG45" s="125" t="e">
        <f t="shared" ca="1" si="5"/>
        <v>#REF!</v>
      </c>
      <c r="AH45" s="128" t="e">
        <f t="shared" ca="1" si="16"/>
        <v>#REF!</v>
      </c>
    </row>
    <row r="46" spans="4:34">
      <c r="D46">
        <v>39</v>
      </c>
      <c r="E46" s="6">
        <f t="shared" ca="1" si="6"/>
        <v>51592</v>
      </c>
      <c r="F46" s="7">
        <f t="shared" ca="1" si="7"/>
        <v>1</v>
      </c>
      <c r="G46" s="125">
        <f t="shared" ca="1" si="8"/>
        <v>17500</v>
      </c>
      <c r="H46" s="125">
        <f ca="1">IF(F46=1,F46*$B$10/MIN(12,'Simulador - 3º Pilar'!$E$88),0)</f>
        <v>0</v>
      </c>
      <c r="I46" s="128">
        <f t="shared" ca="1" si="1"/>
        <v>0</v>
      </c>
      <c r="J46" s="494">
        <f t="shared" ca="1" si="2"/>
        <v>0</v>
      </c>
      <c r="K46" s="126">
        <f t="shared" ca="1" si="3"/>
        <v>0</v>
      </c>
      <c r="L46" s="126">
        <f t="shared" ca="1" si="0"/>
        <v>0</v>
      </c>
      <c r="P46">
        <v>39</v>
      </c>
      <c r="Q46" s="6">
        <f t="shared" ca="1" si="9"/>
        <v>51592</v>
      </c>
      <c r="R46" s="7" t="e">
        <f t="shared" ca="1" si="10"/>
        <v>#REF!</v>
      </c>
      <c r="S46" s="125" t="e">
        <f t="shared" ca="1" si="11"/>
        <v>#REF!</v>
      </c>
      <c r="T46" s="125" t="e">
        <f t="shared" ca="1" si="4"/>
        <v>#REF!</v>
      </c>
      <c r="U46" s="128" t="e">
        <f t="shared" ca="1" si="12"/>
        <v>#REF!</v>
      </c>
      <c r="AC46">
        <v>39</v>
      </c>
      <c r="AD46" s="6">
        <f t="shared" ca="1" si="13"/>
        <v>51592</v>
      </c>
      <c r="AE46" s="7" t="e">
        <f t="shared" ca="1" si="14"/>
        <v>#REF!</v>
      </c>
      <c r="AF46" s="125" t="e">
        <f t="shared" ca="1" si="15"/>
        <v>#REF!</v>
      </c>
      <c r="AG46" s="125" t="e">
        <f t="shared" ca="1" si="5"/>
        <v>#REF!</v>
      </c>
      <c r="AH46" s="128" t="e">
        <f t="shared" ca="1" si="16"/>
        <v>#REF!</v>
      </c>
    </row>
    <row r="47" spans="4:34">
      <c r="D47">
        <v>40</v>
      </c>
      <c r="E47" s="6">
        <f t="shared" ca="1" si="6"/>
        <v>51561</v>
      </c>
      <c r="F47" s="7">
        <f t="shared" ca="1" si="7"/>
        <v>1</v>
      </c>
      <c r="G47" s="125">
        <f t="shared" ca="1" si="8"/>
        <v>17500</v>
      </c>
      <c r="H47" s="125">
        <f ca="1">IF(F47=1,F47*$B$10/MIN(12,'Simulador - 3º Pilar'!$E$88),0)</f>
        <v>0</v>
      </c>
      <c r="I47" s="128">
        <f t="shared" ca="1" si="1"/>
        <v>0</v>
      </c>
      <c r="J47" s="494">
        <f t="shared" ca="1" si="2"/>
        <v>0</v>
      </c>
      <c r="K47" s="126">
        <f t="shared" ca="1" si="3"/>
        <v>0</v>
      </c>
      <c r="L47" s="126">
        <f t="shared" ca="1" si="0"/>
        <v>0</v>
      </c>
      <c r="P47">
        <v>40</v>
      </c>
      <c r="Q47" s="6">
        <f t="shared" ca="1" si="9"/>
        <v>51561</v>
      </c>
      <c r="R47" s="7" t="e">
        <f t="shared" ca="1" si="10"/>
        <v>#REF!</v>
      </c>
      <c r="S47" s="125" t="e">
        <f t="shared" ca="1" si="11"/>
        <v>#REF!</v>
      </c>
      <c r="T47" s="125" t="e">
        <f t="shared" ca="1" si="4"/>
        <v>#REF!</v>
      </c>
      <c r="U47" s="128" t="e">
        <f t="shared" ca="1" si="12"/>
        <v>#REF!</v>
      </c>
      <c r="AC47">
        <v>40</v>
      </c>
      <c r="AD47" s="6">
        <f t="shared" ca="1" si="13"/>
        <v>51561</v>
      </c>
      <c r="AE47" s="7" t="e">
        <f t="shared" ca="1" si="14"/>
        <v>#REF!</v>
      </c>
      <c r="AF47" s="125" t="e">
        <f t="shared" ca="1" si="15"/>
        <v>#REF!</v>
      </c>
      <c r="AG47" s="125" t="e">
        <f t="shared" ca="1" si="5"/>
        <v>#REF!</v>
      </c>
      <c r="AH47" s="128" t="e">
        <f t="shared" ca="1" si="16"/>
        <v>#REF!</v>
      </c>
    </row>
    <row r="48" spans="4:34">
      <c r="D48">
        <v>41</v>
      </c>
      <c r="E48" s="6">
        <f t="shared" ca="1" si="6"/>
        <v>51533</v>
      </c>
      <c r="F48" s="7">
        <f t="shared" ca="1" si="7"/>
        <v>1</v>
      </c>
      <c r="G48" s="125">
        <f t="shared" ca="1" si="8"/>
        <v>17500</v>
      </c>
      <c r="H48" s="125">
        <f ca="1">IF(F48=1,F48*$B$10/MIN(12,'Simulador - 3º Pilar'!$E$88),0)</f>
        <v>0</v>
      </c>
      <c r="I48" s="128">
        <f t="shared" ca="1" si="1"/>
        <v>0</v>
      </c>
      <c r="J48" s="494">
        <f t="shared" ca="1" si="2"/>
        <v>0</v>
      </c>
      <c r="K48" s="126">
        <f t="shared" ca="1" si="3"/>
        <v>0</v>
      </c>
      <c r="L48" s="126">
        <f t="shared" ca="1" si="0"/>
        <v>0</v>
      </c>
      <c r="P48">
        <v>41</v>
      </c>
      <c r="Q48" s="6">
        <f t="shared" ca="1" si="9"/>
        <v>51533</v>
      </c>
      <c r="R48" s="7" t="e">
        <f t="shared" ca="1" si="10"/>
        <v>#REF!</v>
      </c>
      <c r="S48" s="125" t="e">
        <f t="shared" ca="1" si="11"/>
        <v>#REF!</v>
      </c>
      <c r="T48" s="125" t="e">
        <f t="shared" ca="1" si="4"/>
        <v>#REF!</v>
      </c>
      <c r="U48" s="128" t="e">
        <f t="shared" ca="1" si="12"/>
        <v>#REF!</v>
      </c>
      <c r="AC48">
        <v>41</v>
      </c>
      <c r="AD48" s="6">
        <f t="shared" ca="1" si="13"/>
        <v>51533</v>
      </c>
      <c r="AE48" s="7" t="e">
        <f t="shared" ca="1" si="14"/>
        <v>#REF!</v>
      </c>
      <c r="AF48" s="125" t="e">
        <f t="shared" ca="1" si="15"/>
        <v>#REF!</v>
      </c>
      <c r="AG48" s="125" t="e">
        <f t="shared" ca="1" si="5"/>
        <v>#REF!</v>
      </c>
      <c r="AH48" s="128" t="e">
        <f t="shared" ca="1" si="16"/>
        <v>#REF!</v>
      </c>
    </row>
    <row r="49" spans="4:34">
      <c r="D49">
        <v>42</v>
      </c>
      <c r="E49" s="6">
        <f t="shared" ca="1" si="6"/>
        <v>51502</v>
      </c>
      <c r="F49" s="7">
        <f t="shared" ca="1" si="7"/>
        <v>1</v>
      </c>
      <c r="G49" s="125">
        <f t="shared" ca="1" si="8"/>
        <v>17500</v>
      </c>
      <c r="H49" s="125">
        <f ca="1">IF(F49=1,F49*$B$10/MIN(12,'Simulador - 3º Pilar'!$E$88),0)</f>
        <v>0</v>
      </c>
      <c r="I49" s="128">
        <f t="shared" ca="1" si="1"/>
        <v>0</v>
      </c>
      <c r="J49" s="494">
        <f t="shared" ca="1" si="2"/>
        <v>0</v>
      </c>
      <c r="K49" s="126">
        <f t="shared" ca="1" si="3"/>
        <v>0</v>
      </c>
      <c r="L49" s="126">
        <f t="shared" ca="1" si="0"/>
        <v>0</v>
      </c>
      <c r="P49">
        <v>42</v>
      </c>
      <c r="Q49" s="6">
        <f t="shared" ca="1" si="9"/>
        <v>51502</v>
      </c>
      <c r="R49" s="7" t="e">
        <f t="shared" ca="1" si="10"/>
        <v>#REF!</v>
      </c>
      <c r="S49" s="125" t="e">
        <f t="shared" ca="1" si="11"/>
        <v>#REF!</v>
      </c>
      <c r="T49" s="125" t="e">
        <f t="shared" ca="1" si="4"/>
        <v>#REF!</v>
      </c>
      <c r="U49" s="128" t="e">
        <f t="shared" ca="1" si="12"/>
        <v>#REF!</v>
      </c>
      <c r="AC49">
        <v>42</v>
      </c>
      <c r="AD49" s="6">
        <f t="shared" ca="1" si="13"/>
        <v>51502</v>
      </c>
      <c r="AE49" s="7" t="e">
        <f t="shared" ca="1" si="14"/>
        <v>#REF!</v>
      </c>
      <c r="AF49" s="125" t="e">
        <f t="shared" ca="1" si="15"/>
        <v>#REF!</v>
      </c>
      <c r="AG49" s="125" t="e">
        <f t="shared" ca="1" si="5"/>
        <v>#REF!</v>
      </c>
      <c r="AH49" s="128" t="e">
        <f t="shared" ca="1" si="16"/>
        <v>#REF!</v>
      </c>
    </row>
    <row r="50" spans="4:34">
      <c r="D50">
        <v>43</v>
      </c>
      <c r="E50" s="6">
        <f t="shared" ca="1" si="6"/>
        <v>51471</v>
      </c>
      <c r="F50" s="7">
        <f t="shared" ca="1" si="7"/>
        <v>1</v>
      </c>
      <c r="G50" s="125">
        <f t="shared" ca="1" si="8"/>
        <v>17500</v>
      </c>
      <c r="H50" s="125">
        <f ca="1">IF(F50=1,F50*$B$10/MIN(12,'Simulador - 3º Pilar'!$E$88),0)</f>
        <v>0</v>
      </c>
      <c r="I50" s="128">
        <f t="shared" ca="1" si="1"/>
        <v>0</v>
      </c>
      <c r="J50" s="494">
        <f t="shared" ca="1" si="2"/>
        <v>0</v>
      </c>
      <c r="K50" s="126">
        <f t="shared" ca="1" si="3"/>
        <v>0</v>
      </c>
      <c r="L50" s="126">
        <f t="shared" ca="1" si="0"/>
        <v>0</v>
      </c>
      <c r="P50">
        <v>43</v>
      </c>
      <c r="Q50" s="6">
        <f t="shared" ca="1" si="9"/>
        <v>51471</v>
      </c>
      <c r="R50" s="7" t="e">
        <f t="shared" ca="1" si="10"/>
        <v>#REF!</v>
      </c>
      <c r="S50" s="125" t="e">
        <f t="shared" ca="1" si="11"/>
        <v>#REF!</v>
      </c>
      <c r="T50" s="125" t="e">
        <f t="shared" ca="1" si="4"/>
        <v>#REF!</v>
      </c>
      <c r="U50" s="128" t="e">
        <f t="shared" ca="1" si="12"/>
        <v>#REF!</v>
      </c>
      <c r="AC50">
        <v>43</v>
      </c>
      <c r="AD50" s="6">
        <f t="shared" ca="1" si="13"/>
        <v>51471</v>
      </c>
      <c r="AE50" s="7" t="e">
        <f t="shared" ca="1" si="14"/>
        <v>#REF!</v>
      </c>
      <c r="AF50" s="125" t="e">
        <f t="shared" ca="1" si="15"/>
        <v>#REF!</v>
      </c>
      <c r="AG50" s="125" t="e">
        <f t="shared" ca="1" si="5"/>
        <v>#REF!</v>
      </c>
      <c r="AH50" s="128" t="e">
        <f t="shared" ca="1" si="16"/>
        <v>#REF!</v>
      </c>
    </row>
    <row r="51" spans="4:34">
      <c r="D51">
        <v>44</v>
      </c>
      <c r="E51" s="6">
        <f t="shared" ca="1" si="6"/>
        <v>51441</v>
      </c>
      <c r="F51" s="7">
        <f t="shared" ca="1" si="7"/>
        <v>1</v>
      </c>
      <c r="G51" s="125">
        <f t="shared" ca="1" si="8"/>
        <v>17500</v>
      </c>
      <c r="H51" s="125">
        <f ca="1">IF(F51=1,F51*$B$10/MIN(12,'Simulador - 3º Pilar'!$E$88),0)</f>
        <v>0</v>
      </c>
      <c r="I51" s="128">
        <f t="shared" ca="1" si="1"/>
        <v>0</v>
      </c>
      <c r="J51" s="494">
        <f t="shared" ca="1" si="2"/>
        <v>0</v>
      </c>
      <c r="K51" s="126">
        <f t="shared" ca="1" si="3"/>
        <v>0</v>
      </c>
      <c r="L51" s="126">
        <f t="shared" ca="1" si="0"/>
        <v>0</v>
      </c>
      <c r="P51">
        <v>44</v>
      </c>
      <c r="Q51" s="6">
        <f t="shared" ca="1" si="9"/>
        <v>51441</v>
      </c>
      <c r="R51" s="7" t="e">
        <f t="shared" ca="1" si="10"/>
        <v>#REF!</v>
      </c>
      <c r="S51" s="125" t="e">
        <f t="shared" ca="1" si="11"/>
        <v>#REF!</v>
      </c>
      <c r="T51" s="125" t="e">
        <f t="shared" ca="1" si="4"/>
        <v>#REF!</v>
      </c>
      <c r="U51" s="128" t="e">
        <f t="shared" ca="1" si="12"/>
        <v>#REF!</v>
      </c>
      <c r="AC51">
        <v>44</v>
      </c>
      <c r="AD51" s="6">
        <f t="shared" ca="1" si="13"/>
        <v>51441</v>
      </c>
      <c r="AE51" s="7" t="e">
        <f t="shared" ca="1" si="14"/>
        <v>#REF!</v>
      </c>
      <c r="AF51" s="125" t="e">
        <f t="shared" ca="1" si="15"/>
        <v>#REF!</v>
      </c>
      <c r="AG51" s="125" t="e">
        <f t="shared" ca="1" si="5"/>
        <v>#REF!</v>
      </c>
      <c r="AH51" s="128" t="e">
        <f t="shared" ca="1" si="16"/>
        <v>#REF!</v>
      </c>
    </row>
    <row r="52" spans="4:34">
      <c r="D52">
        <v>45</v>
      </c>
      <c r="E52" s="6">
        <f t="shared" ca="1" si="6"/>
        <v>51410</v>
      </c>
      <c r="F52" s="7">
        <f t="shared" ca="1" si="7"/>
        <v>1</v>
      </c>
      <c r="G52" s="125">
        <f t="shared" ca="1" si="8"/>
        <v>17500</v>
      </c>
      <c r="H52" s="125">
        <f ca="1">IF(F52=1,F52*$B$10/MIN(12,'Simulador - 3º Pilar'!$E$88),0)</f>
        <v>0</v>
      </c>
      <c r="I52" s="128">
        <f t="shared" ca="1" si="1"/>
        <v>0</v>
      </c>
      <c r="J52" s="494">
        <f t="shared" ca="1" si="2"/>
        <v>0</v>
      </c>
      <c r="K52" s="126">
        <f t="shared" ca="1" si="3"/>
        <v>0</v>
      </c>
      <c r="L52" s="126">
        <f t="shared" ca="1" si="0"/>
        <v>0</v>
      </c>
      <c r="P52">
        <v>45</v>
      </c>
      <c r="Q52" s="6">
        <f t="shared" ca="1" si="9"/>
        <v>51410</v>
      </c>
      <c r="R52" s="7" t="e">
        <f t="shared" ca="1" si="10"/>
        <v>#REF!</v>
      </c>
      <c r="S52" s="125" t="e">
        <f t="shared" ca="1" si="11"/>
        <v>#REF!</v>
      </c>
      <c r="T52" s="125" t="e">
        <f t="shared" ca="1" si="4"/>
        <v>#REF!</v>
      </c>
      <c r="U52" s="128" t="e">
        <f t="shared" ca="1" si="12"/>
        <v>#REF!</v>
      </c>
      <c r="AC52">
        <v>45</v>
      </c>
      <c r="AD52" s="6">
        <f t="shared" ca="1" si="13"/>
        <v>51410</v>
      </c>
      <c r="AE52" s="7" t="e">
        <f t="shared" ca="1" si="14"/>
        <v>#REF!</v>
      </c>
      <c r="AF52" s="125" t="e">
        <f t="shared" ca="1" si="15"/>
        <v>#REF!</v>
      </c>
      <c r="AG52" s="125" t="e">
        <f t="shared" ca="1" si="5"/>
        <v>#REF!</v>
      </c>
      <c r="AH52" s="128" t="e">
        <f t="shared" ca="1" si="16"/>
        <v>#REF!</v>
      </c>
    </row>
    <row r="53" spans="4:34">
      <c r="D53">
        <v>46</v>
      </c>
      <c r="E53" s="6">
        <f t="shared" ca="1" si="6"/>
        <v>51380</v>
      </c>
      <c r="F53" s="7">
        <f t="shared" ca="1" si="7"/>
        <v>1</v>
      </c>
      <c r="G53" s="125">
        <f t="shared" ca="1" si="8"/>
        <v>17500</v>
      </c>
      <c r="H53" s="125">
        <f ca="1">IF(F53=1,F53*$B$10/MIN(12,'Simulador - 3º Pilar'!$E$88),0)</f>
        <v>0</v>
      </c>
      <c r="I53" s="128">
        <f t="shared" ca="1" si="1"/>
        <v>0</v>
      </c>
      <c r="J53" s="494">
        <f t="shared" ca="1" si="2"/>
        <v>0</v>
      </c>
      <c r="K53" s="126">
        <f t="shared" ca="1" si="3"/>
        <v>0</v>
      </c>
      <c r="L53" s="126">
        <f t="shared" ca="1" si="0"/>
        <v>0</v>
      </c>
      <c r="P53">
        <v>46</v>
      </c>
      <c r="Q53" s="6">
        <f t="shared" ca="1" si="9"/>
        <v>51380</v>
      </c>
      <c r="R53" s="7" t="e">
        <f t="shared" ca="1" si="10"/>
        <v>#REF!</v>
      </c>
      <c r="S53" s="125" t="e">
        <f t="shared" ca="1" si="11"/>
        <v>#REF!</v>
      </c>
      <c r="T53" s="125" t="e">
        <f t="shared" ca="1" si="4"/>
        <v>#REF!</v>
      </c>
      <c r="U53" s="128" t="e">
        <f t="shared" ca="1" si="12"/>
        <v>#REF!</v>
      </c>
      <c r="AC53">
        <v>46</v>
      </c>
      <c r="AD53" s="6">
        <f t="shared" ca="1" si="13"/>
        <v>51380</v>
      </c>
      <c r="AE53" s="7" t="e">
        <f t="shared" ca="1" si="14"/>
        <v>#REF!</v>
      </c>
      <c r="AF53" s="125" t="e">
        <f t="shared" ca="1" si="15"/>
        <v>#REF!</v>
      </c>
      <c r="AG53" s="125" t="e">
        <f t="shared" ca="1" si="5"/>
        <v>#REF!</v>
      </c>
      <c r="AH53" s="128" t="e">
        <f t="shared" ca="1" si="16"/>
        <v>#REF!</v>
      </c>
    </row>
    <row r="54" spans="4:34">
      <c r="D54">
        <v>47</v>
      </c>
      <c r="E54" s="6">
        <f t="shared" ca="1" si="6"/>
        <v>51349</v>
      </c>
      <c r="F54" s="7">
        <f t="shared" ca="1" si="7"/>
        <v>1</v>
      </c>
      <c r="G54" s="125">
        <f t="shared" ca="1" si="8"/>
        <v>17500</v>
      </c>
      <c r="H54" s="125">
        <f ca="1">IF(F54=1,F54*$B$10/MIN(12,'Simulador - 3º Pilar'!$E$88),0)</f>
        <v>0</v>
      </c>
      <c r="I54" s="128">
        <f t="shared" ca="1" si="1"/>
        <v>0</v>
      </c>
      <c r="J54" s="494">
        <f t="shared" ca="1" si="2"/>
        <v>0</v>
      </c>
      <c r="K54" s="126">
        <f t="shared" ca="1" si="3"/>
        <v>0</v>
      </c>
      <c r="L54" s="126">
        <f t="shared" ca="1" si="0"/>
        <v>0</v>
      </c>
      <c r="P54">
        <v>47</v>
      </c>
      <c r="Q54" s="6">
        <f t="shared" ca="1" si="9"/>
        <v>51349</v>
      </c>
      <c r="R54" s="7" t="e">
        <f t="shared" ca="1" si="10"/>
        <v>#REF!</v>
      </c>
      <c r="S54" s="125" t="e">
        <f t="shared" ca="1" si="11"/>
        <v>#REF!</v>
      </c>
      <c r="T54" s="125" t="e">
        <f t="shared" ca="1" si="4"/>
        <v>#REF!</v>
      </c>
      <c r="U54" s="128" t="e">
        <f t="shared" ca="1" si="12"/>
        <v>#REF!</v>
      </c>
      <c r="AC54">
        <v>47</v>
      </c>
      <c r="AD54" s="6">
        <f t="shared" ca="1" si="13"/>
        <v>51349</v>
      </c>
      <c r="AE54" s="7" t="e">
        <f t="shared" ca="1" si="14"/>
        <v>#REF!</v>
      </c>
      <c r="AF54" s="125" t="e">
        <f t="shared" ca="1" si="15"/>
        <v>#REF!</v>
      </c>
      <c r="AG54" s="125" t="e">
        <f t="shared" ca="1" si="5"/>
        <v>#REF!</v>
      </c>
      <c r="AH54" s="128" t="e">
        <f t="shared" ca="1" si="16"/>
        <v>#REF!</v>
      </c>
    </row>
    <row r="55" spans="4:34">
      <c r="D55">
        <v>48</v>
      </c>
      <c r="E55" s="6">
        <f t="shared" ca="1" si="6"/>
        <v>51318</v>
      </c>
      <c r="F55" s="7">
        <f t="shared" ca="1" si="7"/>
        <v>1</v>
      </c>
      <c r="G55" s="125">
        <f t="shared" ca="1" si="8"/>
        <v>17500</v>
      </c>
      <c r="H55" s="125">
        <f ca="1">IF(F55=1,F55*$B$10/MIN(12,'Simulador - 3º Pilar'!$E$88),0)</f>
        <v>0</v>
      </c>
      <c r="I55" s="128">
        <f t="shared" ca="1" si="1"/>
        <v>0</v>
      </c>
      <c r="J55" s="494">
        <f t="shared" ca="1" si="2"/>
        <v>0</v>
      </c>
      <c r="K55" s="126">
        <f t="shared" ca="1" si="3"/>
        <v>0</v>
      </c>
      <c r="L55" s="126">
        <f t="shared" ca="1" si="0"/>
        <v>0</v>
      </c>
      <c r="P55">
        <v>48</v>
      </c>
      <c r="Q55" s="6">
        <f t="shared" ca="1" si="9"/>
        <v>51318</v>
      </c>
      <c r="R55" s="7" t="e">
        <f t="shared" ca="1" si="10"/>
        <v>#REF!</v>
      </c>
      <c r="S55" s="125" t="e">
        <f t="shared" ca="1" si="11"/>
        <v>#REF!</v>
      </c>
      <c r="T55" s="125" t="e">
        <f t="shared" ca="1" si="4"/>
        <v>#REF!</v>
      </c>
      <c r="U55" s="128" t="e">
        <f t="shared" ca="1" si="12"/>
        <v>#REF!</v>
      </c>
      <c r="AC55">
        <v>48</v>
      </c>
      <c r="AD55" s="6">
        <f t="shared" ca="1" si="13"/>
        <v>51318</v>
      </c>
      <c r="AE55" s="7" t="e">
        <f t="shared" ca="1" si="14"/>
        <v>#REF!</v>
      </c>
      <c r="AF55" s="125" t="e">
        <f t="shared" ca="1" si="15"/>
        <v>#REF!</v>
      </c>
      <c r="AG55" s="125" t="e">
        <f t="shared" ca="1" si="5"/>
        <v>#REF!</v>
      </c>
      <c r="AH55" s="128" t="e">
        <f t="shared" ca="1" si="16"/>
        <v>#REF!</v>
      </c>
    </row>
    <row r="56" spans="4:34">
      <c r="D56">
        <v>49</v>
      </c>
      <c r="E56" s="6">
        <f t="shared" ca="1" si="6"/>
        <v>51288</v>
      </c>
      <c r="F56" s="7">
        <f t="shared" ca="1" si="7"/>
        <v>1</v>
      </c>
      <c r="G56" s="125">
        <f t="shared" ca="1" si="8"/>
        <v>17500</v>
      </c>
      <c r="H56" s="125">
        <f ca="1">IF(F56=1,F56*$B$10/MIN(12,'Simulador - 3º Pilar'!$E$88),0)</f>
        <v>0</v>
      </c>
      <c r="I56" s="128">
        <f t="shared" ca="1" si="1"/>
        <v>0</v>
      </c>
      <c r="J56" s="494">
        <f t="shared" ca="1" si="2"/>
        <v>0</v>
      </c>
      <c r="K56" s="126">
        <f t="shared" ca="1" si="3"/>
        <v>0</v>
      </c>
      <c r="L56" s="126">
        <f t="shared" ca="1" si="0"/>
        <v>0</v>
      </c>
      <c r="P56">
        <v>49</v>
      </c>
      <c r="Q56" s="6">
        <f t="shared" ca="1" si="9"/>
        <v>51288</v>
      </c>
      <c r="R56" s="7" t="e">
        <f t="shared" ca="1" si="10"/>
        <v>#REF!</v>
      </c>
      <c r="S56" s="125" t="e">
        <f t="shared" ca="1" si="11"/>
        <v>#REF!</v>
      </c>
      <c r="T56" s="125" t="e">
        <f t="shared" ca="1" si="4"/>
        <v>#REF!</v>
      </c>
      <c r="U56" s="128" t="e">
        <f t="shared" ca="1" si="12"/>
        <v>#REF!</v>
      </c>
      <c r="AC56">
        <v>49</v>
      </c>
      <c r="AD56" s="6">
        <f t="shared" ca="1" si="13"/>
        <v>51288</v>
      </c>
      <c r="AE56" s="7" t="e">
        <f t="shared" ca="1" si="14"/>
        <v>#REF!</v>
      </c>
      <c r="AF56" s="125" t="e">
        <f t="shared" ca="1" si="15"/>
        <v>#REF!</v>
      </c>
      <c r="AG56" s="125" t="e">
        <f t="shared" ca="1" si="5"/>
        <v>#REF!</v>
      </c>
      <c r="AH56" s="128" t="e">
        <f t="shared" ca="1" si="16"/>
        <v>#REF!</v>
      </c>
    </row>
    <row r="57" spans="4:34">
      <c r="D57">
        <v>50</v>
      </c>
      <c r="E57" s="6">
        <f t="shared" ca="1" si="6"/>
        <v>51257</v>
      </c>
      <c r="F57" s="7">
        <f t="shared" ca="1" si="7"/>
        <v>1</v>
      </c>
      <c r="G57" s="125">
        <f t="shared" ca="1" si="8"/>
        <v>17500</v>
      </c>
      <c r="H57" s="125">
        <f ca="1">IF(F57=1,F57*$B$10/MIN(12,'Simulador - 3º Pilar'!$E$88),0)</f>
        <v>0</v>
      </c>
      <c r="I57" s="128">
        <f t="shared" ca="1" si="1"/>
        <v>0</v>
      </c>
      <c r="J57" s="494">
        <f t="shared" ca="1" si="2"/>
        <v>0</v>
      </c>
      <c r="K57" s="126">
        <f t="shared" ca="1" si="3"/>
        <v>0</v>
      </c>
      <c r="L57" s="126">
        <f t="shared" ca="1" si="0"/>
        <v>0</v>
      </c>
      <c r="P57">
        <v>50</v>
      </c>
      <c r="Q57" s="6">
        <f t="shared" ca="1" si="9"/>
        <v>51257</v>
      </c>
      <c r="R57" s="7" t="e">
        <f t="shared" ca="1" si="10"/>
        <v>#REF!</v>
      </c>
      <c r="S57" s="125" t="e">
        <f t="shared" ca="1" si="11"/>
        <v>#REF!</v>
      </c>
      <c r="T57" s="125" t="e">
        <f t="shared" ca="1" si="4"/>
        <v>#REF!</v>
      </c>
      <c r="U57" s="128" t="e">
        <f t="shared" ca="1" si="12"/>
        <v>#REF!</v>
      </c>
      <c r="AC57">
        <v>50</v>
      </c>
      <c r="AD57" s="6">
        <f t="shared" ca="1" si="13"/>
        <v>51257</v>
      </c>
      <c r="AE57" s="7" t="e">
        <f t="shared" ca="1" si="14"/>
        <v>#REF!</v>
      </c>
      <c r="AF57" s="125" t="e">
        <f t="shared" ca="1" si="15"/>
        <v>#REF!</v>
      </c>
      <c r="AG57" s="125" t="e">
        <f t="shared" ca="1" si="5"/>
        <v>#REF!</v>
      </c>
      <c r="AH57" s="128" t="e">
        <f t="shared" ca="1" si="16"/>
        <v>#REF!</v>
      </c>
    </row>
    <row r="58" spans="4:34">
      <c r="D58">
        <v>51</v>
      </c>
      <c r="E58" s="6">
        <f t="shared" ca="1" si="6"/>
        <v>51227</v>
      </c>
      <c r="F58" s="7">
        <f t="shared" ca="1" si="7"/>
        <v>1</v>
      </c>
      <c r="G58" s="125">
        <f t="shared" ca="1" si="8"/>
        <v>17500</v>
      </c>
      <c r="H58" s="125">
        <f ca="1">IF(F58=1,F58*$B$10/MIN(12,'Simulador - 3º Pilar'!$E$88),0)</f>
        <v>0</v>
      </c>
      <c r="I58" s="128">
        <f t="shared" ca="1" si="1"/>
        <v>0</v>
      </c>
      <c r="J58" s="494">
        <f t="shared" ca="1" si="2"/>
        <v>0</v>
      </c>
      <c r="K58" s="126">
        <f t="shared" ca="1" si="3"/>
        <v>0</v>
      </c>
      <c r="L58" s="126">
        <f t="shared" ca="1" si="0"/>
        <v>0</v>
      </c>
      <c r="P58">
        <v>51</v>
      </c>
      <c r="Q58" s="6">
        <f t="shared" ca="1" si="9"/>
        <v>51227</v>
      </c>
      <c r="R58" s="7" t="e">
        <f t="shared" ca="1" si="10"/>
        <v>#REF!</v>
      </c>
      <c r="S58" s="125" t="e">
        <f t="shared" ca="1" si="11"/>
        <v>#REF!</v>
      </c>
      <c r="T58" s="125" t="e">
        <f t="shared" ca="1" si="4"/>
        <v>#REF!</v>
      </c>
      <c r="U58" s="128" t="e">
        <f t="shared" ca="1" si="12"/>
        <v>#REF!</v>
      </c>
      <c r="AC58">
        <v>51</v>
      </c>
      <c r="AD58" s="6">
        <f t="shared" ca="1" si="13"/>
        <v>51227</v>
      </c>
      <c r="AE58" s="7" t="e">
        <f t="shared" ca="1" si="14"/>
        <v>#REF!</v>
      </c>
      <c r="AF58" s="125" t="e">
        <f t="shared" ca="1" si="15"/>
        <v>#REF!</v>
      </c>
      <c r="AG58" s="125" t="e">
        <f t="shared" ca="1" si="5"/>
        <v>#REF!</v>
      </c>
      <c r="AH58" s="128" t="e">
        <f t="shared" ca="1" si="16"/>
        <v>#REF!</v>
      </c>
    </row>
    <row r="59" spans="4:34">
      <c r="D59">
        <v>52</v>
      </c>
      <c r="E59" s="6">
        <f t="shared" ca="1" si="6"/>
        <v>51196</v>
      </c>
      <c r="F59" s="7">
        <f t="shared" ca="1" si="7"/>
        <v>1</v>
      </c>
      <c r="G59" s="125">
        <f t="shared" ca="1" si="8"/>
        <v>17500</v>
      </c>
      <c r="H59" s="125">
        <f ca="1">IF(F59=1,F59*$B$10/MIN(12,'Simulador - 3º Pilar'!$E$88),0)</f>
        <v>0</v>
      </c>
      <c r="I59" s="128">
        <f t="shared" ca="1" si="1"/>
        <v>0</v>
      </c>
      <c r="J59" s="494">
        <f t="shared" ca="1" si="2"/>
        <v>0</v>
      </c>
      <c r="K59" s="126">
        <f t="shared" ca="1" si="3"/>
        <v>0</v>
      </c>
      <c r="L59" s="126">
        <f t="shared" ca="1" si="0"/>
        <v>0</v>
      </c>
      <c r="P59">
        <v>52</v>
      </c>
      <c r="Q59" s="6">
        <f t="shared" ca="1" si="9"/>
        <v>51196</v>
      </c>
      <c r="R59" s="7" t="e">
        <f t="shared" ca="1" si="10"/>
        <v>#REF!</v>
      </c>
      <c r="S59" s="125" t="e">
        <f t="shared" ca="1" si="11"/>
        <v>#REF!</v>
      </c>
      <c r="T59" s="125" t="e">
        <f t="shared" ca="1" si="4"/>
        <v>#REF!</v>
      </c>
      <c r="U59" s="128" t="e">
        <f t="shared" ca="1" si="12"/>
        <v>#REF!</v>
      </c>
      <c r="AC59">
        <v>52</v>
      </c>
      <c r="AD59" s="6">
        <f t="shared" ca="1" si="13"/>
        <v>51196</v>
      </c>
      <c r="AE59" s="7" t="e">
        <f t="shared" ca="1" si="14"/>
        <v>#REF!</v>
      </c>
      <c r="AF59" s="125" t="e">
        <f t="shared" ca="1" si="15"/>
        <v>#REF!</v>
      </c>
      <c r="AG59" s="125" t="e">
        <f t="shared" ca="1" si="5"/>
        <v>#REF!</v>
      </c>
      <c r="AH59" s="128" t="e">
        <f t="shared" ca="1" si="16"/>
        <v>#REF!</v>
      </c>
    </row>
    <row r="60" spans="4:34">
      <c r="D60">
        <v>53</v>
      </c>
      <c r="E60" s="6">
        <f t="shared" ca="1" si="6"/>
        <v>51167</v>
      </c>
      <c r="F60" s="7">
        <f t="shared" ca="1" si="7"/>
        <v>1</v>
      </c>
      <c r="G60" s="125">
        <f t="shared" ca="1" si="8"/>
        <v>17500</v>
      </c>
      <c r="H60" s="125">
        <f ca="1">IF(F60=1,F60*$B$10/MIN(12,'Simulador - 3º Pilar'!$E$88),0)</f>
        <v>0</v>
      </c>
      <c r="I60" s="128">
        <f t="shared" ca="1" si="1"/>
        <v>0</v>
      </c>
      <c r="J60" s="494">
        <f t="shared" ca="1" si="2"/>
        <v>0</v>
      </c>
      <c r="K60" s="126">
        <f t="shared" ca="1" si="3"/>
        <v>0</v>
      </c>
      <c r="L60" s="126">
        <f t="shared" ca="1" si="0"/>
        <v>0</v>
      </c>
      <c r="P60">
        <v>53</v>
      </c>
      <c r="Q60" s="6">
        <f t="shared" ca="1" si="9"/>
        <v>51167</v>
      </c>
      <c r="R60" s="7" t="e">
        <f t="shared" ca="1" si="10"/>
        <v>#REF!</v>
      </c>
      <c r="S60" s="125" t="e">
        <f t="shared" ca="1" si="11"/>
        <v>#REF!</v>
      </c>
      <c r="T60" s="125" t="e">
        <f t="shared" ca="1" si="4"/>
        <v>#REF!</v>
      </c>
      <c r="U60" s="128" t="e">
        <f t="shared" ca="1" si="12"/>
        <v>#REF!</v>
      </c>
      <c r="AC60">
        <v>53</v>
      </c>
      <c r="AD60" s="6">
        <f t="shared" ca="1" si="13"/>
        <v>51167</v>
      </c>
      <c r="AE60" s="7" t="e">
        <f t="shared" ca="1" si="14"/>
        <v>#REF!</v>
      </c>
      <c r="AF60" s="125" t="e">
        <f t="shared" ca="1" si="15"/>
        <v>#REF!</v>
      </c>
      <c r="AG60" s="125" t="e">
        <f t="shared" ca="1" si="5"/>
        <v>#REF!</v>
      </c>
      <c r="AH60" s="128" t="e">
        <f t="shared" ca="1" si="16"/>
        <v>#REF!</v>
      </c>
    </row>
    <row r="61" spans="4:34">
      <c r="D61">
        <v>54</v>
      </c>
      <c r="E61" s="6">
        <f t="shared" ca="1" si="6"/>
        <v>51136</v>
      </c>
      <c r="F61" s="7">
        <f t="shared" ca="1" si="7"/>
        <v>1</v>
      </c>
      <c r="G61" s="125">
        <f t="shared" ca="1" si="8"/>
        <v>17500</v>
      </c>
      <c r="H61" s="125">
        <f ca="1">IF(F61=1,F61*$B$10/MIN(12,'Simulador - 3º Pilar'!$E$88),0)</f>
        <v>0</v>
      </c>
      <c r="I61" s="128">
        <f t="shared" ca="1" si="1"/>
        <v>0</v>
      </c>
      <c r="J61" s="494">
        <f t="shared" ca="1" si="2"/>
        <v>0</v>
      </c>
      <c r="K61" s="126">
        <f t="shared" ca="1" si="3"/>
        <v>0</v>
      </c>
      <c r="L61" s="126">
        <f t="shared" ca="1" si="0"/>
        <v>0</v>
      </c>
      <c r="P61">
        <v>54</v>
      </c>
      <c r="Q61" s="6">
        <f t="shared" ca="1" si="9"/>
        <v>51136</v>
      </c>
      <c r="R61" s="7" t="e">
        <f t="shared" ca="1" si="10"/>
        <v>#REF!</v>
      </c>
      <c r="S61" s="125" t="e">
        <f t="shared" ca="1" si="11"/>
        <v>#REF!</v>
      </c>
      <c r="T61" s="125" t="e">
        <f t="shared" ca="1" si="4"/>
        <v>#REF!</v>
      </c>
      <c r="U61" s="128" t="e">
        <f t="shared" ca="1" si="12"/>
        <v>#REF!</v>
      </c>
      <c r="AC61">
        <v>54</v>
      </c>
      <c r="AD61" s="6">
        <f t="shared" ca="1" si="13"/>
        <v>51136</v>
      </c>
      <c r="AE61" s="7" t="e">
        <f t="shared" ca="1" si="14"/>
        <v>#REF!</v>
      </c>
      <c r="AF61" s="125" t="e">
        <f t="shared" ca="1" si="15"/>
        <v>#REF!</v>
      </c>
      <c r="AG61" s="125" t="e">
        <f t="shared" ca="1" si="5"/>
        <v>#REF!</v>
      </c>
      <c r="AH61" s="128" t="e">
        <f t="shared" ca="1" si="16"/>
        <v>#REF!</v>
      </c>
    </row>
    <row r="62" spans="4:34">
      <c r="D62">
        <v>55</v>
      </c>
      <c r="E62" s="6">
        <f t="shared" ca="1" si="6"/>
        <v>51105</v>
      </c>
      <c r="F62" s="7">
        <f t="shared" ca="1" si="7"/>
        <v>1</v>
      </c>
      <c r="G62" s="125">
        <f t="shared" ca="1" si="8"/>
        <v>17500</v>
      </c>
      <c r="H62" s="125">
        <f ca="1">IF(F62=1,F62*$B$10/MIN(12,'Simulador - 3º Pilar'!$E$88),0)</f>
        <v>0</v>
      </c>
      <c r="I62" s="128">
        <f t="shared" ca="1" si="1"/>
        <v>0</v>
      </c>
      <c r="J62" s="494">
        <f t="shared" ca="1" si="2"/>
        <v>0</v>
      </c>
      <c r="K62" s="126">
        <f t="shared" ca="1" si="3"/>
        <v>0</v>
      </c>
      <c r="L62" s="126">
        <f t="shared" ca="1" si="0"/>
        <v>0</v>
      </c>
      <c r="P62">
        <v>55</v>
      </c>
      <c r="Q62" s="6">
        <f t="shared" ca="1" si="9"/>
        <v>51105</v>
      </c>
      <c r="R62" s="7" t="e">
        <f t="shared" ca="1" si="10"/>
        <v>#REF!</v>
      </c>
      <c r="S62" s="125" t="e">
        <f t="shared" ca="1" si="11"/>
        <v>#REF!</v>
      </c>
      <c r="T62" s="125" t="e">
        <f t="shared" ca="1" si="4"/>
        <v>#REF!</v>
      </c>
      <c r="U62" s="128" t="e">
        <f t="shared" ca="1" si="12"/>
        <v>#REF!</v>
      </c>
      <c r="AC62">
        <v>55</v>
      </c>
      <c r="AD62" s="6">
        <f t="shared" ca="1" si="13"/>
        <v>51105</v>
      </c>
      <c r="AE62" s="7" t="e">
        <f t="shared" ca="1" si="14"/>
        <v>#REF!</v>
      </c>
      <c r="AF62" s="125" t="e">
        <f t="shared" ca="1" si="15"/>
        <v>#REF!</v>
      </c>
      <c r="AG62" s="125" t="e">
        <f t="shared" ca="1" si="5"/>
        <v>#REF!</v>
      </c>
      <c r="AH62" s="128" t="e">
        <f t="shared" ca="1" si="16"/>
        <v>#REF!</v>
      </c>
    </row>
    <row r="63" spans="4:34">
      <c r="D63">
        <v>56</v>
      </c>
      <c r="E63" s="6">
        <f t="shared" ca="1" si="6"/>
        <v>51075</v>
      </c>
      <c r="F63" s="7">
        <f t="shared" ca="1" si="7"/>
        <v>1</v>
      </c>
      <c r="G63" s="125">
        <f t="shared" ca="1" si="8"/>
        <v>17500</v>
      </c>
      <c r="H63" s="125">
        <f ca="1">IF(F63=1,F63*$B$10/MIN(12,'Simulador - 3º Pilar'!$E$88),0)</f>
        <v>0</v>
      </c>
      <c r="I63" s="128">
        <f t="shared" ca="1" si="1"/>
        <v>0</v>
      </c>
      <c r="J63" s="494">
        <f t="shared" ca="1" si="2"/>
        <v>0</v>
      </c>
      <c r="K63" s="126">
        <f t="shared" ca="1" si="3"/>
        <v>0</v>
      </c>
      <c r="L63" s="126">
        <f t="shared" ca="1" si="0"/>
        <v>0</v>
      </c>
      <c r="P63">
        <v>56</v>
      </c>
      <c r="Q63" s="6">
        <f t="shared" ca="1" si="9"/>
        <v>51075</v>
      </c>
      <c r="R63" s="7" t="e">
        <f t="shared" ca="1" si="10"/>
        <v>#REF!</v>
      </c>
      <c r="S63" s="125" t="e">
        <f t="shared" ca="1" si="11"/>
        <v>#REF!</v>
      </c>
      <c r="T63" s="125" t="e">
        <f t="shared" ca="1" si="4"/>
        <v>#REF!</v>
      </c>
      <c r="U63" s="128" t="e">
        <f t="shared" ca="1" si="12"/>
        <v>#REF!</v>
      </c>
      <c r="AC63">
        <v>56</v>
      </c>
      <c r="AD63" s="6">
        <f t="shared" ca="1" si="13"/>
        <v>51075</v>
      </c>
      <c r="AE63" s="7" t="e">
        <f t="shared" ca="1" si="14"/>
        <v>#REF!</v>
      </c>
      <c r="AF63" s="125" t="e">
        <f t="shared" ca="1" si="15"/>
        <v>#REF!</v>
      </c>
      <c r="AG63" s="125" t="e">
        <f t="shared" ca="1" si="5"/>
        <v>#REF!</v>
      </c>
      <c r="AH63" s="128" t="e">
        <f t="shared" ca="1" si="16"/>
        <v>#REF!</v>
      </c>
    </row>
    <row r="64" spans="4:34">
      <c r="D64">
        <v>57</v>
      </c>
      <c r="E64" s="6">
        <f t="shared" ca="1" si="6"/>
        <v>51044</v>
      </c>
      <c r="F64" s="7">
        <f t="shared" ca="1" si="7"/>
        <v>1</v>
      </c>
      <c r="G64" s="125">
        <f t="shared" ca="1" si="8"/>
        <v>17500</v>
      </c>
      <c r="H64" s="125">
        <f ca="1">IF(F64=1,F64*$B$10/MIN(12,'Simulador - 3º Pilar'!$E$88),0)</f>
        <v>0</v>
      </c>
      <c r="I64" s="128">
        <f t="shared" ca="1" si="1"/>
        <v>0</v>
      </c>
      <c r="J64" s="494">
        <f t="shared" ca="1" si="2"/>
        <v>0</v>
      </c>
      <c r="K64" s="126">
        <f t="shared" ca="1" si="3"/>
        <v>0</v>
      </c>
      <c r="L64" s="126">
        <f t="shared" ca="1" si="0"/>
        <v>0</v>
      </c>
      <c r="P64">
        <v>57</v>
      </c>
      <c r="Q64" s="6">
        <f t="shared" ca="1" si="9"/>
        <v>51044</v>
      </c>
      <c r="R64" s="7" t="e">
        <f t="shared" ca="1" si="10"/>
        <v>#REF!</v>
      </c>
      <c r="S64" s="125" t="e">
        <f t="shared" ca="1" si="11"/>
        <v>#REF!</v>
      </c>
      <c r="T64" s="125" t="e">
        <f t="shared" ca="1" si="4"/>
        <v>#REF!</v>
      </c>
      <c r="U64" s="128" t="e">
        <f t="shared" ca="1" si="12"/>
        <v>#REF!</v>
      </c>
      <c r="AC64">
        <v>57</v>
      </c>
      <c r="AD64" s="6">
        <f t="shared" ca="1" si="13"/>
        <v>51044</v>
      </c>
      <c r="AE64" s="7" t="e">
        <f t="shared" ca="1" si="14"/>
        <v>#REF!</v>
      </c>
      <c r="AF64" s="125" t="e">
        <f t="shared" ca="1" si="15"/>
        <v>#REF!</v>
      </c>
      <c r="AG64" s="125" t="e">
        <f t="shared" ca="1" si="5"/>
        <v>#REF!</v>
      </c>
      <c r="AH64" s="128" t="e">
        <f t="shared" ca="1" si="16"/>
        <v>#REF!</v>
      </c>
    </row>
    <row r="65" spans="4:34">
      <c r="D65">
        <v>58</v>
      </c>
      <c r="E65" s="6">
        <f t="shared" ca="1" si="6"/>
        <v>51014</v>
      </c>
      <c r="F65" s="7">
        <f t="shared" ca="1" si="7"/>
        <v>1</v>
      </c>
      <c r="G65" s="125">
        <f t="shared" ca="1" si="8"/>
        <v>17500</v>
      </c>
      <c r="H65" s="125">
        <f ca="1">IF(F65=1,F65*$B$10/MIN(12,'Simulador - 3º Pilar'!$E$88),0)</f>
        <v>0</v>
      </c>
      <c r="I65" s="128">
        <f t="shared" ca="1" si="1"/>
        <v>0</v>
      </c>
      <c r="J65" s="494">
        <f t="shared" ca="1" si="2"/>
        <v>0</v>
      </c>
      <c r="K65" s="126">
        <f t="shared" ca="1" si="3"/>
        <v>0</v>
      </c>
      <c r="L65" s="126">
        <f t="shared" ca="1" si="0"/>
        <v>0</v>
      </c>
      <c r="P65">
        <v>58</v>
      </c>
      <c r="Q65" s="6">
        <f t="shared" ca="1" si="9"/>
        <v>51014</v>
      </c>
      <c r="R65" s="7" t="e">
        <f t="shared" ca="1" si="10"/>
        <v>#REF!</v>
      </c>
      <c r="S65" s="125" t="e">
        <f t="shared" ca="1" si="11"/>
        <v>#REF!</v>
      </c>
      <c r="T65" s="125" t="e">
        <f t="shared" ca="1" si="4"/>
        <v>#REF!</v>
      </c>
      <c r="U65" s="128" t="e">
        <f t="shared" ca="1" si="12"/>
        <v>#REF!</v>
      </c>
      <c r="AC65">
        <v>58</v>
      </c>
      <c r="AD65" s="6">
        <f t="shared" ca="1" si="13"/>
        <v>51014</v>
      </c>
      <c r="AE65" s="7" t="e">
        <f t="shared" ca="1" si="14"/>
        <v>#REF!</v>
      </c>
      <c r="AF65" s="125" t="e">
        <f t="shared" ca="1" si="15"/>
        <v>#REF!</v>
      </c>
      <c r="AG65" s="125" t="e">
        <f t="shared" ca="1" si="5"/>
        <v>#REF!</v>
      </c>
      <c r="AH65" s="128" t="e">
        <f t="shared" ca="1" si="16"/>
        <v>#REF!</v>
      </c>
    </row>
    <row r="66" spans="4:34">
      <c r="D66">
        <v>59</v>
      </c>
      <c r="E66" s="6">
        <f t="shared" ca="1" si="6"/>
        <v>50983</v>
      </c>
      <c r="F66" s="7">
        <f t="shared" ca="1" si="7"/>
        <v>1</v>
      </c>
      <c r="G66" s="125">
        <f t="shared" ca="1" si="8"/>
        <v>17500</v>
      </c>
      <c r="H66" s="125">
        <f ca="1">IF(F66=1,F66*$B$10/MIN(12,'Simulador - 3º Pilar'!$E$88),0)</f>
        <v>0</v>
      </c>
      <c r="I66" s="128">
        <f t="shared" ca="1" si="1"/>
        <v>0</v>
      </c>
      <c r="J66" s="494">
        <f t="shared" ca="1" si="2"/>
        <v>0</v>
      </c>
      <c r="K66" s="126">
        <f t="shared" ca="1" si="3"/>
        <v>0</v>
      </c>
      <c r="L66" s="126">
        <f t="shared" ca="1" si="0"/>
        <v>0</v>
      </c>
      <c r="P66">
        <v>59</v>
      </c>
      <c r="Q66" s="6">
        <f t="shared" ca="1" si="9"/>
        <v>50983</v>
      </c>
      <c r="R66" s="7" t="e">
        <f t="shared" ca="1" si="10"/>
        <v>#REF!</v>
      </c>
      <c r="S66" s="125" t="e">
        <f t="shared" ca="1" si="11"/>
        <v>#REF!</v>
      </c>
      <c r="T66" s="125" t="e">
        <f t="shared" ca="1" si="4"/>
        <v>#REF!</v>
      </c>
      <c r="U66" s="128" t="e">
        <f t="shared" ca="1" si="12"/>
        <v>#REF!</v>
      </c>
      <c r="AC66">
        <v>59</v>
      </c>
      <c r="AD66" s="6">
        <f t="shared" ca="1" si="13"/>
        <v>50983</v>
      </c>
      <c r="AE66" s="7" t="e">
        <f t="shared" ca="1" si="14"/>
        <v>#REF!</v>
      </c>
      <c r="AF66" s="125" t="e">
        <f t="shared" ca="1" si="15"/>
        <v>#REF!</v>
      </c>
      <c r="AG66" s="125" t="e">
        <f t="shared" ca="1" si="5"/>
        <v>#REF!</v>
      </c>
      <c r="AH66" s="128" t="e">
        <f t="shared" ca="1" si="16"/>
        <v>#REF!</v>
      </c>
    </row>
    <row r="67" spans="4:34">
      <c r="D67">
        <v>60</v>
      </c>
      <c r="E67" s="6">
        <f t="shared" ca="1" si="6"/>
        <v>50952</v>
      </c>
      <c r="F67" s="7">
        <f t="shared" ca="1" si="7"/>
        <v>1</v>
      </c>
      <c r="G67" s="125">
        <f t="shared" ca="1" si="8"/>
        <v>17500</v>
      </c>
      <c r="H67" s="125">
        <f ca="1">IF(F67=1,F67*$B$10/MIN(12,'Simulador - 3º Pilar'!$E$88),0)</f>
        <v>0</v>
      </c>
      <c r="I67" s="128">
        <f t="shared" ca="1" si="1"/>
        <v>0</v>
      </c>
      <c r="J67" s="494">
        <f t="shared" ca="1" si="2"/>
        <v>0</v>
      </c>
      <c r="K67" s="126">
        <f t="shared" ca="1" si="3"/>
        <v>0</v>
      </c>
      <c r="L67" s="126">
        <f t="shared" ca="1" si="0"/>
        <v>0</v>
      </c>
      <c r="P67">
        <v>60</v>
      </c>
      <c r="Q67" s="6">
        <f t="shared" ca="1" si="9"/>
        <v>50952</v>
      </c>
      <c r="R67" s="7" t="e">
        <f t="shared" ca="1" si="10"/>
        <v>#REF!</v>
      </c>
      <c r="S67" s="125" t="e">
        <f t="shared" ca="1" si="11"/>
        <v>#REF!</v>
      </c>
      <c r="T67" s="125" t="e">
        <f t="shared" ca="1" si="4"/>
        <v>#REF!</v>
      </c>
      <c r="U67" s="128" t="e">
        <f t="shared" ca="1" si="12"/>
        <v>#REF!</v>
      </c>
      <c r="AC67">
        <v>60</v>
      </c>
      <c r="AD67" s="6">
        <f t="shared" ca="1" si="13"/>
        <v>50952</v>
      </c>
      <c r="AE67" s="7" t="e">
        <f t="shared" ca="1" si="14"/>
        <v>#REF!</v>
      </c>
      <c r="AF67" s="125" t="e">
        <f t="shared" ca="1" si="15"/>
        <v>#REF!</v>
      </c>
      <c r="AG67" s="125" t="e">
        <f t="shared" ca="1" si="5"/>
        <v>#REF!</v>
      </c>
      <c r="AH67" s="128" t="e">
        <f t="shared" ca="1" si="16"/>
        <v>#REF!</v>
      </c>
    </row>
    <row r="68" spans="4:34">
      <c r="D68">
        <v>61</v>
      </c>
      <c r="E68" s="6">
        <f t="shared" ca="1" si="6"/>
        <v>50922</v>
      </c>
      <c r="F68" s="7">
        <f t="shared" ca="1" si="7"/>
        <v>1</v>
      </c>
      <c r="G68" s="125">
        <f t="shared" ca="1" si="8"/>
        <v>17500</v>
      </c>
      <c r="H68" s="125">
        <f ca="1">IF(F68=1,F68*$B$10/MIN(12,'Simulador - 3º Pilar'!$E$88),0)</f>
        <v>0</v>
      </c>
      <c r="I68" s="128">
        <f t="shared" ca="1" si="1"/>
        <v>0</v>
      </c>
      <c r="J68" s="494">
        <f t="shared" ca="1" si="2"/>
        <v>0</v>
      </c>
      <c r="K68" s="126">
        <f t="shared" ca="1" si="3"/>
        <v>0</v>
      </c>
      <c r="L68" s="126">
        <f t="shared" ca="1" si="0"/>
        <v>0</v>
      </c>
      <c r="P68">
        <v>61</v>
      </c>
      <c r="Q68" s="6">
        <f t="shared" ca="1" si="9"/>
        <v>50922</v>
      </c>
      <c r="R68" s="7" t="e">
        <f t="shared" ca="1" si="10"/>
        <v>#REF!</v>
      </c>
      <c r="S68" s="125" t="e">
        <f t="shared" ca="1" si="11"/>
        <v>#REF!</v>
      </c>
      <c r="T68" s="125" t="e">
        <f t="shared" ca="1" si="4"/>
        <v>#REF!</v>
      </c>
      <c r="U68" s="128" t="e">
        <f t="shared" ca="1" si="12"/>
        <v>#REF!</v>
      </c>
      <c r="AC68">
        <v>61</v>
      </c>
      <c r="AD68" s="6">
        <f t="shared" ca="1" si="13"/>
        <v>50922</v>
      </c>
      <c r="AE68" s="7" t="e">
        <f t="shared" ca="1" si="14"/>
        <v>#REF!</v>
      </c>
      <c r="AF68" s="125" t="e">
        <f t="shared" ca="1" si="15"/>
        <v>#REF!</v>
      </c>
      <c r="AG68" s="125" t="e">
        <f t="shared" ca="1" si="5"/>
        <v>#REF!</v>
      </c>
      <c r="AH68" s="128" t="e">
        <f t="shared" ca="1" si="16"/>
        <v>#REF!</v>
      </c>
    </row>
    <row r="69" spans="4:34">
      <c r="D69">
        <v>62</v>
      </c>
      <c r="E69" s="6">
        <f t="shared" ca="1" si="6"/>
        <v>50891</v>
      </c>
      <c r="F69" s="7">
        <f t="shared" ca="1" si="7"/>
        <v>1</v>
      </c>
      <c r="G69" s="125">
        <f t="shared" ca="1" si="8"/>
        <v>17500</v>
      </c>
      <c r="H69" s="125">
        <f ca="1">IF(F69=1,F69*$B$10/MIN(12,'Simulador - 3º Pilar'!$E$88),0)</f>
        <v>0</v>
      </c>
      <c r="I69" s="128">
        <f t="shared" ca="1" si="1"/>
        <v>0</v>
      </c>
      <c r="J69" s="494">
        <f t="shared" ca="1" si="2"/>
        <v>0</v>
      </c>
      <c r="K69" s="126">
        <f t="shared" ca="1" si="3"/>
        <v>0</v>
      </c>
      <c r="L69" s="126">
        <f t="shared" ca="1" si="0"/>
        <v>0</v>
      </c>
      <c r="P69">
        <v>62</v>
      </c>
      <c r="Q69" s="6">
        <f t="shared" ca="1" si="9"/>
        <v>50891</v>
      </c>
      <c r="R69" s="7" t="e">
        <f t="shared" ca="1" si="10"/>
        <v>#REF!</v>
      </c>
      <c r="S69" s="125" t="e">
        <f t="shared" ca="1" si="11"/>
        <v>#REF!</v>
      </c>
      <c r="T69" s="125" t="e">
        <f t="shared" ca="1" si="4"/>
        <v>#REF!</v>
      </c>
      <c r="U69" s="128" t="e">
        <f t="shared" ca="1" si="12"/>
        <v>#REF!</v>
      </c>
      <c r="AC69">
        <v>62</v>
      </c>
      <c r="AD69" s="6">
        <f t="shared" ca="1" si="13"/>
        <v>50891</v>
      </c>
      <c r="AE69" s="7" t="e">
        <f t="shared" ca="1" si="14"/>
        <v>#REF!</v>
      </c>
      <c r="AF69" s="125" t="e">
        <f t="shared" ca="1" si="15"/>
        <v>#REF!</v>
      </c>
      <c r="AG69" s="125" t="e">
        <f t="shared" ca="1" si="5"/>
        <v>#REF!</v>
      </c>
      <c r="AH69" s="128" t="e">
        <f t="shared" ca="1" si="16"/>
        <v>#REF!</v>
      </c>
    </row>
    <row r="70" spans="4:34">
      <c r="D70">
        <v>63</v>
      </c>
      <c r="E70" s="6">
        <f t="shared" ca="1" si="6"/>
        <v>50861</v>
      </c>
      <c r="F70" s="7">
        <f t="shared" ca="1" si="7"/>
        <v>1</v>
      </c>
      <c r="G70" s="125">
        <f t="shared" ca="1" si="8"/>
        <v>17500</v>
      </c>
      <c r="H70" s="125">
        <f ca="1">IF(F70=1,F70*$B$10/MIN(12,'Simulador - 3º Pilar'!$E$88),0)</f>
        <v>0</v>
      </c>
      <c r="I70" s="128">
        <f t="shared" ca="1" si="1"/>
        <v>0</v>
      </c>
      <c r="J70" s="494">
        <f t="shared" ca="1" si="2"/>
        <v>0</v>
      </c>
      <c r="K70" s="126">
        <f t="shared" ca="1" si="3"/>
        <v>0</v>
      </c>
      <c r="L70" s="126">
        <f t="shared" ca="1" si="0"/>
        <v>0</v>
      </c>
      <c r="P70">
        <v>63</v>
      </c>
      <c r="Q70" s="6">
        <f t="shared" ca="1" si="9"/>
        <v>50861</v>
      </c>
      <c r="R70" s="7" t="e">
        <f t="shared" ca="1" si="10"/>
        <v>#REF!</v>
      </c>
      <c r="S70" s="125" t="e">
        <f t="shared" ca="1" si="11"/>
        <v>#REF!</v>
      </c>
      <c r="T70" s="125" t="e">
        <f t="shared" ca="1" si="4"/>
        <v>#REF!</v>
      </c>
      <c r="U70" s="128" t="e">
        <f t="shared" ca="1" si="12"/>
        <v>#REF!</v>
      </c>
      <c r="AC70">
        <v>63</v>
      </c>
      <c r="AD70" s="6">
        <f t="shared" ca="1" si="13"/>
        <v>50861</v>
      </c>
      <c r="AE70" s="7" t="e">
        <f t="shared" ca="1" si="14"/>
        <v>#REF!</v>
      </c>
      <c r="AF70" s="125" t="e">
        <f t="shared" ca="1" si="15"/>
        <v>#REF!</v>
      </c>
      <c r="AG70" s="125" t="e">
        <f t="shared" ca="1" si="5"/>
        <v>#REF!</v>
      </c>
      <c r="AH70" s="128" t="e">
        <f t="shared" ca="1" si="16"/>
        <v>#REF!</v>
      </c>
    </row>
    <row r="71" spans="4:34">
      <c r="D71">
        <v>64</v>
      </c>
      <c r="E71" s="6">
        <f t="shared" ca="1" si="6"/>
        <v>50830</v>
      </c>
      <c r="F71" s="7">
        <f t="shared" ca="1" si="7"/>
        <v>1</v>
      </c>
      <c r="G71" s="125">
        <f t="shared" ca="1" si="8"/>
        <v>17500</v>
      </c>
      <c r="H71" s="125">
        <f ca="1">IF(F71=1,F71*$B$10/MIN(12,'Simulador - 3º Pilar'!$E$88),0)</f>
        <v>0</v>
      </c>
      <c r="I71" s="128">
        <f t="shared" ca="1" si="1"/>
        <v>0</v>
      </c>
      <c r="J71" s="494">
        <f t="shared" ca="1" si="2"/>
        <v>0</v>
      </c>
      <c r="K71" s="126">
        <f t="shared" ca="1" si="3"/>
        <v>0</v>
      </c>
      <c r="L71" s="126">
        <f t="shared" ref="L71:L134" ca="1" si="17">(1+$G$5)^(D71/12)*(IF((E71)&gt;($B$6),H71,0)+IF(E71=$N$7,$N$4,0)+IF(E71=$C$6,0,0))</f>
        <v>0</v>
      </c>
      <c r="P71">
        <v>64</v>
      </c>
      <c r="Q71" s="6">
        <f t="shared" ca="1" si="9"/>
        <v>50830</v>
      </c>
      <c r="R71" s="7" t="e">
        <f t="shared" ca="1" si="10"/>
        <v>#REF!</v>
      </c>
      <c r="S71" s="125" t="e">
        <f t="shared" ca="1" si="11"/>
        <v>#REF!</v>
      </c>
      <c r="T71" s="125" t="e">
        <f t="shared" ca="1" si="4"/>
        <v>#REF!</v>
      </c>
      <c r="U71" s="128" t="e">
        <f t="shared" ca="1" si="12"/>
        <v>#REF!</v>
      </c>
      <c r="AC71">
        <v>64</v>
      </c>
      <c r="AD71" s="6">
        <f t="shared" ca="1" si="13"/>
        <v>50830</v>
      </c>
      <c r="AE71" s="7" t="e">
        <f t="shared" ca="1" si="14"/>
        <v>#REF!</v>
      </c>
      <c r="AF71" s="125" t="e">
        <f t="shared" ca="1" si="15"/>
        <v>#REF!</v>
      </c>
      <c r="AG71" s="125" t="e">
        <f t="shared" ca="1" si="5"/>
        <v>#REF!</v>
      </c>
      <c r="AH71" s="128" t="e">
        <f t="shared" ca="1" si="16"/>
        <v>#REF!</v>
      </c>
    </row>
    <row r="72" spans="4:34">
      <c r="D72">
        <v>65</v>
      </c>
      <c r="E72" s="6">
        <f t="shared" ca="1" si="6"/>
        <v>50802</v>
      </c>
      <c r="F72" s="7">
        <f t="shared" ca="1" si="7"/>
        <v>1</v>
      </c>
      <c r="G72" s="125">
        <f t="shared" ref="G72:G135" ca="1" si="18">F72*$B$8/12</f>
        <v>17500</v>
      </c>
      <c r="H72" s="125">
        <f ca="1">IF(F72=1,F72*$B$10/MIN(12,'Simulador - 3º Pilar'!$E$88),0)</f>
        <v>0</v>
      </c>
      <c r="I72" s="128">
        <f t="shared" ref="I72:I135" ca="1" si="19">(1+$G$5)^(D72/12)*(H72+IF(E72=$N$7,$N$4,0))</f>
        <v>0</v>
      </c>
      <c r="J72" s="494">
        <f t="shared" ref="J72:J135" ca="1" si="20">(1+$G$5)^(D72/12)*(H72*(12-IF(MONTH(E73)=12,0,MONTH(E73)))+IF(AND(F72=1,F73=0),$Q$4,0))*IF(AND(F72=1,F73=0),1,0)</f>
        <v>0</v>
      </c>
      <c r="K72" s="126">
        <f t="shared" ref="K72:K135" ca="1" si="21">(1+$G$5)^(D72/12)*(IF(E72=$N$7,$N$4,0)+IF(E72=$C$6,$B$10,0))</f>
        <v>0</v>
      </c>
      <c r="L72" s="126">
        <f t="shared" ca="1" si="17"/>
        <v>0</v>
      </c>
      <c r="P72">
        <v>65</v>
      </c>
      <c r="Q72" s="6">
        <f t="shared" ca="1" si="9"/>
        <v>50802</v>
      </c>
      <c r="R72" s="7" t="e">
        <f t="shared" ca="1" si="10"/>
        <v>#REF!</v>
      </c>
      <c r="S72" s="125" t="e">
        <f t="shared" ca="1" si="11"/>
        <v>#REF!</v>
      </c>
      <c r="T72" s="125" t="e">
        <f t="shared" ref="T72:T135" ca="1" si="22">R72*$B$11/12</f>
        <v>#REF!</v>
      </c>
      <c r="U72" s="128" t="e">
        <f t="shared" ca="1" si="12"/>
        <v>#REF!</v>
      </c>
      <c r="AC72">
        <v>65</v>
      </c>
      <c r="AD72" s="6">
        <f t="shared" ca="1" si="13"/>
        <v>50802</v>
      </c>
      <c r="AE72" s="7" t="e">
        <f t="shared" ca="1" si="14"/>
        <v>#REF!</v>
      </c>
      <c r="AF72" s="125" t="e">
        <f t="shared" ca="1" si="15"/>
        <v>#REF!</v>
      </c>
      <c r="AG72" s="125" t="e">
        <f t="shared" ref="AG72:AG135" ca="1" si="23">AE72*$B$12/12</f>
        <v>#REF!</v>
      </c>
      <c r="AH72" s="128" t="e">
        <f t="shared" ca="1" si="16"/>
        <v>#REF!</v>
      </c>
    </row>
    <row r="73" spans="4:34">
      <c r="D73">
        <v>66</v>
      </c>
      <c r="E73" s="6">
        <f t="shared" ref="E73:E136" ca="1" si="24">+DATE(YEAR(E72),MONTH(E72)-1,DAY(E72))</f>
        <v>50771</v>
      </c>
      <c r="F73" s="7">
        <f t="shared" ref="F73:F136" ca="1" si="25">IF($C$6=$E73,1,IF(MONTH($E73)=1,F74*(1+$F$5),F74))</f>
        <v>1</v>
      </c>
      <c r="G73" s="125">
        <f t="shared" ca="1" si="18"/>
        <v>17500</v>
      </c>
      <c r="H73" s="125">
        <f ca="1">IF(F73=1,F73*$B$10/MIN(12,'Simulador - 3º Pilar'!$E$88),0)</f>
        <v>0</v>
      </c>
      <c r="I73" s="128">
        <f t="shared" ca="1" si="19"/>
        <v>0</v>
      </c>
      <c r="J73" s="494">
        <f t="shared" ca="1" si="20"/>
        <v>0</v>
      </c>
      <c r="K73" s="126">
        <f t="shared" ca="1" si="21"/>
        <v>0</v>
      </c>
      <c r="L73" s="126">
        <f t="shared" ca="1" si="17"/>
        <v>0</v>
      </c>
      <c r="P73">
        <v>66</v>
      </c>
      <c r="Q73" s="6">
        <f t="shared" ref="Q73:Q136" ca="1" si="26">+DATE(YEAR(Q72),MONTH(Q72)-1,DAY(Q72))</f>
        <v>50771</v>
      </c>
      <c r="R73" s="7" t="e">
        <f t="shared" ref="R73:R136" ca="1" si="27">IF($Z$7=$E73,1,IF(MONTH($E73)=1,R74*(1+$F$5),R74))</f>
        <v>#REF!</v>
      </c>
      <c r="S73" s="125" t="e">
        <f t="shared" ref="S73:S136" ca="1" si="28">R73*$B$8/12</f>
        <v>#REF!</v>
      </c>
      <c r="T73" s="125" t="e">
        <f t="shared" ca="1" si="22"/>
        <v>#REF!</v>
      </c>
      <c r="U73" s="128" t="e">
        <f t="shared" ref="U73:U136" ca="1" si="29">(1+$V$5)^(P73/12)*(T73+IF(Q73=$Z$7,$Z$4,0))</f>
        <v>#REF!</v>
      </c>
      <c r="AC73">
        <v>66</v>
      </c>
      <c r="AD73" s="6">
        <f t="shared" ref="AD73:AD136" ca="1" si="30">+DATE(YEAR(AD72),MONTH(AD72)-1,DAY(AD72))</f>
        <v>50771</v>
      </c>
      <c r="AE73" s="7" t="e">
        <f t="shared" ref="AE73:AE136" ca="1" si="31">IF($AM$7=$E73,1,IF(MONTH($E73)=1,AE74*(1+$F$5),AE74))</f>
        <v>#REF!</v>
      </c>
      <c r="AF73" s="125" t="e">
        <f t="shared" ref="AF73:AF136" ca="1" si="32">AE73*$B$8/12</f>
        <v>#REF!</v>
      </c>
      <c r="AG73" s="125" t="e">
        <f t="shared" ca="1" si="23"/>
        <v>#REF!</v>
      </c>
      <c r="AH73" s="128" t="e">
        <f t="shared" ref="AH73:AH136" ca="1" si="33">(1+$AI$5)^(AC73/12)*(AG73+IF(AD73=$AM$7,$AM$4,0))</f>
        <v>#REF!</v>
      </c>
    </row>
    <row r="74" spans="4:34">
      <c r="D74">
        <v>67</v>
      </c>
      <c r="E74" s="6">
        <f t="shared" ca="1" si="24"/>
        <v>50740</v>
      </c>
      <c r="F74" s="7">
        <f t="shared" ca="1" si="25"/>
        <v>1</v>
      </c>
      <c r="G74" s="125">
        <f t="shared" ca="1" si="18"/>
        <v>17500</v>
      </c>
      <c r="H74" s="125">
        <f ca="1">IF(F74=1,F74*$B$10/MIN(12,'Simulador - 3º Pilar'!$E$88),0)</f>
        <v>0</v>
      </c>
      <c r="I74" s="128">
        <f t="shared" ca="1" si="19"/>
        <v>0</v>
      </c>
      <c r="J74" s="494">
        <f t="shared" ca="1" si="20"/>
        <v>0</v>
      </c>
      <c r="K74" s="126">
        <f t="shared" ca="1" si="21"/>
        <v>0</v>
      </c>
      <c r="L74" s="126">
        <f t="shared" ca="1" si="17"/>
        <v>0</v>
      </c>
      <c r="P74">
        <v>67</v>
      </c>
      <c r="Q74" s="6">
        <f t="shared" ca="1" si="26"/>
        <v>50740</v>
      </c>
      <c r="R74" s="7" t="e">
        <f t="shared" ca="1" si="27"/>
        <v>#REF!</v>
      </c>
      <c r="S74" s="125" t="e">
        <f t="shared" ca="1" si="28"/>
        <v>#REF!</v>
      </c>
      <c r="T74" s="125" t="e">
        <f t="shared" ca="1" si="22"/>
        <v>#REF!</v>
      </c>
      <c r="U74" s="128" t="e">
        <f t="shared" ca="1" si="29"/>
        <v>#REF!</v>
      </c>
      <c r="AC74">
        <v>67</v>
      </c>
      <c r="AD74" s="6">
        <f t="shared" ca="1" si="30"/>
        <v>50740</v>
      </c>
      <c r="AE74" s="7" t="e">
        <f t="shared" ca="1" si="31"/>
        <v>#REF!</v>
      </c>
      <c r="AF74" s="125" t="e">
        <f t="shared" ca="1" si="32"/>
        <v>#REF!</v>
      </c>
      <c r="AG74" s="125" t="e">
        <f t="shared" ca="1" si="23"/>
        <v>#REF!</v>
      </c>
      <c r="AH74" s="128" t="e">
        <f t="shared" ca="1" si="33"/>
        <v>#REF!</v>
      </c>
    </row>
    <row r="75" spans="4:34">
      <c r="D75">
        <v>68</v>
      </c>
      <c r="E75" s="6">
        <f t="shared" ca="1" si="24"/>
        <v>50710</v>
      </c>
      <c r="F75" s="7">
        <f t="shared" ca="1" si="25"/>
        <v>1</v>
      </c>
      <c r="G75" s="125">
        <f t="shared" ca="1" si="18"/>
        <v>17500</v>
      </c>
      <c r="H75" s="125">
        <f ca="1">IF(F75=1,F75*$B$10/MIN(12,'Simulador - 3º Pilar'!$E$88),0)</f>
        <v>0</v>
      </c>
      <c r="I75" s="128">
        <f t="shared" ca="1" si="19"/>
        <v>0</v>
      </c>
      <c r="J75" s="494">
        <f t="shared" ca="1" si="20"/>
        <v>0</v>
      </c>
      <c r="K75" s="126">
        <f t="shared" ca="1" si="21"/>
        <v>0</v>
      </c>
      <c r="L75" s="126">
        <f t="shared" ca="1" si="17"/>
        <v>0</v>
      </c>
      <c r="P75">
        <v>68</v>
      </c>
      <c r="Q75" s="6">
        <f t="shared" ca="1" si="26"/>
        <v>50710</v>
      </c>
      <c r="R75" s="7" t="e">
        <f t="shared" ca="1" si="27"/>
        <v>#REF!</v>
      </c>
      <c r="S75" s="125" t="e">
        <f t="shared" ca="1" si="28"/>
        <v>#REF!</v>
      </c>
      <c r="T75" s="125" t="e">
        <f t="shared" ca="1" si="22"/>
        <v>#REF!</v>
      </c>
      <c r="U75" s="128" t="e">
        <f t="shared" ca="1" si="29"/>
        <v>#REF!</v>
      </c>
      <c r="AC75">
        <v>68</v>
      </c>
      <c r="AD75" s="6">
        <f t="shared" ca="1" si="30"/>
        <v>50710</v>
      </c>
      <c r="AE75" s="7" t="e">
        <f t="shared" ca="1" si="31"/>
        <v>#REF!</v>
      </c>
      <c r="AF75" s="125" t="e">
        <f t="shared" ca="1" si="32"/>
        <v>#REF!</v>
      </c>
      <c r="AG75" s="125" t="e">
        <f t="shared" ca="1" si="23"/>
        <v>#REF!</v>
      </c>
      <c r="AH75" s="128" t="e">
        <f t="shared" ca="1" si="33"/>
        <v>#REF!</v>
      </c>
    </row>
    <row r="76" spans="4:34">
      <c r="D76">
        <v>69</v>
      </c>
      <c r="E76" s="6">
        <f t="shared" ca="1" si="24"/>
        <v>50679</v>
      </c>
      <c r="F76" s="7">
        <f t="shared" ca="1" si="25"/>
        <v>1</v>
      </c>
      <c r="G76" s="125">
        <f t="shared" ca="1" si="18"/>
        <v>17500</v>
      </c>
      <c r="H76" s="125">
        <f ca="1">IF(F76=1,F76*$B$10/MIN(12,'Simulador - 3º Pilar'!$E$88),0)</f>
        <v>0</v>
      </c>
      <c r="I76" s="128">
        <f t="shared" ca="1" si="19"/>
        <v>0</v>
      </c>
      <c r="J76" s="494">
        <f t="shared" ca="1" si="20"/>
        <v>0</v>
      </c>
      <c r="K76" s="126">
        <f t="shared" ca="1" si="21"/>
        <v>0</v>
      </c>
      <c r="L76" s="126">
        <f t="shared" ca="1" si="17"/>
        <v>0</v>
      </c>
      <c r="P76">
        <v>69</v>
      </c>
      <c r="Q76" s="6">
        <f t="shared" ca="1" si="26"/>
        <v>50679</v>
      </c>
      <c r="R76" s="7" t="e">
        <f t="shared" ca="1" si="27"/>
        <v>#REF!</v>
      </c>
      <c r="S76" s="125" t="e">
        <f t="shared" ca="1" si="28"/>
        <v>#REF!</v>
      </c>
      <c r="T76" s="125" t="e">
        <f t="shared" ca="1" si="22"/>
        <v>#REF!</v>
      </c>
      <c r="U76" s="128" t="e">
        <f t="shared" ca="1" si="29"/>
        <v>#REF!</v>
      </c>
      <c r="AC76">
        <v>69</v>
      </c>
      <c r="AD76" s="6">
        <f t="shared" ca="1" si="30"/>
        <v>50679</v>
      </c>
      <c r="AE76" s="7" t="e">
        <f t="shared" ca="1" si="31"/>
        <v>#REF!</v>
      </c>
      <c r="AF76" s="125" t="e">
        <f t="shared" ca="1" si="32"/>
        <v>#REF!</v>
      </c>
      <c r="AG76" s="125" t="e">
        <f t="shared" ca="1" si="23"/>
        <v>#REF!</v>
      </c>
      <c r="AH76" s="128" t="e">
        <f t="shared" ca="1" si="33"/>
        <v>#REF!</v>
      </c>
    </row>
    <row r="77" spans="4:34">
      <c r="D77">
        <v>70</v>
      </c>
      <c r="E77" s="6">
        <f t="shared" ca="1" si="24"/>
        <v>50649</v>
      </c>
      <c r="F77" s="7">
        <f t="shared" ca="1" si="25"/>
        <v>1</v>
      </c>
      <c r="G77" s="125">
        <f t="shared" ca="1" si="18"/>
        <v>17500</v>
      </c>
      <c r="H77" s="125">
        <f ca="1">IF(F77=1,F77*$B$10/MIN(12,'Simulador - 3º Pilar'!$E$88),0)</f>
        <v>0</v>
      </c>
      <c r="I77" s="128">
        <f t="shared" ca="1" si="19"/>
        <v>0</v>
      </c>
      <c r="J77" s="494">
        <f t="shared" ca="1" si="20"/>
        <v>0</v>
      </c>
      <c r="K77" s="126">
        <f t="shared" ca="1" si="21"/>
        <v>0</v>
      </c>
      <c r="L77" s="126">
        <f t="shared" ca="1" si="17"/>
        <v>0</v>
      </c>
      <c r="P77">
        <v>70</v>
      </c>
      <c r="Q77" s="6">
        <f t="shared" ca="1" si="26"/>
        <v>50649</v>
      </c>
      <c r="R77" s="7" t="e">
        <f t="shared" ca="1" si="27"/>
        <v>#REF!</v>
      </c>
      <c r="S77" s="125" t="e">
        <f t="shared" ca="1" si="28"/>
        <v>#REF!</v>
      </c>
      <c r="T77" s="125" t="e">
        <f t="shared" ca="1" si="22"/>
        <v>#REF!</v>
      </c>
      <c r="U77" s="128" t="e">
        <f t="shared" ca="1" si="29"/>
        <v>#REF!</v>
      </c>
      <c r="AC77">
        <v>70</v>
      </c>
      <c r="AD77" s="6">
        <f t="shared" ca="1" si="30"/>
        <v>50649</v>
      </c>
      <c r="AE77" s="7" t="e">
        <f t="shared" ca="1" si="31"/>
        <v>#REF!</v>
      </c>
      <c r="AF77" s="125" t="e">
        <f t="shared" ca="1" si="32"/>
        <v>#REF!</v>
      </c>
      <c r="AG77" s="125" t="e">
        <f t="shared" ca="1" si="23"/>
        <v>#REF!</v>
      </c>
      <c r="AH77" s="128" t="e">
        <f t="shared" ca="1" si="33"/>
        <v>#REF!</v>
      </c>
    </row>
    <row r="78" spans="4:34">
      <c r="D78">
        <v>71</v>
      </c>
      <c r="E78" s="6">
        <f t="shared" ca="1" si="24"/>
        <v>50618</v>
      </c>
      <c r="F78" s="7">
        <f t="shared" ca="1" si="25"/>
        <v>1</v>
      </c>
      <c r="G78" s="125">
        <f t="shared" ca="1" si="18"/>
        <v>17500</v>
      </c>
      <c r="H78" s="125">
        <f ca="1">IF(F78=1,F78*$B$10/MIN(12,'Simulador - 3º Pilar'!$E$88),0)</f>
        <v>0</v>
      </c>
      <c r="I78" s="128">
        <f t="shared" ca="1" si="19"/>
        <v>0</v>
      </c>
      <c r="J78" s="494">
        <f t="shared" ca="1" si="20"/>
        <v>0</v>
      </c>
      <c r="K78" s="126">
        <f t="shared" ca="1" si="21"/>
        <v>0</v>
      </c>
      <c r="L78" s="126">
        <f t="shared" ca="1" si="17"/>
        <v>0</v>
      </c>
      <c r="P78">
        <v>71</v>
      </c>
      <c r="Q78" s="6">
        <f t="shared" ca="1" si="26"/>
        <v>50618</v>
      </c>
      <c r="R78" s="7" t="e">
        <f t="shared" ca="1" si="27"/>
        <v>#REF!</v>
      </c>
      <c r="S78" s="125" t="e">
        <f t="shared" ca="1" si="28"/>
        <v>#REF!</v>
      </c>
      <c r="T78" s="125" t="e">
        <f t="shared" ca="1" si="22"/>
        <v>#REF!</v>
      </c>
      <c r="U78" s="128" t="e">
        <f t="shared" ca="1" si="29"/>
        <v>#REF!</v>
      </c>
      <c r="AC78">
        <v>71</v>
      </c>
      <c r="AD78" s="6">
        <f t="shared" ca="1" si="30"/>
        <v>50618</v>
      </c>
      <c r="AE78" s="7" t="e">
        <f t="shared" ca="1" si="31"/>
        <v>#REF!</v>
      </c>
      <c r="AF78" s="125" t="e">
        <f t="shared" ca="1" si="32"/>
        <v>#REF!</v>
      </c>
      <c r="AG78" s="125" t="e">
        <f t="shared" ca="1" si="23"/>
        <v>#REF!</v>
      </c>
      <c r="AH78" s="128" t="e">
        <f t="shared" ca="1" si="33"/>
        <v>#REF!</v>
      </c>
    </row>
    <row r="79" spans="4:34">
      <c r="D79">
        <v>72</v>
      </c>
      <c r="E79" s="6">
        <f t="shared" ca="1" si="24"/>
        <v>50587</v>
      </c>
      <c r="F79" s="7">
        <f t="shared" ca="1" si="25"/>
        <v>1</v>
      </c>
      <c r="G79" s="125">
        <f t="shared" ca="1" si="18"/>
        <v>17500</v>
      </c>
      <c r="H79" s="125">
        <f ca="1">IF(F79=1,F79*$B$10/MIN(12,'Simulador - 3º Pilar'!$E$88),0)</f>
        <v>0</v>
      </c>
      <c r="I79" s="128">
        <f t="shared" ca="1" si="19"/>
        <v>0</v>
      </c>
      <c r="J79" s="494">
        <f t="shared" ca="1" si="20"/>
        <v>0</v>
      </c>
      <c r="K79" s="126">
        <f t="shared" ca="1" si="21"/>
        <v>0</v>
      </c>
      <c r="L79" s="126">
        <f t="shared" ca="1" si="17"/>
        <v>0</v>
      </c>
      <c r="P79">
        <v>72</v>
      </c>
      <c r="Q79" s="6">
        <f t="shared" ca="1" si="26"/>
        <v>50587</v>
      </c>
      <c r="R79" s="7" t="e">
        <f t="shared" ca="1" si="27"/>
        <v>#REF!</v>
      </c>
      <c r="S79" s="125" t="e">
        <f t="shared" ca="1" si="28"/>
        <v>#REF!</v>
      </c>
      <c r="T79" s="125" t="e">
        <f t="shared" ca="1" si="22"/>
        <v>#REF!</v>
      </c>
      <c r="U79" s="128" t="e">
        <f t="shared" ca="1" si="29"/>
        <v>#REF!</v>
      </c>
      <c r="AC79">
        <v>72</v>
      </c>
      <c r="AD79" s="6">
        <f t="shared" ca="1" si="30"/>
        <v>50587</v>
      </c>
      <c r="AE79" s="7" t="e">
        <f t="shared" ca="1" si="31"/>
        <v>#REF!</v>
      </c>
      <c r="AF79" s="125" t="e">
        <f t="shared" ca="1" si="32"/>
        <v>#REF!</v>
      </c>
      <c r="AG79" s="125" t="e">
        <f t="shared" ca="1" si="23"/>
        <v>#REF!</v>
      </c>
      <c r="AH79" s="128" t="e">
        <f t="shared" ca="1" si="33"/>
        <v>#REF!</v>
      </c>
    </row>
    <row r="80" spans="4:34">
      <c r="D80">
        <v>73</v>
      </c>
      <c r="E80" s="6">
        <f t="shared" ca="1" si="24"/>
        <v>50557</v>
      </c>
      <c r="F80" s="7">
        <f t="shared" ca="1" si="25"/>
        <v>1</v>
      </c>
      <c r="G80" s="125">
        <f t="shared" ca="1" si="18"/>
        <v>17500</v>
      </c>
      <c r="H80" s="125">
        <f ca="1">IF(F80=1,F80*$B$10/MIN(12,'Simulador - 3º Pilar'!$E$88),0)</f>
        <v>0</v>
      </c>
      <c r="I80" s="128">
        <f t="shared" ca="1" si="19"/>
        <v>0</v>
      </c>
      <c r="J80" s="494">
        <f t="shared" ca="1" si="20"/>
        <v>0</v>
      </c>
      <c r="K80" s="126">
        <f t="shared" ca="1" si="21"/>
        <v>0</v>
      </c>
      <c r="L80" s="126">
        <f t="shared" ca="1" si="17"/>
        <v>0</v>
      </c>
      <c r="P80">
        <v>73</v>
      </c>
      <c r="Q80" s="6">
        <f t="shared" ca="1" si="26"/>
        <v>50557</v>
      </c>
      <c r="R80" s="7" t="e">
        <f t="shared" ca="1" si="27"/>
        <v>#REF!</v>
      </c>
      <c r="S80" s="125" t="e">
        <f t="shared" ca="1" si="28"/>
        <v>#REF!</v>
      </c>
      <c r="T80" s="125" t="e">
        <f t="shared" ca="1" si="22"/>
        <v>#REF!</v>
      </c>
      <c r="U80" s="128" t="e">
        <f t="shared" ca="1" si="29"/>
        <v>#REF!</v>
      </c>
      <c r="AC80">
        <v>73</v>
      </c>
      <c r="AD80" s="6">
        <f t="shared" ca="1" si="30"/>
        <v>50557</v>
      </c>
      <c r="AE80" s="7" t="e">
        <f t="shared" ca="1" si="31"/>
        <v>#REF!</v>
      </c>
      <c r="AF80" s="125" t="e">
        <f t="shared" ca="1" si="32"/>
        <v>#REF!</v>
      </c>
      <c r="AG80" s="125" t="e">
        <f t="shared" ca="1" si="23"/>
        <v>#REF!</v>
      </c>
      <c r="AH80" s="128" t="e">
        <f t="shared" ca="1" si="33"/>
        <v>#REF!</v>
      </c>
    </row>
    <row r="81" spans="4:34">
      <c r="D81">
        <v>74</v>
      </c>
      <c r="E81" s="6">
        <f t="shared" ca="1" si="24"/>
        <v>50526</v>
      </c>
      <c r="F81" s="7">
        <f t="shared" ca="1" si="25"/>
        <v>1</v>
      </c>
      <c r="G81" s="125">
        <f t="shared" ca="1" si="18"/>
        <v>17500</v>
      </c>
      <c r="H81" s="125">
        <f ca="1">IF(F81=1,F81*$B$10/MIN(12,'Simulador - 3º Pilar'!$E$88),0)</f>
        <v>0</v>
      </c>
      <c r="I81" s="128">
        <f t="shared" ca="1" si="19"/>
        <v>0</v>
      </c>
      <c r="J81" s="494">
        <f t="shared" ca="1" si="20"/>
        <v>0</v>
      </c>
      <c r="K81" s="126">
        <f t="shared" ca="1" si="21"/>
        <v>0</v>
      </c>
      <c r="L81" s="126">
        <f t="shared" ca="1" si="17"/>
        <v>0</v>
      </c>
      <c r="P81">
        <v>74</v>
      </c>
      <c r="Q81" s="6">
        <f t="shared" ca="1" si="26"/>
        <v>50526</v>
      </c>
      <c r="R81" s="7" t="e">
        <f t="shared" ca="1" si="27"/>
        <v>#REF!</v>
      </c>
      <c r="S81" s="125" t="e">
        <f t="shared" ca="1" si="28"/>
        <v>#REF!</v>
      </c>
      <c r="T81" s="125" t="e">
        <f t="shared" ca="1" si="22"/>
        <v>#REF!</v>
      </c>
      <c r="U81" s="128" t="e">
        <f t="shared" ca="1" si="29"/>
        <v>#REF!</v>
      </c>
      <c r="AC81">
        <v>74</v>
      </c>
      <c r="AD81" s="6">
        <f t="shared" ca="1" si="30"/>
        <v>50526</v>
      </c>
      <c r="AE81" s="7" t="e">
        <f t="shared" ca="1" si="31"/>
        <v>#REF!</v>
      </c>
      <c r="AF81" s="125" t="e">
        <f t="shared" ca="1" si="32"/>
        <v>#REF!</v>
      </c>
      <c r="AG81" s="125" t="e">
        <f t="shared" ca="1" si="23"/>
        <v>#REF!</v>
      </c>
      <c r="AH81" s="128" t="e">
        <f t="shared" ca="1" si="33"/>
        <v>#REF!</v>
      </c>
    </row>
    <row r="82" spans="4:34">
      <c r="D82">
        <v>75</v>
      </c>
      <c r="E82" s="6">
        <f t="shared" ca="1" si="24"/>
        <v>50496</v>
      </c>
      <c r="F82" s="7">
        <f t="shared" ca="1" si="25"/>
        <v>1</v>
      </c>
      <c r="G82" s="125">
        <f t="shared" ca="1" si="18"/>
        <v>17500</v>
      </c>
      <c r="H82" s="125">
        <f ca="1">IF(F82=1,F82*$B$10/MIN(12,'Simulador - 3º Pilar'!$E$88),0)</f>
        <v>0</v>
      </c>
      <c r="I82" s="128">
        <f t="shared" ca="1" si="19"/>
        <v>0</v>
      </c>
      <c r="J82" s="494">
        <f t="shared" ca="1" si="20"/>
        <v>0</v>
      </c>
      <c r="K82" s="126">
        <f t="shared" ca="1" si="21"/>
        <v>0</v>
      </c>
      <c r="L82" s="126">
        <f t="shared" ca="1" si="17"/>
        <v>0</v>
      </c>
      <c r="P82">
        <v>75</v>
      </c>
      <c r="Q82" s="6">
        <f t="shared" ca="1" si="26"/>
        <v>50496</v>
      </c>
      <c r="R82" s="7" t="e">
        <f t="shared" ca="1" si="27"/>
        <v>#REF!</v>
      </c>
      <c r="S82" s="125" t="e">
        <f t="shared" ca="1" si="28"/>
        <v>#REF!</v>
      </c>
      <c r="T82" s="125" t="e">
        <f t="shared" ca="1" si="22"/>
        <v>#REF!</v>
      </c>
      <c r="U82" s="128" t="e">
        <f t="shared" ca="1" si="29"/>
        <v>#REF!</v>
      </c>
      <c r="AC82">
        <v>75</v>
      </c>
      <c r="AD82" s="6">
        <f t="shared" ca="1" si="30"/>
        <v>50496</v>
      </c>
      <c r="AE82" s="7" t="e">
        <f t="shared" ca="1" si="31"/>
        <v>#REF!</v>
      </c>
      <c r="AF82" s="125" t="e">
        <f t="shared" ca="1" si="32"/>
        <v>#REF!</v>
      </c>
      <c r="AG82" s="125" t="e">
        <f t="shared" ca="1" si="23"/>
        <v>#REF!</v>
      </c>
      <c r="AH82" s="128" t="e">
        <f t="shared" ca="1" si="33"/>
        <v>#REF!</v>
      </c>
    </row>
    <row r="83" spans="4:34">
      <c r="D83">
        <v>76</v>
      </c>
      <c r="E83" s="6">
        <f t="shared" ca="1" si="24"/>
        <v>50465</v>
      </c>
      <c r="F83" s="7">
        <f t="shared" ca="1" si="25"/>
        <v>1</v>
      </c>
      <c r="G83" s="125">
        <f t="shared" ca="1" si="18"/>
        <v>17500</v>
      </c>
      <c r="H83" s="125">
        <f ca="1">IF(F83=1,F83*$B$10/MIN(12,'Simulador - 3º Pilar'!$E$88),0)</f>
        <v>0</v>
      </c>
      <c r="I83" s="128">
        <f t="shared" ca="1" si="19"/>
        <v>0</v>
      </c>
      <c r="J83" s="494">
        <f t="shared" ca="1" si="20"/>
        <v>0</v>
      </c>
      <c r="K83" s="126">
        <f t="shared" ca="1" si="21"/>
        <v>0</v>
      </c>
      <c r="L83" s="126">
        <f t="shared" ca="1" si="17"/>
        <v>0</v>
      </c>
      <c r="P83">
        <v>76</v>
      </c>
      <c r="Q83" s="6">
        <f t="shared" ca="1" si="26"/>
        <v>50465</v>
      </c>
      <c r="R83" s="7" t="e">
        <f t="shared" ca="1" si="27"/>
        <v>#REF!</v>
      </c>
      <c r="S83" s="125" t="e">
        <f t="shared" ca="1" si="28"/>
        <v>#REF!</v>
      </c>
      <c r="T83" s="125" t="e">
        <f t="shared" ca="1" si="22"/>
        <v>#REF!</v>
      </c>
      <c r="U83" s="128" t="e">
        <f t="shared" ca="1" si="29"/>
        <v>#REF!</v>
      </c>
      <c r="AC83">
        <v>76</v>
      </c>
      <c r="AD83" s="6">
        <f t="shared" ca="1" si="30"/>
        <v>50465</v>
      </c>
      <c r="AE83" s="7" t="e">
        <f t="shared" ca="1" si="31"/>
        <v>#REF!</v>
      </c>
      <c r="AF83" s="125" t="e">
        <f t="shared" ca="1" si="32"/>
        <v>#REF!</v>
      </c>
      <c r="AG83" s="125" t="e">
        <f t="shared" ca="1" si="23"/>
        <v>#REF!</v>
      </c>
      <c r="AH83" s="128" t="e">
        <f t="shared" ca="1" si="33"/>
        <v>#REF!</v>
      </c>
    </row>
    <row r="84" spans="4:34">
      <c r="D84">
        <v>77</v>
      </c>
      <c r="E84" s="6">
        <f t="shared" ca="1" si="24"/>
        <v>50437</v>
      </c>
      <c r="F84" s="7">
        <f t="shared" ca="1" si="25"/>
        <v>1</v>
      </c>
      <c r="G84" s="125">
        <f t="shared" ca="1" si="18"/>
        <v>17500</v>
      </c>
      <c r="H84" s="125">
        <f ca="1">IF(F84=1,F84*$B$10/MIN(12,'Simulador - 3º Pilar'!$E$88),0)</f>
        <v>0</v>
      </c>
      <c r="I84" s="128">
        <f t="shared" ca="1" si="19"/>
        <v>0</v>
      </c>
      <c r="J84" s="494">
        <f t="shared" ca="1" si="20"/>
        <v>0</v>
      </c>
      <c r="K84" s="126">
        <f t="shared" ca="1" si="21"/>
        <v>0</v>
      </c>
      <c r="L84" s="126">
        <f t="shared" ca="1" si="17"/>
        <v>0</v>
      </c>
      <c r="P84">
        <v>77</v>
      </c>
      <c r="Q84" s="6">
        <f t="shared" ca="1" si="26"/>
        <v>50437</v>
      </c>
      <c r="R84" s="7" t="e">
        <f t="shared" ca="1" si="27"/>
        <v>#REF!</v>
      </c>
      <c r="S84" s="125" t="e">
        <f t="shared" ca="1" si="28"/>
        <v>#REF!</v>
      </c>
      <c r="T84" s="125" t="e">
        <f t="shared" ca="1" si="22"/>
        <v>#REF!</v>
      </c>
      <c r="U84" s="128" t="e">
        <f t="shared" ca="1" si="29"/>
        <v>#REF!</v>
      </c>
      <c r="AC84">
        <v>77</v>
      </c>
      <c r="AD84" s="6">
        <f t="shared" ca="1" si="30"/>
        <v>50437</v>
      </c>
      <c r="AE84" s="7" t="e">
        <f t="shared" ca="1" si="31"/>
        <v>#REF!</v>
      </c>
      <c r="AF84" s="125" t="e">
        <f t="shared" ca="1" si="32"/>
        <v>#REF!</v>
      </c>
      <c r="AG84" s="125" t="e">
        <f t="shared" ca="1" si="23"/>
        <v>#REF!</v>
      </c>
      <c r="AH84" s="128" t="e">
        <f t="shared" ca="1" si="33"/>
        <v>#REF!</v>
      </c>
    </row>
    <row r="85" spans="4:34">
      <c r="D85">
        <v>78</v>
      </c>
      <c r="E85" s="6">
        <f t="shared" ca="1" si="24"/>
        <v>50406</v>
      </c>
      <c r="F85" s="7">
        <f t="shared" ca="1" si="25"/>
        <v>1</v>
      </c>
      <c r="G85" s="125">
        <f t="shared" ca="1" si="18"/>
        <v>17500</v>
      </c>
      <c r="H85" s="125">
        <f ca="1">IF(F85=1,F85*$B$10/MIN(12,'Simulador - 3º Pilar'!$E$88),0)</f>
        <v>0</v>
      </c>
      <c r="I85" s="128">
        <f t="shared" ca="1" si="19"/>
        <v>0</v>
      </c>
      <c r="J85" s="494">
        <f t="shared" ca="1" si="20"/>
        <v>0</v>
      </c>
      <c r="K85" s="126">
        <f t="shared" ca="1" si="21"/>
        <v>0</v>
      </c>
      <c r="L85" s="126">
        <f t="shared" ca="1" si="17"/>
        <v>0</v>
      </c>
      <c r="P85">
        <v>78</v>
      </c>
      <c r="Q85" s="6">
        <f t="shared" ca="1" si="26"/>
        <v>50406</v>
      </c>
      <c r="R85" s="7" t="e">
        <f t="shared" ca="1" si="27"/>
        <v>#REF!</v>
      </c>
      <c r="S85" s="125" t="e">
        <f t="shared" ca="1" si="28"/>
        <v>#REF!</v>
      </c>
      <c r="T85" s="125" t="e">
        <f t="shared" ca="1" si="22"/>
        <v>#REF!</v>
      </c>
      <c r="U85" s="128" t="e">
        <f t="shared" ca="1" si="29"/>
        <v>#REF!</v>
      </c>
      <c r="AC85">
        <v>78</v>
      </c>
      <c r="AD85" s="6">
        <f t="shared" ca="1" si="30"/>
        <v>50406</v>
      </c>
      <c r="AE85" s="7" t="e">
        <f t="shared" ca="1" si="31"/>
        <v>#REF!</v>
      </c>
      <c r="AF85" s="125" t="e">
        <f t="shared" ca="1" si="32"/>
        <v>#REF!</v>
      </c>
      <c r="AG85" s="125" t="e">
        <f t="shared" ca="1" si="23"/>
        <v>#REF!</v>
      </c>
      <c r="AH85" s="128" t="e">
        <f t="shared" ca="1" si="33"/>
        <v>#REF!</v>
      </c>
    </row>
    <row r="86" spans="4:34">
      <c r="D86">
        <v>79</v>
      </c>
      <c r="E86" s="6">
        <f t="shared" ca="1" si="24"/>
        <v>50375</v>
      </c>
      <c r="F86" s="7">
        <f t="shared" ca="1" si="25"/>
        <v>1</v>
      </c>
      <c r="G86" s="125">
        <f t="shared" ca="1" si="18"/>
        <v>17500</v>
      </c>
      <c r="H86" s="125">
        <f ca="1">IF(F86=1,F86*$B$10/MIN(12,'Simulador - 3º Pilar'!$E$88),0)</f>
        <v>0</v>
      </c>
      <c r="I86" s="128">
        <f t="shared" ca="1" si="19"/>
        <v>0</v>
      </c>
      <c r="J86" s="494">
        <f t="shared" ca="1" si="20"/>
        <v>0</v>
      </c>
      <c r="K86" s="126">
        <f t="shared" ca="1" si="21"/>
        <v>0</v>
      </c>
      <c r="L86" s="126">
        <f t="shared" ca="1" si="17"/>
        <v>0</v>
      </c>
      <c r="P86">
        <v>79</v>
      </c>
      <c r="Q86" s="6">
        <f t="shared" ca="1" si="26"/>
        <v>50375</v>
      </c>
      <c r="R86" s="7" t="e">
        <f t="shared" ca="1" si="27"/>
        <v>#REF!</v>
      </c>
      <c r="S86" s="125" t="e">
        <f t="shared" ca="1" si="28"/>
        <v>#REF!</v>
      </c>
      <c r="T86" s="125" t="e">
        <f t="shared" ca="1" si="22"/>
        <v>#REF!</v>
      </c>
      <c r="U86" s="128" t="e">
        <f t="shared" ca="1" si="29"/>
        <v>#REF!</v>
      </c>
      <c r="AC86">
        <v>79</v>
      </c>
      <c r="AD86" s="6">
        <f t="shared" ca="1" si="30"/>
        <v>50375</v>
      </c>
      <c r="AE86" s="7" t="e">
        <f t="shared" ca="1" si="31"/>
        <v>#REF!</v>
      </c>
      <c r="AF86" s="125" t="e">
        <f t="shared" ca="1" si="32"/>
        <v>#REF!</v>
      </c>
      <c r="AG86" s="125" t="e">
        <f t="shared" ca="1" si="23"/>
        <v>#REF!</v>
      </c>
      <c r="AH86" s="128" t="e">
        <f t="shared" ca="1" si="33"/>
        <v>#REF!</v>
      </c>
    </row>
    <row r="87" spans="4:34">
      <c r="D87">
        <v>80</v>
      </c>
      <c r="E87" s="6">
        <f t="shared" ca="1" si="24"/>
        <v>50345</v>
      </c>
      <c r="F87" s="7">
        <f t="shared" ca="1" si="25"/>
        <v>1</v>
      </c>
      <c r="G87" s="125">
        <f t="shared" ca="1" si="18"/>
        <v>17500</v>
      </c>
      <c r="H87" s="125">
        <f ca="1">IF(F87=1,F87*$B$10/MIN(12,'Simulador - 3º Pilar'!$E$88),0)</f>
        <v>0</v>
      </c>
      <c r="I87" s="128">
        <f t="shared" ca="1" si="19"/>
        <v>0</v>
      </c>
      <c r="J87" s="494">
        <f t="shared" ca="1" si="20"/>
        <v>0</v>
      </c>
      <c r="K87" s="126">
        <f t="shared" ca="1" si="21"/>
        <v>0</v>
      </c>
      <c r="L87" s="126">
        <f t="shared" ca="1" si="17"/>
        <v>0</v>
      </c>
      <c r="P87">
        <v>80</v>
      </c>
      <c r="Q87" s="6">
        <f t="shared" ca="1" si="26"/>
        <v>50345</v>
      </c>
      <c r="R87" s="7" t="e">
        <f t="shared" ca="1" si="27"/>
        <v>#REF!</v>
      </c>
      <c r="S87" s="125" t="e">
        <f t="shared" ca="1" si="28"/>
        <v>#REF!</v>
      </c>
      <c r="T87" s="125" t="e">
        <f t="shared" ca="1" si="22"/>
        <v>#REF!</v>
      </c>
      <c r="U87" s="128" t="e">
        <f t="shared" ca="1" si="29"/>
        <v>#REF!</v>
      </c>
      <c r="AC87">
        <v>80</v>
      </c>
      <c r="AD87" s="6">
        <f t="shared" ca="1" si="30"/>
        <v>50345</v>
      </c>
      <c r="AE87" s="7" t="e">
        <f t="shared" ca="1" si="31"/>
        <v>#REF!</v>
      </c>
      <c r="AF87" s="125" t="e">
        <f t="shared" ca="1" si="32"/>
        <v>#REF!</v>
      </c>
      <c r="AG87" s="125" t="e">
        <f t="shared" ca="1" si="23"/>
        <v>#REF!</v>
      </c>
      <c r="AH87" s="128" t="e">
        <f t="shared" ca="1" si="33"/>
        <v>#REF!</v>
      </c>
    </row>
    <row r="88" spans="4:34">
      <c r="D88">
        <v>81</v>
      </c>
      <c r="E88" s="6">
        <f t="shared" ca="1" si="24"/>
        <v>50314</v>
      </c>
      <c r="F88" s="7">
        <f t="shared" ca="1" si="25"/>
        <v>1</v>
      </c>
      <c r="G88" s="125">
        <f t="shared" ca="1" si="18"/>
        <v>17500</v>
      </c>
      <c r="H88" s="125">
        <f ca="1">IF(F88=1,F88*$B$10/MIN(12,'Simulador - 3º Pilar'!$E$88),0)</f>
        <v>0</v>
      </c>
      <c r="I88" s="128">
        <f t="shared" ca="1" si="19"/>
        <v>0</v>
      </c>
      <c r="J88" s="494">
        <f t="shared" ca="1" si="20"/>
        <v>0</v>
      </c>
      <c r="K88" s="126">
        <f t="shared" ca="1" si="21"/>
        <v>0</v>
      </c>
      <c r="L88" s="126">
        <f t="shared" ca="1" si="17"/>
        <v>0</v>
      </c>
      <c r="P88">
        <v>81</v>
      </c>
      <c r="Q88" s="6">
        <f t="shared" ca="1" si="26"/>
        <v>50314</v>
      </c>
      <c r="R88" s="7" t="e">
        <f t="shared" ca="1" si="27"/>
        <v>#REF!</v>
      </c>
      <c r="S88" s="125" t="e">
        <f t="shared" ca="1" si="28"/>
        <v>#REF!</v>
      </c>
      <c r="T88" s="125" t="e">
        <f t="shared" ca="1" si="22"/>
        <v>#REF!</v>
      </c>
      <c r="U88" s="128" t="e">
        <f t="shared" ca="1" si="29"/>
        <v>#REF!</v>
      </c>
      <c r="AC88">
        <v>81</v>
      </c>
      <c r="AD88" s="6">
        <f t="shared" ca="1" si="30"/>
        <v>50314</v>
      </c>
      <c r="AE88" s="7" t="e">
        <f t="shared" ca="1" si="31"/>
        <v>#REF!</v>
      </c>
      <c r="AF88" s="125" t="e">
        <f t="shared" ca="1" si="32"/>
        <v>#REF!</v>
      </c>
      <c r="AG88" s="125" t="e">
        <f t="shared" ca="1" si="23"/>
        <v>#REF!</v>
      </c>
      <c r="AH88" s="128" t="e">
        <f t="shared" ca="1" si="33"/>
        <v>#REF!</v>
      </c>
    </row>
    <row r="89" spans="4:34">
      <c r="D89">
        <v>82</v>
      </c>
      <c r="E89" s="6">
        <f t="shared" ca="1" si="24"/>
        <v>50284</v>
      </c>
      <c r="F89" s="7">
        <f t="shared" ca="1" si="25"/>
        <v>1</v>
      </c>
      <c r="G89" s="125">
        <f t="shared" ca="1" si="18"/>
        <v>17500</v>
      </c>
      <c r="H89" s="125">
        <f ca="1">IF(F89=1,F89*$B$10/MIN(12,'Simulador - 3º Pilar'!$E$88),0)</f>
        <v>0</v>
      </c>
      <c r="I89" s="128">
        <f t="shared" ca="1" si="19"/>
        <v>0</v>
      </c>
      <c r="J89" s="494">
        <f t="shared" ca="1" si="20"/>
        <v>0</v>
      </c>
      <c r="K89" s="126">
        <f t="shared" ca="1" si="21"/>
        <v>0</v>
      </c>
      <c r="L89" s="126">
        <f t="shared" ca="1" si="17"/>
        <v>0</v>
      </c>
      <c r="P89">
        <v>82</v>
      </c>
      <c r="Q89" s="6">
        <f t="shared" ca="1" si="26"/>
        <v>50284</v>
      </c>
      <c r="R89" s="7" t="e">
        <f t="shared" ca="1" si="27"/>
        <v>#REF!</v>
      </c>
      <c r="S89" s="125" t="e">
        <f t="shared" ca="1" si="28"/>
        <v>#REF!</v>
      </c>
      <c r="T89" s="125" t="e">
        <f t="shared" ca="1" si="22"/>
        <v>#REF!</v>
      </c>
      <c r="U89" s="128" t="e">
        <f t="shared" ca="1" si="29"/>
        <v>#REF!</v>
      </c>
      <c r="AC89">
        <v>82</v>
      </c>
      <c r="AD89" s="6">
        <f t="shared" ca="1" si="30"/>
        <v>50284</v>
      </c>
      <c r="AE89" s="7" t="e">
        <f t="shared" ca="1" si="31"/>
        <v>#REF!</v>
      </c>
      <c r="AF89" s="125" t="e">
        <f t="shared" ca="1" si="32"/>
        <v>#REF!</v>
      </c>
      <c r="AG89" s="125" t="e">
        <f t="shared" ca="1" si="23"/>
        <v>#REF!</v>
      </c>
      <c r="AH89" s="128" t="e">
        <f t="shared" ca="1" si="33"/>
        <v>#REF!</v>
      </c>
    </row>
    <row r="90" spans="4:34">
      <c r="D90">
        <v>83</v>
      </c>
      <c r="E90" s="6">
        <f t="shared" ca="1" si="24"/>
        <v>50253</v>
      </c>
      <c r="F90" s="7">
        <f t="shared" ca="1" si="25"/>
        <v>1</v>
      </c>
      <c r="G90" s="125">
        <f t="shared" ca="1" si="18"/>
        <v>17500</v>
      </c>
      <c r="H90" s="125">
        <f ca="1">IF(F90=1,F90*$B$10/MIN(12,'Simulador - 3º Pilar'!$E$88),0)</f>
        <v>0</v>
      </c>
      <c r="I90" s="128">
        <f t="shared" ca="1" si="19"/>
        <v>0</v>
      </c>
      <c r="J90" s="494">
        <f t="shared" ca="1" si="20"/>
        <v>0</v>
      </c>
      <c r="K90" s="126">
        <f t="shared" ca="1" si="21"/>
        <v>0</v>
      </c>
      <c r="L90" s="126">
        <f t="shared" ca="1" si="17"/>
        <v>0</v>
      </c>
      <c r="P90">
        <v>83</v>
      </c>
      <c r="Q90" s="6">
        <f t="shared" ca="1" si="26"/>
        <v>50253</v>
      </c>
      <c r="R90" s="7" t="e">
        <f t="shared" ca="1" si="27"/>
        <v>#REF!</v>
      </c>
      <c r="S90" s="125" t="e">
        <f t="shared" ca="1" si="28"/>
        <v>#REF!</v>
      </c>
      <c r="T90" s="125" t="e">
        <f t="shared" ca="1" si="22"/>
        <v>#REF!</v>
      </c>
      <c r="U90" s="128" t="e">
        <f t="shared" ca="1" si="29"/>
        <v>#REF!</v>
      </c>
      <c r="AC90">
        <v>83</v>
      </c>
      <c r="AD90" s="6">
        <f t="shared" ca="1" si="30"/>
        <v>50253</v>
      </c>
      <c r="AE90" s="7" t="e">
        <f t="shared" ca="1" si="31"/>
        <v>#REF!</v>
      </c>
      <c r="AF90" s="125" t="e">
        <f t="shared" ca="1" si="32"/>
        <v>#REF!</v>
      </c>
      <c r="AG90" s="125" t="e">
        <f t="shared" ca="1" si="23"/>
        <v>#REF!</v>
      </c>
      <c r="AH90" s="128" t="e">
        <f t="shared" ca="1" si="33"/>
        <v>#REF!</v>
      </c>
    </row>
    <row r="91" spans="4:34">
      <c r="D91">
        <v>84</v>
      </c>
      <c r="E91" s="6">
        <f t="shared" ca="1" si="24"/>
        <v>50222</v>
      </c>
      <c r="F91" s="7">
        <f t="shared" ca="1" si="25"/>
        <v>1</v>
      </c>
      <c r="G91" s="125">
        <f t="shared" ca="1" si="18"/>
        <v>17500</v>
      </c>
      <c r="H91" s="125">
        <f ca="1">IF(F91=1,F91*$B$10/MIN(12,'Simulador - 3º Pilar'!$E$88),0)</f>
        <v>0</v>
      </c>
      <c r="I91" s="128">
        <f t="shared" ca="1" si="19"/>
        <v>0</v>
      </c>
      <c r="J91" s="494">
        <f t="shared" ca="1" si="20"/>
        <v>0</v>
      </c>
      <c r="K91" s="126">
        <f t="shared" ca="1" si="21"/>
        <v>0</v>
      </c>
      <c r="L91" s="126">
        <f t="shared" ca="1" si="17"/>
        <v>0</v>
      </c>
      <c r="P91">
        <v>84</v>
      </c>
      <c r="Q91" s="6">
        <f t="shared" ca="1" si="26"/>
        <v>50222</v>
      </c>
      <c r="R91" s="7" t="e">
        <f t="shared" ca="1" si="27"/>
        <v>#REF!</v>
      </c>
      <c r="S91" s="125" t="e">
        <f t="shared" ca="1" si="28"/>
        <v>#REF!</v>
      </c>
      <c r="T91" s="125" t="e">
        <f t="shared" ca="1" si="22"/>
        <v>#REF!</v>
      </c>
      <c r="U91" s="128" t="e">
        <f t="shared" ca="1" si="29"/>
        <v>#REF!</v>
      </c>
      <c r="AC91">
        <v>84</v>
      </c>
      <c r="AD91" s="6">
        <f t="shared" ca="1" si="30"/>
        <v>50222</v>
      </c>
      <c r="AE91" s="7" t="e">
        <f t="shared" ca="1" si="31"/>
        <v>#REF!</v>
      </c>
      <c r="AF91" s="125" t="e">
        <f t="shared" ca="1" si="32"/>
        <v>#REF!</v>
      </c>
      <c r="AG91" s="125" t="e">
        <f t="shared" ca="1" si="23"/>
        <v>#REF!</v>
      </c>
      <c r="AH91" s="128" t="e">
        <f t="shared" ca="1" si="33"/>
        <v>#REF!</v>
      </c>
    </row>
    <row r="92" spans="4:34">
      <c r="D92">
        <v>85</v>
      </c>
      <c r="E92" s="6">
        <f t="shared" ca="1" si="24"/>
        <v>50192</v>
      </c>
      <c r="F92" s="7">
        <f t="shared" ca="1" si="25"/>
        <v>1</v>
      </c>
      <c r="G92" s="125">
        <f t="shared" ca="1" si="18"/>
        <v>17500</v>
      </c>
      <c r="H92" s="125">
        <f ca="1">IF(F92=1,F92*$B$10/MIN(12,'Simulador - 3º Pilar'!$E$88),0)</f>
        <v>0</v>
      </c>
      <c r="I92" s="128">
        <f t="shared" ca="1" si="19"/>
        <v>0</v>
      </c>
      <c r="J92" s="494">
        <f t="shared" ca="1" si="20"/>
        <v>0</v>
      </c>
      <c r="K92" s="126">
        <f t="shared" ca="1" si="21"/>
        <v>0</v>
      </c>
      <c r="L92" s="126">
        <f t="shared" ca="1" si="17"/>
        <v>0</v>
      </c>
      <c r="P92">
        <v>85</v>
      </c>
      <c r="Q92" s="6">
        <f t="shared" ca="1" si="26"/>
        <v>50192</v>
      </c>
      <c r="R92" s="7" t="e">
        <f t="shared" ca="1" si="27"/>
        <v>#REF!</v>
      </c>
      <c r="S92" s="125" t="e">
        <f t="shared" ca="1" si="28"/>
        <v>#REF!</v>
      </c>
      <c r="T92" s="125" t="e">
        <f t="shared" ca="1" si="22"/>
        <v>#REF!</v>
      </c>
      <c r="U92" s="128" t="e">
        <f t="shared" ca="1" si="29"/>
        <v>#REF!</v>
      </c>
      <c r="AC92">
        <v>85</v>
      </c>
      <c r="AD92" s="6">
        <f t="shared" ca="1" si="30"/>
        <v>50192</v>
      </c>
      <c r="AE92" s="7" t="e">
        <f t="shared" ca="1" si="31"/>
        <v>#REF!</v>
      </c>
      <c r="AF92" s="125" t="e">
        <f t="shared" ca="1" si="32"/>
        <v>#REF!</v>
      </c>
      <c r="AG92" s="125" t="e">
        <f t="shared" ca="1" si="23"/>
        <v>#REF!</v>
      </c>
      <c r="AH92" s="128" t="e">
        <f t="shared" ca="1" si="33"/>
        <v>#REF!</v>
      </c>
    </row>
    <row r="93" spans="4:34">
      <c r="D93">
        <v>86</v>
      </c>
      <c r="E93" s="6">
        <f t="shared" ca="1" si="24"/>
        <v>50161</v>
      </c>
      <c r="F93" s="7">
        <f t="shared" ca="1" si="25"/>
        <v>1</v>
      </c>
      <c r="G93" s="125">
        <f t="shared" ca="1" si="18"/>
        <v>17500</v>
      </c>
      <c r="H93" s="125">
        <f ca="1">IF(F93=1,F93*$B$10/MIN(12,'Simulador - 3º Pilar'!$E$88),0)</f>
        <v>0</v>
      </c>
      <c r="I93" s="128">
        <f t="shared" ca="1" si="19"/>
        <v>0</v>
      </c>
      <c r="J93" s="494">
        <f t="shared" ca="1" si="20"/>
        <v>0</v>
      </c>
      <c r="K93" s="126">
        <f t="shared" ca="1" si="21"/>
        <v>0</v>
      </c>
      <c r="L93" s="126">
        <f t="shared" ca="1" si="17"/>
        <v>0</v>
      </c>
      <c r="P93">
        <v>86</v>
      </c>
      <c r="Q93" s="6">
        <f t="shared" ca="1" si="26"/>
        <v>50161</v>
      </c>
      <c r="R93" s="7" t="e">
        <f t="shared" ca="1" si="27"/>
        <v>#REF!</v>
      </c>
      <c r="S93" s="125" t="e">
        <f t="shared" ca="1" si="28"/>
        <v>#REF!</v>
      </c>
      <c r="T93" s="125" t="e">
        <f t="shared" ca="1" si="22"/>
        <v>#REF!</v>
      </c>
      <c r="U93" s="128" t="e">
        <f t="shared" ca="1" si="29"/>
        <v>#REF!</v>
      </c>
      <c r="AC93">
        <v>86</v>
      </c>
      <c r="AD93" s="6">
        <f t="shared" ca="1" si="30"/>
        <v>50161</v>
      </c>
      <c r="AE93" s="7" t="e">
        <f t="shared" ca="1" si="31"/>
        <v>#REF!</v>
      </c>
      <c r="AF93" s="125" t="e">
        <f t="shared" ca="1" si="32"/>
        <v>#REF!</v>
      </c>
      <c r="AG93" s="125" t="e">
        <f t="shared" ca="1" si="23"/>
        <v>#REF!</v>
      </c>
      <c r="AH93" s="128" t="e">
        <f t="shared" ca="1" si="33"/>
        <v>#REF!</v>
      </c>
    </row>
    <row r="94" spans="4:34">
      <c r="D94">
        <v>87</v>
      </c>
      <c r="E94" s="6">
        <f t="shared" ca="1" si="24"/>
        <v>50131</v>
      </c>
      <c r="F94" s="7">
        <f t="shared" ca="1" si="25"/>
        <v>1</v>
      </c>
      <c r="G94" s="125">
        <f t="shared" ca="1" si="18"/>
        <v>17500</v>
      </c>
      <c r="H94" s="125">
        <f ca="1">IF(F94=1,F94*$B$10/MIN(12,'Simulador - 3º Pilar'!$E$88),0)</f>
        <v>0</v>
      </c>
      <c r="I94" s="128">
        <f t="shared" ca="1" si="19"/>
        <v>0</v>
      </c>
      <c r="J94" s="494">
        <f t="shared" ca="1" si="20"/>
        <v>0</v>
      </c>
      <c r="K94" s="126">
        <f t="shared" ca="1" si="21"/>
        <v>0</v>
      </c>
      <c r="L94" s="126">
        <f t="shared" ca="1" si="17"/>
        <v>0</v>
      </c>
      <c r="P94">
        <v>87</v>
      </c>
      <c r="Q94" s="6">
        <f t="shared" ca="1" si="26"/>
        <v>50131</v>
      </c>
      <c r="R94" s="7" t="e">
        <f t="shared" ca="1" si="27"/>
        <v>#REF!</v>
      </c>
      <c r="S94" s="125" t="e">
        <f t="shared" ca="1" si="28"/>
        <v>#REF!</v>
      </c>
      <c r="T94" s="125" t="e">
        <f t="shared" ca="1" si="22"/>
        <v>#REF!</v>
      </c>
      <c r="U94" s="128" t="e">
        <f t="shared" ca="1" si="29"/>
        <v>#REF!</v>
      </c>
      <c r="AC94">
        <v>87</v>
      </c>
      <c r="AD94" s="6">
        <f t="shared" ca="1" si="30"/>
        <v>50131</v>
      </c>
      <c r="AE94" s="7" t="e">
        <f t="shared" ca="1" si="31"/>
        <v>#REF!</v>
      </c>
      <c r="AF94" s="125" t="e">
        <f t="shared" ca="1" si="32"/>
        <v>#REF!</v>
      </c>
      <c r="AG94" s="125" t="e">
        <f t="shared" ca="1" si="23"/>
        <v>#REF!</v>
      </c>
      <c r="AH94" s="128" t="e">
        <f t="shared" ca="1" si="33"/>
        <v>#REF!</v>
      </c>
    </row>
    <row r="95" spans="4:34">
      <c r="D95">
        <v>88</v>
      </c>
      <c r="E95" s="6">
        <f t="shared" ca="1" si="24"/>
        <v>50100</v>
      </c>
      <c r="F95" s="7">
        <f t="shared" ca="1" si="25"/>
        <v>1</v>
      </c>
      <c r="G95" s="125">
        <f t="shared" ca="1" si="18"/>
        <v>17500</v>
      </c>
      <c r="H95" s="125">
        <f ca="1">IF(F95=1,F95*$B$10/MIN(12,'Simulador - 3º Pilar'!$E$88),0)</f>
        <v>0</v>
      </c>
      <c r="I95" s="128">
        <f t="shared" ca="1" si="19"/>
        <v>0</v>
      </c>
      <c r="J95" s="494">
        <f t="shared" ca="1" si="20"/>
        <v>0</v>
      </c>
      <c r="K95" s="126">
        <f t="shared" ca="1" si="21"/>
        <v>0</v>
      </c>
      <c r="L95" s="126">
        <f t="shared" ca="1" si="17"/>
        <v>0</v>
      </c>
      <c r="P95">
        <v>88</v>
      </c>
      <c r="Q95" s="6">
        <f t="shared" ca="1" si="26"/>
        <v>50100</v>
      </c>
      <c r="R95" s="7" t="e">
        <f t="shared" ca="1" si="27"/>
        <v>#REF!</v>
      </c>
      <c r="S95" s="125" t="e">
        <f t="shared" ca="1" si="28"/>
        <v>#REF!</v>
      </c>
      <c r="T95" s="125" t="e">
        <f t="shared" ca="1" si="22"/>
        <v>#REF!</v>
      </c>
      <c r="U95" s="128" t="e">
        <f t="shared" ca="1" si="29"/>
        <v>#REF!</v>
      </c>
      <c r="AC95">
        <v>88</v>
      </c>
      <c r="AD95" s="6">
        <f t="shared" ca="1" si="30"/>
        <v>50100</v>
      </c>
      <c r="AE95" s="7" t="e">
        <f t="shared" ca="1" si="31"/>
        <v>#REF!</v>
      </c>
      <c r="AF95" s="125" t="e">
        <f t="shared" ca="1" si="32"/>
        <v>#REF!</v>
      </c>
      <c r="AG95" s="125" t="e">
        <f t="shared" ca="1" si="23"/>
        <v>#REF!</v>
      </c>
      <c r="AH95" s="128" t="e">
        <f t="shared" ca="1" si="33"/>
        <v>#REF!</v>
      </c>
    </row>
    <row r="96" spans="4:34">
      <c r="D96">
        <v>89</v>
      </c>
      <c r="E96" s="6">
        <f t="shared" ca="1" si="24"/>
        <v>50072</v>
      </c>
      <c r="F96" s="7">
        <f t="shared" ca="1" si="25"/>
        <v>1</v>
      </c>
      <c r="G96" s="125">
        <f t="shared" ca="1" si="18"/>
        <v>17500</v>
      </c>
      <c r="H96" s="125">
        <f ca="1">IF(F96=1,F96*$B$10/MIN(12,'Simulador - 3º Pilar'!$E$88),0)</f>
        <v>0</v>
      </c>
      <c r="I96" s="128">
        <f t="shared" ca="1" si="19"/>
        <v>0</v>
      </c>
      <c r="J96" s="494">
        <f t="shared" ca="1" si="20"/>
        <v>0</v>
      </c>
      <c r="K96" s="126">
        <f t="shared" ca="1" si="21"/>
        <v>0</v>
      </c>
      <c r="L96" s="126">
        <f t="shared" ca="1" si="17"/>
        <v>0</v>
      </c>
      <c r="P96">
        <v>89</v>
      </c>
      <c r="Q96" s="6">
        <f t="shared" ca="1" si="26"/>
        <v>50072</v>
      </c>
      <c r="R96" s="7" t="e">
        <f t="shared" ca="1" si="27"/>
        <v>#REF!</v>
      </c>
      <c r="S96" s="125" t="e">
        <f t="shared" ca="1" si="28"/>
        <v>#REF!</v>
      </c>
      <c r="T96" s="125" t="e">
        <f t="shared" ca="1" si="22"/>
        <v>#REF!</v>
      </c>
      <c r="U96" s="128" t="e">
        <f t="shared" ca="1" si="29"/>
        <v>#REF!</v>
      </c>
      <c r="AC96">
        <v>89</v>
      </c>
      <c r="AD96" s="6">
        <f t="shared" ca="1" si="30"/>
        <v>50072</v>
      </c>
      <c r="AE96" s="7" t="e">
        <f t="shared" ca="1" si="31"/>
        <v>#REF!</v>
      </c>
      <c r="AF96" s="125" t="e">
        <f t="shared" ca="1" si="32"/>
        <v>#REF!</v>
      </c>
      <c r="AG96" s="125" t="e">
        <f t="shared" ca="1" si="23"/>
        <v>#REF!</v>
      </c>
      <c r="AH96" s="128" t="e">
        <f t="shared" ca="1" si="33"/>
        <v>#REF!</v>
      </c>
    </row>
    <row r="97" spans="4:34">
      <c r="D97">
        <v>90</v>
      </c>
      <c r="E97" s="6">
        <f t="shared" ca="1" si="24"/>
        <v>50041</v>
      </c>
      <c r="F97" s="7">
        <f t="shared" ca="1" si="25"/>
        <v>1</v>
      </c>
      <c r="G97" s="125">
        <f t="shared" ca="1" si="18"/>
        <v>17500</v>
      </c>
      <c r="H97" s="125">
        <f ca="1">IF(F97=1,F97*$B$10/MIN(12,'Simulador - 3º Pilar'!$E$88),0)</f>
        <v>0</v>
      </c>
      <c r="I97" s="128">
        <f t="shared" ca="1" si="19"/>
        <v>0</v>
      </c>
      <c r="J97" s="494">
        <f t="shared" ca="1" si="20"/>
        <v>0</v>
      </c>
      <c r="K97" s="126">
        <f t="shared" ca="1" si="21"/>
        <v>0</v>
      </c>
      <c r="L97" s="126">
        <f t="shared" ca="1" si="17"/>
        <v>0</v>
      </c>
      <c r="P97">
        <v>90</v>
      </c>
      <c r="Q97" s="6">
        <f t="shared" ca="1" si="26"/>
        <v>50041</v>
      </c>
      <c r="R97" s="7" t="e">
        <f t="shared" ca="1" si="27"/>
        <v>#REF!</v>
      </c>
      <c r="S97" s="125" t="e">
        <f t="shared" ca="1" si="28"/>
        <v>#REF!</v>
      </c>
      <c r="T97" s="125" t="e">
        <f t="shared" ca="1" si="22"/>
        <v>#REF!</v>
      </c>
      <c r="U97" s="128" t="e">
        <f t="shared" ca="1" si="29"/>
        <v>#REF!</v>
      </c>
      <c r="AC97">
        <v>90</v>
      </c>
      <c r="AD97" s="6">
        <f t="shared" ca="1" si="30"/>
        <v>50041</v>
      </c>
      <c r="AE97" s="7" t="e">
        <f t="shared" ca="1" si="31"/>
        <v>#REF!</v>
      </c>
      <c r="AF97" s="125" t="e">
        <f t="shared" ca="1" si="32"/>
        <v>#REF!</v>
      </c>
      <c r="AG97" s="125" t="e">
        <f t="shared" ca="1" si="23"/>
        <v>#REF!</v>
      </c>
      <c r="AH97" s="128" t="e">
        <f t="shared" ca="1" si="33"/>
        <v>#REF!</v>
      </c>
    </row>
    <row r="98" spans="4:34">
      <c r="D98">
        <v>91</v>
      </c>
      <c r="E98" s="6">
        <f t="shared" ca="1" si="24"/>
        <v>50010</v>
      </c>
      <c r="F98" s="7">
        <f t="shared" ca="1" si="25"/>
        <v>1</v>
      </c>
      <c r="G98" s="125">
        <f t="shared" ca="1" si="18"/>
        <v>17500</v>
      </c>
      <c r="H98" s="125">
        <f ca="1">IF(F98=1,F98*$B$10/MIN(12,'Simulador - 3º Pilar'!$E$88),0)</f>
        <v>0</v>
      </c>
      <c r="I98" s="128">
        <f t="shared" ca="1" si="19"/>
        <v>0</v>
      </c>
      <c r="J98" s="494">
        <f t="shared" ca="1" si="20"/>
        <v>0</v>
      </c>
      <c r="K98" s="126">
        <f t="shared" ca="1" si="21"/>
        <v>0</v>
      </c>
      <c r="L98" s="126">
        <f t="shared" ca="1" si="17"/>
        <v>0</v>
      </c>
      <c r="P98">
        <v>91</v>
      </c>
      <c r="Q98" s="6">
        <f t="shared" ca="1" si="26"/>
        <v>50010</v>
      </c>
      <c r="R98" s="7" t="e">
        <f t="shared" ca="1" si="27"/>
        <v>#REF!</v>
      </c>
      <c r="S98" s="125" t="e">
        <f t="shared" ca="1" si="28"/>
        <v>#REF!</v>
      </c>
      <c r="T98" s="125" t="e">
        <f t="shared" ca="1" si="22"/>
        <v>#REF!</v>
      </c>
      <c r="U98" s="128" t="e">
        <f t="shared" ca="1" si="29"/>
        <v>#REF!</v>
      </c>
      <c r="AC98">
        <v>91</v>
      </c>
      <c r="AD98" s="6">
        <f t="shared" ca="1" si="30"/>
        <v>50010</v>
      </c>
      <c r="AE98" s="7" t="e">
        <f t="shared" ca="1" si="31"/>
        <v>#REF!</v>
      </c>
      <c r="AF98" s="125" t="e">
        <f t="shared" ca="1" si="32"/>
        <v>#REF!</v>
      </c>
      <c r="AG98" s="125" t="e">
        <f t="shared" ca="1" si="23"/>
        <v>#REF!</v>
      </c>
      <c r="AH98" s="128" t="e">
        <f t="shared" ca="1" si="33"/>
        <v>#REF!</v>
      </c>
    </row>
    <row r="99" spans="4:34">
      <c r="D99">
        <v>92</v>
      </c>
      <c r="E99" s="6">
        <f t="shared" ca="1" si="24"/>
        <v>49980</v>
      </c>
      <c r="F99" s="7">
        <f t="shared" ca="1" si="25"/>
        <v>1</v>
      </c>
      <c r="G99" s="125">
        <f t="shared" ca="1" si="18"/>
        <v>17500</v>
      </c>
      <c r="H99" s="125">
        <f ca="1">IF(F99=1,F99*$B$10/MIN(12,'Simulador - 3º Pilar'!$E$88),0)</f>
        <v>0</v>
      </c>
      <c r="I99" s="128">
        <f t="shared" ca="1" si="19"/>
        <v>0</v>
      </c>
      <c r="J99" s="494">
        <f t="shared" ca="1" si="20"/>
        <v>0</v>
      </c>
      <c r="K99" s="126">
        <f t="shared" ca="1" si="21"/>
        <v>0</v>
      </c>
      <c r="L99" s="126">
        <f t="shared" ca="1" si="17"/>
        <v>0</v>
      </c>
      <c r="P99">
        <v>92</v>
      </c>
      <c r="Q99" s="6">
        <f t="shared" ca="1" si="26"/>
        <v>49980</v>
      </c>
      <c r="R99" s="7" t="e">
        <f t="shared" ca="1" si="27"/>
        <v>#REF!</v>
      </c>
      <c r="S99" s="125" t="e">
        <f t="shared" ca="1" si="28"/>
        <v>#REF!</v>
      </c>
      <c r="T99" s="125" t="e">
        <f t="shared" ca="1" si="22"/>
        <v>#REF!</v>
      </c>
      <c r="U99" s="128" t="e">
        <f t="shared" ca="1" si="29"/>
        <v>#REF!</v>
      </c>
      <c r="AC99">
        <v>92</v>
      </c>
      <c r="AD99" s="6">
        <f t="shared" ca="1" si="30"/>
        <v>49980</v>
      </c>
      <c r="AE99" s="7" t="e">
        <f t="shared" ca="1" si="31"/>
        <v>#REF!</v>
      </c>
      <c r="AF99" s="125" t="e">
        <f t="shared" ca="1" si="32"/>
        <v>#REF!</v>
      </c>
      <c r="AG99" s="125" t="e">
        <f t="shared" ca="1" si="23"/>
        <v>#REF!</v>
      </c>
      <c r="AH99" s="128" t="e">
        <f t="shared" ca="1" si="33"/>
        <v>#REF!</v>
      </c>
    </row>
    <row r="100" spans="4:34">
      <c r="D100">
        <v>93</v>
      </c>
      <c r="E100" s="6">
        <f t="shared" ca="1" si="24"/>
        <v>49949</v>
      </c>
      <c r="F100" s="7">
        <f t="shared" ca="1" si="25"/>
        <v>1</v>
      </c>
      <c r="G100" s="125">
        <f t="shared" ca="1" si="18"/>
        <v>17500</v>
      </c>
      <c r="H100" s="125">
        <f ca="1">IF(F100=1,F100*$B$10/MIN(12,'Simulador - 3º Pilar'!$E$88),0)</f>
        <v>0</v>
      </c>
      <c r="I100" s="128">
        <f t="shared" ca="1" si="19"/>
        <v>0</v>
      </c>
      <c r="J100" s="494">
        <f t="shared" ca="1" si="20"/>
        <v>0</v>
      </c>
      <c r="K100" s="126">
        <f t="shared" ca="1" si="21"/>
        <v>0</v>
      </c>
      <c r="L100" s="126">
        <f t="shared" ca="1" si="17"/>
        <v>0</v>
      </c>
      <c r="P100">
        <v>93</v>
      </c>
      <c r="Q100" s="6">
        <f t="shared" ca="1" si="26"/>
        <v>49949</v>
      </c>
      <c r="R100" s="7" t="e">
        <f t="shared" ca="1" si="27"/>
        <v>#REF!</v>
      </c>
      <c r="S100" s="125" t="e">
        <f t="shared" ca="1" si="28"/>
        <v>#REF!</v>
      </c>
      <c r="T100" s="125" t="e">
        <f t="shared" ca="1" si="22"/>
        <v>#REF!</v>
      </c>
      <c r="U100" s="128" t="e">
        <f t="shared" ca="1" si="29"/>
        <v>#REF!</v>
      </c>
      <c r="AC100">
        <v>93</v>
      </c>
      <c r="AD100" s="6">
        <f t="shared" ca="1" si="30"/>
        <v>49949</v>
      </c>
      <c r="AE100" s="7" t="e">
        <f t="shared" ca="1" si="31"/>
        <v>#REF!</v>
      </c>
      <c r="AF100" s="125" t="e">
        <f t="shared" ca="1" si="32"/>
        <v>#REF!</v>
      </c>
      <c r="AG100" s="125" t="e">
        <f t="shared" ca="1" si="23"/>
        <v>#REF!</v>
      </c>
      <c r="AH100" s="128" t="e">
        <f t="shared" ca="1" si="33"/>
        <v>#REF!</v>
      </c>
    </row>
    <row r="101" spans="4:34">
      <c r="D101">
        <v>94</v>
      </c>
      <c r="E101" s="6">
        <f t="shared" ca="1" si="24"/>
        <v>49919</v>
      </c>
      <c r="F101" s="7">
        <f t="shared" ca="1" si="25"/>
        <v>1</v>
      </c>
      <c r="G101" s="125">
        <f t="shared" ca="1" si="18"/>
        <v>17500</v>
      </c>
      <c r="H101" s="125">
        <f ca="1">IF(F101=1,F101*$B$10/MIN(12,'Simulador - 3º Pilar'!$E$88),0)</f>
        <v>0</v>
      </c>
      <c r="I101" s="128">
        <f t="shared" ca="1" si="19"/>
        <v>0</v>
      </c>
      <c r="J101" s="494">
        <f t="shared" ca="1" si="20"/>
        <v>0</v>
      </c>
      <c r="K101" s="126">
        <f t="shared" ca="1" si="21"/>
        <v>0</v>
      </c>
      <c r="L101" s="126">
        <f t="shared" ca="1" si="17"/>
        <v>0</v>
      </c>
      <c r="P101">
        <v>94</v>
      </c>
      <c r="Q101" s="6">
        <f t="shared" ca="1" si="26"/>
        <v>49919</v>
      </c>
      <c r="R101" s="7" t="e">
        <f t="shared" ca="1" si="27"/>
        <v>#REF!</v>
      </c>
      <c r="S101" s="125" t="e">
        <f t="shared" ca="1" si="28"/>
        <v>#REF!</v>
      </c>
      <c r="T101" s="125" t="e">
        <f t="shared" ca="1" si="22"/>
        <v>#REF!</v>
      </c>
      <c r="U101" s="128" t="e">
        <f t="shared" ca="1" si="29"/>
        <v>#REF!</v>
      </c>
      <c r="AC101">
        <v>94</v>
      </c>
      <c r="AD101" s="6">
        <f t="shared" ca="1" si="30"/>
        <v>49919</v>
      </c>
      <c r="AE101" s="7" t="e">
        <f t="shared" ca="1" si="31"/>
        <v>#REF!</v>
      </c>
      <c r="AF101" s="125" t="e">
        <f t="shared" ca="1" si="32"/>
        <v>#REF!</v>
      </c>
      <c r="AG101" s="125" t="e">
        <f t="shared" ca="1" si="23"/>
        <v>#REF!</v>
      </c>
      <c r="AH101" s="128" t="e">
        <f t="shared" ca="1" si="33"/>
        <v>#REF!</v>
      </c>
    </row>
    <row r="102" spans="4:34">
      <c r="D102">
        <v>95</v>
      </c>
      <c r="E102" s="6">
        <f t="shared" ca="1" si="24"/>
        <v>49888</v>
      </c>
      <c r="F102" s="7">
        <f t="shared" ca="1" si="25"/>
        <v>1</v>
      </c>
      <c r="G102" s="125">
        <f t="shared" ca="1" si="18"/>
        <v>17500</v>
      </c>
      <c r="H102" s="125">
        <f ca="1">IF(F102=1,F102*$B$10/MIN(12,'Simulador - 3º Pilar'!$E$88),0)</f>
        <v>0</v>
      </c>
      <c r="I102" s="128">
        <f t="shared" ca="1" si="19"/>
        <v>0</v>
      </c>
      <c r="J102" s="494">
        <f t="shared" ca="1" si="20"/>
        <v>0</v>
      </c>
      <c r="K102" s="126">
        <f t="shared" ca="1" si="21"/>
        <v>0</v>
      </c>
      <c r="L102" s="126">
        <f t="shared" ca="1" si="17"/>
        <v>0</v>
      </c>
      <c r="P102">
        <v>95</v>
      </c>
      <c r="Q102" s="6">
        <f t="shared" ca="1" si="26"/>
        <v>49888</v>
      </c>
      <c r="R102" s="7" t="e">
        <f t="shared" ca="1" si="27"/>
        <v>#REF!</v>
      </c>
      <c r="S102" s="125" t="e">
        <f t="shared" ca="1" si="28"/>
        <v>#REF!</v>
      </c>
      <c r="T102" s="125" t="e">
        <f t="shared" ca="1" si="22"/>
        <v>#REF!</v>
      </c>
      <c r="U102" s="128" t="e">
        <f t="shared" ca="1" si="29"/>
        <v>#REF!</v>
      </c>
      <c r="AC102">
        <v>95</v>
      </c>
      <c r="AD102" s="6">
        <f t="shared" ca="1" si="30"/>
        <v>49888</v>
      </c>
      <c r="AE102" s="7" t="e">
        <f t="shared" ca="1" si="31"/>
        <v>#REF!</v>
      </c>
      <c r="AF102" s="125" t="e">
        <f t="shared" ca="1" si="32"/>
        <v>#REF!</v>
      </c>
      <c r="AG102" s="125" t="e">
        <f t="shared" ca="1" si="23"/>
        <v>#REF!</v>
      </c>
      <c r="AH102" s="128" t="e">
        <f t="shared" ca="1" si="33"/>
        <v>#REF!</v>
      </c>
    </row>
    <row r="103" spans="4:34">
      <c r="D103">
        <v>96</v>
      </c>
      <c r="E103" s="6">
        <f t="shared" ca="1" si="24"/>
        <v>49857</v>
      </c>
      <c r="F103" s="7">
        <f t="shared" ca="1" si="25"/>
        <v>1</v>
      </c>
      <c r="G103" s="125">
        <f t="shared" ca="1" si="18"/>
        <v>17500</v>
      </c>
      <c r="H103" s="125">
        <f ca="1">IF(F103=1,F103*$B$10/MIN(12,'Simulador - 3º Pilar'!$E$88),0)</f>
        <v>0</v>
      </c>
      <c r="I103" s="128">
        <f t="shared" ca="1" si="19"/>
        <v>0</v>
      </c>
      <c r="J103" s="494">
        <f t="shared" ca="1" si="20"/>
        <v>0</v>
      </c>
      <c r="K103" s="126">
        <f t="shared" ca="1" si="21"/>
        <v>0</v>
      </c>
      <c r="L103" s="126">
        <f t="shared" ca="1" si="17"/>
        <v>0</v>
      </c>
      <c r="P103">
        <v>96</v>
      </c>
      <c r="Q103" s="6">
        <f t="shared" ca="1" si="26"/>
        <v>49857</v>
      </c>
      <c r="R103" s="7" t="e">
        <f t="shared" ca="1" si="27"/>
        <v>#REF!</v>
      </c>
      <c r="S103" s="125" t="e">
        <f t="shared" ca="1" si="28"/>
        <v>#REF!</v>
      </c>
      <c r="T103" s="125" t="e">
        <f t="shared" ca="1" si="22"/>
        <v>#REF!</v>
      </c>
      <c r="U103" s="128" t="e">
        <f t="shared" ca="1" si="29"/>
        <v>#REF!</v>
      </c>
      <c r="AC103">
        <v>96</v>
      </c>
      <c r="AD103" s="6">
        <f t="shared" ca="1" si="30"/>
        <v>49857</v>
      </c>
      <c r="AE103" s="7" t="e">
        <f t="shared" ca="1" si="31"/>
        <v>#REF!</v>
      </c>
      <c r="AF103" s="125" t="e">
        <f t="shared" ca="1" si="32"/>
        <v>#REF!</v>
      </c>
      <c r="AG103" s="125" t="e">
        <f t="shared" ca="1" si="23"/>
        <v>#REF!</v>
      </c>
      <c r="AH103" s="128" t="e">
        <f t="shared" ca="1" si="33"/>
        <v>#REF!</v>
      </c>
    </row>
    <row r="104" spans="4:34">
      <c r="D104">
        <v>97</v>
      </c>
      <c r="E104" s="6">
        <f t="shared" ca="1" si="24"/>
        <v>49827</v>
      </c>
      <c r="F104" s="7">
        <f t="shared" ca="1" si="25"/>
        <v>1</v>
      </c>
      <c r="G104" s="125">
        <f t="shared" ca="1" si="18"/>
        <v>17500</v>
      </c>
      <c r="H104" s="125">
        <f ca="1">IF(F104=1,F104*$B$10/MIN(12,'Simulador - 3º Pilar'!$E$88),0)</f>
        <v>0</v>
      </c>
      <c r="I104" s="128">
        <f t="shared" ca="1" si="19"/>
        <v>0</v>
      </c>
      <c r="J104" s="494">
        <f t="shared" ca="1" si="20"/>
        <v>0</v>
      </c>
      <c r="K104" s="126">
        <f t="shared" ca="1" si="21"/>
        <v>0</v>
      </c>
      <c r="L104" s="126">
        <f t="shared" ca="1" si="17"/>
        <v>0</v>
      </c>
      <c r="P104">
        <v>97</v>
      </c>
      <c r="Q104" s="6">
        <f t="shared" ca="1" si="26"/>
        <v>49827</v>
      </c>
      <c r="R104" s="7" t="e">
        <f t="shared" ca="1" si="27"/>
        <v>#REF!</v>
      </c>
      <c r="S104" s="125" t="e">
        <f t="shared" ca="1" si="28"/>
        <v>#REF!</v>
      </c>
      <c r="T104" s="125" t="e">
        <f t="shared" ca="1" si="22"/>
        <v>#REF!</v>
      </c>
      <c r="U104" s="128" t="e">
        <f t="shared" ca="1" si="29"/>
        <v>#REF!</v>
      </c>
      <c r="AC104">
        <v>97</v>
      </c>
      <c r="AD104" s="6">
        <f t="shared" ca="1" si="30"/>
        <v>49827</v>
      </c>
      <c r="AE104" s="7" t="e">
        <f t="shared" ca="1" si="31"/>
        <v>#REF!</v>
      </c>
      <c r="AF104" s="125" t="e">
        <f t="shared" ca="1" si="32"/>
        <v>#REF!</v>
      </c>
      <c r="AG104" s="125" t="e">
        <f t="shared" ca="1" si="23"/>
        <v>#REF!</v>
      </c>
      <c r="AH104" s="128" t="e">
        <f t="shared" ca="1" si="33"/>
        <v>#REF!</v>
      </c>
    </row>
    <row r="105" spans="4:34">
      <c r="D105">
        <v>98</v>
      </c>
      <c r="E105" s="6">
        <f t="shared" ca="1" si="24"/>
        <v>49796</v>
      </c>
      <c r="F105" s="7">
        <f t="shared" ca="1" si="25"/>
        <v>1</v>
      </c>
      <c r="G105" s="125">
        <f t="shared" ca="1" si="18"/>
        <v>17500</v>
      </c>
      <c r="H105" s="125">
        <f ca="1">IF(F105=1,F105*$B$10/MIN(12,'Simulador - 3º Pilar'!$E$88),0)</f>
        <v>0</v>
      </c>
      <c r="I105" s="128">
        <f t="shared" ca="1" si="19"/>
        <v>0</v>
      </c>
      <c r="J105" s="494">
        <f t="shared" ca="1" si="20"/>
        <v>0</v>
      </c>
      <c r="K105" s="126">
        <f t="shared" ca="1" si="21"/>
        <v>0</v>
      </c>
      <c r="L105" s="126">
        <f t="shared" ca="1" si="17"/>
        <v>0</v>
      </c>
      <c r="P105">
        <v>98</v>
      </c>
      <c r="Q105" s="6">
        <f t="shared" ca="1" si="26"/>
        <v>49796</v>
      </c>
      <c r="R105" s="7" t="e">
        <f t="shared" ca="1" si="27"/>
        <v>#REF!</v>
      </c>
      <c r="S105" s="125" t="e">
        <f t="shared" ca="1" si="28"/>
        <v>#REF!</v>
      </c>
      <c r="T105" s="125" t="e">
        <f t="shared" ca="1" si="22"/>
        <v>#REF!</v>
      </c>
      <c r="U105" s="128" t="e">
        <f t="shared" ca="1" si="29"/>
        <v>#REF!</v>
      </c>
      <c r="AC105">
        <v>98</v>
      </c>
      <c r="AD105" s="6">
        <f t="shared" ca="1" si="30"/>
        <v>49796</v>
      </c>
      <c r="AE105" s="7" t="e">
        <f t="shared" ca="1" si="31"/>
        <v>#REF!</v>
      </c>
      <c r="AF105" s="125" t="e">
        <f t="shared" ca="1" si="32"/>
        <v>#REF!</v>
      </c>
      <c r="AG105" s="125" t="e">
        <f t="shared" ca="1" si="23"/>
        <v>#REF!</v>
      </c>
      <c r="AH105" s="128" t="e">
        <f t="shared" ca="1" si="33"/>
        <v>#REF!</v>
      </c>
    </row>
    <row r="106" spans="4:34">
      <c r="D106">
        <v>99</v>
      </c>
      <c r="E106" s="6">
        <f t="shared" ca="1" si="24"/>
        <v>49766</v>
      </c>
      <c r="F106" s="7">
        <f t="shared" ca="1" si="25"/>
        <v>1</v>
      </c>
      <c r="G106" s="125">
        <f t="shared" ca="1" si="18"/>
        <v>17500</v>
      </c>
      <c r="H106" s="125">
        <f ca="1">IF(F106=1,F106*$B$10/MIN(12,'Simulador - 3º Pilar'!$E$88),0)</f>
        <v>0</v>
      </c>
      <c r="I106" s="128">
        <f t="shared" ca="1" si="19"/>
        <v>0</v>
      </c>
      <c r="J106" s="494">
        <f t="shared" ca="1" si="20"/>
        <v>0</v>
      </c>
      <c r="K106" s="126">
        <f t="shared" ca="1" si="21"/>
        <v>0</v>
      </c>
      <c r="L106" s="126">
        <f t="shared" ca="1" si="17"/>
        <v>0</v>
      </c>
      <c r="P106">
        <v>99</v>
      </c>
      <c r="Q106" s="6">
        <f t="shared" ca="1" si="26"/>
        <v>49766</v>
      </c>
      <c r="R106" s="7" t="e">
        <f t="shared" ca="1" si="27"/>
        <v>#REF!</v>
      </c>
      <c r="S106" s="125" t="e">
        <f t="shared" ca="1" si="28"/>
        <v>#REF!</v>
      </c>
      <c r="T106" s="125" t="e">
        <f t="shared" ca="1" si="22"/>
        <v>#REF!</v>
      </c>
      <c r="U106" s="128" t="e">
        <f t="shared" ca="1" si="29"/>
        <v>#REF!</v>
      </c>
      <c r="AC106">
        <v>99</v>
      </c>
      <c r="AD106" s="6">
        <f t="shared" ca="1" si="30"/>
        <v>49766</v>
      </c>
      <c r="AE106" s="7" t="e">
        <f t="shared" ca="1" si="31"/>
        <v>#REF!</v>
      </c>
      <c r="AF106" s="125" t="e">
        <f t="shared" ca="1" si="32"/>
        <v>#REF!</v>
      </c>
      <c r="AG106" s="125" t="e">
        <f t="shared" ca="1" si="23"/>
        <v>#REF!</v>
      </c>
      <c r="AH106" s="128" t="e">
        <f t="shared" ca="1" si="33"/>
        <v>#REF!</v>
      </c>
    </row>
    <row r="107" spans="4:34">
      <c r="D107">
        <v>100</v>
      </c>
      <c r="E107" s="6">
        <f t="shared" ca="1" si="24"/>
        <v>49735</v>
      </c>
      <c r="F107" s="7">
        <f t="shared" ca="1" si="25"/>
        <v>1</v>
      </c>
      <c r="G107" s="125">
        <f t="shared" ca="1" si="18"/>
        <v>17500</v>
      </c>
      <c r="H107" s="125">
        <f ca="1">IF(F107=1,F107*$B$10/MIN(12,'Simulador - 3º Pilar'!$E$88),0)</f>
        <v>0</v>
      </c>
      <c r="I107" s="128">
        <f t="shared" ca="1" si="19"/>
        <v>0</v>
      </c>
      <c r="J107" s="494">
        <f t="shared" ca="1" si="20"/>
        <v>0</v>
      </c>
      <c r="K107" s="126">
        <f t="shared" ca="1" si="21"/>
        <v>0</v>
      </c>
      <c r="L107" s="126">
        <f t="shared" ca="1" si="17"/>
        <v>0</v>
      </c>
      <c r="P107">
        <v>100</v>
      </c>
      <c r="Q107" s="6">
        <f t="shared" ca="1" si="26"/>
        <v>49735</v>
      </c>
      <c r="R107" s="7" t="e">
        <f t="shared" ca="1" si="27"/>
        <v>#REF!</v>
      </c>
      <c r="S107" s="125" t="e">
        <f t="shared" ca="1" si="28"/>
        <v>#REF!</v>
      </c>
      <c r="T107" s="125" t="e">
        <f t="shared" ca="1" si="22"/>
        <v>#REF!</v>
      </c>
      <c r="U107" s="128" t="e">
        <f t="shared" ca="1" si="29"/>
        <v>#REF!</v>
      </c>
      <c r="AC107">
        <v>100</v>
      </c>
      <c r="AD107" s="6">
        <f t="shared" ca="1" si="30"/>
        <v>49735</v>
      </c>
      <c r="AE107" s="7" t="e">
        <f t="shared" ca="1" si="31"/>
        <v>#REF!</v>
      </c>
      <c r="AF107" s="125" t="e">
        <f t="shared" ca="1" si="32"/>
        <v>#REF!</v>
      </c>
      <c r="AG107" s="125" t="e">
        <f t="shared" ca="1" si="23"/>
        <v>#REF!</v>
      </c>
      <c r="AH107" s="128" t="e">
        <f t="shared" ca="1" si="33"/>
        <v>#REF!</v>
      </c>
    </row>
    <row r="108" spans="4:34">
      <c r="D108">
        <v>101</v>
      </c>
      <c r="E108" s="6">
        <f t="shared" ca="1" si="24"/>
        <v>49706</v>
      </c>
      <c r="F108" s="7">
        <f t="shared" ca="1" si="25"/>
        <v>1</v>
      </c>
      <c r="G108" s="125">
        <f t="shared" ca="1" si="18"/>
        <v>17500</v>
      </c>
      <c r="H108" s="125">
        <f ca="1">IF(F108=1,F108*$B$10/MIN(12,'Simulador - 3º Pilar'!$E$88),0)</f>
        <v>0</v>
      </c>
      <c r="I108" s="128">
        <f t="shared" ca="1" si="19"/>
        <v>0</v>
      </c>
      <c r="J108" s="494">
        <f t="shared" ca="1" si="20"/>
        <v>0</v>
      </c>
      <c r="K108" s="126">
        <f t="shared" ca="1" si="21"/>
        <v>0</v>
      </c>
      <c r="L108" s="126">
        <f t="shared" ca="1" si="17"/>
        <v>0</v>
      </c>
      <c r="P108">
        <v>101</v>
      </c>
      <c r="Q108" s="6">
        <f t="shared" ca="1" si="26"/>
        <v>49706</v>
      </c>
      <c r="R108" s="7" t="e">
        <f t="shared" ca="1" si="27"/>
        <v>#REF!</v>
      </c>
      <c r="S108" s="125" t="e">
        <f t="shared" ca="1" si="28"/>
        <v>#REF!</v>
      </c>
      <c r="T108" s="125" t="e">
        <f t="shared" ca="1" si="22"/>
        <v>#REF!</v>
      </c>
      <c r="U108" s="128" t="e">
        <f t="shared" ca="1" si="29"/>
        <v>#REF!</v>
      </c>
      <c r="AC108">
        <v>101</v>
      </c>
      <c r="AD108" s="6">
        <f t="shared" ca="1" si="30"/>
        <v>49706</v>
      </c>
      <c r="AE108" s="7" t="e">
        <f t="shared" ca="1" si="31"/>
        <v>#REF!</v>
      </c>
      <c r="AF108" s="125" t="e">
        <f t="shared" ca="1" si="32"/>
        <v>#REF!</v>
      </c>
      <c r="AG108" s="125" t="e">
        <f t="shared" ca="1" si="23"/>
        <v>#REF!</v>
      </c>
      <c r="AH108" s="128" t="e">
        <f t="shared" ca="1" si="33"/>
        <v>#REF!</v>
      </c>
    </row>
    <row r="109" spans="4:34">
      <c r="D109">
        <v>102</v>
      </c>
      <c r="E109" s="6">
        <f t="shared" ca="1" si="24"/>
        <v>49675</v>
      </c>
      <c r="F109" s="7">
        <f t="shared" ca="1" si="25"/>
        <v>1</v>
      </c>
      <c r="G109" s="125">
        <f t="shared" ca="1" si="18"/>
        <v>17500</v>
      </c>
      <c r="H109" s="125">
        <f ca="1">IF(F109=1,F109*$B$10/MIN(12,'Simulador - 3º Pilar'!$E$88),0)</f>
        <v>0</v>
      </c>
      <c r="I109" s="128">
        <f t="shared" ca="1" si="19"/>
        <v>0</v>
      </c>
      <c r="J109" s="494">
        <f t="shared" ca="1" si="20"/>
        <v>0</v>
      </c>
      <c r="K109" s="126">
        <f t="shared" ca="1" si="21"/>
        <v>0</v>
      </c>
      <c r="L109" s="126">
        <f t="shared" ca="1" si="17"/>
        <v>0</v>
      </c>
      <c r="P109">
        <v>102</v>
      </c>
      <c r="Q109" s="6">
        <f t="shared" ca="1" si="26"/>
        <v>49675</v>
      </c>
      <c r="R109" s="7" t="e">
        <f t="shared" ca="1" si="27"/>
        <v>#REF!</v>
      </c>
      <c r="S109" s="125" t="e">
        <f t="shared" ca="1" si="28"/>
        <v>#REF!</v>
      </c>
      <c r="T109" s="125" t="e">
        <f t="shared" ca="1" si="22"/>
        <v>#REF!</v>
      </c>
      <c r="U109" s="128" t="e">
        <f t="shared" ca="1" si="29"/>
        <v>#REF!</v>
      </c>
      <c r="AC109">
        <v>102</v>
      </c>
      <c r="AD109" s="6">
        <f t="shared" ca="1" si="30"/>
        <v>49675</v>
      </c>
      <c r="AE109" s="7" t="e">
        <f t="shared" ca="1" si="31"/>
        <v>#REF!</v>
      </c>
      <c r="AF109" s="125" t="e">
        <f t="shared" ca="1" si="32"/>
        <v>#REF!</v>
      </c>
      <c r="AG109" s="125" t="e">
        <f t="shared" ca="1" si="23"/>
        <v>#REF!</v>
      </c>
      <c r="AH109" s="128" t="e">
        <f t="shared" ca="1" si="33"/>
        <v>#REF!</v>
      </c>
    </row>
    <row r="110" spans="4:34">
      <c r="D110">
        <v>103</v>
      </c>
      <c r="E110" s="6">
        <f t="shared" ca="1" si="24"/>
        <v>49644</v>
      </c>
      <c r="F110" s="7">
        <f t="shared" ca="1" si="25"/>
        <v>1</v>
      </c>
      <c r="G110" s="125">
        <f t="shared" ca="1" si="18"/>
        <v>17500</v>
      </c>
      <c r="H110" s="125">
        <f ca="1">IF(F110=1,F110*$B$10/MIN(12,'Simulador - 3º Pilar'!$E$88),0)</f>
        <v>0</v>
      </c>
      <c r="I110" s="128">
        <f t="shared" ca="1" si="19"/>
        <v>0</v>
      </c>
      <c r="J110" s="494">
        <f t="shared" ca="1" si="20"/>
        <v>0</v>
      </c>
      <c r="K110" s="126">
        <f t="shared" ca="1" si="21"/>
        <v>0</v>
      </c>
      <c r="L110" s="126">
        <f t="shared" ca="1" si="17"/>
        <v>0</v>
      </c>
      <c r="P110">
        <v>103</v>
      </c>
      <c r="Q110" s="6">
        <f t="shared" ca="1" si="26"/>
        <v>49644</v>
      </c>
      <c r="R110" s="7" t="e">
        <f t="shared" ca="1" si="27"/>
        <v>#REF!</v>
      </c>
      <c r="S110" s="125" t="e">
        <f t="shared" ca="1" si="28"/>
        <v>#REF!</v>
      </c>
      <c r="T110" s="125" t="e">
        <f t="shared" ca="1" si="22"/>
        <v>#REF!</v>
      </c>
      <c r="U110" s="128" t="e">
        <f t="shared" ca="1" si="29"/>
        <v>#REF!</v>
      </c>
      <c r="AC110">
        <v>103</v>
      </c>
      <c r="AD110" s="6">
        <f t="shared" ca="1" si="30"/>
        <v>49644</v>
      </c>
      <c r="AE110" s="7" t="e">
        <f t="shared" ca="1" si="31"/>
        <v>#REF!</v>
      </c>
      <c r="AF110" s="125" t="e">
        <f t="shared" ca="1" si="32"/>
        <v>#REF!</v>
      </c>
      <c r="AG110" s="125" t="e">
        <f t="shared" ca="1" si="23"/>
        <v>#REF!</v>
      </c>
      <c r="AH110" s="128" t="e">
        <f t="shared" ca="1" si="33"/>
        <v>#REF!</v>
      </c>
    </row>
    <row r="111" spans="4:34">
      <c r="D111">
        <v>104</v>
      </c>
      <c r="E111" s="6">
        <f t="shared" ca="1" si="24"/>
        <v>49614</v>
      </c>
      <c r="F111" s="7">
        <f t="shared" ca="1" si="25"/>
        <v>1</v>
      </c>
      <c r="G111" s="125">
        <f t="shared" ca="1" si="18"/>
        <v>17500</v>
      </c>
      <c r="H111" s="125">
        <f ca="1">IF(F111=1,F111*$B$10/MIN(12,'Simulador - 3º Pilar'!$E$88),0)</f>
        <v>0</v>
      </c>
      <c r="I111" s="128">
        <f t="shared" ca="1" si="19"/>
        <v>0</v>
      </c>
      <c r="J111" s="494">
        <f t="shared" ca="1" si="20"/>
        <v>0</v>
      </c>
      <c r="K111" s="126">
        <f t="shared" ca="1" si="21"/>
        <v>0</v>
      </c>
      <c r="L111" s="126">
        <f t="shared" ca="1" si="17"/>
        <v>0</v>
      </c>
      <c r="P111">
        <v>104</v>
      </c>
      <c r="Q111" s="6">
        <f t="shared" ca="1" si="26"/>
        <v>49614</v>
      </c>
      <c r="R111" s="7" t="e">
        <f t="shared" ca="1" si="27"/>
        <v>#REF!</v>
      </c>
      <c r="S111" s="125" t="e">
        <f t="shared" ca="1" si="28"/>
        <v>#REF!</v>
      </c>
      <c r="T111" s="125" t="e">
        <f t="shared" ca="1" si="22"/>
        <v>#REF!</v>
      </c>
      <c r="U111" s="128" t="e">
        <f t="shared" ca="1" si="29"/>
        <v>#REF!</v>
      </c>
      <c r="AC111">
        <v>104</v>
      </c>
      <c r="AD111" s="6">
        <f t="shared" ca="1" si="30"/>
        <v>49614</v>
      </c>
      <c r="AE111" s="7" t="e">
        <f t="shared" ca="1" si="31"/>
        <v>#REF!</v>
      </c>
      <c r="AF111" s="125" t="e">
        <f t="shared" ca="1" si="32"/>
        <v>#REF!</v>
      </c>
      <c r="AG111" s="125" t="e">
        <f t="shared" ca="1" si="23"/>
        <v>#REF!</v>
      </c>
      <c r="AH111" s="128" t="e">
        <f t="shared" ca="1" si="33"/>
        <v>#REF!</v>
      </c>
    </row>
    <row r="112" spans="4:34">
      <c r="D112">
        <v>105</v>
      </c>
      <c r="E112" s="6">
        <f t="shared" ca="1" si="24"/>
        <v>49583</v>
      </c>
      <c r="F112" s="7">
        <f t="shared" ca="1" si="25"/>
        <v>1</v>
      </c>
      <c r="G112" s="125">
        <f t="shared" ca="1" si="18"/>
        <v>17500</v>
      </c>
      <c r="H112" s="125">
        <f ca="1">IF(F112=1,F112*$B$10/MIN(12,'Simulador - 3º Pilar'!$E$88),0)</f>
        <v>0</v>
      </c>
      <c r="I112" s="128">
        <f t="shared" ca="1" si="19"/>
        <v>0</v>
      </c>
      <c r="J112" s="494">
        <f t="shared" ca="1" si="20"/>
        <v>0</v>
      </c>
      <c r="K112" s="126">
        <f t="shared" ca="1" si="21"/>
        <v>0</v>
      </c>
      <c r="L112" s="126">
        <f t="shared" ca="1" si="17"/>
        <v>0</v>
      </c>
      <c r="P112">
        <v>105</v>
      </c>
      <c r="Q112" s="6">
        <f t="shared" ca="1" si="26"/>
        <v>49583</v>
      </c>
      <c r="R112" s="7" t="e">
        <f t="shared" ca="1" si="27"/>
        <v>#REF!</v>
      </c>
      <c r="S112" s="125" t="e">
        <f t="shared" ca="1" si="28"/>
        <v>#REF!</v>
      </c>
      <c r="T112" s="125" t="e">
        <f t="shared" ca="1" si="22"/>
        <v>#REF!</v>
      </c>
      <c r="U112" s="128" t="e">
        <f t="shared" ca="1" si="29"/>
        <v>#REF!</v>
      </c>
      <c r="AC112">
        <v>105</v>
      </c>
      <c r="AD112" s="6">
        <f t="shared" ca="1" si="30"/>
        <v>49583</v>
      </c>
      <c r="AE112" s="7" t="e">
        <f t="shared" ca="1" si="31"/>
        <v>#REF!</v>
      </c>
      <c r="AF112" s="125" t="e">
        <f t="shared" ca="1" si="32"/>
        <v>#REF!</v>
      </c>
      <c r="AG112" s="125" t="e">
        <f t="shared" ca="1" si="23"/>
        <v>#REF!</v>
      </c>
      <c r="AH112" s="128" t="e">
        <f t="shared" ca="1" si="33"/>
        <v>#REF!</v>
      </c>
    </row>
    <row r="113" spans="4:34">
      <c r="D113">
        <v>106</v>
      </c>
      <c r="E113" s="6">
        <f t="shared" ca="1" si="24"/>
        <v>49553</v>
      </c>
      <c r="F113" s="7">
        <f t="shared" ca="1" si="25"/>
        <v>1</v>
      </c>
      <c r="G113" s="125">
        <f t="shared" ca="1" si="18"/>
        <v>17500</v>
      </c>
      <c r="H113" s="125">
        <f ca="1">IF(F113=1,F113*$B$10/MIN(12,'Simulador - 3º Pilar'!$E$88),0)</f>
        <v>0</v>
      </c>
      <c r="I113" s="128">
        <f t="shared" ca="1" si="19"/>
        <v>0</v>
      </c>
      <c r="J113" s="494">
        <f t="shared" ca="1" si="20"/>
        <v>0</v>
      </c>
      <c r="K113" s="126">
        <f t="shared" ca="1" si="21"/>
        <v>0</v>
      </c>
      <c r="L113" s="126">
        <f t="shared" ca="1" si="17"/>
        <v>0</v>
      </c>
      <c r="P113">
        <v>106</v>
      </c>
      <c r="Q113" s="6">
        <f t="shared" ca="1" si="26"/>
        <v>49553</v>
      </c>
      <c r="R113" s="7" t="e">
        <f t="shared" ca="1" si="27"/>
        <v>#REF!</v>
      </c>
      <c r="S113" s="125" t="e">
        <f t="shared" ca="1" si="28"/>
        <v>#REF!</v>
      </c>
      <c r="T113" s="125" t="e">
        <f t="shared" ca="1" si="22"/>
        <v>#REF!</v>
      </c>
      <c r="U113" s="128" t="e">
        <f t="shared" ca="1" si="29"/>
        <v>#REF!</v>
      </c>
      <c r="AC113">
        <v>106</v>
      </c>
      <c r="AD113" s="6">
        <f t="shared" ca="1" si="30"/>
        <v>49553</v>
      </c>
      <c r="AE113" s="7" t="e">
        <f t="shared" ca="1" si="31"/>
        <v>#REF!</v>
      </c>
      <c r="AF113" s="125" t="e">
        <f t="shared" ca="1" si="32"/>
        <v>#REF!</v>
      </c>
      <c r="AG113" s="125" t="e">
        <f t="shared" ca="1" si="23"/>
        <v>#REF!</v>
      </c>
      <c r="AH113" s="128" t="e">
        <f t="shared" ca="1" si="33"/>
        <v>#REF!</v>
      </c>
    </row>
    <row r="114" spans="4:34">
      <c r="D114">
        <v>107</v>
      </c>
      <c r="E114" s="6">
        <f t="shared" ca="1" si="24"/>
        <v>49522</v>
      </c>
      <c r="F114" s="7">
        <f t="shared" ca="1" si="25"/>
        <v>1</v>
      </c>
      <c r="G114" s="125">
        <f t="shared" ca="1" si="18"/>
        <v>17500</v>
      </c>
      <c r="H114" s="125">
        <f ca="1">IF(F114=1,F114*$B$10/MIN(12,'Simulador - 3º Pilar'!$E$88),0)</f>
        <v>0</v>
      </c>
      <c r="I114" s="128">
        <f t="shared" ca="1" si="19"/>
        <v>0</v>
      </c>
      <c r="J114" s="494">
        <f t="shared" ca="1" si="20"/>
        <v>0</v>
      </c>
      <c r="K114" s="126">
        <f t="shared" ca="1" si="21"/>
        <v>0</v>
      </c>
      <c r="L114" s="126">
        <f t="shared" ca="1" si="17"/>
        <v>0</v>
      </c>
      <c r="P114">
        <v>107</v>
      </c>
      <c r="Q114" s="6">
        <f t="shared" ca="1" si="26"/>
        <v>49522</v>
      </c>
      <c r="R114" s="7" t="e">
        <f t="shared" ca="1" si="27"/>
        <v>#REF!</v>
      </c>
      <c r="S114" s="125" t="e">
        <f t="shared" ca="1" si="28"/>
        <v>#REF!</v>
      </c>
      <c r="T114" s="125" t="e">
        <f t="shared" ca="1" si="22"/>
        <v>#REF!</v>
      </c>
      <c r="U114" s="128" t="e">
        <f t="shared" ca="1" si="29"/>
        <v>#REF!</v>
      </c>
      <c r="AC114">
        <v>107</v>
      </c>
      <c r="AD114" s="6">
        <f t="shared" ca="1" si="30"/>
        <v>49522</v>
      </c>
      <c r="AE114" s="7" t="e">
        <f t="shared" ca="1" si="31"/>
        <v>#REF!</v>
      </c>
      <c r="AF114" s="125" t="e">
        <f t="shared" ca="1" si="32"/>
        <v>#REF!</v>
      </c>
      <c r="AG114" s="125" t="e">
        <f t="shared" ca="1" si="23"/>
        <v>#REF!</v>
      </c>
      <c r="AH114" s="128" t="e">
        <f t="shared" ca="1" si="33"/>
        <v>#REF!</v>
      </c>
    </row>
    <row r="115" spans="4:34">
      <c r="D115">
        <v>108</v>
      </c>
      <c r="E115" s="6">
        <f t="shared" ca="1" si="24"/>
        <v>49491</v>
      </c>
      <c r="F115" s="7">
        <f t="shared" ca="1" si="25"/>
        <v>1</v>
      </c>
      <c r="G115" s="125">
        <f t="shared" ca="1" si="18"/>
        <v>17500</v>
      </c>
      <c r="H115" s="125">
        <f ca="1">IF(F115=1,F115*$B$10/MIN(12,'Simulador - 3º Pilar'!$E$88),0)</f>
        <v>0</v>
      </c>
      <c r="I115" s="128">
        <f t="shared" ca="1" si="19"/>
        <v>0</v>
      </c>
      <c r="J115" s="494">
        <f t="shared" ca="1" si="20"/>
        <v>0</v>
      </c>
      <c r="K115" s="126">
        <f t="shared" ca="1" si="21"/>
        <v>0</v>
      </c>
      <c r="L115" s="126">
        <f t="shared" ca="1" si="17"/>
        <v>0</v>
      </c>
      <c r="P115">
        <v>108</v>
      </c>
      <c r="Q115" s="6">
        <f t="shared" ca="1" si="26"/>
        <v>49491</v>
      </c>
      <c r="R115" s="7" t="e">
        <f t="shared" ca="1" si="27"/>
        <v>#REF!</v>
      </c>
      <c r="S115" s="125" t="e">
        <f t="shared" ca="1" si="28"/>
        <v>#REF!</v>
      </c>
      <c r="T115" s="125" t="e">
        <f t="shared" ca="1" si="22"/>
        <v>#REF!</v>
      </c>
      <c r="U115" s="128" t="e">
        <f t="shared" ca="1" si="29"/>
        <v>#REF!</v>
      </c>
      <c r="AC115">
        <v>108</v>
      </c>
      <c r="AD115" s="6">
        <f t="shared" ca="1" si="30"/>
        <v>49491</v>
      </c>
      <c r="AE115" s="7" t="e">
        <f t="shared" ca="1" si="31"/>
        <v>#REF!</v>
      </c>
      <c r="AF115" s="125" t="e">
        <f t="shared" ca="1" si="32"/>
        <v>#REF!</v>
      </c>
      <c r="AG115" s="125" t="e">
        <f t="shared" ca="1" si="23"/>
        <v>#REF!</v>
      </c>
      <c r="AH115" s="128" t="e">
        <f t="shared" ca="1" si="33"/>
        <v>#REF!</v>
      </c>
    </row>
    <row r="116" spans="4:34">
      <c r="D116">
        <v>109</v>
      </c>
      <c r="E116" s="6">
        <f t="shared" ca="1" si="24"/>
        <v>49461</v>
      </c>
      <c r="F116" s="7">
        <f t="shared" ca="1" si="25"/>
        <v>1</v>
      </c>
      <c r="G116" s="125">
        <f t="shared" ca="1" si="18"/>
        <v>17500</v>
      </c>
      <c r="H116" s="125">
        <f ca="1">IF(F116=1,F116*$B$10/MIN(12,'Simulador - 3º Pilar'!$E$88),0)</f>
        <v>0</v>
      </c>
      <c r="I116" s="128">
        <f t="shared" ca="1" si="19"/>
        <v>0</v>
      </c>
      <c r="J116" s="494">
        <f t="shared" ca="1" si="20"/>
        <v>0</v>
      </c>
      <c r="K116" s="126">
        <f t="shared" ca="1" si="21"/>
        <v>0</v>
      </c>
      <c r="L116" s="126">
        <f t="shared" ca="1" si="17"/>
        <v>0</v>
      </c>
      <c r="P116">
        <v>109</v>
      </c>
      <c r="Q116" s="6">
        <f t="shared" ca="1" si="26"/>
        <v>49461</v>
      </c>
      <c r="R116" s="7" t="e">
        <f t="shared" ca="1" si="27"/>
        <v>#REF!</v>
      </c>
      <c r="S116" s="125" t="e">
        <f t="shared" ca="1" si="28"/>
        <v>#REF!</v>
      </c>
      <c r="T116" s="125" t="e">
        <f t="shared" ca="1" si="22"/>
        <v>#REF!</v>
      </c>
      <c r="U116" s="128" t="e">
        <f t="shared" ca="1" si="29"/>
        <v>#REF!</v>
      </c>
      <c r="AC116">
        <v>109</v>
      </c>
      <c r="AD116" s="6">
        <f t="shared" ca="1" si="30"/>
        <v>49461</v>
      </c>
      <c r="AE116" s="7" t="e">
        <f t="shared" ca="1" si="31"/>
        <v>#REF!</v>
      </c>
      <c r="AF116" s="125" t="e">
        <f t="shared" ca="1" si="32"/>
        <v>#REF!</v>
      </c>
      <c r="AG116" s="125" t="e">
        <f t="shared" ca="1" si="23"/>
        <v>#REF!</v>
      </c>
      <c r="AH116" s="128" t="e">
        <f t="shared" ca="1" si="33"/>
        <v>#REF!</v>
      </c>
    </row>
    <row r="117" spans="4:34">
      <c r="D117">
        <v>110</v>
      </c>
      <c r="E117" s="6">
        <f t="shared" ca="1" si="24"/>
        <v>49430</v>
      </c>
      <c r="F117" s="7">
        <f t="shared" ca="1" si="25"/>
        <v>1</v>
      </c>
      <c r="G117" s="125">
        <f t="shared" ca="1" si="18"/>
        <v>17500</v>
      </c>
      <c r="H117" s="125">
        <f ca="1">IF(F117=1,F117*$B$10/MIN(12,'Simulador - 3º Pilar'!$E$88),0)</f>
        <v>0</v>
      </c>
      <c r="I117" s="128">
        <f t="shared" ca="1" si="19"/>
        <v>0</v>
      </c>
      <c r="J117" s="494">
        <f t="shared" ca="1" si="20"/>
        <v>0</v>
      </c>
      <c r="K117" s="126">
        <f t="shared" ca="1" si="21"/>
        <v>0</v>
      </c>
      <c r="L117" s="126">
        <f t="shared" ca="1" si="17"/>
        <v>0</v>
      </c>
      <c r="P117">
        <v>110</v>
      </c>
      <c r="Q117" s="6">
        <f t="shared" ca="1" si="26"/>
        <v>49430</v>
      </c>
      <c r="R117" s="7" t="e">
        <f t="shared" ca="1" si="27"/>
        <v>#REF!</v>
      </c>
      <c r="S117" s="125" t="e">
        <f t="shared" ca="1" si="28"/>
        <v>#REF!</v>
      </c>
      <c r="T117" s="125" t="e">
        <f t="shared" ca="1" si="22"/>
        <v>#REF!</v>
      </c>
      <c r="U117" s="128" t="e">
        <f t="shared" ca="1" si="29"/>
        <v>#REF!</v>
      </c>
      <c r="AC117">
        <v>110</v>
      </c>
      <c r="AD117" s="6">
        <f t="shared" ca="1" si="30"/>
        <v>49430</v>
      </c>
      <c r="AE117" s="7" t="e">
        <f t="shared" ca="1" si="31"/>
        <v>#REF!</v>
      </c>
      <c r="AF117" s="125" t="e">
        <f t="shared" ca="1" si="32"/>
        <v>#REF!</v>
      </c>
      <c r="AG117" s="125" t="e">
        <f t="shared" ca="1" si="23"/>
        <v>#REF!</v>
      </c>
      <c r="AH117" s="128" t="e">
        <f t="shared" ca="1" si="33"/>
        <v>#REF!</v>
      </c>
    </row>
    <row r="118" spans="4:34">
      <c r="D118">
        <v>111</v>
      </c>
      <c r="E118" s="6">
        <f t="shared" ca="1" si="24"/>
        <v>49400</v>
      </c>
      <c r="F118" s="7">
        <f t="shared" ca="1" si="25"/>
        <v>1</v>
      </c>
      <c r="G118" s="125">
        <f t="shared" ca="1" si="18"/>
        <v>17500</v>
      </c>
      <c r="H118" s="125">
        <f ca="1">IF(F118=1,F118*$B$10/MIN(12,'Simulador - 3º Pilar'!$E$88),0)</f>
        <v>0</v>
      </c>
      <c r="I118" s="128">
        <f t="shared" ca="1" si="19"/>
        <v>0</v>
      </c>
      <c r="J118" s="494">
        <f t="shared" ca="1" si="20"/>
        <v>0</v>
      </c>
      <c r="K118" s="126">
        <f t="shared" ca="1" si="21"/>
        <v>0</v>
      </c>
      <c r="L118" s="126">
        <f t="shared" ca="1" si="17"/>
        <v>0</v>
      </c>
      <c r="P118">
        <v>111</v>
      </c>
      <c r="Q118" s="6">
        <f t="shared" ca="1" si="26"/>
        <v>49400</v>
      </c>
      <c r="R118" s="7" t="e">
        <f t="shared" ca="1" si="27"/>
        <v>#REF!</v>
      </c>
      <c r="S118" s="125" t="e">
        <f t="shared" ca="1" si="28"/>
        <v>#REF!</v>
      </c>
      <c r="T118" s="125" t="e">
        <f t="shared" ca="1" si="22"/>
        <v>#REF!</v>
      </c>
      <c r="U118" s="128" t="e">
        <f t="shared" ca="1" si="29"/>
        <v>#REF!</v>
      </c>
      <c r="AC118">
        <v>111</v>
      </c>
      <c r="AD118" s="6">
        <f t="shared" ca="1" si="30"/>
        <v>49400</v>
      </c>
      <c r="AE118" s="7" t="e">
        <f t="shared" ca="1" si="31"/>
        <v>#REF!</v>
      </c>
      <c r="AF118" s="125" t="e">
        <f t="shared" ca="1" si="32"/>
        <v>#REF!</v>
      </c>
      <c r="AG118" s="125" t="e">
        <f t="shared" ca="1" si="23"/>
        <v>#REF!</v>
      </c>
      <c r="AH118" s="128" t="e">
        <f t="shared" ca="1" si="33"/>
        <v>#REF!</v>
      </c>
    </row>
    <row r="119" spans="4:34">
      <c r="D119">
        <v>112</v>
      </c>
      <c r="E119" s="6">
        <f t="shared" ca="1" si="24"/>
        <v>49369</v>
      </c>
      <c r="F119" s="7">
        <f t="shared" ca="1" si="25"/>
        <v>1</v>
      </c>
      <c r="G119" s="125">
        <f t="shared" ca="1" si="18"/>
        <v>17500</v>
      </c>
      <c r="H119" s="125">
        <f ca="1">IF(F119=1,F119*$B$10/MIN(12,'Simulador - 3º Pilar'!$E$88),0)</f>
        <v>0</v>
      </c>
      <c r="I119" s="128">
        <f t="shared" ca="1" si="19"/>
        <v>0</v>
      </c>
      <c r="J119" s="494">
        <f t="shared" ca="1" si="20"/>
        <v>0</v>
      </c>
      <c r="K119" s="126">
        <f t="shared" ca="1" si="21"/>
        <v>0</v>
      </c>
      <c r="L119" s="126">
        <f t="shared" ca="1" si="17"/>
        <v>0</v>
      </c>
      <c r="P119">
        <v>112</v>
      </c>
      <c r="Q119" s="6">
        <f t="shared" ca="1" si="26"/>
        <v>49369</v>
      </c>
      <c r="R119" s="7" t="e">
        <f t="shared" ca="1" si="27"/>
        <v>#REF!</v>
      </c>
      <c r="S119" s="125" t="e">
        <f t="shared" ca="1" si="28"/>
        <v>#REF!</v>
      </c>
      <c r="T119" s="125" t="e">
        <f t="shared" ca="1" si="22"/>
        <v>#REF!</v>
      </c>
      <c r="U119" s="128" t="e">
        <f t="shared" ca="1" si="29"/>
        <v>#REF!</v>
      </c>
      <c r="AC119">
        <v>112</v>
      </c>
      <c r="AD119" s="6">
        <f t="shared" ca="1" si="30"/>
        <v>49369</v>
      </c>
      <c r="AE119" s="7" t="e">
        <f t="shared" ca="1" si="31"/>
        <v>#REF!</v>
      </c>
      <c r="AF119" s="125" t="e">
        <f t="shared" ca="1" si="32"/>
        <v>#REF!</v>
      </c>
      <c r="AG119" s="125" t="e">
        <f t="shared" ca="1" si="23"/>
        <v>#REF!</v>
      </c>
      <c r="AH119" s="128" t="e">
        <f t="shared" ca="1" si="33"/>
        <v>#REF!</v>
      </c>
    </row>
    <row r="120" spans="4:34">
      <c r="D120">
        <v>113</v>
      </c>
      <c r="E120" s="6">
        <f t="shared" ca="1" si="24"/>
        <v>49341</v>
      </c>
      <c r="F120" s="7">
        <f t="shared" ca="1" si="25"/>
        <v>1</v>
      </c>
      <c r="G120" s="125">
        <f t="shared" ca="1" si="18"/>
        <v>17500</v>
      </c>
      <c r="H120" s="125">
        <f ca="1">IF(F120=1,F120*$B$10/MIN(12,'Simulador - 3º Pilar'!$E$88),0)</f>
        <v>0</v>
      </c>
      <c r="I120" s="128">
        <f t="shared" ca="1" si="19"/>
        <v>0</v>
      </c>
      <c r="J120" s="494">
        <f t="shared" ca="1" si="20"/>
        <v>0</v>
      </c>
      <c r="K120" s="126">
        <f t="shared" ca="1" si="21"/>
        <v>0</v>
      </c>
      <c r="L120" s="126">
        <f t="shared" ca="1" si="17"/>
        <v>0</v>
      </c>
      <c r="P120">
        <v>113</v>
      </c>
      <c r="Q120" s="6">
        <f t="shared" ca="1" si="26"/>
        <v>49341</v>
      </c>
      <c r="R120" s="7" t="e">
        <f t="shared" ca="1" si="27"/>
        <v>#REF!</v>
      </c>
      <c r="S120" s="125" t="e">
        <f t="shared" ca="1" si="28"/>
        <v>#REF!</v>
      </c>
      <c r="T120" s="125" t="e">
        <f t="shared" ca="1" si="22"/>
        <v>#REF!</v>
      </c>
      <c r="U120" s="128" t="e">
        <f t="shared" ca="1" si="29"/>
        <v>#REF!</v>
      </c>
      <c r="AC120">
        <v>113</v>
      </c>
      <c r="AD120" s="6">
        <f t="shared" ca="1" si="30"/>
        <v>49341</v>
      </c>
      <c r="AE120" s="7" t="e">
        <f t="shared" ca="1" si="31"/>
        <v>#REF!</v>
      </c>
      <c r="AF120" s="125" t="e">
        <f t="shared" ca="1" si="32"/>
        <v>#REF!</v>
      </c>
      <c r="AG120" s="125" t="e">
        <f t="shared" ca="1" si="23"/>
        <v>#REF!</v>
      </c>
      <c r="AH120" s="128" t="e">
        <f t="shared" ca="1" si="33"/>
        <v>#REF!</v>
      </c>
    </row>
    <row r="121" spans="4:34">
      <c r="D121">
        <v>114</v>
      </c>
      <c r="E121" s="6">
        <f t="shared" ca="1" si="24"/>
        <v>49310</v>
      </c>
      <c r="F121" s="7">
        <f t="shared" ca="1" si="25"/>
        <v>1</v>
      </c>
      <c r="G121" s="125">
        <f t="shared" ca="1" si="18"/>
        <v>17500</v>
      </c>
      <c r="H121" s="125">
        <f ca="1">IF(F121=1,F121*$B$10/MIN(12,'Simulador - 3º Pilar'!$E$88),0)</f>
        <v>0</v>
      </c>
      <c r="I121" s="128">
        <f t="shared" ca="1" si="19"/>
        <v>0</v>
      </c>
      <c r="J121" s="494">
        <f t="shared" ca="1" si="20"/>
        <v>0</v>
      </c>
      <c r="K121" s="126">
        <f t="shared" ca="1" si="21"/>
        <v>0</v>
      </c>
      <c r="L121" s="126">
        <f t="shared" ca="1" si="17"/>
        <v>0</v>
      </c>
      <c r="P121">
        <v>114</v>
      </c>
      <c r="Q121" s="6">
        <f t="shared" ca="1" si="26"/>
        <v>49310</v>
      </c>
      <c r="R121" s="7" t="e">
        <f t="shared" ca="1" si="27"/>
        <v>#REF!</v>
      </c>
      <c r="S121" s="125" t="e">
        <f t="shared" ca="1" si="28"/>
        <v>#REF!</v>
      </c>
      <c r="T121" s="125" t="e">
        <f t="shared" ca="1" si="22"/>
        <v>#REF!</v>
      </c>
      <c r="U121" s="128" t="e">
        <f t="shared" ca="1" si="29"/>
        <v>#REF!</v>
      </c>
      <c r="AC121">
        <v>114</v>
      </c>
      <c r="AD121" s="6">
        <f t="shared" ca="1" si="30"/>
        <v>49310</v>
      </c>
      <c r="AE121" s="7" t="e">
        <f t="shared" ca="1" si="31"/>
        <v>#REF!</v>
      </c>
      <c r="AF121" s="125" t="e">
        <f t="shared" ca="1" si="32"/>
        <v>#REF!</v>
      </c>
      <c r="AG121" s="125" t="e">
        <f t="shared" ca="1" si="23"/>
        <v>#REF!</v>
      </c>
      <c r="AH121" s="128" t="e">
        <f t="shared" ca="1" si="33"/>
        <v>#REF!</v>
      </c>
    </row>
    <row r="122" spans="4:34">
      <c r="D122">
        <v>115</v>
      </c>
      <c r="E122" s="6">
        <f t="shared" ca="1" si="24"/>
        <v>49279</v>
      </c>
      <c r="F122" s="7">
        <f t="shared" ca="1" si="25"/>
        <v>1</v>
      </c>
      <c r="G122" s="125">
        <f t="shared" ca="1" si="18"/>
        <v>17500</v>
      </c>
      <c r="H122" s="125">
        <f ca="1">IF(F122=1,F122*$B$10/MIN(12,'Simulador - 3º Pilar'!$E$88),0)</f>
        <v>0</v>
      </c>
      <c r="I122" s="128">
        <f t="shared" ca="1" si="19"/>
        <v>0</v>
      </c>
      <c r="J122" s="494">
        <f t="shared" ca="1" si="20"/>
        <v>0</v>
      </c>
      <c r="K122" s="126">
        <f t="shared" ca="1" si="21"/>
        <v>0</v>
      </c>
      <c r="L122" s="126">
        <f t="shared" ca="1" si="17"/>
        <v>0</v>
      </c>
      <c r="P122">
        <v>115</v>
      </c>
      <c r="Q122" s="6">
        <f t="shared" ca="1" si="26"/>
        <v>49279</v>
      </c>
      <c r="R122" s="7" t="e">
        <f t="shared" ca="1" si="27"/>
        <v>#REF!</v>
      </c>
      <c r="S122" s="125" t="e">
        <f t="shared" ca="1" si="28"/>
        <v>#REF!</v>
      </c>
      <c r="T122" s="125" t="e">
        <f t="shared" ca="1" si="22"/>
        <v>#REF!</v>
      </c>
      <c r="U122" s="128" t="e">
        <f t="shared" ca="1" si="29"/>
        <v>#REF!</v>
      </c>
      <c r="AC122">
        <v>115</v>
      </c>
      <c r="AD122" s="6">
        <f t="shared" ca="1" si="30"/>
        <v>49279</v>
      </c>
      <c r="AE122" s="7" t="e">
        <f t="shared" ca="1" si="31"/>
        <v>#REF!</v>
      </c>
      <c r="AF122" s="125" t="e">
        <f t="shared" ca="1" si="32"/>
        <v>#REF!</v>
      </c>
      <c r="AG122" s="125" t="e">
        <f t="shared" ca="1" si="23"/>
        <v>#REF!</v>
      </c>
      <c r="AH122" s="128" t="e">
        <f t="shared" ca="1" si="33"/>
        <v>#REF!</v>
      </c>
    </row>
    <row r="123" spans="4:34">
      <c r="D123">
        <v>116</v>
      </c>
      <c r="E123" s="6">
        <f t="shared" ca="1" si="24"/>
        <v>49249</v>
      </c>
      <c r="F123" s="7">
        <f t="shared" ca="1" si="25"/>
        <v>1</v>
      </c>
      <c r="G123" s="125">
        <f t="shared" ca="1" si="18"/>
        <v>17500</v>
      </c>
      <c r="H123" s="125">
        <f ca="1">IF(F123=1,F123*$B$10/MIN(12,'Simulador - 3º Pilar'!$E$88),0)</f>
        <v>0</v>
      </c>
      <c r="I123" s="128">
        <f t="shared" ca="1" si="19"/>
        <v>0</v>
      </c>
      <c r="J123" s="494">
        <f t="shared" ca="1" si="20"/>
        <v>0</v>
      </c>
      <c r="K123" s="126">
        <f t="shared" ca="1" si="21"/>
        <v>0</v>
      </c>
      <c r="L123" s="126">
        <f t="shared" ca="1" si="17"/>
        <v>0</v>
      </c>
      <c r="P123">
        <v>116</v>
      </c>
      <c r="Q123" s="6">
        <f t="shared" ca="1" si="26"/>
        <v>49249</v>
      </c>
      <c r="R123" s="7" t="e">
        <f t="shared" ca="1" si="27"/>
        <v>#REF!</v>
      </c>
      <c r="S123" s="125" t="e">
        <f t="shared" ca="1" si="28"/>
        <v>#REF!</v>
      </c>
      <c r="T123" s="125" t="e">
        <f t="shared" ca="1" si="22"/>
        <v>#REF!</v>
      </c>
      <c r="U123" s="128" t="e">
        <f t="shared" ca="1" si="29"/>
        <v>#REF!</v>
      </c>
      <c r="AC123">
        <v>116</v>
      </c>
      <c r="AD123" s="6">
        <f t="shared" ca="1" si="30"/>
        <v>49249</v>
      </c>
      <c r="AE123" s="7" t="e">
        <f t="shared" ca="1" si="31"/>
        <v>#REF!</v>
      </c>
      <c r="AF123" s="125" t="e">
        <f t="shared" ca="1" si="32"/>
        <v>#REF!</v>
      </c>
      <c r="AG123" s="125" t="e">
        <f t="shared" ca="1" si="23"/>
        <v>#REF!</v>
      </c>
      <c r="AH123" s="128" t="e">
        <f t="shared" ca="1" si="33"/>
        <v>#REF!</v>
      </c>
    </row>
    <row r="124" spans="4:34">
      <c r="D124">
        <v>117</v>
      </c>
      <c r="E124" s="6">
        <f t="shared" ca="1" si="24"/>
        <v>49218</v>
      </c>
      <c r="F124" s="7">
        <f t="shared" ca="1" si="25"/>
        <v>1</v>
      </c>
      <c r="G124" s="125">
        <f t="shared" ca="1" si="18"/>
        <v>17500</v>
      </c>
      <c r="H124" s="125">
        <f ca="1">IF(F124=1,F124*$B$10/MIN(12,'Simulador - 3º Pilar'!$E$88),0)</f>
        <v>0</v>
      </c>
      <c r="I124" s="128">
        <f t="shared" ca="1" si="19"/>
        <v>0</v>
      </c>
      <c r="J124" s="494">
        <f t="shared" ca="1" si="20"/>
        <v>0</v>
      </c>
      <c r="K124" s="126">
        <f t="shared" ca="1" si="21"/>
        <v>0</v>
      </c>
      <c r="L124" s="126">
        <f t="shared" ca="1" si="17"/>
        <v>0</v>
      </c>
      <c r="P124">
        <v>117</v>
      </c>
      <c r="Q124" s="6">
        <f t="shared" ca="1" si="26"/>
        <v>49218</v>
      </c>
      <c r="R124" s="7" t="e">
        <f t="shared" ca="1" si="27"/>
        <v>#REF!</v>
      </c>
      <c r="S124" s="125" t="e">
        <f t="shared" ca="1" si="28"/>
        <v>#REF!</v>
      </c>
      <c r="T124" s="125" t="e">
        <f t="shared" ca="1" si="22"/>
        <v>#REF!</v>
      </c>
      <c r="U124" s="128" t="e">
        <f t="shared" ca="1" si="29"/>
        <v>#REF!</v>
      </c>
      <c r="AC124">
        <v>117</v>
      </c>
      <c r="AD124" s="6">
        <f t="shared" ca="1" si="30"/>
        <v>49218</v>
      </c>
      <c r="AE124" s="7" t="e">
        <f t="shared" ca="1" si="31"/>
        <v>#REF!</v>
      </c>
      <c r="AF124" s="125" t="e">
        <f t="shared" ca="1" si="32"/>
        <v>#REF!</v>
      </c>
      <c r="AG124" s="125" t="e">
        <f t="shared" ca="1" si="23"/>
        <v>#REF!</v>
      </c>
      <c r="AH124" s="128" t="e">
        <f t="shared" ca="1" si="33"/>
        <v>#REF!</v>
      </c>
    </row>
    <row r="125" spans="4:34">
      <c r="D125">
        <v>118</v>
      </c>
      <c r="E125" s="6">
        <f t="shared" ca="1" si="24"/>
        <v>49188</v>
      </c>
      <c r="F125" s="7">
        <f t="shared" ca="1" si="25"/>
        <v>1</v>
      </c>
      <c r="G125" s="125">
        <f t="shared" ca="1" si="18"/>
        <v>17500</v>
      </c>
      <c r="H125" s="125">
        <f ca="1">IF(F125=1,F125*$B$10/MIN(12,'Simulador - 3º Pilar'!$E$88),0)</f>
        <v>0</v>
      </c>
      <c r="I125" s="128">
        <f t="shared" ca="1" si="19"/>
        <v>0</v>
      </c>
      <c r="J125" s="494">
        <f t="shared" ca="1" si="20"/>
        <v>0</v>
      </c>
      <c r="K125" s="126">
        <f t="shared" ca="1" si="21"/>
        <v>0</v>
      </c>
      <c r="L125" s="126">
        <f t="shared" ca="1" si="17"/>
        <v>0</v>
      </c>
      <c r="P125">
        <v>118</v>
      </c>
      <c r="Q125" s="6">
        <f t="shared" ca="1" si="26"/>
        <v>49188</v>
      </c>
      <c r="R125" s="7" t="e">
        <f t="shared" ca="1" si="27"/>
        <v>#REF!</v>
      </c>
      <c r="S125" s="125" t="e">
        <f t="shared" ca="1" si="28"/>
        <v>#REF!</v>
      </c>
      <c r="T125" s="125" t="e">
        <f t="shared" ca="1" si="22"/>
        <v>#REF!</v>
      </c>
      <c r="U125" s="128" t="e">
        <f t="shared" ca="1" si="29"/>
        <v>#REF!</v>
      </c>
      <c r="AC125">
        <v>118</v>
      </c>
      <c r="AD125" s="6">
        <f t="shared" ca="1" si="30"/>
        <v>49188</v>
      </c>
      <c r="AE125" s="7" t="e">
        <f t="shared" ca="1" si="31"/>
        <v>#REF!</v>
      </c>
      <c r="AF125" s="125" t="e">
        <f t="shared" ca="1" si="32"/>
        <v>#REF!</v>
      </c>
      <c r="AG125" s="125" t="e">
        <f t="shared" ca="1" si="23"/>
        <v>#REF!</v>
      </c>
      <c r="AH125" s="128" t="e">
        <f t="shared" ca="1" si="33"/>
        <v>#REF!</v>
      </c>
    </row>
    <row r="126" spans="4:34">
      <c r="D126">
        <v>119</v>
      </c>
      <c r="E126" s="6">
        <f t="shared" ca="1" si="24"/>
        <v>49157</v>
      </c>
      <c r="F126" s="7">
        <f t="shared" ca="1" si="25"/>
        <v>1</v>
      </c>
      <c r="G126" s="125">
        <f t="shared" ca="1" si="18"/>
        <v>17500</v>
      </c>
      <c r="H126" s="125">
        <f ca="1">IF(F126=1,F126*$B$10/MIN(12,'Simulador - 3º Pilar'!$E$88),0)</f>
        <v>0</v>
      </c>
      <c r="I126" s="128">
        <f t="shared" ca="1" si="19"/>
        <v>0</v>
      </c>
      <c r="J126" s="494">
        <f t="shared" ca="1" si="20"/>
        <v>0</v>
      </c>
      <c r="K126" s="126">
        <f t="shared" ca="1" si="21"/>
        <v>0</v>
      </c>
      <c r="L126" s="126">
        <f t="shared" ca="1" si="17"/>
        <v>0</v>
      </c>
      <c r="P126">
        <v>119</v>
      </c>
      <c r="Q126" s="6">
        <f t="shared" ca="1" si="26"/>
        <v>49157</v>
      </c>
      <c r="R126" s="7" t="e">
        <f t="shared" ca="1" si="27"/>
        <v>#REF!</v>
      </c>
      <c r="S126" s="125" t="e">
        <f t="shared" ca="1" si="28"/>
        <v>#REF!</v>
      </c>
      <c r="T126" s="125" t="e">
        <f t="shared" ca="1" si="22"/>
        <v>#REF!</v>
      </c>
      <c r="U126" s="128" t="e">
        <f t="shared" ca="1" si="29"/>
        <v>#REF!</v>
      </c>
      <c r="AC126">
        <v>119</v>
      </c>
      <c r="AD126" s="6">
        <f t="shared" ca="1" si="30"/>
        <v>49157</v>
      </c>
      <c r="AE126" s="7" t="e">
        <f t="shared" ca="1" si="31"/>
        <v>#REF!</v>
      </c>
      <c r="AF126" s="125" t="e">
        <f t="shared" ca="1" si="32"/>
        <v>#REF!</v>
      </c>
      <c r="AG126" s="125" t="e">
        <f t="shared" ca="1" si="23"/>
        <v>#REF!</v>
      </c>
      <c r="AH126" s="128" t="e">
        <f t="shared" ca="1" si="33"/>
        <v>#REF!</v>
      </c>
    </row>
    <row r="127" spans="4:34">
      <c r="D127">
        <v>120</v>
      </c>
      <c r="E127" s="6">
        <f t="shared" ca="1" si="24"/>
        <v>49126</v>
      </c>
      <c r="F127" s="7">
        <f t="shared" ca="1" si="25"/>
        <v>1</v>
      </c>
      <c r="G127" s="125">
        <f t="shared" ca="1" si="18"/>
        <v>17500</v>
      </c>
      <c r="H127" s="125">
        <f ca="1">IF(F127=1,F127*$B$10/MIN(12,'Simulador - 3º Pilar'!$E$88),0)</f>
        <v>0</v>
      </c>
      <c r="I127" s="128">
        <f t="shared" ca="1" si="19"/>
        <v>0</v>
      </c>
      <c r="J127" s="494">
        <f t="shared" ca="1" si="20"/>
        <v>0</v>
      </c>
      <c r="K127" s="126">
        <f t="shared" ca="1" si="21"/>
        <v>0</v>
      </c>
      <c r="L127" s="126">
        <f t="shared" ca="1" si="17"/>
        <v>0</v>
      </c>
      <c r="P127">
        <v>120</v>
      </c>
      <c r="Q127" s="6">
        <f t="shared" ca="1" si="26"/>
        <v>49126</v>
      </c>
      <c r="R127" s="7" t="e">
        <f t="shared" ca="1" si="27"/>
        <v>#REF!</v>
      </c>
      <c r="S127" s="125" t="e">
        <f t="shared" ca="1" si="28"/>
        <v>#REF!</v>
      </c>
      <c r="T127" s="125" t="e">
        <f t="shared" ca="1" si="22"/>
        <v>#REF!</v>
      </c>
      <c r="U127" s="128" t="e">
        <f t="shared" ca="1" si="29"/>
        <v>#REF!</v>
      </c>
      <c r="AC127">
        <v>120</v>
      </c>
      <c r="AD127" s="6">
        <f t="shared" ca="1" si="30"/>
        <v>49126</v>
      </c>
      <c r="AE127" s="7" t="e">
        <f t="shared" ca="1" si="31"/>
        <v>#REF!</v>
      </c>
      <c r="AF127" s="125" t="e">
        <f t="shared" ca="1" si="32"/>
        <v>#REF!</v>
      </c>
      <c r="AG127" s="125" t="e">
        <f t="shared" ca="1" si="23"/>
        <v>#REF!</v>
      </c>
      <c r="AH127" s="128" t="e">
        <f t="shared" ca="1" si="33"/>
        <v>#REF!</v>
      </c>
    </row>
    <row r="128" spans="4:34">
      <c r="D128">
        <v>121</v>
      </c>
      <c r="E128" s="6">
        <f t="shared" ca="1" si="24"/>
        <v>49096</v>
      </c>
      <c r="F128" s="7">
        <f t="shared" ca="1" si="25"/>
        <v>1</v>
      </c>
      <c r="G128" s="125">
        <f t="shared" ca="1" si="18"/>
        <v>17500</v>
      </c>
      <c r="H128" s="125">
        <f ca="1">IF(F128=1,F128*$B$10/MIN(12,'Simulador - 3º Pilar'!$E$88),0)</f>
        <v>0</v>
      </c>
      <c r="I128" s="128">
        <f t="shared" ca="1" si="19"/>
        <v>0</v>
      </c>
      <c r="J128" s="494">
        <f t="shared" ca="1" si="20"/>
        <v>0</v>
      </c>
      <c r="K128" s="126">
        <f t="shared" ca="1" si="21"/>
        <v>0</v>
      </c>
      <c r="L128" s="126">
        <f t="shared" ca="1" si="17"/>
        <v>0</v>
      </c>
      <c r="P128">
        <v>121</v>
      </c>
      <c r="Q128" s="6">
        <f t="shared" ca="1" si="26"/>
        <v>49096</v>
      </c>
      <c r="R128" s="7" t="e">
        <f t="shared" ca="1" si="27"/>
        <v>#REF!</v>
      </c>
      <c r="S128" s="125" t="e">
        <f t="shared" ca="1" si="28"/>
        <v>#REF!</v>
      </c>
      <c r="T128" s="125" t="e">
        <f t="shared" ca="1" si="22"/>
        <v>#REF!</v>
      </c>
      <c r="U128" s="128" t="e">
        <f t="shared" ca="1" si="29"/>
        <v>#REF!</v>
      </c>
      <c r="AC128">
        <v>121</v>
      </c>
      <c r="AD128" s="6">
        <f t="shared" ca="1" si="30"/>
        <v>49096</v>
      </c>
      <c r="AE128" s="7" t="e">
        <f t="shared" ca="1" si="31"/>
        <v>#REF!</v>
      </c>
      <c r="AF128" s="125" t="e">
        <f t="shared" ca="1" si="32"/>
        <v>#REF!</v>
      </c>
      <c r="AG128" s="125" t="e">
        <f t="shared" ca="1" si="23"/>
        <v>#REF!</v>
      </c>
      <c r="AH128" s="128" t="e">
        <f t="shared" ca="1" si="33"/>
        <v>#REF!</v>
      </c>
    </row>
    <row r="129" spans="4:34">
      <c r="D129">
        <v>122</v>
      </c>
      <c r="E129" s="6">
        <f t="shared" ca="1" si="24"/>
        <v>49065</v>
      </c>
      <c r="F129" s="7">
        <f t="shared" ca="1" si="25"/>
        <v>1</v>
      </c>
      <c r="G129" s="125">
        <f t="shared" ca="1" si="18"/>
        <v>17500</v>
      </c>
      <c r="H129" s="125">
        <f ca="1">IF(F129=1,F129*$B$10/MIN(12,'Simulador - 3º Pilar'!$E$88),0)</f>
        <v>0</v>
      </c>
      <c r="I129" s="128">
        <f t="shared" ca="1" si="19"/>
        <v>0</v>
      </c>
      <c r="J129" s="494">
        <f t="shared" ca="1" si="20"/>
        <v>0</v>
      </c>
      <c r="K129" s="126">
        <f t="shared" ca="1" si="21"/>
        <v>0</v>
      </c>
      <c r="L129" s="126">
        <f t="shared" ca="1" si="17"/>
        <v>0</v>
      </c>
      <c r="P129">
        <v>122</v>
      </c>
      <c r="Q129" s="6">
        <f t="shared" ca="1" si="26"/>
        <v>49065</v>
      </c>
      <c r="R129" s="7" t="e">
        <f t="shared" ca="1" si="27"/>
        <v>#REF!</v>
      </c>
      <c r="S129" s="125" t="e">
        <f t="shared" ca="1" si="28"/>
        <v>#REF!</v>
      </c>
      <c r="T129" s="125" t="e">
        <f t="shared" ca="1" si="22"/>
        <v>#REF!</v>
      </c>
      <c r="U129" s="128" t="e">
        <f t="shared" ca="1" si="29"/>
        <v>#REF!</v>
      </c>
      <c r="AC129">
        <v>122</v>
      </c>
      <c r="AD129" s="6">
        <f t="shared" ca="1" si="30"/>
        <v>49065</v>
      </c>
      <c r="AE129" s="7" t="e">
        <f t="shared" ca="1" si="31"/>
        <v>#REF!</v>
      </c>
      <c r="AF129" s="125" t="e">
        <f t="shared" ca="1" si="32"/>
        <v>#REF!</v>
      </c>
      <c r="AG129" s="125" t="e">
        <f t="shared" ca="1" si="23"/>
        <v>#REF!</v>
      </c>
      <c r="AH129" s="128" t="e">
        <f t="shared" ca="1" si="33"/>
        <v>#REF!</v>
      </c>
    </row>
    <row r="130" spans="4:34">
      <c r="D130">
        <v>123</v>
      </c>
      <c r="E130" s="6">
        <f t="shared" ca="1" si="24"/>
        <v>49035</v>
      </c>
      <c r="F130" s="7">
        <f t="shared" ca="1" si="25"/>
        <v>1</v>
      </c>
      <c r="G130" s="125">
        <f t="shared" ca="1" si="18"/>
        <v>17500</v>
      </c>
      <c r="H130" s="125">
        <f ca="1">IF(F130=1,F130*$B$10/MIN(12,'Simulador - 3º Pilar'!$E$88),0)</f>
        <v>0</v>
      </c>
      <c r="I130" s="128">
        <f t="shared" ca="1" si="19"/>
        <v>0</v>
      </c>
      <c r="J130" s="494">
        <f t="shared" ca="1" si="20"/>
        <v>0</v>
      </c>
      <c r="K130" s="126">
        <f t="shared" ca="1" si="21"/>
        <v>0</v>
      </c>
      <c r="L130" s="126">
        <f t="shared" ca="1" si="17"/>
        <v>0</v>
      </c>
      <c r="P130">
        <v>123</v>
      </c>
      <c r="Q130" s="6">
        <f t="shared" ca="1" si="26"/>
        <v>49035</v>
      </c>
      <c r="R130" s="7" t="e">
        <f t="shared" ca="1" si="27"/>
        <v>#REF!</v>
      </c>
      <c r="S130" s="125" t="e">
        <f t="shared" ca="1" si="28"/>
        <v>#REF!</v>
      </c>
      <c r="T130" s="125" t="e">
        <f t="shared" ca="1" si="22"/>
        <v>#REF!</v>
      </c>
      <c r="U130" s="128" t="e">
        <f t="shared" ca="1" si="29"/>
        <v>#REF!</v>
      </c>
      <c r="AC130">
        <v>123</v>
      </c>
      <c r="AD130" s="6">
        <f t="shared" ca="1" si="30"/>
        <v>49035</v>
      </c>
      <c r="AE130" s="7" t="e">
        <f t="shared" ca="1" si="31"/>
        <v>#REF!</v>
      </c>
      <c r="AF130" s="125" t="e">
        <f t="shared" ca="1" si="32"/>
        <v>#REF!</v>
      </c>
      <c r="AG130" s="125" t="e">
        <f t="shared" ca="1" si="23"/>
        <v>#REF!</v>
      </c>
      <c r="AH130" s="128" t="e">
        <f t="shared" ca="1" si="33"/>
        <v>#REF!</v>
      </c>
    </row>
    <row r="131" spans="4:34">
      <c r="D131">
        <v>124</v>
      </c>
      <c r="E131" s="6">
        <f t="shared" ca="1" si="24"/>
        <v>49004</v>
      </c>
      <c r="F131" s="7">
        <f t="shared" ca="1" si="25"/>
        <v>1</v>
      </c>
      <c r="G131" s="125">
        <f t="shared" ca="1" si="18"/>
        <v>17500</v>
      </c>
      <c r="H131" s="125">
        <f ca="1">IF(F131=1,F131*$B$10/MIN(12,'Simulador - 3º Pilar'!$E$88),0)</f>
        <v>0</v>
      </c>
      <c r="I131" s="128">
        <f t="shared" ca="1" si="19"/>
        <v>0</v>
      </c>
      <c r="J131" s="494">
        <f t="shared" ca="1" si="20"/>
        <v>0</v>
      </c>
      <c r="K131" s="126">
        <f t="shared" ca="1" si="21"/>
        <v>0</v>
      </c>
      <c r="L131" s="126">
        <f t="shared" ca="1" si="17"/>
        <v>0</v>
      </c>
      <c r="P131">
        <v>124</v>
      </c>
      <c r="Q131" s="6">
        <f t="shared" ca="1" si="26"/>
        <v>49004</v>
      </c>
      <c r="R131" s="7" t="e">
        <f t="shared" ca="1" si="27"/>
        <v>#REF!</v>
      </c>
      <c r="S131" s="125" t="e">
        <f t="shared" ca="1" si="28"/>
        <v>#REF!</v>
      </c>
      <c r="T131" s="125" t="e">
        <f t="shared" ca="1" si="22"/>
        <v>#REF!</v>
      </c>
      <c r="U131" s="128" t="e">
        <f t="shared" ca="1" si="29"/>
        <v>#REF!</v>
      </c>
      <c r="AC131">
        <v>124</v>
      </c>
      <c r="AD131" s="6">
        <f t="shared" ca="1" si="30"/>
        <v>49004</v>
      </c>
      <c r="AE131" s="7" t="e">
        <f t="shared" ca="1" si="31"/>
        <v>#REF!</v>
      </c>
      <c r="AF131" s="125" t="e">
        <f t="shared" ca="1" si="32"/>
        <v>#REF!</v>
      </c>
      <c r="AG131" s="125" t="e">
        <f t="shared" ca="1" si="23"/>
        <v>#REF!</v>
      </c>
      <c r="AH131" s="128" t="e">
        <f t="shared" ca="1" si="33"/>
        <v>#REF!</v>
      </c>
    </row>
    <row r="132" spans="4:34">
      <c r="D132">
        <v>125</v>
      </c>
      <c r="E132" s="6">
        <f t="shared" ca="1" si="24"/>
        <v>48976</v>
      </c>
      <c r="F132" s="7">
        <f t="shared" ca="1" si="25"/>
        <v>1</v>
      </c>
      <c r="G132" s="125">
        <f t="shared" ca="1" si="18"/>
        <v>17500</v>
      </c>
      <c r="H132" s="125">
        <f ca="1">IF(F132=1,F132*$B$10/MIN(12,'Simulador - 3º Pilar'!$E$88),0)</f>
        <v>0</v>
      </c>
      <c r="I132" s="128">
        <f t="shared" ca="1" si="19"/>
        <v>0</v>
      </c>
      <c r="J132" s="494">
        <f t="shared" ca="1" si="20"/>
        <v>0</v>
      </c>
      <c r="K132" s="126">
        <f t="shared" ca="1" si="21"/>
        <v>0</v>
      </c>
      <c r="L132" s="126">
        <f t="shared" ca="1" si="17"/>
        <v>0</v>
      </c>
      <c r="P132">
        <v>125</v>
      </c>
      <c r="Q132" s="6">
        <f t="shared" ca="1" si="26"/>
        <v>48976</v>
      </c>
      <c r="R132" s="7" t="e">
        <f t="shared" ca="1" si="27"/>
        <v>#REF!</v>
      </c>
      <c r="S132" s="125" t="e">
        <f t="shared" ca="1" si="28"/>
        <v>#REF!</v>
      </c>
      <c r="T132" s="125" t="e">
        <f t="shared" ca="1" si="22"/>
        <v>#REF!</v>
      </c>
      <c r="U132" s="128" t="e">
        <f t="shared" ca="1" si="29"/>
        <v>#REF!</v>
      </c>
      <c r="AC132">
        <v>125</v>
      </c>
      <c r="AD132" s="6">
        <f t="shared" ca="1" si="30"/>
        <v>48976</v>
      </c>
      <c r="AE132" s="7" t="e">
        <f t="shared" ca="1" si="31"/>
        <v>#REF!</v>
      </c>
      <c r="AF132" s="125" t="e">
        <f t="shared" ca="1" si="32"/>
        <v>#REF!</v>
      </c>
      <c r="AG132" s="125" t="e">
        <f t="shared" ca="1" si="23"/>
        <v>#REF!</v>
      </c>
      <c r="AH132" s="128" t="e">
        <f t="shared" ca="1" si="33"/>
        <v>#REF!</v>
      </c>
    </row>
    <row r="133" spans="4:34">
      <c r="D133">
        <v>126</v>
      </c>
      <c r="E133" s="6">
        <f t="shared" ca="1" si="24"/>
        <v>48945</v>
      </c>
      <c r="F133" s="7">
        <f t="shared" ca="1" si="25"/>
        <v>1</v>
      </c>
      <c r="G133" s="125">
        <f t="shared" ca="1" si="18"/>
        <v>17500</v>
      </c>
      <c r="H133" s="125">
        <f ca="1">IF(F133=1,F133*$B$10/MIN(12,'Simulador - 3º Pilar'!$E$88),0)</f>
        <v>0</v>
      </c>
      <c r="I133" s="128">
        <f t="shared" ca="1" si="19"/>
        <v>0</v>
      </c>
      <c r="J133" s="494">
        <f t="shared" ca="1" si="20"/>
        <v>0</v>
      </c>
      <c r="K133" s="126">
        <f t="shared" ca="1" si="21"/>
        <v>0</v>
      </c>
      <c r="L133" s="126">
        <f t="shared" ca="1" si="17"/>
        <v>0</v>
      </c>
      <c r="P133">
        <v>126</v>
      </c>
      <c r="Q133" s="6">
        <f t="shared" ca="1" si="26"/>
        <v>48945</v>
      </c>
      <c r="R133" s="7" t="e">
        <f t="shared" ca="1" si="27"/>
        <v>#REF!</v>
      </c>
      <c r="S133" s="125" t="e">
        <f t="shared" ca="1" si="28"/>
        <v>#REF!</v>
      </c>
      <c r="T133" s="125" t="e">
        <f t="shared" ca="1" si="22"/>
        <v>#REF!</v>
      </c>
      <c r="U133" s="128" t="e">
        <f t="shared" ca="1" si="29"/>
        <v>#REF!</v>
      </c>
      <c r="AC133">
        <v>126</v>
      </c>
      <c r="AD133" s="6">
        <f t="shared" ca="1" si="30"/>
        <v>48945</v>
      </c>
      <c r="AE133" s="7" t="e">
        <f t="shared" ca="1" si="31"/>
        <v>#REF!</v>
      </c>
      <c r="AF133" s="125" t="e">
        <f t="shared" ca="1" si="32"/>
        <v>#REF!</v>
      </c>
      <c r="AG133" s="125" t="e">
        <f t="shared" ca="1" si="23"/>
        <v>#REF!</v>
      </c>
      <c r="AH133" s="128" t="e">
        <f t="shared" ca="1" si="33"/>
        <v>#REF!</v>
      </c>
    </row>
    <row r="134" spans="4:34">
      <c r="D134">
        <v>127</v>
      </c>
      <c r="E134" s="6">
        <f t="shared" ca="1" si="24"/>
        <v>48914</v>
      </c>
      <c r="F134" s="7">
        <f t="shared" ca="1" si="25"/>
        <v>1</v>
      </c>
      <c r="G134" s="125">
        <f t="shared" ca="1" si="18"/>
        <v>17500</v>
      </c>
      <c r="H134" s="125">
        <f ca="1">IF(F134=1,F134*$B$10/MIN(12,'Simulador - 3º Pilar'!$E$88),0)</f>
        <v>0</v>
      </c>
      <c r="I134" s="128">
        <f t="shared" ca="1" si="19"/>
        <v>0</v>
      </c>
      <c r="J134" s="494">
        <f t="shared" ca="1" si="20"/>
        <v>0</v>
      </c>
      <c r="K134" s="126">
        <f t="shared" ca="1" si="21"/>
        <v>0</v>
      </c>
      <c r="L134" s="126">
        <f t="shared" ca="1" si="17"/>
        <v>0</v>
      </c>
      <c r="P134">
        <v>127</v>
      </c>
      <c r="Q134" s="6">
        <f t="shared" ca="1" si="26"/>
        <v>48914</v>
      </c>
      <c r="R134" s="7" t="e">
        <f t="shared" ca="1" si="27"/>
        <v>#REF!</v>
      </c>
      <c r="S134" s="125" t="e">
        <f t="shared" ca="1" si="28"/>
        <v>#REF!</v>
      </c>
      <c r="T134" s="125" t="e">
        <f t="shared" ca="1" si="22"/>
        <v>#REF!</v>
      </c>
      <c r="U134" s="128" t="e">
        <f t="shared" ca="1" si="29"/>
        <v>#REF!</v>
      </c>
      <c r="AC134">
        <v>127</v>
      </c>
      <c r="AD134" s="6">
        <f t="shared" ca="1" si="30"/>
        <v>48914</v>
      </c>
      <c r="AE134" s="7" t="e">
        <f t="shared" ca="1" si="31"/>
        <v>#REF!</v>
      </c>
      <c r="AF134" s="125" t="e">
        <f t="shared" ca="1" si="32"/>
        <v>#REF!</v>
      </c>
      <c r="AG134" s="125" t="e">
        <f t="shared" ca="1" si="23"/>
        <v>#REF!</v>
      </c>
      <c r="AH134" s="128" t="e">
        <f t="shared" ca="1" si="33"/>
        <v>#REF!</v>
      </c>
    </row>
    <row r="135" spans="4:34">
      <c r="D135">
        <v>128</v>
      </c>
      <c r="E135" s="6">
        <f t="shared" ca="1" si="24"/>
        <v>48884</v>
      </c>
      <c r="F135" s="7">
        <f t="shared" ca="1" si="25"/>
        <v>1</v>
      </c>
      <c r="G135" s="125">
        <f t="shared" ca="1" si="18"/>
        <v>17500</v>
      </c>
      <c r="H135" s="125">
        <f ca="1">IF(F135=1,F135*$B$10/MIN(12,'Simulador - 3º Pilar'!$E$88),0)</f>
        <v>0</v>
      </c>
      <c r="I135" s="128">
        <f t="shared" ca="1" si="19"/>
        <v>0</v>
      </c>
      <c r="J135" s="494">
        <f t="shared" ca="1" si="20"/>
        <v>0</v>
      </c>
      <c r="K135" s="126">
        <f t="shared" ca="1" si="21"/>
        <v>0</v>
      </c>
      <c r="L135" s="126">
        <f t="shared" ref="L135:L148" ca="1" si="34">(1+$G$5)^(D135/12)*(IF((E135)&gt;($B$6),H135,0)+IF(E135=$N$7,$N$4,0)+IF(E135=$C$6,0,0))</f>
        <v>0</v>
      </c>
      <c r="P135">
        <v>128</v>
      </c>
      <c r="Q135" s="6">
        <f t="shared" ca="1" si="26"/>
        <v>48884</v>
      </c>
      <c r="R135" s="7" t="e">
        <f t="shared" ca="1" si="27"/>
        <v>#REF!</v>
      </c>
      <c r="S135" s="125" t="e">
        <f t="shared" ca="1" si="28"/>
        <v>#REF!</v>
      </c>
      <c r="T135" s="125" t="e">
        <f t="shared" ca="1" si="22"/>
        <v>#REF!</v>
      </c>
      <c r="U135" s="128" t="e">
        <f t="shared" ca="1" si="29"/>
        <v>#REF!</v>
      </c>
      <c r="AC135">
        <v>128</v>
      </c>
      <c r="AD135" s="6">
        <f t="shared" ca="1" si="30"/>
        <v>48884</v>
      </c>
      <c r="AE135" s="7" t="e">
        <f t="shared" ca="1" si="31"/>
        <v>#REF!</v>
      </c>
      <c r="AF135" s="125" t="e">
        <f t="shared" ca="1" si="32"/>
        <v>#REF!</v>
      </c>
      <c r="AG135" s="125" t="e">
        <f t="shared" ca="1" si="23"/>
        <v>#REF!</v>
      </c>
      <c r="AH135" s="128" t="e">
        <f t="shared" ca="1" si="33"/>
        <v>#REF!</v>
      </c>
    </row>
    <row r="136" spans="4:34">
      <c r="D136">
        <v>129</v>
      </c>
      <c r="E136" s="6">
        <f t="shared" ca="1" si="24"/>
        <v>48853</v>
      </c>
      <c r="F136" s="7">
        <f t="shared" ca="1" si="25"/>
        <v>1</v>
      </c>
      <c r="G136" s="125">
        <f t="shared" ref="G136:G199" ca="1" si="35">F136*$B$8/12</f>
        <v>17500</v>
      </c>
      <c r="H136" s="125">
        <f ca="1">IF(F136=1,F136*$B$10/MIN(12,'Simulador - 3º Pilar'!$E$88),0)</f>
        <v>0</v>
      </c>
      <c r="I136" s="128">
        <f t="shared" ref="I136:I199" ca="1" si="36">(1+$G$5)^(D136/12)*(H136+IF(E136=$N$7,$N$4,0))</f>
        <v>0</v>
      </c>
      <c r="J136" s="494">
        <f t="shared" ref="J136:J199" ca="1" si="37">(1+$G$5)^(D136/12)*(H136*(12-IF(MONTH(E137)=12,0,MONTH(E137)))+IF(AND(F136=1,F137=0),$Q$4,0))*IF(AND(F136=1,F137=0),1,0)</f>
        <v>0</v>
      </c>
      <c r="K136" s="126">
        <f t="shared" ref="K136:K199" ca="1" si="38">(1+$G$5)^(D136/12)*(IF(E136=$N$7,$N$4,0)+IF(E136=$C$6,$B$10,0))</f>
        <v>0</v>
      </c>
      <c r="L136" s="126">
        <f t="shared" ca="1" si="34"/>
        <v>0</v>
      </c>
      <c r="P136">
        <v>129</v>
      </c>
      <c r="Q136" s="6">
        <f t="shared" ca="1" si="26"/>
        <v>48853</v>
      </c>
      <c r="R136" s="7" t="e">
        <f t="shared" ca="1" si="27"/>
        <v>#REF!</v>
      </c>
      <c r="S136" s="125" t="e">
        <f t="shared" ca="1" si="28"/>
        <v>#REF!</v>
      </c>
      <c r="T136" s="125" t="e">
        <f t="shared" ref="T136:T199" ca="1" si="39">R136*$B$11/12</f>
        <v>#REF!</v>
      </c>
      <c r="U136" s="128" t="e">
        <f t="shared" ca="1" si="29"/>
        <v>#REF!</v>
      </c>
      <c r="AC136">
        <v>129</v>
      </c>
      <c r="AD136" s="6">
        <f t="shared" ca="1" si="30"/>
        <v>48853</v>
      </c>
      <c r="AE136" s="7" t="e">
        <f t="shared" ca="1" si="31"/>
        <v>#REF!</v>
      </c>
      <c r="AF136" s="125" t="e">
        <f t="shared" ca="1" si="32"/>
        <v>#REF!</v>
      </c>
      <c r="AG136" s="125" t="e">
        <f t="shared" ref="AG136:AG199" ca="1" si="40">AE136*$B$12/12</f>
        <v>#REF!</v>
      </c>
      <c r="AH136" s="128" t="e">
        <f t="shared" ca="1" si="33"/>
        <v>#REF!</v>
      </c>
    </row>
    <row r="137" spans="4:34">
      <c r="D137">
        <v>130</v>
      </c>
      <c r="E137" s="6">
        <f t="shared" ref="E137:E200" ca="1" si="41">+DATE(YEAR(E136),MONTH(E136)-1,DAY(E136))</f>
        <v>48823</v>
      </c>
      <c r="F137" s="7">
        <f t="shared" ref="F137:F200" ca="1" si="42">IF($C$6=$E137,1,IF(MONTH($E137)=1,F138*(1+$F$5),F138))</f>
        <v>1</v>
      </c>
      <c r="G137" s="125">
        <f t="shared" ca="1" si="35"/>
        <v>17500</v>
      </c>
      <c r="H137" s="125">
        <f ca="1">IF(F137=1,F137*$B$10/MIN(12,'Simulador - 3º Pilar'!$E$88),0)</f>
        <v>0</v>
      </c>
      <c r="I137" s="128">
        <f t="shared" ca="1" si="36"/>
        <v>0</v>
      </c>
      <c r="J137" s="494">
        <f t="shared" ca="1" si="37"/>
        <v>0</v>
      </c>
      <c r="K137" s="126">
        <f t="shared" ca="1" si="38"/>
        <v>0</v>
      </c>
      <c r="L137" s="126">
        <f t="shared" ca="1" si="34"/>
        <v>0</v>
      </c>
      <c r="P137">
        <v>130</v>
      </c>
      <c r="Q137" s="6">
        <f t="shared" ref="Q137:Q200" ca="1" si="43">+DATE(YEAR(Q136),MONTH(Q136)-1,DAY(Q136))</f>
        <v>48823</v>
      </c>
      <c r="R137" s="7" t="e">
        <f t="shared" ref="R137:R200" ca="1" si="44">IF($Z$7=$E137,1,IF(MONTH($E137)=1,R138*(1+$F$5),R138))</f>
        <v>#REF!</v>
      </c>
      <c r="S137" s="125" t="e">
        <f t="shared" ref="S137:S200" ca="1" si="45">R137*$B$8/12</f>
        <v>#REF!</v>
      </c>
      <c r="T137" s="125" t="e">
        <f t="shared" ca="1" si="39"/>
        <v>#REF!</v>
      </c>
      <c r="U137" s="128" t="e">
        <f t="shared" ref="U137:U200" ca="1" si="46">(1+$V$5)^(P137/12)*(T137+IF(Q137=$Z$7,$Z$4,0))</f>
        <v>#REF!</v>
      </c>
      <c r="AC137">
        <v>130</v>
      </c>
      <c r="AD137" s="6">
        <f t="shared" ref="AD137:AD200" ca="1" si="47">+DATE(YEAR(AD136),MONTH(AD136)-1,DAY(AD136))</f>
        <v>48823</v>
      </c>
      <c r="AE137" s="7" t="e">
        <f t="shared" ref="AE137:AE200" ca="1" si="48">IF($AM$7=$E137,1,IF(MONTH($E137)=1,AE138*(1+$F$5),AE138))</f>
        <v>#REF!</v>
      </c>
      <c r="AF137" s="125" t="e">
        <f t="shared" ref="AF137:AF200" ca="1" si="49">AE137*$B$8/12</f>
        <v>#REF!</v>
      </c>
      <c r="AG137" s="125" t="e">
        <f t="shared" ca="1" si="40"/>
        <v>#REF!</v>
      </c>
      <c r="AH137" s="128" t="e">
        <f t="shared" ref="AH137:AH200" ca="1" si="50">(1+$AI$5)^(AC137/12)*(AG137+IF(AD137=$AM$7,$AM$4,0))</f>
        <v>#REF!</v>
      </c>
    </row>
    <row r="138" spans="4:34">
      <c r="D138">
        <v>131</v>
      </c>
      <c r="E138" s="6">
        <f t="shared" ca="1" si="41"/>
        <v>48792</v>
      </c>
      <c r="F138" s="7">
        <f t="shared" ca="1" si="42"/>
        <v>1</v>
      </c>
      <c r="G138" s="125">
        <f t="shared" ca="1" si="35"/>
        <v>17500</v>
      </c>
      <c r="H138" s="125">
        <f ca="1">IF(F138=1,F138*$B$10/MIN(12,'Simulador - 3º Pilar'!$E$88),0)</f>
        <v>0</v>
      </c>
      <c r="I138" s="128">
        <f t="shared" ca="1" si="36"/>
        <v>0</v>
      </c>
      <c r="J138" s="494">
        <f t="shared" ca="1" si="37"/>
        <v>0</v>
      </c>
      <c r="K138" s="126">
        <f t="shared" ca="1" si="38"/>
        <v>0</v>
      </c>
      <c r="L138" s="126">
        <f t="shared" ca="1" si="34"/>
        <v>0</v>
      </c>
      <c r="P138">
        <v>131</v>
      </c>
      <c r="Q138" s="6">
        <f t="shared" ca="1" si="43"/>
        <v>48792</v>
      </c>
      <c r="R138" s="7" t="e">
        <f t="shared" ca="1" si="44"/>
        <v>#REF!</v>
      </c>
      <c r="S138" s="125" t="e">
        <f t="shared" ca="1" si="45"/>
        <v>#REF!</v>
      </c>
      <c r="T138" s="125" t="e">
        <f t="shared" ca="1" si="39"/>
        <v>#REF!</v>
      </c>
      <c r="U138" s="128" t="e">
        <f t="shared" ca="1" si="46"/>
        <v>#REF!</v>
      </c>
      <c r="AC138">
        <v>131</v>
      </c>
      <c r="AD138" s="6">
        <f t="shared" ca="1" si="47"/>
        <v>48792</v>
      </c>
      <c r="AE138" s="7" t="e">
        <f t="shared" ca="1" si="48"/>
        <v>#REF!</v>
      </c>
      <c r="AF138" s="125" t="e">
        <f t="shared" ca="1" si="49"/>
        <v>#REF!</v>
      </c>
      <c r="AG138" s="125" t="e">
        <f t="shared" ca="1" si="40"/>
        <v>#REF!</v>
      </c>
      <c r="AH138" s="128" t="e">
        <f t="shared" ca="1" si="50"/>
        <v>#REF!</v>
      </c>
    </row>
    <row r="139" spans="4:34">
      <c r="D139">
        <v>132</v>
      </c>
      <c r="E139" s="6">
        <f t="shared" ca="1" si="41"/>
        <v>48761</v>
      </c>
      <c r="F139" s="7">
        <f t="shared" ca="1" si="42"/>
        <v>1</v>
      </c>
      <c r="G139" s="125">
        <f t="shared" ca="1" si="35"/>
        <v>17500</v>
      </c>
      <c r="H139" s="125">
        <f ca="1">IF(F139=1,F139*$B$10/MIN(12,'Simulador - 3º Pilar'!$E$88),0)</f>
        <v>0</v>
      </c>
      <c r="I139" s="128">
        <f t="shared" ca="1" si="36"/>
        <v>0</v>
      </c>
      <c r="J139" s="494">
        <f t="shared" ca="1" si="37"/>
        <v>0</v>
      </c>
      <c r="K139" s="126">
        <f t="shared" ca="1" si="38"/>
        <v>0</v>
      </c>
      <c r="L139" s="126">
        <f t="shared" ca="1" si="34"/>
        <v>0</v>
      </c>
      <c r="P139">
        <v>132</v>
      </c>
      <c r="Q139" s="6">
        <f t="shared" ca="1" si="43"/>
        <v>48761</v>
      </c>
      <c r="R139" s="7" t="e">
        <f t="shared" ca="1" si="44"/>
        <v>#REF!</v>
      </c>
      <c r="S139" s="125" t="e">
        <f t="shared" ca="1" si="45"/>
        <v>#REF!</v>
      </c>
      <c r="T139" s="125" t="e">
        <f t="shared" ca="1" si="39"/>
        <v>#REF!</v>
      </c>
      <c r="U139" s="128" t="e">
        <f t="shared" ca="1" si="46"/>
        <v>#REF!</v>
      </c>
      <c r="AC139">
        <v>132</v>
      </c>
      <c r="AD139" s="6">
        <f t="shared" ca="1" si="47"/>
        <v>48761</v>
      </c>
      <c r="AE139" s="7" t="e">
        <f t="shared" ca="1" si="48"/>
        <v>#REF!</v>
      </c>
      <c r="AF139" s="125" t="e">
        <f t="shared" ca="1" si="49"/>
        <v>#REF!</v>
      </c>
      <c r="AG139" s="125" t="e">
        <f t="shared" ca="1" si="40"/>
        <v>#REF!</v>
      </c>
      <c r="AH139" s="128" t="e">
        <f t="shared" ca="1" si="50"/>
        <v>#REF!</v>
      </c>
    </row>
    <row r="140" spans="4:34">
      <c r="D140">
        <v>133</v>
      </c>
      <c r="E140" s="6">
        <f t="shared" ca="1" si="41"/>
        <v>48731</v>
      </c>
      <c r="F140" s="7">
        <f t="shared" ca="1" si="42"/>
        <v>1</v>
      </c>
      <c r="G140" s="125">
        <f t="shared" ca="1" si="35"/>
        <v>17500</v>
      </c>
      <c r="H140" s="125">
        <f ca="1">IF(F140=1,F140*$B$10/MIN(12,'Simulador - 3º Pilar'!$E$88),0)</f>
        <v>0</v>
      </c>
      <c r="I140" s="128">
        <f t="shared" ca="1" si="36"/>
        <v>0</v>
      </c>
      <c r="J140" s="494">
        <f t="shared" ca="1" si="37"/>
        <v>0</v>
      </c>
      <c r="K140" s="126">
        <f t="shared" ca="1" si="38"/>
        <v>0</v>
      </c>
      <c r="L140" s="126">
        <f t="shared" ca="1" si="34"/>
        <v>0</v>
      </c>
      <c r="P140">
        <v>133</v>
      </c>
      <c r="Q140" s="6">
        <f t="shared" ca="1" si="43"/>
        <v>48731</v>
      </c>
      <c r="R140" s="7" t="e">
        <f t="shared" ca="1" si="44"/>
        <v>#REF!</v>
      </c>
      <c r="S140" s="125" t="e">
        <f t="shared" ca="1" si="45"/>
        <v>#REF!</v>
      </c>
      <c r="T140" s="125" t="e">
        <f t="shared" ca="1" si="39"/>
        <v>#REF!</v>
      </c>
      <c r="U140" s="128" t="e">
        <f t="shared" ca="1" si="46"/>
        <v>#REF!</v>
      </c>
      <c r="AC140">
        <v>133</v>
      </c>
      <c r="AD140" s="6">
        <f t="shared" ca="1" si="47"/>
        <v>48731</v>
      </c>
      <c r="AE140" s="7" t="e">
        <f t="shared" ca="1" si="48"/>
        <v>#REF!</v>
      </c>
      <c r="AF140" s="125" t="e">
        <f t="shared" ca="1" si="49"/>
        <v>#REF!</v>
      </c>
      <c r="AG140" s="125" t="e">
        <f t="shared" ca="1" si="40"/>
        <v>#REF!</v>
      </c>
      <c r="AH140" s="128" t="e">
        <f t="shared" ca="1" si="50"/>
        <v>#REF!</v>
      </c>
    </row>
    <row r="141" spans="4:34">
      <c r="D141">
        <v>134</v>
      </c>
      <c r="E141" s="6">
        <f t="shared" ca="1" si="41"/>
        <v>48700</v>
      </c>
      <c r="F141" s="7">
        <f t="shared" ca="1" si="42"/>
        <v>1</v>
      </c>
      <c r="G141" s="125">
        <f t="shared" ca="1" si="35"/>
        <v>17500</v>
      </c>
      <c r="H141" s="125">
        <f ca="1">IF(F141=1,F141*$B$10/MIN(12,'Simulador - 3º Pilar'!$E$88),0)</f>
        <v>0</v>
      </c>
      <c r="I141" s="128">
        <f t="shared" ca="1" si="36"/>
        <v>0</v>
      </c>
      <c r="J141" s="494">
        <f t="shared" ca="1" si="37"/>
        <v>0</v>
      </c>
      <c r="K141" s="126">
        <f t="shared" ca="1" si="38"/>
        <v>0</v>
      </c>
      <c r="L141" s="126">
        <f t="shared" ca="1" si="34"/>
        <v>0</v>
      </c>
      <c r="P141">
        <v>134</v>
      </c>
      <c r="Q141" s="6">
        <f t="shared" ca="1" si="43"/>
        <v>48700</v>
      </c>
      <c r="R141" s="7" t="e">
        <f t="shared" ca="1" si="44"/>
        <v>#REF!</v>
      </c>
      <c r="S141" s="125" t="e">
        <f t="shared" ca="1" si="45"/>
        <v>#REF!</v>
      </c>
      <c r="T141" s="125" t="e">
        <f t="shared" ca="1" si="39"/>
        <v>#REF!</v>
      </c>
      <c r="U141" s="128" t="e">
        <f t="shared" ca="1" si="46"/>
        <v>#REF!</v>
      </c>
      <c r="AC141">
        <v>134</v>
      </c>
      <c r="AD141" s="6">
        <f t="shared" ca="1" si="47"/>
        <v>48700</v>
      </c>
      <c r="AE141" s="7" t="e">
        <f t="shared" ca="1" si="48"/>
        <v>#REF!</v>
      </c>
      <c r="AF141" s="125" t="e">
        <f t="shared" ca="1" si="49"/>
        <v>#REF!</v>
      </c>
      <c r="AG141" s="125" t="e">
        <f t="shared" ca="1" si="40"/>
        <v>#REF!</v>
      </c>
      <c r="AH141" s="128" t="e">
        <f t="shared" ca="1" si="50"/>
        <v>#REF!</v>
      </c>
    </row>
    <row r="142" spans="4:34">
      <c r="D142">
        <v>135</v>
      </c>
      <c r="E142" s="6">
        <f t="shared" ca="1" si="41"/>
        <v>48670</v>
      </c>
      <c r="F142" s="7">
        <f t="shared" ca="1" si="42"/>
        <v>1</v>
      </c>
      <c r="G142" s="125">
        <f t="shared" ca="1" si="35"/>
        <v>17500</v>
      </c>
      <c r="H142" s="125">
        <f ca="1">IF(F142=1,F142*$B$10/MIN(12,'Simulador - 3º Pilar'!$E$88),0)</f>
        <v>0</v>
      </c>
      <c r="I142" s="128">
        <f t="shared" ca="1" si="36"/>
        <v>0</v>
      </c>
      <c r="J142" s="494">
        <f t="shared" ca="1" si="37"/>
        <v>0</v>
      </c>
      <c r="K142" s="126">
        <f t="shared" ca="1" si="38"/>
        <v>0</v>
      </c>
      <c r="L142" s="126">
        <f t="shared" ca="1" si="34"/>
        <v>0</v>
      </c>
      <c r="P142">
        <v>135</v>
      </c>
      <c r="Q142" s="6">
        <f t="shared" ca="1" si="43"/>
        <v>48670</v>
      </c>
      <c r="R142" s="7" t="e">
        <f t="shared" ca="1" si="44"/>
        <v>#REF!</v>
      </c>
      <c r="S142" s="125" t="e">
        <f t="shared" ca="1" si="45"/>
        <v>#REF!</v>
      </c>
      <c r="T142" s="125" t="e">
        <f t="shared" ca="1" si="39"/>
        <v>#REF!</v>
      </c>
      <c r="U142" s="128" t="e">
        <f t="shared" ca="1" si="46"/>
        <v>#REF!</v>
      </c>
      <c r="AC142">
        <v>135</v>
      </c>
      <c r="AD142" s="6">
        <f t="shared" ca="1" si="47"/>
        <v>48670</v>
      </c>
      <c r="AE142" s="7" t="e">
        <f t="shared" ca="1" si="48"/>
        <v>#REF!</v>
      </c>
      <c r="AF142" s="125" t="e">
        <f t="shared" ca="1" si="49"/>
        <v>#REF!</v>
      </c>
      <c r="AG142" s="125" t="e">
        <f t="shared" ca="1" si="40"/>
        <v>#REF!</v>
      </c>
      <c r="AH142" s="128" t="e">
        <f t="shared" ca="1" si="50"/>
        <v>#REF!</v>
      </c>
    </row>
    <row r="143" spans="4:34">
      <c r="D143">
        <v>136</v>
      </c>
      <c r="E143" s="6">
        <f t="shared" ca="1" si="41"/>
        <v>48639</v>
      </c>
      <c r="F143" s="7">
        <f t="shared" ca="1" si="42"/>
        <v>1</v>
      </c>
      <c r="G143" s="125">
        <f t="shared" ca="1" si="35"/>
        <v>17500</v>
      </c>
      <c r="H143" s="125">
        <f ca="1">IF(F143=1,F143*$B$10/MIN(12,'Simulador - 3º Pilar'!$E$88),0)</f>
        <v>0</v>
      </c>
      <c r="I143" s="128">
        <f t="shared" ca="1" si="36"/>
        <v>0</v>
      </c>
      <c r="J143" s="494">
        <f t="shared" ca="1" si="37"/>
        <v>0</v>
      </c>
      <c r="K143" s="126">
        <f t="shared" ca="1" si="38"/>
        <v>0</v>
      </c>
      <c r="L143" s="126">
        <f t="shared" ca="1" si="34"/>
        <v>0</v>
      </c>
      <c r="P143">
        <v>136</v>
      </c>
      <c r="Q143" s="6">
        <f t="shared" ca="1" si="43"/>
        <v>48639</v>
      </c>
      <c r="R143" s="7" t="e">
        <f t="shared" ca="1" si="44"/>
        <v>#REF!</v>
      </c>
      <c r="S143" s="125" t="e">
        <f t="shared" ca="1" si="45"/>
        <v>#REF!</v>
      </c>
      <c r="T143" s="125" t="e">
        <f t="shared" ca="1" si="39"/>
        <v>#REF!</v>
      </c>
      <c r="U143" s="128" t="e">
        <f t="shared" ca="1" si="46"/>
        <v>#REF!</v>
      </c>
      <c r="AC143">
        <v>136</v>
      </c>
      <c r="AD143" s="6">
        <f t="shared" ca="1" si="47"/>
        <v>48639</v>
      </c>
      <c r="AE143" s="7" t="e">
        <f t="shared" ca="1" si="48"/>
        <v>#REF!</v>
      </c>
      <c r="AF143" s="125" t="e">
        <f t="shared" ca="1" si="49"/>
        <v>#REF!</v>
      </c>
      <c r="AG143" s="125" t="e">
        <f t="shared" ca="1" si="40"/>
        <v>#REF!</v>
      </c>
      <c r="AH143" s="128" t="e">
        <f t="shared" ca="1" si="50"/>
        <v>#REF!</v>
      </c>
    </row>
    <row r="144" spans="4:34">
      <c r="D144">
        <v>137</v>
      </c>
      <c r="E144" s="6">
        <f t="shared" ca="1" si="41"/>
        <v>48611</v>
      </c>
      <c r="F144" s="7">
        <f t="shared" ca="1" si="42"/>
        <v>1</v>
      </c>
      <c r="G144" s="125">
        <f t="shared" ca="1" si="35"/>
        <v>17500</v>
      </c>
      <c r="H144" s="125">
        <f ca="1">IF(F144=1,F144*$B$10/MIN(12,'Simulador - 3º Pilar'!$E$88),0)</f>
        <v>0</v>
      </c>
      <c r="I144" s="128">
        <f t="shared" ca="1" si="36"/>
        <v>0</v>
      </c>
      <c r="J144" s="494">
        <f t="shared" ca="1" si="37"/>
        <v>0</v>
      </c>
      <c r="K144" s="126">
        <f t="shared" ca="1" si="38"/>
        <v>0</v>
      </c>
      <c r="L144" s="126">
        <f t="shared" ca="1" si="34"/>
        <v>0</v>
      </c>
      <c r="P144">
        <v>137</v>
      </c>
      <c r="Q144" s="6">
        <f t="shared" ca="1" si="43"/>
        <v>48611</v>
      </c>
      <c r="R144" s="7" t="e">
        <f t="shared" ca="1" si="44"/>
        <v>#REF!</v>
      </c>
      <c r="S144" s="125" t="e">
        <f t="shared" ca="1" si="45"/>
        <v>#REF!</v>
      </c>
      <c r="T144" s="125" t="e">
        <f t="shared" ca="1" si="39"/>
        <v>#REF!</v>
      </c>
      <c r="U144" s="128" t="e">
        <f t="shared" ca="1" si="46"/>
        <v>#REF!</v>
      </c>
      <c r="AC144">
        <v>137</v>
      </c>
      <c r="AD144" s="6">
        <f t="shared" ca="1" si="47"/>
        <v>48611</v>
      </c>
      <c r="AE144" s="7" t="e">
        <f t="shared" ca="1" si="48"/>
        <v>#REF!</v>
      </c>
      <c r="AF144" s="125" t="e">
        <f t="shared" ca="1" si="49"/>
        <v>#REF!</v>
      </c>
      <c r="AG144" s="125" t="e">
        <f t="shared" ca="1" si="40"/>
        <v>#REF!</v>
      </c>
      <c r="AH144" s="128" t="e">
        <f t="shared" ca="1" si="50"/>
        <v>#REF!</v>
      </c>
    </row>
    <row r="145" spans="4:34">
      <c r="D145">
        <v>138</v>
      </c>
      <c r="E145" s="6">
        <f t="shared" ca="1" si="41"/>
        <v>48580</v>
      </c>
      <c r="F145" s="7">
        <f t="shared" ca="1" si="42"/>
        <v>1</v>
      </c>
      <c r="G145" s="125">
        <f t="shared" ca="1" si="35"/>
        <v>17500</v>
      </c>
      <c r="H145" s="125">
        <f ca="1">IF(F145=1,F145*$B$10/MIN(12,'Simulador - 3º Pilar'!$E$88),0)</f>
        <v>0</v>
      </c>
      <c r="I145" s="128">
        <f t="shared" ca="1" si="36"/>
        <v>0</v>
      </c>
      <c r="J145" s="494">
        <f t="shared" ca="1" si="37"/>
        <v>0</v>
      </c>
      <c r="K145" s="126">
        <f t="shared" ca="1" si="38"/>
        <v>0</v>
      </c>
      <c r="L145" s="126">
        <f t="shared" ca="1" si="34"/>
        <v>0</v>
      </c>
      <c r="P145">
        <v>138</v>
      </c>
      <c r="Q145" s="6">
        <f t="shared" ca="1" si="43"/>
        <v>48580</v>
      </c>
      <c r="R145" s="7" t="e">
        <f t="shared" ca="1" si="44"/>
        <v>#REF!</v>
      </c>
      <c r="S145" s="125" t="e">
        <f t="shared" ca="1" si="45"/>
        <v>#REF!</v>
      </c>
      <c r="T145" s="125" t="e">
        <f t="shared" ca="1" si="39"/>
        <v>#REF!</v>
      </c>
      <c r="U145" s="128" t="e">
        <f t="shared" ca="1" si="46"/>
        <v>#REF!</v>
      </c>
      <c r="AC145">
        <v>138</v>
      </c>
      <c r="AD145" s="6">
        <f t="shared" ca="1" si="47"/>
        <v>48580</v>
      </c>
      <c r="AE145" s="7" t="e">
        <f t="shared" ca="1" si="48"/>
        <v>#REF!</v>
      </c>
      <c r="AF145" s="125" t="e">
        <f t="shared" ca="1" si="49"/>
        <v>#REF!</v>
      </c>
      <c r="AG145" s="125" t="e">
        <f t="shared" ca="1" si="40"/>
        <v>#REF!</v>
      </c>
      <c r="AH145" s="128" t="e">
        <f t="shared" ca="1" si="50"/>
        <v>#REF!</v>
      </c>
    </row>
    <row r="146" spans="4:34">
      <c r="D146">
        <v>139</v>
      </c>
      <c r="E146" s="6">
        <f t="shared" ca="1" si="41"/>
        <v>48549</v>
      </c>
      <c r="F146" s="7">
        <f t="shared" ca="1" si="42"/>
        <v>1</v>
      </c>
      <c r="G146" s="125">
        <f t="shared" ca="1" si="35"/>
        <v>17500</v>
      </c>
      <c r="H146" s="125">
        <f ca="1">IF(F146=1,F146*$B$10/MIN(12,'Simulador - 3º Pilar'!$E$88),0)</f>
        <v>0</v>
      </c>
      <c r="I146" s="128">
        <f t="shared" ca="1" si="36"/>
        <v>0</v>
      </c>
      <c r="J146" s="494">
        <f t="shared" ca="1" si="37"/>
        <v>0</v>
      </c>
      <c r="K146" s="126">
        <f t="shared" ca="1" si="38"/>
        <v>0</v>
      </c>
      <c r="L146" s="126">
        <f t="shared" ca="1" si="34"/>
        <v>0</v>
      </c>
      <c r="P146">
        <v>139</v>
      </c>
      <c r="Q146" s="6">
        <f t="shared" ca="1" si="43"/>
        <v>48549</v>
      </c>
      <c r="R146" s="7" t="e">
        <f t="shared" ca="1" si="44"/>
        <v>#REF!</v>
      </c>
      <c r="S146" s="125" t="e">
        <f t="shared" ca="1" si="45"/>
        <v>#REF!</v>
      </c>
      <c r="T146" s="125" t="e">
        <f t="shared" ca="1" si="39"/>
        <v>#REF!</v>
      </c>
      <c r="U146" s="128" t="e">
        <f t="shared" ca="1" si="46"/>
        <v>#REF!</v>
      </c>
      <c r="AC146">
        <v>139</v>
      </c>
      <c r="AD146" s="6">
        <f t="shared" ca="1" si="47"/>
        <v>48549</v>
      </c>
      <c r="AE146" s="7" t="e">
        <f t="shared" ca="1" si="48"/>
        <v>#REF!</v>
      </c>
      <c r="AF146" s="125" t="e">
        <f t="shared" ca="1" si="49"/>
        <v>#REF!</v>
      </c>
      <c r="AG146" s="125" t="e">
        <f t="shared" ca="1" si="40"/>
        <v>#REF!</v>
      </c>
      <c r="AH146" s="128" t="e">
        <f t="shared" ca="1" si="50"/>
        <v>#REF!</v>
      </c>
    </row>
    <row r="147" spans="4:34">
      <c r="D147">
        <v>140</v>
      </c>
      <c r="E147" s="6">
        <f t="shared" ca="1" si="41"/>
        <v>48519</v>
      </c>
      <c r="F147" s="7">
        <f t="shared" ca="1" si="42"/>
        <v>1</v>
      </c>
      <c r="G147" s="125">
        <f t="shared" ca="1" si="35"/>
        <v>17500</v>
      </c>
      <c r="H147" s="125">
        <f ca="1">IF(F147=1,F147*$B$10/MIN(12,'Simulador - 3º Pilar'!$E$88),0)</f>
        <v>0</v>
      </c>
      <c r="I147" s="128">
        <f t="shared" ca="1" si="36"/>
        <v>0</v>
      </c>
      <c r="J147" s="494">
        <f t="shared" ca="1" si="37"/>
        <v>0</v>
      </c>
      <c r="K147" s="126">
        <f t="shared" ca="1" si="38"/>
        <v>0</v>
      </c>
      <c r="L147" s="126">
        <f t="shared" ca="1" si="34"/>
        <v>0</v>
      </c>
      <c r="P147">
        <v>140</v>
      </c>
      <c r="Q147" s="6">
        <f t="shared" ca="1" si="43"/>
        <v>48519</v>
      </c>
      <c r="R147" s="7" t="e">
        <f t="shared" ca="1" si="44"/>
        <v>#REF!</v>
      </c>
      <c r="S147" s="125" t="e">
        <f t="shared" ca="1" si="45"/>
        <v>#REF!</v>
      </c>
      <c r="T147" s="125" t="e">
        <f t="shared" ca="1" si="39"/>
        <v>#REF!</v>
      </c>
      <c r="U147" s="128" t="e">
        <f t="shared" ca="1" si="46"/>
        <v>#REF!</v>
      </c>
      <c r="AC147">
        <v>140</v>
      </c>
      <c r="AD147" s="6">
        <f t="shared" ca="1" si="47"/>
        <v>48519</v>
      </c>
      <c r="AE147" s="7" t="e">
        <f t="shared" ca="1" si="48"/>
        <v>#REF!</v>
      </c>
      <c r="AF147" s="125" t="e">
        <f t="shared" ca="1" si="49"/>
        <v>#REF!</v>
      </c>
      <c r="AG147" s="125" t="e">
        <f t="shared" ca="1" si="40"/>
        <v>#REF!</v>
      </c>
      <c r="AH147" s="128" t="e">
        <f t="shared" ca="1" si="50"/>
        <v>#REF!</v>
      </c>
    </row>
    <row r="148" spans="4:34">
      <c r="D148">
        <v>141</v>
      </c>
      <c r="E148" s="6">
        <f t="shared" ca="1" si="41"/>
        <v>48488</v>
      </c>
      <c r="F148" s="7">
        <f t="shared" ca="1" si="42"/>
        <v>1</v>
      </c>
      <c r="G148" s="125">
        <f t="shared" ca="1" si="35"/>
        <v>17500</v>
      </c>
      <c r="H148" s="125">
        <f ca="1">IF(F148=1,F148*$B$10/MIN(12,'Simulador - 3º Pilar'!$E$88),0)</f>
        <v>0</v>
      </c>
      <c r="I148" s="128">
        <f t="shared" ca="1" si="36"/>
        <v>0</v>
      </c>
      <c r="J148" s="494">
        <f t="shared" ca="1" si="37"/>
        <v>0</v>
      </c>
      <c r="K148" s="126">
        <f t="shared" ca="1" si="38"/>
        <v>0</v>
      </c>
      <c r="L148" s="126">
        <f t="shared" ca="1" si="34"/>
        <v>0</v>
      </c>
      <c r="P148">
        <v>141</v>
      </c>
      <c r="Q148" s="6">
        <f t="shared" ca="1" si="43"/>
        <v>48488</v>
      </c>
      <c r="R148" s="7" t="e">
        <f t="shared" ca="1" si="44"/>
        <v>#REF!</v>
      </c>
      <c r="S148" s="125" t="e">
        <f t="shared" ca="1" si="45"/>
        <v>#REF!</v>
      </c>
      <c r="T148" s="125" t="e">
        <f t="shared" ca="1" si="39"/>
        <v>#REF!</v>
      </c>
      <c r="U148" s="128" t="e">
        <f t="shared" ca="1" si="46"/>
        <v>#REF!</v>
      </c>
      <c r="AC148">
        <v>141</v>
      </c>
      <c r="AD148" s="6">
        <f t="shared" ca="1" si="47"/>
        <v>48488</v>
      </c>
      <c r="AE148" s="7" t="e">
        <f t="shared" ca="1" si="48"/>
        <v>#REF!</v>
      </c>
      <c r="AF148" s="125" t="e">
        <f t="shared" ca="1" si="49"/>
        <v>#REF!</v>
      </c>
      <c r="AG148" s="125" t="e">
        <f t="shared" ca="1" si="40"/>
        <v>#REF!</v>
      </c>
      <c r="AH148" s="128" t="e">
        <f t="shared" ca="1" si="50"/>
        <v>#REF!</v>
      </c>
    </row>
    <row r="149" spans="4:34">
      <c r="D149">
        <v>142</v>
      </c>
      <c r="E149" s="6">
        <f t="shared" ca="1" si="41"/>
        <v>48458</v>
      </c>
      <c r="F149" s="7">
        <f t="shared" ca="1" si="42"/>
        <v>1</v>
      </c>
      <c r="G149" s="125">
        <f t="shared" ca="1" si="35"/>
        <v>17500</v>
      </c>
      <c r="H149" s="125">
        <f ca="1">IF(F149=1,F149*$B$10/MIN(12,'Simulador - 3º Pilar'!$E$88),0)</f>
        <v>0</v>
      </c>
      <c r="I149" s="128">
        <f t="shared" ca="1" si="36"/>
        <v>0</v>
      </c>
      <c r="J149" s="494">
        <f t="shared" ca="1" si="37"/>
        <v>0</v>
      </c>
      <c r="K149" s="126">
        <f t="shared" ca="1" si="38"/>
        <v>0</v>
      </c>
      <c r="L149" s="126">
        <f t="shared" ref="L149:L159" ca="1" si="51">(1+$G$5)^(D149/12)*(IF((E149)&gt;($B$6),H149,0)+IF(E149=$N$7,$N$4,0)+IF(E149=$C$6,0,0))</f>
        <v>0</v>
      </c>
      <c r="P149">
        <v>142</v>
      </c>
      <c r="Q149" s="6">
        <f t="shared" ca="1" si="43"/>
        <v>48458</v>
      </c>
      <c r="R149" s="7" t="e">
        <f t="shared" ca="1" si="44"/>
        <v>#REF!</v>
      </c>
      <c r="S149" s="125" t="e">
        <f t="shared" ca="1" si="45"/>
        <v>#REF!</v>
      </c>
      <c r="T149" s="125" t="e">
        <f t="shared" ca="1" si="39"/>
        <v>#REF!</v>
      </c>
      <c r="U149" s="128" t="e">
        <f t="shared" ca="1" si="46"/>
        <v>#REF!</v>
      </c>
      <c r="AC149">
        <v>142</v>
      </c>
      <c r="AD149" s="6">
        <f t="shared" ca="1" si="47"/>
        <v>48458</v>
      </c>
      <c r="AE149" s="7" t="e">
        <f t="shared" ca="1" si="48"/>
        <v>#REF!</v>
      </c>
      <c r="AF149" s="125" t="e">
        <f t="shared" ca="1" si="49"/>
        <v>#REF!</v>
      </c>
      <c r="AG149" s="125" t="e">
        <f t="shared" ca="1" si="40"/>
        <v>#REF!</v>
      </c>
      <c r="AH149" s="128" t="e">
        <f t="shared" ca="1" si="50"/>
        <v>#REF!</v>
      </c>
    </row>
    <row r="150" spans="4:34">
      <c r="D150">
        <v>143</v>
      </c>
      <c r="E150" s="6">
        <f t="shared" ca="1" si="41"/>
        <v>48427</v>
      </c>
      <c r="F150" s="7">
        <f t="shared" ca="1" si="42"/>
        <v>1</v>
      </c>
      <c r="G150" s="125">
        <f t="shared" ca="1" si="35"/>
        <v>17500</v>
      </c>
      <c r="H150" s="125">
        <f ca="1">IF(F150=1,F150*$B$10/MIN(12,'Simulador - 3º Pilar'!$E$88),0)</f>
        <v>0</v>
      </c>
      <c r="I150" s="128">
        <f t="shared" ca="1" si="36"/>
        <v>0</v>
      </c>
      <c r="J150" s="494">
        <f t="shared" ca="1" si="37"/>
        <v>0</v>
      </c>
      <c r="K150" s="126">
        <f t="shared" ca="1" si="38"/>
        <v>0</v>
      </c>
      <c r="L150" s="126">
        <f t="shared" ca="1" si="51"/>
        <v>0</v>
      </c>
      <c r="P150">
        <v>143</v>
      </c>
      <c r="Q150" s="6">
        <f t="shared" ca="1" si="43"/>
        <v>48427</v>
      </c>
      <c r="R150" s="7" t="e">
        <f t="shared" ca="1" si="44"/>
        <v>#REF!</v>
      </c>
      <c r="S150" s="125" t="e">
        <f t="shared" ca="1" si="45"/>
        <v>#REF!</v>
      </c>
      <c r="T150" s="125" t="e">
        <f t="shared" ca="1" si="39"/>
        <v>#REF!</v>
      </c>
      <c r="U150" s="128" t="e">
        <f t="shared" ca="1" si="46"/>
        <v>#REF!</v>
      </c>
      <c r="AC150">
        <v>143</v>
      </c>
      <c r="AD150" s="6">
        <f t="shared" ca="1" si="47"/>
        <v>48427</v>
      </c>
      <c r="AE150" s="7" t="e">
        <f t="shared" ca="1" si="48"/>
        <v>#REF!</v>
      </c>
      <c r="AF150" s="125" t="e">
        <f t="shared" ca="1" si="49"/>
        <v>#REF!</v>
      </c>
      <c r="AG150" s="125" t="e">
        <f t="shared" ca="1" si="40"/>
        <v>#REF!</v>
      </c>
      <c r="AH150" s="128" t="e">
        <f t="shared" ca="1" si="50"/>
        <v>#REF!</v>
      </c>
    </row>
    <row r="151" spans="4:34">
      <c r="D151">
        <v>144</v>
      </c>
      <c r="E151" s="6">
        <f t="shared" ca="1" si="41"/>
        <v>48396</v>
      </c>
      <c r="F151" s="7">
        <f t="shared" ca="1" si="42"/>
        <v>1</v>
      </c>
      <c r="G151" s="125">
        <f t="shared" ca="1" si="35"/>
        <v>17500</v>
      </c>
      <c r="H151" s="125">
        <f ca="1">IF(F151=1,F151*$B$10/MIN(12,'Simulador - 3º Pilar'!$E$88),0)</f>
        <v>0</v>
      </c>
      <c r="I151" s="128">
        <f t="shared" ca="1" si="36"/>
        <v>0</v>
      </c>
      <c r="J151" s="494">
        <f t="shared" ca="1" si="37"/>
        <v>0</v>
      </c>
      <c r="K151" s="126">
        <f t="shared" ca="1" si="38"/>
        <v>0</v>
      </c>
      <c r="L151" s="126">
        <f t="shared" ca="1" si="51"/>
        <v>0</v>
      </c>
      <c r="P151">
        <v>144</v>
      </c>
      <c r="Q151" s="6">
        <f t="shared" ca="1" si="43"/>
        <v>48396</v>
      </c>
      <c r="R151" s="7" t="e">
        <f t="shared" ca="1" si="44"/>
        <v>#REF!</v>
      </c>
      <c r="S151" s="125" t="e">
        <f t="shared" ca="1" si="45"/>
        <v>#REF!</v>
      </c>
      <c r="T151" s="125" t="e">
        <f t="shared" ca="1" si="39"/>
        <v>#REF!</v>
      </c>
      <c r="U151" s="128" t="e">
        <f t="shared" ca="1" si="46"/>
        <v>#REF!</v>
      </c>
      <c r="AC151">
        <v>144</v>
      </c>
      <c r="AD151" s="6">
        <f t="shared" ca="1" si="47"/>
        <v>48396</v>
      </c>
      <c r="AE151" s="7" t="e">
        <f t="shared" ca="1" si="48"/>
        <v>#REF!</v>
      </c>
      <c r="AF151" s="125" t="e">
        <f t="shared" ca="1" si="49"/>
        <v>#REF!</v>
      </c>
      <c r="AG151" s="125" t="e">
        <f t="shared" ca="1" si="40"/>
        <v>#REF!</v>
      </c>
      <c r="AH151" s="128" t="e">
        <f t="shared" ca="1" si="50"/>
        <v>#REF!</v>
      </c>
    </row>
    <row r="152" spans="4:34">
      <c r="D152">
        <v>145</v>
      </c>
      <c r="E152" s="6">
        <f t="shared" ca="1" si="41"/>
        <v>48366</v>
      </c>
      <c r="F152" s="7">
        <f t="shared" ca="1" si="42"/>
        <v>1</v>
      </c>
      <c r="G152" s="125">
        <f t="shared" ca="1" si="35"/>
        <v>17500</v>
      </c>
      <c r="H152" s="125">
        <f ca="1">IF(F152=1,F152*$B$10/MIN(12,'Simulador - 3º Pilar'!$E$88),0)</f>
        <v>0</v>
      </c>
      <c r="I152" s="128">
        <f t="shared" ca="1" si="36"/>
        <v>0</v>
      </c>
      <c r="J152" s="494">
        <f t="shared" ca="1" si="37"/>
        <v>0</v>
      </c>
      <c r="K152" s="126">
        <f t="shared" ca="1" si="38"/>
        <v>0</v>
      </c>
      <c r="L152" s="126">
        <f t="shared" ca="1" si="51"/>
        <v>0</v>
      </c>
      <c r="P152">
        <v>145</v>
      </c>
      <c r="Q152" s="6">
        <f t="shared" ca="1" si="43"/>
        <v>48366</v>
      </c>
      <c r="R152" s="7" t="e">
        <f t="shared" ca="1" si="44"/>
        <v>#REF!</v>
      </c>
      <c r="S152" s="125" t="e">
        <f t="shared" ca="1" si="45"/>
        <v>#REF!</v>
      </c>
      <c r="T152" s="125" t="e">
        <f t="shared" ca="1" si="39"/>
        <v>#REF!</v>
      </c>
      <c r="U152" s="128" t="e">
        <f t="shared" ca="1" si="46"/>
        <v>#REF!</v>
      </c>
      <c r="AC152">
        <v>145</v>
      </c>
      <c r="AD152" s="6">
        <f t="shared" ca="1" si="47"/>
        <v>48366</v>
      </c>
      <c r="AE152" s="7" t="e">
        <f t="shared" ca="1" si="48"/>
        <v>#REF!</v>
      </c>
      <c r="AF152" s="125" t="e">
        <f t="shared" ca="1" si="49"/>
        <v>#REF!</v>
      </c>
      <c r="AG152" s="125" t="e">
        <f t="shared" ca="1" si="40"/>
        <v>#REF!</v>
      </c>
      <c r="AH152" s="128" t="e">
        <f t="shared" ca="1" si="50"/>
        <v>#REF!</v>
      </c>
    </row>
    <row r="153" spans="4:34">
      <c r="D153">
        <v>146</v>
      </c>
      <c r="E153" s="6">
        <f t="shared" ca="1" si="41"/>
        <v>48335</v>
      </c>
      <c r="F153" s="7">
        <f t="shared" ca="1" si="42"/>
        <v>1</v>
      </c>
      <c r="G153" s="125">
        <f t="shared" ca="1" si="35"/>
        <v>17500</v>
      </c>
      <c r="H153" s="125">
        <f ca="1">IF(F153=1,F153*$B$10/MIN(12,'Simulador - 3º Pilar'!$E$88),0)</f>
        <v>0</v>
      </c>
      <c r="I153" s="128">
        <f t="shared" ca="1" si="36"/>
        <v>0</v>
      </c>
      <c r="J153" s="494">
        <f t="shared" ca="1" si="37"/>
        <v>0</v>
      </c>
      <c r="K153" s="126">
        <f t="shared" ca="1" si="38"/>
        <v>0</v>
      </c>
      <c r="L153" s="126">
        <f t="shared" ca="1" si="51"/>
        <v>0</v>
      </c>
      <c r="P153">
        <v>146</v>
      </c>
      <c r="Q153" s="6">
        <f t="shared" ca="1" si="43"/>
        <v>48335</v>
      </c>
      <c r="R153" s="7" t="e">
        <f t="shared" ca="1" si="44"/>
        <v>#REF!</v>
      </c>
      <c r="S153" s="125" t="e">
        <f t="shared" ca="1" si="45"/>
        <v>#REF!</v>
      </c>
      <c r="T153" s="125" t="e">
        <f t="shared" ca="1" si="39"/>
        <v>#REF!</v>
      </c>
      <c r="U153" s="128" t="e">
        <f t="shared" ca="1" si="46"/>
        <v>#REF!</v>
      </c>
      <c r="AC153">
        <v>146</v>
      </c>
      <c r="AD153" s="6">
        <f t="shared" ca="1" si="47"/>
        <v>48335</v>
      </c>
      <c r="AE153" s="7" t="e">
        <f t="shared" ca="1" si="48"/>
        <v>#REF!</v>
      </c>
      <c r="AF153" s="125" t="e">
        <f t="shared" ca="1" si="49"/>
        <v>#REF!</v>
      </c>
      <c r="AG153" s="125" t="e">
        <f t="shared" ca="1" si="40"/>
        <v>#REF!</v>
      </c>
      <c r="AH153" s="128" t="e">
        <f t="shared" ca="1" si="50"/>
        <v>#REF!</v>
      </c>
    </row>
    <row r="154" spans="4:34">
      <c r="D154">
        <v>147</v>
      </c>
      <c r="E154" s="6">
        <f t="shared" ca="1" si="41"/>
        <v>48305</v>
      </c>
      <c r="F154" s="7">
        <f t="shared" ca="1" si="42"/>
        <v>1</v>
      </c>
      <c r="G154" s="125">
        <f t="shared" ca="1" si="35"/>
        <v>17500</v>
      </c>
      <c r="H154" s="125">
        <f ca="1">IF(F154=1,F154*$B$10/MIN(12,'Simulador - 3º Pilar'!$E$88),0)</f>
        <v>0</v>
      </c>
      <c r="I154" s="128">
        <f t="shared" ca="1" si="36"/>
        <v>0</v>
      </c>
      <c r="J154" s="494">
        <f t="shared" ca="1" si="37"/>
        <v>0</v>
      </c>
      <c r="K154" s="126">
        <f t="shared" ca="1" si="38"/>
        <v>0</v>
      </c>
      <c r="L154" s="126">
        <f t="shared" ca="1" si="51"/>
        <v>0</v>
      </c>
      <c r="P154">
        <v>147</v>
      </c>
      <c r="Q154" s="6">
        <f t="shared" ca="1" si="43"/>
        <v>48305</v>
      </c>
      <c r="R154" s="7" t="e">
        <f t="shared" ca="1" si="44"/>
        <v>#REF!</v>
      </c>
      <c r="S154" s="125" t="e">
        <f t="shared" ca="1" si="45"/>
        <v>#REF!</v>
      </c>
      <c r="T154" s="125" t="e">
        <f t="shared" ca="1" si="39"/>
        <v>#REF!</v>
      </c>
      <c r="U154" s="128" t="e">
        <f t="shared" ca="1" si="46"/>
        <v>#REF!</v>
      </c>
      <c r="AC154">
        <v>147</v>
      </c>
      <c r="AD154" s="6">
        <f t="shared" ca="1" si="47"/>
        <v>48305</v>
      </c>
      <c r="AE154" s="7" t="e">
        <f t="shared" ca="1" si="48"/>
        <v>#REF!</v>
      </c>
      <c r="AF154" s="125" t="e">
        <f t="shared" ca="1" si="49"/>
        <v>#REF!</v>
      </c>
      <c r="AG154" s="125" t="e">
        <f t="shared" ca="1" si="40"/>
        <v>#REF!</v>
      </c>
      <c r="AH154" s="128" t="e">
        <f t="shared" ca="1" si="50"/>
        <v>#REF!</v>
      </c>
    </row>
    <row r="155" spans="4:34">
      <c r="D155">
        <v>148</v>
      </c>
      <c r="E155" s="6">
        <f t="shared" ca="1" si="41"/>
        <v>48274</v>
      </c>
      <c r="F155" s="7">
        <f t="shared" ca="1" si="42"/>
        <v>1</v>
      </c>
      <c r="G155" s="125">
        <f t="shared" ca="1" si="35"/>
        <v>17500</v>
      </c>
      <c r="H155" s="125">
        <f ca="1">IF(F155=1,F155*$B$10/MIN(12,'Simulador - 3º Pilar'!$E$88),0)</f>
        <v>0</v>
      </c>
      <c r="I155" s="128">
        <f t="shared" ca="1" si="36"/>
        <v>0</v>
      </c>
      <c r="J155" s="494">
        <f t="shared" ca="1" si="37"/>
        <v>0</v>
      </c>
      <c r="K155" s="126">
        <f t="shared" ca="1" si="38"/>
        <v>0</v>
      </c>
      <c r="L155" s="126">
        <f t="shared" ca="1" si="51"/>
        <v>0</v>
      </c>
      <c r="P155">
        <v>148</v>
      </c>
      <c r="Q155" s="6">
        <f t="shared" ca="1" si="43"/>
        <v>48274</v>
      </c>
      <c r="R155" s="7" t="e">
        <f t="shared" ca="1" si="44"/>
        <v>#REF!</v>
      </c>
      <c r="S155" s="125" t="e">
        <f t="shared" ca="1" si="45"/>
        <v>#REF!</v>
      </c>
      <c r="T155" s="125" t="e">
        <f t="shared" ca="1" si="39"/>
        <v>#REF!</v>
      </c>
      <c r="U155" s="128" t="e">
        <f t="shared" ca="1" si="46"/>
        <v>#REF!</v>
      </c>
      <c r="AC155">
        <v>148</v>
      </c>
      <c r="AD155" s="6">
        <f t="shared" ca="1" si="47"/>
        <v>48274</v>
      </c>
      <c r="AE155" s="7" t="e">
        <f t="shared" ca="1" si="48"/>
        <v>#REF!</v>
      </c>
      <c r="AF155" s="125" t="e">
        <f t="shared" ca="1" si="49"/>
        <v>#REF!</v>
      </c>
      <c r="AG155" s="125" t="e">
        <f t="shared" ca="1" si="40"/>
        <v>#REF!</v>
      </c>
      <c r="AH155" s="128" t="e">
        <f t="shared" ca="1" si="50"/>
        <v>#REF!</v>
      </c>
    </row>
    <row r="156" spans="4:34">
      <c r="D156">
        <v>149</v>
      </c>
      <c r="E156" s="6">
        <f t="shared" ca="1" si="41"/>
        <v>48245</v>
      </c>
      <c r="F156" s="7">
        <f t="shared" ca="1" si="42"/>
        <v>1</v>
      </c>
      <c r="G156" s="125">
        <f t="shared" ca="1" si="35"/>
        <v>17500</v>
      </c>
      <c r="H156" s="125">
        <f ca="1">IF(F156=1,F156*$B$10/MIN(12,'Simulador - 3º Pilar'!$E$88),0)</f>
        <v>0</v>
      </c>
      <c r="I156" s="128">
        <f t="shared" ca="1" si="36"/>
        <v>0</v>
      </c>
      <c r="J156" s="494">
        <f t="shared" ca="1" si="37"/>
        <v>0</v>
      </c>
      <c r="K156" s="126">
        <f t="shared" ca="1" si="38"/>
        <v>0</v>
      </c>
      <c r="L156" s="126">
        <f t="shared" ca="1" si="51"/>
        <v>0</v>
      </c>
      <c r="P156">
        <v>149</v>
      </c>
      <c r="Q156" s="6">
        <f t="shared" ca="1" si="43"/>
        <v>48245</v>
      </c>
      <c r="R156" s="7" t="e">
        <f t="shared" ca="1" si="44"/>
        <v>#REF!</v>
      </c>
      <c r="S156" s="125" t="e">
        <f t="shared" ca="1" si="45"/>
        <v>#REF!</v>
      </c>
      <c r="T156" s="125" t="e">
        <f t="shared" ca="1" si="39"/>
        <v>#REF!</v>
      </c>
      <c r="U156" s="128" t="e">
        <f t="shared" ca="1" si="46"/>
        <v>#REF!</v>
      </c>
      <c r="AC156">
        <v>149</v>
      </c>
      <c r="AD156" s="6">
        <f t="shared" ca="1" si="47"/>
        <v>48245</v>
      </c>
      <c r="AE156" s="7" t="e">
        <f t="shared" ca="1" si="48"/>
        <v>#REF!</v>
      </c>
      <c r="AF156" s="125" t="e">
        <f t="shared" ca="1" si="49"/>
        <v>#REF!</v>
      </c>
      <c r="AG156" s="125" t="e">
        <f t="shared" ca="1" si="40"/>
        <v>#REF!</v>
      </c>
      <c r="AH156" s="128" t="e">
        <f t="shared" ca="1" si="50"/>
        <v>#REF!</v>
      </c>
    </row>
    <row r="157" spans="4:34">
      <c r="D157">
        <v>150</v>
      </c>
      <c r="E157" s="6">
        <f t="shared" ca="1" si="41"/>
        <v>48214</v>
      </c>
      <c r="F157" s="7">
        <f t="shared" ca="1" si="42"/>
        <v>1</v>
      </c>
      <c r="G157" s="125">
        <f t="shared" ca="1" si="35"/>
        <v>17500</v>
      </c>
      <c r="H157" s="125">
        <f ca="1">IF(F157=1,F157*$B$10/MIN(12,'Simulador - 3º Pilar'!$E$88),0)</f>
        <v>0</v>
      </c>
      <c r="I157" s="128">
        <f t="shared" ca="1" si="36"/>
        <v>0</v>
      </c>
      <c r="J157" s="494">
        <f t="shared" ca="1" si="37"/>
        <v>0</v>
      </c>
      <c r="K157" s="126">
        <f t="shared" ca="1" si="38"/>
        <v>0</v>
      </c>
      <c r="L157" s="126">
        <f t="shared" ca="1" si="51"/>
        <v>0</v>
      </c>
      <c r="P157">
        <v>150</v>
      </c>
      <c r="Q157" s="6">
        <f t="shared" ca="1" si="43"/>
        <v>48214</v>
      </c>
      <c r="R157" s="7" t="e">
        <f t="shared" ca="1" si="44"/>
        <v>#REF!</v>
      </c>
      <c r="S157" s="125" t="e">
        <f t="shared" ca="1" si="45"/>
        <v>#REF!</v>
      </c>
      <c r="T157" s="125" t="e">
        <f t="shared" ca="1" si="39"/>
        <v>#REF!</v>
      </c>
      <c r="U157" s="128" t="e">
        <f t="shared" ca="1" si="46"/>
        <v>#REF!</v>
      </c>
      <c r="AC157">
        <v>150</v>
      </c>
      <c r="AD157" s="6">
        <f t="shared" ca="1" si="47"/>
        <v>48214</v>
      </c>
      <c r="AE157" s="7" t="e">
        <f t="shared" ca="1" si="48"/>
        <v>#REF!</v>
      </c>
      <c r="AF157" s="125" t="e">
        <f t="shared" ca="1" si="49"/>
        <v>#REF!</v>
      </c>
      <c r="AG157" s="125" t="e">
        <f t="shared" ca="1" si="40"/>
        <v>#REF!</v>
      </c>
      <c r="AH157" s="128" t="e">
        <f t="shared" ca="1" si="50"/>
        <v>#REF!</v>
      </c>
    </row>
    <row r="158" spans="4:34">
      <c r="D158">
        <v>151</v>
      </c>
      <c r="E158" s="6">
        <f t="shared" ca="1" si="41"/>
        <v>48183</v>
      </c>
      <c r="F158" s="7">
        <f t="shared" ca="1" si="42"/>
        <v>1</v>
      </c>
      <c r="G158" s="125">
        <f t="shared" ca="1" si="35"/>
        <v>17500</v>
      </c>
      <c r="H158" s="125">
        <f ca="1">IF(F158=1,F158*$B$10/MIN(12,'Simulador - 3º Pilar'!$E$88),0)</f>
        <v>0</v>
      </c>
      <c r="I158" s="128">
        <f t="shared" ca="1" si="36"/>
        <v>0</v>
      </c>
      <c r="J158" s="494">
        <f t="shared" ca="1" si="37"/>
        <v>0</v>
      </c>
      <c r="K158" s="126">
        <f t="shared" ca="1" si="38"/>
        <v>0</v>
      </c>
      <c r="L158" s="126">
        <f t="shared" ca="1" si="51"/>
        <v>0</v>
      </c>
      <c r="P158">
        <v>151</v>
      </c>
      <c r="Q158" s="6">
        <f t="shared" ca="1" si="43"/>
        <v>48183</v>
      </c>
      <c r="R158" s="7" t="e">
        <f t="shared" ca="1" si="44"/>
        <v>#REF!</v>
      </c>
      <c r="S158" s="125" t="e">
        <f t="shared" ca="1" si="45"/>
        <v>#REF!</v>
      </c>
      <c r="T158" s="125" t="e">
        <f t="shared" ca="1" si="39"/>
        <v>#REF!</v>
      </c>
      <c r="U158" s="128" t="e">
        <f t="shared" ca="1" si="46"/>
        <v>#REF!</v>
      </c>
      <c r="AC158">
        <v>151</v>
      </c>
      <c r="AD158" s="6">
        <f t="shared" ca="1" si="47"/>
        <v>48183</v>
      </c>
      <c r="AE158" s="7" t="e">
        <f t="shared" ca="1" si="48"/>
        <v>#REF!</v>
      </c>
      <c r="AF158" s="125" t="e">
        <f t="shared" ca="1" si="49"/>
        <v>#REF!</v>
      </c>
      <c r="AG158" s="125" t="e">
        <f t="shared" ca="1" si="40"/>
        <v>#REF!</v>
      </c>
      <c r="AH158" s="128" t="e">
        <f t="shared" ca="1" si="50"/>
        <v>#REF!</v>
      </c>
    </row>
    <row r="159" spans="4:34">
      <c r="D159">
        <v>152</v>
      </c>
      <c r="E159" s="6">
        <f t="shared" ca="1" si="41"/>
        <v>48153</v>
      </c>
      <c r="F159" s="7">
        <f t="shared" ca="1" si="42"/>
        <v>1</v>
      </c>
      <c r="G159" s="125">
        <f t="shared" ca="1" si="35"/>
        <v>17500</v>
      </c>
      <c r="H159" s="125">
        <f ca="1">IF(F159=1,F159*$B$10/MIN(12,'Simulador - 3º Pilar'!$E$88),0)</f>
        <v>0</v>
      </c>
      <c r="I159" s="128">
        <f t="shared" ca="1" si="36"/>
        <v>0</v>
      </c>
      <c r="J159" s="494">
        <f t="shared" ca="1" si="37"/>
        <v>0</v>
      </c>
      <c r="K159" s="126">
        <f t="shared" ca="1" si="38"/>
        <v>0</v>
      </c>
      <c r="L159" s="126">
        <f t="shared" ca="1" si="51"/>
        <v>0</v>
      </c>
      <c r="P159">
        <v>152</v>
      </c>
      <c r="Q159" s="6">
        <f t="shared" ca="1" si="43"/>
        <v>48153</v>
      </c>
      <c r="R159" s="7" t="e">
        <f t="shared" ca="1" si="44"/>
        <v>#REF!</v>
      </c>
      <c r="S159" s="125" t="e">
        <f t="shared" ca="1" si="45"/>
        <v>#REF!</v>
      </c>
      <c r="T159" s="125" t="e">
        <f t="shared" ca="1" si="39"/>
        <v>#REF!</v>
      </c>
      <c r="U159" s="128" t="e">
        <f t="shared" ca="1" si="46"/>
        <v>#REF!</v>
      </c>
      <c r="AC159">
        <v>152</v>
      </c>
      <c r="AD159" s="6">
        <f t="shared" ca="1" si="47"/>
        <v>48153</v>
      </c>
      <c r="AE159" s="7" t="e">
        <f t="shared" ca="1" si="48"/>
        <v>#REF!</v>
      </c>
      <c r="AF159" s="125" t="e">
        <f t="shared" ca="1" si="49"/>
        <v>#REF!</v>
      </c>
      <c r="AG159" s="125" t="e">
        <f t="shared" ca="1" si="40"/>
        <v>#REF!</v>
      </c>
      <c r="AH159" s="128" t="e">
        <f t="shared" ca="1" si="50"/>
        <v>#REF!</v>
      </c>
    </row>
    <row r="160" spans="4:34">
      <c r="D160">
        <v>153</v>
      </c>
      <c r="E160" s="6">
        <f t="shared" ca="1" si="41"/>
        <v>48122</v>
      </c>
      <c r="F160" s="7">
        <f t="shared" ca="1" si="42"/>
        <v>1</v>
      </c>
      <c r="G160" s="125">
        <f t="shared" ca="1" si="35"/>
        <v>17500</v>
      </c>
      <c r="H160" s="125">
        <f ca="1">IF(F160=1,F160*$B$10/MIN(12,'Simulador - 3º Pilar'!$E$88),0)</f>
        <v>0</v>
      </c>
      <c r="I160" s="128">
        <f t="shared" ca="1" si="36"/>
        <v>0</v>
      </c>
      <c r="J160" s="494">
        <f t="shared" ca="1" si="37"/>
        <v>0</v>
      </c>
      <c r="K160" s="126">
        <f t="shared" ca="1" si="38"/>
        <v>0</v>
      </c>
      <c r="L160" s="126">
        <f ca="1">(1+$G$5)^(D160/12)*(IF((E160)&gt;($B$6),H160,0)+IF(E160=$N$7,$N$4,0)+IF(E160=$C$6,0,0))</f>
        <v>0</v>
      </c>
      <c r="P160">
        <v>153</v>
      </c>
      <c r="Q160" s="6">
        <f t="shared" ca="1" si="43"/>
        <v>48122</v>
      </c>
      <c r="R160" s="7" t="e">
        <f t="shared" ca="1" si="44"/>
        <v>#REF!</v>
      </c>
      <c r="S160" s="125" t="e">
        <f t="shared" ca="1" si="45"/>
        <v>#REF!</v>
      </c>
      <c r="T160" s="125" t="e">
        <f t="shared" ca="1" si="39"/>
        <v>#REF!</v>
      </c>
      <c r="U160" s="128" t="e">
        <f t="shared" ca="1" si="46"/>
        <v>#REF!</v>
      </c>
      <c r="AC160">
        <v>153</v>
      </c>
      <c r="AD160" s="6">
        <f t="shared" ca="1" si="47"/>
        <v>48122</v>
      </c>
      <c r="AE160" s="7" t="e">
        <f t="shared" ca="1" si="48"/>
        <v>#REF!</v>
      </c>
      <c r="AF160" s="125" t="e">
        <f t="shared" ca="1" si="49"/>
        <v>#REF!</v>
      </c>
      <c r="AG160" s="125" t="e">
        <f t="shared" ca="1" si="40"/>
        <v>#REF!</v>
      </c>
      <c r="AH160" s="128" t="e">
        <f t="shared" ca="1" si="50"/>
        <v>#REF!</v>
      </c>
    </row>
    <row r="161" spans="4:34">
      <c r="D161">
        <v>154</v>
      </c>
      <c r="E161" s="6">
        <f t="shared" ca="1" si="41"/>
        <v>48092</v>
      </c>
      <c r="F161" s="7">
        <f t="shared" ca="1" si="42"/>
        <v>1</v>
      </c>
      <c r="G161" s="125">
        <f t="shared" ca="1" si="35"/>
        <v>17500</v>
      </c>
      <c r="H161" s="125">
        <f ca="1">IF(F161=1,F161*$B$10/MIN(12,'Simulador - 3º Pilar'!$E$88),0)</f>
        <v>0</v>
      </c>
      <c r="I161" s="128">
        <f t="shared" ca="1" si="36"/>
        <v>0</v>
      </c>
      <c r="J161" s="494">
        <f t="shared" ca="1" si="37"/>
        <v>0</v>
      </c>
      <c r="K161" s="126">
        <f ca="1">(1+$G$5)^(D161/12)*(IF(E161=$N$7,$N$4,0)+IF(E161=$C$6,$B$10,0))</f>
        <v>0</v>
      </c>
      <c r="L161" s="126">
        <f t="shared" ref="L161:L224" ca="1" si="52">(1+$G$5)^(D161/12)*(IF((E161)&gt;($B$6),H161,0)+IF(E161=$N$7,$N$4,0)+IF(E161=$C$6,0,0))</f>
        <v>0</v>
      </c>
      <c r="P161">
        <v>154</v>
      </c>
      <c r="Q161" s="6">
        <f t="shared" ca="1" si="43"/>
        <v>48092</v>
      </c>
      <c r="R161" s="7" t="e">
        <f t="shared" ca="1" si="44"/>
        <v>#REF!</v>
      </c>
      <c r="S161" s="125" t="e">
        <f t="shared" ca="1" si="45"/>
        <v>#REF!</v>
      </c>
      <c r="T161" s="125" t="e">
        <f t="shared" ca="1" si="39"/>
        <v>#REF!</v>
      </c>
      <c r="U161" s="128" t="e">
        <f t="shared" ca="1" si="46"/>
        <v>#REF!</v>
      </c>
      <c r="AC161">
        <v>154</v>
      </c>
      <c r="AD161" s="6">
        <f t="shared" ca="1" si="47"/>
        <v>48092</v>
      </c>
      <c r="AE161" s="7" t="e">
        <f t="shared" ca="1" si="48"/>
        <v>#REF!</v>
      </c>
      <c r="AF161" s="125" t="e">
        <f t="shared" ca="1" si="49"/>
        <v>#REF!</v>
      </c>
      <c r="AG161" s="125" t="e">
        <f t="shared" ca="1" si="40"/>
        <v>#REF!</v>
      </c>
      <c r="AH161" s="128" t="e">
        <f t="shared" ca="1" si="50"/>
        <v>#REF!</v>
      </c>
    </row>
    <row r="162" spans="4:34">
      <c r="D162">
        <v>155</v>
      </c>
      <c r="E162" s="6">
        <f t="shared" ca="1" si="41"/>
        <v>48061</v>
      </c>
      <c r="F162" s="7">
        <f t="shared" ca="1" si="42"/>
        <v>1</v>
      </c>
      <c r="G162" s="125">
        <f t="shared" ca="1" si="35"/>
        <v>17500</v>
      </c>
      <c r="H162" s="125">
        <f ca="1">IF(F162=1,F162*$B$10/MIN(12,'Simulador - 3º Pilar'!$E$88),0)</f>
        <v>0</v>
      </c>
      <c r="I162" s="128">
        <f t="shared" ca="1" si="36"/>
        <v>0</v>
      </c>
      <c r="J162" s="494">
        <f t="shared" ca="1" si="37"/>
        <v>0</v>
      </c>
      <c r="K162" s="126">
        <f t="shared" ca="1" si="38"/>
        <v>0</v>
      </c>
      <c r="L162" s="126">
        <f t="shared" ca="1" si="52"/>
        <v>0</v>
      </c>
      <c r="P162">
        <v>155</v>
      </c>
      <c r="Q162" s="6">
        <f t="shared" ca="1" si="43"/>
        <v>48061</v>
      </c>
      <c r="R162" s="7" t="e">
        <f t="shared" ca="1" si="44"/>
        <v>#REF!</v>
      </c>
      <c r="S162" s="125" t="e">
        <f t="shared" ca="1" si="45"/>
        <v>#REF!</v>
      </c>
      <c r="T162" s="125" t="e">
        <f t="shared" ca="1" si="39"/>
        <v>#REF!</v>
      </c>
      <c r="U162" s="128" t="e">
        <f t="shared" ca="1" si="46"/>
        <v>#REF!</v>
      </c>
      <c r="AC162">
        <v>155</v>
      </c>
      <c r="AD162" s="6">
        <f t="shared" ca="1" si="47"/>
        <v>48061</v>
      </c>
      <c r="AE162" s="7" t="e">
        <f t="shared" ca="1" si="48"/>
        <v>#REF!</v>
      </c>
      <c r="AF162" s="125" t="e">
        <f t="shared" ca="1" si="49"/>
        <v>#REF!</v>
      </c>
      <c r="AG162" s="125" t="e">
        <f t="shared" ca="1" si="40"/>
        <v>#REF!</v>
      </c>
      <c r="AH162" s="128" t="e">
        <f t="shared" ca="1" si="50"/>
        <v>#REF!</v>
      </c>
    </row>
    <row r="163" spans="4:34">
      <c r="D163">
        <v>156</v>
      </c>
      <c r="E163" s="6">
        <f t="shared" ca="1" si="41"/>
        <v>48030</v>
      </c>
      <c r="F163" s="7">
        <f t="shared" ca="1" si="42"/>
        <v>1</v>
      </c>
      <c r="G163" s="125">
        <f t="shared" ca="1" si="35"/>
        <v>17500</v>
      </c>
      <c r="H163" s="125">
        <f ca="1">IF(F163=1,F163*$B$10/MIN(12,'Simulador - 3º Pilar'!$E$88),0)</f>
        <v>0</v>
      </c>
      <c r="I163" s="128">
        <f t="shared" ca="1" si="36"/>
        <v>0</v>
      </c>
      <c r="J163" s="494">
        <f t="shared" ca="1" si="37"/>
        <v>0</v>
      </c>
      <c r="K163" s="126">
        <f t="shared" ca="1" si="38"/>
        <v>0</v>
      </c>
      <c r="L163" s="126">
        <f t="shared" ca="1" si="52"/>
        <v>0</v>
      </c>
      <c r="P163">
        <v>156</v>
      </c>
      <c r="Q163" s="6">
        <f t="shared" ca="1" si="43"/>
        <v>48030</v>
      </c>
      <c r="R163" s="7" t="e">
        <f t="shared" ca="1" si="44"/>
        <v>#REF!</v>
      </c>
      <c r="S163" s="125" t="e">
        <f t="shared" ca="1" si="45"/>
        <v>#REF!</v>
      </c>
      <c r="T163" s="125" t="e">
        <f t="shared" ca="1" si="39"/>
        <v>#REF!</v>
      </c>
      <c r="U163" s="128" t="e">
        <f t="shared" ca="1" si="46"/>
        <v>#REF!</v>
      </c>
      <c r="AC163">
        <v>156</v>
      </c>
      <c r="AD163" s="6">
        <f t="shared" ca="1" si="47"/>
        <v>48030</v>
      </c>
      <c r="AE163" s="7" t="e">
        <f t="shared" ca="1" si="48"/>
        <v>#REF!</v>
      </c>
      <c r="AF163" s="125" t="e">
        <f t="shared" ca="1" si="49"/>
        <v>#REF!</v>
      </c>
      <c r="AG163" s="125" t="e">
        <f t="shared" ca="1" si="40"/>
        <v>#REF!</v>
      </c>
      <c r="AH163" s="128" t="e">
        <f t="shared" ca="1" si="50"/>
        <v>#REF!</v>
      </c>
    </row>
    <row r="164" spans="4:34">
      <c r="D164">
        <v>157</v>
      </c>
      <c r="E164" s="6">
        <f t="shared" ca="1" si="41"/>
        <v>48000</v>
      </c>
      <c r="F164" s="7">
        <f t="shared" ca="1" si="42"/>
        <v>1</v>
      </c>
      <c r="G164" s="125">
        <f t="shared" ca="1" si="35"/>
        <v>17500</v>
      </c>
      <c r="H164" s="125">
        <f ca="1">IF(F164=1,F164*$B$10/MIN(12,'Simulador - 3º Pilar'!$E$88),0)</f>
        <v>0</v>
      </c>
      <c r="I164" s="128">
        <f t="shared" ca="1" si="36"/>
        <v>0</v>
      </c>
      <c r="J164" s="494">
        <f t="shared" ca="1" si="37"/>
        <v>0</v>
      </c>
      <c r="K164" s="126">
        <f t="shared" ca="1" si="38"/>
        <v>0</v>
      </c>
      <c r="L164" s="126">
        <f t="shared" ca="1" si="52"/>
        <v>0</v>
      </c>
      <c r="P164">
        <v>157</v>
      </c>
      <c r="Q164" s="6">
        <f t="shared" ca="1" si="43"/>
        <v>48000</v>
      </c>
      <c r="R164" s="7" t="e">
        <f t="shared" ca="1" si="44"/>
        <v>#REF!</v>
      </c>
      <c r="S164" s="125" t="e">
        <f t="shared" ca="1" si="45"/>
        <v>#REF!</v>
      </c>
      <c r="T164" s="125" t="e">
        <f t="shared" ca="1" si="39"/>
        <v>#REF!</v>
      </c>
      <c r="U164" s="128" t="e">
        <f t="shared" ca="1" si="46"/>
        <v>#REF!</v>
      </c>
      <c r="AC164">
        <v>157</v>
      </c>
      <c r="AD164" s="6">
        <f t="shared" ca="1" si="47"/>
        <v>48000</v>
      </c>
      <c r="AE164" s="7" t="e">
        <f t="shared" ca="1" si="48"/>
        <v>#REF!</v>
      </c>
      <c r="AF164" s="125" t="e">
        <f t="shared" ca="1" si="49"/>
        <v>#REF!</v>
      </c>
      <c r="AG164" s="125" t="e">
        <f t="shared" ca="1" si="40"/>
        <v>#REF!</v>
      </c>
      <c r="AH164" s="128" t="e">
        <f t="shared" ca="1" si="50"/>
        <v>#REF!</v>
      </c>
    </row>
    <row r="165" spans="4:34">
      <c r="D165">
        <v>158</v>
      </c>
      <c r="E165" s="6">
        <f t="shared" ca="1" si="41"/>
        <v>47969</v>
      </c>
      <c r="F165" s="7">
        <f t="shared" ca="1" si="42"/>
        <v>1</v>
      </c>
      <c r="G165" s="125">
        <f t="shared" ca="1" si="35"/>
        <v>17500</v>
      </c>
      <c r="H165" s="125">
        <f ca="1">IF(F165=1,F165*$B$10/MIN(12,'Simulador - 3º Pilar'!$E$88),0)</f>
        <v>0</v>
      </c>
      <c r="I165" s="128">
        <f t="shared" ca="1" si="36"/>
        <v>0</v>
      </c>
      <c r="J165" s="494">
        <f t="shared" ca="1" si="37"/>
        <v>0</v>
      </c>
      <c r="K165" s="126">
        <f t="shared" ca="1" si="38"/>
        <v>0</v>
      </c>
      <c r="L165" s="126">
        <f t="shared" ca="1" si="52"/>
        <v>0</v>
      </c>
      <c r="P165">
        <v>158</v>
      </c>
      <c r="Q165" s="6">
        <f t="shared" ca="1" si="43"/>
        <v>47969</v>
      </c>
      <c r="R165" s="7" t="e">
        <f t="shared" ca="1" si="44"/>
        <v>#REF!</v>
      </c>
      <c r="S165" s="125" t="e">
        <f t="shared" ca="1" si="45"/>
        <v>#REF!</v>
      </c>
      <c r="T165" s="125" t="e">
        <f t="shared" ca="1" si="39"/>
        <v>#REF!</v>
      </c>
      <c r="U165" s="128" t="e">
        <f t="shared" ca="1" si="46"/>
        <v>#REF!</v>
      </c>
      <c r="AC165">
        <v>158</v>
      </c>
      <c r="AD165" s="6">
        <f t="shared" ca="1" si="47"/>
        <v>47969</v>
      </c>
      <c r="AE165" s="7" t="e">
        <f t="shared" ca="1" si="48"/>
        <v>#REF!</v>
      </c>
      <c r="AF165" s="125" t="e">
        <f t="shared" ca="1" si="49"/>
        <v>#REF!</v>
      </c>
      <c r="AG165" s="125" t="e">
        <f t="shared" ca="1" si="40"/>
        <v>#REF!</v>
      </c>
      <c r="AH165" s="128" t="e">
        <f t="shared" ca="1" si="50"/>
        <v>#REF!</v>
      </c>
    </row>
    <row r="166" spans="4:34">
      <c r="D166">
        <v>159</v>
      </c>
      <c r="E166" s="6">
        <f t="shared" ca="1" si="41"/>
        <v>47939</v>
      </c>
      <c r="F166" s="7">
        <f t="shared" ca="1" si="42"/>
        <v>1</v>
      </c>
      <c r="G166" s="125">
        <f t="shared" ca="1" si="35"/>
        <v>17500</v>
      </c>
      <c r="H166" s="125">
        <f ca="1">IF(F166=1,F166*$B$10/MIN(12,'Simulador - 3º Pilar'!$E$88),0)</f>
        <v>0</v>
      </c>
      <c r="I166" s="128">
        <f t="shared" ca="1" si="36"/>
        <v>0</v>
      </c>
      <c r="J166" s="494">
        <f t="shared" ca="1" si="37"/>
        <v>0</v>
      </c>
      <c r="K166" s="126">
        <f t="shared" ca="1" si="38"/>
        <v>0</v>
      </c>
      <c r="L166" s="126">
        <f t="shared" ca="1" si="52"/>
        <v>0</v>
      </c>
      <c r="P166">
        <v>159</v>
      </c>
      <c r="Q166" s="6">
        <f t="shared" ca="1" si="43"/>
        <v>47939</v>
      </c>
      <c r="R166" s="7" t="e">
        <f t="shared" ca="1" si="44"/>
        <v>#REF!</v>
      </c>
      <c r="S166" s="125" t="e">
        <f t="shared" ca="1" si="45"/>
        <v>#REF!</v>
      </c>
      <c r="T166" s="125" t="e">
        <f t="shared" ca="1" si="39"/>
        <v>#REF!</v>
      </c>
      <c r="U166" s="128" t="e">
        <f t="shared" ca="1" si="46"/>
        <v>#REF!</v>
      </c>
      <c r="AC166">
        <v>159</v>
      </c>
      <c r="AD166" s="6">
        <f t="shared" ca="1" si="47"/>
        <v>47939</v>
      </c>
      <c r="AE166" s="7" t="e">
        <f t="shared" ca="1" si="48"/>
        <v>#REF!</v>
      </c>
      <c r="AF166" s="125" t="e">
        <f t="shared" ca="1" si="49"/>
        <v>#REF!</v>
      </c>
      <c r="AG166" s="125" t="e">
        <f t="shared" ca="1" si="40"/>
        <v>#REF!</v>
      </c>
      <c r="AH166" s="128" t="e">
        <f t="shared" ca="1" si="50"/>
        <v>#REF!</v>
      </c>
    </row>
    <row r="167" spans="4:34">
      <c r="D167">
        <v>160</v>
      </c>
      <c r="E167" s="6">
        <f t="shared" ca="1" si="41"/>
        <v>47908</v>
      </c>
      <c r="F167" s="7">
        <f t="shared" ca="1" si="42"/>
        <v>1</v>
      </c>
      <c r="G167" s="125">
        <f t="shared" ca="1" si="35"/>
        <v>17500</v>
      </c>
      <c r="H167" s="125">
        <f ca="1">IF(F167=1,F167*$B$10/MIN(12,'Simulador - 3º Pilar'!$E$88),0)</f>
        <v>0</v>
      </c>
      <c r="I167" s="128">
        <f t="shared" ca="1" si="36"/>
        <v>0</v>
      </c>
      <c r="J167" s="494">
        <f t="shared" ca="1" si="37"/>
        <v>0</v>
      </c>
      <c r="K167" s="126">
        <f t="shared" ca="1" si="38"/>
        <v>0</v>
      </c>
      <c r="L167" s="126">
        <f t="shared" ca="1" si="52"/>
        <v>0</v>
      </c>
      <c r="P167">
        <v>160</v>
      </c>
      <c r="Q167" s="6">
        <f t="shared" ca="1" si="43"/>
        <v>47908</v>
      </c>
      <c r="R167" s="7" t="e">
        <f t="shared" ca="1" si="44"/>
        <v>#REF!</v>
      </c>
      <c r="S167" s="125" t="e">
        <f t="shared" ca="1" si="45"/>
        <v>#REF!</v>
      </c>
      <c r="T167" s="125" t="e">
        <f t="shared" ca="1" si="39"/>
        <v>#REF!</v>
      </c>
      <c r="U167" s="128" t="e">
        <f t="shared" ca="1" si="46"/>
        <v>#REF!</v>
      </c>
      <c r="AC167">
        <v>160</v>
      </c>
      <c r="AD167" s="6">
        <f t="shared" ca="1" si="47"/>
        <v>47908</v>
      </c>
      <c r="AE167" s="7" t="e">
        <f t="shared" ca="1" si="48"/>
        <v>#REF!</v>
      </c>
      <c r="AF167" s="125" t="e">
        <f t="shared" ca="1" si="49"/>
        <v>#REF!</v>
      </c>
      <c r="AG167" s="125" t="e">
        <f t="shared" ca="1" si="40"/>
        <v>#REF!</v>
      </c>
      <c r="AH167" s="128" t="e">
        <f t="shared" ca="1" si="50"/>
        <v>#REF!</v>
      </c>
    </row>
    <row r="168" spans="4:34">
      <c r="D168">
        <v>161</v>
      </c>
      <c r="E168" s="6">
        <f t="shared" ca="1" si="41"/>
        <v>47880</v>
      </c>
      <c r="F168" s="7">
        <f t="shared" ca="1" si="42"/>
        <v>1</v>
      </c>
      <c r="G168" s="125">
        <f t="shared" ca="1" si="35"/>
        <v>17500</v>
      </c>
      <c r="H168" s="125">
        <f ca="1">IF(F168=1,F168*$B$10/MIN(12,'Simulador - 3º Pilar'!$E$88),0)</f>
        <v>0</v>
      </c>
      <c r="I168" s="128">
        <f t="shared" ca="1" si="36"/>
        <v>0</v>
      </c>
      <c r="J168" s="494">
        <f t="shared" ca="1" si="37"/>
        <v>0</v>
      </c>
      <c r="K168" s="126">
        <f t="shared" ca="1" si="38"/>
        <v>0</v>
      </c>
      <c r="L168" s="126">
        <f t="shared" ca="1" si="52"/>
        <v>0</v>
      </c>
      <c r="P168">
        <v>161</v>
      </c>
      <c r="Q168" s="6">
        <f t="shared" ca="1" si="43"/>
        <v>47880</v>
      </c>
      <c r="R168" s="7" t="e">
        <f t="shared" ca="1" si="44"/>
        <v>#REF!</v>
      </c>
      <c r="S168" s="125" t="e">
        <f t="shared" ca="1" si="45"/>
        <v>#REF!</v>
      </c>
      <c r="T168" s="125" t="e">
        <f t="shared" ca="1" si="39"/>
        <v>#REF!</v>
      </c>
      <c r="U168" s="128" t="e">
        <f t="shared" ca="1" si="46"/>
        <v>#REF!</v>
      </c>
      <c r="AC168">
        <v>161</v>
      </c>
      <c r="AD168" s="6">
        <f t="shared" ca="1" si="47"/>
        <v>47880</v>
      </c>
      <c r="AE168" s="7" t="e">
        <f t="shared" ca="1" si="48"/>
        <v>#REF!</v>
      </c>
      <c r="AF168" s="125" t="e">
        <f t="shared" ca="1" si="49"/>
        <v>#REF!</v>
      </c>
      <c r="AG168" s="125" t="e">
        <f t="shared" ca="1" si="40"/>
        <v>#REF!</v>
      </c>
      <c r="AH168" s="128" t="e">
        <f t="shared" ca="1" si="50"/>
        <v>#REF!</v>
      </c>
    </row>
    <row r="169" spans="4:34">
      <c r="D169">
        <v>162</v>
      </c>
      <c r="E169" s="6">
        <f t="shared" ca="1" si="41"/>
        <v>47849</v>
      </c>
      <c r="F169" s="7">
        <f t="shared" ca="1" si="42"/>
        <v>1</v>
      </c>
      <c r="G169" s="125">
        <f t="shared" ca="1" si="35"/>
        <v>17500</v>
      </c>
      <c r="H169" s="125">
        <f ca="1">IF(F169=1,F169*$B$10/MIN(12,'Simulador - 3º Pilar'!$E$88),0)</f>
        <v>0</v>
      </c>
      <c r="I169" s="128">
        <f t="shared" ca="1" si="36"/>
        <v>0</v>
      </c>
      <c r="J169" s="494">
        <f t="shared" ca="1" si="37"/>
        <v>0</v>
      </c>
      <c r="K169" s="126">
        <f t="shared" ca="1" si="38"/>
        <v>0</v>
      </c>
      <c r="L169" s="126">
        <f t="shared" ca="1" si="52"/>
        <v>0</v>
      </c>
      <c r="P169">
        <v>162</v>
      </c>
      <c r="Q169" s="6">
        <f t="shared" ca="1" si="43"/>
        <v>47849</v>
      </c>
      <c r="R169" s="7" t="e">
        <f t="shared" ca="1" si="44"/>
        <v>#REF!</v>
      </c>
      <c r="S169" s="125" t="e">
        <f t="shared" ca="1" si="45"/>
        <v>#REF!</v>
      </c>
      <c r="T169" s="125" t="e">
        <f t="shared" ca="1" si="39"/>
        <v>#REF!</v>
      </c>
      <c r="U169" s="128" t="e">
        <f t="shared" ca="1" si="46"/>
        <v>#REF!</v>
      </c>
      <c r="AC169">
        <v>162</v>
      </c>
      <c r="AD169" s="6">
        <f t="shared" ca="1" si="47"/>
        <v>47849</v>
      </c>
      <c r="AE169" s="7" t="e">
        <f t="shared" ca="1" si="48"/>
        <v>#REF!</v>
      </c>
      <c r="AF169" s="125" t="e">
        <f t="shared" ca="1" si="49"/>
        <v>#REF!</v>
      </c>
      <c r="AG169" s="125" t="e">
        <f t="shared" ca="1" si="40"/>
        <v>#REF!</v>
      </c>
      <c r="AH169" s="128" t="e">
        <f t="shared" ca="1" si="50"/>
        <v>#REF!</v>
      </c>
    </row>
    <row r="170" spans="4:34">
      <c r="D170">
        <v>163</v>
      </c>
      <c r="E170" s="6">
        <f t="shared" ca="1" si="41"/>
        <v>47818</v>
      </c>
      <c r="F170" s="7">
        <f t="shared" ca="1" si="42"/>
        <v>1</v>
      </c>
      <c r="G170" s="125">
        <f t="shared" ca="1" si="35"/>
        <v>17500</v>
      </c>
      <c r="H170" s="125">
        <f ca="1">IF(F170=1,F170*$B$10/MIN(12,'Simulador - 3º Pilar'!$E$88),0)</f>
        <v>0</v>
      </c>
      <c r="I170" s="128">
        <f t="shared" ca="1" si="36"/>
        <v>0</v>
      </c>
      <c r="J170" s="494">
        <f t="shared" ca="1" si="37"/>
        <v>0</v>
      </c>
      <c r="K170" s="126">
        <f t="shared" ca="1" si="38"/>
        <v>0</v>
      </c>
      <c r="L170" s="126">
        <f t="shared" ca="1" si="52"/>
        <v>0</v>
      </c>
      <c r="P170">
        <v>163</v>
      </c>
      <c r="Q170" s="6">
        <f t="shared" ca="1" si="43"/>
        <v>47818</v>
      </c>
      <c r="R170" s="7" t="e">
        <f t="shared" ca="1" si="44"/>
        <v>#REF!</v>
      </c>
      <c r="S170" s="125" t="e">
        <f t="shared" ca="1" si="45"/>
        <v>#REF!</v>
      </c>
      <c r="T170" s="125" t="e">
        <f t="shared" ca="1" si="39"/>
        <v>#REF!</v>
      </c>
      <c r="U170" s="128" t="e">
        <f t="shared" ca="1" si="46"/>
        <v>#REF!</v>
      </c>
      <c r="AC170">
        <v>163</v>
      </c>
      <c r="AD170" s="6">
        <f t="shared" ca="1" si="47"/>
        <v>47818</v>
      </c>
      <c r="AE170" s="7" t="e">
        <f t="shared" ca="1" si="48"/>
        <v>#REF!</v>
      </c>
      <c r="AF170" s="125" t="e">
        <f t="shared" ca="1" si="49"/>
        <v>#REF!</v>
      </c>
      <c r="AG170" s="125" t="e">
        <f t="shared" ca="1" si="40"/>
        <v>#REF!</v>
      </c>
      <c r="AH170" s="128" t="e">
        <f t="shared" ca="1" si="50"/>
        <v>#REF!</v>
      </c>
    </row>
    <row r="171" spans="4:34">
      <c r="D171">
        <v>164</v>
      </c>
      <c r="E171" s="6">
        <f t="shared" ca="1" si="41"/>
        <v>47788</v>
      </c>
      <c r="F171" s="7">
        <f t="shared" ca="1" si="42"/>
        <v>1</v>
      </c>
      <c r="G171" s="125">
        <f t="shared" ca="1" si="35"/>
        <v>17500</v>
      </c>
      <c r="H171" s="125">
        <f ca="1">IF(F171=1,F171*$B$10/MIN(12,'Simulador - 3º Pilar'!$E$88),0)</f>
        <v>0</v>
      </c>
      <c r="I171" s="128">
        <f t="shared" ca="1" si="36"/>
        <v>0</v>
      </c>
      <c r="J171" s="494">
        <f t="shared" ca="1" si="37"/>
        <v>0</v>
      </c>
      <c r="K171" s="126">
        <f t="shared" ca="1" si="38"/>
        <v>0</v>
      </c>
      <c r="L171" s="126">
        <f t="shared" ca="1" si="52"/>
        <v>0</v>
      </c>
      <c r="P171">
        <v>164</v>
      </c>
      <c r="Q171" s="6">
        <f t="shared" ca="1" si="43"/>
        <v>47788</v>
      </c>
      <c r="R171" s="7" t="e">
        <f t="shared" ca="1" si="44"/>
        <v>#REF!</v>
      </c>
      <c r="S171" s="125" t="e">
        <f t="shared" ca="1" si="45"/>
        <v>#REF!</v>
      </c>
      <c r="T171" s="125" t="e">
        <f t="shared" ca="1" si="39"/>
        <v>#REF!</v>
      </c>
      <c r="U171" s="128" t="e">
        <f t="shared" ca="1" si="46"/>
        <v>#REF!</v>
      </c>
      <c r="AC171">
        <v>164</v>
      </c>
      <c r="AD171" s="6">
        <f t="shared" ca="1" si="47"/>
        <v>47788</v>
      </c>
      <c r="AE171" s="7" t="e">
        <f t="shared" ca="1" si="48"/>
        <v>#REF!</v>
      </c>
      <c r="AF171" s="125" t="e">
        <f t="shared" ca="1" si="49"/>
        <v>#REF!</v>
      </c>
      <c r="AG171" s="125" t="e">
        <f t="shared" ca="1" si="40"/>
        <v>#REF!</v>
      </c>
      <c r="AH171" s="128" t="e">
        <f t="shared" ca="1" si="50"/>
        <v>#REF!</v>
      </c>
    </row>
    <row r="172" spans="4:34">
      <c r="D172">
        <v>165</v>
      </c>
      <c r="E172" s="6">
        <f t="shared" ca="1" si="41"/>
        <v>47757</v>
      </c>
      <c r="F172" s="7">
        <f t="shared" ca="1" si="42"/>
        <v>1</v>
      </c>
      <c r="G172" s="125">
        <f t="shared" ca="1" si="35"/>
        <v>17500</v>
      </c>
      <c r="H172" s="125">
        <f ca="1">IF(F172=1,F172*$B$10/MIN(12,'Simulador - 3º Pilar'!$E$88),0)</f>
        <v>0</v>
      </c>
      <c r="I172" s="128">
        <f t="shared" ca="1" si="36"/>
        <v>0</v>
      </c>
      <c r="J172" s="494">
        <f t="shared" ca="1" si="37"/>
        <v>0</v>
      </c>
      <c r="K172" s="126">
        <f t="shared" ca="1" si="38"/>
        <v>0</v>
      </c>
      <c r="L172" s="126">
        <f t="shared" ca="1" si="52"/>
        <v>0</v>
      </c>
      <c r="P172">
        <v>165</v>
      </c>
      <c r="Q172" s="6">
        <f t="shared" ca="1" si="43"/>
        <v>47757</v>
      </c>
      <c r="R172" s="7" t="e">
        <f t="shared" ca="1" si="44"/>
        <v>#REF!</v>
      </c>
      <c r="S172" s="125" t="e">
        <f t="shared" ca="1" si="45"/>
        <v>#REF!</v>
      </c>
      <c r="T172" s="125" t="e">
        <f t="shared" ca="1" si="39"/>
        <v>#REF!</v>
      </c>
      <c r="U172" s="128" t="e">
        <f t="shared" ca="1" si="46"/>
        <v>#REF!</v>
      </c>
      <c r="AC172">
        <v>165</v>
      </c>
      <c r="AD172" s="6">
        <f t="shared" ca="1" si="47"/>
        <v>47757</v>
      </c>
      <c r="AE172" s="7" t="e">
        <f t="shared" ca="1" si="48"/>
        <v>#REF!</v>
      </c>
      <c r="AF172" s="125" t="e">
        <f t="shared" ca="1" si="49"/>
        <v>#REF!</v>
      </c>
      <c r="AG172" s="125" t="e">
        <f t="shared" ca="1" si="40"/>
        <v>#REF!</v>
      </c>
      <c r="AH172" s="128" t="e">
        <f t="shared" ca="1" si="50"/>
        <v>#REF!</v>
      </c>
    </row>
    <row r="173" spans="4:34">
      <c r="D173">
        <v>166</v>
      </c>
      <c r="E173" s="6">
        <f t="shared" ca="1" si="41"/>
        <v>47727</v>
      </c>
      <c r="F173" s="7">
        <f t="shared" ca="1" si="42"/>
        <v>1</v>
      </c>
      <c r="G173" s="125">
        <f t="shared" ca="1" si="35"/>
        <v>17500</v>
      </c>
      <c r="H173" s="125">
        <f ca="1">IF(F173=1,F173*$B$10/MIN(12,'Simulador - 3º Pilar'!$E$88),0)</f>
        <v>0</v>
      </c>
      <c r="I173" s="128">
        <f t="shared" ca="1" si="36"/>
        <v>0</v>
      </c>
      <c r="J173" s="494">
        <f t="shared" ca="1" si="37"/>
        <v>0</v>
      </c>
      <c r="K173" s="126">
        <f t="shared" ca="1" si="38"/>
        <v>0</v>
      </c>
      <c r="L173" s="126">
        <f t="shared" ca="1" si="52"/>
        <v>0</v>
      </c>
      <c r="P173">
        <v>166</v>
      </c>
      <c r="Q173" s="6">
        <f t="shared" ca="1" si="43"/>
        <v>47727</v>
      </c>
      <c r="R173" s="7" t="e">
        <f t="shared" ca="1" si="44"/>
        <v>#REF!</v>
      </c>
      <c r="S173" s="125" t="e">
        <f t="shared" ca="1" si="45"/>
        <v>#REF!</v>
      </c>
      <c r="T173" s="125" t="e">
        <f t="shared" ca="1" si="39"/>
        <v>#REF!</v>
      </c>
      <c r="U173" s="128" t="e">
        <f t="shared" ca="1" si="46"/>
        <v>#REF!</v>
      </c>
      <c r="AC173">
        <v>166</v>
      </c>
      <c r="AD173" s="6">
        <f t="shared" ca="1" si="47"/>
        <v>47727</v>
      </c>
      <c r="AE173" s="7" t="e">
        <f t="shared" ca="1" si="48"/>
        <v>#REF!</v>
      </c>
      <c r="AF173" s="125" t="e">
        <f t="shared" ca="1" si="49"/>
        <v>#REF!</v>
      </c>
      <c r="AG173" s="125" t="e">
        <f t="shared" ca="1" si="40"/>
        <v>#REF!</v>
      </c>
      <c r="AH173" s="128" t="e">
        <f t="shared" ca="1" si="50"/>
        <v>#REF!</v>
      </c>
    </row>
    <row r="174" spans="4:34">
      <c r="D174">
        <v>167</v>
      </c>
      <c r="E174" s="6">
        <f t="shared" ca="1" si="41"/>
        <v>47696</v>
      </c>
      <c r="F174" s="7">
        <f t="shared" ca="1" si="42"/>
        <v>1</v>
      </c>
      <c r="G174" s="125">
        <f t="shared" ca="1" si="35"/>
        <v>17500</v>
      </c>
      <c r="H174" s="125">
        <f ca="1">IF(F174=1,F174*$B$10/MIN(12,'Simulador - 3º Pilar'!$E$88),0)</f>
        <v>0</v>
      </c>
      <c r="I174" s="128">
        <f t="shared" ca="1" si="36"/>
        <v>0</v>
      </c>
      <c r="J174" s="494">
        <f t="shared" ca="1" si="37"/>
        <v>0</v>
      </c>
      <c r="K174" s="126">
        <f t="shared" ca="1" si="38"/>
        <v>0</v>
      </c>
      <c r="L174" s="126">
        <f t="shared" ca="1" si="52"/>
        <v>0</v>
      </c>
      <c r="P174">
        <v>167</v>
      </c>
      <c r="Q174" s="6">
        <f t="shared" ca="1" si="43"/>
        <v>47696</v>
      </c>
      <c r="R174" s="7" t="e">
        <f t="shared" ca="1" si="44"/>
        <v>#REF!</v>
      </c>
      <c r="S174" s="125" t="e">
        <f t="shared" ca="1" si="45"/>
        <v>#REF!</v>
      </c>
      <c r="T174" s="125" t="e">
        <f t="shared" ca="1" si="39"/>
        <v>#REF!</v>
      </c>
      <c r="U174" s="128" t="e">
        <f t="shared" ca="1" si="46"/>
        <v>#REF!</v>
      </c>
      <c r="AC174">
        <v>167</v>
      </c>
      <c r="AD174" s="6">
        <f t="shared" ca="1" si="47"/>
        <v>47696</v>
      </c>
      <c r="AE174" s="7" t="e">
        <f t="shared" ca="1" si="48"/>
        <v>#REF!</v>
      </c>
      <c r="AF174" s="125" t="e">
        <f t="shared" ca="1" si="49"/>
        <v>#REF!</v>
      </c>
      <c r="AG174" s="125" t="e">
        <f t="shared" ca="1" si="40"/>
        <v>#REF!</v>
      </c>
      <c r="AH174" s="128" t="e">
        <f t="shared" ca="1" si="50"/>
        <v>#REF!</v>
      </c>
    </row>
    <row r="175" spans="4:34">
      <c r="D175">
        <v>168</v>
      </c>
      <c r="E175" s="6">
        <f t="shared" ca="1" si="41"/>
        <v>47665</v>
      </c>
      <c r="F175" s="7">
        <f t="shared" ca="1" si="42"/>
        <v>1</v>
      </c>
      <c r="G175" s="125">
        <f t="shared" ca="1" si="35"/>
        <v>17500</v>
      </c>
      <c r="H175" s="125">
        <f ca="1">IF(F175=1,F175*$B$10/MIN(12,'Simulador - 3º Pilar'!$E$88),0)</f>
        <v>0</v>
      </c>
      <c r="I175" s="128">
        <f t="shared" ca="1" si="36"/>
        <v>0</v>
      </c>
      <c r="J175" s="494">
        <f t="shared" ca="1" si="37"/>
        <v>0</v>
      </c>
      <c r="K175" s="126">
        <f t="shared" ca="1" si="38"/>
        <v>0</v>
      </c>
      <c r="L175" s="126">
        <f t="shared" ca="1" si="52"/>
        <v>0</v>
      </c>
      <c r="P175">
        <v>168</v>
      </c>
      <c r="Q175" s="6">
        <f t="shared" ca="1" si="43"/>
        <v>47665</v>
      </c>
      <c r="R175" s="7" t="e">
        <f t="shared" ca="1" si="44"/>
        <v>#REF!</v>
      </c>
      <c r="S175" s="125" t="e">
        <f t="shared" ca="1" si="45"/>
        <v>#REF!</v>
      </c>
      <c r="T175" s="125" t="e">
        <f t="shared" ca="1" si="39"/>
        <v>#REF!</v>
      </c>
      <c r="U175" s="128" t="e">
        <f t="shared" ca="1" si="46"/>
        <v>#REF!</v>
      </c>
      <c r="AC175">
        <v>168</v>
      </c>
      <c r="AD175" s="6">
        <f t="shared" ca="1" si="47"/>
        <v>47665</v>
      </c>
      <c r="AE175" s="7" t="e">
        <f t="shared" ca="1" si="48"/>
        <v>#REF!</v>
      </c>
      <c r="AF175" s="125" t="e">
        <f t="shared" ca="1" si="49"/>
        <v>#REF!</v>
      </c>
      <c r="AG175" s="125" t="e">
        <f t="shared" ca="1" si="40"/>
        <v>#REF!</v>
      </c>
      <c r="AH175" s="128" t="e">
        <f t="shared" ca="1" si="50"/>
        <v>#REF!</v>
      </c>
    </row>
    <row r="176" spans="4:34">
      <c r="D176">
        <v>169</v>
      </c>
      <c r="E176" s="6">
        <f t="shared" ca="1" si="41"/>
        <v>47635</v>
      </c>
      <c r="F176" s="7">
        <f t="shared" ca="1" si="42"/>
        <v>1</v>
      </c>
      <c r="G176" s="125">
        <f t="shared" ca="1" si="35"/>
        <v>17500</v>
      </c>
      <c r="H176" s="125">
        <f ca="1">IF(F176=1,F176*$B$10/MIN(12,'Simulador - 3º Pilar'!$E$88),0)</f>
        <v>0</v>
      </c>
      <c r="I176" s="128">
        <f t="shared" ca="1" si="36"/>
        <v>0</v>
      </c>
      <c r="J176" s="494">
        <f t="shared" ca="1" si="37"/>
        <v>0</v>
      </c>
      <c r="K176" s="126">
        <f t="shared" ca="1" si="38"/>
        <v>0</v>
      </c>
      <c r="L176" s="126">
        <f t="shared" ca="1" si="52"/>
        <v>0</v>
      </c>
      <c r="P176">
        <v>169</v>
      </c>
      <c r="Q176" s="6">
        <f t="shared" ca="1" si="43"/>
        <v>47635</v>
      </c>
      <c r="R176" s="7" t="e">
        <f t="shared" ca="1" si="44"/>
        <v>#REF!</v>
      </c>
      <c r="S176" s="125" t="e">
        <f t="shared" ca="1" si="45"/>
        <v>#REF!</v>
      </c>
      <c r="T176" s="125" t="e">
        <f t="shared" ca="1" si="39"/>
        <v>#REF!</v>
      </c>
      <c r="U176" s="128" t="e">
        <f t="shared" ca="1" si="46"/>
        <v>#REF!</v>
      </c>
      <c r="AC176">
        <v>169</v>
      </c>
      <c r="AD176" s="6">
        <f t="shared" ca="1" si="47"/>
        <v>47635</v>
      </c>
      <c r="AE176" s="7" t="e">
        <f t="shared" ca="1" si="48"/>
        <v>#REF!</v>
      </c>
      <c r="AF176" s="125" t="e">
        <f t="shared" ca="1" si="49"/>
        <v>#REF!</v>
      </c>
      <c r="AG176" s="125" t="e">
        <f t="shared" ca="1" si="40"/>
        <v>#REF!</v>
      </c>
      <c r="AH176" s="128" t="e">
        <f t="shared" ca="1" si="50"/>
        <v>#REF!</v>
      </c>
    </row>
    <row r="177" spans="4:34">
      <c r="D177">
        <v>170</v>
      </c>
      <c r="E177" s="6">
        <f t="shared" ca="1" si="41"/>
        <v>47604</v>
      </c>
      <c r="F177" s="7">
        <f t="shared" ca="1" si="42"/>
        <v>1</v>
      </c>
      <c r="G177" s="125">
        <f t="shared" ca="1" si="35"/>
        <v>17500</v>
      </c>
      <c r="H177" s="125">
        <f ca="1">IF(F177=1,F177*$B$10/MIN(12,'Simulador - 3º Pilar'!$E$88),0)</f>
        <v>0</v>
      </c>
      <c r="I177" s="128">
        <f t="shared" ca="1" si="36"/>
        <v>0</v>
      </c>
      <c r="J177" s="494">
        <f t="shared" ca="1" si="37"/>
        <v>0</v>
      </c>
      <c r="K177" s="126">
        <f t="shared" ca="1" si="38"/>
        <v>0</v>
      </c>
      <c r="L177" s="126">
        <f t="shared" ca="1" si="52"/>
        <v>0</v>
      </c>
      <c r="P177">
        <v>170</v>
      </c>
      <c r="Q177" s="6">
        <f t="shared" ca="1" si="43"/>
        <v>47604</v>
      </c>
      <c r="R177" s="7" t="e">
        <f t="shared" ca="1" si="44"/>
        <v>#REF!</v>
      </c>
      <c r="S177" s="125" t="e">
        <f t="shared" ca="1" si="45"/>
        <v>#REF!</v>
      </c>
      <c r="T177" s="125" t="e">
        <f t="shared" ca="1" si="39"/>
        <v>#REF!</v>
      </c>
      <c r="U177" s="128" t="e">
        <f t="shared" ca="1" si="46"/>
        <v>#REF!</v>
      </c>
      <c r="AC177">
        <v>170</v>
      </c>
      <c r="AD177" s="6">
        <f t="shared" ca="1" si="47"/>
        <v>47604</v>
      </c>
      <c r="AE177" s="7" t="e">
        <f t="shared" ca="1" si="48"/>
        <v>#REF!</v>
      </c>
      <c r="AF177" s="125" t="e">
        <f t="shared" ca="1" si="49"/>
        <v>#REF!</v>
      </c>
      <c r="AG177" s="125" t="e">
        <f t="shared" ca="1" si="40"/>
        <v>#REF!</v>
      </c>
      <c r="AH177" s="128" t="e">
        <f t="shared" ca="1" si="50"/>
        <v>#REF!</v>
      </c>
    </row>
    <row r="178" spans="4:34">
      <c r="D178">
        <v>171</v>
      </c>
      <c r="E178" s="6">
        <f t="shared" ca="1" si="41"/>
        <v>47574</v>
      </c>
      <c r="F178" s="7">
        <f t="shared" ca="1" si="42"/>
        <v>1</v>
      </c>
      <c r="G178" s="125">
        <f t="shared" ca="1" si="35"/>
        <v>17500</v>
      </c>
      <c r="H178" s="125">
        <f ca="1">IF(F178=1,F178*$B$10/MIN(12,'Simulador - 3º Pilar'!$E$88),0)</f>
        <v>0</v>
      </c>
      <c r="I178" s="128">
        <f t="shared" ca="1" si="36"/>
        <v>0</v>
      </c>
      <c r="J178" s="494">
        <f t="shared" ca="1" si="37"/>
        <v>0</v>
      </c>
      <c r="K178" s="126">
        <f t="shared" ca="1" si="38"/>
        <v>0</v>
      </c>
      <c r="L178" s="126">
        <f t="shared" ca="1" si="52"/>
        <v>0</v>
      </c>
      <c r="P178">
        <v>171</v>
      </c>
      <c r="Q178" s="6">
        <f t="shared" ca="1" si="43"/>
        <v>47574</v>
      </c>
      <c r="R178" s="7" t="e">
        <f t="shared" ca="1" si="44"/>
        <v>#REF!</v>
      </c>
      <c r="S178" s="125" t="e">
        <f t="shared" ca="1" si="45"/>
        <v>#REF!</v>
      </c>
      <c r="T178" s="125" t="e">
        <f t="shared" ca="1" si="39"/>
        <v>#REF!</v>
      </c>
      <c r="U178" s="128" t="e">
        <f t="shared" ca="1" si="46"/>
        <v>#REF!</v>
      </c>
      <c r="AC178">
        <v>171</v>
      </c>
      <c r="AD178" s="6">
        <f t="shared" ca="1" si="47"/>
        <v>47574</v>
      </c>
      <c r="AE178" s="7" t="e">
        <f t="shared" ca="1" si="48"/>
        <v>#REF!</v>
      </c>
      <c r="AF178" s="125" t="e">
        <f t="shared" ca="1" si="49"/>
        <v>#REF!</v>
      </c>
      <c r="AG178" s="125" t="e">
        <f t="shared" ca="1" si="40"/>
        <v>#REF!</v>
      </c>
      <c r="AH178" s="128" t="e">
        <f t="shared" ca="1" si="50"/>
        <v>#REF!</v>
      </c>
    </row>
    <row r="179" spans="4:34">
      <c r="D179">
        <v>172</v>
      </c>
      <c r="E179" s="6">
        <f t="shared" ca="1" si="41"/>
        <v>47543</v>
      </c>
      <c r="F179" s="7">
        <f t="shared" ca="1" si="42"/>
        <v>1</v>
      </c>
      <c r="G179" s="125">
        <f t="shared" ca="1" si="35"/>
        <v>17500</v>
      </c>
      <c r="H179" s="125">
        <f ca="1">IF(F179=1,F179*$B$10/MIN(12,'Simulador - 3º Pilar'!$E$88),0)</f>
        <v>0</v>
      </c>
      <c r="I179" s="128">
        <f t="shared" ca="1" si="36"/>
        <v>0</v>
      </c>
      <c r="J179" s="494">
        <f t="shared" ca="1" si="37"/>
        <v>0</v>
      </c>
      <c r="K179" s="126">
        <f t="shared" ca="1" si="38"/>
        <v>0</v>
      </c>
      <c r="L179" s="126">
        <f t="shared" ca="1" si="52"/>
        <v>0</v>
      </c>
      <c r="P179">
        <v>172</v>
      </c>
      <c r="Q179" s="6">
        <f t="shared" ca="1" si="43"/>
        <v>47543</v>
      </c>
      <c r="R179" s="7" t="e">
        <f t="shared" ca="1" si="44"/>
        <v>#REF!</v>
      </c>
      <c r="S179" s="125" t="e">
        <f t="shared" ca="1" si="45"/>
        <v>#REF!</v>
      </c>
      <c r="T179" s="125" t="e">
        <f t="shared" ca="1" si="39"/>
        <v>#REF!</v>
      </c>
      <c r="U179" s="128" t="e">
        <f t="shared" ca="1" si="46"/>
        <v>#REF!</v>
      </c>
      <c r="AC179">
        <v>172</v>
      </c>
      <c r="AD179" s="6">
        <f t="shared" ca="1" si="47"/>
        <v>47543</v>
      </c>
      <c r="AE179" s="7" t="e">
        <f t="shared" ca="1" si="48"/>
        <v>#REF!</v>
      </c>
      <c r="AF179" s="125" t="e">
        <f t="shared" ca="1" si="49"/>
        <v>#REF!</v>
      </c>
      <c r="AG179" s="125" t="e">
        <f t="shared" ca="1" si="40"/>
        <v>#REF!</v>
      </c>
      <c r="AH179" s="128" t="e">
        <f t="shared" ca="1" si="50"/>
        <v>#REF!</v>
      </c>
    </row>
    <row r="180" spans="4:34">
      <c r="D180">
        <v>173</v>
      </c>
      <c r="E180" s="6">
        <f t="shared" ca="1" si="41"/>
        <v>47515</v>
      </c>
      <c r="F180" s="7">
        <f t="shared" ca="1" si="42"/>
        <v>1</v>
      </c>
      <c r="G180" s="125">
        <f t="shared" ca="1" si="35"/>
        <v>17500</v>
      </c>
      <c r="H180" s="125">
        <f ca="1">IF(F180=1,F180*$B$10/MIN(12,'Simulador - 3º Pilar'!$E$88),0)</f>
        <v>0</v>
      </c>
      <c r="I180" s="128">
        <f t="shared" ca="1" si="36"/>
        <v>0</v>
      </c>
      <c r="J180" s="494">
        <f t="shared" ca="1" si="37"/>
        <v>0</v>
      </c>
      <c r="K180" s="126">
        <f t="shared" ca="1" si="38"/>
        <v>0</v>
      </c>
      <c r="L180" s="126">
        <f t="shared" ca="1" si="52"/>
        <v>0</v>
      </c>
      <c r="P180">
        <v>173</v>
      </c>
      <c r="Q180" s="6">
        <f t="shared" ca="1" si="43"/>
        <v>47515</v>
      </c>
      <c r="R180" s="7" t="e">
        <f t="shared" ca="1" si="44"/>
        <v>#REF!</v>
      </c>
      <c r="S180" s="125" t="e">
        <f t="shared" ca="1" si="45"/>
        <v>#REF!</v>
      </c>
      <c r="T180" s="125" t="e">
        <f t="shared" ca="1" si="39"/>
        <v>#REF!</v>
      </c>
      <c r="U180" s="128" t="e">
        <f t="shared" ca="1" si="46"/>
        <v>#REF!</v>
      </c>
      <c r="AC180">
        <v>173</v>
      </c>
      <c r="AD180" s="6">
        <f t="shared" ca="1" si="47"/>
        <v>47515</v>
      </c>
      <c r="AE180" s="7" t="e">
        <f t="shared" ca="1" si="48"/>
        <v>#REF!</v>
      </c>
      <c r="AF180" s="125" t="e">
        <f t="shared" ca="1" si="49"/>
        <v>#REF!</v>
      </c>
      <c r="AG180" s="125" t="e">
        <f t="shared" ca="1" si="40"/>
        <v>#REF!</v>
      </c>
      <c r="AH180" s="128" t="e">
        <f t="shared" ca="1" si="50"/>
        <v>#REF!</v>
      </c>
    </row>
    <row r="181" spans="4:34">
      <c r="D181">
        <v>174</v>
      </c>
      <c r="E181" s="6">
        <f t="shared" ca="1" si="41"/>
        <v>47484</v>
      </c>
      <c r="F181" s="7">
        <f t="shared" ca="1" si="42"/>
        <v>1</v>
      </c>
      <c r="G181" s="125">
        <f t="shared" ca="1" si="35"/>
        <v>17500</v>
      </c>
      <c r="H181" s="125">
        <f ca="1">IF(F181=1,F181*$B$10/MIN(12,'Simulador - 3º Pilar'!$E$88),0)</f>
        <v>0</v>
      </c>
      <c r="I181" s="128">
        <f t="shared" ca="1" si="36"/>
        <v>0</v>
      </c>
      <c r="J181" s="494">
        <f t="shared" ca="1" si="37"/>
        <v>0</v>
      </c>
      <c r="K181" s="126">
        <f t="shared" ca="1" si="38"/>
        <v>0</v>
      </c>
      <c r="L181" s="126">
        <f t="shared" ca="1" si="52"/>
        <v>0</v>
      </c>
      <c r="P181">
        <v>174</v>
      </c>
      <c r="Q181" s="6">
        <f t="shared" ca="1" si="43"/>
        <v>47484</v>
      </c>
      <c r="R181" s="7" t="e">
        <f t="shared" ca="1" si="44"/>
        <v>#REF!</v>
      </c>
      <c r="S181" s="125" t="e">
        <f t="shared" ca="1" si="45"/>
        <v>#REF!</v>
      </c>
      <c r="T181" s="125" t="e">
        <f t="shared" ca="1" si="39"/>
        <v>#REF!</v>
      </c>
      <c r="U181" s="128" t="e">
        <f t="shared" ca="1" si="46"/>
        <v>#REF!</v>
      </c>
      <c r="AC181">
        <v>174</v>
      </c>
      <c r="AD181" s="6">
        <f t="shared" ca="1" si="47"/>
        <v>47484</v>
      </c>
      <c r="AE181" s="7" t="e">
        <f t="shared" ca="1" si="48"/>
        <v>#REF!</v>
      </c>
      <c r="AF181" s="125" t="e">
        <f t="shared" ca="1" si="49"/>
        <v>#REF!</v>
      </c>
      <c r="AG181" s="125" t="e">
        <f t="shared" ca="1" si="40"/>
        <v>#REF!</v>
      </c>
      <c r="AH181" s="128" t="e">
        <f t="shared" ca="1" si="50"/>
        <v>#REF!</v>
      </c>
    </row>
    <row r="182" spans="4:34">
      <c r="D182">
        <v>175</v>
      </c>
      <c r="E182" s="6">
        <f t="shared" ca="1" si="41"/>
        <v>47453</v>
      </c>
      <c r="F182" s="7">
        <f t="shared" ca="1" si="42"/>
        <v>1</v>
      </c>
      <c r="G182" s="125">
        <f t="shared" ca="1" si="35"/>
        <v>17500</v>
      </c>
      <c r="H182" s="125">
        <f ca="1">IF(F182=1,F182*$B$10/MIN(12,'Simulador - 3º Pilar'!$E$88),0)</f>
        <v>0</v>
      </c>
      <c r="I182" s="128">
        <f t="shared" ca="1" si="36"/>
        <v>0</v>
      </c>
      <c r="J182" s="494">
        <f t="shared" ca="1" si="37"/>
        <v>0</v>
      </c>
      <c r="K182" s="126">
        <f t="shared" ca="1" si="38"/>
        <v>0</v>
      </c>
      <c r="L182" s="126">
        <f t="shared" ca="1" si="52"/>
        <v>0</v>
      </c>
      <c r="P182">
        <v>175</v>
      </c>
      <c r="Q182" s="6">
        <f t="shared" ca="1" si="43"/>
        <v>47453</v>
      </c>
      <c r="R182" s="7" t="e">
        <f t="shared" ca="1" si="44"/>
        <v>#REF!</v>
      </c>
      <c r="S182" s="125" t="e">
        <f t="shared" ca="1" si="45"/>
        <v>#REF!</v>
      </c>
      <c r="T182" s="125" t="e">
        <f t="shared" ca="1" si="39"/>
        <v>#REF!</v>
      </c>
      <c r="U182" s="128" t="e">
        <f t="shared" ca="1" si="46"/>
        <v>#REF!</v>
      </c>
      <c r="AC182">
        <v>175</v>
      </c>
      <c r="AD182" s="6">
        <f t="shared" ca="1" si="47"/>
        <v>47453</v>
      </c>
      <c r="AE182" s="7" t="e">
        <f t="shared" ca="1" si="48"/>
        <v>#REF!</v>
      </c>
      <c r="AF182" s="125" t="e">
        <f t="shared" ca="1" si="49"/>
        <v>#REF!</v>
      </c>
      <c r="AG182" s="125" t="e">
        <f t="shared" ca="1" si="40"/>
        <v>#REF!</v>
      </c>
      <c r="AH182" s="128" t="e">
        <f t="shared" ca="1" si="50"/>
        <v>#REF!</v>
      </c>
    </row>
    <row r="183" spans="4:34">
      <c r="D183">
        <v>176</v>
      </c>
      <c r="E183" s="6">
        <f t="shared" ca="1" si="41"/>
        <v>47423</v>
      </c>
      <c r="F183" s="7">
        <f t="shared" ca="1" si="42"/>
        <v>1</v>
      </c>
      <c r="G183" s="125">
        <f t="shared" ca="1" si="35"/>
        <v>17500</v>
      </c>
      <c r="H183" s="125">
        <f ca="1">IF(F183=1,F183*$B$10/MIN(12,'Simulador - 3º Pilar'!$E$88),0)</f>
        <v>0</v>
      </c>
      <c r="I183" s="128">
        <f t="shared" ca="1" si="36"/>
        <v>0</v>
      </c>
      <c r="J183" s="494">
        <f t="shared" ca="1" si="37"/>
        <v>0</v>
      </c>
      <c r="K183" s="126">
        <f t="shared" ca="1" si="38"/>
        <v>0</v>
      </c>
      <c r="L183" s="126">
        <f t="shared" ca="1" si="52"/>
        <v>0</v>
      </c>
      <c r="P183">
        <v>176</v>
      </c>
      <c r="Q183" s="6">
        <f t="shared" ca="1" si="43"/>
        <v>47423</v>
      </c>
      <c r="R183" s="7" t="e">
        <f t="shared" ca="1" si="44"/>
        <v>#REF!</v>
      </c>
      <c r="S183" s="125" t="e">
        <f t="shared" ca="1" si="45"/>
        <v>#REF!</v>
      </c>
      <c r="T183" s="125" t="e">
        <f t="shared" ca="1" si="39"/>
        <v>#REF!</v>
      </c>
      <c r="U183" s="128" t="e">
        <f t="shared" ca="1" si="46"/>
        <v>#REF!</v>
      </c>
      <c r="AC183">
        <v>176</v>
      </c>
      <c r="AD183" s="6">
        <f t="shared" ca="1" si="47"/>
        <v>47423</v>
      </c>
      <c r="AE183" s="7" t="e">
        <f t="shared" ca="1" si="48"/>
        <v>#REF!</v>
      </c>
      <c r="AF183" s="125" t="e">
        <f t="shared" ca="1" si="49"/>
        <v>#REF!</v>
      </c>
      <c r="AG183" s="125" t="e">
        <f t="shared" ca="1" si="40"/>
        <v>#REF!</v>
      </c>
      <c r="AH183" s="128" t="e">
        <f t="shared" ca="1" si="50"/>
        <v>#REF!</v>
      </c>
    </row>
    <row r="184" spans="4:34">
      <c r="D184">
        <v>177</v>
      </c>
      <c r="E184" s="6">
        <f t="shared" ca="1" si="41"/>
        <v>47392</v>
      </c>
      <c r="F184" s="7">
        <f t="shared" ca="1" si="42"/>
        <v>1</v>
      </c>
      <c r="G184" s="125">
        <f t="shared" ca="1" si="35"/>
        <v>17500</v>
      </c>
      <c r="H184" s="125">
        <f ca="1">IF(F184=1,F184*$B$10/MIN(12,'Simulador - 3º Pilar'!$E$88),0)</f>
        <v>0</v>
      </c>
      <c r="I184" s="128">
        <f t="shared" ca="1" si="36"/>
        <v>0</v>
      </c>
      <c r="J184" s="494">
        <f t="shared" ca="1" si="37"/>
        <v>0</v>
      </c>
      <c r="K184" s="126">
        <f t="shared" ca="1" si="38"/>
        <v>0</v>
      </c>
      <c r="L184" s="126">
        <f t="shared" ca="1" si="52"/>
        <v>0</v>
      </c>
      <c r="P184">
        <v>177</v>
      </c>
      <c r="Q184" s="6">
        <f t="shared" ca="1" si="43"/>
        <v>47392</v>
      </c>
      <c r="R184" s="7" t="e">
        <f t="shared" ca="1" si="44"/>
        <v>#REF!</v>
      </c>
      <c r="S184" s="125" t="e">
        <f t="shared" ca="1" si="45"/>
        <v>#REF!</v>
      </c>
      <c r="T184" s="125" t="e">
        <f t="shared" ca="1" si="39"/>
        <v>#REF!</v>
      </c>
      <c r="U184" s="128" t="e">
        <f t="shared" ca="1" si="46"/>
        <v>#REF!</v>
      </c>
      <c r="AC184">
        <v>177</v>
      </c>
      <c r="AD184" s="6">
        <f t="shared" ca="1" si="47"/>
        <v>47392</v>
      </c>
      <c r="AE184" s="7" t="e">
        <f t="shared" ca="1" si="48"/>
        <v>#REF!</v>
      </c>
      <c r="AF184" s="125" t="e">
        <f t="shared" ca="1" si="49"/>
        <v>#REF!</v>
      </c>
      <c r="AG184" s="125" t="e">
        <f t="shared" ca="1" si="40"/>
        <v>#REF!</v>
      </c>
      <c r="AH184" s="128" t="e">
        <f t="shared" ca="1" si="50"/>
        <v>#REF!</v>
      </c>
    </row>
    <row r="185" spans="4:34">
      <c r="D185">
        <v>178</v>
      </c>
      <c r="E185" s="6">
        <f t="shared" ca="1" si="41"/>
        <v>47362</v>
      </c>
      <c r="F185" s="7">
        <f t="shared" ca="1" si="42"/>
        <v>1</v>
      </c>
      <c r="G185" s="125">
        <f t="shared" ca="1" si="35"/>
        <v>17500</v>
      </c>
      <c r="H185" s="125">
        <f ca="1">IF(F185=1,F185*$B$10/MIN(12,'Simulador - 3º Pilar'!$E$88),0)</f>
        <v>0</v>
      </c>
      <c r="I185" s="128">
        <f t="shared" ca="1" si="36"/>
        <v>0</v>
      </c>
      <c r="J185" s="494">
        <f t="shared" ca="1" si="37"/>
        <v>0</v>
      </c>
      <c r="K185" s="126">
        <f t="shared" ca="1" si="38"/>
        <v>0</v>
      </c>
      <c r="L185" s="126">
        <f t="shared" ca="1" si="52"/>
        <v>0</v>
      </c>
      <c r="P185">
        <v>178</v>
      </c>
      <c r="Q185" s="6">
        <f t="shared" ca="1" si="43"/>
        <v>47362</v>
      </c>
      <c r="R185" s="7" t="e">
        <f t="shared" ca="1" si="44"/>
        <v>#REF!</v>
      </c>
      <c r="S185" s="125" t="e">
        <f t="shared" ca="1" si="45"/>
        <v>#REF!</v>
      </c>
      <c r="T185" s="125" t="e">
        <f t="shared" ca="1" si="39"/>
        <v>#REF!</v>
      </c>
      <c r="U185" s="128" t="e">
        <f t="shared" ca="1" si="46"/>
        <v>#REF!</v>
      </c>
      <c r="AC185">
        <v>178</v>
      </c>
      <c r="AD185" s="6">
        <f t="shared" ca="1" si="47"/>
        <v>47362</v>
      </c>
      <c r="AE185" s="7" t="e">
        <f t="shared" ca="1" si="48"/>
        <v>#REF!</v>
      </c>
      <c r="AF185" s="125" t="e">
        <f t="shared" ca="1" si="49"/>
        <v>#REF!</v>
      </c>
      <c r="AG185" s="125" t="e">
        <f t="shared" ca="1" si="40"/>
        <v>#REF!</v>
      </c>
      <c r="AH185" s="128" t="e">
        <f t="shared" ca="1" si="50"/>
        <v>#REF!</v>
      </c>
    </row>
    <row r="186" spans="4:34">
      <c r="D186">
        <v>179</v>
      </c>
      <c r="E186" s="6">
        <f t="shared" ca="1" si="41"/>
        <v>47331</v>
      </c>
      <c r="F186" s="7">
        <f t="shared" ca="1" si="42"/>
        <v>1</v>
      </c>
      <c r="G186" s="125">
        <f t="shared" ca="1" si="35"/>
        <v>17500</v>
      </c>
      <c r="H186" s="125">
        <f ca="1">IF(F186=1,F186*$B$10/MIN(12,'Simulador - 3º Pilar'!$E$88),0)</f>
        <v>0</v>
      </c>
      <c r="I186" s="128">
        <f t="shared" ca="1" si="36"/>
        <v>0</v>
      </c>
      <c r="J186" s="494">
        <f t="shared" ca="1" si="37"/>
        <v>0</v>
      </c>
      <c r="K186" s="126">
        <f t="shared" ca="1" si="38"/>
        <v>0</v>
      </c>
      <c r="L186" s="126">
        <f t="shared" ca="1" si="52"/>
        <v>0</v>
      </c>
      <c r="P186">
        <v>179</v>
      </c>
      <c r="Q186" s="6">
        <f t="shared" ca="1" si="43"/>
        <v>47331</v>
      </c>
      <c r="R186" s="7" t="e">
        <f t="shared" ca="1" si="44"/>
        <v>#REF!</v>
      </c>
      <c r="S186" s="125" t="e">
        <f t="shared" ca="1" si="45"/>
        <v>#REF!</v>
      </c>
      <c r="T186" s="125" t="e">
        <f t="shared" ca="1" si="39"/>
        <v>#REF!</v>
      </c>
      <c r="U186" s="128" t="e">
        <f t="shared" ca="1" si="46"/>
        <v>#REF!</v>
      </c>
      <c r="AC186">
        <v>179</v>
      </c>
      <c r="AD186" s="6">
        <f t="shared" ca="1" si="47"/>
        <v>47331</v>
      </c>
      <c r="AE186" s="7" t="e">
        <f t="shared" ca="1" si="48"/>
        <v>#REF!</v>
      </c>
      <c r="AF186" s="125" t="e">
        <f t="shared" ca="1" si="49"/>
        <v>#REF!</v>
      </c>
      <c r="AG186" s="125" t="e">
        <f t="shared" ca="1" si="40"/>
        <v>#REF!</v>
      </c>
      <c r="AH186" s="128" t="e">
        <f t="shared" ca="1" si="50"/>
        <v>#REF!</v>
      </c>
    </row>
    <row r="187" spans="4:34">
      <c r="D187">
        <v>180</v>
      </c>
      <c r="E187" s="6">
        <f t="shared" ca="1" si="41"/>
        <v>47300</v>
      </c>
      <c r="F187" s="7">
        <f t="shared" ca="1" si="42"/>
        <v>1</v>
      </c>
      <c r="G187" s="125">
        <f t="shared" ca="1" si="35"/>
        <v>17500</v>
      </c>
      <c r="H187" s="125">
        <f ca="1">IF(F187=1,F187*$B$10/MIN(12,'Simulador - 3º Pilar'!$E$88),0)</f>
        <v>0</v>
      </c>
      <c r="I187" s="128">
        <f t="shared" ca="1" si="36"/>
        <v>0</v>
      </c>
      <c r="J187" s="494">
        <f t="shared" ca="1" si="37"/>
        <v>0</v>
      </c>
      <c r="K187" s="126">
        <f t="shared" ca="1" si="38"/>
        <v>0</v>
      </c>
      <c r="L187" s="126">
        <f t="shared" ca="1" si="52"/>
        <v>0</v>
      </c>
      <c r="P187">
        <v>180</v>
      </c>
      <c r="Q187" s="6">
        <f t="shared" ca="1" si="43"/>
        <v>47300</v>
      </c>
      <c r="R187" s="7" t="e">
        <f t="shared" ca="1" si="44"/>
        <v>#REF!</v>
      </c>
      <c r="S187" s="125" t="e">
        <f t="shared" ca="1" si="45"/>
        <v>#REF!</v>
      </c>
      <c r="T187" s="125" t="e">
        <f t="shared" ca="1" si="39"/>
        <v>#REF!</v>
      </c>
      <c r="U187" s="128" t="e">
        <f t="shared" ca="1" si="46"/>
        <v>#REF!</v>
      </c>
      <c r="AC187">
        <v>180</v>
      </c>
      <c r="AD187" s="6">
        <f t="shared" ca="1" si="47"/>
        <v>47300</v>
      </c>
      <c r="AE187" s="7" t="e">
        <f t="shared" ca="1" si="48"/>
        <v>#REF!</v>
      </c>
      <c r="AF187" s="125" t="e">
        <f t="shared" ca="1" si="49"/>
        <v>#REF!</v>
      </c>
      <c r="AG187" s="125" t="e">
        <f t="shared" ca="1" si="40"/>
        <v>#REF!</v>
      </c>
      <c r="AH187" s="128" t="e">
        <f t="shared" ca="1" si="50"/>
        <v>#REF!</v>
      </c>
    </row>
    <row r="188" spans="4:34">
      <c r="D188">
        <v>181</v>
      </c>
      <c r="E188" s="6">
        <f t="shared" ca="1" si="41"/>
        <v>47270</v>
      </c>
      <c r="F188" s="7">
        <f t="shared" ca="1" si="42"/>
        <v>1</v>
      </c>
      <c r="G188" s="125">
        <f t="shared" ca="1" si="35"/>
        <v>17500</v>
      </c>
      <c r="H188" s="125">
        <f ca="1">IF(F188=1,F188*$B$10/MIN(12,'Simulador - 3º Pilar'!$E$88),0)</f>
        <v>0</v>
      </c>
      <c r="I188" s="128">
        <f t="shared" ca="1" si="36"/>
        <v>0</v>
      </c>
      <c r="J188" s="494">
        <f t="shared" ca="1" si="37"/>
        <v>0</v>
      </c>
      <c r="K188" s="126">
        <f t="shared" ca="1" si="38"/>
        <v>0</v>
      </c>
      <c r="L188" s="126">
        <f t="shared" ca="1" si="52"/>
        <v>0</v>
      </c>
      <c r="P188">
        <v>181</v>
      </c>
      <c r="Q188" s="6">
        <f t="shared" ca="1" si="43"/>
        <v>47270</v>
      </c>
      <c r="R188" s="7" t="e">
        <f t="shared" ca="1" si="44"/>
        <v>#REF!</v>
      </c>
      <c r="S188" s="125" t="e">
        <f t="shared" ca="1" si="45"/>
        <v>#REF!</v>
      </c>
      <c r="T188" s="125" t="e">
        <f t="shared" ca="1" si="39"/>
        <v>#REF!</v>
      </c>
      <c r="U188" s="128" t="e">
        <f t="shared" ca="1" si="46"/>
        <v>#REF!</v>
      </c>
      <c r="AC188">
        <v>181</v>
      </c>
      <c r="AD188" s="6">
        <f t="shared" ca="1" si="47"/>
        <v>47270</v>
      </c>
      <c r="AE188" s="7" t="e">
        <f t="shared" ca="1" si="48"/>
        <v>#REF!</v>
      </c>
      <c r="AF188" s="125" t="e">
        <f t="shared" ca="1" si="49"/>
        <v>#REF!</v>
      </c>
      <c r="AG188" s="125" t="e">
        <f t="shared" ca="1" si="40"/>
        <v>#REF!</v>
      </c>
      <c r="AH188" s="128" t="e">
        <f t="shared" ca="1" si="50"/>
        <v>#REF!</v>
      </c>
    </row>
    <row r="189" spans="4:34">
      <c r="D189">
        <v>182</v>
      </c>
      <c r="E189" s="6">
        <f t="shared" ca="1" si="41"/>
        <v>47239</v>
      </c>
      <c r="F189" s="7">
        <f t="shared" ca="1" si="42"/>
        <v>1</v>
      </c>
      <c r="G189" s="125">
        <f t="shared" ca="1" si="35"/>
        <v>17500</v>
      </c>
      <c r="H189" s="125">
        <f ca="1">IF(F189=1,F189*$B$10/MIN(12,'Simulador - 3º Pilar'!$E$88),0)</f>
        <v>0</v>
      </c>
      <c r="I189" s="128">
        <f t="shared" ca="1" si="36"/>
        <v>0</v>
      </c>
      <c r="J189" s="494">
        <f t="shared" ca="1" si="37"/>
        <v>0</v>
      </c>
      <c r="K189" s="126">
        <f t="shared" ca="1" si="38"/>
        <v>0</v>
      </c>
      <c r="L189" s="126">
        <f t="shared" ca="1" si="52"/>
        <v>0</v>
      </c>
      <c r="P189">
        <v>182</v>
      </c>
      <c r="Q189" s="6">
        <f t="shared" ca="1" si="43"/>
        <v>47239</v>
      </c>
      <c r="R189" s="7" t="e">
        <f t="shared" ca="1" si="44"/>
        <v>#REF!</v>
      </c>
      <c r="S189" s="125" t="e">
        <f t="shared" ca="1" si="45"/>
        <v>#REF!</v>
      </c>
      <c r="T189" s="125" t="e">
        <f t="shared" ca="1" si="39"/>
        <v>#REF!</v>
      </c>
      <c r="U189" s="128" t="e">
        <f t="shared" ca="1" si="46"/>
        <v>#REF!</v>
      </c>
      <c r="AC189">
        <v>182</v>
      </c>
      <c r="AD189" s="6">
        <f t="shared" ca="1" si="47"/>
        <v>47239</v>
      </c>
      <c r="AE189" s="7" t="e">
        <f t="shared" ca="1" si="48"/>
        <v>#REF!</v>
      </c>
      <c r="AF189" s="125" t="e">
        <f t="shared" ca="1" si="49"/>
        <v>#REF!</v>
      </c>
      <c r="AG189" s="125" t="e">
        <f t="shared" ca="1" si="40"/>
        <v>#REF!</v>
      </c>
      <c r="AH189" s="128" t="e">
        <f t="shared" ca="1" si="50"/>
        <v>#REF!</v>
      </c>
    </row>
    <row r="190" spans="4:34">
      <c r="D190">
        <v>183</v>
      </c>
      <c r="E190" s="6">
        <f t="shared" ca="1" si="41"/>
        <v>47209</v>
      </c>
      <c r="F190" s="7">
        <f t="shared" ca="1" si="42"/>
        <v>1</v>
      </c>
      <c r="G190" s="125">
        <f t="shared" ca="1" si="35"/>
        <v>17500</v>
      </c>
      <c r="H190" s="125">
        <f ca="1">IF(F190=1,F190*$B$10/MIN(12,'Simulador - 3º Pilar'!$E$88),0)</f>
        <v>0</v>
      </c>
      <c r="I190" s="128">
        <f t="shared" ca="1" si="36"/>
        <v>0</v>
      </c>
      <c r="J190" s="494">
        <f t="shared" ca="1" si="37"/>
        <v>0</v>
      </c>
      <c r="K190" s="126">
        <f t="shared" ca="1" si="38"/>
        <v>0</v>
      </c>
      <c r="L190" s="126">
        <f t="shared" ca="1" si="52"/>
        <v>0</v>
      </c>
      <c r="P190">
        <v>183</v>
      </c>
      <c r="Q190" s="6">
        <f t="shared" ca="1" si="43"/>
        <v>47209</v>
      </c>
      <c r="R190" s="7" t="e">
        <f t="shared" ca="1" si="44"/>
        <v>#REF!</v>
      </c>
      <c r="S190" s="125" t="e">
        <f t="shared" ca="1" si="45"/>
        <v>#REF!</v>
      </c>
      <c r="T190" s="125" t="e">
        <f t="shared" ca="1" si="39"/>
        <v>#REF!</v>
      </c>
      <c r="U190" s="128" t="e">
        <f t="shared" ca="1" si="46"/>
        <v>#REF!</v>
      </c>
      <c r="AC190">
        <v>183</v>
      </c>
      <c r="AD190" s="6">
        <f t="shared" ca="1" si="47"/>
        <v>47209</v>
      </c>
      <c r="AE190" s="7" t="e">
        <f t="shared" ca="1" si="48"/>
        <v>#REF!</v>
      </c>
      <c r="AF190" s="125" t="e">
        <f t="shared" ca="1" si="49"/>
        <v>#REF!</v>
      </c>
      <c r="AG190" s="125" t="e">
        <f t="shared" ca="1" si="40"/>
        <v>#REF!</v>
      </c>
      <c r="AH190" s="128" t="e">
        <f t="shared" ca="1" si="50"/>
        <v>#REF!</v>
      </c>
    </row>
    <row r="191" spans="4:34">
      <c r="D191">
        <v>184</v>
      </c>
      <c r="E191" s="6">
        <f t="shared" ca="1" si="41"/>
        <v>47178</v>
      </c>
      <c r="F191" s="7">
        <f t="shared" ca="1" si="42"/>
        <v>1</v>
      </c>
      <c r="G191" s="125">
        <f t="shared" ca="1" si="35"/>
        <v>17500</v>
      </c>
      <c r="H191" s="125">
        <f ca="1">IF(F191=1,F191*$B$10/MIN(12,'Simulador - 3º Pilar'!$E$88),0)</f>
        <v>0</v>
      </c>
      <c r="I191" s="128">
        <f t="shared" ca="1" si="36"/>
        <v>0</v>
      </c>
      <c r="J191" s="494">
        <f t="shared" ca="1" si="37"/>
        <v>0</v>
      </c>
      <c r="K191" s="126">
        <f t="shared" ca="1" si="38"/>
        <v>0</v>
      </c>
      <c r="L191" s="126">
        <f t="shared" ca="1" si="52"/>
        <v>0</v>
      </c>
      <c r="P191">
        <v>184</v>
      </c>
      <c r="Q191" s="6">
        <f t="shared" ca="1" si="43"/>
        <v>47178</v>
      </c>
      <c r="R191" s="7" t="e">
        <f t="shared" ca="1" si="44"/>
        <v>#REF!</v>
      </c>
      <c r="S191" s="125" t="e">
        <f t="shared" ca="1" si="45"/>
        <v>#REF!</v>
      </c>
      <c r="T191" s="125" t="e">
        <f t="shared" ca="1" si="39"/>
        <v>#REF!</v>
      </c>
      <c r="U191" s="128" t="e">
        <f t="shared" ca="1" si="46"/>
        <v>#REF!</v>
      </c>
      <c r="AC191">
        <v>184</v>
      </c>
      <c r="AD191" s="6">
        <f t="shared" ca="1" si="47"/>
        <v>47178</v>
      </c>
      <c r="AE191" s="7" t="e">
        <f t="shared" ca="1" si="48"/>
        <v>#REF!</v>
      </c>
      <c r="AF191" s="125" t="e">
        <f t="shared" ca="1" si="49"/>
        <v>#REF!</v>
      </c>
      <c r="AG191" s="125" t="e">
        <f t="shared" ca="1" si="40"/>
        <v>#REF!</v>
      </c>
      <c r="AH191" s="128" t="e">
        <f t="shared" ca="1" si="50"/>
        <v>#REF!</v>
      </c>
    </row>
    <row r="192" spans="4:34">
      <c r="D192">
        <v>185</v>
      </c>
      <c r="E192" s="6">
        <f t="shared" ca="1" si="41"/>
        <v>47150</v>
      </c>
      <c r="F192" s="7">
        <f t="shared" ca="1" si="42"/>
        <v>1</v>
      </c>
      <c r="G192" s="125">
        <f t="shared" ca="1" si="35"/>
        <v>17500</v>
      </c>
      <c r="H192" s="125">
        <f ca="1">IF(F192=1,F192*$B$10/MIN(12,'Simulador - 3º Pilar'!$E$88),0)</f>
        <v>0</v>
      </c>
      <c r="I192" s="128">
        <f t="shared" ca="1" si="36"/>
        <v>0</v>
      </c>
      <c r="J192" s="494">
        <f t="shared" ca="1" si="37"/>
        <v>0</v>
      </c>
      <c r="K192" s="126">
        <f t="shared" ca="1" si="38"/>
        <v>0</v>
      </c>
      <c r="L192" s="126">
        <f t="shared" ca="1" si="52"/>
        <v>0</v>
      </c>
      <c r="P192">
        <v>185</v>
      </c>
      <c r="Q192" s="6">
        <f t="shared" ca="1" si="43"/>
        <v>47150</v>
      </c>
      <c r="R192" s="7" t="e">
        <f t="shared" ca="1" si="44"/>
        <v>#REF!</v>
      </c>
      <c r="S192" s="125" t="e">
        <f t="shared" ca="1" si="45"/>
        <v>#REF!</v>
      </c>
      <c r="T192" s="125" t="e">
        <f t="shared" ca="1" si="39"/>
        <v>#REF!</v>
      </c>
      <c r="U192" s="128" t="e">
        <f t="shared" ca="1" si="46"/>
        <v>#REF!</v>
      </c>
      <c r="AC192">
        <v>185</v>
      </c>
      <c r="AD192" s="6">
        <f t="shared" ca="1" si="47"/>
        <v>47150</v>
      </c>
      <c r="AE192" s="7" t="e">
        <f t="shared" ca="1" si="48"/>
        <v>#REF!</v>
      </c>
      <c r="AF192" s="125" t="e">
        <f t="shared" ca="1" si="49"/>
        <v>#REF!</v>
      </c>
      <c r="AG192" s="125" t="e">
        <f t="shared" ca="1" si="40"/>
        <v>#REF!</v>
      </c>
      <c r="AH192" s="128" t="e">
        <f t="shared" ca="1" si="50"/>
        <v>#REF!</v>
      </c>
    </row>
    <row r="193" spans="4:34">
      <c r="D193">
        <v>186</v>
      </c>
      <c r="E193" s="6">
        <f t="shared" ca="1" si="41"/>
        <v>47119</v>
      </c>
      <c r="F193" s="7">
        <f t="shared" ca="1" si="42"/>
        <v>1</v>
      </c>
      <c r="G193" s="125">
        <f t="shared" ca="1" si="35"/>
        <v>17500</v>
      </c>
      <c r="H193" s="125">
        <f ca="1">IF(F193=1,F193*$B$10/MIN(12,'Simulador - 3º Pilar'!$E$88),0)</f>
        <v>0</v>
      </c>
      <c r="I193" s="128">
        <f t="shared" ca="1" si="36"/>
        <v>0</v>
      </c>
      <c r="J193" s="494">
        <f t="shared" ca="1" si="37"/>
        <v>0</v>
      </c>
      <c r="K193" s="126">
        <f t="shared" ca="1" si="38"/>
        <v>0</v>
      </c>
      <c r="L193" s="126">
        <f t="shared" ca="1" si="52"/>
        <v>0</v>
      </c>
      <c r="P193">
        <v>186</v>
      </c>
      <c r="Q193" s="6">
        <f t="shared" ca="1" si="43"/>
        <v>47119</v>
      </c>
      <c r="R193" s="7" t="e">
        <f t="shared" ca="1" si="44"/>
        <v>#REF!</v>
      </c>
      <c r="S193" s="125" t="e">
        <f t="shared" ca="1" si="45"/>
        <v>#REF!</v>
      </c>
      <c r="T193" s="125" t="e">
        <f t="shared" ca="1" si="39"/>
        <v>#REF!</v>
      </c>
      <c r="U193" s="128" t="e">
        <f t="shared" ca="1" si="46"/>
        <v>#REF!</v>
      </c>
      <c r="AC193">
        <v>186</v>
      </c>
      <c r="AD193" s="6">
        <f t="shared" ca="1" si="47"/>
        <v>47119</v>
      </c>
      <c r="AE193" s="7" t="e">
        <f t="shared" ca="1" si="48"/>
        <v>#REF!</v>
      </c>
      <c r="AF193" s="125" t="e">
        <f t="shared" ca="1" si="49"/>
        <v>#REF!</v>
      </c>
      <c r="AG193" s="125" t="e">
        <f t="shared" ca="1" si="40"/>
        <v>#REF!</v>
      </c>
      <c r="AH193" s="128" t="e">
        <f t="shared" ca="1" si="50"/>
        <v>#REF!</v>
      </c>
    </row>
    <row r="194" spans="4:34">
      <c r="D194">
        <v>187</v>
      </c>
      <c r="E194" s="6">
        <f t="shared" ca="1" si="41"/>
        <v>47088</v>
      </c>
      <c r="F194" s="7">
        <f t="shared" ca="1" si="42"/>
        <v>1</v>
      </c>
      <c r="G194" s="125">
        <f t="shared" ca="1" si="35"/>
        <v>17500</v>
      </c>
      <c r="H194" s="125">
        <f ca="1">IF(F194=1,F194*$B$10/MIN(12,'Simulador - 3º Pilar'!$E$88),0)</f>
        <v>0</v>
      </c>
      <c r="I194" s="128">
        <f t="shared" ca="1" si="36"/>
        <v>0</v>
      </c>
      <c r="J194" s="494">
        <f t="shared" ca="1" si="37"/>
        <v>0</v>
      </c>
      <c r="K194" s="126">
        <f t="shared" ca="1" si="38"/>
        <v>0</v>
      </c>
      <c r="L194" s="126">
        <f t="shared" ca="1" si="52"/>
        <v>0</v>
      </c>
      <c r="P194">
        <v>187</v>
      </c>
      <c r="Q194" s="6">
        <f t="shared" ca="1" si="43"/>
        <v>47088</v>
      </c>
      <c r="R194" s="7" t="e">
        <f t="shared" ca="1" si="44"/>
        <v>#REF!</v>
      </c>
      <c r="S194" s="125" t="e">
        <f t="shared" ca="1" si="45"/>
        <v>#REF!</v>
      </c>
      <c r="T194" s="125" t="e">
        <f t="shared" ca="1" si="39"/>
        <v>#REF!</v>
      </c>
      <c r="U194" s="128" t="e">
        <f t="shared" ca="1" si="46"/>
        <v>#REF!</v>
      </c>
      <c r="AC194">
        <v>187</v>
      </c>
      <c r="AD194" s="6">
        <f t="shared" ca="1" si="47"/>
        <v>47088</v>
      </c>
      <c r="AE194" s="7" t="e">
        <f t="shared" ca="1" si="48"/>
        <v>#REF!</v>
      </c>
      <c r="AF194" s="125" t="e">
        <f t="shared" ca="1" si="49"/>
        <v>#REF!</v>
      </c>
      <c r="AG194" s="125" t="e">
        <f t="shared" ca="1" si="40"/>
        <v>#REF!</v>
      </c>
      <c r="AH194" s="128" t="e">
        <f t="shared" ca="1" si="50"/>
        <v>#REF!</v>
      </c>
    </row>
    <row r="195" spans="4:34">
      <c r="D195">
        <v>188</v>
      </c>
      <c r="E195" s="6">
        <f t="shared" ca="1" si="41"/>
        <v>47058</v>
      </c>
      <c r="F195" s="7">
        <f t="shared" ca="1" si="42"/>
        <v>1</v>
      </c>
      <c r="G195" s="125">
        <f t="shared" ca="1" si="35"/>
        <v>17500</v>
      </c>
      <c r="H195" s="125">
        <f ca="1">IF(F195=1,F195*$B$10/MIN(12,'Simulador - 3º Pilar'!$E$88),0)</f>
        <v>0</v>
      </c>
      <c r="I195" s="128">
        <f t="shared" ca="1" si="36"/>
        <v>0</v>
      </c>
      <c r="J195" s="494">
        <f t="shared" ca="1" si="37"/>
        <v>0</v>
      </c>
      <c r="K195" s="126">
        <f t="shared" ca="1" si="38"/>
        <v>0</v>
      </c>
      <c r="L195" s="126">
        <f t="shared" ca="1" si="52"/>
        <v>0</v>
      </c>
      <c r="P195">
        <v>188</v>
      </c>
      <c r="Q195" s="6">
        <f t="shared" ca="1" si="43"/>
        <v>47058</v>
      </c>
      <c r="R195" s="7" t="e">
        <f t="shared" ca="1" si="44"/>
        <v>#REF!</v>
      </c>
      <c r="S195" s="125" t="e">
        <f t="shared" ca="1" si="45"/>
        <v>#REF!</v>
      </c>
      <c r="T195" s="125" t="e">
        <f t="shared" ca="1" si="39"/>
        <v>#REF!</v>
      </c>
      <c r="U195" s="128" t="e">
        <f t="shared" ca="1" si="46"/>
        <v>#REF!</v>
      </c>
      <c r="AC195">
        <v>188</v>
      </c>
      <c r="AD195" s="6">
        <f t="shared" ca="1" si="47"/>
        <v>47058</v>
      </c>
      <c r="AE195" s="7" t="e">
        <f t="shared" ca="1" si="48"/>
        <v>#REF!</v>
      </c>
      <c r="AF195" s="125" t="e">
        <f t="shared" ca="1" si="49"/>
        <v>#REF!</v>
      </c>
      <c r="AG195" s="125" t="e">
        <f t="shared" ca="1" si="40"/>
        <v>#REF!</v>
      </c>
      <c r="AH195" s="128" t="e">
        <f t="shared" ca="1" si="50"/>
        <v>#REF!</v>
      </c>
    </row>
    <row r="196" spans="4:34">
      <c r="D196">
        <v>189</v>
      </c>
      <c r="E196" s="6">
        <f t="shared" ca="1" si="41"/>
        <v>47027</v>
      </c>
      <c r="F196" s="7">
        <f t="shared" ca="1" si="42"/>
        <v>1</v>
      </c>
      <c r="G196" s="125">
        <f t="shared" ca="1" si="35"/>
        <v>17500</v>
      </c>
      <c r="H196" s="125">
        <f ca="1">IF(F196=1,F196*$B$10/MIN(12,'Simulador - 3º Pilar'!$E$88),0)</f>
        <v>0</v>
      </c>
      <c r="I196" s="128">
        <f t="shared" ca="1" si="36"/>
        <v>0</v>
      </c>
      <c r="J196" s="494">
        <f t="shared" ca="1" si="37"/>
        <v>0</v>
      </c>
      <c r="K196" s="126">
        <f t="shared" ca="1" si="38"/>
        <v>0</v>
      </c>
      <c r="L196" s="126">
        <f t="shared" ca="1" si="52"/>
        <v>0</v>
      </c>
      <c r="P196">
        <v>189</v>
      </c>
      <c r="Q196" s="6">
        <f t="shared" ca="1" si="43"/>
        <v>47027</v>
      </c>
      <c r="R196" s="7" t="e">
        <f t="shared" ca="1" si="44"/>
        <v>#REF!</v>
      </c>
      <c r="S196" s="125" t="e">
        <f t="shared" ca="1" si="45"/>
        <v>#REF!</v>
      </c>
      <c r="T196" s="125" t="e">
        <f t="shared" ca="1" si="39"/>
        <v>#REF!</v>
      </c>
      <c r="U196" s="128" t="e">
        <f t="shared" ca="1" si="46"/>
        <v>#REF!</v>
      </c>
      <c r="AC196">
        <v>189</v>
      </c>
      <c r="AD196" s="6">
        <f t="shared" ca="1" si="47"/>
        <v>47027</v>
      </c>
      <c r="AE196" s="7" t="e">
        <f t="shared" ca="1" si="48"/>
        <v>#REF!</v>
      </c>
      <c r="AF196" s="125" t="e">
        <f t="shared" ca="1" si="49"/>
        <v>#REF!</v>
      </c>
      <c r="AG196" s="125" t="e">
        <f t="shared" ca="1" si="40"/>
        <v>#REF!</v>
      </c>
      <c r="AH196" s="128" t="e">
        <f t="shared" ca="1" si="50"/>
        <v>#REF!</v>
      </c>
    </row>
    <row r="197" spans="4:34">
      <c r="D197">
        <v>190</v>
      </c>
      <c r="E197" s="6">
        <f t="shared" ca="1" si="41"/>
        <v>46997</v>
      </c>
      <c r="F197" s="7">
        <f t="shared" ca="1" si="42"/>
        <v>1</v>
      </c>
      <c r="G197" s="125">
        <f t="shared" ca="1" si="35"/>
        <v>17500</v>
      </c>
      <c r="H197" s="125">
        <f ca="1">IF(F197=1,F197*$B$10/MIN(12,'Simulador - 3º Pilar'!$E$88),0)</f>
        <v>0</v>
      </c>
      <c r="I197" s="128">
        <f t="shared" ca="1" si="36"/>
        <v>0</v>
      </c>
      <c r="J197" s="494">
        <f t="shared" ca="1" si="37"/>
        <v>0</v>
      </c>
      <c r="K197" s="126">
        <f t="shared" ca="1" si="38"/>
        <v>0</v>
      </c>
      <c r="L197" s="126">
        <f t="shared" ca="1" si="52"/>
        <v>0</v>
      </c>
      <c r="P197">
        <v>190</v>
      </c>
      <c r="Q197" s="6">
        <f t="shared" ca="1" si="43"/>
        <v>46997</v>
      </c>
      <c r="R197" s="7" t="e">
        <f t="shared" ca="1" si="44"/>
        <v>#REF!</v>
      </c>
      <c r="S197" s="125" t="e">
        <f t="shared" ca="1" si="45"/>
        <v>#REF!</v>
      </c>
      <c r="T197" s="125" t="e">
        <f t="shared" ca="1" si="39"/>
        <v>#REF!</v>
      </c>
      <c r="U197" s="128" t="e">
        <f t="shared" ca="1" si="46"/>
        <v>#REF!</v>
      </c>
      <c r="AC197">
        <v>190</v>
      </c>
      <c r="AD197" s="6">
        <f t="shared" ca="1" si="47"/>
        <v>46997</v>
      </c>
      <c r="AE197" s="7" t="e">
        <f t="shared" ca="1" si="48"/>
        <v>#REF!</v>
      </c>
      <c r="AF197" s="125" t="e">
        <f t="shared" ca="1" si="49"/>
        <v>#REF!</v>
      </c>
      <c r="AG197" s="125" t="e">
        <f t="shared" ca="1" si="40"/>
        <v>#REF!</v>
      </c>
      <c r="AH197" s="128" t="e">
        <f t="shared" ca="1" si="50"/>
        <v>#REF!</v>
      </c>
    </row>
    <row r="198" spans="4:34">
      <c r="D198">
        <v>191</v>
      </c>
      <c r="E198" s="6">
        <f t="shared" ca="1" si="41"/>
        <v>46966</v>
      </c>
      <c r="F198" s="7">
        <f t="shared" ca="1" si="42"/>
        <v>1</v>
      </c>
      <c r="G198" s="125">
        <f t="shared" ca="1" si="35"/>
        <v>17500</v>
      </c>
      <c r="H198" s="125">
        <f ca="1">IF(F198=1,F198*$B$10/MIN(12,'Simulador - 3º Pilar'!$E$88),0)</f>
        <v>0</v>
      </c>
      <c r="I198" s="128">
        <f t="shared" ca="1" si="36"/>
        <v>0</v>
      </c>
      <c r="J198" s="494">
        <f t="shared" ca="1" si="37"/>
        <v>0</v>
      </c>
      <c r="K198" s="126">
        <f t="shared" ca="1" si="38"/>
        <v>0</v>
      </c>
      <c r="L198" s="126">
        <f t="shared" ca="1" si="52"/>
        <v>0</v>
      </c>
      <c r="P198">
        <v>191</v>
      </c>
      <c r="Q198" s="6">
        <f t="shared" ca="1" si="43"/>
        <v>46966</v>
      </c>
      <c r="R198" s="7" t="e">
        <f t="shared" ca="1" si="44"/>
        <v>#REF!</v>
      </c>
      <c r="S198" s="125" t="e">
        <f t="shared" ca="1" si="45"/>
        <v>#REF!</v>
      </c>
      <c r="T198" s="125" t="e">
        <f t="shared" ca="1" si="39"/>
        <v>#REF!</v>
      </c>
      <c r="U198" s="128" t="e">
        <f t="shared" ca="1" si="46"/>
        <v>#REF!</v>
      </c>
      <c r="AC198">
        <v>191</v>
      </c>
      <c r="AD198" s="6">
        <f t="shared" ca="1" si="47"/>
        <v>46966</v>
      </c>
      <c r="AE198" s="7" t="e">
        <f t="shared" ca="1" si="48"/>
        <v>#REF!</v>
      </c>
      <c r="AF198" s="125" t="e">
        <f t="shared" ca="1" si="49"/>
        <v>#REF!</v>
      </c>
      <c r="AG198" s="125" t="e">
        <f t="shared" ca="1" si="40"/>
        <v>#REF!</v>
      </c>
      <c r="AH198" s="128" t="e">
        <f t="shared" ca="1" si="50"/>
        <v>#REF!</v>
      </c>
    </row>
    <row r="199" spans="4:34">
      <c r="D199">
        <v>192</v>
      </c>
      <c r="E199" s="6">
        <f t="shared" ca="1" si="41"/>
        <v>46935</v>
      </c>
      <c r="F199" s="7">
        <f t="shared" ca="1" si="42"/>
        <v>1</v>
      </c>
      <c r="G199" s="125">
        <f t="shared" ca="1" si="35"/>
        <v>17500</v>
      </c>
      <c r="H199" s="125">
        <f ca="1">IF(F199=1,F199*$B$10/MIN(12,'Simulador - 3º Pilar'!$E$88),0)</f>
        <v>0</v>
      </c>
      <c r="I199" s="128">
        <f t="shared" ca="1" si="36"/>
        <v>0</v>
      </c>
      <c r="J199" s="494">
        <f t="shared" ca="1" si="37"/>
        <v>0</v>
      </c>
      <c r="K199" s="126">
        <f t="shared" ca="1" si="38"/>
        <v>0</v>
      </c>
      <c r="L199" s="126">
        <f t="shared" ca="1" si="52"/>
        <v>0</v>
      </c>
      <c r="P199">
        <v>192</v>
      </c>
      <c r="Q199" s="6">
        <f t="shared" ca="1" si="43"/>
        <v>46935</v>
      </c>
      <c r="R199" s="7" t="e">
        <f t="shared" ca="1" si="44"/>
        <v>#REF!</v>
      </c>
      <c r="S199" s="125" t="e">
        <f t="shared" ca="1" si="45"/>
        <v>#REF!</v>
      </c>
      <c r="T199" s="125" t="e">
        <f t="shared" ca="1" si="39"/>
        <v>#REF!</v>
      </c>
      <c r="U199" s="128" t="e">
        <f t="shared" ca="1" si="46"/>
        <v>#REF!</v>
      </c>
      <c r="AC199">
        <v>192</v>
      </c>
      <c r="AD199" s="6">
        <f t="shared" ca="1" si="47"/>
        <v>46935</v>
      </c>
      <c r="AE199" s="7" t="e">
        <f t="shared" ca="1" si="48"/>
        <v>#REF!</v>
      </c>
      <c r="AF199" s="125" t="e">
        <f t="shared" ca="1" si="49"/>
        <v>#REF!</v>
      </c>
      <c r="AG199" s="125" t="e">
        <f t="shared" ca="1" si="40"/>
        <v>#REF!</v>
      </c>
      <c r="AH199" s="128" t="e">
        <f t="shared" ca="1" si="50"/>
        <v>#REF!</v>
      </c>
    </row>
    <row r="200" spans="4:34">
      <c r="D200">
        <v>193</v>
      </c>
      <c r="E200" s="6">
        <f t="shared" ca="1" si="41"/>
        <v>46905</v>
      </c>
      <c r="F200" s="7">
        <f t="shared" ca="1" si="42"/>
        <v>1</v>
      </c>
      <c r="G200" s="125">
        <f t="shared" ref="G200:G263" ca="1" si="53">F200*$B$8/12</f>
        <v>17500</v>
      </c>
      <c r="H200" s="125">
        <f ca="1">IF(F200=1,F200*$B$10/MIN(12,'Simulador - 3º Pilar'!$E$88),0)</f>
        <v>0</v>
      </c>
      <c r="I200" s="128">
        <f t="shared" ref="I200:I263" ca="1" si="54">(1+$G$5)^(D200/12)*(H200+IF(E200=$N$7,$N$4,0))</f>
        <v>0</v>
      </c>
      <c r="J200" s="494">
        <f t="shared" ref="J200:J263" ca="1" si="55">(1+$G$5)^(D200/12)*(H200*(12-IF(MONTH(E201)=12,0,MONTH(E201)))+IF(AND(F200=1,F201=0),$Q$4,0))*IF(AND(F200=1,F201=0),1,0)</f>
        <v>0</v>
      </c>
      <c r="K200" s="126">
        <f t="shared" ref="K200:K263" ca="1" si="56">(1+$G$5)^(D200/12)*(IF(E200=$N$7,$N$4,0)+IF(E200=$C$6,$B$10,0))</f>
        <v>0</v>
      </c>
      <c r="L200" s="126">
        <f t="shared" ca="1" si="52"/>
        <v>0</v>
      </c>
      <c r="P200">
        <v>193</v>
      </c>
      <c r="Q200" s="6">
        <f t="shared" ca="1" si="43"/>
        <v>46905</v>
      </c>
      <c r="R200" s="7" t="e">
        <f t="shared" ca="1" si="44"/>
        <v>#REF!</v>
      </c>
      <c r="S200" s="125" t="e">
        <f t="shared" ca="1" si="45"/>
        <v>#REF!</v>
      </c>
      <c r="T200" s="125" t="e">
        <f t="shared" ref="T200:T263" ca="1" si="57">R200*$B$11/12</f>
        <v>#REF!</v>
      </c>
      <c r="U200" s="128" t="e">
        <f t="shared" ca="1" si="46"/>
        <v>#REF!</v>
      </c>
      <c r="AC200">
        <v>193</v>
      </c>
      <c r="AD200" s="6">
        <f t="shared" ca="1" si="47"/>
        <v>46905</v>
      </c>
      <c r="AE200" s="7" t="e">
        <f t="shared" ca="1" si="48"/>
        <v>#REF!</v>
      </c>
      <c r="AF200" s="125" t="e">
        <f t="shared" ca="1" si="49"/>
        <v>#REF!</v>
      </c>
      <c r="AG200" s="125" t="e">
        <f t="shared" ref="AG200:AG263" ca="1" si="58">AE200*$B$12/12</f>
        <v>#REF!</v>
      </c>
      <c r="AH200" s="128" t="e">
        <f t="shared" ca="1" si="50"/>
        <v>#REF!</v>
      </c>
    </row>
    <row r="201" spans="4:34">
      <c r="D201">
        <v>194</v>
      </c>
      <c r="E201" s="6">
        <f t="shared" ref="E201:E264" ca="1" si="59">+DATE(YEAR(E200),MONTH(E200)-1,DAY(E200))</f>
        <v>46874</v>
      </c>
      <c r="F201" s="7">
        <f t="shared" ref="F201:F264" ca="1" si="60">IF($C$6=$E201,1,IF(MONTH($E201)=1,F202*(1+$F$5),F202))</f>
        <v>1</v>
      </c>
      <c r="G201" s="125">
        <f t="shared" ca="1" si="53"/>
        <v>17500</v>
      </c>
      <c r="H201" s="125">
        <f ca="1">IF(F201=1,F201*$B$10/MIN(12,'Simulador - 3º Pilar'!$E$88),0)</f>
        <v>0</v>
      </c>
      <c r="I201" s="128">
        <f t="shared" ca="1" si="54"/>
        <v>0</v>
      </c>
      <c r="J201" s="494">
        <f t="shared" ca="1" si="55"/>
        <v>0</v>
      </c>
      <c r="K201" s="126">
        <f t="shared" ca="1" si="56"/>
        <v>0</v>
      </c>
      <c r="L201" s="126">
        <f t="shared" ca="1" si="52"/>
        <v>0</v>
      </c>
      <c r="P201">
        <v>194</v>
      </c>
      <c r="Q201" s="6">
        <f t="shared" ref="Q201:Q264" ca="1" si="61">+DATE(YEAR(Q200),MONTH(Q200)-1,DAY(Q200))</f>
        <v>46874</v>
      </c>
      <c r="R201" s="7" t="e">
        <f t="shared" ref="R201:R264" ca="1" si="62">IF($Z$7=$E201,1,IF(MONTH($E201)=1,R202*(1+$F$5),R202))</f>
        <v>#REF!</v>
      </c>
      <c r="S201" s="125" t="e">
        <f t="shared" ref="S201:S264" ca="1" si="63">R201*$B$8/12</f>
        <v>#REF!</v>
      </c>
      <c r="T201" s="125" t="e">
        <f t="shared" ca="1" si="57"/>
        <v>#REF!</v>
      </c>
      <c r="U201" s="128" t="e">
        <f t="shared" ref="U201:U264" ca="1" si="64">(1+$V$5)^(P201/12)*(T201+IF(Q201=$Z$7,$Z$4,0))</f>
        <v>#REF!</v>
      </c>
      <c r="AC201">
        <v>194</v>
      </c>
      <c r="AD201" s="6">
        <f t="shared" ref="AD201:AD264" ca="1" si="65">+DATE(YEAR(AD200),MONTH(AD200)-1,DAY(AD200))</f>
        <v>46874</v>
      </c>
      <c r="AE201" s="7" t="e">
        <f t="shared" ref="AE201:AE264" ca="1" si="66">IF($AM$7=$E201,1,IF(MONTH($E201)=1,AE202*(1+$F$5),AE202))</f>
        <v>#REF!</v>
      </c>
      <c r="AF201" s="125" t="e">
        <f t="shared" ref="AF201:AF264" ca="1" si="67">AE201*$B$8/12</f>
        <v>#REF!</v>
      </c>
      <c r="AG201" s="125" t="e">
        <f t="shared" ca="1" si="58"/>
        <v>#REF!</v>
      </c>
      <c r="AH201" s="128" t="e">
        <f t="shared" ref="AH201:AH264" ca="1" si="68">(1+$AI$5)^(AC201/12)*(AG201+IF(AD201=$AM$7,$AM$4,0))</f>
        <v>#REF!</v>
      </c>
    </row>
    <row r="202" spans="4:34">
      <c r="D202">
        <v>195</v>
      </c>
      <c r="E202" s="6">
        <f t="shared" ca="1" si="59"/>
        <v>46844</v>
      </c>
      <c r="F202" s="7">
        <f t="shared" ca="1" si="60"/>
        <v>1</v>
      </c>
      <c r="G202" s="125">
        <f t="shared" ca="1" si="53"/>
        <v>17500</v>
      </c>
      <c r="H202" s="125">
        <f ca="1">IF(F202=1,F202*$B$10/MIN(12,'Simulador - 3º Pilar'!$E$88),0)</f>
        <v>0</v>
      </c>
      <c r="I202" s="128">
        <f t="shared" ca="1" si="54"/>
        <v>0</v>
      </c>
      <c r="J202" s="494">
        <f t="shared" ca="1" si="55"/>
        <v>0</v>
      </c>
      <c r="K202" s="126">
        <f t="shared" ca="1" si="56"/>
        <v>0</v>
      </c>
      <c r="L202" s="126">
        <f t="shared" ca="1" si="52"/>
        <v>0</v>
      </c>
      <c r="P202">
        <v>195</v>
      </c>
      <c r="Q202" s="6">
        <f t="shared" ca="1" si="61"/>
        <v>46844</v>
      </c>
      <c r="R202" s="7" t="e">
        <f t="shared" ca="1" si="62"/>
        <v>#REF!</v>
      </c>
      <c r="S202" s="125" t="e">
        <f t="shared" ca="1" si="63"/>
        <v>#REF!</v>
      </c>
      <c r="T202" s="125" t="e">
        <f t="shared" ca="1" si="57"/>
        <v>#REF!</v>
      </c>
      <c r="U202" s="128" t="e">
        <f t="shared" ca="1" si="64"/>
        <v>#REF!</v>
      </c>
      <c r="AC202">
        <v>195</v>
      </c>
      <c r="AD202" s="6">
        <f t="shared" ca="1" si="65"/>
        <v>46844</v>
      </c>
      <c r="AE202" s="7" t="e">
        <f t="shared" ca="1" si="66"/>
        <v>#REF!</v>
      </c>
      <c r="AF202" s="125" t="e">
        <f t="shared" ca="1" si="67"/>
        <v>#REF!</v>
      </c>
      <c r="AG202" s="125" t="e">
        <f t="shared" ca="1" si="58"/>
        <v>#REF!</v>
      </c>
      <c r="AH202" s="128" t="e">
        <f t="shared" ca="1" si="68"/>
        <v>#REF!</v>
      </c>
    </row>
    <row r="203" spans="4:34">
      <c r="D203">
        <v>196</v>
      </c>
      <c r="E203" s="6">
        <f t="shared" ca="1" si="59"/>
        <v>46813</v>
      </c>
      <c r="F203" s="7">
        <f t="shared" ca="1" si="60"/>
        <v>1</v>
      </c>
      <c r="G203" s="125">
        <f t="shared" ca="1" si="53"/>
        <v>17500</v>
      </c>
      <c r="H203" s="125">
        <f ca="1">IF(F203=1,F203*$B$10/MIN(12,'Simulador - 3º Pilar'!$E$88),0)</f>
        <v>0</v>
      </c>
      <c r="I203" s="128">
        <f t="shared" ca="1" si="54"/>
        <v>0</v>
      </c>
      <c r="J203" s="494">
        <f t="shared" ca="1" si="55"/>
        <v>0</v>
      </c>
      <c r="K203" s="126">
        <f t="shared" ca="1" si="56"/>
        <v>0</v>
      </c>
      <c r="L203" s="126">
        <f t="shared" ca="1" si="52"/>
        <v>0</v>
      </c>
      <c r="P203">
        <v>196</v>
      </c>
      <c r="Q203" s="6">
        <f t="shared" ca="1" si="61"/>
        <v>46813</v>
      </c>
      <c r="R203" s="7" t="e">
        <f t="shared" ca="1" si="62"/>
        <v>#REF!</v>
      </c>
      <c r="S203" s="125" t="e">
        <f t="shared" ca="1" si="63"/>
        <v>#REF!</v>
      </c>
      <c r="T203" s="125" t="e">
        <f t="shared" ca="1" si="57"/>
        <v>#REF!</v>
      </c>
      <c r="U203" s="128" t="e">
        <f t="shared" ca="1" si="64"/>
        <v>#REF!</v>
      </c>
      <c r="AC203">
        <v>196</v>
      </c>
      <c r="AD203" s="6">
        <f t="shared" ca="1" si="65"/>
        <v>46813</v>
      </c>
      <c r="AE203" s="7" t="e">
        <f t="shared" ca="1" si="66"/>
        <v>#REF!</v>
      </c>
      <c r="AF203" s="125" t="e">
        <f t="shared" ca="1" si="67"/>
        <v>#REF!</v>
      </c>
      <c r="AG203" s="125" t="e">
        <f t="shared" ca="1" si="58"/>
        <v>#REF!</v>
      </c>
      <c r="AH203" s="128" t="e">
        <f t="shared" ca="1" si="68"/>
        <v>#REF!</v>
      </c>
    </row>
    <row r="204" spans="4:34">
      <c r="D204">
        <v>197</v>
      </c>
      <c r="E204" s="6">
        <f t="shared" ca="1" si="59"/>
        <v>46784</v>
      </c>
      <c r="F204" s="7">
        <f t="shared" ca="1" si="60"/>
        <v>1</v>
      </c>
      <c r="G204" s="125">
        <f t="shared" ca="1" si="53"/>
        <v>17500</v>
      </c>
      <c r="H204" s="125">
        <f ca="1">IF(F204=1,F204*$B$10/MIN(12,'Simulador - 3º Pilar'!$E$88),0)</f>
        <v>0</v>
      </c>
      <c r="I204" s="128">
        <f t="shared" ca="1" si="54"/>
        <v>0</v>
      </c>
      <c r="J204" s="494">
        <f t="shared" ca="1" si="55"/>
        <v>0</v>
      </c>
      <c r="K204" s="126">
        <f t="shared" ca="1" si="56"/>
        <v>0</v>
      </c>
      <c r="L204" s="126">
        <f t="shared" ca="1" si="52"/>
        <v>0</v>
      </c>
      <c r="P204">
        <v>197</v>
      </c>
      <c r="Q204" s="6">
        <f t="shared" ca="1" si="61"/>
        <v>46784</v>
      </c>
      <c r="R204" s="7" t="e">
        <f t="shared" ca="1" si="62"/>
        <v>#REF!</v>
      </c>
      <c r="S204" s="125" t="e">
        <f t="shared" ca="1" si="63"/>
        <v>#REF!</v>
      </c>
      <c r="T204" s="125" t="e">
        <f t="shared" ca="1" si="57"/>
        <v>#REF!</v>
      </c>
      <c r="U204" s="128" t="e">
        <f t="shared" ca="1" si="64"/>
        <v>#REF!</v>
      </c>
      <c r="AC204">
        <v>197</v>
      </c>
      <c r="AD204" s="6">
        <f t="shared" ca="1" si="65"/>
        <v>46784</v>
      </c>
      <c r="AE204" s="7" t="e">
        <f t="shared" ca="1" si="66"/>
        <v>#REF!</v>
      </c>
      <c r="AF204" s="125" t="e">
        <f t="shared" ca="1" si="67"/>
        <v>#REF!</v>
      </c>
      <c r="AG204" s="125" t="e">
        <f t="shared" ca="1" si="58"/>
        <v>#REF!</v>
      </c>
      <c r="AH204" s="128" t="e">
        <f t="shared" ca="1" si="68"/>
        <v>#REF!</v>
      </c>
    </row>
    <row r="205" spans="4:34">
      <c r="D205">
        <v>198</v>
      </c>
      <c r="E205" s="6">
        <f t="shared" ca="1" si="59"/>
        <v>46753</v>
      </c>
      <c r="F205" s="7">
        <f t="shared" ca="1" si="60"/>
        <v>1</v>
      </c>
      <c r="G205" s="125">
        <f t="shared" ca="1" si="53"/>
        <v>17500</v>
      </c>
      <c r="H205" s="125">
        <f ca="1">IF(F205=1,F205*$B$10/MIN(12,'Simulador - 3º Pilar'!$E$88),0)</f>
        <v>0</v>
      </c>
      <c r="I205" s="128">
        <f t="shared" ca="1" si="54"/>
        <v>0</v>
      </c>
      <c r="J205" s="494">
        <f t="shared" ca="1" si="55"/>
        <v>0</v>
      </c>
      <c r="K205" s="126">
        <f t="shared" ca="1" si="56"/>
        <v>0</v>
      </c>
      <c r="L205" s="126">
        <f t="shared" ca="1" si="52"/>
        <v>0</v>
      </c>
      <c r="P205">
        <v>198</v>
      </c>
      <c r="Q205" s="6">
        <f t="shared" ca="1" si="61"/>
        <v>46753</v>
      </c>
      <c r="R205" s="7" t="e">
        <f t="shared" ca="1" si="62"/>
        <v>#REF!</v>
      </c>
      <c r="S205" s="125" t="e">
        <f t="shared" ca="1" si="63"/>
        <v>#REF!</v>
      </c>
      <c r="T205" s="125" t="e">
        <f t="shared" ca="1" si="57"/>
        <v>#REF!</v>
      </c>
      <c r="U205" s="128" t="e">
        <f t="shared" ca="1" si="64"/>
        <v>#REF!</v>
      </c>
      <c r="AC205">
        <v>198</v>
      </c>
      <c r="AD205" s="6">
        <f t="shared" ca="1" si="65"/>
        <v>46753</v>
      </c>
      <c r="AE205" s="7" t="e">
        <f t="shared" ca="1" si="66"/>
        <v>#REF!</v>
      </c>
      <c r="AF205" s="125" t="e">
        <f t="shared" ca="1" si="67"/>
        <v>#REF!</v>
      </c>
      <c r="AG205" s="125" t="e">
        <f t="shared" ca="1" si="58"/>
        <v>#REF!</v>
      </c>
      <c r="AH205" s="128" t="e">
        <f t="shared" ca="1" si="68"/>
        <v>#REF!</v>
      </c>
    </row>
    <row r="206" spans="4:34">
      <c r="D206">
        <v>199</v>
      </c>
      <c r="E206" s="6">
        <f t="shared" ca="1" si="59"/>
        <v>46722</v>
      </c>
      <c r="F206" s="7">
        <f t="shared" ca="1" si="60"/>
        <v>1</v>
      </c>
      <c r="G206" s="125">
        <f t="shared" ca="1" si="53"/>
        <v>17500</v>
      </c>
      <c r="H206" s="125">
        <f ca="1">IF(F206=1,F206*$B$10/MIN(12,'Simulador - 3º Pilar'!$E$88),0)</f>
        <v>0</v>
      </c>
      <c r="I206" s="128">
        <f t="shared" ca="1" si="54"/>
        <v>0</v>
      </c>
      <c r="J206" s="494">
        <f t="shared" ca="1" si="55"/>
        <v>0</v>
      </c>
      <c r="K206" s="126">
        <f t="shared" ca="1" si="56"/>
        <v>0</v>
      </c>
      <c r="L206" s="126">
        <f t="shared" ca="1" si="52"/>
        <v>0</v>
      </c>
      <c r="P206">
        <v>199</v>
      </c>
      <c r="Q206" s="6">
        <f t="shared" ca="1" si="61"/>
        <v>46722</v>
      </c>
      <c r="R206" s="7" t="e">
        <f t="shared" ca="1" si="62"/>
        <v>#REF!</v>
      </c>
      <c r="S206" s="125" t="e">
        <f t="shared" ca="1" si="63"/>
        <v>#REF!</v>
      </c>
      <c r="T206" s="125" t="e">
        <f t="shared" ca="1" si="57"/>
        <v>#REF!</v>
      </c>
      <c r="U206" s="128" t="e">
        <f t="shared" ca="1" si="64"/>
        <v>#REF!</v>
      </c>
      <c r="AC206">
        <v>199</v>
      </c>
      <c r="AD206" s="6">
        <f t="shared" ca="1" si="65"/>
        <v>46722</v>
      </c>
      <c r="AE206" s="7" t="e">
        <f t="shared" ca="1" si="66"/>
        <v>#REF!</v>
      </c>
      <c r="AF206" s="125" t="e">
        <f t="shared" ca="1" si="67"/>
        <v>#REF!</v>
      </c>
      <c r="AG206" s="125" t="e">
        <f t="shared" ca="1" si="58"/>
        <v>#REF!</v>
      </c>
      <c r="AH206" s="128" t="e">
        <f t="shared" ca="1" si="68"/>
        <v>#REF!</v>
      </c>
    </row>
    <row r="207" spans="4:34">
      <c r="D207">
        <v>200</v>
      </c>
      <c r="E207" s="6">
        <f t="shared" ca="1" si="59"/>
        <v>46692</v>
      </c>
      <c r="F207" s="7">
        <f t="shared" ca="1" si="60"/>
        <v>1</v>
      </c>
      <c r="G207" s="125">
        <f t="shared" ca="1" si="53"/>
        <v>17500</v>
      </c>
      <c r="H207" s="125">
        <f ca="1">IF(F207=1,F207*$B$10/MIN(12,'Simulador - 3º Pilar'!$E$88),0)</f>
        <v>0</v>
      </c>
      <c r="I207" s="128">
        <f t="shared" ca="1" si="54"/>
        <v>0</v>
      </c>
      <c r="J207" s="494">
        <f t="shared" ca="1" si="55"/>
        <v>0</v>
      </c>
      <c r="K207" s="126">
        <f t="shared" ca="1" si="56"/>
        <v>0</v>
      </c>
      <c r="L207" s="126">
        <f t="shared" ca="1" si="52"/>
        <v>0</v>
      </c>
      <c r="P207">
        <v>200</v>
      </c>
      <c r="Q207" s="6">
        <f t="shared" ca="1" si="61"/>
        <v>46692</v>
      </c>
      <c r="R207" s="7" t="e">
        <f t="shared" ca="1" si="62"/>
        <v>#REF!</v>
      </c>
      <c r="S207" s="125" t="e">
        <f t="shared" ca="1" si="63"/>
        <v>#REF!</v>
      </c>
      <c r="T207" s="125" t="e">
        <f t="shared" ca="1" si="57"/>
        <v>#REF!</v>
      </c>
      <c r="U207" s="128" t="e">
        <f t="shared" ca="1" si="64"/>
        <v>#REF!</v>
      </c>
      <c r="AC207">
        <v>200</v>
      </c>
      <c r="AD207" s="6">
        <f t="shared" ca="1" si="65"/>
        <v>46692</v>
      </c>
      <c r="AE207" s="7" t="e">
        <f t="shared" ca="1" si="66"/>
        <v>#REF!</v>
      </c>
      <c r="AF207" s="125" t="e">
        <f t="shared" ca="1" si="67"/>
        <v>#REF!</v>
      </c>
      <c r="AG207" s="125" t="e">
        <f t="shared" ca="1" si="58"/>
        <v>#REF!</v>
      </c>
      <c r="AH207" s="128" t="e">
        <f t="shared" ca="1" si="68"/>
        <v>#REF!</v>
      </c>
    </row>
    <row r="208" spans="4:34">
      <c r="D208">
        <v>201</v>
      </c>
      <c r="E208" s="6">
        <f t="shared" ca="1" si="59"/>
        <v>46661</v>
      </c>
      <c r="F208" s="7">
        <f t="shared" ca="1" si="60"/>
        <v>1</v>
      </c>
      <c r="G208" s="125">
        <f t="shared" ca="1" si="53"/>
        <v>17500</v>
      </c>
      <c r="H208" s="125">
        <f ca="1">IF(F208=1,F208*$B$10/MIN(12,'Simulador - 3º Pilar'!$E$88),0)</f>
        <v>0</v>
      </c>
      <c r="I208" s="128">
        <f t="shared" ca="1" si="54"/>
        <v>0</v>
      </c>
      <c r="J208" s="494">
        <f t="shared" ca="1" si="55"/>
        <v>0</v>
      </c>
      <c r="K208" s="126">
        <f t="shared" ca="1" si="56"/>
        <v>0</v>
      </c>
      <c r="L208" s="126">
        <f t="shared" ca="1" si="52"/>
        <v>0</v>
      </c>
      <c r="P208">
        <v>201</v>
      </c>
      <c r="Q208" s="6">
        <f t="shared" ca="1" si="61"/>
        <v>46661</v>
      </c>
      <c r="R208" s="7" t="e">
        <f t="shared" ca="1" si="62"/>
        <v>#REF!</v>
      </c>
      <c r="S208" s="125" t="e">
        <f t="shared" ca="1" si="63"/>
        <v>#REF!</v>
      </c>
      <c r="T208" s="125" t="e">
        <f t="shared" ca="1" si="57"/>
        <v>#REF!</v>
      </c>
      <c r="U208" s="128" t="e">
        <f t="shared" ca="1" si="64"/>
        <v>#REF!</v>
      </c>
      <c r="AC208">
        <v>201</v>
      </c>
      <c r="AD208" s="6">
        <f t="shared" ca="1" si="65"/>
        <v>46661</v>
      </c>
      <c r="AE208" s="7" t="e">
        <f t="shared" ca="1" si="66"/>
        <v>#REF!</v>
      </c>
      <c r="AF208" s="125" t="e">
        <f t="shared" ca="1" si="67"/>
        <v>#REF!</v>
      </c>
      <c r="AG208" s="125" t="e">
        <f t="shared" ca="1" si="58"/>
        <v>#REF!</v>
      </c>
      <c r="AH208" s="128" t="e">
        <f t="shared" ca="1" si="68"/>
        <v>#REF!</v>
      </c>
    </row>
    <row r="209" spans="4:34">
      <c r="D209">
        <v>202</v>
      </c>
      <c r="E209" s="6">
        <f t="shared" ca="1" si="59"/>
        <v>46631</v>
      </c>
      <c r="F209" s="7">
        <f t="shared" ca="1" si="60"/>
        <v>1</v>
      </c>
      <c r="G209" s="125">
        <f t="shared" ca="1" si="53"/>
        <v>17500</v>
      </c>
      <c r="H209" s="125">
        <f ca="1">IF(F209=1,F209*$B$10/MIN(12,'Simulador - 3º Pilar'!$E$88),0)</f>
        <v>0</v>
      </c>
      <c r="I209" s="128">
        <f t="shared" ca="1" si="54"/>
        <v>0</v>
      </c>
      <c r="J209" s="494">
        <f t="shared" ca="1" si="55"/>
        <v>0</v>
      </c>
      <c r="K209" s="126">
        <f t="shared" ca="1" si="56"/>
        <v>0</v>
      </c>
      <c r="L209" s="126">
        <f t="shared" ca="1" si="52"/>
        <v>0</v>
      </c>
      <c r="P209">
        <v>202</v>
      </c>
      <c r="Q209" s="6">
        <f t="shared" ca="1" si="61"/>
        <v>46631</v>
      </c>
      <c r="R209" s="7" t="e">
        <f t="shared" ca="1" si="62"/>
        <v>#REF!</v>
      </c>
      <c r="S209" s="125" t="e">
        <f t="shared" ca="1" si="63"/>
        <v>#REF!</v>
      </c>
      <c r="T209" s="125" t="e">
        <f t="shared" ca="1" si="57"/>
        <v>#REF!</v>
      </c>
      <c r="U209" s="128" t="e">
        <f t="shared" ca="1" si="64"/>
        <v>#REF!</v>
      </c>
      <c r="AC209">
        <v>202</v>
      </c>
      <c r="AD209" s="6">
        <f t="shared" ca="1" si="65"/>
        <v>46631</v>
      </c>
      <c r="AE209" s="7" t="e">
        <f t="shared" ca="1" si="66"/>
        <v>#REF!</v>
      </c>
      <c r="AF209" s="125" t="e">
        <f t="shared" ca="1" si="67"/>
        <v>#REF!</v>
      </c>
      <c r="AG209" s="125" t="e">
        <f t="shared" ca="1" si="58"/>
        <v>#REF!</v>
      </c>
      <c r="AH209" s="128" t="e">
        <f t="shared" ca="1" si="68"/>
        <v>#REF!</v>
      </c>
    </row>
    <row r="210" spans="4:34">
      <c r="D210">
        <v>203</v>
      </c>
      <c r="E210" s="6">
        <f t="shared" ca="1" si="59"/>
        <v>46600</v>
      </c>
      <c r="F210" s="7">
        <f t="shared" ca="1" si="60"/>
        <v>1</v>
      </c>
      <c r="G210" s="125">
        <f t="shared" ca="1" si="53"/>
        <v>17500</v>
      </c>
      <c r="H210" s="125">
        <f ca="1">IF(F210=1,F210*$B$10/MIN(12,'Simulador - 3º Pilar'!$E$88),0)</f>
        <v>0</v>
      </c>
      <c r="I210" s="128">
        <f t="shared" ca="1" si="54"/>
        <v>0</v>
      </c>
      <c r="J210" s="494">
        <f t="shared" ca="1" si="55"/>
        <v>0</v>
      </c>
      <c r="K210" s="126">
        <f t="shared" ca="1" si="56"/>
        <v>0</v>
      </c>
      <c r="L210" s="126">
        <f t="shared" ca="1" si="52"/>
        <v>0</v>
      </c>
      <c r="P210">
        <v>203</v>
      </c>
      <c r="Q210" s="6">
        <f t="shared" ca="1" si="61"/>
        <v>46600</v>
      </c>
      <c r="R210" s="7" t="e">
        <f t="shared" ca="1" si="62"/>
        <v>#REF!</v>
      </c>
      <c r="S210" s="125" t="e">
        <f t="shared" ca="1" si="63"/>
        <v>#REF!</v>
      </c>
      <c r="T210" s="125" t="e">
        <f t="shared" ca="1" si="57"/>
        <v>#REF!</v>
      </c>
      <c r="U210" s="128" t="e">
        <f t="shared" ca="1" si="64"/>
        <v>#REF!</v>
      </c>
      <c r="AC210">
        <v>203</v>
      </c>
      <c r="AD210" s="6">
        <f t="shared" ca="1" si="65"/>
        <v>46600</v>
      </c>
      <c r="AE210" s="7" t="e">
        <f t="shared" ca="1" si="66"/>
        <v>#REF!</v>
      </c>
      <c r="AF210" s="125" t="e">
        <f t="shared" ca="1" si="67"/>
        <v>#REF!</v>
      </c>
      <c r="AG210" s="125" t="e">
        <f t="shared" ca="1" si="58"/>
        <v>#REF!</v>
      </c>
      <c r="AH210" s="128" t="e">
        <f t="shared" ca="1" si="68"/>
        <v>#REF!</v>
      </c>
    </row>
    <row r="211" spans="4:34">
      <c r="D211">
        <v>204</v>
      </c>
      <c r="E211" s="6">
        <f t="shared" ca="1" si="59"/>
        <v>46569</v>
      </c>
      <c r="F211" s="7">
        <f t="shared" ca="1" si="60"/>
        <v>1</v>
      </c>
      <c r="G211" s="125">
        <f t="shared" ca="1" si="53"/>
        <v>17500</v>
      </c>
      <c r="H211" s="125">
        <f ca="1">IF(F211=1,F211*$B$10/MIN(12,'Simulador - 3º Pilar'!$E$88),0)</f>
        <v>0</v>
      </c>
      <c r="I211" s="128">
        <f t="shared" ca="1" si="54"/>
        <v>0</v>
      </c>
      <c r="J211" s="494">
        <f t="shared" ca="1" si="55"/>
        <v>0</v>
      </c>
      <c r="K211" s="126">
        <f t="shared" ca="1" si="56"/>
        <v>0</v>
      </c>
      <c r="L211" s="126">
        <f t="shared" ca="1" si="52"/>
        <v>0</v>
      </c>
      <c r="P211">
        <v>204</v>
      </c>
      <c r="Q211" s="6">
        <f t="shared" ca="1" si="61"/>
        <v>46569</v>
      </c>
      <c r="R211" s="7" t="e">
        <f t="shared" ca="1" si="62"/>
        <v>#REF!</v>
      </c>
      <c r="S211" s="125" t="e">
        <f t="shared" ca="1" si="63"/>
        <v>#REF!</v>
      </c>
      <c r="T211" s="125" t="e">
        <f t="shared" ca="1" si="57"/>
        <v>#REF!</v>
      </c>
      <c r="U211" s="128" t="e">
        <f t="shared" ca="1" si="64"/>
        <v>#REF!</v>
      </c>
      <c r="AC211">
        <v>204</v>
      </c>
      <c r="AD211" s="6">
        <f t="shared" ca="1" si="65"/>
        <v>46569</v>
      </c>
      <c r="AE211" s="7" t="e">
        <f t="shared" ca="1" si="66"/>
        <v>#REF!</v>
      </c>
      <c r="AF211" s="125" t="e">
        <f t="shared" ca="1" si="67"/>
        <v>#REF!</v>
      </c>
      <c r="AG211" s="125" t="e">
        <f t="shared" ca="1" si="58"/>
        <v>#REF!</v>
      </c>
      <c r="AH211" s="128" t="e">
        <f t="shared" ca="1" si="68"/>
        <v>#REF!</v>
      </c>
    </row>
    <row r="212" spans="4:34">
      <c r="D212">
        <v>205</v>
      </c>
      <c r="E212" s="6">
        <f t="shared" ca="1" si="59"/>
        <v>46539</v>
      </c>
      <c r="F212" s="7">
        <f t="shared" ca="1" si="60"/>
        <v>1</v>
      </c>
      <c r="G212" s="125">
        <f t="shared" ca="1" si="53"/>
        <v>17500</v>
      </c>
      <c r="H212" s="125">
        <f ca="1">IF(F212=1,F212*$B$10/MIN(12,'Simulador - 3º Pilar'!$E$88),0)</f>
        <v>0</v>
      </c>
      <c r="I212" s="128">
        <f t="shared" ca="1" si="54"/>
        <v>0</v>
      </c>
      <c r="J212" s="494">
        <f t="shared" ca="1" si="55"/>
        <v>0</v>
      </c>
      <c r="K212" s="126">
        <f t="shared" ca="1" si="56"/>
        <v>0</v>
      </c>
      <c r="L212" s="126">
        <f t="shared" ca="1" si="52"/>
        <v>0</v>
      </c>
      <c r="P212">
        <v>205</v>
      </c>
      <c r="Q212" s="6">
        <f t="shared" ca="1" si="61"/>
        <v>46539</v>
      </c>
      <c r="R212" s="7" t="e">
        <f t="shared" ca="1" si="62"/>
        <v>#REF!</v>
      </c>
      <c r="S212" s="125" t="e">
        <f t="shared" ca="1" si="63"/>
        <v>#REF!</v>
      </c>
      <c r="T212" s="125" t="e">
        <f t="shared" ca="1" si="57"/>
        <v>#REF!</v>
      </c>
      <c r="U212" s="128" t="e">
        <f t="shared" ca="1" si="64"/>
        <v>#REF!</v>
      </c>
      <c r="AC212">
        <v>205</v>
      </c>
      <c r="AD212" s="6">
        <f t="shared" ca="1" si="65"/>
        <v>46539</v>
      </c>
      <c r="AE212" s="7" t="e">
        <f t="shared" ca="1" si="66"/>
        <v>#REF!</v>
      </c>
      <c r="AF212" s="125" t="e">
        <f t="shared" ca="1" si="67"/>
        <v>#REF!</v>
      </c>
      <c r="AG212" s="125" t="e">
        <f t="shared" ca="1" si="58"/>
        <v>#REF!</v>
      </c>
      <c r="AH212" s="128" t="e">
        <f t="shared" ca="1" si="68"/>
        <v>#REF!</v>
      </c>
    </row>
    <row r="213" spans="4:34">
      <c r="D213">
        <v>206</v>
      </c>
      <c r="E213" s="6">
        <f t="shared" ca="1" si="59"/>
        <v>46508</v>
      </c>
      <c r="F213" s="7">
        <f t="shared" ca="1" si="60"/>
        <v>1</v>
      </c>
      <c r="G213" s="125">
        <f t="shared" ca="1" si="53"/>
        <v>17500</v>
      </c>
      <c r="H213" s="125">
        <f ca="1">IF(F213=1,F213*$B$10/MIN(12,'Simulador - 3º Pilar'!$E$88),0)</f>
        <v>0</v>
      </c>
      <c r="I213" s="128">
        <f t="shared" ca="1" si="54"/>
        <v>0</v>
      </c>
      <c r="J213" s="494">
        <f t="shared" ca="1" si="55"/>
        <v>0</v>
      </c>
      <c r="K213" s="126">
        <f t="shared" ca="1" si="56"/>
        <v>0</v>
      </c>
      <c r="L213" s="126">
        <f t="shared" ca="1" si="52"/>
        <v>0</v>
      </c>
      <c r="P213">
        <v>206</v>
      </c>
      <c r="Q213" s="6">
        <f t="shared" ca="1" si="61"/>
        <v>46508</v>
      </c>
      <c r="R213" s="7" t="e">
        <f t="shared" ca="1" si="62"/>
        <v>#REF!</v>
      </c>
      <c r="S213" s="125" t="e">
        <f t="shared" ca="1" si="63"/>
        <v>#REF!</v>
      </c>
      <c r="T213" s="125" t="e">
        <f t="shared" ca="1" si="57"/>
        <v>#REF!</v>
      </c>
      <c r="U213" s="128" t="e">
        <f t="shared" ca="1" si="64"/>
        <v>#REF!</v>
      </c>
      <c r="AC213">
        <v>206</v>
      </c>
      <c r="AD213" s="6">
        <f t="shared" ca="1" si="65"/>
        <v>46508</v>
      </c>
      <c r="AE213" s="7" t="e">
        <f t="shared" ca="1" si="66"/>
        <v>#REF!</v>
      </c>
      <c r="AF213" s="125" t="e">
        <f t="shared" ca="1" si="67"/>
        <v>#REF!</v>
      </c>
      <c r="AG213" s="125" t="e">
        <f t="shared" ca="1" si="58"/>
        <v>#REF!</v>
      </c>
      <c r="AH213" s="128" t="e">
        <f t="shared" ca="1" si="68"/>
        <v>#REF!</v>
      </c>
    </row>
    <row r="214" spans="4:34">
      <c r="D214">
        <v>207</v>
      </c>
      <c r="E214" s="6">
        <f t="shared" ca="1" si="59"/>
        <v>46478</v>
      </c>
      <c r="F214" s="7">
        <f t="shared" ca="1" si="60"/>
        <v>1</v>
      </c>
      <c r="G214" s="125">
        <f t="shared" ca="1" si="53"/>
        <v>17500</v>
      </c>
      <c r="H214" s="125">
        <f ca="1">IF(F214=1,F214*$B$10/MIN(12,'Simulador - 3º Pilar'!$E$88),0)</f>
        <v>0</v>
      </c>
      <c r="I214" s="128">
        <f t="shared" ca="1" si="54"/>
        <v>0</v>
      </c>
      <c r="J214" s="494">
        <f t="shared" ca="1" si="55"/>
        <v>0</v>
      </c>
      <c r="K214" s="126">
        <f t="shared" ca="1" si="56"/>
        <v>0</v>
      </c>
      <c r="L214" s="126">
        <f t="shared" ca="1" si="52"/>
        <v>0</v>
      </c>
      <c r="P214">
        <v>207</v>
      </c>
      <c r="Q214" s="6">
        <f t="shared" ca="1" si="61"/>
        <v>46478</v>
      </c>
      <c r="R214" s="7" t="e">
        <f t="shared" ca="1" si="62"/>
        <v>#REF!</v>
      </c>
      <c r="S214" s="125" t="e">
        <f t="shared" ca="1" si="63"/>
        <v>#REF!</v>
      </c>
      <c r="T214" s="125" t="e">
        <f t="shared" ca="1" si="57"/>
        <v>#REF!</v>
      </c>
      <c r="U214" s="128" t="e">
        <f t="shared" ca="1" si="64"/>
        <v>#REF!</v>
      </c>
      <c r="AC214">
        <v>207</v>
      </c>
      <c r="AD214" s="6">
        <f t="shared" ca="1" si="65"/>
        <v>46478</v>
      </c>
      <c r="AE214" s="7" t="e">
        <f t="shared" ca="1" si="66"/>
        <v>#REF!</v>
      </c>
      <c r="AF214" s="125" t="e">
        <f t="shared" ca="1" si="67"/>
        <v>#REF!</v>
      </c>
      <c r="AG214" s="125" t="e">
        <f t="shared" ca="1" si="58"/>
        <v>#REF!</v>
      </c>
      <c r="AH214" s="128" t="e">
        <f t="shared" ca="1" si="68"/>
        <v>#REF!</v>
      </c>
    </row>
    <row r="215" spans="4:34">
      <c r="D215">
        <v>208</v>
      </c>
      <c r="E215" s="6">
        <f t="shared" ca="1" si="59"/>
        <v>46447</v>
      </c>
      <c r="F215" s="7">
        <f t="shared" ca="1" si="60"/>
        <v>1</v>
      </c>
      <c r="G215" s="125">
        <f t="shared" ca="1" si="53"/>
        <v>17500</v>
      </c>
      <c r="H215" s="125">
        <f ca="1">IF(F215=1,F215*$B$10/MIN(12,'Simulador - 3º Pilar'!$E$88),0)</f>
        <v>0</v>
      </c>
      <c r="I215" s="128">
        <f t="shared" ca="1" si="54"/>
        <v>0</v>
      </c>
      <c r="J215" s="494">
        <f t="shared" ca="1" si="55"/>
        <v>0</v>
      </c>
      <c r="K215" s="126">
        <f t="shared" ca="1" si="56"/>
        <v>0</v>
      </c>
      <c r="L215" s="126">
        <f t="shared" ca="1" si="52"/>
        <v>0</v>
      </c>
      <c r="P215">
        <v>208</v>
      </c>
      <c r="Q215" s="6">
        <f t="shared" ca="1" si="61"/>
        <v>46447</v>
      </c>
      <c r="R215" s="7" t="e">
        <f t="shared" ca="1" si="62"/>
        <v>#REF!</v>
      </c>
      <c r="S215" s="125" t="e">
        <f t="shared" ca="1" si="63"/>
        <v>#REF!</v>
      </c>
      <c r="T215" s="125" t="e">
        <f t="shared" ca="1" si="57"/>
        <v>#REF!</v>
      </c>
      <c r="U215" s="128" t="e">
        <f t="shared" ca="1" si="64"/>
        <v>#REF!</v>
      </c>
      <c r="AC215">
        <v>208</v>
      </c>
      <c r="AD215" s="6">
        <f t="shared" ca="1" si="65"/>
        <v>46447</v>
      </c>
      <c r="AE215" s="7" t="e">
        <f t="shared" ca="1" si="66"/>
        <v>#REF!</v>
      </c>
      <c r="AF215" s="125" t="e">
        <f t="shared" ca="1" si="67"/>
        <v>#REF!</v>
      </c>
      <c r="AG215" s="125" t="e">
        <f t="shared" ca="1" si="58"/>
        <v>#REF!</v>
      </c>
      <c r="AH215" s="128" t="e">
        <f t="shared" ca="1" si="68"/>
        <v>#REF!</v>
      </c>
    </row>
    <row r="216" spans="4:34">
      <c r="D216">
        <v>209</v>
      </c>
      <c r="E216" s="6">
        <f t="shared" ca="1" si="59"/>
        <v>46419</v>
      </c>
      <c r="F216" s="7">
        <f t="shared" ca="1" si="60"/>
        <v>1</v>
      </c>
      <c r="G216" s="125">
        <f t="shared" ca="1" si="53"/>
        <v>17500</v>
      </c>
      <c r="H216" s="125">
        <f ca="1">IF(F216=1,F216*$B$10/MIN(12,'Simulador - 3º Pilar'!$E$88),0)</f>
        <v>0</v>
      </c>
      <c r="I216" s="128">
        <f t="shared" ca="1" si="54"/>
        <v>0</v>
      </c>
      <c r="J216" s="494">
        <f t="shared" ca="1" si="55"/>
        <v>0</v>
      </c>
      <c r="K216" s="126">
        <f t="shared" ca="1" si="56"/>
        <v>0</v>
      </c>
      <c r="L216" s="126">
        <f t="shared" ca="1" si="52"/>
        <v>0</v>
      </c>
      <c r="P216">
        <v>209</v>
      </c>
      <c r="Q216" s="6">
        <f t="shared" ca="1" si="61"/>
        <v>46419</v>
      </c>
      <c r="R216" s="7" t="e">
        <f t="shared" ca="1" si="62"/>
        <v>#REF!</v>
      </c>
      <c r="S216" s="125" t="e">
        <f t="shared" ca="1" si="63"/>
        <v>#REF!</v>
      </c>
      <c r="T216" s="125" t="e">
        <f t="shared" ca="1" si="57"/>
        <v>#REF!</v>
      </c>
      <c r="U216" s="128" t="e">
        <f t="shared" ca="1" si="64"/>
        <v>#REF!</v>
      </c>
      <c r="AC216">
        <v>209</v>
      </c>
      <c r="AD216" s="6">
        <f t="shared" ca="1" si="65"/>
        <v>46419</v>
      </c>
      <c r="AE216" s="7" t="e">
        <f t="shared" ca="1" si="66"/>
        <v>#REF!</v>
      </c>
      <c r="AF216" s="125" t="e">
        <f t="shared" ca="1" si="67"/>
        <v>#REF!</v>
      </c>
      <c r="AG216" s="125" t="e">
        <f t="shared" ca="1" si="58"/>
        <v>#REF!</v>
      </c>
      <c r="AH216" s="128" t="e">
        <f t="shared" ca="1" si="68"/>
        <v>#REF!</v>
      </c>
    </row>
    <row r="217" spans="4:34">
      <c r="D217">
        <v>210</v>
      </c>
      <c r="E217" s="6">
        <f t="shared" ca="1" si="59"/>
        <v>46388</v>
      </c>
      <c r="F217" s="7">
        <f t="shared" ca="1" si="60"/>
        <v>1</v>
      </c>
      <c r="G217" s="125">
        <f t="shared" ca="1" si="53"/>
        <v>17500</v>
      </c>
      <c r="H217" s="125">
        <f ca="1">IF(F217=1,F217*$B$10/MIN(12,'Simulador - 3º Pilar'!$E$88),0)</f>
        <v>0</v>
      </c>
      <c r="I217" s="128">
        <f t="shared" ca="1" si="54"/>
        <v>0</v>
      </c>
      <c r="J217" s="494">
        <f t="shared" ca="1" si="55"/>
        <v>0</v>
      </c>
      <c r="K217" s="126">
        <f t="shared" ca="1" si="56"/>
        <v>0</v>
      </c>
      <c r="L217" s="126">
        <f t="shared" ca="1" si="52"/>
        <v>0</v>
      </c>
      <c r="P217">
        <v>210</v>
      </c>
      <c r="Q217" s="6">
        <f t="shared" ca="1" si="61"/>
        <v>46388</v>
      </c>
      <c r="R217" s="7" t="e">
        <f t="shared" ca="1" si="62"/>
        <v>#REF!</v>
      </c>
      <c r="S217" s="125" t="e">
        <f t="shared" ca="1" si="63"/>
        <v>#REF!</v>
      </c>
      <c r="T217" s="125" t="e">
        <f t="shared" ca="1" si="57"/>
        <v>#REF!</v>
      </c>
      <c r="U217" s="128" t="e">
        <f t="shared" ca="1" si="64"/>
        <v>#REF!</v>
      </c>
      <c r="AC217">
        <v>210</v>
      </c>
      <c r="AD217" s="6">
        <f t="shared" ca="1" si="65"/>
        <v>46388</v>
      </c>
      <c r="AE217" s="7" t="e">
        <f t="shared" ca="1" si="66"/>
        <v>#REF!</v>
      </c>
      <c r="AF217" s="125" t="e">
        <f t="shared" ca="1" si="67"/>
        <v>#REF!</v>
      </c>
      <c r="AG217" s="125" t="e">
        <f t="shared" ca="1" si="58"/>
        <v>#REF!</v>
      </c>
      <c r="AH217" s="128" t="e">
        <f t="shared" ca="1" si="68"/>
        <v>#REF!</v>
      </c>
    </row>
    <row r="218" spans="4:34">
      <c r="D218">
        <v>211</v>
      </c>
      <c r="E218" s="6">
        <f t="shared" ca="1" si="59"/>
        <v>46357</v>
      </c>
      <c r="F218" s="7">
        <f t="shared" ca="1" si="60"/>
        <v>1</v>
      </c>
      <c r="G218" s="125">
        <f t="shared" ca="1" si="53"/>
        <v>17500</v>
      </c>
      <c r="H218" s="125">
        <f ca="1">IF(F218=1,F218*$B$10/MIN(12,'Simulador - 3º Pilar'!$E$88),0)</f>
        <v>0</v>
      </c>
      <c r="I218" s="128">
        <f t="shared" ca="1" si="54"/>
        <v>0</v>
      </c>
      <c r="J218" s="494">
        <f t="shared" ca="1" si="55"/>
        <v>0</v>
      </c>
      <c r="K218" s="126">
        <f t="shared" ca="1" si="56"/>
        <v>0</v>
      </c>
      <c r="L218" s="126">
        <f t="shared" ca="1" si="52"/>
        <v>0</v>
      </c>
      <c r="P218">
        <v>211</v>
      </c>
      <c r="Q218" s="6">
        <f t="shared" ca="1" si="61"/>
        <v>46357</v>
      </c>
      <c r="R218" s="7" t="e">
        <f t="shared" ca="1" si="62"/>
        <v>#REF!</v>
      </c>
      <c r="S218" s="125" t="e">
        <f t="shared" ca="1" si="63"/>
        <v>#REF!</v>
      </c>
      <c r="T218" s="125" t="e">
        <f t="shared" ca="1" si="57"/>
        <v>#REF!</v>
      </c>
      <c r="U218" s="128" t="e">
        <f t="shared" ca="1" si="64"/>
        <v>#REF!</v>
      </c>
      <c r="AC218">
        <v>211</v>
      </c>
      <c r="AD218" s="6">
        <f t="shared" ca="1" si="65"/>
        <v>46357</v>
      </c>
      <c r="AE218" s="7" t="e">
        <f t="shared" ca="1" si="66"/>
        <v>#REF!</v>
      </c>
      <c r="AF218" s="125" t="e">
        <f t="shared" ca="1" si="67"/>
        <v>#REF!</v>
      </c>
      <c r="AG218" s="125" t="e">
        <f t="shared" ca="1" si="58"/>
        <v>#REF!</v>
      </c>
      <c r="AH218" s="128" t="e">
        <f t="shared" ca="1" si="68"/>
        <v>#REF!</v>
      </c>
    </row>
    <row r="219" spans="4:34">
      <c r="D219">
        <v>212</v>
      </c>
      <c r="E219" s="6">
        <f t="shared" ca="1" si="59"/>
        <v>46327</v>
      </c>
      <c r="F219" s="7">
        <f t="shared" ca="1" si="60"/>
        <v>1</v>
      </c>
      <c r="G219" s="125">
        <f t="shared" ca="1" si="53"/>
        <v>17500</v>
      </c>
      <c r="H219" s="125">
        <f ca="1">IF(F219=1,F219*$B$10/MIN(12,'Simulador - 3º Pilar'!$E$88),0)</f>
        <v>0</v>
      </c>
      <c r="I219" s="128">
        <f t="shared" ca="1" si="54"/>
        <v>0</v>
      </c>
      <c r="J219" s="494">
        <f t="shared" ca="1" si="55"/>
        <v>0</v>
      </c>
      <c r="K219" s="126">
        <f t="shared" ca="1" si="56"/>
        <v>0</v>
      </c>
      <c r="L219" s="126">
        <f t="shared" ca="1" si="52"/>
        <v>0</v>
      </c>
      <c r="P219">
        <v>212</v>
      </c>
      <c r="Q219" s="6">
        <f t="shared" ca="1" si="61"/>
        <v>46327</v>
      </c>
      <c r="R219" s="7" t="e">
        <f t="shared" ca="1" si="62"/>
        <v>#REF!</v>
      </c>
      <c r="S219" s="125" t="e">
        <f t="shared" ca="1" si="63"/>
        <v>#REF!</v>
      </c>
      <c r="T219" s="125" t="e">
        <f t="shared" ca="1" si="57"/>
        <v>#REF!</v>
      </c>
      <c r="U219" s="128" t="e">
        <f t="shared" ca="1" si="64"/>
        <v>#REF!</v>
      </c>
      <c r="AC219">
        <v>212</v>
      </c>
      <c r="AD219" s="6">
        <f t="shared" ca="1" si="65"/>
        <v>46327</v>
      </c>
      <c r="AE219" s="7" t="e">
        <f t="shared" ca="1" si="66"/>
        <v>#REF!</v>
      </c>
      <c r="AF219" s="125" t="e">
        <f t="shared" ca="1" si="67"/>
        <v>#REF!</v>
      </c>
      <c r="AG219" s="125" t="e">
        <f t="shared" ca="1" si="58"/>
        <v>#REF!</v>
      </c>
      <c r="AH219" s="128" t="e">
        <f t="shared" ca="1" si="68"/>
        <v>#REF!</v>
      </c>
    </row>
    <row r="220" spans="4:34">
      <c r="D220">
        <v>213</v>
      </c>
      <c r="E220" s="6">
        <f t="shared" ca="1" si="59"/>
        <v>46296</v>
      </c>
      <c r="F220" s="7">
        <f t="shared" ca="1" si="60"/>
        <v>1</v>
      </c>
      <c r="G220" s="125">
        <f t="shared" ca="1" si="53"/>
        <v>17500</v>
      </c>
      <c r="H220" s="125">
        <f ca="1">IF(F220=1,F220*$B$10/MIN(12,'Simulador - 3º Pilar'!$E$88),0)</f>
        <v>0</v>
      </c>
      <c r="I220" s="128">
        <f t="shared" ca="1" si="54"/>
        <v>0</v>
      </c>
      <c r="J220" s="494">
        <f t="shared" ca="1" si="55"/>
        <v>0</v>
      </c>
      <c r="K220" s="126">
        <f t="shared" ca="1" si="56"/>
        <v>0</v>
      </c>
      <c r="L220" s="126">
        <f t="shared" ca="1" si="52"/>
        <v>0</v>
      </c>
      <c r="P220">
        <v>213</v>
      </c>
      <c r="Q220" s="6">
        <f t="shared" ca="1" si="61"/>
        <v>46296</v>
      </c>
      <c r="R220" s="7" t="e">
        <f t="shared" ca="1" si="62"/>
        <v>#REF!</v>
      </c>
      <c r="S220" s="125" t="e">
        <f t="shared" ca="1" si="63"/>
        <v>#REF!</v>
      </c>
      <c r="T220" s="125" t="e">
        <f t="shared" ca="1" si="57"/>
        <v>#REF!</v>
      </c>
      <c r="U220" s="128" t="e">
        <f t="shared" ca="1" si="64"/>
        <v>#REF!</v>
      </c>
      <c r="AC220">
        <v>213</v>
      </c>
      <c r="AD220" s="6">
        <f t="shared" ca="1" si="65"/>
        <v>46296</v>
      </c>
      <c r="AE220" s="7" t="e">
        <f t="shared" ca="1" si="66"/>
        <v>#REF!</v>
      </c>
      <c r="AF220" s="125" t="e">
        <f t="shared" ca="1" si="67"/>
        <v>#REF!</v>
      </c>
      <c r="AG220" s="125" t="e">
        <f t="shared" ca="1" si="58"/>
        <v>#REF!</v>
      </c>
      <c r="AH220" s="128" t="e">
        <f t="shared" ca="1" si="68"/>
        <v>#REF!</v>
      </c>
    </row>
    <row r="221" spans="4:34">
      <c r="D221">
        <v>214</v>
      </c>
      <c r="E221" s="6">
        <f t="shared" ca="1" si="59"/>
        <v>46266</v>
      </c>
      <c r="F221" s="7">
        <f t="shared" ca="1" si="60"/>
        <v>1</v>
      </c>
      <c r="G221" s="125">
        <f t="shared" ca="1" si="53"/>
        <v>17500</v>
      </c>
      <c r="H221" s="125">
        <f ca="1">IF(F221=1,F221*$B$10/MIN(12,'Simulador - 3º Pilar'!$E$88),0)</f>
        <v>0</v>
      </c>
      <c r="I221" s="128">
        <f t="shared" ca="1" si="54"/>
        <v>0</v>
      </c>
      <c r="J221" s="494">
        <f t="shared" ca="1" si="55"/>
        <v>0</v>
      </c>
      <c r="K221" s="126">
        <f t="shared" ca="1" si="56"/>
        <v>0</v>
      </c>
      <c r="L221" s="126">
        <f t="shared" ca="1" si="52"/>
        <v>0</v>
      </c>
      <c r="P221">
        <v>214</v>
      </c>
      <c r="Q221" s="6">
        <f t="shared" ca="1" si="61"/>
        <v>46266</v>
      </c>
      <c r="R221" s="7" t="e">
        <f t="shared" ca="1" si="62"/>
        <v>#REF!</v>
      </c>
      <c r="S221" s="125" t="e">
        <f t="shared" ca="1" si="63"/>
        <v>#REF!</v>
      </c>
      <c r="T221" s="125" t="e">
        <f t="shared" ca="1" si="57"/>
        <v>#REF!</v>
      </c>
      <c r="U221" s="128" t="e">
        <f t="shared" ca="1" si="64"/>
        <v>#REF!</v>
      </c>
      <c r="AC221">
        <v>214</v>
      </c>
      <c r="AD221" s="6">
        <f t="shared" ca="1" si="65"/>
        <v>46266</v>
      </c>
      <c r="AE221" s="7" t="e">
        <f t="shared" ca="1" si="66"/>
        <v>#REF!</v>
      </c>
      <c r="AF221" s="125" t="e">
        <f t="shared" ca="1" si="67"/>
        <v>#REF!</v>
      </c>
      <c r="AG221" s="125" t="e">
        <f t="shared" ca="1" si="58"/>
        <v>#REF!</v>
      </c>
      <c r="AH221" s="128" t="e">
        <f t="shared" ca="1" si="68"/>
        <v>#REF!</v>
      </c>
    </row>
    <row r="222" spans="4:34">
      <c r="D222">
        <v>215</v>
      </c>
      <c r="E222" s="6">
        <f t="shared" ca="1" si="59"/>
        <v>46235</v>
      </c>
      <c r="F222" s="7">
        <f t="shared" ca="1" si="60"/>
        <v>1</v>
      </c>
      <c r="G222" s="125">
        <f t="shared" ca="1" si="53"/>
        <v>17500</v>
      </c>
      <c r="H222" s="125">
        <f ca="1">IF(F222=1,F222*$B$10/MIN(12,'Simulador - 3º Pilar'!$E$88),0)</f>
        <v>0</v>
      </c>
      <c r="I222" s="128">
        <f t="shared" ca="1" si="54"/>
        <v>0</v>
      </c>
      <c r="J222" s="494">
        <f t="shared" ca="1" si="55"/>
        <v>0</v>
      </c>
      <c r="K222" s="126">
        <f t="shared" ca="1" si="56"/>
        <v>0</v>
      </c>
      <c r="L222" s="126">
        <f t="shared" ca="1" si="52"/>
        <v>0</v>
      </c>
      <c r="P222">
        <v>215</v>
      </c>
      <c r="Q222" s="6">
        <f t="shared" ca="1" si="61"/>
        <v>46235</v>
      </c>
      <c r="R222" s="7" t="e">
        <f t="shared" ca="1" si="62"/>
        <v>#REF!</v>
      </c>
      <c r="S222" s="125" t="e">
        <f t="shared" ca="1" si="63"/>
        <v>#REF!</v>
      </c>
      <c r="T222" s="125" t="e">
        <f t="shared" ca="1" si="57"/>
        <v>#REF!</v>
      </c>
      <c r="U222" s="128" t="e">
        <f t="shared" ca="1" si="64"/>
        <v>#REF!</v>
      </c>
      <c r="AC222">
        <v>215</v>
      </c>
      <c r="AD222" s="6">
        <f t="shared" ca="1" si="65"/>
        <v>46235</v>
      </c>
      <c r="AE222" s="7" t="e">
        <f t="shared" ca="1" si="66"/>
        <v>#REF!</v>
      </c>
      <c r="AF222" s="125" t="e">
        <f t="shared" ca="1" si="67"/>
        <v>#REF!</v>
      </c>
      <c r="AG222" s="125" t="e">
        <f t="shared" ca="1" si="58"/>
        <v>#REF!</v>
      </c>
      <c r="AH222" s="128" t="e">
        <f t="shared" ca="1" si="68"/>
        <v>#REF!</v>
      </c>
    </row>
    <row r="223" spans="4:34">
      <c r="D223">
        <v>216</v>
      </c>
      <c r="E223" s="6">
        <f t="shared" ca="1" si="59"/>
        <v>46204</v>
      </c>
      <c r="F223" s="7">
        <f t="shared" ca="1" si="60"/>
        <v>1</v>
      </c>
      <c r="G223" s="125">
        <f t="shared" ca="1" si="53"/>
        <v>17500</v>
      </c>
      <c r="H223" s="125">
        <f ca="1">IF(F223=1,F223*$B$10/MIN(12,'Simulador - 3º Pilar'!$E$88),0)</f>
        <v>0</v>
      </c>
      <c r="I223" s="128">
        <f t="shared" ca="1" si="54"/>
        <v>0</v>
      </c>
      <c r="J223" s="494">
        <f t="shared" ca="1" si="55"/>
        <v>0</v>
      </c>
      <c r="K223" s="126">
        <f t="shared" ca="1" si="56"/>
        <v>0</v>
      </c>
      <c r="L223" s="126">
        <f t="shared" ca="1" si="52"/>
        <v>0</v>
      </c>
      <c r="P223">
        <v>216</v>
      </c>
      <c r="Q223" s="6">
        <f t="shared" ca="1" si="61"/>
        <v>46204</v>
      </c>
      <c r="R223" s="7" t="e">
        <f t="shared" ca="1" si="62"/>
        <v>#REF!</v>
      </c>
      <c r="S223" s="125" t="e">
        <f t="shared" ca="1" si="63"/>
        <v>#REF!</v>
      </c>
      <c r="T223" s="125" t="e">
        <f t="shared" ca="1" si="57"/>
        <v>#REF!</v>
      </c>
      <c r="U223" s="128" t="e">
        <f t="shared" ca="1" si="64"/>
        <v>#REF!</v>
      </c>
      <c r="AC223">
        <v>216</v>
      </c>
      <c r="AD223" s="6">
        <f t="shared" ca="1" si="65"/>
        <v>46204</v>
      </c>
      <c r="AE223" s="7" t="e">
        <f t="shared" ca="1" si="66"/>
        <v>#REF!</v>
      </c>
      <c r="AF223" s="125" t="e">
        <f t="shared" ca="1" si="67"/>
        <v>#REF!</v>
      </c>
      <c r="AG223" s="125" t="e">
        <f t="shared" ca="1" si="58"/>
        <v>#REF!</v>
      </c>
      <c r="AH223" s="128" t="e">
        <f t="shared" ca="1" si="68"/>
        <v>#REF!</v>
      </c>
    </row>
    <row r="224" spans="4:34">
      <c r="D224">
        <v>217</v>
      </c>
      <c r="E224" s="6">
        <f t="shared" ca="1" si="59"/>
        <v>46174</v>
      </c>
      <c r="F224" s="7">
        <f t="shared" ca="1" si="60"/>
        <v>1</v>
      </c>
      <c r="G224" s="125">
        <f t="shared" ca="1" si="53"/>
        <v>17500</v>
      </c>
      <c r="H224" s="125">
        <f ca="1">IF(F224=1,F224*$B$10/MIN(12,'Simulador - 3º Pilar'!$E$88),0)</f>
        <v>0</v>
      </c>
      <c r="I224" s="128">
        <f t="shared" ca="1" si="54"/>
        <v>0</v>
      </c>
      <c r="J224" s="494">
        <f t="shared" ca="1" si="55"/>
        <v>0</v>
      </c>
      <c r="K224" s="126">
        <f t="shared" ca="1" si="56"/>
        <v>0</v>
      </c>
      <c r="L224" s="126">
        <f t="shared" ca="1" si="52"/>
        <v>0</v>
      </c>
      <c r="P224">
        <v>217</v>
      </c>
      <c r="Q224" s="6">
        <f t="shared" ca="1" si="61"/>
        <v>46174</v>
      </c>
      <c r="R224" s="7" t="e">
        <f t="shared" ca="1" si="62"/>
        <v>#REF!</v>
      </c>
      <c r="S224" s="125" t="e">
        <f t="shared" ca="1" si="63"/>
        <v>#REF!</v>
      </c>
      <c r="T224" s="125" t="e">
        <f t="shared" ca="1" si="57"/>
        <v>#REF!</v>
      </c>
      <c r="U224" s="128" t="e">
        <f t="shared" ca="1" si="64"/>
        <v>#REF!</v>
      </c>
      <c r="AC224">
        <v>217</v>
      </c>
      <c r="AD224" s="6">
        <f t="shared" ca="1" si="65"/>
        <v>46174</v>
      </c>
      <c r="AE224" s="7" t="e">
        <f t="shared" ca="1" si="66"/>
        <v>#REF!</v>
      </c>
      <c r="AF224" s="125" t="e">
        <f t="shared" ca="1" si="67"/>
        <v>#REF!</v>
      </c>
      <c r="AG224" s="125" t="e">
        <f t="shared" ca="1" si="58"/>
        <v>#REF!</v>
      </c>
      <c r="AH224" s="128" t="e">
        <f t="shared" ca="1" si="68"/>
        <v>#REF!</v>
      </c>
    </row>
    <row r="225" spans="4:34">
      <c r="D225">
        <v>218</v>
      </c>
      <c r="E225" s="6">
        <f t="shared" ca="1" si="59"/>
        <v>46143</v>
      </c>
      <c r="F225" s="7">
        <f t="shared" ca="1" si="60"/>
        <v>1</v>
      </c>
      <c r="G225" s="125">
        <f t="shared" ca="1" si="53"/>
        <v>17500</v>
      </c>
      <c r="H225" s="125">
        <f ca="1">IF(F225=1,F225*$B$10/MIN(12,'Simulador - 3º Pilar'!$E$88),0)</f>
        <v>0</v>
      </c>
      <c r="I225" s="128">
        <f t="shared" ca="1" si="54"/>
        <v>0</v>
      </c>
      <c r="J225" s="494">
        <f t="shared" ca="1" si="55"/>
        <v>0</v>
      </c>
      <c r="K225" s="126">
        <f t="shared" ca="1" si="56"/>
        <v>0</v>
      </c>
      <c r="L225" s="126">
        <f t="shared" ref="L225:L288" ca="1" si="69">(1+$G$5)^(D225/12)*(IF((E225)&gt;($B$6),H225,0)+IF(E225=$N$7,$N$4,0)+IF(E225=$C$6,0,0))</f>
        <v>0</v>
      </c>
      <c r="P225">
        <v>218</v>
      </c>
      <c r="Q225" s="6">
        <f t="shared" ca="1" si="61"/>
        <v>46143</v>
      </c>
      <c r="R225" s="7" t="e">
        <f t="shared" ca="1" si="62"/>
        <v>#REF!</v>
      </c>
      <c r="S225" s="125" t="e">
        <f t="shared" ca="1" si="63"/>
        <v>#REF!</v>
      </c>
      <c r="T225" s="125" t="e">
        <f t="shared" ca="1" si="57"/>
        <v>#REF!</v>
      </c>
      <c r="U225" s="128" t="e">
        <f t="shared" ca="1" si="64"/>
        <v>#REF!</v>
      </c>
      <c r="AC225">
        <v>218</v>
      </c>
      <c r="AD225" s="6">
        <f t="shared" ca="1" si="65"/>
        <v>46143</v>
      </c>
      <c r="AE225" s="7" t="e">
        <f t="shared" ca="1" si="66"/>
        <v>#REF!</v>
      </c>
      <c r="AF225" s="125" t="e">
        <f t="shared" ca="1" si="67"/>
        <v>#REF!</v>
      </c>
      <c r="AG225" s="125" t="e">
        <f t="shared" ca="1" si="58"/>
        <v>#REF!</v>
      </c>
      <c r="AH225" s="128" t="e">
        <f t="shared" ca="1" si="68"/>
        <v>#REF!</v>
      </c>
    </row>
    <row r="226" spans="4:34">
      <c r="D226">
        <v>219</v>
      </c>
      <c r="E226" s="6">
        <f t="shared" ca="1" si="59"/>
        <v>46113</v>
      </c>
      <c r="F226" s="7">
        <f t="shared" ca="1" si="60"/>
        <v>1</v>
      </c>
      <c r="G226" s="125">
        <f t="shared" ca="1" si="53"/>
        <v>17500</v>
      </c>
      <c r="H226" s="125">
        <f ca="1">IF(F226=1,F226*$B$10/MIN(12,'Simulador - 3º Pilar'!$E$88),0)</f>
        <v>0</v>
      </c>
      <c r="I226" s="128">
        <f t="shared" ca="1" si="54"/>
        <v>0</v>
      </c>
      <c r="J226" s="494">
        <f t="shared" ca="1" si="55"/>
        <v>0</v>
      </c>
      <c r="K226" s="126">
        <f t="shared" ca="1" si="56"/>
        <v>0</v>
      </c>
      <c r="L226" s="126">
        <f t="shared" ca="1" si="69"/>
        <v>0</v>
      </c>
      <c r="P226">
        <v>219</v>
      </c>
      <c r="Q226" s="6">
        <f t="shared" ca="1" si="61"/>
        <v>46113</v>
      </c>
      <c r="R226" s="7" t="e">
        <f t="shared" ca="1" si="62"/>
        <v>#REF!</v>
      </c>
      <c r="S226" s="125" t="e">
        <f t="shared" ca="1" si="63"/>
        <v>#REF!</v>
      </c>
      <c r="T226" s="125" t="e">
        <f t="shared" ca="1" si="57"/>
        <v>#REF!</v>
      </c>
      <c r="U226" s="128" t="e">
        <f t="shared" ca="1" si="64"/>
        <v>#REF!</v>
      </c>
      <c r="AC226">
        <v>219</v>
      </c>
      <c r="AD226" s="6">
        <f t="shared" ca="1" si="65"/>
        <v>46113</v>
      </c>
      <c r="AE226" s="7" t="e">
        <f t="shared" ca="1" si="66"/>
        <v>#REF!</v>
      </c>
      <c r="AF226" s="125" t="e">
        <f t="shared" ca="1" si="67"/>
        <v>#REF!</v>
      </c>
      <c r="AG226" s="125" t="e">
        <f t="shared" ca="1" si="58"/>
        <v>#REF!</v>
      </c>
      <c r="AH226" s="128" t="e">
        <f t="shared" ca="1" si="68"/>
        <v>#REF!</v>
      </c>
    </row>
    <row r="227" spans="4:34">
      <c r="D227">
        <v>220</v>
      </c>
      <c r="E227" s="6">
        <f t="shared" ca="1" si="59"/>
        <v>46082</v>
      </c>
      <c r="F227" s="7">
        <f t="shared" ca="1" si="60"/>
        <v>1</v>
      </c>
      <c r="G227" s="125">
        <f t="shared" ca="1" si="53"/>
        <v>17500</v>
      </c>
      <c r="H227" s="125">
        <f ca="1">IF(F227=1,F227*$B$10/MIN(12,'Simulador - 3º Pilar'!$E$88),0)</f>
        <v>0</v>
      </c>
      <c r="I227" s="128">
        <f t="shared" ca="1" si="54"/>
        <v>0</v>
      </c>
      <c r="J227" s="494">
        <f t="shared" ca="1" si="55"/>
        <v>0</v>
      </c>
      <c r="K227" s="126">
        <f t="shared" ca="1" si="56"/>
        <v>0</v>
      </c>
      <c r="L227" s="126">
        <f t="shared" ca="1" si="69"/>
        <v>0</v>
      </c>
      <c r="P227">
        <v>220</v>
      </c>
      <c r="Q227" s="6">
        <f t="shared" ca="1" si="61"/>
        <v>46082</v>
      </c>
      <c r="R227" s="7" t="e">
        <f t="shared" ca="1" si="62"/>
        <v>#REF!</v>
      </c>
      <c r="S227" s="125" t="e">
        <f t="shared" ca="1" si="63"/>
        <v>#REF!</v>
      </c>
      <c r="T227" s="125" t="e">
        <f t="shared" ca="1" si="57"/>
        <v>#REF!</v>
      </c>
      <c r="U227" s="128" t="e">
        <f t="shared" ca="1" si="64"/>
        <v>#REF!</v>
      </c>
      <c r="AC227">
        <v>220</v>
      </c>
      <c r="AD227" s="6">
        <f t="shared" ca="1" si="65"/>
        <v>46082</v>
      </c>
      <c r="AE227" s="7" t="e">
        <f t="shared" ca="1" si="66"/>
        <v>#REF!</v>
      </c>
      <c r="AF227" s="125" t="e">
        <f t="shared" ca="1" si="67"/>
        <v>#REF!</v>
      </c>
      <c r="AG227" s="125" t="e">
        <f t="shared" ca="1" si="58"/>
        <v>#REF!</v>
      </c>
      <c r="AH227" s="128" t="e">
        <f t="shared" ca="1" si="68"/>
        <v>#REF!</v>
      </c>
    </row>
    <row r="228" spans="4:34">
      <c r="D228">
        <v>221</v>
      </c>
      <c r="E228" s="6">
        <f t="shared" ca="1" si="59"/>
        <v>46054</v>
      </c>
      <c r="F228" s="7">
        <f t="shared" ca="1" si="60"/>
        <v>1</v>
      </c>
      <c r="G228" s="125">
        <f t="shared" ca="1" si="53"/>
        <v>17500</v>
      </c>
      <c r="H228" s="125">
        <f ca="1">IF(F228=1,F228*$B$10/MIN(12,'Simulador - 3º Pilar'!$E$88),0)</f>
        <v>0</v>
      </c>
      <c r="I228" s="128">
        <f t="shared" ca="1" si="54"/>
        <v>0</v>
      </c>
      <c r="J228" s="494">
        <f t="shared" ca="1" si="55"/>
        <v>0</v>
      </c>
      <c r="K228" s="126">
        <f t="shared" ca="1" si="56"/>
        <v>0</v>
      </c>
      <c r="L228" s="126">
        <f t="shared" ca="1" si="69"/>
        <v>0</v>
      </c>
      <c r="P228">
        <v>221</v>
      </c>
      <c r="Q228" s="6">
        <f t="shared" ca="1" si="61"/>
        <v>46054</v>
      </c>
      <c r="R228" s="7" t="e">
        <f t="shared" ca="1" si="62"/>
        <v>#REF!</v>
      </c>
      <c r="S228" s="125" t="e">
        <f t="shared" ca="1" si="63"/>
        <v>#REF!</v>
      </c>
      <c r="T228" s="125" t="e">
        <f t="shared" ca="1" si="57"/>
        <v>#REF!</v>
      </c>
      <c r="U228" s="128" t="e">
        <f t="shared" ca="1" si="64"/>
        <v>#REF!</v>
      </c>
      <c r="AC228">
        <v>221</v>
      </c>
      <c r="AD228" s="6">
        <f t="shared" ca="1" si="65"/>
        <v>46054</v>
      </c>
      <c r="AE228" s="7" t="e">
        <f t="shared" ca="1" si="66"/>
        <v>#REF!</v>
      </c>
      <c r="AF228" s="125" t="e">
        <f t="shared" ca="1" si="67"/>
        <v>#REF!</v>
      </c>
      <c r="AG228" s="125" t="e">
        <f t="shared" ca="1" si="58"/>
        <v>#REF!</v>
      </c>
      <c r="AH228" s="128" t="e">
        <f t="shared" ca="1" si="68"/>
        <v>#REF!</v>
      </c>
    </row>
    <row r="229" spans="4:34">
      <c r="D229">
        <v>222</v>
      </c>
      <c r="E229" s="6">
        <f t="shared" ca="1" si="59"/>
        <v>46023</v>
      </c>
      <c r="F229" s="7">
        <f t="shared" ca="1" si="60"/>
        <v>1</v>
      </c>
      <c r="G229" s="125">
        <f t="shared" ca="1" si="53"/>
        <v>17500</v>
      </c>
      <c r="H229" s="125">
        <f ca="1">IF(F229=1,F229*$B$10/MIN(12,'Simulador - 3º Pilar'!$E$88),0)</f>
        <v>0</v>
      </c>
      <c r="I229" s="128">
        <f t="shared" ca="1" si="54"/>
        <v>0</v>
      </c>
      <c r="J229" s="494">
        <f t="shared" ca="1" si="55"/>
        <v>0</v>
      </c>
      <c r="K229" s="126">
        <f t="shared" ca="1" si="56"/>
        <v>0</v>
      </c>
      <c r="L229" s="126">
        <f t="shared" ca="1" si="69"/>
        <v>0</v>
      </c>
      <c r="P229">
        <v>222</v>
      </c>
      <c r="Q229" s="6">
        <f t="shared" ca="1" si="61"/>
        <v>46023</v>
      </c>
      <c r="R229" s="7" t="e">
        <f t="shared" ca="1" si="62"/>
        <v>#REF!</v>
      </c>
      <c r="S229" s="125" t="e">
        <f t="shared" ca="1" si="63"/>
        <v>#REF!</v>
      </c>
      <c r="T229" s="125" t="e">
        <f t="shared" ca="1" si="57"/>
        <v>#REF!</v>
      </c>
      <c r="U229" s="128" t="e">
        <f t="shared" ca="1" si="64"/>
        <v>#REF!</v>
      </c>
      <c r="AC229">
        <v>222</v>
      </c>
      <c r="AD229" s="6">
        <f t="shared" ca="1" si="65"/>
        <v>46023</v>
      </c>
      <c r="AE229" s="7" t="e">
        <f t="shared" ca="1" si="66"/>
        <v>#REF!</v>
      </c>
      <c r="AF229" s="125" t="e">
        <f t="shared" ca="1" si="67"/>
        <v>#REF!</v>
      </c>
      <c r="AG229" s="125" t="e">
        <f t="shared" ca="1" si="58"/>
        <v>#REF!</v>
      </c>
      <c r="AH229" s="128" t="e">
        <f t="shared" ca="1" si="68"/>
        <v>#REF!</v>
      </c>
    </row>
    <row r="230" spans="4:34">
      <c r="D230">
        <v>223</v>
      </c>
      <c r="E230" s="6">
        <f t="shared" ca="1" si="59"/>
        <v>45992</v>
      </c>
      <c r="F230" s="7">
        <f t="shared" ca="1" si="60"/>
        <v>1</v>
      </c>
      <c r="G230" s="125">
        <f t="shared" ca="1" si="53"/>
        <v>17500</v>
      </c>
      <c r="H230" s="125">
        <f ca="1">IF(F230=1,F230*$B$10/MIN(12,'Simulador - 3º Pilar'!$E$88),0)</f>
        <v>0</v>
      </c>
      <c r="I230" s="128">
        <f t="shared" ca="1" si="54"/>
        <v>0</v>
      </c>
      <c r="J230" s="494">
        <f t="shared" ca="1" si="55"/>
        <v>0</v>
      </c>
      <c r="K230" s="126">
        <f t="shared" ca="1" si="56"/>
        <v>0</v>
      </c>
      <c r="L230" s="126">
        <f t="shared" ca="1" si="69"/>
        <v>0</v>
      </c>
      <c r="P230">
        <v>223</v>
      </c>
      <c r="Q230" s="6">
        <f t="shared" ca="1" si="61"/>
        <v>45992</v>
      </c>
      <c r="R230" s="7" t="e">
        <f t="shared" ca="1" si="62"/>
        <v>#REF!</v>
      </c>
      <c r="S230" s="125" t="e">
        <f t="shared" ca="1" si="63"/>
        <v>#REF!</v>
      </c>
      <c r="T230" s="125" t="e">
        <f t="shared" ca="1" si="57"/>
        <v>#REF!</v>
      </c>
      <c r="U230" s="128" t="e">
        <f t="shared" ca="1" si="64"/>
        <v>#REF!</v>
      </c>
      <c r="AC230">
        <v>223</v>
      </c>
      <c r="AD230" s="6">
        <f t="shared" ca="1" si="65"/>
        <v>45992</v>
      </c>
      <c r="AE230" s="7" t="e">
        <f t="shared" ca="1" si="66"/>
        <v>#REF!</v>
      </c>
      <c r="AF230" s="125" t="e">
        <f t="shared" ca="1" si="67"/>
        <v>#REF!</v>
      </c>
      <c r="AG230" s="125" t="e">
        <f t="shared" ca="1" si="58"/>
        <v>#REF!</v>
      </c>
      <c r="AH230" s="128" t="e">
        <f t="shared" ca="1" si="68"/>
        <v>#REF!</v>
      </c>
    </row>
    <row r="231" spans="4:34">
      <c r="D231">
        <v>224</v>
      </c>
      <c r="E231" s="6">
        <f t="shared" ca="1" si="59"/>
        <v>45962</v>
      </c>
      <c r="F231" s="7">
        <f t="shared" ca="1" si="60"/>
        <v>1</v>
      </c>
      <c r="G231" s="125">
        <f t="shared" ca="1" si="53"/>
        <v>17500</v>
      </c>
      <c r="H231" s="125">
        <f ca="1">IF(F231=1,F231*$B$10/MIN(12,'Simulador - 3º Pilar'!$E$88),0)</f>
        <v>0</v>
      </c>
      <c r="I231" s="128">
        <f t="shared" ca="1" si="54"/>
        <v>0</v>
      </c>
      <c r="J231" s="494">
        <f t="shared" ca="1" si="55"/>
        <v>0</v>
      </c>
      <c r="K231" s="126">
        <f t="shared" ca="1" si="56"/>
        <v>0</v>
      </c>
      <c r="L231" s="126">
        <f t="shared" ca="1" si="69"/>
        <v>0</v>
      </c>
      <c r="P231">
        <v>224</v>
      </c>
      <c r="Q231" s="6">
        <f t="shared" ca="1" si="61"/>
        <v>45962</v>
      </c>
      <c r="R231" s="7" t="e">
        <f t="shared" ca="1" si="62"/>
        <v>#REF!</v>
      </c>
      <c r="S231" s="125" t="e">
        <f t="shared" ca="1" si="63"/>
        <v>#REF!</v>
      </c>
      <c r="T231" s="125" t="e">
        <f t="shared" ca="1" si="57"/>
        <v>#REF!</v>
      </c>
      <c r="U231" s="128" t="e">
        <f t="shared" ca="1" si="64"/>
        <v>#REF!</v>
      </c>
      <c r="AC231">
        <v>224</v>
      </c>
      <c r="AD231" s="6">
        <f t="shared" ca="1" si="65"/>
        <v>45962</v>
      </c>
      <c r="AE231" s="7" t="e">
        <f t="shared" ca="1" si="66"/>
        <v>#REF!</v>
      </c>
      <c r="AF231" s="125" t="e">
        <f t="shared" ca="1" si="67"/>
        <v>#REF!</v>
      </c>
      <c r="AG231" s="125" t="e">
        <f t="shared" ca="1" si="58"/>
        <v>#REF!</v>
      </c>
      <c r="AH231" s="128" t="e">
        <f t="shared" ca="1" si="68"/>
        <v>#REF!</v>
      </c>
    </row>
    <row r="232" spans="4:34">
      <c r="D232">
        <v>225</v>
      </c>
      <c r="E232" s="6">
        <f t="shared" ca="1" si="59"/>
        <v>45931</v>
      </c>
      <c r="F232" s="7">
        <f t="shared" ca="1" si="60"/>
        <v>1</v>
      </c>
      <c r="G232" s="125">
        <f t="shared" ca="1" si="53"/>
        <v>17500</v>
      </c>
      <c r="H232" s="125">
        <f ca="1">IF(F232=1,F232*$B$10/MIN(12,'Simulador - 3º Pilar'!$E$88),0)</f>
        <v>0</v>
      </c>
      <c r="I232" s="128">
        <f t="shared" ca="1" si="54"/>
        <v>0</v>
      </c>
      <c r="J232" s="494">
        <f t="shared" ca="1" si="55"/>
        <v>0</v>
      </c>
      <c r="K232" s="126">
        <f t="shared" ca="1" si="56"/>
        <v>0</v>
      </c>
      <c r="L232" s="126">
        <f t="shared" ca="1" si="69"/>
        <v>0</v>
      </c>
      <c r="P232">
        <v>225</v>
      </c>
      <c r="Q232" s="6">
        <f t="shared" ca="1" si="61"/>
        <v>45931</v>
      </c>
      <c r="R232" s="7" t="e">
        <f t="shared" ca="1" si="62"/>
        <v>#REF!</v>
      </c>
      <c r="S232" s="125" t="e">
        <f t="shared" ca="1" si="63"/>
        <v>#REF!</v>
      </c>
      <c r="T232" s="125" t="e">
        <f t="shared" ca="1" si="57"/>
        <v>#REF!</v>
      </c>
      <c r="U232" s="128" t="e">
        <f t="shared" ca="1" si="64"/>
        <v>#REF!</v>
      </c>
      <c r="AC232">
        <v>225</v>
      </c>
      <c r="AD232" s="6">
        <f t="shared" ca="1" si="65"/>
        <v>45931</v>
      </c>
      <c r="AE232" s="7" t="e">
        <f t="shared" ca="1" si="66"/>
        <v>#REF!</v>
      </c>
      <c r="AF232" s="125" t="e">
        <f t="shared" ca="1" si="67"/>
        <v>#REF!</v>
      </c>
      <c r="AG232" s="125" t="e">
        <f t="shared" ca="1" si="58"/>
        <v>#REF!</v>
      </c>
      <c r="AH232" s="128" t="e">
        <f t="shared" ca="1" si="68"/>
        <v>#REF!</v>
      </c>
    </row>
    <row r="233" spans="4:34">
      <c r="D233">
        <v>226</v>
      </c>
      <c r="E233" s="6">
        <f t="shared" ca="1" si="59"/>
        <v>45901</v>
      </c>
      <c r="F233" s="7">
        <f t="shared" ca="1" si="60"/>
        <v>1</v>
      </c>
      <c r="G233" s="125">
        <f t="shared" ca="1" si="53"/>
        <v>17500</v>
      </c>
      <c r="H233" s="125">
        <f ca="1">IF(F233=1,F233*$B$10/MIN(12,'Simulador - 3º Pilar'!$E$88),0)</f>
        <v>0</v>
      </c>
      <c r="I233" s="128">
        <f t="shared" ca="1" si="54"/>
        <v>0</v>
      </c>
      <c r="J233" s="494">
        <f t="shared" ca="1" si="55"/>
        <v>0</v>
      </c>
      <c r="K233" s="126">
        <f t="shared" ca="1" si="56"/>
        <v>0</v>
      </c>
      <c r="L233" s="126">
        <f t="shared" ca="1" si="69"/>
        <v>0</v>
      </c>
      <c r="P233">
        <v>226</v>
      </c>
      <c r="Q233" s="6">
        <f t="shared" ca="1" si="61"/>
        <v>45901</v>
      </c>
      <c r="R233" s="7" t="e">
        <f t="shared" ca="1" si="62"/>
        <v>#REF!</v>
      </c>
      <c r="S233" s="125" t="e">
        <f t="shared" ca="1" si="63"/>
        <v>#REF!</v>
      </c>
      <c r="T233" s="125" t="e">
        <f t="shared" ca="1" si="57"/>
        <v>#REF!</v>
      </c>
      <c r="U233" s="128" t="e">
        <f t="shared" ca="1" si="64"/>
        <v>#REF!</v>
      </c>
      <c r="AC233">
        <v>226</v>
      </c>
      <c r="AD233" s="6">
        <f t="shared" ca="1" si="65"/>
        <v>45901</v>
      </c>
      <c r="AE233" s="7" t="e">
        <f t="shared" ca="1" si="66"/>
        <v>#REF!</v>
      </c>
      <c r="AF233" s="125" t="e">
        <f t="shared" ca="1" si="67"/>
        <v>#REF!</v>
      </c>
      <c r="AG233" s="125" t="e">
        <f t="shared" ca="1" si="58"/>
        <v>#REF!</v>
      </c>
      <c r="AH233" s="128" t="e">
        <f t="shared" ca="1" si="68"/>
        <v>#REF!</v>
      </c>
    </row>
    <row r="234" spans="4:34">
      <c r="D234">
        <v>227</v>
      </c>
      <c r="E234" s="6">
        <f t="shared" ca="1" si="59"/>
        <v>45870</v>
      </c>
      <c r="F234" s="7">
        <f t="shared" ca="1" si="60"/>
        <v>1</v>
      </c>
      <c r="G234" s="125">
        <f t="shared" ca="1" si="53"/>
        <v>17500</v>
      </c>
      <c r="H234" s="125">
        <f ca="1">IF(F234=1,F234*$B$10/MIN(12,'Simulador - 3º Pilar'!$E$88),0)</f>
        <v>0</v>
      </c>
      <c r="I234" s="128">
        <f t="shared" ca="1" si="54"/>
        <v>0</v>
      </c>
      <c r="J234" s="494">
        <f t="shared" ca="1" si="55"/>
        <v>0</v>
      </c>
      <c r="K234" s="126">
        <f t="shared" ca="1" si="56"/>
        <v>0</v>
      </c>
      <c r="L234" s="126">
        <f t="shared" ca="1" si="69"/>
        <v>0</v>
      </c>
      <c r="P234">
        <v>227</v>
      </c>
      <c r="Q234" s="6">
        <f t="shared" ca="1" si="61"/>
        <v>45870</v>
      </c>
      <c r="R234" s="7" t="e">
        <f t="shared" ca="1" si="62"/>
        <v>#REF!</v>
      </c>
      <c r="S234" s="125" t="e">
        <f t="shared" ca="1" si="63"/>
        <v>#REF!</v>
      </c>
      <c r="T234" s="125" t="e">
        <f t="shared" ca="1" si="57"/>
        <v>#REF!</v>
      </c>
      <c r="U234" s="128" t="e">
        <f t="shared" ca="1" si="64"/>
        <v>#REF!</v>
      </c>
      <c r="AC234">
        <v>227</v>
      </c>
      <c r="AD234" s="6">
        <f t="shared" ca="1" si="65"/>
        <v>45870</v>
      </c>
      <c r="AE234" s="7" t="e">
        <f t="shared" ca="1" si="66"/>
        <v>#REF!</v>
      </c>
      <c r="AF234" s="125" t="e">
        <f t="shared" ca="1" si="67"/>
        <v>#REF!</v>
      </c>
      <c r="AG234" s="125" t="e">
        <f t="shared" ca="1" si="58"/>
        <v>#REF!</v>
      </c>
      <c r="AH234" s="128" t="e">
        <f t="shared" ca="1" si="68"/>
        <v>#REF!</v>
      </c>
    </row>
    <row r="235" spans="4:34">
      <c r="D235">
        <v>228</v>
      </c>
      <c r="E235" s="6">
        <f t="shared" ca="1" si="59"/>
        <v>45839</v>
      </c>
      <c r="F235" s="7">
        <f t="shared" ca="1" si="60"/>
        <v>1</v>
      </c>
      <c r="G235" s="125">
        <f t="shared" ca="1" si="53"/>
        <v>17500</v>
      </c>
      <c r="H235" s="125">
        <f ca="1">IF(F235=1,F235*$B$10/MIN(12,'Simulador - 3º Pilar'!$E$88),0)</f>
        <v>0</v>
      </c>
      <c r="I235" s="128">
        <f t="shared" ca="1" si="54"/>
        <v>0</v>
      </c>
      <c r="J235" s="494">
        <f t="shared" ca="1" si="55"/>
        <v>0</v>
      </c>
      <c r="K235" s="126">
        <f t="shared" ca="1" si="56"/>
        <v>0</v>
      </c>
      <c r="L235" s="126">
        <f t="shared" ca="1" si="69"/>
        <v>0</v>
      </c>
      <c r="P235">
        <v>228</v>
      </c>
      <c r="Q235" s="6">
        <f t="shared" ca="1" si="61"/>
        <v>45839</v>
      </c>
      <c r="R235" s="7" t="e">
        <f t="shared" ca="1" si="62"/>
        <v>#REF!</v>
      </c>
      <c r="S235" s="125" t="e">
        <f t="shared" ca="1" si="63"/>
        <v>#REF!</v>
      </c>
      <c r="T235" s="125" t="e">
        <f t="shared" ca="1" si="57"/>
        <v>#REF!</v>
      </c>
      <c r="U235" s="128" t="e">
        <f t="shared" ca="1" si="64"/>
        <v>#REF!</v>
      </c>
      <c r="AC235">
        <v>228</v>
      </c>
      <c r="AD235" s="6">
        <f t="shared" ca="1" si="65"/>
        <v>45839</v>
      </c>
      <c r="AE235" s="7" t="e">
        <f t="shared" ca="1" si="66"/>
        <v>#REF!</v>
      </c>
      <c r="AF235" s="125" t="e">
        <f t="shared" ca="1" si="67"/>
        <v>#REF!</v>
      </c>
      <c r="AG235" s="125" t="e">
        <f t="shared" ca="1" si="58"/>
        <v>#REF!</v>
      </c>
      <c r="AH235" s="128" t="e">
        <f t="shared" ca="1" si="68"/>
        <v>#REF!</v>
      </c>
    </row>
    <row r="236" spans="4:34">
      <c r="D236">
        <v>229</v>
      </c>
      <c r="E236" s="6">
        <f t="shared" ca="1" si="59"/>
        <v>45809</v>
      </c>
      <c r="F236" s="7">
        <f t="shared" ca="1" si="60"/>
        <v>1</v>
      </c>
      <c r="G236" s="125">
        <f t="shared" ca="1" si="53"/>
        <v>17500</v>
      </c>
      <c r="H236" s="125">
        <f ca="1">IF(F236=1,F236*$B$10/MIN(12,'Simulador - 3º Pilar'!$E$88),0)</f>
        <v>0</v>
      </c>
      <c r="I236" s="128">
        <f t="shared" ca="1" si="54"/>
        <v>0</v>
      </c>
      <c r="J236" s="494">
        <f t="shared" ca="1" si="55"/>
        <v>0</v>
      </c>
      <c r="K236" s="126">
        <f t="shared" ca="1" si="56"/>
        <v>0</v>
      </c>
      <c r="L236" s="126">
        <f t="shared" ca="1" si="69"/>
        <v>0</v>
      </c>
      <c r="P236">
        <v>229</v>
      </c>
      <c r="Q236" s="6">
        <f t="shared" ca="1" si="61"/>
        <v>45809</v>
      </c>
      <c r="R236" s="7" t="e">
        <f t="shared" ca="1" si="62"/>
        <v>#REF!</v>
      </c>
      <c r="S236" s="125" t="e">
        <f t="shared" ca="1" si="63"/>
        <v>#REF!</v>
      </c>
      <c r="T236" s="125" t="e">
        <f t="shared" ca="1" si="57"/>
        <v>#REF!</v>
      </c>
      <c r="U236" s="128" t="e">
        <f t="shared" ca="1" si="64"/>
        <v>#REF!</v>
      </c>
      <c r="AC236">
        <v>229</v>
      </c>
      <c r="AD236" s="6">
        <f t="shared" ca="1" si="65"/>
        <v>45809</v>
      </c>
      <c r="AE236" s="7" t="e">
        <f t="shared" ca="1" si="66"/>
        <v>#REF!</v>
      </c>
      <c r="AF236" s="125" t="e">
        <f t="shared" ca="1" si="67"/>
        <v>#REF!</v>
      </c>
      <c r="AG236" s="125" t="e">
        <f t="shared" ca="1" si="58"/>
        <v>#REF!</v>
      </c>
      <c r="AH236" s="128" t="e">
        <f t="shared" ca="1" si="68"/>
        <v>#REF!</v>
      </c>
    </row>
    <row r="237" spans="4:34">
      <c r="D237">
        <v>230</v>
      </c>
      <c r="E237" s="6">
        <f t="shared" ca="1" si="59"/>
        <v>45778</v>
      </c>
      <c r="F237" s="7">
        <f t="shared" ca="1" si="60"/>
        <v>1</v>
      </c>
      <c r="G237" s="125">
        <f t="shared" ca="1" si="53"/>
        <v>17500</v>
      </c>
      <c r="H237" s="125">
        <f ca="1">IF(F237=1,F237*$B$10/MIN(12,'Simulador - 3º Pilar'!$E$88),0)</f>
        <v>0</v>
      </c>
      <c r="I237" s="128">
        <f t="shared" ca="1" si="54"/>
        <v>0</v>
      </c>
      <c r="J237" s="494">
        <f t="shared" ca="1" si="55"/>
        <v>0</v>
      </c>
      <c r="K237" s="126">
        <f t="shared" ca="1" si="56"/>
        <v>0</v>
      </c>
      <c r="L237" s="126">
        <f t="shared" ca="1" si="69"/>
        <v>0</v>
      </c>
      <c r="P237">
        <v>230</v>
      </c>
      <c r="Q237" s="6">
        <f t="shared" ca="1" si="61"/>
        <v>45778</v>
      </c>
      <c r="R237" s="7" t="e">
        <f t="shared" ca="1" si="62"/>
        <v>#REF!</v>
      </c>
      <c r="S237" s="125" t="e">
        <f t="shared" ca="1" si="63"/>
        <v>#REF!</v>
      </c>
      <c r="T237" s="125" t="e">
        <f t="shared" ca="1" si="57"/>
        <v>#REF!</v>
      </c>
      <c r="U237" s="128" t="e">
        <f t="shared" ca="1" si="64"/>
        <v>#REF!</v>
      </c>
      <c r="AC237">
        <v>230</v>
      </c>
      <c r="AD237" s="6">
        <f t="shared" ca="1" si="65"/>
        <v>45778</v>
      </c>
      <c r="AE237" s="7" t="e">
        <f t="shared" ca="1" si="66"/>
        <v>#REF!</v>
      </c>
      <c r="AF237" s="125" t="e">
        <f t="shared" ca="1" si="67"/>
        <v>#REF!</v>
      </c>
      <c r="AG237" s="125" t="e">
        <f t="shared" ca="1" si="58"/>
        <v>#REF!</v>
      </c>
      <c r="AH237" s="128" t="e">
        <f t="shared" ca="1" si="68"/>
        <v>#REF!</v>
      </c>
    </row>
    <row r="238" spans="4:34">
      <c r="D238">
        <v>231</v>
      </c>
      <c r="E238" s="6">
        <f t="shared" ca="1" si="59"/>
        <v>45748</v>
      </c>
      <c r="F238" s="7">
        <f t="shared" ca="1" si="60"/>
        <v>1</v>
      </c>
      <c r="G238" s="125">
        <f t="shared" ca="1" si="53"/>
        <v>17500</v>
      </c>
      <c r="H238" s="125">
        <f ca="1">IF(F238=1,F238*$B$10/MIN(12,'Simulador - 3º Pilar'!$E$88),0)</f>
        <v>0</v>
      </c>
      <c r="I238" s="128">
        <f t="shared" ca="1" si="54"/>
        <v>0</v>
      </c>
      <c r="J238" s="494">
        <f t="shared" ca="1" si="55"/>
        <v>0</v>
      </c>
      <c r="K238" s="126">
        <f t="shared" ca="1" si="56"/>
        <v>0</v>
      </c>
      <c r="L238" s="126">
        <f t="shared" ca="1" si="69"/>
        <v>0</v>
      </c>
      <c r="P238">
        <v>231</v>
      </c>
      <c r="Q238" s="6">
        <f t="shared" ca="1" si="61"/>
        <v>45748</v>
      </c>
      <c r="R238" s="7" t="e">
        <f t="shared" ca="1" si="62"/>
        <v>#REF!</v>
      </c>
      <c r="S238" s="125" t="e">
        <f t="shared" ca="1" si="63"/>
        <v>#REF!</v>
      </c>
      <c r="T238" s="125" t="e">
        <f t="shared" ca="1" si="57"/>
        <v>#REF!</v>
      </c>
      <c r="U238" s="128" t="e">
        <f t="shared" ca="1" si="64"/>
        <v>#REF!</v>
      </c>
      <c r="AC238">
        <v>231</v>
      </c>
      <c r="AD238" s="6">
        <f t="shared" ca="1" si="65"/>
        <v>45748</v>
      </c>
      <c r="AE238" s="7" t="e">
        <f t="shared" ca="1" si="66"/>
        <v>#REF!</v>
      </c>
      <c r="AF238" s="125" t="e">
        <f t="shared" ca="1" si="67"/>
        <v>#REF!</v>
      </c>
      <c r="AG238" s="125" t="e">
        <f t="shared" ca="1" si="58"/>
        <v>#REF!</v>
      </c>
      <c r="AH238" s="128" t="e">
        <f t="shared" ca="1" si="68"/>
        <v>#REF!</v>
      </c>
    </row>
    <row r="239" spans="4:34">
      <c r="D239">
        <v>232</v>
      </c>
      <c r="E239" s="6">
        <f t="shared" ca="1" si="59"/>
        <v>45717</v>
      </c>
      <c r="F239" s="7">
        <f t="shared" ca="1" si="60"/>
        <v>1</v>
      </c>
      <c r="G239" s="125">
        <f t="shared" ca="1" si="53"/>
        <v>17500</v>
      </c>
      <c r="H239" s="125">
        <f ca="1">IF(F239=1,F239*$B$10/MIN(12,'Simulador - 3º Pilar'!$E$88),0)</f>
        <v>0</v>
      </c>
      <c r="I239" s="128">
        <f t="shared" ca="1" si="54"/>
        <v>0</v>
      </c>
      <c r="J239" s="494">
        <f t="shared" ca="1" si="55"/>
        <v>0</v>
      </c>
      <c r="K239" s="126">
        <f t="shared" ca="1" si="56"/>
        <v>0</v>
      </c>
      <c r="L239" s="126">
        <f t="shared" ca="1" si="69"/>
        <v>0</v>
      </c>
      <c r="P239">
        <v>232</v>
      </c>
      <c r="Q239" s="6">
        <f t="shared" ca="1" si="61"/>
        <v>45717</v>
      </c>
      <c r="R239" s="7" t="e">
        <f t="shared" ca="1" si="62"/>
        <v>#REF!</v>
      </c>
      <c r="S239" s="125" t="e">
        <f t="shared" ca="1" si="63"/>
        <v>#REF!</v>
      </c>
      <c r="T239" s="125" t="e">
        <f t="shared" ca="1" si="57"/>
        <v>#REF!</v>
      </c>
      <c r="U239" s="128" t="e">
        <f t="shared" ca="1" si="64"/>
        <v>#REF!</v>
      </c>
      <c r="AC239">
        <v>232</v>
      </c>
      <c r="AD239" s="6">
        <f t="shared" ca="1" si="65"/>
        <v>45717</v>
      </c>
      <c r="AE239" s="7" t="e">
        <f t="shared" ca="1" si="66"/>
        <v>#REF!</v>
      </c>
      <c r="AF239" s="125" t="e">
        <f t="shared" ca="1" si="67"/>
        <v>#REF!</v>
      </c>
      <c r="AG239" s="125" t="e">
        <f t="shared" ca="1" si="58"/>
        <v>#REF!</v>
      </c>
      <c r="AH239" s="128" t="e">
        <f t="shared" ca="1" si="68"/>
        <v>#REF!</v>
      </c>
    </row>
    <row r="240" spans="4:34">
      <c r="D240">
        <v>233</v>
      </c>
      <c r="E240" s="6">
        <f t="shared" ca="1" si="59"/>
        <v>45689</v>
      </c>
      <c r="F240" s="7">
        <f t="shared" ca="1" si="60"/>
        <v>1</v>
      </c>
      <c r="G240" s="125">
        <f t="shared" ca="1" si="53"/>
        <v>17500</v>
      </c>
      <c r="H240" s="125">
        <f ca="1">IF(F240=1,F240*$B$10/MIN(12,'Simulador - 3º Pilar'!$E$88),0)</f>
        <v>0</v>
      </c>
      <c r="I240" s="128">
        <f t="shared" ca="1" si="54"/>
        <v>0</v>
      </c>
      <c r="J240" s="494">
        <f t="shared" ca="1" si="55"/>
        <v>0</v>
      </c>
      <c r="K240" s="126">
        <f t="shared" ca="1" si="56"/>
        <v>0</v>
      </c>
      <c r="L240" s="126">
        <f t="shared" ca="1" si="69"/>
        <v>0</v>
      </c>
      <c r="P240">
        <v>233</v>
      </c>
      <c r="Q240" s="6">
        <f t="shared" ca="1" si="61"/>
        <v>45689</v>
      </c>
      <c r="R240" s="7" t="e">
        <f t="shared" ca="1" si="62"/>
        <v>#REF!</v>
      </c>
      <c r="S240" s="125" t="e">
        <f t="shared" ca="1" si="63"/>
        <v>#REF!</v>
      </c>
      <c r="T240" s="125" t="e">
        <f t="shared" ca="1" si="57"/>
        <v>#REF!</v>
      </c>
      <c r="U240" s="128" t="e">
        <f t="shared" ca="1" si="64"/>
        <v>#REF!</v>
      </c>
      <c r="AC240">
        <v>233</v>
      </c>
      <c r="AD240" s="6">
        <f t="shared" ca="1" si="65"/>
        <v>45689</v>
      </c>
      <c r="AE240" s="7" t="e">
        <f t="shared" ca="1" si="66"/>
        <v>#REF!</v>
      </c>
      <c r="AF240" s="125" t="e">
        <f t="shared" ca="1" si="67"/>
        <v>#REF!</v>
      </c>
      <c r="AG240" s="125" t="e">
        <f t="shared" ca="1" si="58"/>
        <v>#REF!</v>
      </c>
      <c r="AH240" s="128" t="e">
        <f t="shared" ca="1" si="68"/>
        <v>#REF!</v>
      </c>
    </row>
    <row r="241" spans="4:34">
      <c r="D241">
        <v>234</v>
      </c>
      <c r="E241" s="6">
        <f t="shared" ca="1" si="59"/>
        <v>45658</v>
      </c>
      <c r="F241" s="7">
        <f t="shared" ca="1" si="60"/>
        <v>1</v>
      </c>
      <c r="G241" s="125">
        <f t="shared" ca="1" si="53"/>
        <v>17500</v>
      </c>
      <c r="H241" s="125">
        <f ca="1">IF(F241=1,F241*$B$10/MIN(12,'Simulador - 3º Pilar'!$E$88),0)</f>
        <v>0</v>
      </c>
      <c r="I241" s="128">
        <f t="shared" ca="1" si="54"/>
        <v>0</v>
      </c>
      <c r="J241" s="494">
        <f t="shared" ca="1" si="55"/>
        <v>0</v>
      </c>
      <c r="K241" s="126">
        <f t="shared" ca="1" si="56"/>
        <v>0</v>
      </c>
      <c r="L241" s="126">
        <f t="shared" ca="1" si="69"/>
        <v>0</v>
      </c>
      <c r="P241">
        <v>234</v>
      </c>
      <c r="Q241" s="6">
        <f t="shared" ca="1" si="61"/>
        <v>45658</v>
      </c>
      <c r="R241" s="7" t="e">
        <f t="shared" ca="1" si="62"/>
        <v>#REF!</v>
      </c>
      <c r="S241" s="125" t="e">
        <f t="shared" ca="1" si="63"/>
        <v>#REF!</v>
      </c>
      <c r="T241" s="125" t="e">
        <f t="shared" ca="1" si="57"/>
        <v>#REF!</v>
      </c>
      <c r="U241" s="128" t="e">
        <f t="shared" ca="1" si="64"/>
        <v>#REF!</v>
      </c>
      <c r="AC241">
        <v>234</v>
      </c>
      <c r="AD241" s="6">
        <f t="shared" ca="1" si="65"/>
        <v>45658</v>
      </c>
      <c r="AE241" s="7" t="e">
        <f t="shared" ca="1" si="66"/>
        <v>#REF!</v>
      </c>
      <c r="AF241" s="125" t="e">
        <f t="shared" ca="1" si="67"/>
        <v>#REF!</v>
      </c>
      <c r="AG241" s="125" t="e">
        <f t="shared" ca="1" si="58"/>
        <v>#REF!</v>
      </c>
      <c r="AH241" s="128" t="e">
        <f t="shared" ca="1" si="68"/>
        <v>#REF!</v>
      </c>
    </row>
    <row r="242" spans="4:34">
      <c r="D242">
        <v>235</v>
      </c>
      <c r="E242" s="6">
        <f t="shared" ca="1" si="59"/>
        <v>45627</v>
      </c>
      <c r="F242" s="7">
        <f t="shared" ca="1" si="60"/>
        <v>1</v>
      </c>
      <c r="G242" s="125">
        <f t="shared" ca="1" si="53"/>
        <v>17500</v>
      </c>
      <c r="H242" s="125">
        <f ca="1">IF(F242=1,F242*$B$10/MIN(12,'Simulador - 3º Pilar'!$E$88),0)</f>
        <v>0</v>
      </c>
      <c r="I242" s="128">
        <f t="shared" ca="1" si="54"/>
        <v>0</v>
      </c>
      <c r="J242" s="494">
        <f t="shared" ca="1" si="55"/>
        <v>0</v>
      </c>
      <c r="K242" s="126">
        <f t="shared" ca="1" si="56"/>
        <v>0</v>
      </c>
      <c r="L242" s="126">
        <f t="shared" ca="1" si="69"/>
        <v>0</v>
      </c>
      <c r="P242">
        <v>235</v>
      </c>
      <c r="Q242" s="6">
        <f t="shared" ca="1" si="61"/>
        <v>45627</v>
      </c>
      <c r="R242" s="7" t="e">
        <f t="shared" ca="1" si="62"/>
        <v>#REF!</v>
      </c>
      <c r="S242" s="125" t="e">
        <f t="shared" ca="1" si="63"/>
        <v>#REF!</v>
      </c>
      <c r="T242" s="125" t="e">
        <f t="shared" ca="1" si="57"/>
        <v>#REF!</v>
      </c>
      <c r="U242" s="128" t="e">
        <f t="shared" ca="1" si="64"/>
        <v>#REF!</v>
      </c>
      <c r="AC242">
        <v>235</v>
      </c>
      <c r="AD242" s="6">
        <f t="shared" ca="1" si="65"/>
        <v>45627</v>
      </c>
      <c r="AE242" s="7" t="e">
        <f t="shared" ca="1" si="66"/>
        <v>#REF!</v>
      </c>
      <c r="AF242" s="125" t="e">
        <f t="shared" ca="1" si="67"/>
        <v>#REF!</v>
      </c>
      <c r="AG242" s="125" t="e">
        <f t="shared" ca="1" si="58"/>
        <v>#REF!</v>
      </c>
      <c r="AH242" s="128" t="e">
        <f t="shared" ca="1" si="68"/>
        <v>#REF!</v>
      </c>
    </row>
    <row r="243" spans="4:34">
      <c r="D243">
        <v>236</v>
      </c>
      <c r="E243" s="6">
        <f t="shared" ca="1" si="59"/>
        <v>45597</v>
      </c>
      <c r="F243" s="7">
        <f t="shared" ca="1" si="60"/>
        <v>1</v>
      </c>
      <c r="G243" s="125">
        <f t="shared" ca="1" si="53"/>
        <v>17500</v>
      </c>
      <c r="H243" s="125">
        <f ca="1">IF(F243=1,F243*$B$10/MIN(12,'Simulador - 3º Pilar'!$E$88),0)</f>
        <v>0</v>
      </c>
      <c r="I243" s="128">
        <f t="shared" ca="1" si="54"/>
        <v>0</v>
      </c>
      <c r="J243" s="494">
        <f t="shared" ca="1" si="55"/>
        <v>0</v>
      </c>
      <c r="K243" s="126">
        <f t="shared" ca="1" si="56"/>
        <v>0</v>
      </c>
      <c r="L243" s="126">
        <f t="shared" ca="1" si="69"/>
        <v>0</v>
      </c>
      <c r="P243">
        <v>236</v>
      </c>
      <c r="Q243" s="6">
        <f t="shared" ca="1" si="61"/>
        <v>45597</v>
      </c>
      <c r="R243" s="7" t="e">
        <f t="shared" ca="1" si="62"/>
        <v>#REF!</v>
      </c>
      <c r="S243" s="125" t="e">
        <f t="shared" ca="1" si="63"/>
        <v>#REF!</v>
      </c>
      <c r="T243" s="125" t="e">
        <f t="shared" ca="1" si="57"/>
        <v>#REF!</v>
      </c>
      <c r="U243" s="128" t="e">
        <f t="shared" ca="1" si="64"/>
        <v>#REF!</v>
      </c>
      <c r="AC243">
        <v>236</v>
      </c>
      <c r="AD243" s="6">
        <f t="shared" ca="1" si="65"/>
        <v>45597</v>
      </c>
      <c r="AE243" s="7" t="e">
        <f t="shared" ca="1" si="66"/>
        <v>#REF!</v>
      </c>
      <c r="AF243" s="125" t="e">
        <f t="shared" ca="1" si="67"/>
        <v>#REF!</v>
      </c>
      <c r="AG243" s="125" t="e">
        <f t="shared" ca="1" si="58"/>
        <v>#REF!</v>
      </c>
      <c r="AH243" s="128" t="e">
        <f t="shared" ca="1" si="68"/>
        <v>#REF!</v>
      </c>
    </row>
    <row r="244" spans="4:34">
      <c r="D244">
        <v>237</v>
      </c>
      <c r="E244" s="6">
        <f t="shared" ca="1" si="59"/>
        <v>45566</v>
      </c>
      <c r="F244" s="7">
        <f t="shared" ca="1" si="60"/>
        <v>1</v>
      </c>
      <c r="G244" s="125">
        <f t="shared" ca="1" si="53"/>
        <v>17500</v>
      </c>
      <c r="H244" s="125">
        <f ca="1">IF(F244=1,F244*$B$10/MIN(12,'Simulador - 3º Pilar'!$E$88),0)</f>
        <v>0</v>
      </c>
      <c r="I244" s="128">
        <f t="shared" ca="1" si="54"/>
        <v>0</v>
      </c>
      <c r="J244" s="494" t="e">
        <f t="shared" ca="1" si="55"/>
        <v>#REF!</v>
      </c>
      <c r="K244" s="126">
        <f t="shared" ca="1" si="56"/>
        <v>0</v>
      </c>
      <c r="L244" s="126">
        <f t="shared" ca="1" si="69"/>
        <v>0</v>
      </c>
      <c r="P244">
        <v>237</v>
      </c>
      <c r="Q244" s="6">
        <f t="shared" ca="1" si="61"/>
        <v>45566</v>
      </c>
      <c r="R244" s="7" t="e">
        <f t="shared" ca="1" si="62"/>
        <v>#REF!</v>
      </c>
      <c r="S244" s="125" t="e">
        <f t="shared" ca="1" si="63"/>
        <v>#REF!</v>
      </c>
      <c r="T244" s="125" t="e">
        <f t="shared" ca="1" si="57"/>
        <v>#REF!</v>
      </c>
      <c r="U244" s="128" t="e">
        <f t="shared" ca="1" si="64"/>
        <v>#REF!</v>
      </c>
      <c r="AC244">
        <v>237</v>
      </c>
      <c r="AD244" s="6">
        <f t="shared" ca="1" si="65"/>
        <v>45566</v>
      </c>
      <c r="AE244" s="7" t="e">
        <f t="shared" ca="1" si="66"/>
        <v>#REF!</v>
      </c>
      <c r="AF244" s="125" t="e">
        <f t="shared" ca="1" si="67"/>
        <v>#REF!</v>
      </c>
      <c r="AG244" s="125" t="e">
        <f t="shared" ca="1" si="58"/>
        <v>#REF!</v>
      </c>
      <c r="AH244" s="128" t="e">
        <f t="shared" ca="1" si="68"/>
        <v>#REF!</v>
      </c>
    </row>
    <row r="245" spans="4:34">
      <c r="D245">
        <v>238</v>
      </c>
      <c r="E245" s="6">
        <f t="shared" ca="1" si="59"/>
        <v>45536</v>
      </c>
      <c r="F245" s="7">
        <f t="shared" ca="1" si="60"/>
        <v>0</v>
      </c>
      <c r="G245" s="125">
        <f t="shared" ca="1" si="53"/>
        <v>0</v>
      </c>
      <c r="H245" s="125">
        <f ca="1">IF(F245=1,F245*$B$10/MIN(12,'Simulador - 3º Pilar'!$E$88),0)</f>
        <v>0</v>
      </c>
      <c r="I245" s="128">
        <f t="shared" ca="1" si="54"/>
        <v>0</v>
      </c>
      <c r="J245" s="494">
        <f t="shared" ca="1" si="55"/>
        <v>0</v>
      </c>
      <c r="K245" s="126">
        <f t="shared" ca="1" si="56"/>
        <v>0</v>
      </c>
      <c r="L245" s="126">
        <f t="shared" ca="1" si="69"/>
        <v>0</v>
      </c>
      <c r="P245">
        <v>238</v>
      </c>
      <c r="Q245" s="6">
        <f t="shared" ca="1" si="61"/>
        <v>45536</v>
      </c>
      <c r="R245" s="7" t="e">
        <f t="shared" ca="1" si="62"/>
        <v>#REF!</v>
      </c>
      <c r="S245" s="125" t="e">
        <f t="shared" ca="1" si="63"/>
        <v>#REF!</v>
      </c>
      <c r="T245" s="125" t="e">
        <f t="shared" ca="1" si="57"/>
        <v>#REF!</v>
      </c>
      <c r="U245" s="128" t="e">
        <f t="shared" ca="1" si="64"/>
        <v>#REF!</v>
      </c>
      <c r="AC245">
        <v>238</v>
      </c>
      <c r="AD245" s="6">
        <f t="shared" ca="1" si="65"/>
        <v>45536</v>
      </c>
      <c r="AE245" s="7" t="e">
        <f t="shared" ca="1" si="66"/>
        <v>#REF!</v>
      </c>
      <c r="AF245" s="125" t="e">
        <f t="shared" ca="1" si="67"/>
        <v>#REF!</v>
      </c>
      <c r="AG245" s="125" t="e">
        <f t="shared" ca="1" si="58"/>
        <v>#REF!</v>
      </c>
      <c r="AH245" s="128" t="e">
        <f t="shared" ca="1" si="68"/>
        <v>#REF!</v>
      </c>
    </row>
    <row r="246" spans="4:34">
      <c r="D246">
        <v>239</v>
      </c>
      <c r="E246" s="6">
        <f t="shared" ca="1" si="59"/>
        <v>45505</v>
      </c>
      <c r="F246" s="7">
        <f t="shared" ca="1" si="60"/>
        <v>0</v>
      </c>
      <c r="G246" s="125">
        <f t="shared" ca="1" si="53"/>
        <v>0</v>
      </c>
      <c r="H246" s="125">
        <f ca="1">IF(F246=1,F246*$B$10/MIN(12,'Simulador - 3º Pilar'!$E$88),0)</f>
        <v>0</v>
      </c>
      <c r="I246" s="128">
        <f t="shared" ca="1" si="54"/>
        <v>0</v>
      </c>
      <c r="J246" s="494">
        <f t="shared" ca="1" si="55"/>
        <v>0</v>
      </c>
      <c r="K246" s="126">
        <f t="shared" ca="1" si="56"/>
        <v>0</v>
      </c>
      <c r="L246" s="126">
        <f t="shared" ca="1" si="69"/>
        <v>0</v>
      </c>
      <c r="P246">
        <v>239</v>
      </c>
      <c r="Q246" s="6">
        <f t="shared" ca="1" si="61"/>
        <v>45505</v>
      </c>
      <c r="R246" s="7" t="e">
        <f t="shared" ca="1" si="62"/>
        <v>#REF!</v>
      </c>
      <c r="S246" s="125" t="e">
        <f t="shared" ca="1" si="63"/>
        <v>#REF!</v>
      </c>
      <c r="T246" s="125" t="e">
        <f t="shared" ca="1" si="57"/>
        <v>#REF!</v>
      </c>
      <c r="U246" s="128" t="e">
        <f t="shared" ca="1" si="64"/>
        <v>#REF!</v>
      </c>
      <c r="AC246">
        <v>239</v>
      </c>
      <c r="AD246" s="6">
        <f t="shared" ca="1" si="65"/>
        <v>45505</v>
      </c>
      <c r="AE246" s="7" t="e">
        <f t="shared" ca="1" si="66"/>
        <v>#REF!</v>
      </c>
      <c r="AF246" s="125" t="e">
        <f t="shared" ca="1" si="67"/>
        <v>#REF!</v>
      </c>
      <c r="AG246" s="125" t="e">
        <f t="shared" ca="1" si="58"/>
        <v>#REF!</v>
      </c>
      <c r="AH246" s="128" t="e">
        <f t="shared" ca="1" si="68"/>
        <v>#REF!</v>
      </c>
    </row>
    <row r="247" spans="4:34">
      <c r="D247">
        <v>240</v>
      </c>
      <c r="E247" s="6">
        <f t="shared" ca="1" si="59"/>
        <v>45474</v>
      </c>
      <c r="F247" s="7">
        <f t="shared" ca="1" si="60"/>
        <v>0</v>
      </c>
      <c r="G247" s="125">
        <f t="shared" ca="1" si="53"/>
        <v>0</v>
      </c>
      <c r="H247" s="125">
        <f ca="1">IF(F247=1,F247*$B$10/MIN(12,'Simulador - 3º Pilar'!$E$88),0)</f>
        <v>0</v>
      </c>
      <c r="I247" s="128">
        <f t="shared" ca="1" si="54"/>
        <v>0</v>
      </c>
      <c r="J247" s="494">
        <f t="shared" ca="1" si="55"/>
        <v>0</v>
      </c>
      <c r="K247" s="126">
        <f t="shared" ca="1" si="56"/>
        <v>0</v>
      </c>
      <c r="L247" s="126">
        <f t="shared" ca="1" si="69"/>
        <v>0</v>
      </c>
      <c r="P247">
        <v>240</v>
      </c>
      <c r="Q247" s="6">
        <f t="shared" ca="1" si="61"/>
        <v>45474</v>
      </c>
      <c r="R247" s="7" t="e">
        <f t="shared" ca="1" si="62"/>
        <v>#REF!</v>
      </c>
      <c r="S247" s="125" t="e">
        <f t="shared" ca="1" si="63"/>
        <v>#REF!</v>
      </c>
      <c r="T247" s="125" t="e">
        <f t="shared" ca="1" si="57"/>
        <v>#REF!</v>
      </c>
      <c r="U247" s="128" t="e">
        <f t="shared" ca="1" si="64"/>
        <v>#REF!</v>
      </c>
      <c r="AC247">
        <v>240</v>
      </c>
      <c r="AD247" s="6">
        <f t="shared" ca="1" si="65"/>
        <v>45474</v>
      </c>
      <c r="AE247" s="7" t="e">
        <f t="shared" ca="1" si="66"/>
        <v>#REF!</v>
      </c>
      <c r="AF247" s="125" t="e">
        <f t="shared" ca="1" si="67"/>
        <v>#REF!</v>
      </c>
      <c r="AG247" s="125" t="e">
        <f t="shared" ca="1" si="58"/>
        <v>#REF!</v>
      </c>
      <c r="AH247" s="128" t="e">
        <f t="shared" ca="1" si="68"/>
        <v>#REF!</v>
      </c>
    </row>
    <row r="248" spans="4:34">
      <c r="D248">
        <v>241</v>
      </c>
      <c r="E248" s="6">
        <f t="shared" ca="1" si="59"/>
        <v>45444</v>
      </c>
      <c r="F248" s="7">
        <f t="shared" ca="1" si="60"/>
        <v>0</v>
      </c>
      <c r="G248" s="125">
        <f t="shared" ca="1" si="53"/>
        <v>0</v>
      </c>
      <c r="H248" s="125">
        <f ca="1">IF(F248=1,F248*$B$10/MIN(12,'Simulador - 3º Pilar'!$E$88),0)</f>
        <v>0</v>
      </c>
      <c r="I248" s="128">
        <f t="shared" ca="1" si="54"/>
        <v>0</v>
      </c>
      <c r="J248" s="494">
        <f t="shared" ca="1" si="55"/>
        <v>0</v>
      </c>
      <c r="K248" s="126">
        <f t="shared" ca="1" si="56"/>
        <v>0</v>
      </c>
      <c r="L248" s="126">
        <f t="shared" ca="1" si="69"/>
        <v>0</v>
      </c>
      <c r="P248">
        <v>241</v>
      </c>
      <c r="Q248" s="6">
        <f t="shared" ca="1" si="61"/>
        <v>45444</v>
      </c>
      <c r="R248" s="7" t="e">
        <f t="shared" ca="1" si="62"/>
        <v>#REF!</v>
      </c>
      <c r="S248" s="125" t="e">
        <f t="shared" ca="1" si="63"/>
        <v>#REF!</v>
      </c>
      <c r="T248" s="125" t="e">
        <f t="shared" ca="1" si="57"/>
        <v>#REF!</v>
      </c>
      <c r="U248" s="128" t="e">
        <f t="shared" ca="1" si="64"/>
        <v>#REF!</v>
      </c>
      <c r="AC248">
        <v>241</v>
      </c>
      <c r="AD248" s="6">
        <f t="shared" ca="1" si="65"/>
        <v>45444</v>
      </c>
      <c r="AE248" s="7" t="e">
        <f t="shared" ca="1" si="66"/>
        <v>#REF!</v>
      </c>
      <c r="AF248" s="125" t="e">
        <f t="shared" ca="1" si="67"/>
        <v>#REF!</v>
      </c>
      <c r="AG248" s="125" t="e">
        <f t="shared" ca="1" si="58"/>
        <v>#REF!</v>
      </c>
      <c r="AH248" s="128" t="e">
        <f t="shared" ca="1" si="68"/>
        <v>#REF!</v>
      </c>
    </row>
    <row r="249" spans="4:34">
      <c r="D249">
        <v>242</v>
      </c>
      <c r="E249" s="6">
        <f t="shared" ca="1" si="59"/>
        <v>45413</v>
      </c>
      <c r="F249" s="7">
        <f t="shared" ca="1" si="60"/>
        <v>0</v>
      </c>
      <c r="G249" s="125">
        <f t="shared" ca="1" si="53"/>
        <v>0</v>
      </c>
      <c r="H249" s="125">
        <f ca="1">IF(F249=1,F249*$B$10/MIN(12,'Simulador - 3º Pilar'!$E$88),0)</f>
        <v>0</v>
      </c>
      <c r="I249" s="128">
        <f t="shared" ca="1" si="54"/>
        <v>0</v>
      </c>
      <c r="J249" s="494">
        <f t="shared" ca="1" si="55"/>
        <v>0</v>
      </c>
      <c r="K249" s="126">
        <f t="shared" ca="1" si="56"/>
        <v>0</v>
      </c>
      <c r="L249" s="126">
        <f t="shared" ca="1" si="69"/>
        <v>0</v>
      </c>
      <c r="P249">
        <v>242</v>
      </c>
      <c r="Q249" s="6">
        <f t="shared" ca="1" si="61"/>
        <v>45413</v>
      </c>
      <c r="R249" s="7" t="e">
        <f t="shared" ca="1" si="62"/>
        <v>#REF!</v>
      </c>
      <c r="S249" s="125" t="e">
        <f t="shared" ca="1" si="63"/>
        <v>#REF!</v>
      </c>
      <c r="T249" s="125" t="e">
        <f t="shared" ca="1" si="57"/>
        <v>#REF!</v>
      </c>
      <c r="U249" s="128" t="e">
        <f t="shared" ca="1" si="64"/>
        <v>#REF!</v>
      </c>
      <c r="AC249">
        <v>242</v>
      </c>
      <c r="AD249" s="6">
        <f t="shared" ca="1" si="65"/>
        <v>45413</v>
      </c>
      <c r="AE249" s="7" t="e">
        <f t="shared" ca="1" si="66"/>
        <v>#REF!</v>
      </c>
      <c r="AF249" s="125" t="e">
        <f t="shared" ca="1" si="67"/>
        <v>#REF!</v>
      </c>
      <c r="AG249" s="125" t="e">
        <f t="shared" ca="1" si="58"/>
        <v>#REF!</v>
      </c>
      <c r="AH249" s="128" t="e">
        <f t="shared" ca="1" si="68"/>
        <v>#REF!</v>
      </c>
    </row>
    <row r="250" spans="4:34">
      <c r="D250">
        <v>243</v>
      </c>
      <c r="E250" s="6">
        <f t="shared" ca="1" si="59"/>
        <v>45383</v>
      </c>
      <c r="F250" s="7">
        <f t="shared" ca="1" si="60"/>
        <v>0</v>
      </c>
      <c r="G250" s="125">
        <f t="shared" ca="1" si="53"/>
        <v>0</v>
      </c>
      <c r="H250" s="125">
        <f ca="1">IF(F250=1,F250*$B$10/MIN(12,'Simulador - 3º Pilar'!$E$88),0)</f>
        <v>0</v>
      </c>
      <c r="I250" s="128">
        <f t="shared" ca="1" si="54"/>
        <v>0</v>
      </c>
      <c r="J250" s="494">
        <f t="shared" ca="1" si="55"/>
        <v>0</v>
      </c>
      <c r="K250" s="126">
        <f t="shared" ca="1" si="56"/>
        <v>0</v>
      </c>
      <c r="L250" s="126">
        <f t="shared" ca="1" si="69"/>
        <v>0</v>
      </c>
      <c r="P250">
        <v>243</v>
      </c>
      <c r="Q250" s="6">
        <f t="shared" ca="1" si="61"/>
        <v>45383</v>
      </c>
      <c r="R250" s="7" t="e">
        <f t="shared" ca="1" si="62"/>
        <v>#REF!</v>
      </c>
      <c r="S250" s="125" t="e">
        <f t="shared" ca="1" si="63"/>
        <v>#REF!</v>
      </c>
      <c r="T250" s="125" t="e">
        <f t="shared" ca="1" si="57"/>
        <v>#REF!</v>
      </c>
      <c r="U250" s="128" t="e">
        <f t="shared" ca="1" si="64"/>
        <v>#REF!</v>
      </c>
      <c r="AC250">
        <v>243</v>
      </c>
      <c r="AD250" s="6">
        <f t="shared" ca="1" si="65"/>
        <v>45383</v>
      </c>
      <c r="AE250" s="7" t="e">
        <f t="shared" ca="1" si="66"/>
        <v>#REF!</v>
      </c>
      <c r="AF250" s="125" t="e">
        <f t="shared" ca="1" si="67"/>
        <v>#REF!</v>
      </c>
      <c r="AG250" s="125" t="e">
        <f t="shared" ca="1" si="58"/>
        <v>#REF!</v>
      </c>
      <c r="AH250" s="128" t="e">
        <f t="shared" ca="1" si="68"/>
        <v>#REF!</v>
      </c>
    </row>
    <row r="251" spans="4:34">
      <c r="D251">
        <v>244</v>
      </c>
      <c r="E251" s="6">
        <f t="shared" ca="1" si="59"/>
        <v>45352</v>
      </c>
      <c r="F251" s="7">
        <f t="shared" ca="1" si="60"/>
        <v>0</v>
      </c>
      <c r="G251" s="125">
        <f t="shared" ca="1" si="53"/>
        <v>0</v>
      </c>
      <c r="H251" s="125">
        <f ca="1">IF(F251=1,F251*$B$10/MIN(12,'Simulador - 3º Pilar'!$E$88),0)</f>
        <v>0</v>
      </c>
      <c r="I251" s="128">
        <f t="shared" ca="1" si="54"/>
        <v>0</v>
      </c>
      <c r="J251" s="494">
        <f t="shared" ca="1" si="55"/>
        <v>0</v>
      </c>
      <c r="K251" s="126">
        <f t="shared" ca="1" si="56"/>
        <v>0</v>
      </c>
      <c r="L251" s="126">
        <f t="shared" ca="1" si="69"/>
        <v>0</v>
      </c>
      <c r="P251">
        <v>244</v>
      </c>
      <c r="Q251" s="6">
        <f t="shared" ca="1" si="61"/>
        <v>45352</v>
      </c>
      <c r="R251" s="7" t="e">
        <f t="shared" ca="1" si="62"/>
        <v>#REF!</v>
      </c>
      <c r="S251" s="125" t="e">
        <f t="shared" ca="1" si="63"/>
        <v>#REF!</v>
      </c>
      <c r="T251" s="125" t="e">
        <f t="shared" ca="1" si="57"/>
        <v>#REF!</v>
      </c>
      <c r="U251" s="128" t="e">
        <f t="shared" ca="1" si="64"/>
        <v>#REF!</v>
      </c>
      <c r="AC251">
        <v>244</v>
      </c>
      <c r="AD251" s="6">
        <f t="shared" ca="1" si="65"/>
        <v>45352</v>
      </c>
      <c r="AE251" s="7" t="e">
        <f t="shared" ca="1" si="66"/>
        <v>#REF!</v>
      </c>
      <c r="AF251" s="125" t="e">
        <f t="shared" ca="1" si="67"/>
        <v>#REF!</v>
      </c>
      <c r="AG251" s="125" t="e">
        <f t="shared" ca="1" si="58"/>
        <v>#REF!</v>
      </c>
      <c r="AH251" s="128" t="e">
        <f t="shared" ca="1" si="68"/>
        <v>#REF!</v>
      </c>
    </row>
    <row r="252" spans="4:34">
      <c r="D252">
        <v>245</v>
      </c>
      <c r="E252" s="6">
        <f t="shared" ca="1" si="59"/>
        <v>45323</v>
      </c>
      <c r="F252" s="7">
        <f t="shared" ca="1" si="60"/>
        <v>0</v>
      </c>
      <c r="G252" s="125">
        <f t="shared" ca="1" si="53"/>
        <v>0</v>
      </c>
      <c r="H252" s="125">
        <f ca="1">IF(F252=1,F252*$B$10/MIN(12,'Simulador - 3º Pilar'!$E$88),0)</f>
        <v>0</v>
      </c>
      <c r="I252" s="128">
        <f t="shared" ca="1" si="54"/>
        <v>0</v>
      </c>
      <c r="J252" s="494">
        <f t="shared" ca="1" si="55"/>
        <v>0</v>
      </c>
      <c r="K252" s="126">
        <f t="shared" ca="1" si="56"/>
        <v>0</v>
      </c>
      <c r="L252" s="126">
        <f t="shared" ca="1" si="69"/>
        <v>0</v>
      </c>
      <c r="P252">
        <v>245</v>
      </c>
      <c r="Q252" s="6">
        <f t="shared" ca="1" si="61"/>
        <v>45323</v>
      </c>
      <c r="R252" s="7" t="e">
        <f t="shared" ca="1" si="62"/>
        <v>#REF!</v>
      </c>
      <c r="S252" s="125" t="e">
        <f t="shared" ca="1" si="63"/>
        <v>#REF!</v>
      </c>
      <c r="T252" s="125" t="e">
        <f t="shared" ca="1" si="57"/>
        <v>#REF!</v>
      </c>
      <c r="U252" s="128" t="e">
        <f t="shared" ca="1" si="64"/>
        <v>#REF!</v>
      </c>
      <c r="AC252">
        <v>245</v>
      </c>
      <c r="AD252" s="6">
        <f t="shared" ca="1" si="65"/>
        <v>45323</v>
      </c>
      <c r="AE252" s="7" t="e">
        <f t="shared" ca="1" si="66"/>
        <v>#REF!</v>
      </c>
      <c r="AF252" s="125" t="e">
        <f t="shared" ca="1" si="67"/>
        <v>#REF!</v>
      </c>
      <c r="AG252" s="125" t="e">
        <f t="shared" ca="1" si="58"/>
        <v>#REF!</v>
      </c>
      <c r="AH252" s="128" t="e">
        <f t="shared" ca="1" si="68"/>
        <v>#REF!</v>
      </c>
    </row>
    <row r="253" spans="4:34">
      <c r="D253">
        <v>246</v>
      </c>
      <c r="E253" s="6">
        <f t="shared" ca="1" si="59"/>
        <v>45292</v>
      </c>
      <c r="F253" s="7">
        <f t="shared" ca="1" si="60"/>
        <v>0</v>
      </c>
      <c r="G253" s="125">
        <f t="shared" ca="1" si="53"/>
        <v>0</v>
      </c>
      <c r="H253" s="125">
        <f ca="1">IF(F253=1,F253*$B$10/MIN(12,'Simulador - 3º Pilar'!$E$88),0)</f>
        <v>0</v>
      </c>
      <c r="I253" s="128">
        <f t="shared" ca="1" si="54"/>
        <v>0</v>
      </c>
      <c r="J253" s="494">
        <f t="shared" ca="1" si="55"/>
        <v>0</v>
      </c>
      <c r="K253" s="126">
        <f t="shared" ca="1" si="56"/>
        <v>0</v>
      </c>
      <c r="L253" s="126">
        <f t="shared" ca="1" si="69"/>
        <v>0</v>
      </c>
      <c r="P253">
        <v>246</v>
      </c>
      <c r="Q253" s="6">
        <f t="shared" ca="1" si="61"/>
        <v>45292</v>
      </c>
      <c r="R253" s="7" t="e">
        <f t="shared" ca="1" si="62"/>
        <v>#REF!</v>
      </c>
      <c r="S253" s="125" t="e">
        <f t="shared" ca="1" si="63"/>
        <v>#REF!</v>
      </c>
      <c r="T253" s="125" t="e">
        <f t="shared" ca="1" si="57"/>
        <v>#REF!</v>
      </c>
      <c r="U253" s="128" t="e">
        <f t="shared" ca="1" si="64"/>
        <v>#REF!</v>
      </c>
      <c r="AC253">
        <v>246</v>
      </c>
      <c r="AD253" s="6">
        <f t="shared" ca="1" si="65"/>
        <v>45292</v>
      </c>
      <c r="AE253" s="7" t="e">
        <f t="shared" ca="1" si="66"/>
        <v>#REF!</v>
      </c>
      <c r="AF253" s="125" t="e">
        <f t="shared" ca="1" si="67"/>
        <v>#REF!</v>
      </c>
      <c r="AG253" s="125" t="e">
        <f t="shared" ca="1" si="58"/>
        <v>#REF!</v>
      </c>
      <c r="AH253" s="128" t="e">
        <f t="shared" ca="1" si="68"/>
        <v>#REF!</v>
      </c>
    </row>
    <row r="254" spans="4:34">
      <c r="D254">
        <v>247</v>
      </c>
      <c r="E254" s="6">
        <f t="shared" ca="1" si="59"/>
        <v>45261</v>
      </c>
      <c r="F254" s="7">
        <f t="shared" ca="1" si="60"/>
        <v>0</v>
      </c>
      <c r="G254" s="125">
        <f t="shared" ca="1" si="53"/>
        <v>0</v>
      </c>
      <c r="H254" s="125">
        <f ca="1">IF(F254=1,F254*$B$10/MIN(12,'Simulador - 3º Pilar'!$E$88),0)</f>
        <v>0</v>
      </c>
      <c r="I254" s="128">
        <f t="shared" ca="1" si="54"/>
        <v>0</v>
      </c>
      <c r="J254" s="494">
        <f t="shared" ca="1" si="55"/>
        <v>0</v>
      </c>
      <c r="K254" s="126">
        <f t="shared" ca="1" si="56"/>
        <v>0</v>
      </c>
      <c r="L254" s="126">
        <f t="shared" ca="1" si="69"/>
        <v>0</v>
      </c>
      <c r="P254">
        <v>247</v>
      </c>
      <c r="Q254" s="6">
        <f t="shared" ca="1" si="61"/>
        <v>45261</v>
      </c>
      <c r="R254" s="7" t="e">
        <f t="shared" ca="1" si="62"/>
        <v>#REF!</v>
      </c>
      <c r="S254" s="125" t="e">
        <f t="shared" ca="1" si="63"/>
        <v>#REF!</v>
      </c>
      <c r="T254" s="125" t="e">
        <f t="shared" ca="1" si="57"/>
        <v>#REF!</v>
      </c>
      <c r="U254" s="128" t="e">
        <f t="shared" ca="1" si="64"/>
        <v>#REF!</v>
      </c>
      <c r="AC254">
        <v>247</v>
      </c>
      <c r="AD254" s="6">
        <f t="shared" ca="1" si="65"/>
        <v>45261</v>
      </c>
      <c r="AE254" s="7" t="e">
        <f t="shared" ca="1" si="66"/>
        <v>#REF!</v>
      </c>
      <c r="AF254" s="125" t="e">
        <f t="shared" ca="1" si="67"/>
        <v>#REF!</v>
      </c>
      <c r="AG254" s="125" t="e">
        <f t="shared" ca="1" si="58"/>
        <v>#REF!</v>
      </c>
      <c r="AH254" s="128" t="e">
        <f t="shared" ca="1" si="68"/>
        <v>#REF!</v>
      </c>
    </row>
    <row r="255" spans="4:34">
      <c r="D255">
        <v>248</v>
      </c>
      <c r="E255" s="6">
        <f t="shared" ca="1" si="59"/>
        <v>45231</v>
      </c>
      <c r="F255" s="7">
        <f t="shared" ca="1" si="60"/>
        <v>0</v>
      </c>
      <c r="G255" s="125">
        <f t="shared" ca="1" si="53"/>
        <v>0</v>
      </c>
      <c r="H255" s="125">
        <f ca="1">IF(F255=1,F255*$B$10/MIN(12,'Simulador - 3º Pilar'!$E$88),0)</f>
        <v>0</v>
      </c>
      <c r="I255" s="128">
        <f t="shared" ca="1" si="54"/>
        <v>0</v>
      </c>
      <c r="J255" s="494">
        <f t="shared" ca="1" si="55"/>
        <v>0</v>
      </c>
      <c r="K255" s="126">
        <f t="shared" ca="1" si="56"/>
        <v>0</v>
      </c>
      <c r="L255" s="126">
        <f t="shared" ca="1" si="69"/>
        <v>0</v>
      </c>
      <c r="P255">
        <v>248</v>
      </c>
      <c r="Q255" s="6">
        <f t="shared" ca="1" si="61"/>
        <v>45231</v>
      </c>
      <c r="R255" s="7" t="e">
        <f t="shared" ca="1" si="62"/>
        <v>#REF!</v>
      </c>
      <c r="S255" s="125" t="e">
        <f t="shared" ca="1" si="63"/>
        <v>#REF!</v>
      </c>
      <c r="T255" s="125" t="e">
        <f t="shared" ca="1" si="57"/>
        <v>#REF!</v>
      </c>
      <c r="U255" s="128" t="e">
        <f t="shared" ca="1" si="64"/>
        <v>#REF!</v>
      </c>
      <c r="AC255">
        <v>248</v>
      </c>
      <c r="AD255" s="6">
        <f t="shared" ca="1" si="65"/>
        <v>45231</v>
      </c>
      <c r="AE255" s="7" t="e">
        <f t="shared" ca="1" si="66"/>
        <v>#REF!</v>
      </c>
      <c r="AF255" s="125" t="e">
        <f t="shared" ca="1" si="67"/>
        <v>#REF!</v>
      </c>
      <c r="AG255" s="125" t="e">
        <f t="shared" ca="1" si="58"/>
        <v>#REF!</v>
      </c>
      <c r="AH255" s="128" t="e">
        <f t="shared" ca="1" si="68"/>
        <v>#REF!</v>
      </c>
    </row>
    <row r="256" spans="4:34">
      <c r="D256">
        <v>249</v>
      </c>
      <c r="E256" s="6">
        <f t="shared" ca="1" si="59"/>
        <v>45200</v>
      </c>
      <c r="F256" s="7">
        <f t="shared" ca="1" si="60"/>
        <v>0</v>
      </c>
      <c r="G256" s="125">
        <f t="shared" ca="1" si="53"/>
        <v>0</v>
      </c>
      <c r="H256" s="125">
        <f ca="1">IF(F256=1,F256*$B$10/MIN(12,'Simulador - 3º Pilar'!$E$88),0)</f>
        <v>0</v>
      </c>
      <c r="I256" s="128">
        <f t="shared" ca="1" si="54"/>
        <v>0</v>
      </c>
      <c r="J256" s="494">
        <f t="shared" ca="1" si="55"/>
        <v>0</v>
      </c>
      <c r="K256" s="126">
        <f t="shared" ca="1" si="56"/>
        <v>0</v>
      </c>
      <c r="L256" s="126">
        <f t="shared" ca="1" si="69"/>
        <v>0</v>
      </c>
      <c r="P256">
        <v>249</v>
      </c>
      <c r="Q256" s="6">
        <f t="shared" ca="1" si="61"/>
        <v>45200</v>
      </c>
      <c r="R256" s="7" t="e">
        <f t="shared" ca="1" si="62"/>
        <v>#REF!</v>
      </c>
      <c r="S256" s="125" t="e">
        <f t="shared" ca="1" si="63"/>
        <v>#REF!</v>
      </c>
      <c r="T256" s="125" t="e">
        <f t="shared" ca="1" si="57"/>
        <v>#REF!</v>
      </c>
      <c r="U256" s="128" t="e">
        <f t="shared" ca="1" si="64"/>
        <v>#REF!</v>
      </c>
      <c r="AC256">
        <v>249</v>
      </c>
      <c r="AD256" s="6">
        <f t="shared" ca="1" si="65"/>
        <v>45200</v>
      </c>
      <c r="AE256" s="7" t="e">
        <f t="shared" ca="1" si="66"/>
        <v>#REF!</v>
      </c>
      <c r="AF256" s="125" t="e">
        <f t="shared" ca="1" si="67"/>
        <v>#REF!</v>
      </c>
      <c r="AG256" s="125" t="e">
        <f t="shared" ca="1" si="58"/>
        <v>#REF!</v>
      </c>
      <c r="AH256" s="128" t="e">
        <f t="shared" ca="1" si="68"/>
        <v>#REF!</v>
      </c>
    </row>
    <row r="257" spans="4:34">
      <c r="D257">
        <v>250</v>
      </c>
      <c r="E257" s="6">
        <f t="shared" ca="1" si="59"/>
        <v>45170</v>
      </c>
      <c r="F257" s="7">
        <f t="shared" ca="1" si="60"/>
        <v>0</v>
      </c>
      <c r="G257" s="125">
        <f t="shared" ca="1" si="53"/>
        <v>0</v>
      </c>
      <c r="H257" s="125">
        <f ca="1">IF(F257=1,F257*$B$10/MIN(12,'Simulador - 3º Pilar'!$E$88),0)</f>
        <v>0</v>
      </c>
      <c r="I257" s="128">
        <f t="shared" ca="1" si="54"/>
        <v>0</v>
      </c>
      <c r="J257" s="494">
        <f t="shared" ca="1" si="55"/>
        <v>0</v>
      </c>
      <c r="K257" s="126">
        <f t="shared" ca="1" si="56"/>
        <v>0</v>
      </c>
      <c r="L257" s="126">
        <f t="shared" ca="1" si="69"/>
        <v>0</v>
      </c>
      <c r="P257">
        <v>250</v>
      </c>
      <c r="Q257" s="6">
        <f t="shared" ca="1" si="61"/>
        <v>45170</v>
      </c>
      <c r="R257" s="7" t="e">
        <f t="shared" ca="1" si="62"/>
        <v>#REF!</v>
      </c>
      <c r="S257" s="125" t="e">
        <f t="shared" ca="1" si="63"/>
        <v>#REF!</v>
      </c>
      <c r="T257" s="125" t="e">
        <f t="shared" ca="1" si="57"/>
        <v>#REF!</v>
      </c>
      <c r="U257" s="128" t="e">
        <f t="shared" ca="1" si="64"/>
        <v>#REF!</v>
      </c>
      <c r="AC257">
        <v>250</v>
      </c>
      <c r="AD257" s="6">
        <f t="shared" ca="1" si="65"/>
        <v>45170</v>
      </c>
      <c r="AE257" s="7" t="e">
        <f t="shared" ca="1" si="66"/>
        <v>#REF!</v>
      </c>
      <c r="AF257" s="125" t="e">
        <f t="shared" ca="1" si="67"/>
        <v>#REF!</v>
      </c>
      <c r="AG257" s="125" t="e">
        <f t="shared" ca="1" si="58"/>
        <v>#REF!</v>
      </c>
      <c r="AH257" s="128" t="e">
        <f t="shared" ca="1" si="68"/>
        <v>#REF!</v>
      </c>
    </row>
    <row r="258" spans="4:34">
      <c r="D258">
        <v>251</v>
      </c>
      <c r="E258" s="6">
        <f t="shared" ca="1" si="59"/>
        <v>45139</v>
      </c>
      <c r="F258" s="7">
        <f t="shared" ca="1" si="60"/>
        <v>0</v>
      </c>
      <c r="G258" s="125">
        <f t="shared" ca="1" si="53"/>
        <v>0</v>
      </c>
      <c r="H258" s="125">
        <f ca="1">IF(F258=1,F258*$B$10/MIN(12,'Simulador - 3º Pilar'!$E$88),0)</f>
        <v>0</v>
      </c>
      <c r="I258" s="128">
        <f t="shared" ca="1" si="54"/>
        <v>0</v>
      </c>
      <c r="J258" s="494">
        <f t="shared" ca="1" si="55"/>
        <v>0</v>
      </c>
      <c r="K258" s="126">
        <f t="shared" ca="1" si="56"/>
        <v>0</v>
      </c>
      <c r="L258" s="126">
        <f t="shared" ca="1" si="69"/>
        <v>0</v>
      </c>
      <c r="P258">
        <v>251</v>
      </c>
      <c r="Q258" s="6">
        <f t="shared" ca="1" si="61"/>
        <v>45139</v>
      </c>
      <c r="R258" s="7" t="e">
        <f t="shared" ca="1" si="62"/>
        <v>#REF!</v>
      </c>
      <c r="S258" s="125" t="e">
        <f t="shared" ca="1" si="63"/>
        <v>#REF!</v>
      </c>
      <c r="T258" s="125" t="e">
        <f t="shared" ca="1" si="57"/>
        <v>#REF!</v>
      </c>
      <c r="U258" s="128" t="e">
        <f t="shared" ca="1" si="64"/>
        <v>#REF!</v>
      </c>
      <c r="AC258">
        <v>251</v>
      </c>
      <c r="AD258" s="6">
        <f t="shared" ca="1" si="65"/>
        <v>45139</v>
      </c>
      <c r="AE258" s="7" t="e">
        <f t="shared" ca="1" si="66"/>
        <v>#REF!</v>
      </c>
      <c r="AF258" s="125" t="e">
        <f t="shared" ca="1" si="67"/>
        <v>#REF!</v>
      </c>
      <c r="AG258" s="125" t="e">
        <f t="shared" ca="1" si="58"/>
        <v>#REF!</v>
      </c>
      <c r="AH258" s="128" t="e">
        <f t="shared" ca="1" si="68"/>
        <v>#REF!</v>
      </c>
    </row>
    <row r="259" spans="4:34">
      <c r="D259">
        <v>252</v>
      </c>
      <c r="E259" s="6">
        <f t="shared" ca="1" si="59"/>
        <v>45108</v>
      </c>
      <c r="F259" s="7">
        <f t="shared" ca="1" si="60"/>
        <v>0</v>
      </c>
      <c r="G259" s="125">
        <f t="shared" ca="1" si="53"/>
        <v>0</v>
      </c>
      <c r="H259" s="125">
        <f ca="1">IF(F259=1,F259*$B$10/MIN(12,'Simulador - 3º Pilar'!$E$88),0)</f>
        <v>0</v>
      </c>
      <c r="I259" s="128">
        <f t="shared" ca="1" si="54"/>
        <v>0</v>
      </c>
      <c r="J259" s="494">
        <f t="shared" ca="1" si="55"/>
        <v>0</v>
      </c>
      <c r="K259" s="126">
        <f t="shared" ca="1" si="56"/>
        <v>0</v>
      </c>
      <c r="L259" s="126">
        <f t="shared" ca="1" si="69"/>
        <v>0</v>
      </c>
      <c r="P259">
        <v>252</v>
      </c>
      <c r="Q259" s="6">
        <f t="shared" ca="1" si="61"/>
        <v>45108</v>
      </c>
      <c r="R259" s="7" t="e">
        <f t="shared" ca="1" si="62"/>
        <v>#REF!</v>
      </c>
      <c r="S259" s="125" t="e">
        <f t="shared" ca="1" si="63"/>
        <v>#REF!</v>
      </c>
      <c r="T259" s="125" t="e">
        <f t="shared" ca="1" si="57"/>
        <v>#REF!</v>
      </c>
      <c r="U259" s="128" t="e">
        <f t="shared" ca="1" si="64"/>
        <v>#REF!</v>
      </c>
      <c r="AC259">
        <v>252</v>
      </c>
      <c r="AD259" s="6">
        <f t="shared" ca="1" si="65"/>
        <v>45108</v>
      </c>
      <c r="AE259" s="7" t="e">
        <f t="shared" ca="1" si="66"/>
        <v>#REF!</v>
      </c>
      <c r="AF259" s="125" t="e">
        <f t="shared" ca="1" si="67"/>
        <v>#REF!</v>
      </c>
      <c r="AG259" s="125" t="e">
        <f t="shared" ca="1" si="58"/>
        <v>#REF!</v>
      </c>
      <c r="AH259" s="128" t="e">
        <f t="shared" ca="1" si="68"/>
        <v>#REF!</v>
      </c>
    </row>
    <row r="260" spans="4:34">
      <c r="D260">
        <v>253</v>
      </c>
      <c r="E260" s="6">
        <f t="shared" ca="1" si="59"/>
        <v>45078</v>
      </c>
      <c r="F260" s="7">
        <f t="shared" ca="1" si="60"/>
        <v>0</v>
      </c>
      <c r="G260" s="125">
        <f t="shared" ca="1" si="53"/>
        <v>0</v>
      </c>
      <c r="H260" s="125">
        <f ca="1">IF(F260=1,F260*$B$10/MIN(12,'Simulador - 3º Pilar'!$E$88),0)</f>
        <v>0</v>
      </c>
      <c r="I260" s="128">
        <f t="shared" ca="1" si="54"/>
        <v>0</v>
      </c>
      <c r="J260" s="494">
        <f t="shared" ca="1" si="55"/>
        <v>0</v>
      </c>
      <c r="K260" s="126">
        <f t="shared" ca="1" si="56"/>
        <v>0</v>
      </c>
      <c r="L260" s="126">
        <f t="shared" ca="1" si="69"/>
        <v>0</v>
      </c>
      <c r="P260">
        <v>253</v>
      </c>
      <c r="Q260" s="6">
        <f t="shared" ca="1" si="61"/>
        <v>45078</v>
      </c>
      <c r="R260" s="7" t="e">
        <f t="shared" ca="1" si="62"/>
        <v>#REF!</v>
      </c>
      <c r="S260" s="125" t="e">
        <f t="shared" ca="1" si="63"/>
        <v>#REF!</v>
      </c>
      <c r="T260" s="125" t="e">
        <f t="shared" ca="1" si="57"/>
        <v>#REF!</v>
      </c>
      <c r="U260" s="128" t="e">
        <f t="shared" ca="1" si="64"/>
        <v>#REF!</v>
      </c>
      <c r="AC260">
        <v>253</v>
      </c>
      <c r="AD260" s="6">
        <f t="shared" ca="1" si="65"/>
        <v>45078</v>
      </c>
      <c r="AE260" s="7" t="e">
        <f t="shared" ca="1" si="66"/>
        <v>#REF!</v>
      </c>
      <c r="AF260" s="125" t="e">
        <f t="shared" ca="1" si="67"/>
        <v>#REF!</v>
      </c>
      <c r="AG260" s="125" t="e">
        <f t="shared" ca="1" si="58"/>
        <v>#REF!</v>
      </c>
      <c r="AH260" s="128" t="e">
        <f t="shared" ca="1" si="68"/>
        <v>#REF!</v>
      </c>
    </row>
    <row r="261" spans="4:34">
      <c r="D261">
        <v>254</v>
      </c>
      <c r="E261" s="6">
        <f t="shared" ca="1" si="59"/>
        <v>45047</v>
      </c>
      <c r="F261" s="7">
        <f t="shared" ca="1" si="60"/>
        <v>0</v>
      </c>
      <c r="G261" s="125">
        <f t="shared" ca="1" si="53"/>
        <v>0</v>
      </c>
      <c r="H261" s="125">
        <f ca="1">IF(F261=1,F261*$B$10/MIN(12,'Simulador - 3º Pilar'!$E$88),0)</f>
        <v>0</v>
      </c>
      <c r="I261" s="128">
        <f t="shared" ca="1" si="54"/>
        <v>0</v>
      </c>
      <c r="J261" s="494">
        <f t="shared" ca="1" si="55"/>
        <v>0</v>
      </c>
      <c r="K261" s="126">
        <f t="shared" ca="1" si="56"/>
        <v>0</v>
      </c>
      <c r="L261" s="126">
        <f t="shared" ca="1" si="69"/>
        <v>0</v>
      </c>
      <c r="P261">
        <v>254</v>
      </c>
      <c r="Q261" s="6">
        <f t="shared" ca="1" si="61"/>
        <v>45047</v>
      </c>
      <c r="R261" s="7" t="e">
        <f t="shared" ca="1" si="62"/>
        <v>#REF!</v>
      </c>
      <c r="S261" s="125" t="e">
        <f t="shared" ca="1" si="63"/>
        <v>#REF!</v>
      </c>
      <c r="T261" s="125" t="e">
        <f t="shared" ca="1" si="57"/>
        <v>#REF!</v>
      </c>
      <c r="U261" s="128" t="e">
        <f t="shared" ca="1" si="64"/>
        <v>#REF!</v>
      </c>
      <c r="AC261">
        <v>254</v>
      </c>
      <c r="AD261" s="6">
        <f t="shared" ca="1" si="65"/>
        <v>45047</v>
      </c>
      <c r="AE261" s="7" t="e">
        <f t="shared" ca="1" si="66"/>
        <v>#REF!</v>
      </c>
      <c r="AF261" s="125" t="e">
        <f t="shared" ca="1" si="67"/>
        <v>#REF!</v>
      </c>
      <c r="AG261" s="125" t="e">
        <f t="shared" ca="1" si="58"/>
        <v>#REF!</v>
      </c>
      <c r="AH261" s="128" t="e">
        <f t="shared" ca="1" si="68"/>
        <v>#REF!</v>
      </c>
    </row>
    <row r="262" spans="4:34">
      <c r="D262">
        <v>255</v>
      </c>
      <c r="E262" s="6">
        <f t="shared" ca="1" si="59"/>
        <v>45017</v>
      </c>
      <c r="F262" s="7">
        <f t="shared" ca="1" si="60"/>
        <v>0</v>
      </c>
      <c r="G262" s="125">
        <f t="shared" ca="1" si="53"/>
        <v>0</v>
      </c>
      <c r="H262" s="125">
        <f ca="1">IF(F262=1,F262*$B$10/MIN(12,'Simulador - 3º Pilar'!$E$88),0)</f>
        <v>0</v>
      </c>
      <c r="I262" s="128">
        <f t="shared" ca="1" si="54"/>
        <v>0</v>
      </c>
      <c r="J262" s="494">
        <f t="shared" ca="1" si="55"/>
        <v>0</v>
      </c>
      <c r="K262" s="126">
        <f t="shared" ca="1" si="56"/>
        <v>0</v>
      </c>
      <c r="L262" s="126">
        <f t="shared" ca="1" si="69"/>
        <v>0</v>
      </c>
      <c r="P262">
        <v>255</v>
      </c>
      <c r="Q262" s="6">
        <f t="shared" ca="1" si="61"/>
        <v>45017</v>
      </c>
      <c r="R262" s="7" t="e">
        <f t="shared" ca="1" si="62"/>
        <v>#REF!</v>
      </c>
      <c r="S262" s="125" t="e">
        <f t="shared" ca="1" si="63"/>
        <v>#REF!</v>
      </c>
      <c r="T262" s="125" t="e">
        <f t="shared" ca="1" si="57"/>
        <v>#REF!</v>
      </c>
      <c r="U262" s="128" t="e">
        <f t="shared" ca="1" si="64"/>
        <v>#REF!</v>
      </c>
      <c r="AC262">
        <v>255</v>
      </c>
      <c r="AD262" s="6">
        <f t="shared" ca="1" si="65"/>
        <v>45017</v>
      </c>
      <c r="AE262" s="7" t="e">
        <f t="shared" ca="1" si="66"/>
        <v>#REF!</v>
      </c>
      <c r="AF262" s="125" t="e">
        <f t="shared" ca="1" si="67"/>
        <v>#REF!</v>
      </c>
      <c r="AG262" s="125" t="e">
        <f t="shared" ca="1" si="58"/>
        <v>#REF!</v>
      </c>
      <c r="AH262" s="128" t="e">
        <f t="shared" ca="1" si="68"/>
        <v>#REF!</v>
      </c>
    </row>
    <row r="263" spans="4:34">
      <c r="D263">
        <v>256</v>
      </c>
      <c r="E263" s="6">
        <f t="shared" ca="1" si="59"/>
        <v>44986</v>
      </c>
      <c r="F263" s="7">
        <f t="shared" ca="1" si="60"/>
        <v>0</v>
      </c>
      <c r="G263" s="125">
        <f t="shared" ca="1" si="53"/>
        <v>0</v>
      </c>
      <c r="H263" s="125">
        <f ca="1">IF(F263=1,F263*$B$10/MIN(12,'Simulador - 3º Pilar'!$E$88),0)</f>
        <v>0</v>
      </c>
      <c r="I263" s="128">
        <f t="shared" ca="1" si="54"/>
        <v>0</v>
      </c>
      <c r="J263" s="494">
        <f t="shared" ca="1" si="55"/>
        <v>0</v>
      </c>
      <c r="K263" s="126">
        <f t="shared" ca="1" si="56"/>
        <v>0</v>
      </c>
      <c r="L263" s="126">
        <f t="shared" ca="1" si="69"/>
        <v>0</v>
      </c>
      <c r="P263">
        <v>256</v>
      </c>
      <c r="Q263" s="6">
        <f t="shared" ca="1" si="61"/>
        <v>44986</v>
      </c>
      <c r="R263" s="7" t="e">
        <f t="shared" ca="1" si="62"/>
        <v>#REF!</v>
      </c>
      <c r="S263" s="125" t="e">
        <f t="shared" ca="1" si="63"/>
        <v>#REF!</v>
      </c>
      <c r="T263" s="125" t="e">
        <f t="shared" ca="1" si="57"/>
        <v>#REF!</v>
      </c>
      <c r="U263" s="128" t="e">
        <f t="shared" ca="1" si="64"/>
        <v>#REF!</v>
      </c>
      <c r="AC263">
        <v>256</v>
      </c>
      <c r="AD263" s="6">
        <f t="shared" ca="1" si="65"/>
        <v>44986</v>
      </c>
      <c r="AE263" s="7" t="e">
        <f t="shared" ca="1" si="66"/>
        <v>#REF!</v>
      </c>
      <c r="AF263" s="125" t="e">
        <f t="shared" ca="1" si="67"/>
        <v>#REF!</v>
      </c>
      <c r="AG263" s="125" t="e">
        <f t="shared" ca="1" si="58"/>
        <v>#REF!</v>
      </c>
      <c r="AH263" s="128" t="e">
        <f t="shared" ca="1" si="68"/>
        <v>#REF!</v>
      </c>
    </row>
    <row r="264" spans="4:34">
      <c r="D264">
        <v>257</v>
      </c>
      <c r="E264" s="6">
        <f t="shared" ca="1" si="59"/>
        <v>44958</v>
      </c>
      <c r="F264" s="7">
        <f t="shared" ca="1" si="60"/>
        <v>0</v>
      </c>
      <c r="G264" s="125">
        <f t="shared" ref="G264:G327" ca="1" si="70">F264*$B$8/12</f>
        <v>0</v>
      </c>
      <c r="H264" s="125">
        <f ca="1">IF(F264=1,F264*$B$10/MIN(12,'Simulador - 3º Pilar'!$E$88),0)</f>
        <v>0</v>
      </c>
      <c r="I264" s="128">
        <f t="shared" ref="I264:I327" ca="1" si="71">(1+$G$5)^(D264/12)*(H264+IF(E264=$N$7,$N$4,0))</f>
        <v>0</v>
      </c>
      <c r="J264" s="494">
        <f t="shared" ref="J264:J327" ca="1" si="72">(1+$G$5)^(D264/12)*(H264*(12-IF(MONTH(E265)=12,0,MONTH(E265)))+IF(AND(F264=1,F265=0),$Q$4,0))*IF(AND(F264=1,F265=0),1,0)</f>
        <v>0</v>
      </c>
      <c r="K264" s="126">
        <f t="shared" ref="K264:K327" ca="1" si="73">(1+$G$5)^(D264/12)*(IF(E264=$N$7,$N$4,0)+IF(E264=$C$6,$B$10,0))</f>
        <v>0</v>
      </c>
      <c r="L264" s="126">
        <f t="shared" ca="1" si="69"/>
        <v>0</v>
      </c>
      <c r="P264">
        <v>257</v>
      </c>
      <c r="Q264" s="6">
        <f t="shared" ca="1" si="61"/>
        <v>44958</v>
      </c>
      <c r="R264" s="7" t="e">
        <f t="shared" ca="1" si="62"/>
        <v>#REF!</v>
      </c>
      <c r="S264" s="125" t="e">
        <f t="shared" ca="1" si="63"/>
        <v>#REF!</v>
      </c>
      <c r="T264" s="125" t="e">
        <f t="shared" ref="T264:T327" ca="1" si="74">R264*$B$11/12</f>
        <v>#REF!</v>
      </c>
      <c r="U264" s="128" t="e">
        <f t="shared" ca="1" si="64"/>
        <v>#REF!</v>
      </c>
      <c r="AC264">
        <v>257</v>
      </c>
      <c r="AD264" s="6">
        <f t="shared" ca="1" si="65"/>
        <v>44958</v>
      </c>
      <c r="AE264" s="7" t="e">
        <f t="shared" ca="1" si="66"/>
        <v>#REF!</v>
      </c>
      <c r="AF264" s="125" t="e">
        <f t="shared" ca="1" si="67"/>
        <v>#REF!</v>
      </c>
      <c r="AG264" s="125" t="e">
        <f t="shared" ref="AG264:AG327" ca="1" si="75">AE264*$B$12/12</f>
        <v>#REF!</v>
      </c>
      <c r="AH264" s="128" t="e">
        <f t="shared" ca="1" si="68"/>
        <v>#REF!</v>
      </c>
    </row>
    <row r="265" spans="4:34">
      <c r="D265">
        <v>258</v>
      </c>
      <c r="E265" s="6">
        <f t="shared" ref="E265:E315" ca="1" si="76">+DATE(YEAR(E264),MONTH(E264)-1,DAY(E264))</f>
        <v>44927</v>
      </c>
      <c r="F265" s="7">
        <f t="shared" ref="F265:F328" ca="1" si="77">IF($C$6=$E265,1,IF(MONTH($E265)=1,F266*(1+$F$5),F266))</f>
        <v>0</v>
      </c>
      <c r="G265" s="125">
        <f t="shared" ca="1" si="70"/>
        <v>0</v>
      </c>
      <c r="H265" s="125">
        <f ca="1">IF(F265=1,F265*$B$10/MIN(12,'Simulador - 3º Pilar'!$E$88),0)</f>
        <v>0</v>
      </c>
      <c r="I265" s="128">
        <f t="shared" ca="1" si="71"/>
        <v>0</v>
      </c>
      <c r="J265" s="494">
        <f t="shared" ca="1" si="72"/>
        <v>0</v>
      </c>
      <c r="K265" s="126">
        <f t="shared" ca="1" si="73"/>
        <v>0</v>
      </c>
      <c r="L265" s="126">
        <f t="shared" ca="1" si="69"/>
        <v>0</v>
      </c>
      <c r="P265">
        <v>258</v>
      </c>
      <c r="Q265" s="6">
        <f t="shared" ref="Q265:Q315" ca="1" si="78">+DATE(YEAR(Q264),MONTH(Q264)-1,DAY(Q264))</f>
        <v>44927</v>
      </c>
      <c r="R265" s="7" t="e">
        <f t="shared" ref="R265:R328" ca="1" si="79">IF($Z$7=$E265,1,IF(MONTH($E265)=1,R266*(1+$F$5),R266))</f>
        <v>#REF!</v>
      </c>
      <c r="S265" s="125" t="e">
        <f t="shared" ref="S265:S328" ca="1" si="80">R265*$B$8/12</f>
        <v>#REF!</v>
      </c>
      <c r="T265" s="125" t="e">
        <f t="shared" ca="1" si="74"/>
        <v>#REF!</v>
      </c>
      <c r="U265" s="128" t="e">
        <f t="shared" ref="U265:U328" ca="1" si="81">(1+$V$5)^(P265/12)*(T265+IF(Q265=$Z$7,$Z$4,0))</f>
        <v>#REF!</v>
      </c>
      <c r="AC265">
        <v>258</v>
      </c>
      <c r="AD265" s="6">
        <f t="shared" ref="AD265:AD315" ca="1" si="82">+DATE(YEAR(AD264),MONTH(AD264)-1,DAY(AD264))</f>
        <v>44927</v>
      </c>
      <c r="AE265" s="7" t="e">
        <f t="shared" ref="AE265:AE328" ca="1" si="83">IF($AM$7=$E265,1,IF(MONTH($E265)=1,AE266*(1+$F$5),AE266))</f>
        <v>#REF!</v>
      </c>
      <c r="AF265" s="125" t="e">
        <f t="shared" ref="AF265:AF328" ca="1" si="84">AE265*$B$8/12</f>
        <v>#REF!</v>
      </c>
      <c r="AG265" s="125" t="e">
        <f t="shared" ca="1" si="75"/>
        <v>#REF!</v>
      </c>
      <c r="AH265" s="128" t="e">
        <f t="shared" ref="AH265:AH328" ca="1" si="85">(1+$AI$5)^(AC265/12)*(AG265+IF(AD265=$AM$7,$AM$4,0))</f>
        <v>#REF!</v>
      </c>
    </row>
    <row r="266" spans="4:34">
      <c r="D266">
        <v>259</v>
      </c>
      <c r="E266" s="6">
        <f t="shared" ca="1" si="76"/>
        <v>44896</v>
      </c>
      <c r="F266" s="7">
        <f t="shared" ca="1" si="77"/>
        <v>0</v>
      </c>
      <c r="G266" s="125">
        <f t="shared" ca="1" si="70"/>
        <v>0</v>
      </c>
      <c r="H266" s="125">
        <f ca="1">IF(F266=1,F266*$B$10/MIN(12,'Simulador - 3º Pilar'!$E$88),0)</f>
        <v>0</v>
      </c>
      <c r="I266" s="128">
        <f t="shared" ca="1" si="71"/>
        <v>0</v>
      </c>
      <c r="J266" s="494">
        <f t="shared" ca="1" si="72"/>
        <v>0</v>
      </c>
      <c r="K266" s="126">
        <f t="shared" ca="1" si="73"/>
        <v>0</v>
      </c>
      <c r="L266" s="126">
        <f t="shared" ca="1" si="69"/>
        <v>0</v>
      </c>
      <c r="P266">
        <v>259</v>
      </c>
      <c r="Q266" s="6">
        <f t="shared" ca="1" si="78"/>
        <v>44896</v>
      </c>
      <c r="R266" s="7" t="e">
        <f t="shared" ca="1" si="79"/>
        <v>#REF!</v>
      </c>
      <c r="S266" s="125" t="e">
        <f t="shared" ca="1" si="80"/>
        <v>#REF!</v>
      </c>
      <c r="T266" s="125" t="e">
        <f t="shared" ca="1" si="74"/>
        <v>#REF!</v>
      </c>
      <c r="U266" s="128" t="e">
        <f t="shared" ca="1" si="81"/>
        <v>#REF!</v>
      </c>
      <c r="AC266">
        <v>259</v>
      </c>
      <c r="AD266" s="6">
        <f t="shared" ca="1" si="82"/>
        <v>44896</v>
      </c>
      <c r="AE266" s="7" t="e">
        <f t="shared" ca="1" si="83"/>
        <v>#REF!</v>
      </c>
      <c r="AF266" s="125" t="e">
        <f t="shared" ca="1" si="84"/>
        <v>#REF!</v>
      </c>
      <c r="AG266" s="125" t="e">
        <f t="shared" ca="1" si="75"/>
        <v>#REF!</v>
      </c>
      <c r="AH266" s="128" t="e">
        <f t="shared" ca="1" si="85"/>
        <v>#REF!</v>
      </c>
    </row>
    <row r="267" spans="4:34">
      <c r="D267">
        <v>260</v>
      </c>
      <c r="E267" s="6">
        <f t="shared" ca="1" si="76"/>
        <v>44866</v>
      </c>
      <c r="F267" s="7">
        <f t="shared" ca="1" si="77"/>
        <v>0</v>
      </c>
      <c r="G267" s="125">
        <f t="shared" ca="1" si="70"/>
        <v>0</v>
      </c>
      <c r="H267" s="125">
        <f ca="1">IF(F267=1,F267*$B$10/MIN(12,'Simulador - 3º Pilar'!$E$88),0)</f>
        <v>0</v>
      </c>
      <c r="I267" s="128">
        <f t="shared" ca="1" si="71"/>
        <v>0</v>
      </c>
      <c r="J267" s="494">
        <f t="shared" ca="1" si="72"/>
        <v>0</v>
      </c>
      <c r="K267" s="126">
        <f t="shared" ca="1" si="73"/>
        <v>0</v>
      </c>
      <c r="L267" s="126">
        <f t="shared" ca="1" si="69"/>
        <v>0</v>
      </c>
      <c r="P267">
        <v>260</v>
      </c>
      <c r="Q267" s="6">
        <f t="shared" ca="1" si="78"/>
        <v>44866</v>
      </c>
      <c r="R267" s="7" t="e">
        <f t="shared" ca="1" si="79"/>
        <v>#REF!</v>
      </c>
      <c r="S267" s="125" t="e">
        <f t="shared" ca="1" si="80"/>
        <v>#REF!</v>
      </c>
      <c r="T267" s="125" t="e">
        <f t="shared" ca="1" si="74"/>
        <v>#REF!</v>
      </c>
      <c r="U267" s="128" t="e">
        <f t="shared" ca="1" si="81"/>
        <v>#REF!</v>
      </c>
      <c r="AC267">
        <v>260</v>
      </c>
      <c r="AD267" s="6">
        <f t="shared" ca="1" si="82"/>
        <v>44866</v>
      </c>
      <c r="AE267" s="7" t="e">
        <f t="shared" ca="1" si="83"/>
        <v>#REF!</v>
      </c>
      <c r="AF267" s="125" t="e">
        <f t="shared" ca="1" si="84"/>
        <v>#REF!</v>
      </c>
      <c r="AG267" s="125" t="e">
        <f t="shared" ca="1" si="75"/>
        <v>#REF!</v>
      </c>
      <c r="AH267" s="128" t="e">
        <f t="shared" ca="1" si="85"/>
        <v>#REF!</v>
      </c>
    </row>
    <row r="268" spans="4:34">
      <c r="D268">
        <v>261</v>
      </c>
      <c r="E268" s="6">
        <f t="shared" ca="1" si="76"/>
        <v>44835</v>
      </c>
      <c r="F268" s="7">
        <f t="shared" ca="1" si="77"/>
        <v>0</v>
      </c>
      <c r="G268" s="125">
        <f t="shared" ca="1" si="70"/>
        <v>0</v>
      </c>
      <c r="H268" s="125">
        <f ca="1">IF(F268=1,F268*$B$10/MIN(12,'Simulador - 3º Pilar'!$E$88),0)</f>
        <v>0</v>
      </c>
      <c r="I268" s="128">
        <f t="shared" ca="1" si="71"/>
        <v>0</v>
      </c>
      <c r="J268" s="494">
        <f t="shared" ca="1" si="72"/>
        <v>0</v>
      </c>
      <c r="K268" s="126">
        <f t="shared" ca="1" si="73"/>
        <v>0</v>
      </c>
      <c r="L268" s="126">
        <f t="shared" ca="1" si="69"/>
        <v>0</v>
      </c>
      <c r="P268">
        <v>261</v>
      </c>
      <c r="Q268" s="6">
        <f t="shared" ca="1" si="78"/>
        <v>44835</v>
      </c>
      <c r="R268" s="7" t="e">
        <f t="shared" ca="1" si="79"/>
        <v>#REF!</v>
      </c>
      <c r="S268" s="125" t="e">
        <f t="shared" ca="1" si="80"/>
        <v>#REF!</v>
      </c>
      <c r="T268" s="125" t="e">
        <f t="shared" ca="1" si="74"/>
        <v>#REF!</v>
      </c>
      <c r="U268" s="128" t="e">
        <f t="shared" ca="1" si="81"/>
        <v>#REF!</v>
      </c>
      <c r="AC268">
        <v>261</v>
      </c>
      <c r="AD268" s="6">
        <f t="shared" ca="1" si="82"/>
        <v>44835</v>
      </c>
      <c r="AE268" s="7" t="e">
        <f t="shared" ca="1" si="83"/>
        <v>#REF!</v>
      </c>
      <c r="AF268" s="125" t="e">
        <f t="shared" ca="1" si="84"/>
        <v>#REF!</v>
      </c>
      <c r="AG268" s="125" t="e">
        <f t="shared" ca="1" si="75"/>
        <v>#REF!</v>
      </c>
      <c r="AH268" s="128" t="e">
        <f t="shared" ca="1" si="85"/>
        <v>#REF!</v>
      </c>
    </row>
    <row r="269" spans="4:34">
      <c r="D269">
        <v>262</v>
      </c>
      <c r="E269" s="6">
        <f t="shared" ca="1" si="76"/>
        <v>44805</v>
      </c>
      <c r="F269" s="7">
        <f t="shared" ca="1" si="77"/>
        <v>0</v>
      </c>
      <c r="G269" s="125">
        <f t="shared" ca="1" si="70"/>
        <v>0</v>
      </c>
      <c r="H269" s="125">
        <f ca="1">IF(F269=1,F269*$B$10/MIN(12,'Simulador - 3º Pilar'!$E$88),0)</f>
        <v>0</v>
      </c>
      <c r="I269" s="128">
        <f t="shared" ca="1" si="71"/>
        <v>0</v>
      </c>
      <c r="J269" s="494">
        <f t="shared" ca="1" si="72"/>
        <v>0</v>
      </c>
      <c r="K269" s="126">
        <f t="shared" ca="1" si="73"/>
        <v>0</v>
      </c>
      <c r="L269" s="126">
        <f t="shared" ca="1" si="69"/>
        <v>0</v>
      </c>
      <c r="P269">
        <v>262</v>
      </c>
      <c r="Q269" s="6">
        <f t="shared" ca="1" si="78"/>
        <v>44805</v>
      </c>
      <c r="R269" s="7" t="e">
        <f t="shared" ca="1" si="79"/>
        <v>#REF!</v>
      </c>
      <c r="S269" s="125" t="e">
        <f t="shared" ca="1" si="80"/>
        <v>#REF!</v>
      </c>
      <c r="T269" s="125" t="e">
        <f t="shared" ca="1" si="74"/>
        <v>#REF!</v>
      </c>
      <c r="U269" s="128" t="e">
        <f t="shared" ca="1" si="81"/>
        <v>#REF!</v>
      </c>
      <c r="AC269">
        <v>262</v>
      </c>
      <c r="AD269" s="6">
        <f t="shared" ca="1" si="82"/>
        <v>44805</v>
      </c>
      <c r="AE269" s="7" t="e">
        <f t="shared" ca="1" si="83"/>
        <v>#REF!</v>
      </c>
      <c r="AF269" s="125" t="e">
        <f t="shared" ca="1" si="84"/>
        <v>#REF!</v>
      </c>
      <c r="AG269" s="125" t="e">
        <f t="shared" ca="1" si="75"/>
        <v>#REF!</v>
      </c>
      <c r="AH269" s="128" t="e">
        <f t="shared" ca="1" si="85"/>
        <v>#REF!</v>
      </c>
    </row>
    <row r="270" spans="4:34">
      <c r="D270">
        <v>263</v>
      </c>
      <c r="E270" s="6">
        <f t="shared" ca="1" si="76"/>
        <v>44774</v>
      </c>
      <c r="F270" s="7">
        <f t="shared" ca="1" si="77"/>
        <v>0</v>
      </c>
      <c r="G270" s="125">
        <f t="shared" ca="1" si="70"/>
        <v>0</v>
      </c>
      <c r="H270" s="125">
        <f ca="1">IF(F270=1,F270*$B$10/MIN(12,'Simulador - 3º Pilar'!$E$88),0)</f>
        <v>0</v>
      </c>
      <c r="I270" s="128">
        <f t="shared" ca="1" si="71"/>
        <v>0</v>
      </c>
      <c r="J270" s="494">
        <f t="shared" ca="1" si="72"/>
        <v>0</v>
      </c>
      <c r="K270" s="126">
        <f t="shared" ca="1" si="73"/>
        <v>0</v>
      </c>
      <c r="L270" s="126">
        <f t="shared" ca="1" si="69"/>
        <v>0</v>
      </c>
      <c r="P270">
        <v>263</v>
      </c>
      <c r="Q270" s="6">
        <f t="shared" ca="1" si="78"/>
        <v>44774</v>
      </c>
      <c r="R270" s="7" t="e">
        <f t="shared" ca="1" si="79"/>
        <v>#REF!</v>
      </c>
      <c r="S270" s="125" t="e">
        <f t="shared" ca="1" si="80"/>
        <v>#REF!</v>
      </c>
      <c r="T270" s="125" t="e">
        <f t="shared" ca="1" si="74"/>
        <v>#REF!</v>
      </c>
      <c r="U270" s="128" t="e">
        <f t="shared" ca="1" si="81"/>
        <v>#REF!</v>
      </c>
      <c r="AC270">
        <v>263</v>
      </c>
      <c r="AD270" s="6">
        <f t="shared" ca="1" si="82"/>
        <v>44774</v>
      </c>
      <c r="AE270" s="7" t="e">
        <f t="shared" ca="1" si="83"/>
        <v>#REF!</v>
      </c>
      <c r="AF270" s="125" t="e">
        <f t="shared" ca="1" si="84"/>
        <v>#REF!</v>
      </c>
      <c r="AG270" s="125" t="e">
        <f t="shared" ca="1" si="75"/>
        <v>#REF!</v>
      </c>
      <c r="AH270" s="128" t="e">
        <f t="shared" ca="1" si="85"/>
        <v>#REF!</v>
      </c>
    </row>
    <row r="271" spans="4:34">
      <c r="D271">
        <v>264</v>
      </c>
      <c r="E271" s="6">
        <f t="shared" ca="1" si="76"/>
        <v>44743</v>
      </c>
      <c r="F271" s="7">
        <f t="shared" ca="1" si="77"/>
        <v>0</v>
      </c>
      <c r="G271" s="125">
        <f t="shared" ca="1" si="70"/>
        <v>0</v>
      </c>
      <c r="H271" s="125">
        <f ca="1">IF(F271=1,F271*$B$10/MIN(12,'Simulador - 3º Pilar'!$E$88),0)</f>
        <v>0</v>
      </c>
      <c r="I271" s="128">
        <f t="shared" ca="1" si="71"/>
        <v>0</v>
      </c>
      <c r="J271" s="494">
        <f t="shared" ca="1" si="72"/>
        <v>0</v>
      </c>
      <c r="K271" s="126">
        <f t="shared" ca="1" si="73"/>
        <v>0</v>
      </c>
      <c r="L271" s="126">
        <f t="shared" ca="1" si="69"/>
        <v>0</v>
      </c>
      <c r="P271">
        <v>264</v>
      </c>
      <c r="Q271" s="6">
        <f t="shared" ca="1" si="78"/>
        <v>44743</v>
      </c>
      <c r="R271" s="7" t="e">
        <f t="shared" ca="1" si="79"/>
        <v>#REF!</v>
      </c>
      <c r="S271" s="125" t="e">
        <f t="shared" ca="1" si="80"/>
        <v>#REF!</v>
      </c>
      <c r="T271" s="125" t="e">
        <f t="shared" ca="1" si="74"/>
        <v>#REF!</v>
      </c>
      <c r="U271" s="128" t="e">
        <f t="shared" ca="1" si="81"/>
        <v>#REF!</v>
      </c>
      <c r="AC271">
        <v>264</v>
      </c>
      <c r="AD271" s="6">
        <f t="shared" ca="1" si="82"/>
        <v>44743</v>
      </c>
      <c r="AE271" s="7" t="e">
        <f t="shared" ca="1" si="83"/>
        <v>#REF!</v>
      </c>
      <c r="AF271" s="125" t="e">
        <f t="shared" ca="1" si="84"/>
        <v>#REF!</v>
      </c>
      <c r="AG271" s="125" t="e">
        <f t="shared" ca="1" si="75"/>
        <v>#REF!</v>
      </c>
      <c r="AH271" s="128" t="e">
        <f t="shared" ca="1" si="85"/>
        <v>#REF!</v>
      </c>
    </row>
    <row r="272" spans="4:34">
      <c r="D272">
        <v>265</v>
      </c>
      <c r="E272" s="6">
        <f t="shared" ca="1" si="76"/>
        <v>44713</v>
      </c>
      <c r="F272" s="7">
        <f t="shared" ca="1" si="77"/>
        <v>0</v>
      </c>
      <c r="G272" s="125">
        <f t="shared" ca="1" si="70"/>
        <v>0</v>
      </c>
      <c r="H272" s="125">
        <f ca="1">IF(F272=1,F272*$B$10/MIN(12,'Simulador - 3º Pilar'!$E$88),0)</f>
        <v>0</v>
      </c>
      <c r="I272" s="128">
        <f t="shared" ca="1" si="71"/>
        <v>0</v>
      </c>
      <c r="J272" s="494">
        <f t="shared" ca="1" si="72"/>
        <v>0</v>
      </c>
      <c r="K272" s="126">
        <f t="shared" ca="1" si="73"/>
        <v>0</v>
      </c>
      <c r="L272" s="126">
        <f t="shared" ca="1" si="69"/>
        <v>0</v>
      </c>
      <c r="P272">
        <v>265</v>
      </c>
      <c r="Q272" s="6">
        <f t="shared" ca="1" si="78"/>
        <v>44713</v>
      </c>
      <c r="R272" s="7" t="e">
        <f t="shared" ca="1" si="79"/>
        <v>#REF!</v>
      </c>
      <c r="S272" s="125" t="e">
        <f t="shared" ca="1" si="80"/>
        <v>#REF!</v>
      </c>
      <c r="T272" s="125" t="e">
        <f t="shared" ca="1" si="74"/>
        <v>#REF!</v>
      </c>
      <c r="U272" s="128" t="e">
        <f t="shared" ca="1" si="81"/>
        <v>#REF!</v>
      </c>
      <c r="AC272">
        <v>265</v>
      </c>
      <c r="AD272" s="6">
        <f t="shared" ca="1" si="82"/>
        <v>44713</v>
      </c>
      <c r="AE272" s="7" t="e">
        <f t="shared" ca="1" si="83"/>
        <v>#REF!</v>
      </c>
      <c r="AF272" s="125" t="e">
        <f t="shared" ca="1" si="84"/>
        <v>#REF!</v>
      </c>
      <c r="AG272" s="125" t="e">
        <f t="shared" ca="1" si="75"/>
        <v>#REF!</v>
      </c>
      <c r="AH272" s="128" t="e">
        <f t="shared" ca="1" si="85"/>
        <v>#REF!</v>
      </c>
    </row>
    <row r="273" spans="4:34">
      <c r="D273">
        <v>266</v>
      </c>
      <c r="E273" s="6">
        <f t="shared" ca="1" si="76"/>
        <v>44682</v>
      </c>
      <c r="F273" s="7">
        <f t="shared" ca="1" si="77"/>
        <v>0</v>
      </c>
      <c r="G273" s="125">
        <f t="shared" ca="1" si="70"/>
        <v>0</v>
      </c>
      <c r="H273" s="125">
        <f ca="1">IF(F273=1,F273*$B$10/MIN(12,'Simulador - 3º Pilar'!$E$88),0)</f>
        <v>0</v>
      </c>
      <c r="I273" s="128">
        <f t="shared" ca="1" si="71"/>
        <v>0</v>
      </c>
      <c r="J273" s="494">
        <f t="shared" ca="1" si="72"/>
        <v>0</v>
      </c>
      <c r="K273" s="126">
        <f t="shared" ca="1" si="73"/>
        <v>0</v>
      </c>
      <c r="L273" s="126">
        <f t="shared" ca="1" si="69"/>
        <v>0</v>
      </c>
      <c r="P273">
        <v>266</v>
      </c>
      <c r="Q273" s="6">
        <f t="shared" ca="1" si="78"/>
        <v>44682</v>
      </c>
      <c r="R273" s="7" t="e">
        <f t="shared" ca="1" si="79"/>
        <v>#REF!</v>
      </c>
      <c r="S273" s="125" t="e">
        <f t="shared" ca="1" si="80"/>
        <v>#REF!</v>
      </c>
      <c r="T273" s="125" t="e">
        <f t="shared" ca="1" si="74"/>
        <v>#REF!</v>
      </c>
      <c r="U273" s="128" t="e">
        <f t="shared" ca="1" si="81"/>
        <v>#REF!</v>
      </c>
      <c r="AC273">
        <v>266</v>
      </c>
      <c r="AD273" s="6">
        <f t="shared" ca="1" si="82"/>
        <v>44682</v>
      </c>
      <c r="AE273" s="7" t="e">
        <f t="shared" ca="1" si="83"/>
        <v>#REF!</v>
      </c>
      <c r="AF273" s="125" t="e">
        <f t="shared" ca="1" si="84"/>
        <v>#REF!</v>
      </c>
      <c r="AG273" s="125" t="e">
        <f t="shared" ca="1" si="75"/>
        <v>#REF!</v>
      </c>
      <c r="AH273" s="128" t="e">
        <f t="shared" ca="1" si="85"/>
        <v>#REF!</v>
      </c>
    </row>
    <row r="274" spans="4:34">
      <c r="D274">
        <v>267</v>
      </c>
      <c r="E274" s="6">
        <f t="shared" ca="1" si="76"/>
        <v>44652</v>
      </c>
      <c r="F274" s="7">
        <f t="shared" ca="1" si="77"/>
        <v>0</v>
      </c>
      <c r="G274" s="125">
        <f t="shared" ca="1" si="70"/>
        <v>0</v>
      </c>
      <c r="H274" s="125">
        <f ca="1">IF(F274=1,F274*$B$10/MIN(12,'Simulador - 3º Pilar'!$E$88),0)</f>
        <v>0</v>
      </c>
      <c r="I274" s="128">
        <f t="shared" ca="1" si="71"/>
        <v>0</v>
      </c>
      <c r="J274" s="494">
        <f t="shared" ca="1" si="72"/>
        <v>0</v>
      </c>
      <c r="K274" s="126">
        <f t="shared" ca="1" si="73"/>
        <v>0</v>
      </c>
      <c r="L274" s="126">
        <f t="shared" ca="1" si="69"/>
        <v>0</v>
      </c>
      <c r="P274">
        <v>267</v>
      </c>
      <c r="Q274" s="6">
        <f t="shared" ca="1" si="78"/>
        <v>44652</v>
      </c>
      <c r="R274" s="7" t="e">
        <f t="shared" ca="1" si="79"/>
        <v>#REF!</v>
      </c>
      <c r="S274" s="125" t="e">
        <f t="shared" ca="1" si="80"/>
        <v>#REF!</v>
      </c>
      <c r="T274" s="125" t="e">
        <f t="shared" ca="1" si="74"/>
        <v>#REF!</v>
      </c>
      <c r="U274" s="128" t="e">
        <f t="shared" ca="1" si="81"/>
        <v>#REF!</v>
      </c>
      <c r="AC274">
        <v>267</v>
      </c>
      <c r="AD274" s="6">
        <f t="shared" ca="1" si="82"/>
        <v>44652</v>
      </c>
      <c r="AE274" s="7" t="e">
        <f t="shared" ca="1" si="83"/>
        <v>#REF!</v>
      </c>
      <c r="AF274" s="125" t="e">
        <f t="shared" ca="1" si="84"/>
        <v>#REF!</v>
      </c>
      <c r="AG274" s="125" t="e">
        <f t="shared" ca="1" si="75"/>
        <v>#REF!</v>
      </c>
      <c r="AH274" s="128" t="e">
        <f t="shared" ca="1" si="85"/>
        <v>#REF!</v>
      </c>
    </row>
    <row r="275" spans="4:34">
      <c r="D275">
        <v>268</v>
      </c>
      <c r="E275" s="6">
        <f t="shared" ca="1" si="76"/>
        <v>44621</v>
      </c>
      <c r="F275" s="7">
        <f t="shared" ca="1" si="77"/>
        <v>0</v>
      </c>
      <c r="G275" s="125">
        <f t="shared" ca="1" si="70"/>
        <v>0</v>
      </c>
      <c r="H275" s="125">
        <f ca="1">IF(F275=1,F275*$B$10/MIN(12,'Simulador - 3º Pilar'!$E$88),0)</f>
        <v>0</v>
      </c>
      <c r="I275" s="128">
        <f t="shared" ca="1" si="71"/>
        <v>0</v>
      </c>
      <c r="J275" s="494">
        <f t="shared" ca="1" si="72"/>
        <v>0</v>
      </c>
      <c r="K275" s="126">
        <f t="shared" ca="1" si="73"/>
        <v>0</v>
      </c>
      <c r="L275" s="126">
        <f t="shared" ca="1" si="69"/>
        <v>0</v>
      </c>
      <c r="P275">
        <v>268</v>
      </c>
      <c r="Q275" s="6">
        <f t="shared" ca="1" si="78"/>
        <v>44621</v>
      </c>
      <c r="R275" s="7" t="e">
        <f t="shared" ca="1" si="79"/>
        <v>#REF!</v>
      </c>
      <c r="S275" s="125" t="e">
        <f t="shared" ca="1" si="80"/>
        <v>#REF!</v>
      </c>
      <c r="T275" s="125" t="e">
        <f t="shared" ca="1" si="74"/>
        <v>#REF!</v>
      </c>
      <c r="U275" s="128" t="e">
        <f t="shared" ca="1" si="81"/>
        <v>#REF!</v>
      </c>
      <c r="AC275">
        <v>268</v>
      </c>
      <c r="AD275" s="6">
        <f t="shared" ca="1" si="82"/>
        <v>44621</v>
      </c>
      <c r="AE275" s="7" t="e">
        <f t="shared" ca="1" si="83"/>
        <v>#REF!</v>
      </c>
      <c r="AF275" s="125" t="e">
        <f t="shared" ca="1" si="84"/>
        <v>#REF!</v>
      </c>
      <c r="AG275" s="125" t="e">
        <f t="shared" ca="1" si="75"/>
        <v>#REF!</v>
      </c>
      <c r="AH275" s="128" t="e">
        <f t="shared" ca="1" si="85"/>
        <v>#REF!</v>
      </c>
    </row>
    <row r="276" spans="4:34">
      <c r="D276">
        <v>269</v>
      </c>
      <c r="E276" s="6">
        <f t="shared" ca="1" si="76"/>
        <v>44593</v>
      </c>
      <c r="F276" s="7">
        <f t="shared" ca="1" si="77"/>
        <v>0</v>
      </c>
      <c r="G276" s="125">
        <f t="shared" ca="1" si="70"/>
        <v>0</v>
      </c>
      <c r="H276" s="125">
        <f ca="1">IF(F276=1,F276*$B$10/MIN(12,'Simulador - 3º Pilar'!$E$88),0)</f>
        <v>0</v>
      </c>
      <c r="I276" s="128">
        <f t="shared" ca="1" si="71"/>
        <v>0</v>
      </c>
      <c r="J276" s="494">
        <f t="shared" ca="1" si="72"/>
        <v>0</v>
      </c>
      <c r="K276" s="126">
        <f t="shared" ca="1" si="73"/>
        <v>0</v>
      </c>
      <c r="L276" s="126">
        <f t="shared" ca="1" si="69"/>
        <v>0</v>
      </c>
      <c r="P276">
        <v>269</v>
      </c>
      <c r="Q276" s="6">
        <f t="shared" ca="1" si="78"/>
        <v>44593</v>
      </c>
      <c r="R276" s="7" t="e">
        <f t="shared" ca="1" si="79"/>
        <v>#REF!</v>
      </c>
      <c r="S276" s="125" t="e">
        <f t="shared" ca="1" si="80"/>
        <v>#REF!</v>
      </c>
      <c r="T276" s="125" t="e">
        <f t="shared" ca="1" si="74"/>
        <v>#REF!</v>
      </c>
      <c r="U276" s="128" t="e">
        <f t="shared" ca="1" si="81"/>
        <v>#REF!</v>
      </c>
      <c r="AC276">
        <v>269</v>
      </c>
      <c r="AD276" s="6">
        <f t="shared" ca="1" si="82"/>
        <v>44593</v>
      </c>
      <c r="AE276" s="7" t="e">
        <f t="shared" ca="1" si="83"/>
        <v>#REF!</v>
      </c>
      <c r="AF276" s="125" t="e">
        <f t="shared" ca="1" si="84"/>
        <v>#REF!</v>
      </c>
      <c r="AG276" s="125" t="e">
        <f t="shared" ca="1" si="75"/>
        <v>#REF!</v>
      </c>
      <c r="AH276" s="128" t="e">
        <f t="shared" ca="1" si="85"/>
        <v>#REF!</v>
      </c>
    </row>
    <row r="277" spans="4:34">
      <c r="D277">
        <v>270</v>
      </c>
      <c r="E277" s="6">
        <f t="shared" ca="1" si="76"/>
        <v>44562</v>
      </c>
      <c r="F277" s="7">
        <f t="shared" ca="1" si="77"/>
        <v>0</v>
      </c>
      <c r="G277" s="125">
        <f t="shared" ca="1" si="70"/>
        <v>0</v>
      </c>
      <c r="H277" s="125">
        <f ca="1">IF(F277=1,F277*$B$10/MIN(12,'Simulador - 3º Pilar'!$E$88),0)</f>
        <v>0</v>
      </c>
      <c r="I277" s="128">
        <f t="shared" ca="1" si="71"/>
        <v>0</v>
      </c>
      <c r="J277" s="494">
        <f t="shared" ca="1" si="72"/>
        <v>0</v>
      </c>
      <c r="K277" s="126">
        <f t="shared" ca="1" si="73"/>
        <v>0</v>
      </c>
      <c r="L277" s="126">
        <f t="shared" ca="1" si="69"/>
        <v>0</v>
      </c>
      <c r="P277">
        <v>270</v>
      </c>
      <c r="Q277" s="6">
        <f t="shared" ca="1" si="78"/>
        <v>44562</v>
      </c>
      <c r="R277" s="7" t="e">
        <f t="shared" ca="1" si="79"/>
        <v>#REF!</v>
      </c>
      <c r="S277" s="125" t="e">
        <f t="shared" ca="1" si="80"/>
        <v>#REF!</v>
      </c>
      <c r="T277" s="125" t="e">
        <f t="shared" ca="1" si="74"/>
        <v>#REF!</v>
      </c>
      <c r="U277" s="128" t="e">
        <f t="shared" ca="1" si="81"/>
        <v>#REF!</v>
      </c>
      <c r="AC277">
        <v>270</v>
      </c>
      <c r="AD277" s="6">
        <f t="shared" ca="1" si="82"/>
        <v>44562</v>
      </c>
      <c r="AE277" s="7" t="e">
        <f t="shared" ca="1" si="83"/>
        <v>#REF!</v>
      </c>
      <c r="AF277" s="125" t="e">
        <f t="shared" ca="1" si="84"/>
        <v>#REF!</v>
      </c>
      <c r="AG277" s="125" t="e">
        <f t="shared" ca="1" si="75"/>
        <v>#REF!</v>
      </c>
      <c r="AH277" s="128" t="e">
        <f t="shared" ca="1" si="85"/>
        <v>#REF!</v>
      </c>
    </row>
    <row r="278" spans="4:34">
      <c r="D278">
        <v>271</v>
      </c>
      <c r="E278" s="6">
        <f t="shared" ca="1" si="76"/>
        <v>44531</v>
      </c>
      <c r="F278" s="7">
        <f t="shared" ca="1" si="77"/>
        <v>0</v>
      </c>
      <c r="G278" s="125">
        <f t="shared" ca="1" si="70"/>
        <v>0</v>
      </c>
      <c r="H278" s="125">
        <f ca="1">IF(F278=1,F278*$B$10/MIN(12,'Simulador - 3º Pilar'!$E$88),0)</f>
        <v>0</v>
      </c>
      <c r="I278" s="128">
        <f t="shared" ca="1" si="71"/>
        <v>0</v>
      </c>
      <c r="J278" s="494">
        <f t="shared" ca="1" si="72"/>
        <v>0</v>
      </c>
      <c r="K278" s="126">
        <f t="shared" ca="1" si="73"/>
        <v>0</v>
      </c>
      <c r="L278" s="126">
        <f t="shared" ca="1" si="69"/>
        <v>0</v>
      </c>
      <c r="P278">
        <v>271</v>
      </c>
      <c r="Q278" s="6">
        <f t="shared" ca="1" si="78"/>
        <v>44531</v>
      </c>
      <c r="R278" s="7" t="e">
        <f t="shared" ca="1" si="79"/>
        <v>#REF!</v>
      </c>
      <c r="S278" s="125" t="e">
        <f t="shared" ca="1" si="80"/>
        <v>#REF!</v>
      </c>
      <c r="T278" s="125" t="e">
        <f t="shared" ca="1" si="74"/>
        <v>#REF!</v>
      </c>
      <c r="U278" s="128" t="e">
        <f t="shared" ca="1" si="81"/>
        <v>#REF!</v>
      </c>
      <c r="AC278">
        <v>271</v>
      </c>
      <c r="AD278" s="6">
        <f t="shared" ca="1" si="82"/>
        <v>44531</v>
      </c>
      <c r="AE278" s="7" t="e">
        <f t="shared" ca="1" si="83"/>
        <v>#REF!</v>
      </c>
      <c r="AF278" s="125" t="e">
        <f t="shared" ca="1" si="84"/>
        <v>#REF!</v>
      </c>
      <c r="AG278" s="125" t="e">
        <f t="shared" ca="1" si="75"/>
        <v>#REF!</v>
      </c>
      <c r="AH278" s="128" t="e">
        <f t="shared" ca="1" si="85"/>
        <v>#REF!</v>
      </c>
    </row>
    <row r="279" spans="4:34">
      <c r="D279">
        <v>272</v>
      </c>
      <c r="E279" s="6">
        <f t="shared" ca="1" si="76"/>
        <v>44501</v>
      </c>
      <c r="F279" s="7">
        <f t="shared" ca="1" si="77"/>
        <v>0</v>
      </c>
      <c r="G279" s="125">
        <f t="shared" ca="1" si="70"/>
        <v>0</v>
      </c>
      <c r="H279" s="125">
        <f ca="1">IF(F279=1,F279*$B$10/MIN(12,'Simulador - 3º Pilar'!$E$88),0)</f>
        <v>0</v>
      </c>
      <c r="I279" s="128">
        <f t="shared" ca="1" si="71"/>
        <v>0</v>
      </c>
      <c r="J279" s="494">
        <f t="shared" ca="1" si="72"/>
        <v>0</v>
      </c>
      <c r="K279" s="126">
        <f t="shared" ca="1" si="73"/>
        <v>0</v>
      </c>
      <c r="L279" s="126">
        <f t="shared" ca="1" si="69"/>
        <v>0</v>
      </c>
      <c r="P279">
        <v>272</v>
      </c>
      <c r="Q279" s="6">
        <f t="shared" ca="1" si="78"/>
        <v>44501</v>
      </c>
      <c r="R279" s="7" t="e">
        <f t="shared" ca="1" si="79"/>
        <v>#REF!</v>
      </c>
      <c r="S279" s="125" t="e">
        <f t="shared" ca="1" si="80"/>
        <v>#REF!</v>
      </c>
      <c r="T279" s="125" t="e">
        <f t="shared" ca="1" si="74"/>
        <v>#REF!</v>
      </c>
      <c r="U279" s="128" t="e">
        <f t="shared" ca="1" si="81"/>
        <v>#REF!</v>
      </c>
      <c r="AC279">
        <v>272</v>
      </c>
      <c r="AD279" s="6">
        <f t="shared" ca="1" si="82"/>
        <v>44501</v>
      </c>
      <c r="AE279" s="7" t="e">
        <f t="shared" ca="1" si="83"/>
        <v>#REF!</v>
      </c>
      <c r="AF279" s="125" t="e">
        <f t="shared" ca="1" si="84"/>
        <v>#REF!</v>
      </c>
      <c r="AG279" s="125" t="e">
        <f t="shared" ca="1" si="75"/>
        <v>#REF!</v>
      </c>
      <c r="AH279" s="128" t="e">
        <f t="shared" ca="1" si="85"/>
        <v>#REF!</v>
      </c>
    </row>
    <row r="280" spans="4:34">
      <c r="D280">
        <v>273</v>
      </c>
      <c r="E280" s="6">
        <f t="shared" ca="1" si="76"/>
        <v>44470</v>
      </c>
      <c r="F280" s="7">
        <f t="shared" ca="1" si="77"/>
        <v>0</v>
      </c>
      <c r="G280" s="125">
        <f t="shared" ca="1" si="70"/>
        <v>0</v>
      </c>
      <c r="H280" s="125">
        <f ca="1">IF(F280=1,F280*$B$10/MIN(12,'Simulador - 3º Pilar'!$E$88),0)</f>
        <v>0</v>
      </c>
      <c r="I280" s="128">
        <f t="shared" ca="1" si="71"/>
        <v>0</v>
      </c>
      <c r="J280" s="494">
        <f t="shared" ca="1" si="72"/>
        <v>0</v>
      </c>
      <c r="K280" s="126">
        <f t="shared" ca="1" si="73"/>
        <v>0</v>
      </c>
      <c r="L280" s="126">
        <f t="shared" ca="1" si="69"/>
        <v>0</v>
      </c>
      <c r="P280">
        <v>273</v>
      </c>
      <c r="Q280" s="6">
        <f t="shared" ca="1" si="78"/>
        <v>44470</v>
      </c>
      <c r="R280" s="7" t="e">
        <f t="shared" ca="1" si="79"/>
        <v>#REF!</v>
      </c>
      <c r="S280" s="125" t="e">
        <f t="shared" ca="1" si="80"/>
        <v>#REF!</v>
      </c>
      <c r="T280" s="125" t="e">
        <f t="shared" ca="1" si="74"/>
        <v>#REF!</v>
      </c>
      <c r="U280" s="128" t="e">
        <f t="shared" ca="1" si="81"/>
        <v>#REF!</v>
      </c>
      <c r="AC280">
        <v>273</v>
      </c>
      <c r="AD280" s="6">
        <f t="shared" ca="1" si="82"/>
        <v>44470</v>
      </c>
      <c r="AE280" s="7" t="e">
        <f t="shared" ca="1" si="83"/>
        <v>#REF!</v>
      </c>
      <c r="AF280" s="125" t="e">
        <f t="shared" ca="1" si="84"/>
        <v>#REF!</v>
      </c>
      <c r="AG280" s="125" t="e">
        <f t="shared" ca="1" si="75"/>
        <v>#REF!</v>
      </c>
      <c r="AH280" s="128" t="e">
        <f t="shared" ca="1" si="85"/>
        <v>#REF!</v>
      </c>
    </row>
    <row r="281" spans="4:34">
      <c r="D281">
        <v>274</v>
      </c>
      <c r="E281" s="6">
        <f t="shared" ca="1" si="76"/>
        <v>44440</v>
      </c>
      <c r="F281" s="7">
        <f t="shared" ca="1" si="77"/>
        <v>0</v>
      </c>
      <c r="G281" s="125">
        <f t="shared" ca="1" si="70"/>
        <v>0</v>
      </c>
      <c r="H281" s="125">
        <f ca="1">IF(F281=1,F281*$B$10/MIN(12,'Simulador - 3º Pilar'!$E$88),0)</f>
        <v>0</v>
      </c>
      <c r="I281" s="128">
        <f t="shared" ca="1" si="71"/>
        <v>0</v>
      </c>
      <c r="J281" s="494">
        <f t="shared" ca="1" si="72"/>
        <v>0</v>
      </c>
      <c r="K281" s="126">
        <f t="shared" ca="1" si="73"/>
        <v>0</v>
      </c>
      <c r="L281" s="126">
        <f t="shared" ca="1" si="69"/>
        <v>0</v>
      </c>
      <c r="P281">
        <v>274</v>
      </c>
      <c r="Q281" s="6">
        <f t="shared" ca="1" si="78"/>
        <v>44440</v>
      </c>
      <c r="R281" s="7" t="e">
        <f t="shared" ca="1" si="79"/>
        <v>#REF!</v>
      </c>
      <c r="S281" s="125" t="e">
        <f t="shared" ca="1" si="80"/>
        <v>#REF!</v>
      </c>
      <c r="T281" s="125" t="e">
        <f t="shared" ca="1" si="74"/>
        <v>#REF!</v>
      </c>
      <c r="U281" s="128" t="e">
        <f t="shared" ca="1" si="81"/>
        <v>#REF!</v>
      </c>
      <c r="AC281">
        <v>274</v>
      </c>
      <c r="AD281" s="6">
        <f t="shared" ca="1" si="82"/>
        <v>44440</v>
      </c>
      <c r="AE281" s="7" t="e">
        <f t="shared" ca="1" si="83"/>
        <v>#REF!</v>
      </c>
      <c r="AF281" s="125" t="e">
        <f t="shared" ca="1" si="84"/>
        <v>#REF!</v>
      </c>
      <c r="AG281" s="125" t="e">
        <f t="shared" ca="1" si="75"/>
        <v>#REF!</v>
      </c>
      <c r="AH281" s="128" t="e">
        <f t="shared" ca="1" si="85"/>
        <v>#REF!</v>
      </c>
    </row>
    <row r="282" spans="4:34">
      <c r="D282">
        <v>275</v>
      </c>
      <c r="E282" s="6">
        <f t="shared" ca="1" si="76"/>
        <v>44409</v>
      </c>
      <c r="F282" s="7">
        <f t="shared" ca="1" si="77"/>
        <v>0</v>
      </c>
      <c r="G282" s="125">
        <f t="shared" ca="1" si="70"/>
        <v>0</v>
      </c>
      <c r="H282" s="125">
        <f ca="1">IF(F282=1,F282*$B$10/MIN(12,'Simulador - 3º Pilar'!$E$88),0)</f>
        <v>0</v>
      </c>
      <c r="I282" s="128">
        <f t="shared" ca="1" si="71"/>
        <v>0</v>
      </c>
      <c r="J282" s="494">
        <f t="shared" ca="1" si="72"/>
        <v>0</v>
      </c>
      <c r="K282" s="126">
        <f t="shared" ca="1" si="73"/>
        <v>0</v>
      </c>
      <c r="L282" s="126">
        <f t="shared" ca="1" si="69"/>
        <v>0</v>
      </c>
      <c r="P282">
        <v>275</v>
      </c>
      <c r="Q282" s="6">
        <f t="shared" ca="1" si="78"/>
        <v>44409</v>
      </c>
      <c r="R282" s="7" t="e">
        <f t="shared" ca="1" si="79"/>
        <v>#REF!</v>
      </c>
      <c r="S282" s="125" t="e">
        <f t="shared" ca="1" si="80"/>
        <v>#REF!</v>
      </c>
      <c r="T282" s="125" t="e">
        <f t="shared" ca="1" si="74"/>
        <v>#REF!</v>
      </c>
      <c r="U282" s="128" t="e">
        <f t="shared" ca="1" si="81"/>
        <v>#REF!</v>
      </c>
      <c r="AC282">
        <v>275</v>
      </c>
      <c r="AD282" s="6">
        <f t="shared" ca="1" si="82"/>
        <v>44409</v>
      </c>
      <c r="AE282" s="7" t="e">
        <f t="shared" ca="1" si="83"/>
        <v>#REF!</v>
      </c>
      <c r="AF282" s="125" t="e">
        <f t="shared" ca="1" si="84"/>
        <v>#REF!</v>
      </c>
      <c r="AG282" s="125" t="e">
        <f t="shared" ca="1" si="75"/>
        <v>#REF!</v>
      </c>
      <c r="AH282" s="128" t="e">
        <f t="shared" ca="1" si="85"/>
        <v>#REF!</v>
      </c>
    </row>
    <row r="283" spans="4:34">
      <c r="D283">
        <v>276</v>
      </c>
      <c r="E283" s="6">
        <f t="shared" ca="1" si="76"/>
        <v>44378</v>
      </c>
      <c r="F283" s="7">
        <f t="shared" ca="1" si="77"/>
        <v>0</v>
      </c>
      <c r="G283" s="125">
        <f t="shared" ca="1" si="70"/>
        <v>0</v>
      </c>
      <c r="H283" s="125">
        <f ca="1">IF(F283=1,F283*$B$10/MIN(12,'Simulador - 3º Pilar'!$E$88),0)</f>
        <v>0</v>
      </c>
      <c r="I283" s="128">
        <f t="shared" ca="1" si="71"/>
        <v>0</v>
      </c>
      <c r="J283" s="494">
        <f t="shared" ca="1" si="72"/>
        <v>0</v>
      </c>
      <c r="K283" s="126">
        <f t="shared" ca="1" si="73"/>
        <v>0</v>
      </c>
      <c r="L283" s="126">
        <f t="shared" ca="1" si="69"/>
        <v>0</v>
      </c>
      <c r="P283">
        <v>276</v>
      </c>
      <c r="Q283" s="6">
        <f t="shared" ca="1" si="78"/>
        <v>44378</v>
      </c>
      <c r="R283" s="7" t="e">
        <f t="shared" ca="1" si="79"/>
        <v>#REF!</v>
      </c>
      <c r="S283" s="125" t="e">
        <f t="shared" ca="1" si="80"/>
        <v>#REF!</v>
      </c>
      <c r="T283" s="125" t="e">
        <f t="shared" ca="1" si="74"/>
        <v>#REF!</v>
      </c>
      <c r="U283" s="128" t="e">
        <f t="shared" ca="1" si="81"/>
        <v>#REF!</v>
      </c>
      <c r="AC283">
        <v>276</v>
      </c>
      <c r="AD283" s="6">
        <f t="shared" ca="1" si="82"/>
        <v>44378</v>
      </c>
      <c r="AE283" s="7" t="e">
        <f t="shared" ca="1" si="83"/>
        <v>#REF!</v>
      </c>
      <c r="AF283" s="125" t="e">
        <f t="shared" ca="1" si="84"/>
        <v>#REF!</v>
      </c>
      <c r="AG283" s="125" t="e">
        <f t="shared" ca="1" si="75"/>
        <v>#REF!</v>
      </c>
      <c r="AH283" s="128" t="e">
        <f t="shared" ca="1" si="85"/>
        <v>#REF!</v>
      </c>
    </row>
    <row r="284" spans="4:34">
      <c r="D284">
        <v>277</v>
      </c>
      <c r="E284" s="6">
        <f t="shared" ca="1" si="76"/>
        <v>44348</v>
      </c>
      <c r="F284" s="7">
        <f t="shared" ca="1" si="77"/>
        <v>0</v>
      </c>
      <c r="G284" s="125">
        <f t="shared" ca="1" si="70"/>
        <v>0</v>
      </c>
      <c r="H284" s="125">
        <f ca="1">IF(F284=1,F284*$B$10/MIN(12,'Simulador - 3º Pilar'!$E$88),0)</f>
        <v>0</v>
      </c>
      <c r="I284" s="128">
        <f t="shared" ca="1" si="71"/>
        <v>0</v>
      </c>
      <c r="J284" s="494">
        <f t="shared" ca="1" si="72"/>
        <v>0</v>
      </c>
      <c r="K284" s="126">
        <f t="shared" ca="1" si="73"/>
        <v>0</v>
      </c>
      <c r="L284" s="126">
        <f t="shared" ca="1" si="69"/>
        <v>0</v>
      </c>
      <c r="P284">
        <v>277</v>
      </c>
      <c r="Q284" s="6">
        <f t="shared" ca="1" si="78"/>
        <v>44348</v>
      </c>
      <c r="R284" s="7" t="e">
        <f t="shared" ca="1" si="79"/>
        <v>#REF!</v>
      </c>
      <c r="S284" s="125" t="e">
        <f t="shared" ca="1" si="80"/>
        <v>#REF!</v>
      </c>
      <c r="T284" s="125" t="e">
        <f t="shared" ca="1" si="74"/>
        <v>#REF!</v>
      </c>
      <c r="U284" s="128" t="e">
        <f t="shared" ca="1" si="81"/>
        <v>#REF!</v>
      </c>
      <c r="AC284">
        <v>277</v>
      </c>
      <c r="AD284" s="6">
        <f t="shared" ca="1" si="82"/>
        <v>44348</v>
      </c>
      <c r="AE284" s="7" t="e">
        <f t="shared" ca="1" si="83"/>
        <v>#REF!</v>
      </c>
      <c r="AF284" s="125" t="e">
        <f t="shared" ca="1" si="84"/>
        <v>#REF!</v>
      </c>
      <c r="AG284" s="125" t="e">
        <f t="shared" ca="1" si="75"/>
        <v>#REF!</v>
      </c>
      <c r="AH284" s="128" t="e">
        <f t="shared" ca="1" si="85"/>
        <v>#REF!</v>
      </c>
    </row>
    <row r="285" spans="4:34">
      <c r="D285">
        <v>278</v>
      </c>
      <c r="E285" s="6">
        <f t="shared" ca="1" si="76"/>
        <v>44317</v>
      </c>
      <c r="F285" s="7">
        <f t="shared" ca="1" si="77"/>
        <v>0</v>
      </c>
      <c r="G285" s="125">
        <f t="shared" ca="1" si="70"/>
        <v>0</v>
      </c>
      <c r="H285" s="125">
        <f ca="1">IF(F285=1,F285*$B$10/MIN(12,'Simulador - 3º Pilar'!$E$88),0)</f>
        <v>0</v>
      </c>
      <c r="I285" s="128">
        <f t="shared" ca="1" si="71"/>
        <v>0</v>
      </c>
      <c r="J285" s="494">
        <f t="shared" ca="1" si="72"/>
        <v>0</v>
      </c>
      <c r="K285" s="126">
        <f t="shared" ca="1" si="73"/>
        <v>0</v>
      </c>
      <c r="L285" s="126">
        <f t="shared" ca="1" si="69"/>
        <v>0</v>
      </c>
      <c r="P285">
        <v>278</v>
      </c>
      <c r="Q285" s="6">
        <f t="shared" ca="1" si="78"/>
        <v>44317</v>
      </c>
      <c r="R285" s="7" t="e">
        <f t="shared" ca="1" si="79"/>
        <v>#REF!</v>
      </c>
      <c r="S285" s="125" t="e">
        <f t="shared" ca="1" si="80"/>
        <v>#REF!</v>
      </c>
      <c r="T285" s="125" t="e">
        <f t="shared" ca="1" si="74"/>
        <v>#REF!</v>
      </c>
      <c r="U285" s="128" t="e">
        <f t="shared" ca="1" si="81"/>
        <v>#REF!</v>
      </c>
      <c r="AC285">
        <v>278</v>
      </c>
      <c r="AD285" s="6">
        <f t="shared" ca="1" si="82"/>
        <v>44317</v>
      </c>
      <c r="AE285" s="7" t="e">
        <f t="shared" ca="1" si="83"/>
        <v>#REF!</v>
      </c>
      <c r="AF285" s="125" t="e">
        <f t="shared" ca="1" si="84"/>
        <v>#REF!</v>
      </c>
      <c r="AG285" s="125" t="e">
        <f t="shared" ca="1" si="75"/>
        <v>#REF!</v>
      </c>
      <c r="AH285" s="128" t="e">
        <f t="shared" ca="1" si="85"/>
        <v>#REF!</v>
      </c>
    </row>
    <row r="286" spans="4:34">
      <c r="D286">
        <v>279</v>
      </c>
      <c r="E286" s="6">
        <f t="shared" ca="1" si="76"/>
        <v>44287</v>
      </c>
      <c r="F286" s="7">
        <f t="shared" ca="1" si="77"/>
        <v>0</v>
      </c>
      <c r="G286" s="125">
        <f t="shared" ca="1" si="70"/>
        <v>0</v>
      </c>
      <c r="H286" s="125">
        <f ca="1">IF(F286=1,F286*$B$10/MIN(12,'Simulador - 3º Pilar'!$E$88),0)</f>
        <v>0</v>
      </c>
      <c r="I286" s="128">
        <f t="shared" ca="1" si="71"/>
        <v>0</v>
      </c>
      <c r="J286" s="494">
        <f t="shared" ca="1" si="72"/>
        <v>0</v>
      </c>
      <c r="K286" s="126">
        <f t="shared" ca="1" si="73"/>
        <v>0</v>
      </c>
      <c r="L286" s="126">
        <f t="shared" ca="1" si="69"/>
        <v>0</v>
      </c>
      <c r="P286">
        <v>279</v>
      </c>
      <c r="Q286" s="6">
        <f t="shared" ca="1" si="78"/>
        <v>44287</v>
      </c>
      <c r="R286" s="7" t="e">
        <f t="shared" ca="1" si="79"/>
        <v>#REF!</v>
      </c>
      <c r="S286" s="125" t="e">
        <f t="shared" ca="1" si="80"/>
        <v>#REF!</v>
      </c>
      <c r="T286" s="125" t="e">
        <f t="shared" ca="1" si="74"/>
        <v>#REF!</v>
      </c>
      <c r="U286" s="128" t="e">
        <f t="shared" ca="1" si="81"/>
        <v>#REF!</v>
      </c>
      <c r="AC286">
        <v>279</v>
      </c>
      <c r="AD286" s="6">
        <f t="shared" ca="1" si="82"/>
        <v>44287</v>
      </c>
      <c r="AE286" s="7" t="e">
        <f t="shared" ca="1" si="83"/>
        <v>#REF!</v>
      </c>
      <c r="AF286" s="125" t="e">
        <f t="shared" ca="1" si="84"/>
        <v>#REF!</v>
      </c>
      <c r="AG286" s="125" t="e">
        <f t="shared" ca="1" si="75"/>
        <v>#REF!</v>
      </c>
      <c r="AH286" s="128" t="e">
        <f t="shared" ca="1" si="85"/>
        <v>#REF!</v>
      </c>
    </row>
    <row r="287" spans="4:34">
      <c r="D287">
        <v>280</v>
      </c>
      <c r="E287" s="6">
        <f t="shared" ca="1" si="76"/>
        <v>44256</v>
      </c>
      <c r="F287" s="7">
        <f t="shared" ca="1" si="77"/>
        <v>0</v>
      </c>
      <c r="G287" s="125">
        <f t="shared" ca="1" si="70"/>
        <v>0</v>
      </c>
      <c r="H287" s="125">
        <f ca="1">IF(F287=1,F287*$B$10/MIN(12,'Simulador - 3º Pilar'!$E$88),0)</f>
        <v>0</v>
      </c>
      <c r="I287" s="128">
        <f t="shared" ca="1" si="71"/>
        <v>0</v>
      </c>
      <c r="J287" s="494">
        <f t="shared" ca="1" si="72"/>
        <v>0</v>
      </c>
      <c r="K287" s="126">
        <f t="shared" ca="1" si="73"/>
        <v>0</v>
      </c>
      <c r="L287" s="126">
        <f t="shared" ca="1" si="69"/>
        <v>0</v>
      </c>
      <c r="P287">
        <v>280</v>
      </c>
      <c r="Q287" s="6">
        <f t="shared" ca="1" si="78"/>
        <v>44256</v>
      </c>
      <c r="R287" s="7" t="e">
        <f t="shared" ca="1" si="79"/>
        <v>#REF!</v>
      </c>
      <c r="S287" s="125" t="e">
        <f t="shared" ca="1" si="80"/>
        <v>#REF!</v>
      </c>
      <c r="T287" s="125" t="e">
        <f t="shared" ca="1" si="74"/>
        <v>#REF!</v>
      </c>
      <c r="U287" s="128" t="e">
        <f t="shared" ca="1" si="81"/>
        <v>#REF!</v>
      </c>
      <c r="AC287">
        <v>280</v>
      </c>
      <c r="AD287" s="6">
        <f t="shared" ca="1" si="82"/>
        <v>44256</v>
      </c>
      <c r="AE287" s="7" t="e">
        <f t="shared" ca="1" si="83"/>
        <v>#REF!</v>
      </c>
      <c r="AF287" s="125" t="e">
        <f t="shared" ca="1" si="84"/>
        <v>#REF!</v>
      </c>
      <c r="AG287" s="125" t="e">
        <f t="shared" ca="1" si="75"/>
        <v>#REF!</v>
      </c>
      <c r="AH287" s="128" t="e">
        <f t="shared" ca="1" si="85"/>
        <v>#REF!</v>
      </c>
    </row>
    <row r="288" spans="4:34">
      <c r="D288">
        <v>281</v>
      </c>
      <c r="E288" s="6">
        <f t="shared" ca="1" si="76"/>
        <v>44228</v>
      </c>
      <c r="F288" s="7">
        <f t="shared" ca="1" si="77"/>
        <v>0</v>
      </c>
      <c r="G288" s="125">
        <f t="shared" ca="1" si="70"/>
        <v>0</v>
      </c>
      <c r="H288" s="125">
        <f ca="1">IF(F288=1,F288*$B$10/MIN(12,'Simulador - 3º Pilar'!$E$88),0)</f>
        <v>0</v>
      </c>
      <c r="I288" s="128">
        <f t="shared" ca="1" si="71"/>
        <v>0</v>
      </c>
      <c r="J288" s="494">
        <f t="shared" ca="1" si="72"/>
        <v>0</v>
      </c>
      <c r="K288" s="126">
        <f t="shared" ca="1" si="73"/>
        <v>0</v>
      </c>
      <c r="L288" s="126">
        <f t="shared" ca="1" si="69"/>
        <v>0</v>
      </c>
      <c r="P288">
        <v>281</v>
      </c>
      <c r="Q288" s="6">
        <f t="shared" ca="1" si="78"/>
        <v>44228</v>
      </c>
      <c r="R288" s="7" t="e">
        <f t="shared" ca="1" si="79"/>
        <v>#REF!</v>
      </c>
      <c r="S288" s="125" t="e">
        <f t="shared" ca="1" si="80"/>
        <v>#REF!</v>
      </c>
      <c r="T288" s="125" t="e">
        <f t="shared" ca="1" si="74"/>
        <v>#REF!</v>
      </c>
      <c r="U288" s="128" t="e">
        <f t="shared" ca="1" si="81"/>
        <v>#REF!</v>
      </c>
      <c r="AC288">
        <v>281</v>
      </c>
      <c r="AD288" s="6">
        <f t="shared" ca="1" si="82"/>
        <v>44228</v>
      </c>
      <c r="AE288" s="7" t="e">
        <f t="shared" ca="1" si="83"/>
        <v>#REF!</v>
      </c>
      <c r="AF288" s="125" t="e">
        <f t="shared" ca="1" si="84"/>
        <v>#REF!</v>
      </c>
      <c r="AG288" s="125" t="e">
        <f t="shared" ca="1" si="75"/>
        <v>#REF!</v>
      </c>
      <c r="AH288" s="128" t="e">
        <f t="shared" ca="1" si="85"/>
        <v>#REF!</v>
      </c>
    </row>
    <row r="289" spans="4:34">
      <c r="D289">
        <v>282</v>
      </c>
      <c r="E289" s="6">
        <f t="shared" ca="1" si="76"/>
        <v>44197</v>
      </c>
      <c r="F289" s="7">
        <f t="shared" ca="1" si="77"/>
        <v>0</v>
      </c>
      <c r="G289" s="125">
        <f t="shared" ca="1" si="70"/>
        <v>0</v>
      </c>
      <c r="H289" s="125">
        <f ca="1">IF(F289=1,F289*$B$10/MIN(12,'Simulador - 3º Pilar'!$E$88),0)</f>
        <v>0</v>
      </c>
      <c r="I289" s="128">
        <f t="shared" ca="1" si="71"/>
        <v>0</v>
      </c>
      <c r="J289" s="494">
        <f t="shared" ca="1" si="72"/>
        <v>0</v>
      </c>
      <c r="K289" s="126">
        <f t="shared" ca="1" si="73"/>
        <v>0</v>
      </c>
      <c r="L289" s="126">
        <f t="shared" ref="L289:L352" ca="1" si="86">(1+$G$5)^(D289/12)*(IF((E289)&gt;($B$6),H289,0)+IF(E289=$N$7,$N$4,0)+IF(E289=$C$6,0,0))</f>
        <v>0</v>
      </c>
      <c r="P289">
        <v>282</v>
      </c>
      <c r="Q289" s="6">
        <f t="shared" ca="1" si="78"/>
        <v>44197</v>
      </c>
      <c r="R289" s="7" t="e">
        <f t="shared" ca="1" si="79"/>
        <v>#REF!</v>
      </c>
      <c r="S289" s="125" t="e">
        <f t="shared" ca="1" si="80"/>
        <v>#REF!</v>
      </c>
      <c r="T289" s="125" t="e">
        <f t="shared" ca="1" si="74"/>
        <v>#REF!</v>
      </c>
      <c r="U289" s="128" t="e">
        <f t="shared" ca="1" si="81"/>
        <v>#REF!</v>
      </c>
      <c r="AC289">
        <v>282</v>
      </c>
      <c r="AD289" s="6">
        <f t="shared" ca="1" si="82"/>
        <v>44197</v>
      </c>
      <c r="AE289" s="7" t="e">
        <f t="shared" ca="1" si="83"/>
        <v>#REF!</v>
      </c>
      <c r="AF289" s="125" t="e">
        <f t="shared" ca="1" si="84"/>
        <v>#REF!</v>
      </c>
      <c r="AG289" s="125" t="e">
        <f t="shared" ca="1" si="75"/>
        <v>#REF!</v>
      </c>
      <c r="AH289" s="128" t="e">
        <f t="shared" ca="1" si="85"/>
        <v>#REF!</v>
      </c>
    </row>
    <row r="290" spans="4:34">
      <c r="D290">
        <v>283</v>
      </c>
      <c r="E290" s="6">
        <f t="shared" ca="1" si="76"/>
        <v>44166</v>
      </c>
      <c r="F290" s="7">
        <f t="shared" ca="1" si="77"/>
        <v>0</v>
      </c>
      <c r="G290" s="125">
        <f t="shared" ca="1" si="70"/>
        <v>0</v>
      </c>
      <c r="H290" s="125">
        <f ca="1">IF(F290=1,F290*$B$10/MIN(12,'Simulador - 3º Pilar'!$E$88),0)</f>
        <v>0</v>
      </c>
      <c r="I290" s="128">
        <f t="shared" ca="1" si="71"/>
        <v>0</v>
      </c>
      <c r="J290" s="494">
        <f t="shared" ca="1" si="72"/>
        <v>0</v>
      </c>
      <c r="K290" s="126">
        <f t="shared" ca="1" si="73"/>
        <v>0</v>
      </c>
      <c r="L290" s="126">
        <f t="shared" ca="1" si="86"/>
        <v>0</v>
      </c>
      <c r="P290">
        <v>283</v>
      </c>
      <c r="Q290" s="6">
        <f t="shared" ca="1" si="78"/>
        <v>44166</v>
      </c>
      <c r="R290" s="7" t="e">
        <f t="shared" ca="1" si="79"/>
        <v>#REF!</v>
      </c>
      <c r="S290" s="125" t="e">
        <f t="shared" ca="1" si="80"/>
        <v>#REF!</v>
      </c>
      <c r="T290" s="125" t="e">
        <f t="shared" ca="1" si="74"/>
        <v>#REF!</v>
      </c>
      <c r="U290" s="128" t="e">
        <f t="shared" ca="1" si="81"/>
        <v>#REF!</v>
      </c>
      <c r="AC290">
        <v>283</v>
      </c>
      <c r="AD290" s="6">
        <f t="shared" ca="1" si="82"/>
        <v>44166</v>
      </c>
      <c r="AE290" s="7" t="e">
        <f t="shared" ca="1" si="83"/>
        <v>#REF!</v>
      </c>
      <c r="AF290" s="125" t="e">
        <f t="shared" ca="1" si="84"/>
        <v>#REF!</v>
      </c>
      <c r="AG290" s="125" t="e">
        <f t="shared" ca="1" si="75"/>
        <v>#REF!</v>
      </c>
      <c r="AH290" s="128" t="e">
        <f t="shared" ca="1" si="85"/>
        <v>#REF!</v>
      </c>
    </row>
    <row r="291" spans="4:34">
      <c r="D291">
        <v>284</v>
      </c>
      <c r="E291" s="6">
        <f t="shared" ca="1" si="76"/>
        <v>44136</v>
      </c>
      <c r="F291" s="7">
        <f t="shared" ca="1" si="77"/>
        <v>0</v>
      </c>
      <c r="G291" s="125">
        <f t="shared" ca="1" si="70"/>
        <v>0</v>
      </c>
      <c r="H291" s="125">
        <f ca="1">IF(F291=1,F291*$B$10/MIN(12,'Simulador - 3º Pilar'!$E$88),0)</f>
        <v>0</v>
      </c>
      <c r="I291" s="128">
        <f t="shared" ca="1" si="71"/>
        <v>0</v>
      </c>
      <c r="J291" s="494">
        <f t="shared" ca="1" si="72"/>
        <v>0</v>
      </c>
      <c r="K291" s="126">
        <f t="shared" ca="1" si="73"/>
        <v>0</v>
      </c>
      <c r="L291" s="126">
        <f t="shared" ca="1" si="86"/>
        <v>0</v>
      </c>
      <c r="P291">
        <v>284</v>
      </c>
      <c r="Q291" s="6">
        <f t="shared" ca="1" si="78"/>
        <v>44136</v>
      </c>
      <c r="R291" s="7" t="e">
        <f t="shared" ca="1" si="79"/>
        <v>#REF!</v>
      </c>
      <c r="S291" s="125" t="e">
        <f t="shared" ca="1" si="80"/>
        <v>#REF!</v>
      </c>
      <c r="T291" s="125" t="e">
        <f t="shared" ca="1" si="74"/>
        <v>#REF!</v>
      </c>
      <c r="U291" s="128" t="e">
        <f t="shared" ca="1" si="81"/>
        <v>#REF!</v>
      </c>
      <c r="AC291">
        <v>284</v>
      </c>
      <c r="AD291" s="6">
        <f t="shared" ca="1" si="82"/>
        <v>44136</v>
      </c>
      <c r="AE291" s="7" t="e">
        <f t="shared" ca="1" si="83"/>
        <v>#REF!</v>
      </c>
      <c r="AF291" s="125" t="e">
        <f t="shared" ca="1" si="84"/>
        <v>#REF!</v>
      </c>
      <c r="AG291" s="125" t="e">
        <f t="shared" ca="1" si="75"/>
        <v>#REF!</v>
      </c>
      <c r="AH291" s="128" t="e">
        <f t="shared" ca="1" si="85"/>
        <v>#REF!</v>
      </c>
    </row>
    <row r="292" spans="4:34">
      <c r="D292">
        <v>285</v>
      </c>
      <c r="E292" s="6">
        <f t="shared" ca="1" si="76"/>
        <v>44105</v>
      </c>
      <c r="F292" s="7">
        <f t="shared" ca="1" si="77"/>
        <v>0</v>
      </c>
      <c r="G292" s="125">
        <f t="shared" ca="1" si="70"/>
        <v>0</v>
      </c>
      <c r="H292" s="125">
        <f ca="1">IF(F292=1,F292*$B$10/MIN(12,'Simulador - 3º Pilar'!$E$88),0)</f>
        <v>0</v>
      </c>
      <c r="I292" s="128">
        <f t="shared" ca="1" si="71"/>
        <v>0</v>
      </c>
      <c r="J292" s="494">
        <f t="shared" ca="1" si="72"/>
        <v>0</v>
      </c>
      <c r="K292" s="126">
        <f t="shared" ca="1" si="73"/>
        <v>0</v>
      </c>
      <c r="L292" s="126">
        <f t="shared" ca="1" si="86"/>
        <v>0</v>
      </c>
      <c r="P292">
        <v>285</v>
      </c>
      <c r="Q292" s="6">
        <f t="shared" ca="1" si="78"/>
        <v>44105</v>
      </c>
      <c r="R292" s="7" t="e">
        <f t="shared" ca="1" si="79"/>
        <v>#REF!</v>
      </c>
      <c r="S292" s="125" t="e">
        <f t="shared" ca="1" si="80"/>
        <v>#REF!</v>
      </c>
      <c r="T292" s="125" t="e">
        <f t="shared" ca="1" si="74"/>
        <v>#REF!</v>
      </c>
      <c r="U292" s="128" t="e">
        <f t="shared" ca="1" si="81"/>
        <v>#REF!</v>
      </c>
      <c r="AC292">
        <v>285</v>
      </c>
      <c r="AD292" s="6">
        <f t="shared" ca="1" si="82"/>
        <v>44105</v>
      </c>
      <c r="AE292" s="7" t="e">
        <f t="shared" ca="1" si="83"/>
        <v>#REF!</v>
      </c>
      <c r="AF292" s="125" t="e">
        <f t="shared" ca="1" si="84"/>
        <v>#REF!</v>
      </c>
      <c r="AG292" s="125" t="e">
        <f t="shared" ca="1" si="75"/>
        <v>#REF!</v>
      </c>
      <c r="AH292" s="128" t="e">
        <f t="shared" ca="1" si="85"/>
        <v>#REF!</v>
      </c>
    </row>
    <row r="293" spans="4:34">
      <c r="D293">
        <v>286</v>
      </c>
      <c r="E293" s="6">
        <f t="shared" ca="1" si="76"/>
        <v>44075</v>
      </c>
      <c r="F293" s="7">
        <f t="shared" ca="1" si="77"/>
        <v>0</v>
      </c>
      <c r="G293" s="125">
        <f t="shared" ca="1" si="70"/>
        <v>0</v>
      </c>
      <c r="H293" s="125">
        <f ca="1">IF(F293=1,F293*$B$10/MIN(12,'Simulador - 3º Pilar'!$E$88),0)</f>
        <v>0</v>
      </c>
      <c r="I293" s="128">
        <f t="shared" ca="1" si="71"/>
        <v>0</v>
      </c>
      <c r="J293" s="494">
        <f t="shared" ca="1" si="72"/>
        <v>0</v>
      </c>
      <c r="K293" s="126">
        <f t="shared" ca="1" si="73"/>
        <v>0</v>
      </c>
      <c r="L293" s="126">
        <f t="shared" ca="1" si="86"/>
        <v>0</v>
      </c>
      <c r="P293">
        <v>286</v>
      </c>
      <c r="Q293" s="6">
        <f t="shared" ca="1" si="78"/>
        <v>44075</v>
      </c>
      <c r="R293" s="7" t="e">
        <f t="shared" ca="1" si="79"/>
        <v>#REF!</v>
      </c>
      <c r="S293" s="125" t="e">
        <f t="shared" ca="1" si="80"/>
        <v>#REF!</v>
      </c>
      <c r="T293" s="125" t="e">
        <f t="shared" ca="1" si="74"/>
        <v>#REF!</v>
      </c>
      <c r="U293" s="128" t="e">
        <f t="shared" ca="1" si="81"/>
        <v>#REF!</v>
      </c>
      <c r="AC293">
        <v>286</v>
      </c>
      <c r="AD293" s="6">
        <f t="shared" ca="1" si="82"/>
        <v>44075</v>
      </c>
      <c r="AE293" s="7" t="e">
        <f t="shared" ca="1" si="83"/>
        <v>#REF!</v>
      </c>
      <c r="AF293" s="125" t="e">
        <f t="shared" ca="1" si="84"/>
        <v>#REF!</v>
      </c>
      <c r="AG293" s="125" t="e">
        <f t="shared" ca="1" si="75"/>
        <v>#REF!</v>
      </c>
      <c r="AH293" s="128" t="e">
        <f t="shared" ca="1" si="85"/>
        <v>#REF!</v>
      </c>
    </row>
    <row r="294" spans="4:34">
      <c r="D294">
        <v>287</v>
      </c>
      <c r="E294" s="6">
        <f t="shared" ca="1" si="76"/>
        <v>44044</v>
      </c>
      <c r="F294" s="7">
        <f t="shared" ca="1" si="77"/>
        <v>0</v>
      </c>
      <c r="G294" s="125">
        <f t="shared" ca="1" si="70"/>
        <v>0</v>
      </c>
      <c r="H294" s="125">
        <f ca="1">IF(F294=1,F294*$B$10/MIN(12,'Simulador - 3º Pilar'!$E$88),0)</f>
        <v>0</v>
      </c>
      <c r="I294" s="128">
        <f t="shared" ca="1" si="71"/>
        <v>0</v>
      </c>
      <c r="J294" s="494">
        <f t="shared" ca="1" si="72"/>
        <v>0</v>
      </c>
      <c r="K294" s="126">
        <f t="shared" ca="1" si="73"/>
        <v>0</v>
      </c>
      <c r="L294" s="126">
        <f t="shared" ca="1" si="86"/>
        <v>0</v>
      </c>
      <c r="P294">
        <v>287</v>
      </c>
      <c r="Q294" s="6">
        <f t="shared" ca="1" si="78"/>
        <v>44044</v>
      </c>
      <c r="R294" s="7" t="e">
        <f t="shared" ca="1" si="79"/>
        <v>#REF!</v>
      </c>
      <c r="S294" s="125" t="e">
        <f t="shared" ca="1" si="80"/>
        <v>#REF!</v>
      </c>
      <c r="T294" s="125" t="e">
        <f t="shared" ca="1" si="74"/>
        <v>#REF!</v>
      </c>
      <c r="U294" s="128" t="e">
        <f t="shared" ca="1" si="81"/>
        <v>#REF!</v>
      </c>
      <c r="AC294">
        <v>287</v>
      </c>
      <c r="AD294" s="6">
        <f t="shared" ca="1" si="82"/>
        <v>44044</v>
      </c>
      <c r="AE294" s="7" t="e">
        <f t="shared" ca="1" si="83"/>
        <v>#REF!</v>
      </c>
      <c r="AF294" s="125" t="e">
        <f t="shared" ca="1" si="84"/>
        <v>#REF!</v>
      </c>
      <c r="AG294" s="125" t="e">
        <f t="shared" ca="1" si="75"/>
        <v>#REF!</v>
      </c>
      <c r="AH294" s="128" t="e">
        <f t="shared" ca="1" si="85"/>
        <v>#REF!</v>
      </c>
    </row>
    <row r="295" spans="4:34">
      <c r="D295">
        <v>288</v>
      </c>
      <c r="E295" s="6">
        <f t="shared" ca="1" si="76"/>
        <v>44013</v>
      </c>
      <c r="F295" s="7">
        <f t="shared" ca="1" si="77"/>
        <v>0</v>
      </c>
      <c r="G295" s="125">
        <f t="shared" ca="1" si="70"/>
        <v>0</v>
      </c>
      <c r="H295" s="125">
        <f ca="1">IF(F295=1,F295*$B$10/MIN(12,'Simulador - 3º Pilar'!$E$88),0)</f>
        <v>0</v>
      </c>
      <c r="I295" s="128">
        <f t="shared" ca="1" si="71"/>
        <v>0</v>
      </c>
      <c r="J295" s="494">
        <f t="shared" ca="1" si="72"/>
        <v>0</v>
      </c>
      <c r="K295" s="126">
        <f t="shared" ca="1" si="73"/>
        <v>0</v>
      </c>
      <c r="L295" s="126">
        <f t="shared" ca="1" si="86"/>
        <v>0</v>
      </c>
      <c r="P295">
        <v>288</v>
      </c>
      <c r="Q295" s="6">
        <f t="shared" ca="1" si="78"/>
        <v>44013</v>
      </c>
      <c r="R295" s="7" t="e">
        <f t="shared" ca="1" si="79"/>
        <v>#REF!</v>
      </c>
      <c r="S295" s="125" t="e">
        <f t="shared" ca="1" si="80"/>
        <v>#REF!</v>
      </c>
      <c r="T295" s="125" t="e">
        <f t="shared" ca="1" si="74"/>
        <v>#REF!</v>
      </c>
      <c r="U295" s="128" t="e">
        <f t="shared" ca="1" si="81"/>
        <v>#REF!</v>
      </c>
      <c r="AC295">
        <v>288</v>
      </c>
      <c r="AD295" s="6">
        <f t="shared" ca="1" si="82"/>
        <v>44013</v>
      </c>
      <c r="AE295" s="7" t="e">
        <f t="shared" ca="1" si="83"/>
        <v>#REF!</v>
      </c>
      <c r="AF295" s="125" t="e">
        <f t="shared" ca="1" si="84"/>
        <v>#REF!</v>
      </c>
      <c r="AG295" s="125" t="e">
        <f t="shared" ca="1" si="75"/>
        <v>#REF!</v>
      </c>
      <c r="AH295" s="128" t="e">
        <f t="shared" ca="1" si="85"/>
        <v>#REF!</v>
      </c>
    </row>
    <row r="296" spans="4:34">
      <c r="D296">
        <v>289</v>
      </c>
      <c r="E296" s="6">
        <f t="shared" ca="1" si="76"/>
        <v>43983</v>
      </c>
      <c r="F296" s="7">
        <f t="shared" ca="1" si="77"/>
        <v>0</v>
      </c>
      <c r="G296" s="125">
        <f t="shared" ca="1" si="70"/>
        <v>0</v>
      </c>
      <c r="H296" s="125">
        <f ca="1">IF(F296=1,F296*$B$10/MIN(12,'Simulador - 3º Pilar'!$E$88),0)</f>
        <v>0</v>
      </c>
      <c r="I296" s="128">
        <f t="shared" ca="1" si="71"/>
        <v>0</v>
      </c>
      <c r="J296" s="494">
        <f t="shared" ca="1" si="72"/>
        <v>0</v>
      </c>
      <c r="K296" s="126">
        <f t="shared" ca="1" si="73"/>
        <v>0</v>
      </c>
      <c r="L296" s="126">
        <f t="shared" ca="1" si="86"/>
        <v>0</v>
      </c>
      <c r="P296">
        <v>289</v>
      </c>
      <c r="Q296" s="6">
        <f t="shared" ca="1" si="78"/>
        <v>43983</v>
      </c>
      <c r="R296" s="7" t="e">
        <f t="shared" ca="1" si="79"/>
        <v>#REF!</v>
      </c>
      <c r="S296" s="125" t="e">
        <f t="shared" ca="1" si="80"/>
        <v>#REF!</v>
      </c>
      <c r="T296" s="125" t="e">
        <f t="shared" ca="1" si="74"/>
        <v>#REF!</v>
      </c>
      <c r="U296" s="128" t="e">
        <f t="shared" ca="1" si="81"/>
        <v>#REF!</v>
      </c>
      <c r="AC296">
        <v>289</v>
      </c>
      <c r="AD296" s="6">
        <f t="shared" ca="1" si="82"/>
        <v>43983</v>
      </c>
      <c r="AE296" s="7" t="e">
        <f t="shared" ca="1" si="83"/>
        <v>#REF!</v>
      </c>
      <c r="AF296" s="125" t="e">
        <f t="shared" ca="1" si="84"/>
        <v>#REF!</v>
      </c>
      <c r="AG296" s="125" t="e">
        <f t="shared" ca="1" si="75"/>
        <v>#REF!</v>
      </c>
      <c r="AH296" s="128" t="e">
        <f t="shared" ca="1" si="85"/>
        <v>#REF!</v>
      </c>
    </row>
    <row r="297" spans="4:34">
      <c r="D297">
        <v>290</v>
      </c>
      <c r="E297" s="6">
        <f t="shared" ca="1" si="76"/>
        <v>43952</v>
      </c>
      <c r="F297" s="7">
        <f t="shared" ca="1" si="77"/>
        <v>0</v>
      </c>
      <c r="G297" s="125">
        <f t="shared" ca="1" si="70"/>
        <v>0</v>
      </c>
      <c r="H297" s="125">
        <f ca="1">IF(F297=1,F297*$B$10/MIN(12,'Simulador - 3º Pilar'!$E$88),0)</f>
        <v>0</v>
      </c>
      <c r="I297" s="128">
        <f t="shared" ca="1" si="71"/>
        <v>0</v>
      </c>
      <c r="J297" s="494">
        <f t="shared" ca="1" si="72"/>
        <v>0</v>
      </c>
      <c r="K297" s="126">
        <f t="shared" ca="1" si="73"/>
        <v>0</v>
      </c>
      <c r="L297" s="126">
        <f t="shared" ca="1" si="86"/>
        <v>0</v>
      </c>
      <c r="P297">
        <v>290</v>
      </c>
      <c r="Q297" s="6">
        <f t="shared" ca="1" si="78"/>
        <v>43952</v>
      </c>
      <c r="R297" s="7" t="e">
        <f t="shared" ca="1" si="79"/>
        <v>#REF!</v>
      </c>
      <c r="S297" s="125" t="e">
        <f t="shared" ca="1" si="80"/>
        <v>#REF!</v>
      </c>
      <c r="T297" s="125" t="e">
        <f t="shared" ca="1" si="74"/>
        <v>#REF!</v>
      </c>
      <c r="U297" s="128" t="e">
        <f t="shared" ca="1" si="81"/>
        <v>#REF!</v>
      </c>
      <c r="AC297">
        <v>290</v>
      </c>
      <c r="AD297" s="6">
        <f t="shared" ca="1" si="82"/>
        <v>43952</v>
      </c>
      <c r="AE297" s="7" t="e">
        <f t="shared" ca="1" si="83"/>
        <v>#REF!</v>
      </c>
      <c r="AF297" s="125" t="e">
        <f t="shared" ca="1" si="84"/>
        <v>#REF!</v>
      </c>
      <c r="AG297" s="125" t="e">
        <f t="shared" ca="1" si="75"/>
        <v>#REF!</v>
      </c>
      <c r="AH297" s="128" t="e">
        <f t="shared" ca="1" si="85"/>
        <v>#REF!</v>
      </c>
    </row>
    <row r="298" spans="4:34">
      <c r="D298">
        <v>291</v>
      </c>
      <c r="E298" s="6">
        <f t="shared" ca="1" si="76"/>
        <v>43922</v>
      </c>
      <c r="F298" s="7">
        <f t="shared" ca="1" si="77"/>
        <v>0</v>
      </c>
      <c r="G298" s="125">
        <f t="shared" ca="1" si="70"/>
        <v>0</v>
      </c>
      <c r="H298" s="125">
        <f ca="1">IF(F298=1,F298*$B$10/MIN(12,'Simulador - 3º Pilar'!$E$88),0)</f>
        <v>0</v>
      </c>
      <c r="I298" s="128">
        <f t="shared" ca="1" si="71"/>
        <v>0</v>
      </c>
      <c r="J298" s="494">
        <f t="shared" ca="1" si="72"/>
        <v>0</v>
      </c>
      <c r="K298" s="126">
        <f t="shared" ca="1" si="73"/>
        <v>0</v>
      </c>
      <c r="L298" s="126">
        <f t="shared" ca="1" si="86"/>
        <v>0</v>
      </c>
      <c r="P298">
        <v>291</v>
      </c>
      <c r="Q298" s="6">
        <f t="shared" ca="1" si="78"/>
        <v>43922</v>
      </c>
      <c r="R298" s="7" t="e">
        <f t="shared" ca="1" si="79"/>
        <v>#REF!</v>
      </c>
      <c r="S298" s="125" t="e">
        <f t="shared" ca="1" si="80"/>
        <v>#REF!</v>
      </c>
      <c r="T298" s="125" t="e">
        <f t="shared" ca="1" si="74"/>
        <v>#REF!</v>
      </c>
      <c r="U298" s="128" t="e">
        <f t="shared" ca="1" si="81"/>
        <v>#REF!</v>
      </c>
      <c r="AC298">
        <v>291</v>
      </c>
      <c r="AD298" s="6">
        <f t="shared" ca="1" si="82"/>
        <v>43922</v>
      </c>
      <c r="AE298" s="7" t="e">
        <f t="shared" ca="1" si="83"/>
        <v>#REF!</v>
      </c>
      <c r="AF298" s="125" t="e">
        <f t="shared" ca="1" si="84"/>
        <v>#REF!</v>
      </c>
      <c r="AG298" s="125" t="e">
        <f t="shared" ca="1" si="75"/>
        <v>#REF!</v>
      </c>
      <c r="AH298" s="128" t="e">
        <f t="shared" ca="1" si="85"/>
        <v>#REF!</v>
      </c>
    </row>
    <row r="299" spans="4:34">
      <c r="D299">
        <v>292</v>
      </c>
      <c r="E299" s="6">
        <f t="shared" ca="1" si="76"/>
        <v>43891</v>
      </c>
      <c r="F299" s="7">
        <f t="shared" ca="1" si="77"/>
        <v>0</v>
      </c>
      <c r="G299" s="125">
        <f t="shared" ca="1" si="70"/>
        <v>0</v>
      </c>
      <c r="H299" s="125">
        <f ca="1">IF(F299=1,F299*$B$10/MIN(12,'Simulador - 3º Pilar'!$E$88),0)</f>
        <v>0</v>
      </c>
      <c r="I299" s="128">
        <f t="shared" ca="1" si="71"/>
        <v>0</v>
      </c>
      <c r="J299" s="494">
        <f t="shared" ca="1" si="72"/>
        <v>0</v>
      </c>
      <c r="K299" s="126">
        <f t="shared" ca="1" si="73"/>
        <v>0</v>
      </c>
      <c r="L299" s="126">
        <f t="shared" ca="1" si="86"/>
        <v>0</v>
      </c>
      <c r="P299">
        <v>292</v>
      </c>
      <c r="Q299" s="6">
        <f t="shared" ca="1" si="78"/>
        <v>43891</v>
      </c>
      <c r="R299" s="7" t="e">
        <f t="shared" ca="1" si="79"/>
        <v>#REF!</v>
      </c>
      <c r="S299" s="125" t="e">
        <f t="shared" ca="1" si="80"/>
        <v>#REF!</v>
      </c>
      <c r="T299" s="125" t="e">
        <f t="shared" ca="1" si="74"/>
        <v>#REF!</v>
      </c>
      <c r="U299" s="128" t="e">
        <f t="shared" ca="1" si="81"/>
        <v>#REF!</v>
      </c>
      <c r="AC299">
        <v>292</v>
      </c>
      <c r="AD299" s="6">
        <f t="shared" ca="1" si="82"/>
        <v>43891</v>
      </c>
      <c r="AE299" s="7" t="e">
        <f t="shared" ca="1" si="83"/>
        <v>#REF!</v>
      </c>
      <c r="AF299" s="125" t="e">
        <f t="shared" ca="1" si="84"/>
        <v>#REF!</v>
      </c>
      <c r="AG299" s="125" t="e">
        <f t="shared" ca="1" si="75"/>
        <v>#REF!</v>
      </c>
      <c r="AH299" s="128" t="e">
        <f t="shared" ca="1" si="85"/>
        <v>#REF!</v>
      </c>
    </row>
    <row r="300" spans="4:34">
      <c r="D300">
        <v>293</v>
      </c>
      <c r="E300" s="6">
        <f t="shared" ca="1" si="76"/>
        <v>43862</v>
      </c>
      <c r="F300" s="7">
        <f t="shared" ca="1" si="77"/>
        <v>0</v>
      </c>
      <c r="G300" s="125">
        <f t="shared" ca="1" si="70"/>
        <v>0</v>
      </c>
      <c r="H300" s="125">
        <f ca="1">IF(F300=1,F300*$B$10/MIN(12,'Simulador - 3º Pilar'!$E$88),0)</f>
        <v>0</v>
      </c>
      <c r="I300" s="128">
        <f t="shared" ca="1" si="71"/>
        <v>0</v>
      </c>
      <c r="J300" s="494">
        <f t="shared" ca="1" si="72"/>
        <v>0</v>
      </c>
      <c r="K300" s="126">
        <f t="shared" ca="1" si="73"/>
        <v>0</v>
      </c>
      <c r="L300" s="126">
        <f t="shared" ca="1" si="86"/>
        <v>0</v>
      </c>
      <c r="P300">
        <v>293</v>
      </c>
      <c r="Q300" s="6">
        <f t="shared" ca="1" si="78"/>
        <v>43862</v>
      </c>
      <c r="R300" s="7" t="e">
        <f t="shared" ca="1" si="79"/>
        <v>#REF!</v>
      </c>
      <c r="S300" s="125" t="e">
        <f t="shared" ca="1" si="80"/>
        <v>#REF!</v>
      </c>
      <c r="T300" s="125" t="e">
        <f t="shared" ca="1" si="74"/>
        <v>#REF!</v>
      </c>
      <c r="U300" s="128" t="e">
        <f t="shared" ca="1" si="81"/>
        <v>#REF!</v>
      </c>
      <c r="AC300">
        <v>293</v>
      </c>
      <c r="AD300" s="6">
        <f t="shared" ca="1" si="82"/>
        <v>43862</v>
      </c>
      <c r="AE300" s="7" t="e">
        <f t="shared" ca="1" si="83"/>
        <v>#REF!</v>
      </c>
      <c r="AF300" s="125" t="e">
        <f t="shared" ca="1" si="84"/>
        <v>#REF!</v>
      </c>
      <c r="AG300" s="125" t="e">
        <f t="shared" ca="1" si="75"/>
        <v>#REF!</v>
      </c>
      <c r="AH300" s="128" t="e">
        <f t="shared" ca="1" si="85"/>
        <v>#REF!</v>
      </c>
    </row>
    <row r="301" spans="4:34">
      <c r="D301">
        <v>294</v>
      </c>
      <c r="E301" s="6">
        <f t="shared" ca="1" si="76"/>
        <v>43831</v>
      </c>
      <c r="F301" s="7">
        <f t="shared" ca="1" si="77"/>
        <v>0</v>
      </c>
      <c r="G301" s="125">
        <f t="shared" ca="1" si="70"/>
        <v>0</v>
      </c>
      <c r="H301" s="125">
        <f ca="1">IF(F301=1,F301*$B$10/MIN(12,'Simulador - 3º Pilar'!$E$88),0)</f>
        <v>0</v>
      </c>
      <c r="I301" s="128">
        <f t="shared" ca="1" si="71"/>
        <v>0</v>
      </c>
      <c r="J301" s="494">
        <f t="shared" ca="1" si="72"/>
        <v>0</v>
      </c>
      <c r="K301" s="126">
        <f t="shared" ca="1" si="73"/>
        <v>0</v>
      </c>
      <c r="L301" s="126">
        <f t="shared" ca="1" si="86"/>
        <v>0</v>
      </c>
      <c r="P301">
        <v>294</v>
      </c>
      <c r="Q301" s="6">
        <f t="shared" ca="1" si="78"/>
        <v>43831</v>
      </c>
      <c r="R301" s="7" t="e">
        <f t="shared" ca="1" si="79"/>
        <v>#REF!</v>
      </c>
      <c r="S301" s="125" t="e">
        <f t="shared" ca="1" si="80"/>
        <v>#REF!</v>
      </c>
      <c r="T301" s="125" t="e">
        <f t="shared" ca="1" si="74"/>
        <v>#REF!</v>
      </c>
      <c r="U301" s="128" t="e">
        <f t="shared" ca="1" si="81"/>
        <v>#REF!</v>
      </c>
      <c r="AC301">
        <v>294</v>
      </c>
      <c r="AD301" s="6">
        <f t="shared" ca="1" si="82"/>
        <v>43831</v>
      </c>
      <c r="AE301" s="7" t="e">
        <f t="shared" ca="1" si="83"/>
        <v>#REF!</v>
      </c>
      <c r="AF301" s="125" t="e">
        <f t="shared" ca="1" si="84"/>
        <v>#REF!</v>
      </c>
      <c r="AG301" s="125" t="e">
        <f t="shared" ca="1" si="75"/>
        <v>#REF!</v>
      </c>
      <c r="AH301" s="128" t="e">
        <f t="shared" ca="1" si="85"/>
        <v>#REF!</v>
      </c>
    </row>
    <row r="302" spans="4:34">
      <c r="D302">
        <v>295</v>
      </c>
      <c r="E302" s="6">
        <f t="shared" ca="1" si="76"/>
        <v>43800</v>
      </c>
      <c r="F302" s="7">
        <f t="shared" ca="1" si="77"/>
        <v>0</v>
      </c>
      <c r="G302" s="125">
        <f t="shared" ca="1" si="70"/>
        <v>0</v>
      </c>
      <c r="H302" s="125">
        <f ca="1">IF(F302=1,F302*$B$10/MIN(12,'Simulador - 3º Pilar'!$E$88),0)</f>
        <v>0</v>
      </c>
      <c r="I302" s="128">
        <f t="shared" ca="1" si="71"/>
        <v>0</v>
      </c>
      <c r="J302" s="494">
        <f t="shared" ca="1" si="72"/>
        <v>0</v>
      </c>
      <c r="K302" s="126">
        <f t="shared" ca="1" si="73"/>
        <v>0</v>
      </c>
      <c r="L302" s="126">
        <f t="shared" ca="1" si="86"/>
        <v>0</v>
      </c>
      <c r="P302">
        <v>295</v>
      </c>
      <c r="Q302" s="6">
        <f t="shared" ca="1" si="78"/>
        <v>43800</v>
      </c>
      <c r="R302" s="7" t="e">
        <f t="shared" ca="1" si="79"/>
        <v>#REF!</v>
      </c>
      <c r="S302" s="125" t="e">
        <f t="shared" ca="1" si="80"/>
        <v>#REF!</v>
      </c>
      <c r="T302" s="125" t="e">
        <f t="shared" ca="1" si="74"/>
        <v>#REF!</v>
      </c>
      <c r="U302" s="128" t="e">
        <f t="shared" ca="1" si="81"/>
        <v>#REF!</v>
      </c>
      <c r="AC302">
        <v>295</v>
      </c>
      <c r="AD302" s="6">
        <f t="shared" ca="1" si="82"/>
        <v>43800</v>
      </c>
      <c r="AE302" s="7" t="e">
        <f t="shared" ca="1" si="83"/>
        <v>#REF!</v>
      </c>
      <c r="AF302" s="125" t="e">
        <f t="shared" ca="1" si="84"/>
        <v>#REF!</v>
      </c>
      <c r="AG302" s="125" t="e">
        <f t="shared" ca="1" si="75"/>
        <v>#REF!</v>
      </c>
      <c r="AH302" s="128" t="e">
        <f t="shared" ca="1" si="85"/>
        <v>#REF!</v>
      </c>
    </row>
    <row r="303" spans="4:34">
      <c r="D303">
        <v>296</v>
      </c>
      <c r="E303" s="6">
        <f t="shared" ca="1" si="76"/>
        <v>43770</v>
      </c>
      <c r="F303" s="7">
        <f t="shared" ca="1" si="77"/>
        <v>0</v>
      </c>
      <c r="G303" s="125">
        <f t="shared" ca="1" si="70"/>
        <v>0</v>
      </c>
      <c r="H303" s="125">
        <f ca="1">IF(F303=1,F303*$B$10/MIN(12,'Simulador - 3º Pilar'!$E$88),0)</f>
        <v>0</v>
      </c>
      <c r="I303" s="128">
        <f t="shared" ca="1" si="71"/>
        <v>0</v>
      </c>
      <c r="J303" s="494">
        <f t="shared" ca="1" si="72"/>
        <v>0</v>
      </c>
      <c r="K303" s="126">
        <f t="shared" ca="1" si="73"/>
        <v>0</v>
      </c>
      <c r="L303" s="126">
        <f t="shared" ca="1" si="86"/>
        <v>0</v>
      </c>
      <c r="P303">
        <v>296</v>
      </c>
      <c r="Q303" s="6">
        <f t="shared" ca="1" si="78"/>
        <v>43770</v>
      </c>
      <c r="R303" s="7" t="e">
        <f t="shared" ca="1" si="79"/>
        <v>#REF!</v>
      </c>
      <c r="S303" s="125" t="e">
        <f t="shared" ca="1" si="80"/>
        <v>#REF!</v>
      </c>
      <c r="T303" s="125" t="e">
        <f t="shared" ca="1" si="74"/>
        <v>#REF!</v>
      </c>
      <c r="U303" s="128" t="e">
        <f t="shared" ca="1" si="81"/>
        <v>#REF!</v>
      </c>
      <c r="AC303">
        <v>296</v>
      </c>
      <c r="AD303" s="6">
        <f t="shared" ca="1" si="82"/>
        <v>43770</v>
      </c>
      <c r="AE303" s="7" t="e">
        <f t="shared" ca="1" si="83"/>
        <v>#REF!</v>
      </c>
      <c r="AF303" s="125" t="e">
        <f t="shared" ca="1" si="84"/>
        <v>#REF!</v>
      </c>
      <c r="AG303" s="125" t="e">
        <f t="shared" ca="1" si="75"/>
        <v>#REF!</v>
      </c>
      <c r="AH303" s="128" t="e">
        <f t="shared" ca="1" si="85"/>
        <v>#REF!</v>
      </c>
    </row>
    <row r="304" spans="4:34">
      <c r="D304">
        <v>297</v>
      </c>
      <c r="E304" s="6">
        <f t="shared" ca="1" si="76"/>
        <v>43739</v>
      </c>
      <c r="F304" s="7">
        <f t="shared" ca="1" si="77"/>
        <v>0</v>
      </c>
      <c r="G304" s="125">
        <f t="shared" ca="1" si="70"/>
        <v>0</v>
      </c>
      <c r="H304" s="125">
        <f ca="1">IF(F304=1,F304*$B$10/MIN(12,'Simulador - 3º Pilar'!$E$88),0)</f>
        <v>0</v>
      </c>
      <c r="I304" s="128">
        <f t="shared" ca="1" si="71"/>
        <v>0</v>
      </c>
      <c r="J304" s="494">
        <f t="shared" ca="1" si="72"/>
        <v>0</v>
      </c>
      <c r="K304" s="126">
        <f t="shared" ca="1" si="73"/>
        <v>0</v>
      </c>
      <c r="L304" s="126">
        <f t="shared" ca="1" si="86"/>
        <v>0</v>
      </c>
      <c r="P304">
        <v>297</v>
      </c>
      <c r="Q304" s="6">
        <f t="shared" ca="1" si="78"/>
        <v>43739</v>
      </c>
      <c r="R304" s="7" t="e">
        <f t="shared" ca="1" si="79"/>
        <v>#REF!</v>
      </c>
      <c r="S304" s="125" t="e">
        <f t="shared" ca="1" si="80"/>
        <v>#REF!</v>
      </c>
      <c r="T304" s="125" t="e">
        <f t="shared" ca="1" si="74"/>
        <v>#REF!</v>
      </c>
      <c r="U304" s="128" t="e">
        <f t="shared" ca="1" si="81"/>
        <v>#REF!</v>
      </c>
      <c r="AC304">
        <v>297</v>
      </c>
      <c r="AD304" s="6">
        <f t="shared" ca="1" si="82"/>
        <v>43739</v>
      </c>
      <c r="AE304" s="7" t="e">
        <f t="shared" ca="1" si="83"/>
        <v>#REF!</v>
      </c>
      <c r="AF304" s="125" t="e">
        <f t="shared" ca="1" si="84"/>
        <v>#REF!</v>
      </c>
      <c r="AG304" s="125" t="e">
        <f t="shared" ca="1" si="75"/>
        <v>#REF!</v>
      </c>
      <c r="AH304" s="128" t="e">
        <f t="shared" ca="1" si="85"/>
        <v>#REF!</v>
      </c>
    </row>
    <row r="305" spans="4:35">
      <c r="D305">
        <v>298</v>
      </c>
      <c r="E305" s="6">
        <f t="shared" ca="1" si="76"/>
        <v>43709</v>
      </c>
      <c r="F305" s="7">
        <f t="shared" ca="1" si="77"/>
        <v>0</v>
      </c>
      <c r="G305" s="125">
        <f t="shared" ca="1" si="70"/>
        <v>0</v>
      </c>
      <c r="H305" s="125">
        <f ca="1">IF(F305=1,F305*$B$10/MIN(12,'Simulador - 3º Pilar'!$E$88),0)</f>
        <v>0</v>
      </c>
      <c r="I305" s="128">
        <f t="shared" ca="1" si="71"/>
        <v>0</v>
      </c>
      <c r="J305" s="494">
        <f t="shared" ca="1" si="72"/>
        <v>0</v>
      </c>
      <c r="K305" s="126">
        <f t="shared" ca="1" si="73"/>
        <v>0</v>
      </c>
      <c r="L305" s="126">
        <f t="shared" ca="1" si="86"/>
        <v>0</v>
      </c>
      <c r="P305">
        <v>298</v>
      </c>
      <c r="Q305" s="6">
        <f t="shared" ca="1" si="78"/>
        <v>43709</v>
      </c>
      <c r="R305" s="7" t="e">
        <f t="shared" ca="1" si="79"/>
        <v>#REF!</v>
      </c>
      <c r="S305" s="125" t="e">
        <f t="shared" ca="1" si="80"/>
        <v>#REF!</v>
      </c>
      <c r="T305" s="125" t="e">
        <f t="shared" ca="1" si="74"/>
        <v>#REF!</v>
      </c>
      <c r="U305" s="128" t="e">
        <f t="shared" ca="1" si="81"/>
        <v>#REF!</v>
      </c>
      <c r="AC305">
        <v>298</v>
      </c>
      <c r="AD305" s="6">
        <f t="shared" ca="1" si="82"/>
        <v>43709</v>
      </c>
      <c r="AE305" s="7" t="e">
        <f t="shared" ca="1" si="83"/>
        <v>#REF!</v>
      </c>
      <c r="AF305" s="125" t="e">
        <f t="shared" ca="1" si="84"/>
        <v>#REF!</v>
      </c>
      <c r="AG305" s="125" t="e">
        <f t="shared" ca="1" si="75"/>
        <v>#REF!</v>
      </c>
      <c r="AH305" s="128" t="e">
        <f t="shared" ca="1" si="85"/>
        <v>#REF!</v>
      </c>
    </row>
    <row r="306" spans="4:35">
      <c r="D306">
        <v>299</v>
      </c>
      <c r="E306" s="6">
        <f t="shared" ca="1" si="76"/>
        <v>43678</v>
      </c>
      <c r="F306" s="7">
        <f t="shared" ca="1" si="77"/>
        <v>0</v>
      </c>
      <c r="G306" s="125">
        <f t="shared" ca="1" si="70"/>
        <v>0</v>
      </c>
      <c r="H306" s="125">
        <f ca="1">IF(F306=1,F306*$B$10/MIN(12,'Simulador - 3º Pilar'!$E$88),0)</f>
        <v>0</v>
      </c>
      <c r="I306" s="128">
        <f t="shared" ca="1" si="71"/>
        <v>0</v>
      </c>
      <c r="J306" s="494">
        <f t="shared" ca="1" si="72"/>
        <v>0</v>
      </c>
      <c r="K306" s="126">
        <f t="shared" ca="1" si="73"/>
        <v>0</v>
      </c>
      <c r="L306" s="126">
        <f t="shared" ca="1" si="86"/>
        <v>0</v>
      </c>
      <c r="P306">
        <v>299</v>
      </c>
      <c r="Q306" s="6">
        <f t="shared" ca="1" si="78"/>
        <v>43678</v>
      </c>
      <c r="R306" s="7" t="e">
        <f t="shared" ca="1" si="79"/>
        <v>#REF!</v>
      </c>
      <c r="S306" s="125" t="e">
        <f t="shared" ca="1" si="80"/>
        <v>#REF!</v>
      </c>
      <c r="T306" s="125" t="e">
        <f t="shared" ca="1" si="74"/>
        <v>#REF!</v>
      </c>
      <c r="U306" s="128" t="e">
        <f t="shared" ca="1" si="81"/>
        <v>#REF!</v>
      </c>
      <c r="AC306">
        <v>299</v>
      </c>
      <c r="AD306" s="6">
        <f t="shared" ca="1" si="82"/>
        <v>43678</v>
      </c>
      <c r="AE306" s="7" t="e">
        <f t="shared" ca="1" si="83"/>
        <v>#REF!</v>
      </c>
      <c r="AF306" s="125" t="e">
        <f t="shared" ca="1" si="84"/>
        <v>#REF!</v>
      </c>
      <c r="AG306" s="125" t="e">
        <f t="shared" ca="1" si="75"/>
        <v>#REF!</v>
      </c>
      <c r="AH306" s="128" t="e">
        <f t="shared" ca="1" si="85"/>
        <v>#REF!</v>
      </c>
    </row>
    <row r="307" spans="4:35">
      <c r="D307">
        <v>300</v>
      </c>
      <c r="E307" s="6">
        <f t="shared" ca="1" si="76"/>
        <v>43647</v>
      </c>
      <c r="F307" s="7">
        <f t="shared" ca="1" si="77"/>
        <v>0</v>
      </c>
      <c r="G307" s="125">
        <f t="shared" ca="1" si="70"/>
        <v>0</v>
      </c>
      <c r="H307" s="125">
        <f ca="1">IF(F307=1,F307*$B$10/MIN(12,'Simulador - 3º Pilar'!$E$88),0)</f>
        <v>0</v>
      </c>
      <c r="I307" s="128">
        <f t="shared" ca="1" si="71"/>
        <v>0</v>
      </c>
      <c r="J307" s="494">
        <f t="shared" ca="1" si="72"/>
        <v>0</v>
      </c>
      <c r="K307" s="126">
        <f t="shared" ca="1" si="73"/>
        <v>0</v>
      </c>
      <c r="L307" s="126">
        <f t="shared" ca="1" si="86"/>
        <v>0</v>
      </c>
      <c r="P307">
        <v>300</v>
      </c>
      <c r="Q307" s="6">
        <f t="shared" ca="1" si="78"/>
        <v>43647</v>
      </c>
      <c r="R307" s="7" t="e">
        <f t="shared" ca="1" si="79"/>
        <v>#REF!</v>
      </c>
      <c r="S307" s="125" t="e">
        <f t="shared" ca="1" si="80"/>
        <v>#REF!</v>
      </c>
      <c r="T307" s="125" t="e">
        <f t="shared" ca="1" si="74"/>
        <v>#REF!</v>
      </c>
      <c r="U307" s="128" t="e">
        <f t="shared" ca="1" si="81"/>
        <v>#REF!</v>
      </c>
      <c r="AC307">
        <v>300</v>
      </c>
      <c r="AD307" s="6">
        <f t="shared" ca="1" si="82"/>
        <v>43647</v>
      </c>
      <c r="AE307" s="7" t="e">
        <f t="shared" ca="1" si="83"/>
        <v>#REF!</v>
      </c>
      <c r="AF307" s="125" t="e">
        <f t="shared" ca="1" si="84"/>
        <v>#REF!</v>
      </c>
      <c r="AG307" s="125" t="e">
        <f t="shared" ca="1" si="75"/>
        <v>#REF!</v>
      </c>
      <c r="AH307" s="128" t="e">
        <f t="shared" ca="1" si="85"/>
        <v>#REF!</v>
      </c>
    </row>
    <row r="308" spans="4:35">
      <c r="D308">
        <v>301</v>
      </c>
      <c r="E308" s="6">
        <f t="shared" ca="1" si="76"/>
        <v>43617</v>
      </c>
      <c r="F308" s="7">
        <f t="shared" ca="1" si="77"/>
        <v>0</v>
      </c>
      <c r="G308" s="125">
        <f t="shared" ca="1" si="70"/>
        <v>0</v>
      </c>
      <c r="H308" s="125">
        <f ca="1">IF(F308=1,F308*$B$10/MIN(12,'Simulador - 3º Pilar'!$E$88),0)</f>
        <v>0</v>
      </c>
      <c r="I308" s="128">
        <f t="shared" ca="1" si="71"/>
        <v>0</v>
      </c>
      <c r="J308" s="494">
        <f t="shared" ca="1" si="72"/>
        <v>0</v>
      </c>
      <c r="K308" s="126">
        <f t="shared" ca="1" si="73"/>
        <v>0</v>
      </c>
      <c r="L308" s="126">
        <f t="shared" ca="1" si="86"/>
        <v>0</v>
      </c>
      <c r="P308">
        <v>301</v>
      </c>
      <c r="Q308" s="6">
        <f t="shared" ca="1" si="78"/>
        <v>43617</v>
      </c>
      <c r="R308" s="7" t="e">
        <f t="shared" ca="1" si="79"/>
        <v>#REF!</v>
      </c>
      <c r="S308" s="125" t="e">
        <f t="shared" ca="1" si="80"/>
        <v>#REF!</v>
      </c>
      <c r="T308" s="125" t="e">
        <f t="shared" ca="1" si="74"/>
        <v>#REF!</v>
      </c>
      <c r="U308" s="128" t="e">
        <f t="shared" ca="1" si="81"/>
        <v>#REF!</v>
      </c>
      <c r="AC308">
        <v>301</v>
      </c>
      <c r="AD308" s="6">
        <f t="shared" ca="1" si="82"/>
        <v>43617</v>
      </c>
      <c r="AE308" s="7" t="e">
        <f t="shared" ca="1" si="83"/>
        <v>#REF!</v>
      </c>
      <c r="AF308" s="125" t="e">
        <f t="shared" ca="1" si="84"/>
        <v>#REF!</v>
      </c>
      <c r="AG308" s="125" t="e">
        <f t="shared" ca="1" si="75"/>
        <v>#REF!</v>
      </c>
      <c r="AH308" s="128" t="e">
        <f t="shared" ca="1" si="85"/>
        <v>#REF!</v>
      </c>
    </row>
    <row r="309" spans="4:35">
      <c r="D309">
        <v>302</v>
      </c>
      <c r="E309" s="6">
        <f t="shared" ca="1" si="76"/>
        <v>43586</v>
      </c>
      <c r="F309" s="7">
        <f t="shared" ca="1" si="77"/>
        <v>0</v>
      </c>
      <c r="G309" s="125">
        <f t="shared" ca="1" si="70"/>
        <v>0</v>
      </c>
      <c r="H309" s="125">
        <f ca="1">IF(F309=1,F309*$B$10/MIN(12,'Simulador - 3º Pilar'!$E$88),0)</f>
        <v>0</v>
      </c>
      <c r="I309" s="128">
        <f t="shared" ca="1" si="71"/>
        <v>0</v>
      </c>
      <c r="J309" s="494">
        <f t="shared" ca="1" si="72"/>
        <v>0</v>
      </c>
      <c r="K309" s="126">
        <f t="shared" ca="1" si="73"/>
        <v>0</v>
      </c>
      <c r="L309" s="126">
        <f t="shared" ca="1" si="86"/>
        <v>0</v>
      </c>
      <c r="P309">
        <v>302</v>
      </c>
      <c r="Q309" s="6">
        <f t="shared" ca="1" si="78"/>
        <v>43586</v>
      </c>
      <c r="R309" s="7" t="e">
        <f t="shared" ca="1" si="79"/>
        <v>#REF!</v>
      </c>
      <c r="S309" s="125" t="e">
        <f t="shared" ca="1" si="80"/>
        <v>#REF!</v>
      </c>
      <c r="T309" s="125" t="e">
        <f t="shared" ca="1" si="74"/>
        <v>#REF!</v>
      </c>
      <c r="U309" s="128" t="e">
        <f t="shared" ca="1" si="81"/>
        <v>#REF!</v>
      </c>
      <c r="AC309">
        <v>302</v>
      </c>
      <c r="AD309" s="6">
        <f t="shared" ca="1" si="82"/>
        <v>43586</v>
      </c>
      <c r="AE309" s="7" t="e">
        <f t="shared" ca="1" si="83"/>
        <v>#REF!</v>
      </c>
      <c r="AF309" s="125" t="e">
        <f t="shared" ca="1" si="84"/>
        <v>#REF!</v>
      </c>
      <c r="AG309" s="125" t="e">
        <f t="shared" ca="1" si="75"/>
        <v>#REF!</v>
      </c>
      <c r="AH309" s="128" t="e">
        <f t="shared" ca="1" si="85"/>
        <v>#REF!</v>
      </c>
    </row>
    <row r="310" spans="4:35">
      <c r="D310">
        <v>303</v>
      </c>
      <c r="E310" s="6">
        <f t="shared" ca="1" si="76"/>
        <v>43556</v>
      </c>
      <c r="F310" s="7">
        <f t="shared" ca="1" si="77"/>
        <v>0</v>
      </c>
      <c r="G310" s="125">
        <f t="shared" ca="1" si="70"/>
        <v>0</v>
      </c>
      <c r="H310" s="125">
        <f ca="1">IF(F310=1,F310*$B$10/MIN(12,'Simulador - 3º Pilar'!$E$88),0)</f>
        <v>0</v>
      </c>
      <c r="I310" s="128">
        <f t="shared" ca="1" si="71"/>
        <v>0</v>
      </c>
      <c r="J310" s="494">
        <f t="shared" ca="1" si="72"/>
        <v>0</v>
      </c>
      <c r="K310" s="126">
        <f t="shared" ca="1" si="73"/>
        <v>0</v>
      </c>
      <c r="L310" s="126">
        <f t="shared" ca="1" si="86"/>
        <v>0</v>
      </c>
      <c r="P310">
        <v>303</v>
      </c>
      <c r="Q310" s="6">
        <f t="shared" ca="1" si="78"/>
        <v>43556</v>
      </c>
      <c r="R310" s="7" t="e">
        <f t="shared" ca="1" si="79"/>
        <v>#REF!</v>
      </c>
      <c r="S310" s="125" t="e">
        <f t="shared" ca="1" si="80"/>
        <v>#REF!</v>
      </c>
      <c r="T310" s="125" t="e">
        <f t="shared" ca="1" si="74"/>
        <v>#REF!</v>
      </c>
      <c r="U310" s="128" t="e">
        <f t="shared" ca="1" si="81"/>
        <v>#REF!</v>
      </c>
      <c r="AC310">
        <v>303</v>
      </c>
      <c r="AD310" s="6">
        <f t="shared" ca="1" si="82"/>
        <v>43556</v>
      </c>
      <c r="AE310" s="7" t="e">
        <f t="shared" ca="1" si="83"/>
        <v>#REF!</v>
      </c>
      <c r="AF310" s="125" t="e">
        <f t="shared" ca="1" si="84"/>
        <v>#REF!</v>
      </c>
      <c r="AG310" s="125" t="e">
        <f t="shared" ca="1" si="75"/>
        <v>#REF!</v>
      </c>
      <c r="AH310" s="128" t="e">
        <f t="shared" ca="1" si="85"/>
        <v>#REF!</v>
      </c>
    </row>
    <row r="311" spans="4:35">
      <c r="D311">
        <v>304</v>
      </c>
      <c r="E311" s="6">
        <f t="shared" ca="1" si="76"/>
        <v>43525</v>
      </c>
      <c r="F311" s="7">
        <f t="shared" ca="1" si="77"/>
        <v>0</v>
      </c>
      <c r="G311" s="125">
        <f t="shared" ca="1" si="70"/>
        <v>0</v>
      </c>
      <c r="H311" s="125">
        <f ca="1">IF(F311=1,F311*$B$10/MIN(12,'Simulador - 3º Pilar'!$E$88),0)</f>
        <v>0</v>
      </c>
      <c r="I311" s="128">
        <f t="shared" ca="1" si="71"/>
        <v>0</v>
      </c>
      <c r="J311" s="494">
        <f t="shared" ca="1" si="72"/>
        <v>0</v>
      </c>
      <c r="K311" s="126">
        <f t="shared" ca="1" si="73"/>
        <v>0</v>
      </c>
      <c r="L311" s="126">
        <f t="shared" ca="1" si="86"/>
        <v>0</v>
      </c>
      <c r="P311">
        <v>304</v>
      </c>
      <c r="Q311" s="6">
        <f t="shared" ca="1" si="78"/>
        <v>43525</v>
      </c>
      <c r="R311" s="7" t="e">
        <f t="shared" ca="1" si="79"/>
        <v>#REF!</v>
      </c>
      <c r="S311" s="125" t="e">
        <f t="shared" ca="1" si="80"/>
        <v>#REF!</v>
      </c>
      <c r="T311" s="125" t="e">
        <f t="shared" ca="1" si="74"/>
        <v>#REF!</v>
      </c>
      <c r="U311" s="128" t="e">
        <f t="shared" ca="1" si="81"/>
        <v>#REF!</v>
      </c>
      <c r="AC311">
        <v>304</v>
      </c>
      <c r="AD311" s="6">
        <f t="shared" ca="1" si="82"/>
        <v>43525</v>
      </c>
      <c r="AE311" s="7" t="e">
        <f t="shared" ca="1" si="83"/>
        <v>#REF!</v>
      </c>
      <c r="AF311" s="125" t="e">
        <f t="shared" ca="1" si="84"/>
        <v>#REF!</v>
      </c>
      <c r="AG311" s="125" t="e">
        <f t="shared" ca="1" si="75"/>
        <v>#REF!</v>
      </c>
      <c r="AH311" s="128" t="e">
        <f t="shared" ca="1" si="85"/>
        <v>#REF!</v>
      </c>
    </row>
    <row r="312" spans="4:35">
      <c r="D312">
        <v>305</v>
      </c>
      <c r="E312" s="6">
        <f t="shared" ca="1" si="76"/>
        <v>43497</v>
      </c>
      <c r="F312" s="7">
        <f t="shared" ca="1" si="77"/>
        <v>0</v>
      </c>
      <c r="G312" s="125">
        <f t="shared" ca="1" si="70"/>
        <v>0</v>
      </c>
      <c r="H312" s="125">
        <f ca="1">IF(F312=1,F312*$B$10/MIN(12,'Simulador - 3º Pilar'!$E$88),0)</f>
        <v>0</v>
      </c>
      <c r="I312" s="128">
        <f t="shared" ca="1" si="71"/>
        <v>0</v>
      </c>
      <c r="J312" s="494">
        <f t="shared" ca="1" si="72"/>
        <v>0</v>
      </c>
      <c r="K312" s="126">
        <f t="shared" ca="1" si="73"/>
        <v>0</v>
      </c>
      <c r="L312" s="126">
        <f t="shared" ca="1" si="86"/>
        <v>0</v>
      </c>
      <c r="P312">
        <v>305</v>
      </c>
      <c r="Q312" s="6">
        <f t="shared" ca="1" si="78"/>
        <v>43497</v>
      </c>
      <c r="R312" s="7" t="e">
        <f t="shared" ca="1" si="79"/>
        <v>#REF!</v>
      </c>
      <c r="S312" s="125" t="e">
        <f t="shared" ca="1" si="80"/>
        <v>#REF!</v>
      </c>
      <c r="T312" s="125" t="e">
        <f t="shared" ca="1" si="74"/>
        <v>#REF!</v>
      </c>
      <c r="U312" s="128" t="e">
        <f t="shared" ca="1" si="81"/>
        <v>#REF!</v>
      </c>
      <c r="AC312">
        <v>305</v>
      </c>
      <c r="AD312" s="6">
        <f t="shared" ca="1" si="82"/>
        <v>43497</v>
      </c>
      <c r="AE312" s="7" t="e">
        <f t="shared" ca="1" si="83"/>
        <v>#REF!</v>
      </c>
      <c r="AF312" s="125" t="e">
        <f t="shared" ca="1" si="84"/>
        <v>#REF!</v>
      </c>
      <c r="AG312" s="125" t="e">
        <f t="shared" ca="1" si="75"/>
        <v>#REF!</v>
      </c>
      <c r="AH312" s="128" t="e">
        <f t="shared" ca="1" si="85"/>
        <v>#REF!</v>
      </c>
    </row>
    <row r="313" spans="4:35">
      <c r="D313">
        <v>306</v>
      </c>
      <c r="E313" s="6">
        <f t="shared" ca="1" si="76"/>
        <v>43466</v>
      </c>
      <c r="F313" s="7">
        <f t="shared" ca="1" si="77"/>
        <v>0</v>
      </c>
      <c r="G313" s="125">
        <f t="shared" ca="1" si="70"/>
        <v>0</v>
      </c>
      <c r="H313" s="125">
        <f ca="1">IF(F313=1,F313*$B$10/MIN(12,'Simulador - 3º Pilar'!$E$88),0)</f>
        <v>0</v>
      </c>
      <c r="I313" s="128">
        <f t="shared" ca="1" si="71"/>
        <v>0</v>
      </c>
      <c r="J313" s="494">
        <f t="shared" ca="1" si="72"/>
        <v>0</v>
      </c>
      <c r="K313" s="126">
        <f t="shared" ca="1" si="73"/>
        <v>0</v>
      </c>
      <c r="L313" s="126">
        <f t="shared" ca="1" si="86"/>
        <v>0</v>
      </c>
      <c r="P313">
        <v>306</v>
      </c>
      <c r="Q313" s="6">
        <f t="shared" ca="1" si="78"/>
        <v>43466</v>
      </c>
      <c r="R313" s="7" t="e">
        <f t="shared" ca="1" si="79"/>
        <v>#REF!</v>
      </c>
      <c r="S313" s="125" t="e">
        <f t="shared" ca="1" si="80"/>
        <v>#REF!</v>
      </c>
      <c r="T313" s="125" t="e">
        <f t="shared" ca="1" si="74"/>
        <v>#REF!</v>
      </c>
      <c r="U313" s="128" t="e">
        <f t="shared" ca="1" si="81"/>
        <v>#REF!</v>
      </c>
      <c r="V313" s="55"/>
      <c r="AC313">
        <v>306</v>
      </c>
      <c r="AD313" s="6">
        <f t="shared" ca="1" si="82"/>
        <v>43466</v>
      </c>
      <c r="AE313" s="7" t="e">
        <f t="shared" ca="1" si="83"/>
        <v>#REF!</v>
      </c>
      <c r="AF313" s="125" t="e">
        <f t="shared" ca="1" si="84"/>
        <v>#REF!</v>
      </c>
      <c r="AG313" s="125" t="e">
        <f t="shared" ca="1" si="75"/>
        <v>#REF!</v>
      </c>
      <c r="AH313" s="128" t="e">
        <f t="shared" ca="1" si="85"/>
        <v>#REF!</v>
      </c>
      <c r="AI313" s="55"/>
    </row>
    <row r="314" spans="4:35">
      <c r="D314">
        <v>307</v>
      </c>
      <c r="E314" s="6">
        <f t="shared" ca="1" si="76"/>
        <v>43435</v>
      </c>
      <c r="F314" s="7">
        <f t="shared" ca="1" si="77"/>
        <v>0</v>
      </c>
      <c r="G314" s="125">
        <f t="shared" ca="1" si="70"/>
        <v>0</v>
      </c>
      <c r="H314" s="125">
        <f ca="1">IF(F314=1,F314*$B$10/MIN(12,'Simulador - 3º Pilar'!$E$88),0)</f>
        <v>0</v>
      </c>
      <c r="I314" s="128">
        <f t="shared" ca="1" si="71"/>
        <v>0</v>
      </c>
      <c r="J314" s="494">
        <f t="shared" ca="1" si="72"/>
        <v>0</v>
      </c>
      <c r="K314" s="126">
        <f t="shared" ca="1" si="73"/>
        <v>0</v>
      </c>
      <c r="L314" s="126">
        <f t="shared" ca="1" si="86"/>
        <v>0</v>
      </c>
      <c r="M314" s="126"/>
      <c r="P314">
        <v>307</v>
      </c>
      <c r="Q314" s="6">
        <f t="shared" ca="1" si="78"/>
        <v>43435</v>
      </c>
      <c r="R314" s="7" t="e">
        <f t="shared" ca="1" si="79"/>
        <v>#REF!</v>
      </c>
      <c r="S314" s="125" t="e">
        <f t="shared" ca="1" si="80"/>
        <v>#REF!</v>
      </c>
      <c r="T314" s="125" t="e">
        <f t="shared" ca="1" si="74"/>
        <v>#REF!</v>
      </c>
      <c r="U314" s="128" t="e">
        <f t="shared" ca="1" si="81"/>
        <v>#REF!</v>
      </c>
      <c r="AC314">
        <v>307</v>
      </c>
      <c r="AD314" s="6">
        <f t="shared" ca="1" si="82"/>
        <v>43435</v>
      </c>
      <c r="AE314" s="7" t="e">
        <f t="shared" ca="1" si="83"/>
        <v>#REF!</v>
      </c>
      <c r="AF314" s="125" t="e">
        <f t="shared" ca="1" si="84"/>
        <v>#REF!</v>
      </c>
      <c r="AG314" s="125" t="e">
        <f t="shared" ca="1" si="75"/>
        <v>#REF!</v>
      </c>
      <c r="AH314" s="128" t="e">
        <f t="shared" ca="1" si="85"/>
        <v>#REF!</v>
      </c>
    </row>
    <row r="315" spans="4:35">
      <c r="D315">
        <v>308</v>
      </c>
      <c r="E315" s="6">
        <f t="shared" ca="1" si="76"/>
        <v>43405</v>
      </c>
      <c r="F315" s="7">
        <f t="shared" ca="1" si="77"/>
        <v>0</v>
      </c>
      <c r="G315" s="125">
        <f t="shared" ca="1" si="70"/>
        <v>0</v>
      </c>
      <c r="H315" s="125">
        <f ca="1">IF(F315=1,F315*$B$10/MIN(12,'Simulador - 3º Pilar'!$E$88),0)</f>
        <v>0</v>
      </c>
      <c r="I315" s="128">
        <f t="shared" ca="1" si="71"/>
        <v>0</v>
      </c>
      <c r="J315" s="494">
        <f t="shared" ca="1" si="72"/>
        <v>0</v>
      </c>
      <c r="K315" s="126">
        <f t="shared" ca="1" si="73"/>
        <v>0</v>
      </c>
      <c r="L315" s="126">
        <f t="shared" ca="1" si="86"/>
        <v>0</v>
      </c>
      <c r="M315" s="126"/>
      <c r="P315">
        <v>308</v>
      </c>
      <c r="Q315" s="6">
        <f t="shared" ca="1" si="78"/>
        <v>43405</v>
      </c>
      <c r="R315" s="7" t="e">
        <f t="shared" ca="1" si="79"/>
        <v>#REF!</v>
      </c>
      <c r="S315" s="125" t="e">
        <f t="shared" ca="1" si="80"/>
        <v>#REF!</v>
      </c>
      <c r="T315" s="125" t="e">
        <f t="shared" ca="1" si="74"/>
        <v>#REF!</v>
      </c>
      <c r="U315" s="128" t="e">
        <f t="shared" ca="1" si="81"/>
        <v>#REF!</v>
      </c>
      <c r="AC315">
        <v>308</v>
      </c>
      <c r="AD315" s="6">
        <f t="shared" ca="1" si="82"/>
        <v>43405</v>
      </c>
      <c r="AE315" s="7" t="e">
        <f t="shared" ca="1" si="83"/>
        <v>#REF!</v>
      </c>
      <c r="AF315" s="125" t="e">
        <f t="shared" ca="1" si="84"/>
        <v>#REF!</v>
      </c>
      <c r="AG315" s="125" t="e">
        <f t="shared" ca="1" si="75"/>
        <v>#REF!</v>
      </c>
      <c r="AH315" s="128" t="e">
        <f t="shared" ca="1" si="85"/>
        <v>#REF!</v>
      </c>
    </row>
    <row r="316" spans="4:35">
      <c r="D316">
        <v>309</v>
      </c>
      <c r="E316" s="6">
        <f ca="1">+DATE(YEAR(E315),MONTH(E315)-1,DAY(E315))</f>
        <v>43374</v>
      </c>
      <c r="F316" s="7">
        <f t="shared" ca="1" si="77"/>
        <v>0</v>
      </c>
      <c r="G316" s="125">
        <f t="shared" ca="1" si="70"/>
        <v>0</v>
      </c>
      <c r="H316" s="125">
        <f ca="1">IF(F316=1,F316*$B$10/MIN(12,'Simulador - 3º Pilar'!$E$88),0)</f>
        <v>0</v>
      </c>
      <c r="I316" s="128">
        <f t="shared" ca="1" si="71"/>
        <v>0</v>
      </c>
      <c r="J316" s="494">
        <f t="shared" ca="1" si="72"/>
        <v>0</v>
      </c>
      <c r="K316" s="126">
        <f t="shared" ca="1" si="73"/>
        <v>0</v>
      </c>
      <c r="L316" s="126">
        <f t="shared" ca="1" si="86"/>
        <v>0</v>
      </c>
      <c r="P316">
        <v>309</v>
      </c>
      <c r="Q316" s="6">
        <f ca="1">+DATE(YEAR(Q315),MONTH(Q315)-1,DAY(Q315))</f>
        <v>43374</v>
      </c>
      <c r="R316" s="7" t="e">
        <f t="shared" ca="1" si="79"/>
        <v>#REF!</v>
      </c>
      <c r="S316" s="125" t="e">
        <f t="shared" ca="1" si="80"/>
        <v>#REF!</v>
      </c>
      <c r="T316" s="125" t="e">
        <f t="shared" ca="1" si="74"/>
        <v>#REF!</v>
      </c>
      <c r="U316" s="128" t="e">
        <f t="shared" ca="1" si="81"/>
        <v>#REF!</v>
      </c>
      <c r="AC316">
        <v>309</v>
      </c>
      <c r="AD316" s="6">
        <f ca="1">+DATE(YEAR(AD315),MONTH(AD315)-1,DAY(AD315))</f>
        <v>43374</v>
      </c>
      <c r="AE316" s="7" t="e">
        <f t="shared" ca="1" si="83"/>
        <v>#REF!</v>
      </c>
      <c r="AF316" s="125" t="e">
        <f t="shared" ca="1" si="84"/>
        <v>#REF!</v>
      </c>
      <c r="AG316" s="125" t="e">
        <f t="shared" ca="1" si="75"/>
        <v>#REF!</v>
      </c>
      <c r="AH316" s="128" t="e">
        <f t="shared" ca="1" si="85"/>
        <v>#REF!</v>
      </c>
    </row>
    <row r="317" spans="4:35">
      <c r="D317">
        <v>310</v>
      </c>
      <c r="E317" s="6">
        <f t="shared" ref="E317:E326" ca="1" si="87">+DATE(YEAR(E316),MONTH(E316)-1,DAY(E316))</f>
        <v>43344</v>
      </c>
      <c r="F317" s="7">
        <f t="shared" ca="1" si="77"/>
        <v>0</v>
      </c>
      <c r="G317" s="125">
        <f t="shared" ca="1" si="70"/>
        <v>0</v>
      </c>
      <c r="H317" s="125">
        <f ca="1">IF(F317=1,F317*$B$10/MIN(12,'Simulador - 3º Pilar'!$E$88),0)</f>
        <v>0</v>
      </c>
      <c r="I317" s="128">
        <f t="shared" ca="1" si="71"/>
        <v>0</v>
      </c>
      <c r="J317" s="494">
        <f t="shared" ca="1" si="72"/>
        <v>0</v>
      </c>
      <c r="K317" s="126">
        <f t="shared" ca="1" si="73"/>
        <v>0</v>
      </c>
      <c r="L317" s="126">
        <f t="shared" ca="1" si="86"/>
        <v>0</v>
      </c>
      <c r="P317">
        <v>310</v>
      </c>
      <c r="Q317" s="6">
        <f t="shared" ref="Q317:Q326" ca="1" si="88">+DATE(YEAR(Q316),MONTH(Q316)-1,DAY(Q316))</f>
        <v>43344</v>
      </c>
      <c r="R317" s="7" t="e">
        <f t="shared" ca="1" si="79"/>
        <v>#REF!</v>
      </c>
      <c r="S317" s="125" t="e">
        <f t="shared" ca="1" si="80"/>
        <v>#REF!</v>
      </c>
      <c r="T317" s="125" t="e">
        <f t="shared" ca="1" si="74"/>
        <v>#REF!</v>
      </c>
      <c r="U317" s="128" t="e">
        <f t="shared" ca="1" si="81"/>
        <v>#REF!</v>
      </c>
      <c r="AC317">
        <v>310</v>
      </c>
      <c r="AD317" s="6">
        <f t="shared" ref="AD317:AD326" ca="1" si="89">+DATE(YEAR(AD316),MONTH(AD316)-1,DAY(AD316))</f>
        <v>43344</v>
      </c>
      <c r="AE317" s="7" t="e">
        <f t="shared" ca="1" si="83"/>
        <v>#REF!</v>
      </c>
      <c r="AF317" s="125" t="e">
        <f t="shared" ca="1" si="84"/>
        <v>#REF!</v>
      </c>
      <c r="AG317" s="125" t="e">
        <f t="shared" ca="1" si="75"/>
        <v>#REF!</v>
      </c>
      <c r="AH317" s="128" t="e">
        <f t="shared" ca="1" si="85"/>
        <v>#REF!</v>
      </c>
    </row>
    <row r="318" spans="4:35">
      <c r="D318">
        <v>311</v>
      </c>
      <c r="E318" s="6">
        <f t="shared" ca="1" si="87"/>
        <v>43313</v>
      </c>
      <c r="F318" s="7">
        <f t="shared" ca="1" si="77"/>
        <v>0</v>
      </c>
      <c r="G318" s="125">
        <f t="shared" ca="1" si="70"/>
        <v>0</v>
      </c>
      <c r="H318" s="125">
        <f ca="1">IF(F318=1,F318*$B$10/MIN(12,'Simulador - 3º Pilar'!$E$88),0)</f>
        <v>0</v>
      </c>
      <c r="I318" s="128">
        <f t="shared" ca="1" si="71"/>
        <v>0</v>
      </c>
      <c r="J318" s="494">
        <f t="shared" ca="1" si="72"/>
        <v>0</v>
      </c>
      <c r="K318" s="126">
        <f t="shared" ca="1" si="73"/>
        <v>0</v>
      </c>
      <c r="L318" s="126">
        <f t="shared" ca="1" si="86"/>
        <v>0</v>
      </c>
      <c r="P318">
        <v>311</v>
      </c>
      <c r="Q318" s="6">
        <f t="shared" ca="1" si="88"/>
        <v>43313</v>
      </c>
      <c r="R318" s="7" t="e">
        <f t="shared" ca="1" si="79"/>
        <v>#REF!</v>
      </c>
      <c r="S318" s="125" t="e">
        <f t="shared" ca="1" si="80"/>
        <v>#REF!</v>
      </c>
      <c r="T318" s="125" t="e">
        <f t="shared" ca="1" si="74"/>
        <v>#REF!</v>
      </c>
      <c r="U318" s="128" t="e">
        <f t="shared" ca="1" si="81"/>
        <v>#REF!</v>
      </c>
      <c r="AC318">
        <v>311</v>
      </c>
      <c r="AD318" s="6">
        <f t="shared" ca="1" si="89"/>
        <v>43313</v>
      </c>
      <c r="AE318" s="7" t="e">
        <f t="shared" ca="1" si="83"/>
        <v>#REF!</v>
      </c>
      <c r="AF318" s="125" t="e">
        <f t="shared" ca="1" si="84"/>
        <v>#REF!</v>
      </c>
      <c r="AG318" s="125" t="e">
        <f t="shared" ca="1" si="75"/>
        <v>#REF!</v>
      </c>
      <c r="AH318" s="128" t="e">
        <f t="shared" ca="1" si="85"/>
        <v>#REF!</v>
      </c>
    </row>
    <row r="319" spans="4:35">
      <c r="D319">
        <v>312</v>
      </c>
      <c r="E319" s="6">
        <f t="shared" ca="1" si="87"/>
        <v>43282</v>
      </c>
      <c r="F319" s="7">
        <f t="shared" ca="1" si="77"/>
        <v>0</v>
      </c>
      <c r="G319" s="125">
        <f t="shared" ca="1" si="70"/>
        <v>0</v>
      </c>
      <c r="H319" s="125">
        <f ca="1">IF(F319=1,F319*$B$10/MIN(12,'Simulador - 3º Pilar'!$E$88),0)</f>
        <v>0</v>
      </c>
      <c r="I319" s="128">
        <f t="shared" ca="1" si="71"/>
        <v>0</v>
      </c>
      <c r="J319" s="494">
        <f t="shared" ca="1" si="72"/>
        <v>0</v>
      </c>
      <c r="K319" s="126">
        <f t="shared" ca="1" si="73"/>
        <v>0</v>
      </c>
      <c r="L319" s="126">
        <f t="shared" ca="1" si="86"/>
        <v>0</v>
      </c>
      <c r="P319">
        <v>312</v>
      </c>
      <c r="Q319" s="6">
        <f t="shared" ca="1" si="88"/>
        <v>43282</v>
      </c>
      <c r="R319" s="7" t="e">
        <f t="shared" ca="1" si="79"/>
        <v>#REF!</v>
      </c>
      <c r="S319" s="125" t="e">
        <f t="shared" ca="1" si="80"/>
        <v>#REF!</v>
      </c>
      <c r="T319" s="125" t="e">
        <f t="shared" ca="1" si="74"/>
        <v>#REF!</v>
      </c>
      <c r="U319" s="128" t="e">
        <f t="shared" ca="1" si="81"/>
        <v>#REF!</v>
      </c>
      <c r="AC319">
        <v>312</v>
      </c>
      <c r="AD319" s="6">
        <f t="shared" ca="1" si="89"/>
        <v>43282</v>
      </c>
      <c r="AE319" s="7" t="e">
        <f t="shared" ca="1" si="83"/>
        <v>#REF!</v>
      </c>
      <c r="AF319" s="125" t="e">
        <f t="shared" ca="1" si="84"/>
        <v>#REF!</v>
      </c>
      <c r="AG319" s="125" t="e">
        <f t="shared" ca="1" si="75"/>
        <v>#REF!</v>
      </c>
      <c r="AH319" s="128" t="e">
        <f t="shared" ca="1" si="85"/>
        <v>#REF!</v>
      </c>
    </row>
    <row r="320" spans="4:35">
      <c r="D320">
        <v>313</v>
      </c>
      <c r="E320" s="6">
        <f t="shared" ca="1" si="87"/>
        <v>43252</v>
      </c>
      <c r="F320" s="7">
        <f t="shared" ca="1" si="77"/>
        <v>0</v>
      </c>
      <c r="G320" s="125">
        <f t="shared" ca="1" si="70"/>
        <v>0</v>
      </c>
      <c r="H320" s="125">
        <f ca="1">IF(F320=1,F320*$B$10/MIN(12,'Simulador - 3º Pilar'!$E$88),0)</f>
        <v>0</v>
      </c>
      <c r="I320" s="128">
        <f t="shared" ca="1" si="71"/>
        <v>0</v>
      </c>
      <c r="J320" s="494">
        <f t="shared" ca="1" si="72"/>
        <v>0</v>
      </c>
      <c r="K320" s="126">
        <f t="shared" ca="1" si="73"/>
        <v>0</v>
      </c>
      <c r="L320" s="126">
        <f t="shared" ca="1" si="86"/>
        <v>0</v>
      </c>
      <c r="P320">
        <v>313</v>
      </c>
      <c r="Q320" s="6">
        <f t="shared" ca="1" si="88"/>
        <v>43252</v>
      </c>
      <c r="R320" s="7" t="e">
        <f t="shared" ca="1" si="79"/>
        <v>#REF!</v>
      </c>
      <c r="S320" s="125" t="e">
        <f t="shared" ca="1" si="80"/>
        <v>#REF!</v>
      </c>
      <c r="T320" s="125" t="e">
        <f t="shared" ca="1" si="74"/>
        <v>#REF!</v>
      </c>
      <c r="U320" s="128" t="e">
        <f t="shared" ca="1" si="81"/>
        <v>#REF!</v>
      </c>
      <c r="AC320">
        <v>313</v>
      </c>
      <c r="AD320" s="6">
        <f t="shared" ca="1" si="89"/>
        <v>43252</v>
      </c>
      <c r="AE320" s="7" t="e">
        <f t="shared" ca="1" si="83"/>
        <v>#REF!</v>
      </c>
      <c r="AF320" s="125" t="e">
        <f t="shared" ca="1" si="84"/>
        <v>#REF!</v>
      </c>
      <c r="AG320" s="125" t="e">
        <f t="shared" ca="1" si="75"/>
        <v>#REF!</v>
      </c>
      <c r="AH320" s="128" t="e">
        <f t="shared" ca="1" si="85"/>
        <v>#REF!</v>
      </c>
    </row>
    <row r="321" spans="4:34">
      <c r="D321">
        <v>314</v>
      </c>
      <c r="E321" s="6">
        <f t="shared" ca="1" si="87"/>
        <v>43221</v>
      </c>
      <c r="F321" s="7">
        <f t="shared" ca="1" si="77"/>
        <v>0</v>
      </c>
      <c r="G321" s="125">
        <f t="shared" ca="1" si="70"/>
        <v>0</v>
      </c>
      <c r="H321" s="125">
        <f ca="1">IF(F321=1,F321*$B$10/MIN(12,'Simulador - 3º Pilar'!$E$88),0)</f>
        <v>0</v>
      </c>
      <c r="I321" s="128">
        <f t="shared" ca="1" si="71"/>
        <v>0</v>
      </c>
      <c r="J321" s="494">
        <f t="shared" ca="1" si="72"/>
        <v>0</v>
      </c>
      <c r="K321" s="126">
        <f t="shared" ca="1" si="73"/>
        <v>0</v>
      </c>
      <c r="L321" s="126">
        <f t="shared" ca="1" si="86"/>
        <v>0</v>
      </c>
      <c r="P321">
        <v>314</v>
      </c>
      <c r="Q321" s="6">
        <f t="shared" ca="1" si="88"/>
        <v>43221</v>
      </c>
      <c r="R321" s="7" t="e">
        <f t="shared" ca="1" si="79"/>
        <v>#REF!</v>
      </c>
      <c r="S321" s="125" t="e">
        <f t="shared" ca="1" si="80"/>
        <v>#REF!</v>
      </c>
      <c r="T321" s="125" t="e">
        <f t="shared" ca="1" si="74"/>
        <v>#REF!</v>
      </c>
      <c r="U321" s="128" t="e">
        <f t="shared" ca="1" si="81"/>
        <v>#REF!</v>
      </c>
      <c r="AC321">
        <v>314</v>
      </c>
      <c r="AD321" s="6">
        <f t="shared" ca="1" si="89"/>
        <v>43221</v>
      </c>
      <c r="AE321" s="7" t="e">
        <f t="shared" ca="1" si="83"/>
        <v>#REF!</v>
      </c>
      <c r="AF321" s="125" t="e">
        <f t="shared" ca="1" si="84"/>
        <v>#REF!</v>
      </c>
      <c r="AG321" s="125" t="e">
        <f t="shared" ca="1" si="75"/>
        <v>#REF!</v>
      </c>
      <c r="AH321" s="128" t="e">
        <f t="shared" ca="1" si="85"/>
        <v>#REF!</v>
      </c>
    </row>
    <row r="322" spans="4:34">
      <c r="D322">
        <v>315</v>
      </c>
      <c r="E322" s="6">
        <f t="shared" ca="1" si="87"/>
        <v>43191</v>
      </c>
      <c r="F322" s="7">
        <f t="shared" ca="1" si="77"/>
        <v>0</v>
      </c>
      <c r="G322" s="125">
        <f t="shared" ca="1" si="70"/>
        <v>0</v>
      </c>
      <c r="H322" s="125">
        <f ca="1">IF(F322=1,F322*$B$10/MIN(12,'Simulador - 3º Pilar'!$E$88),0)</f>
        <v>0</v>
      </c>
      <c r="I322" s="128">
        <f t="shared" ca="1" si="71"/>
        <v>0</v>
      </c>
      <c r="J322" s="494">
        <f t="shared" ca="1" si="72"/>
        <v>0</v>
      </c>
      <c r="K322" s="126">
        <f t="shared" ca="1" si="73"/>
        <v>0</v>
      </c>
      <c r="L322" s="126">
        <f t="shared" ca="1" si="86"/>
        <v>0</v>
      </c>
      <c r="P322">
        <v>315</v>
      </c>
      <c r="Q322" s="6">
        <f t="shared" ca="1" si="88"/>
        <v>43191</v>
      </c>
      <c r="R322" s="7" t="e">
        <f t="shared" ca="1" si="79"/>
        <v>#REF!</v>
      </c>
      <c r="S322" s="125" t="e">
        <f t="shared" ca="1" si="80"/>
        <v>#REF!</v>
      </c>
      <c r="T322" s="125" t="e">
        <f t="shared" ca="1" si="74"/>
        <v>#REF!</v>
      </c>
      <c r="U322" s="128" t="e">
        <f t="shared" ca="1" si="81"/>
        <v>#REF!</v>
      </c>
      <c r="AC322">
        <v>315</v>
      </c>
      <c r="AD322" s="6">
        <f t="shared" ca="1" si="89"/>
        <v>43191</v>
      </c>
      <c r="AE322" s="7" t="e">
        <f t="shared" ca="1" si="83"/>
        <v>#REF!</v>
      </c>
      <c r="AF322" s="125" t="e">
        <f t="shared" ca="1" si="84"/>
        <v>#REF!</v>
      </c>
      <c r="AG322" s="125" t="e">
        <f t="shared" ca="1" si="75"/>
        <v>#REF!</v>
      </c>
      <c r="AH322" s="128" t="e">
        <f t="shared" ca="1" si="85"/>
        <v>#REF!</v>
      </c>
    </row>
    <row r="323" spans="4:34">
      <c r="D323">
        <v>316</v>
      </c>
      <c r="E323" s="6">
        <f t="shared" ca="1" si="87"/>
        <v>43160</v>
      </c>
      <c r="F323" s="7">
        <f t="shared" ca="1" si="77"/>
        <v>0</v>
      </c>
      <c r="G323" s="125">
        <f t="shared" ca="1" si="70"/>
        <v>0</v>
      </c>
      <c r="H323" s="125">
        <f ca="1">IF(F323=1,F323*$B$10/MIN(12,'Simulador - 3º Pilar'!$E$88),0)</f>
        <v>0</v>
      </c>
      <c r="I323" s="128">
        <f t="shared" ca="1" si="71"/>
        <v>0</v>
      </c>
      <c r="J323" s="494">
        <f t="shared" ca="1" si="72"/>
        <v>0</v>
      </c>
      <c r="K323" s="126">
        <f t="shared" ca="1" si="73"/>
        <v>0</v>
      </c>
      <c r="L323" s="126">
        <f t="shared" ca="1" si="86"/>
        <v>0</v>
      </c>
      <c r="P323">
        <v>316</v>
      </c>
      <c r="Q323" s="6">
        <f t="shared" ca="1" si="88"/>
        <v>43160</v>
      </c>
      <c r="R323" s="7" t="e">
        <f t="shared" ca="1" si="79"/>
        <v>#REF!</v>
      </c>
      <c r="S323" s="125" t="e">
        <f t="shared" ca="1" si="80"/>
        <v>#REF!</v>
      </c>
      <c r="T323" s="125" t="e">
        <f t="shared" ca="1" si="74"/>
        <v>#REF!</v>
      </c>
      <c r="U323" s="128" t="e">
        <f t="shared" ca="1" si="81"/>
        <v>#REF!</v>
      </c>
      <c r="AC323">
        <v>316</v>
      </c>
      <c r="AD323" s="6">
        <f t="shared" ca="1" si="89"/>
        <v>43160</v>
      </c>
      <c r="AE323" s="7" t="e">
        <f t="shared" ca="1" si="83"/>
        <v>#REF!</v>
      </c>
      <c r="AF323" s="125" t="e">
        <f t="shared" ca="1" si="84"/>
        <v>#REF!</v>
      </c>
      <c r="AG323" s="125" t="e">
        <f t="shared" ca="1" si="75"/>
        <v>#REF!</v>
      </c>
      <c r="AH323" s="128" t="e">
        <f t="shared" ca="1" si="85"/>
        <v>#REF!</v>
      </c>
    </row>
    <row r="324" spans="4:34">
      <c r="D324">
        <v>317</v>
      </c>
      <c r="E324" s="6">
        <f t="shared" ca="1" si="87"/>
        <v>43132</v>
      </c>
      <c r="F324" s="7">
        <f t="shared" ca="1" si="77"/>
        <v>0</v>
      </c>
      <c r="G324" s="125">
        <f t="shared" ca="1" si="70"/>
        <v>0</v>
      </c>
      <c r="H324" s="125">
        <f ca="1">IF(F324=1,F324*$B$10/MIN(12,'Simulador - 3º Pilar'!$E$88),0)</f>
        <v>0</v>
      </c>
      <c r="I324" s="128">
        <f t="shared" ca="1" si="71"/>
        <v>0</v>
      </c>
      <c r="J324" s="494">
        <f t="shared" ca="1" si="72"/>
        <v>0</v>
      </c>
      <c r="K324" s="126">
        <f t="shared" ca="1" si="73"/>
        <v>0</v>
      </c>
      <c r="L324" s="126">
        <f t="shared" ca="1" si="86"/>
        <v>0</v>
      </c>
      <c r="M324" s="126"/>
      <c r="P324">
        <v>317</v>
      </c>
      <c r="Q324" s="6">
        <f t="shared" ca="1" si="88"/>
        <v>43132</v>
      </c>
      <c r="R324" s="7" t="e">
        <f t="shared" ca="1" si="79"/>
        <v>#REF!</v>
      </c>
      <c r="S324" s="125" t="e">
        <f t="shared" ca="1" si="80"/>
        <v>#REF!</v>
      </c>
      <c r="T324" s="125" t="e">
        <f t="shared" ca="1" si="74"/>
        <v>#REF!</v>
      </c>
      <c r="U324" s="128" t="e">
        <f t="shared" ca="1" si="81"/>
        <v>#REF!</v>
      </c>
      <c r="AC324">
        <v>317</v>
      </c>
      <c r="AD324" s="6">
        <f t="shared" ca="1" si="89"/>
        <v>43132</v>
      </c>
      <c r="AE324" s="7" t="e">
        <f t="shared" ca="1" si="83"/>
        <v>#REF!</v>
      </c>
      <c r="AF324" s="125" t="e">
        <f t="shared" ca="1" si="84"/>
        <v>#REF!</v>
      </c>
      <c r="AG324" s="125" t="e">
        <f t="shared" ca="1" si="75"/>
        <v>#REF!</v>
      </c>
      <c r="AH324" s="128" t="e">
        <f t="shared" ca="1" si="85"/>
        <v>#REF!</v>
      </c>
    </row>
    <row r="325" spans="4:34">
      <c r="D325">
        <v>318</v>
      </c>
      <c r="E325" s="6">
        <f t="shared" ca="1" si="87"/>
        <v>43101</v>
      </c>
      <c r="F325" s="7">
        <f t="shared" ca="1" si="77"/>
        <v>0</v>
      </c>
      <c r="G325" s="125">
        <f t="shared" ca="1" si="70"/>
        <v>0</v>
      </c>
      <c r="H325" s="125">
        <f ca="1">IF(F325=1,F325*$B$10/MIN(12,'Simulador - 3º Pilar'!$E$88),0)</f>
        <v>0</v>
      </c>
      <c r="I325" s="128">
        <f t="shared" ca="1" si="71"/>
        <v>0</v>
      </c>
      <c r="J325" s="494">
        <f t="shared" ca="1" si="72"/>
        <v>0</v>
      </c>
      <c r="K325" s="126">
        <f t="shared" ca="1" si="73"/>
        <v>0</v>
      </c>
      <c r="L325" s="126">
        <f t="shared" ca="1" si="86"/>
        <v>0</v>
      </c>
      <c r="P325">
        <v>318</v>
      </c>
      <c r="Q325" s="6">
        <f t="shared" ca="1" si="88"/>
        <v>43101</v>
      </c>
      <c r="R325" s="7" t="e">
        <f t="shared" ca="1" si="79"/>
        <v>#REF!</v>
      </c>
      <c r="S325" s="125" t="e">
        <f t="shared" ca="1" si="80"/>
        <v>#REF!</v>
      </c>
      <c r="T325" s="125" t="e">
        <f t="shared" ca="1" si="74"/>
        <v>#REF!</v>
      </c>
      <c r="U325" s="128" t="e">
        <f t="shared" ca="1" si="81"/>
        <v>#REF!</v>
      </c>
      <c r="AC325">
        <v>318</v>
      </c>
      <c r="AD325" s="6">
        <f t="shared" ca="1" si="89"/>
        <v>43101</v>
      </c>
      <c r="AE325" s="7" t="e">
        <f t="shared" ca="1" si="83"/>
        <v>#REF!</v>
      </c>
      <c r="AF325" s="125" t="e">
        <f t="shared" ca="1" si="84"/>
        <v>#REF!</v>
      </c>
      <c r="AG325" s="125" t="e">
        <f t="shared" ca="1" si="75"/>
        <v>#REF!</v>
      </c>
      <c r="AH325" s="128" t="e">
        <f t="shared" ca="1" si="85"/>
        <v>#REF!</v>
      </c>
    </row>
    <row r="326" spans="4:34">
      <c r="D326">
        <v>319</v>
      </c>
      <c r="E326" s="6">
        <f t="shared" ca="1" si="87"/>
        <v>43070</v>
      </c>
      <c r="F326" s="7">
        <f t="shared" ca="1" si="77"/>
        <v>0</v>
      </c>
      <c r="G326" s="125">
        <f t="shared" ca="1" si="70"/>
        <v>0</v>
      </c>
      <c r="H326" s="125">
        <f ca="1">IF(F326=1,F326*$B$10/MIN(12,'Simulador - 3º Pilar'!$E$88),0)</f>
        <v>0</v>
      </c>
      <c r="I326" s="128">
        <f t="shared" ca="1" si="71"/>
        <v>0</v>
      </c>
      <c r="J326" s="494">
        <f t="shared" ca="1" si="72"/>
        <v>0</v>
      </c>
      <c r="K326" s="126">
        <f t="shared" ca="1" si="73"/>
        <v>0</v>
      </c>
      <c r="L326" s="126">
        <f t="shared" ca="1" si="86"/>
        <v>0</v>
      </c>
      <c r="P326">
        <v>319</v>
      </c>
      <c r="Q326" s="6">
        <f t="shared" ca="1" si="88"/>
        <v>43070</v>
      </c>
      <c r="R326" s="7" t="e">
        <f t="shared" ca="1" si="79"/>
        <v>#REF!</v>
      </c>
      <c r="S326" s="125" t="e">
        <f t="shared" ca="1" si="80"/>
        <v>#REF!</v>
      </c>
      <c r="T326" s="125" t="e">
        <f t="shared" ca="1" si="74"/>
        <v>#REF!</v>
      </c>
      <c r="U326" s="128" t="e">
        <f t="shared" ca="1" si="81"/>
        <v>#REF!</v>
      </c>
      <c r="AC326">
        <v>319</v>
      </c>
      <c r="AD326" s="6">
        <f t="shared" ca="1" si="89"/>
        <v>43070</v>
      </c>
      <c r="AE326" s="7" t="e">
        <f t="shared" ca="1" si="83"/>
        <v>#REF!</v>
      </c>
      <c r="AF326" s="125" t="e">
        <f t="shared" ca="1" si="84"/>
        <v>#REF!</v>
      </c>
      <c r="AG326" s="125" t="e">
        <f t="shared" ca="1" si="75"/>
        <v>#REF!</v>
      </c>
      <c r="AH326" s="128" t="e">
        <f t="shared" ca="1" si="85"/>
        <v>#REF!</v>
      </c>
    </row>
    <row r="327" spans="4:34">
      <c r="D327">
        <v>320</v>
      </c>
      <c r="E327" s="6">
        <f ca="1">+DATE(YEAR(E326),MONTH(E326)-1,DAY(E326))</f>
        <v>43040</v>
      </c>
      <c r="F327" s="7">
        <f t="shared" ca="1" si="77"/>
        <v>0</v>
      </c>
      <c r="G327" s="125">
        <f t="shared" ca="1" si="70"/>
        <v>0</v>
      </c>
      <c r="H327" s="125">
        <f ca="1">IF(F327=1,F327*$B$10/MIN(12,'Simulador - 3º Pilar'!$E$88),0)</f>
        <v>0</v>
      </c>
      <c r="I327" s="128">
        <f t="shared" ca="1" si="71"/>
        <v>0</v>
      </c>
      <c r="J327" s="494">
        <f t="shared" ca="1" si="72"/>
        <v>0</v>
      </c>
      <c r="K327" s="126">
        <f t="shared" ca="1" si="73"/>
        <v>0</v>
      </c>
      <c r="L327" s="126">
        <f t="shared" ca="1" si="86"/>
        <v>0</v>
      </c>
      <c r="P327">
        <v>320</v>
      </c>
      <c r="Q327" s="6">
        <f ca="1">+DATE(YEAR(Q326),MONTH(Q326)-1,DAY(Q326))</f>
        <v>43040</v>
      </c>
      <c r="R327" s="7" t="e">
        <f t="shared" ca="1" si="79"/>
        <v>#REF!</v>
      </c>
      <c r="S327" s="125" t="e">
        <f t="shared" ca="1" si="80"/>
        <v>#REF!</v>
      </c>
      <c r="T327" s="125" t="e">
        <f t="shared" ca="1" si="74"/>
        <v>#REF!</v>
      </c>
      <c r="U327" s="128" t="e">
        <f t="shared" ca="1" si="81"/>
        <v>#REF!</v>
      </c>
      <c r="AC327">
        <v>320</v>
      </c>
      <c r="AD327" s="6">
        <f ca="1">+DATE(YEAR(AD326),MONTH(AD326)-1,DAY(AD326))</f>
        <v>43040</v>
      </c>
      <c r="AE327" s="7" t="e">
        <f t="shared" ca="1" si="83"/>
        <v>#REF!</v>
      </c>
      <c r="AF327" s="125" t="e">
        <f t="shared" ca="1" si="84"/>
        <v>#REF!</v>
      </c>
      <c r="AG327" s="125" t="e">
        <f t="shared" ca="1" si="75"/>
        <v>#REF!</v>
      </c>
      <c r="AH327" s="128" t="e">
        <f t="shared" ca="1" si="85"/>
        <v>#REF!</v>
      </c>
    </row>
    <row r="328" spans="4:34">
      <c r="D328">
        <v>321</v>
      </c>
      <c r="E328" s="6">
        <f t="shared" ref="E328:E391" ca="1" si="90">+DATE(YEAR(E327),MONTH(E327)-1,DAY(E327))</f>
        <v>43009</v>
      </c>
      <c r="F328" s="7">
        <f t="shared" ca="1" si="77"/>
        <v>0</v>
      </c>
      <c r="G328" s="125">
        <f t="shared" ref="G328:G391" ca="1" si="91">F328*$B$8/12</f>
        <v>0</v>
      </c>
      <c r="H328" s="125">
        <f ca="1">IF(F328=1,F328*$B$10/MIN(12,'Simulador - 3º Pilar'!$E$88),0)</f>
        <v>0</v>
      </c>
      <c r="I328" s="128">
        <f t="shared" ref="I328:I391" ca="1" si="92">(1+$G$5)^(D328/12)*(H328+IF(E328=$N$7,$N$4,0))</f>
        <v>0</v>
      </c>
      <c r="J328" s="494">
        <f t="shared" ref="J328:J391" ca="1" si="93">(1+$G$5)^(D328/12)*(H328*(12-IF(MONTH(E329)=12,0,MONTH(E329)))+IF(AND(F328=1,F329=0),$Q$4,0))*IF(AND(F328=1,F329=0),1,0)</f>
        <v>0</v>
      </c>
      <c r="K328" s="126">
        <f t="shared" ref="K328:K391" ca="1" si="94">(1+$G$5)^(D328/12)*(IF(E328=$N$7,$N$4,0)+IF(E328=$C$6,$B$10,0))</f>
        <v>0</v>
      </c>
      <c r="L328" s="126">
        <f t="shared" ca="1" si="86"/>
        <v>0</v>
      </c>
      <c r="P328">
        <v>321</v>
      </c>
      <c r="Q328" s="6">
        <f t="shared" ref="Q328:Q391" ca="1" si="95">+DATE(YEAR(Q327),MONTH(Q327)-1,DAY(Q327))</f>
        <v>43009</v>
      </c>
      <c r="R328" s="7" t="e">
        <f t="shared" ca="1" si="79"/>
        <v>#REF!</v>
      </c>
      <c r="S328" s="125" t="e">
        <f t="shared" ca="1" si="80"/>
        <v>#REF!</v>
      </c>
      <c r="T328" s="125" t="e">
        <f t="shared" ref="T328:T391" ca="1" si="96">R328*$B$11/12</f>
        <v>#REF!</v>
      </c>
      <c r="U328" s="128" t="e">
        <f t="shared" ca="1" si="81"/>
        <v>#REF!</v>
      </c>
      <c r="AC328">
        <v>321</v>
      </c>
      <c r="AD328" s="6">
        <f t="shared" ref="AD328:AD391" ca="1" si="97">+DATE(YEAR(AD327),MONTH(AD327)-1,DAY(AD327))</f>
        <v>43009</v>
      </c>
      <c r="AE328" s="7" t="e">
        <f t="shared" ca="1" si="83"/>
        <v>#REF!</v>
      </c>
      <c r="AF328" s="125" t="e">
        <f t="shared" ca="1" si="84"/>
        <v>#REF!</v>
      </c>
      <c r="AG328" s="125" t="e">
        <f t="shared" ref="AG328:AG391" ca="1" si="98">AE328*$B$12/12</f>
        <v>#REF!</v>
      </c>
      <c r="AH328" s="128" t="e">
        <f t="shared" ca="1" si="85"/>
        <v>#REF!</v>
      </c>
    </row>
    <row r="329" spans="4:34">
      <c r="D329">
        <v>322</v>
      </c>
      <c r="E329" s="6">
        <f t="shared" ca="1" si="90"/>
        <v>42979</v>
      </c>
      <c r="F329" s="7">
        <f t="shared" ref="F329:F392" ca="1" si="99">IF($C$6=$E329,1,IF(MONTH($E329)=1,F330*(1+$F$5),F330))</f>
        <v>0</v>
      </c>
      <c r="G329" s="125">
        <f t="shared" ca="1" si="91"/>
        <v>0</v>
      </c>
      <c r="H329" s="125">
        <f ca="1">IF(F329=1,F329*$B$10/MIN(12,'Simulador - 3º Pilar'!$E$88),0)</f>
        <v>0</v>
      </c>
      <c r="I329" s="128">
        <f t="shared" ca="1" si="92"/>
        <v>0</v>
      </c>
      <c r="J329" s="494">
        <f t="shared" ca="1" si="93"/>
        <v>0</v>
      </c>
      <c r="K329" s="126">
        <f t="shared" ca="1" si="94"/>
        <v>0</v>
      </c>
      <c r="L329" s="126">
        <f t="shared" ca="1" si="86"/>
        <v>0</v>
      </c>
      <c r="P329">
        <v>322</v>
      </c>
      <c r="Q329" s="6">
        <f t="shared" ca="1" si="95"/>
        <v>42979</v>
      </c>
      <c r="R329" s="7" t="e">
        <f t="shared" ref="R329:R392" ca="1" si="100">IF($Z$7=$E329,1,IF(MONTH($E329)=1,R330*(1+$F$5),R330))</f>
        <v>#REF!</v>
      </c>
      <c r="S329" s="125" t="e">
        <f t="shared" ref="S329:S392" ca="1" si="101">R329*$B$8/12</f>
        <v>#REF!</v>
      </c>
      <c r="T329" s="125" t="e">
        <f t="shared" ca="1" si="96"/>
        <v>#REF!</v>
      </c>
      <c r="U329" s="128" t="e">
        <f t="shared" ref="U329:U392" ca="1" si="102">(1+$V$5)^(P329/12)*(T329+IF(Q329=$Z$7,$Z$4,0))</f>
        <v>#REF!</v>
      </c>
      <c r="AC329">
        <v>322</v>
      </c>
      <c r="AD329" s="6">
        <f t="shared" ca="1" si="97"/>
        <v>42979</v>
      </c>
      <c r="AE329" s="7" t="e">
        <f t="shared" ref="AE329:AE392" ca="1" si="103">IF($AM$7=$E329,1,IF(MONTH($E329)=1,AE330*(1+$F$5),AE330))</f>
        <v>#REF!</v>
      </c>
      <c r="AF329" s="125" t="e">
        <f t="shared" ref="AF329:AF392" ca="1" si="104">AE329*$B$8/12</f>
        <v>#REF!</v>
      </c>
      <c r="AG329" s="125" t="e">
        <f t="shared" ca="1" si="98"/>
        <v>#REF!</v>
      </c>
      <c r="AH329" s="128" t="e">
        <f t="shared" ref="AH329:AH392" ca="1" si="105">(1+$AI$5)^(AC329/12)*(AG329+IF(AD329=$AM$7,$AM$4,0))</f>
        <v>#REF!</v>
      </c>
    </row>
    <row r="330" spans="4:34">
      <c r="D330">
        <v>323</v>
      </c>
      <c r="E330" s="6">
        <f t="shared" ca="1" si="90"/>
        <v>42948</v>
      </c>
      <c r="F330" s="7">
        <f t="shared" ca="1" si="99"/>
        <v>0</v>
      </c>
      <c r="G330" s="125">
        <f t="shared" ca="1" si="91"/>
        <v>0</v>
      </c>
      <c r="H330" s="125">
        <f ca="1">IF(F330=1,F330*$B$10/MIN(12,'Simulador - 3º Pilar'!$E$88),0)</f>
        <v>0</v>
      </c>
      <c r="I330" s="128">
        <f t="shared" ca="1" si="92"/>
        <v>0</v>
      </c>
      <c r="J330" s="494">
        <f t="shared" ca="1" si="93"/>
        <v>0</v>
      </c>
      <c r="K330" s="126">
        <f t="shared" ca="1" si="94"/>
        <v>0</v>
      </c>
      <c r="L330" s="126">
        <f t="shared" ca="1" si="86"/>
        <v>0</v>
      </c>
      <c r="P330">
        <v>323</v>
      </c>
      <c r="Q330" s="6">
        <f t="shared" ca="1" si="95"/>
        <v>42948</v>
      </c>
      <c r="R330" s="7" t="e">
        <f t="shared" ca="1" si="100"/>
        <v>#REF!</v>
      </c>
      <c r="S330" s="125" t="e">
        <f t="shared" ca="1" si="101"/>
        <v>#REF!</v>
      </c>
      <c r="T330" s="125" t="e">
        <f t="shared" ca="1" si="96"/>
        <v>#REF!</v>
      </c>
      <c r="U330" s="128" t="e">
        <f t="shared" ca="1" si="102"/>
        <v>#REF!</v>
      </c>
      <c r="AC330">
        <v>323</v>
      </c>
      <c r="AD330" s="6">
        <f t="shared" ca="1" si="97"/>
        <v>42948</v>
      </c>
      <c r="AE330" s="7" t="e">
        <f t="shared" ca="1" si="103"/>
        <v>#REF!</v>
      </c>
      <c r="AF330" s="125" t="e">
        <f t="shared" ca="1" si="104"/>
        <v>#REF!</v>
      </c>
      <c r="AG330" s="125" t="e">
        <f t="shared" ca="1" si="98"/>
        <v>#REF!</v>
      </c>
      <c r="AH330" s="128" t="e">
        <f t="shared" ca="1" si="105"/>
        <v>#REF!</v>
      </c>
    </row>
    <row r="331" spans="4:34">
      <c r="D331">
        <v>324</v>
      </c>
      <c r="E331" s="6">
        <f t="shared" ca="1" si="90"/>
        <v>42917</v>
      </c>
      <c r="F331" s="7">
        <f t="shared" ca="1" si="99"/>
        <v>0</v>
      </c>
      <c r="G331" s="125">
        <f t="shared" ca="1" si="91"/>
        <v>0</v>
      </c>
      <c r="H331" s="125">
        <f ca="1">IF(F331=1,F331*$B$10/MIN(12,'Simulador - 3º Pilar'!$E$88),0)</f>
        <v>0</v>
      </c>
      <c r="I331" s="128">
        <f t="shared" ca="1" si="92"/>
        <v>0</v>
      </c>
      <c r="J331" s="494">
        <f t="shared" ca="1" si="93"/>
        <v>0</v>
      </c>
      <c r="K331" s="126">
        <f t="shared" ca="1" si="94"/>
        <v>0</v>
      </c>
      <c r="L331" s="126">
        <f t="shared" ca="1" si="86"/>
        <v>0</v>
      </c>
      <c r="P331">
        <v>324</v>
      </c>
      <c r="Q331" s="6">
        <f t="shared" ca="1" si="95"/>
        <v>42917</v>
      </c>
      <c r="R331" s="7" t="e">
        <f t="shared" ca="1" si="100"/>
        <v>#REF!</v>
      </c>
      <c r="S331" s="125" t="e">
        <f t="shared" ca="1" si="101"/>
        <v>#REF!</v>
      </c>
      <c r="T331" s="125" t="e">
        <f t="shared" ca="1" si="96"/>
        <v>#REF!</v>
      </c>
      <c r="U331" s="128" t="e">
        <f t="shared" ca="1" si="102"/>
        <v>#REF!</v>
      </c>
      <c r="AC331">
        <v>324</v>
      </c>
      <c r="AD331" s="6">
        <f t="shared" ca="1" si="97"/>
        <v>42917</v>
      </c>
      <c r="AE331" s="7" t="e">
        <f t="shared" ca="1" si="103"/>
        <v>#REF!</v>
      </c>
      <c r="AF331" s="125" t="e">
        <f t="shared" ca="1" si="104"/>
        <v>#REF!</v>
      </c>
      <c r="AG331" s="125" t="e">
        <f t="shared" ca="1" si="98"/>
        <v>#REF!</v>
      </c>
      <c r="AH331" s="128" t="e">
        <f t="shared" ca="1" si="105"/>
        <v>#REF!</v>
      </c>
    </row>
    <row r="332" spans="4:34">
      <c r="D332">
        <v>325</v>
      </c>
      <c r="E332" s="6">
        <f t="shared" ca="1" si="90"/>
        <v>42887</v>
      </c>
      <c r="F332" s="7">
        <f t="shared" ca="1" si="99"/>
        <v>0</v>
      </c>
      <c r="G332" s="125">
        <f t="shared" ca="1" si="91"/>
        <v>0</v>
      </c>
      <c r="H332" s="125">
        <f ca="1">IF(F332=1,F332*$B$10/MIN(12,'Simulador - 3º Pilar'!$E$88),0)</f>
        <v>0</v>
      </c>
      <c r="I332" s="128">
        <f t="shared" ca="1" si="92"/>
        <v>0</v>
      </c>
      <c r="J332" s="494">
        <f t="shared" ca="1" si="93"/>
        <v>0</v>
      </c>
      <c r="K332" s="126">
        <f t="shared" ca="1" si="94"/>
        <v>0</v>
      </c>
      <c r="L332" s="126">
        <f t="shared" ca="1" si="86"/>
        <v>0</v>
      </c>
      <c r="P332">
        <v>325</v>
      </c>
      <c r="Q332" s="6">
        <f t="shared" ca="1" si="95"/>
        <v>42887</v>
      </c>
      <c r="R332" s="7" t="e">
        <f t="shared" ca="1" si="100"/>
        <v>#REF!</v>
      </c>
      <c r="S332" s="125" t="e">
        <f t="shared" ca="1" si="101"/>
        <v>#REF!</v>
      </c>
      <c r="T332" s="125" t="e">
        <f t="shared" ca="1" si="96"/>
        <v>#REF!</v>
      </c>
      <c r="U332" s="128" t="e">
        <f t="shared" ca="1" si="102"/>
        <v>#REF!</v>
      </c>
      <c r="AC332">
        <v>325</v>
      </c>
      <c r="AD332" s="6">
        <f t="shared" ca="1" si="97"/>
        <v>42887</v>
      </c>
      <c r="AE332" s="7" t="e">
        <f t="shared" ca="1" si="103"/>
        <v>#REF!</v>
      </c>
      <c r="AF332" s="125" t="e">
        <f t="shared" ca="1" si="104"/>
        <v>#REF!</v>
      </c>
      <c r="AG332" s="125" t="e">
        <f t="shared" ca="1" si="98"/>
        <v>#REF!</v>
      </c>
      <c r="AH332" s="128" t="e">
        <f t="shared" ca="1" si="105"/>
        <v>#REF!</v>
      </c>
    </row>
    <row r="333" spans="4:34">
      <c r="D333">
        <v>326</v>
      </c>
      <c r="E333" s="6">
        <f t="shared" ca="1" si="90"/>
        <v>42856</v>
      </c>
      <c r="F333" s="7">
        <f t="shared" ca="1" si="99"/>
        <v>0</v>
      </c>
      <c r="G333" s="125">
        <f t="shared" ca="1" si="91"/>
        <v>0</v>
      </c>
      <c r="H333" s="125">
        <f ca="1">IF(F333=1,F333*$B$10/MIN(12,'Simulador - 3º Pilar'!$E$88),0)</f>
        <v>0</v>
      </c>
      <c r="I333" s="128">
        <f t="shared" ca="1" si="92"/>
        <v>0</v>
      </c>
      <c r="J333" s="494">
        <f t="shared" ca="1" si="93"/>
        <v>0</v>
      </c>
      <c r="K333" s="126">
        <f t="shared" ca="1" si="94"/>
        <v>0</v>
      </c>
      <c r="L333" s="126">
        <f t="shared" ca="1" si="86"/>
        <v>0</v>
      </c>
      <c r="P333">
        <v>326</v>
      </c>
      <c r="Q333" s="6">
        <f t="shared" ca="1" si="95"/>
        <v>42856</v>
      </c>
      <c r="R333" s="7" t="e">
        <f t="shared" ca="1" si="100"/>
        <v>#REF!</v>
      </c>
      <c r="S333" s="125" t="e">
        <f t="shared" ca="1" si="101"/>
        <v>#REF!</v>
      </c>
      <c r="T333" s="125" t="e">
        <f t="shared" ca="1" si="96"/>
        <v>#REF!</v>
      </c>
      <c r="U333" s="128" t="e">
        <f t="shared" ca="1" si="102"/>
        <v>#REF!</v>
      </c>
      <c r="AC333">
        <v>326</v>
      </c>
      <c r="AD333" s="6">
        <f t="shared" ca="1" si="97"/>
        <v>42856</v>
      </c>
      <c r="AE333" s="7" t="e">
        <f t="shared" ca="1" si="103"/>
        <v>#REF!</v>
      </c>
      <c r="AF333" s="125" t="e">
        <f t="shared" ca="1" si="104"/>
        <v>#REF!</v>
      </c>
      <c r="AG333" s="125" t="e">
        <f t="shared" ca="1" si="98"/>
        <v>#REF!</v>
      </c>
      <c r="AH333" s="128" t="e">
        <f t="shared" ca="1" si="105"/>
        <v>#REF!</v>
      </c>
    </row>
    <row r="334" spans="4:34">
      <c r="D334">
        <v>327</v>
      </c>
      <c r="E334" s="6">
        <f t="shared" ca="1" si="90"/>
        <v>42826</v>
      </c>
      <c r="F334" s="7">
        <f t="shared" ca="1" si="99"/>
        <v>0</v>
      </c>
      <c r="G334" s="125">
        <f t="shared" ca="1" si="91"/>
        <v>0</v>
      </c>
      <c r="H334" s="125">
        <f ca="1">IF(F334=1,F334*$B$10/MIN(12,'Simulador - 3º Pilar'!$E$88),0)</f>
        <v>0</v>
      </c>
      <c r="I334" s="128">
        <f t="shared" ca="1" si="92"/>
        <v>0</v>
      </c>
      <c r="J334" s="494">
        <f t="shared" ca="1" si="93"/>
        <v>0</v>
      </c>
      <c r="K334" s="126">
        <f t="shared" ca="1" si="94"/>
        <v>0</v>
      </c>
      <c r="L334" s="126">
        <f t="shared" ca="1" si="86"/>
        <v>0</v>
      </c>
      <c r="P334">
        <v>327</v>
      </c>
      <c r="Q334" s="6">
        <f t="shared" ca="1" si="95"/>
        <v>42826</v>
      </c>
      <c r="R334" s="7" t="e">
        <f t="shared" ca="1" si="100"/>
        <v>#REF!</v>
      </c>
      <c r="S334" s="125" t="e">
        <f t="shared" ca="1" si="101"/>
        <v>#REF!</v>
      </c>
      <c r="T334" s="125" t="e">
        <f t="shared" ca="1" si="96"/>
        <v>#REF!</v>
      </c>
      <c r="U334" s="128" t="e">
        <f t="shared" ca="1" si="102"/>
        <v>#REF!</v>
      </c>
      <c r="AC334">
        <v>327</v>
      </c>
      <c r="AD334" s="6">
        <f t="shared" ca="1" si="97"/>
        <v>42826</v>
      </c>
      <c r="AE334" s="7" t="e">
        <f t="shared" ca="1" si="103"/>
        <v>#REF!</v>
      </c>
      <c r="AF334" s="125" t="e">
        <f t="shared" ca="1" si="104"/>
        <v>#REF!</v>
      </c>
      <c r="AG334" s="125" t="e">
        <f t="shared" ca="1" si="98"/>
        <v>#REF!</v>
      </c>
      <c r="AH334" s="128" t="e">
        <f t="shared" ca="1" si="105"/>
        <v>#REF!</v>
      </c>
    </row>
    <row r="335" spans="4:34">
      <c r="D335">
        <v>328</v>
      </c>
      <c r="E335" s="6">
        <f t="shared" ca="1" si="90"/>
        <v>42795</v>
      </c>
      <c r="F335" s="7">
        <f t="shared" ca="1" si="99"/>
        <v>0</v>
      </c>
      <c r="G335" s="125">
        <f t="shared" ca="1" si="91"/>
        <v>0</v>
      </c>
      <c r="H335" s="125">
        <f ca="1">IF(F335=1,F335*$B$10/MIN(12,'Simulador - 3º Pilar'!$E$88),0)</f>
        <v>0</v>
      </c>
      <c r="I335" s="128">
        <f t="shared" ca="1" si="92"/>
        <v>0</v>
      </c>
      <c r="J335" s="494">
        <f t="shared" ca="1" si="93"/>
        <v>0</v>
      </c>
      <c r="K335" s="126">
        <f t="shared" ca="1" si="94"/>
        <v>0</v>
      </c>
      <c r="L335" s="126">
        <f t="shared" ca="1" si="86"/>
        <v>0</v>
      </c>
      <c r="P335">
        <v>328</v>
      </c>
      <c r="Q335" s="6">
        <f t="shared" ca="1" si="95"/>
        <v>42795</v>
      </c>
      <c r="R335" s="7" t="e">
        <f t="shared" ca="1" si="100"/>
        <v>#REF!</v>
      </c>
      <c r="S335" s="125" t="e">
        <f t="shared" ca="1" si="101"/>
        <v>#REF!</v>
      </c>
      <c r="T335" s="125" t="e">
        <f t="shared" ca="1" si="96"/>
        <v>#REF!</v>
      </c>
      <c r="U335" s="128" t="e">
        <f t="shared" ca="1" si="102"/>
        <v>#REF!</v>
      </c>
      <c r="AC335">
        <v>328</v>
      </c>
      <c r="AD335" s="6">
        <f t="shared" ca="1" si="97"/>
        <v>42795</v>
      </c>
      <c r="AE335" s="7" t="e">
        <f t="shared" ca="1" si="103"/>
        <v>#REF!</v>
      </c>
      <c r="AF335" s="125" t="e">
        <f t="shared" ca="1" si="104"/>
        <v>#REF!</v>
      </c>
      <c r="AG335" s="125" t="e">
        <f t="shared" ca="1" si="98"/>
        <v>#REF!</v>
      </c>
      <c r="AH335" s="128" t="e">
        <f t="shared" ca="1" si="105"/>
        <v>#REF!</v>
      </c>
    </row>
    <row r="336" spans="4:34">
      <c r="D336">
        <v>329</v>
      </c>
      <c r="E336" s="6">
        <f t="shared" ca="1" si="90"/>
        <v>42767</v>
      </c>
      <c r="F336" s="7">
        <f t="shared" ca="1" si="99"/>
        <v>0</v>
      </c>
      <c r="G336" s="125">
        <f t="shared" ca="1" si="91"/>
        <v>0</v>
      </c>
      <c r="H336" s="125">
        <f ca="1">IF(F336=1,F336*$B$10/MIN(12,'Simulador - 3º Pilar'!$E$88),0)</f>
        <v>0</v>
      </c>
      <c r="I336" s="128">
        <f t="shared" ca="1" si="92"/>
        <v>0</v>
      </c>
      <c r="J336" s="494">
        <f t="shared" ca="1" si="93"/>
        <v>0</v>
      </c>
      <c r="K336" s="126">
        <f t="shared" ca="1" si="94"/>
        <v>0</v>
      </c>
      <c r="L336" s="126">
        <f t="shared" ca="1" si="86"/>
        <v>0</v>
      </c>
      <c r="P336">
        <v>329</v>
      </c>
      <c r="Q336" s="6">
        <f t="shared" ca="1" si="95"/>
        <v>42767</v>
      </c>
      <c r="R336" s="7" t="e">
        <f t="shared" ca="1" si="100"/>
        <v>#REF!</v>
      </c>
      <c r="S336" s="125" t="e">
        <f t="shared" ca="1" si="101"/>
        <v>#REF!</v>
      </c>
      <c r="T336" s="125" t="e">
        <f t="shared" ca="1" si="96"/>
        <v>#REF!</v>
      </c>
      <c r="U336" s="128" t="e">
        <f t="shared" ca="1" si="102"/>
        <v>#REF!</v>
      </c>
      <c r="AC336">
        <v>329</v>
      </c>
      <c r="AD336" s="6">
        <f t="shared" ca="1" si="97"/>
        <v>42767</v>
      </c>
      <c r="AE336" s="7" t="e">
        <f t="shared" ca="1" si="103"/>
        <v>#REF!</v>
      </c>
      <c r="AF336" s="125" t="e">
        <f t="shared" ca="1" si="104"/>
        <v>#REF!</v>
      </c>
      <c r="AG336" s="125" t="e">
        <f t="shared" ca="1" si="98"/>
        <v>#REF!</v>
      </c>
      <c r="AH336" s="128" t="e">
        <f t="shared" ca="1" si="105"/>
        <v>#REF!</v>
      </c>
    </row>
    <row r="337" spans="4:34">
      <c r="D337">
        <v>330</v>
      </c>
      <c r="E337" s="6">
        <f t="shared" ca="1" si="90"/>
        <v>42736</v>
      </c>
      <c r="F337" s="7">
        <f t="shared" ca="1" si="99"/>
        <v>0</v>
      </c>
      <c r="G337" s="125">
        <f t="shared" ca="1" si="91"/>
        <v>0</v>
      </c>
      <c r="H337" s="125">
        <f ca="1">IF(F337=1,F337*$B$10/MIN(12,'Simulador - 3º Pilar'!$E$88),0)</f>
        <v>0</v>
      </c>
      <c r="I337" s="128">
        <f t="shared" ca="1" si="92"/>
        <v>0</v>
      </c>
      <c r="J337" s="494">
        <f t="shared" ca="1" si="93"/>
        <v>0</v>
      </c>
      <c r="K337" s="126">
        <f t="shared" ca="1" si="94"/>
        <v>0</v>
      </c>
      <c r="L337" s="126">
        <f t="shared" ca="1" si="86"/>
        <v>0</v>
      </c>
      <c r="P337">
        <v>330</v>
      </c>
      <c r="Q337" s="6">
        <f t="shared" ca="1" si="95"/>
        <v>42736</v>
      </c>
      <c r="R337" s="7" t="e">
        <f t="shared" ca="1" si="100"/>
        <v>#REF!</v>
      </c>
      <c r="S337" s="125" t="e">
        <f t="shared" ca="1" si="101"/>
        <v>#REF!</v>
      </c>
      <c r="T337" s="125" t="e">
        <f t="shared" ca="1" si="96"/>
        <v>#REF!</v>
      </c>
      <c r="U337" s="128" t="e">
        <f t="shared" ca="1" si="102"/>
        <v>#REF!</v>
      </c>
      <c r="AC337">
        <v>330</v>
      </c>
      <c r="AD337" s="6">
        <f t="shared" ca="1" si="97"/>
        <v>42736</v>
      </c>
      <c r="AE337" s="7" t="e">
        <f t="shared" ca="1" si="103"/>
        <v>#REF!</v>
      </c>
      <c r="AF337" s="125" t="e">
        <f t="shared" ca="1" si="104"/>
        <v>#REF!</v>
      </c>
      <c r="AG337" s="125" t="e">
        <f t="shared" ca="1" si="98"/>
        <v>#REF!</v>
      </c>
      <c r="AH337" s="128" t="e">
        <f t="shared" ca="1" si="105"/>
        <v>#REF!</v>
      </c>
    </row>
    <row r="338" spans="4:34">
      <c r="D338">
        <v>331</v>
      </c>
      <c r="E338" s="6">
        <f t="shared" ca="1" si="90"/>
        <v>42705</v>
      </c>
      <c r="F338" s="7">
        <f t="shared" ca="1" si="99"/>
        <v>0</v>
      </c>
      <c r="G338" s="125">
        <f t="shared" ca="1" si="91"/>
        <v>0</v>
      </c>
      <c r="H338" s="125">
        <f ca="1">IF(F338=1,F338*$B$10/MIN(12,'Simulador - 3º Pilar'!$E$88),0)</f>
        <v>0</v>
      </c>
      <c r="I338" s="128">
        <f t="shared" ca="1" si="92"/>
        <v>0</v>
      </c>
      <c r="J338" s="494">
        <f t="shared" ca="1" si="93"/>
        <v>0</v>
      </c>
      <c r="K338" s="126">
        <f t="shared" ca="1" si="94"/>
        <v>0</v>
      </c>
      <c r="L338" s="126">
        <f t="shared" ca="1" si="86"/>
        <v>0</v>
      </c>
      <c r="P338">
        <v>331</v>
      </c>
      <c r="Q338" s="6">
        <f t="shared" ca="1" si="95"/>
        <v>42705</v>
      </c>
      <c r="R338" s="7" t="e">
        <f t="shared" ca="1" si="100"/>
        <v>#REF!</v>
      </c>
      <c r="S338" s="125" t="e">
        <f t="shared" ca="1" si="101"/>
        <v>#REF!</v>
      </c>
      <c r="T338" s="125" t="e">
        <f t="shared" ca="1" si="96"/>
        <v>#REF!</v>
      </c>
      <c r="U338" s="128" t="e">
        <f t="shared" ca="1" si="102"/>
        <v>#REF!</v>
      </c>
      <c r="AC338">
        <v>331</v>
      </c>
      <c r="AD338" s="6">
        <f t="shared" ca="1" si="97"/>
        <v>42705</v>
      </c>
      <c r="AE338" s="7" t="e">
        <f t="shared" ca="1" si="103"/>
        <v>#REF!</v>
      </c>
      <c r="AF338" s="125" t="e">
        <f t="shared" ca="1" si="104"/>
        <v>#REF!</v>
      </c>
      <c r="AG338" s="125" t="e">
        <f t="shared" ca="1" si="98"/>
        <v>#REF!</v>
      </c>
      <c r="AH338" s="128" t="e">
        <f t="shared" ca="1" si="105"/>
        <v>#REF!</v>
      </c>
    </row>
    <row r="339" spans="4:34">
      <c r="D339">
        <v>332</v>
      </c>
      <c r="E339" s="6">
        <f t="shared" ca="1" si="90"/>
        <v>42675</v>
      </c>
      <c r="F339" s="7">
        <f t="shared" ca="1" si="99"/>
        <v>0</v>
      </c>
      <c r="G339" s="125">
        <f t="shared" ca="1" si="91"/>
        <v>0</v>
      </c>
      <c r="H339" s="125">
        <f ca="1">IF(F339=1,F339*$B$10/MIN(12,'Simulador - 3º Pilar'!$E$88),0)</f>
        <v>0</v>
      </c>
      <c r="I339" s="128">
        <f t="shared" ca="1" si="92"/>
        <v>0</v>
      </c>
      <c r="J339" s="494">
        <f t="shared" ca="1" si="93"/>
        <v>0</v>
      </c>
      <c r="K339" s="126">
        <f t="shared" ca="1" si="94"/>
        <v>0</v>
      </c>
      <c r="L339" s="126">
        <f t="shared" ca="1" si="86"/>
        <v>0</v>
      </c>
      <c r="P339">
        <v>332</v>
      </c>
      <c r="Q339" s="6">
        <f t="shared" ca="1" si="95"/>
        <v>42675</v>
      </c>
      <c r="R339" s="7" t="e">
        <f t="shared" ca="1" si="100"/>
        <v>#REF!</v>
      </c>
      <c r="S339" s="125" t="e">
        <f t="shared" ca="1" si="101"/>
        <v>#REF!</v>
      </c>
      <c r="T339" s="125" t="e">
        <f t="shared" ca="1" si="96"/>
        <v>#REF!</v>
      </c>
      <c r="U339" s="128" t="e">
        <f t="shared" ca="1" si="102"/>
        <v>#REF!</v>
      </c>
      <c r="AC339">
        <v>332</v>
      </c>
      <c r="AD339" s="6">
        <f t="shared" ca="1" si="97"/>
        <v>42675</v>
      </c>
      <c r="AE339" s="7" t="e">
        <f t="shared" ca="1" si="103"/>
        <v>#REF!</v>
      </c>
      <c r="AF339" s="125" t="e">
        <f t="shared" ca="1" si="104"/>
        <v>#REF!</v>
      </c>
      <c r="AG339" s="125" t="e">
        <f t="shared" ca="1" si="98"/>
        <v>#REF!</v>
      </c>
      <c r="AH339" s="128" t="e">
        <f t="shared" ca="1" si="105"/>
        <v>#REF!</v>
      </c>
    </row>
    <row r="340" spans="4:34">
      <c r="D340">
        <v>333</v>
      </c>
      <c r="E340" s="6">
        <f t="shared" ca="1" si="90"/>
        <v>42644</v>
      </c>
      <c r="F340" s="7">
        <f t="shared" ca="1" si="99"/>
        <v>0</v>
      </c>
      <c r="G340" s="125">
        <f t="shared" ca="1" si="91"/>
        <v>0</v>
      </c>
      <c r="H340" s="125">
        <f ca="1">IF(F340=1,F340*$B$10/MIN(12,'Simulador - 3º Pilar'!$E$88),0)</f>
        <v>0</v>
      </c>
      <c r="I340" s="128">
        <f t="shared" ca="1" si="92"/>
        <v>0</v>
      </c>
      <c r="J340" s="494">
        <f t="shared" ca="1" si="93"/>
        <v>0</v>
      </c>
      <c r="K340" s="126">
        <f t="shared" ca="1" si="94"/>
        <v>0</v>
      </c>
      <c r="L340" s="126">
        <f t="shared" ca="1" si="86"/>
        <v>0</v>
      </c>
      <c r="P340">
        <v>333</v>
      </c>
      <c r="Q340" s="6">
        <f t="shared" ca="1" si="95"/>
        <v>42644</v>
      </c>
      <c r="R340" s="7" t="e">
        <f t="shared" ca="1" si="100"/>
        <v>#REF!</v>
      </c>
      <c r="S340" s="125" t="e">
        <f t="shared" ca="1" si="101"/>
        <v>#REF!</v>
      </c>
      <c r="T340" s="125" t="e">
        <f t="shared" ca="1" si="96"/>
        <v>#REF!</v>
      </c>
      <c r="U340" s="128" t="e">
        <f t="shared" ca="1" si="102"/>
        <v>#REF!</v>
      </c>
      <c r="AC340">
        <v>333</v>
      </c>
      <c r="AD340" s="6">
        <f t="shared" ca="1" si="97"/>
        <v>42644</v>
      </c>
      <c r="AE340" s="7" t="e">
        <f t="shared" ca="1" si="103"/>
        <v>#REF!</v>
      </c>
      <c r="AF340" s="125" t="e">
        <f t="shared" ca="1" si="104"/>
        <v>#REF!</v>
      </c>
      <c r="AG340" s="125" t="e">
        <f t="shared" ca="1" si="98"/>
        <v>#REF!</v>
      </c>
      <c r="AH340" s="128" t="e">
        <f t="shared" ca="1" si="105"/>
        <v>#REF!</v>
      </c>
    </row>
    <row r="341" spans="4:34">
      <c r="D341">
        <v>334</v>
      </c>
      <c r="E341" s="6">
        <f t="shared" ca="1" si="90"/>
        <v>42614</v>
      </c>
      <c r="F341" s="7">
        <f t="shared" ca="1" si="99"/>
        <v>0</v>
      </c>
      <c r="G341" s="125">
        <f t="shared" ca="1" si="91"/>
        <v>0</v>
      </c>
      <c r="H341" s="125">
        <f ca="1">IF(F341=1,F341*$B$10/MIN(12,'Simulador - 3º Pilar'!$E$88),0)</f>
        <v>0</v>
      </c>
      <c r="I341" s="128">
        <f t="shared" ca="1" si="92"/>
        <v>0</v>
      </c>
      <c r="J341" s="494">
        <f t="shared" ca="1" si="93"/>
        <v>0</v>
      </c>
      <c r="K341" s="126">
        <f t="shared" ca="1" si="94"/>
        <v>0</v>
      </c>
      <c r="L341" s="126">
        <f t="shared" ca="1" si="86"/>
        <v>0</v>
      </c>
      <c r="P341">
        <v>334</v>
      </c>
      <c r="Q341" s="6">
        <f t="shared" ca="1" si="95"/>
        <v>42614</v>
      </c>
      <c r="R341" s="7" t="e">
        <f t="shared" ca="1" si="100"/>
        <v>#REF!</v>
      </c>
      <c r="S341" s="125" t="e">
        <f t="shared" ca="1" si="101"/>
        <v>#REF!</v>
      </c>
      <c r="T341" s="125" t="e">
        <f t="shared" ca="1" si="96"/>
        <v>#REF!</v>
      </c>
      <c r="U341" s="128" t="e">
        <f t="shared" ca="1" si="102"/>
        <v>#REF!</v>
      </c>
      <c r="AC341">
        <v>334</v>
      </c>
      <c r="AD341" s="6">
        <f t="shared" ca="1" si="97"/>
        <v>42614</v>
      </c>
      <c r="AE341" s="7" t="e">
        <f t="shared" ca="1" si="103"/>
        <v>#REF!</v>
      </c>
      <c r="AF341" s="125" t="e">
        <f t="shared" ca="1" si="104"/>
        <v>#REF!</v>
      </c>
      <c r="AG341" s="125" t="e">
        <f t="shared" ca="1" si="98"/>
        <v>#REF!</v>
      </c>
      <c r="AH341" s="128" t="e">
        <f t="shared" ca="1" si="105"/>
        <v>#REF!</v>
      </c>
    </row>
    <row r="342" spans="4:34">
      <c r="D342">
        <v>335</v>
      </c>
      <c r="E342" s="6">
        <f t="shared" ca="1" si="90"/>
        <v>42583</v>
      </c>
      <c r="F342" s="7">
        <f t="shared" ca="1" si="99"/>
        <v>0</v>
      </c>
      <c r="G342" s="125">
        <f t="shared" ca="1" si="91"/>
        <v>0</v>
      </c>
      <c r="H342" s="125">
        <f ca="1">IF(F342=1,F342*$B$10/MIN(12,'Simulador - 3º Pilar'!$E$88),0)</f>
        <v>0</v>
      </c>
      <c r="I342" s="128">
        <f t="shared" ca="1" si="92"/>
        <v>0</v>
      </c>
      <c r="J342" s="494">
        <f t="shared" ca="1" si="93"/>
        <v>0</v>
      </c>
      <c r="K342" s="126">
        <f t="shared" ca="1" si="94"/>
        <v>0</v>
      </c>
      <c r="L342" s="126">
        <f t="shared" ca="1" si="86"/>
        <v>0</v>
      </c>
      <c r="P342">
        <v>335</v>
      </c>
      <c r="Q342" s="6">
        <f t="shared" ca="1" si="95"/>
        <v>42583</v>
      </c>
      <c r="R342" s="7" t="e">
        <f t="shared" ca="1" si="100"/>
        <v>#REF!</v>
      </c>
      <c r="S342" s="125" t="e">
        <f t="shared" ca="1" si="101"/>
        <v>#REF!</v>
      </c>
      <c r="T342" s="125" t="e">
        <f t="shared" ca="1" si="96"/>
        <v>#REF!</v>
      </c>
      <c r="U342" s="128" t="e">
        <f t="shared" ca="1" si="102"/>
        <v>#REF!</v>
      </c>
      <c r="AC342">
        <v>335</v>
      </c>
      <c r="AD342" s="6">
        <f t="shared" ca="1" si="97"/>
        <v>42583</v>
      </c>
      <c r="AE342" s="7" t="e">
        <f t="shared" ca="1" si="103"/>
        <v>#REF!</v>
      </c>
      <c r="AF342" s="125" t="e">
        <f t="shared" ca="1" si="104"/>
        <v>#REF!</v>
      </c>
      <c r="AG342" s="125" t="e">
        <f t="shared" ca="1" si="98"/>
        <v>#REF!</v>
      </c>
      <c r="AH342" s="128" t="e">
        <f t="shared" ca="1" si="105"/>
        <v>#REF!</v>
      </c>
    </row>
    <row r="343" spans="4:34">
      <c r="D343">
        <v>336</v>
      </c>
      <c r="E343" s="6">
        <f t="shared" ca="1" si="90"/>
        <v>42552</v>
      </c>
      <c r="F343" s="7">
        <f t="shared" ca="1" si="99"/>
        <v>0</v>
      </c>
      <c r="G343" s="125">
        <f t="shared" ca="1" si="91"/>
        <v>0</v>
      </c>
      <c r="H343" s="125">
        <f ca="1">IF(F343=1,F343*$B$10/MIN(12,'Simulador - 3º Pilar'!$E$88),0)</f>
        <v>0</v>
      </c>
      <c r="I343" s="128">
        <f t="shared" ca="1" si="92"/>
        <v>0</v>
      </c>
      <c r="J343" s="494">
        <f t="shared" ca="1" si="93"/>
        <v>0</v>
      </c>
      <c r="K343" s="126">
        <f t="shared" ca="1" si="94"/>
        <v>0</v>
      </c>
      <c r="L343" s="126">
        <f t="shared" ca="1" si="86"/>
        <v>0</v>
      </c>
      <c r="P343">
        <v>336</v>
      </c>
      <c r="Q343" s="6">
        <f t="shared" ca="1" si="95"/>
        <v>42552</v>
      </c>
      <c r="R343" s="7" t="e">
        <f t="shared" ca="1" si="100"/>
        <v>#REF!</v>
      </c>
      <c r="S343" s="125" t="e">
        <f t="shared" ca="1" si="101"/>
        <v>#REF!</v>
      </c>
      <c r="T343" s="125" t="e">
        <f t="shared" ca="1" si="96"/>
        <v>#REF!</v>
      </c>
      <c r="U343" s="128" t="e">
        <f t="shared" ca="1" si="102"/>
        <v>#REF!</v>
      </c>
      <c r="AC343">
        <v>336</v>
      </c>
      <c r="AD343" s="6">
        <f t="shared" ca="1" si="97"/>
        <v>42552</v>
      </c>
      <c r="AE343" s="7" t="e">
        <f t="shared" ca="1" si="103"/>
        <v>#REF!</v>
      </c>
      <c r="AF343" s="125" t="e">
        <f t="shared" ca="1" si="104"/>
        <v>#REF!</v>
      </c>
      <c r="AG343" s="125" t="e">
        <f t="shared" ca="1" si="98"/>
        <v>#REF!</v>
      </c>
      <c r="AH343" s="128" t="e">
        <f t="shared" ca="1" si="105"/>
        <v>#REF!</v>
      </c>
    </row>
    <row r="344" spans="4:34">
      <c r="D344">
        <v>337</v>
      </c>
      <c r="E344" s="6">
        <f t="shared" ca="1" si="90"/>
        <v>42522</v>
      </c>
      <c r="F344" s="7">
        <f t="shared" ca="1" si="99"/>
        <v>0</v>
      </c>
      <c r="G344" s="125">
        <f t="shared" ca="1" si="91"/>
        <v>0</v>
      </c>
      <c r="H344" s="125">
        <f ca="1">IF(F344=1,F344*$B$10/MIN(12,'Simulador - 3º Pilar'!$E$88),0)</f>
        <v>0</v>
      </c>
      <c r="I344" s="128">
        <f t="shared" ca="1" si="92"/>
        <v>0</v>
      </c>
      <c r="J344" s="494">
        <f t="shared" ca="1" si="93"/>
        <v>0</v>
      </c>
      <c r="K344" s="126">
        <f t="shared" ca="1" si="94"/>
        <v>0</v>
      </c>
      <c r="L344" s="126">
        <f t="shared" ca="1" si="86"/>
        <v>0</v>
      </c>
      <c r="P344">
        <v>337</v>
      </c>
      <c r="Q344" s="6">
        <f t="shared" ca="1" si="95"/>
        <v>42522</v>
      </c>
      <c r="R344" s="7" t="e">
        <f t="shared" ca="1" si="100"/>
        <v>#REF!</v>
      </c>
      <c r="S344" s="125" t="e">
        <f t="shared" ca="1" si="101"/>
        <v>#REF!</v>
      </c>
      <c r="T344" s="125" t="e">
        <f t="shared" ca="1" si="96"/>
        <v>#REF!</v>
      </c>
      <c r="U344" s="128" t="e">
        <f t="shared" ca="1" si="102"/>
        <v>#REF!</v>
      </c>
      <c r="AC344">
        <v>337</v>
      </c>
      <c r="AD344" s="6">
        <f t="shared" ca="1" si="97"/>
        <v>42522</v>
      </c>
      <c r="AE344" s="7" t="e">
        <f t="shared" ca="1" si="103"/>
        <v>#REF!</v>
      </c>
      <c r="AF344" s="125" t="e">
        <f t="shared" ca="1" si="104"/>
        <v>#REF!</v>
      </c>
      <c r="AG344" s="125" t="e">
        <f t="shared" ca="1" si="98"/>
        <v>#REF!</v>
      </c>
      <c r="AH344" s="128" t="e">
        <f t="shared" ca="1" si="105"/>
        <v>#REF!</v>
      </c>
    </row>
    <row r="345" spans="4:34">
      <c r="D345">
        <v>338</v>
      </c>
      <c r="E345" s="6">
        <f t="shared" ca="1" si="90"/>
        <v>42491</v>
      </c>
      <c r="F345" s="7">
        <f t="shared" ca="1" si="99"/>
        <v>0</v>
      </c>
      <c r="G345" s="125">
        <f t="shared" ca="1" si="91"/>
        <v>0</v>
      </c>
      <c r="H345" s="125">
        <f ca="1">IF(F345=1,F345*$B$10/MIN(12,'Simulador - 3º Pilar'!$E$88),0)</f>
        <v>0</v>
      </c>
      <c r="I345" s="128">
        <f t="shared" ca="1" si="92"/>
        <v>0</v>
      </c>
      <c r="J345" s="494">
        <f t="shared" ca="1" si="93"/>
        <v>0</v>
      </c>
      <c r="K345" s="126">
        <f t="shared" ca="1" si="94"/>
        <v>0</v>
      </c>
      <c r="L345" s="126">
        <f t="shared" ca="1" si="86"/>
        <v>0</v>
      </c>
      <c r="P345">
        <v>338</v>
      </c>
      <c r="Q345" s="6">
        <f t="shared" ca="1" si="95"/>
        <v>42491</v>
      </c>
      <c r="R345" s="7" t="e">
        <f t="shared" ca="1" si="100"/>
        <v>#REF!</v>
      </c>
      <c r="S345" s="125" t="e">
        <f t="shared" ca="1" si="101"/>
        <v>#REF!</v>
      </c>
      <c r="T345" s="125" t="e">
        <f t="shared" ca="1" si="96"/>
        <v>#REF!</v>
      </c>
      <c r="U345" s="128" t="e">
        <f t="shared" ca="1" si="102"/>
        <v>#REF!</v>
      </c>
      <c r="AC345">
        <v>338</v>
      </c>
      <c r="AD345" s="6">
        <f t="shared" ca="1" si="97"/>
        <v>42491</v>
      </c>
      <c r="AE345" s="7" t="e">
        <f t="shared" ca="1" si="103"/>
        <v>#REF!</v>
      </c>
      <c r="AF345" s="125" t="e">
        <f t="shared" ca="1" si="104"/>
        <v>#REF!</v>
      </c>
      <c r="AG345" s="125" t="e">
        <f t="shared" ca="1" si="98"/>
        <v>#REF!</v>
      </c>
      <c r="AH345" s="128" t="e">
        <f t="shared" ca="1" si="105"/>
        <v>#REF!</v>
      </c>
    </row>
    <row r="346" spans="4:34">
      <c r="D346">
        <v>339</v>
      </c>
      <c r="E346" s="6">
        <f t="shared" ca="1" si="90"/>
        <v>42461</v>
      </c>
      <c r="F346" s="7">
        <f t="shared" ca="1" si="99"/>
        <v>0</v>
      </c>
      <c r="G346" s="125">
        <f t="shared" ca="1" si="91"/>
        <v>0</v>
      </c>
      <c r="H346" s="125">
        <f ca="1">IF(F346=1,F346*$B$10/MIN(12,'Simulador - 3º Pilar'!$E$88),0)</f>
        <v>0</v>
      </c>
      <c r="I346" s="128">
        <f t="shared" ca="1" si="92"/>
        <v>0</v>
      </c>
      <c r="J346" s="494">
        <f t="shared" ca="1" si="93"/>
        <v>0</v>
      </c>
      <c r="K346" s="126">
        <f t="shared" ca="1" si="94"/>
        <v>0</v>
      </c>
      <c r="L346" s="126">
        <f t="shared" ca="1" si="86"/>
        <v>0</v>
      </c>
      <c r="P346">
        <v>339</v>
      </c>
      <c r="Q346" s="6">
        <f t="shared" ca="1" si="95"/>
        <v>42461</v>
      </c>
      <c r="R346" s="7" t="e">
        <f t="shared" ca="1" si="100"/>
        <v>#REF!</v>
      </c>
      <c r="S346" s="125" t="e">
        <f t="shared" ca="1" si="101"/>
        <v>#REF!</v>
      </c>
      <c r="T346" s="125" t="e">
        <f t="shared" ca="1" si="96"/>
        <v>#REF!</v>
      </c>
      <c r="U346" s="128" t="e">
        <f t="shared" ca="1" si="102"/>
        <v>#REF!</v>
      </c>
      <c r="AC346">
        <v>339</v>
      </c>
      <c r="AD346" s="6">
        <f t="shared" ca="1" si="97"/>
        <v>42461</v>
      </c>
      <c r="AE346" s="7" t="e">
        <f t="shared" ca="1" si="103"/>
        <v>#REF!</v>
      </c>
      <c r="AF346" s="125" t="e">
        <f t="shared" ca="1" si="104"/>
        <v>#REF!</v>
      </c>
      <c r="AG346" s="125" t="e">
        <f t="shared" ca="1" si="98"/>
        <v>#REF!</v>
      </c>
      <c r="AH346" s="128" t="e">
        <f t="shared" ca="1" si="105"/>
        <v>#REF!</v>
      </c>
    </row>
    <row r="347" spans="4:34">
      <c r="D347">
        <v>340</v>
      </c>
      <c r="E347" s="6">
        <f t="shared" ca="1" si="90"/>
        <v>42430</v>
      </c>
      <c r="F347" s="7">
        <f t="shared" ca="1" si="99"/>
        <v>0</v>
      </c>
      <c r="G347" s="125">
        <f t="shared" ca="1" si="91"/>
        <v>0</v>
      </c>
      <c r="H347" s="125">
        <f ca="1">IF(F347=1,F347*$B$10/MIN(12,'Simulador - 3º Pilar'!$E$88),0)</f>
        <v>0</v>
      </c>
      <c r="I347" s="128">
        <f t="shared" ca="1" si="92"/>
        <v>0</v>
      </c>
      <c r="J347" s="494">
        <f t="shared" ca="1" si="93"/>
        <v>0</v>
      </c>
      <c r="K347" s="126">
        <f t="shared" ca="1" si="94"/>
        <v>0</v>
      </c>
      <c r="L347" s="126">
        <f t="shared" ca="1" si="86"/>
        <v>0</v>
      </c>
      <c r="P347">
        <v>340</v>
      </c>
      <c r="Q347" s="6">
        <f t="shared" ca="1" si="95"/>
        <v>42430</v>
      </c>
      <c r="R347" s="7" t="e">
        <f t="shared" ca="1" si="100"/>
        <v>#REF!</v>
      </c>
      <c r="S347" s="125" t="e">
        <f t="shared" ca="1" si="101"/>
        <v>#REF!</v>
      </c>
      <c r="T347" s="125" t="e">
        <f t="shared" ca="1" si="96"/>
        <v>#REF!</v>
      </c>
      <c r="U347" s="128" t="e">
        <f t="shared" ca="1" si="102"/>
        <v>#REF!</v>
      </c>
      <c r="AC347">
        <v>340</v>
      </c>
      <c r="AD347" s="6">
        <f t="shared" ca="1" si="97"/>
        <v>42430</v>
      </c>
      <c r="AE347" s="7" t="e">
        <f t="shared" ca="1" si="103"/>
        <v>#REF!</v>
      </c>
      <c r="AF347" s="125" t="e">
        <f t="shared" ca="1" si="104"/>
        <v>#REF!</v>
      </c>
      <c r="AG347" s="125" t="e">
        <f t="shared" ca="1" si="98"/>
        <v>#REF!</v>
      </c>
      <c r="AH347" s="128" t="e">
        <f t="shared" ca="1" si="105"/>
        <v>#REF!</v>
      </c>
    </row>
    <row r="348" spans="4:34">
      <c r="D348">
        <v>341</v>
      </c>
      <c r="E348" s="6">
        <f t="shared" ca="1" si="90"/>
        <v>42401</v>
      </c>
      <c r="F348" s="7">
        <f t="shared" ca="1" si="99"/>
        <v>0</v>
      </c>
      <c r="G348" s="125">
        <f t="shared" ca="1" si="91"/>
        <v>0</v>
      </c>
      <c r="H348" s="125">
        <f ca="1">IF(F348=1,F348*$B$10/MIN(12,'Simulador - 3º Pilar'!$E$88),0)</f>
        <v>0</v>
      </c>
      <c r="I348" s="128">
        <f t="shared" ca="1" si="92"/>
        <v>0</v>
      </c>
      <c r="J348" s="494">
        <f t="shared" ca="1" si="93"/>
        <v>0</v>
      </c>
      <c r="K348" s="126">
        <f t="shared" ca="1" si="94"/>
        <v>0</v>
      </c>
      <c r="L348" s="126">
        <f t="shared" ca="1" si="86"/>
        <v>0</v>
      </c>
      <c r="P348">
        <v>341</v>
      </c>
      <c r="Q348" s="6">
        <f t="shared" ca="1" si="95"/>
        <v>42401</v>
      </c>
      <c r="R348" s="7" t="e">
        <f t="shared" ca="1" si="100"/>
        <v>#REF!</v>
      </c>
      <c r="S348" s="125" t="e">
        <f t="shared" ca="1" si="101"/>
        <v>#REF!</v>
      </c>
      <c r="T348" s="125" t="e">
        <f t="shared" ca="1" si="96"/>
        <v>#REF!</v>
      </c>
      <c r="U348" s="128" t="e">
        <f t="shared" ca="1" si="102"/>
        <v>#REF!</v>
      </c>
      <c r="AC348">
        <v>341</v>
      </c>
      <c r="AD348" s="6">
        <f t="shared" ca="1" si="97"/>
        <v>42401</v>
      </c>
      <c r="AE348" s="7" t="e">
        <f t="shared" ca="1" si="103"/>
        <v>#REF!</v>
      </c>
      <c r="AF348" s="125" t="e">
        <f t="shared" ca="1" si="104"/>
        <v>#REF!</v>
      </c>
      <c r="AG348" s="125" t="e">
        <f t="shared" ca="1" si="98"/>
        <v>#REF!</v>
      </c>
      <c r="AH348" s="128" t="e">
        <f t="shared" ca="1" si="105"/>
        <v>#REF!</v>
      </c>
    </row>
    <row r="349" spans="4:34">
      <c r="D349">
        <v>342</v>
      </c>
      <c r="E349" s="6">
        <f t="shared" ca="1" si="90"/>
        <v>42370</v>
      </c>
      <c r="F349" s="7">
        <f t="shared" ca="1" si="99"/>
        <v>0</v>
      </c>
      <c r="G349" s="125">
        <f t="shared" ca="1" si="91"/>
        <v>0</v>
      </c>
      <c r="H349" s="125">
        <f ca="1">IF(F349=1,F349*$B$10/MIN(12,'Simulador - 3º Pilar'!$E$88),0)</f>
        <v>0</v>
      </c>
      <c r="I349" s="128">
        <f t="shared" ca="1" si="92"/>
        <v>0</v>
      </c>
      <c r="J349" s="494">
        <f t="shared" ca="1" si="93"/>
        <v>0</v>
      </c>
      <c r="K349" s="126">
        <f t="shared" ca="1" si="94"/>
        <v>0</v>
      </c>
      <c r="L349" s="126">
        <f t="shared" ca="1" si="86"/>
        <v>0</v>
      </c>
      <c r="P349">
        <v>342</v>
      </c>
      <c r="Q349" s="6">
        <f t="shared" ca="1" si="95"/>
        <v>42370</v>
      </c>
      <c r="R349" s="7" t="e">
        <f t="shared" ca="1" si="100"/>
        <v>#REF!</v>
      </c>
      <c r="S349" s="125" t="e">
        <f t="shared" ca="1" si="101"/>
        <v>#REF!</v>
      </c>
      <c r="T349" s="125" t="e">
        <f t="shared" ca="1" si="96"/>
        <v>#REF!</v>
      </c>
      <c r="U349" s="128" t="e">
        <f t="shared" ca="1" si="102"/>
        <v>#REF!</v>
      </c>
      <c r="AC349">
        <v>342</v>
      </c>
      <c r="AD349" s="6">
        <f t="shared" ca="1" si="97"/>
        <v>42370</v>
      </c>
      <c r="AE349" s="7" t="e">
        <f t="shared" ca="1" si="103"/>
        <v>#REF!</v>
      </c>
      <c r="AF349" s="125" t="e">
        <f t="shared" ca="1" si="104"/>
        <v>#REF!</v>
      </c>
      <c r="AG349" s="125" t="e">
        <f t="shared" ca="1" si="98"/>
        <v>#REF!</v>
      </c>
      <c r="AH349" s="128" t="e">
        <f t="shared" ca="1" si="105"/>
        <v>#REF!</v>
      </c>
    </row>
    <row r="350" spans="4:34">
      <c r="D350">
        <v>343</v>
      </c>
      <c r="E350" s="6">
        <f t="shared" ca="1" si="90"/>
        <v>42339</v>
      </c>
      <c r="F350" s="7">
        <f t="shared" ca="1" si="99"/>
        <v>0</v>
      </c>
      <c r="G350" s="125">
        <f t="shared" ca="1" si="91"/>
        <v>0</v>
      </c>
      <c r="H350" s="125">
        <f ca="1">IF(F350=1,F350*$B$10/MIN(12,'Simulador - 3º Pilar'!$E$88),0)</f>
        <v>0</v>
      </c>
      <c r="I350" s="128">
        <f t="shared" ca="1" si="92"/>
        <v>0</v>
      </c>
      <c r="J350" s="494">
        <f t="shared" ca="1" si="93"/>
        <v>0</v>
      </c>
      <c r="K350" s="126">
        <f t="shared" ca="1" si="94"/>
        <v>0</v>
      </c>
      <c r="L350" s="126">
        <f t="shared" ca="1" si="86"/>
        <v>0</v>
      </c>
      <c r="P350">
        <v>343</v>
      </c>
      <c r="Q350" s="6">
        <f t="shared" ca="1" si="95"/>
        <v>42339</v>
      </c>
      <c r="R350" s="7" t="e">
        <f t="shared" ca="1" si="100"/>
        <v>#REF!</v>
      </c>
      <c r="S350" s="125" t="e">
        <f t="shared" ca="1" si="101"/>
        <v>#REF!</v>
      </c>
      <c r="T350" s="125" t="e">
        <f t="shared" ca="1" si="96"/>
        <v>#REF!</v>
      </c>
      <c r="U350" s="128" t="e">
        <f t="shared" ca="1" si="102"/>
        <v>#REF!</v>
      </c>
      <c r="AC350">
        <v>343</v>
      </c>
      <c r="AD350" s="6">
        <f t="shared" ca="1" si="97"/>
        <v>42339</v>
      </c>
      <c r="AE350" s="7" t="e">
        <f t="shared" ca="1" si="103"/>
        <v>#REF!</v>
      </c>
      <c r="AF350" s="125" t="e">
        <f t="shared" ca="1" si="104"/>
        <v>#REF!</v>
      </c>
      <c r="AG350" s="125" t="e">
        <f t="shared" ca="1" si="98"/>
        <v>#REF!</v>
      </c>
      <c r="AH350" s="128" t="e">
        <f t="shared" ca="1" si="105"/>
        <v>#REF!</v>
      </c>
    </row>
    <row r="351" spans="4:34">
      <c r="D351">
        <v>344</v>
      </c>
      <c r="E351" s="6">
        <f t="shared" ca="1" si="90"/>
        <v>42309</v>
      </c>
      <c r="F351" s="7">
        <f t="shared" ca="1" si="99"/>
        <v>0</v>
      </c>
      <c r="G351" s="125">
        <f t="shared" ca="1" si="91"/>
        <v>0</v>
      </c>
      <c r="H351" s="125">
        <f ca="1">IF(F351=1,F351*$B$10/MIN(12,'Simulador - 3º Pilar'!$E$88),0)</f>
        <v>0</v>
      </c>
      <c r="I351" s="128">
        <f t="shared" ca="1" si="92"/>
        <v>0</v>
      </c>
      <c r="J351" s="494">
        <f t="shared" ca="1" si="93"/>
        <v>0</v>
      </c>
      <c r="K351" s="126">
        <f t="shared" ca="1" si="94"/>
        <v>0</v>
      </c>
      <c r="L351" s="126">
        <f t="shared" ca="1" si="86"/>
        <v>0</v>
      </c>
      <c r="P351">
        <v>344</v>
      </c>
      <c r="Q351" s="6">
        <f t="shared" ca="1" si="95"/>
        <v>42309</v>
      </c>
      <c r="R351" s="7" t="e">
        <f t="shared" ca="1" si="100"/>
        <v>#REF!</v>
      </c>
      <c r="S351" s="125" t="e">
        <f t="shared" ca="1" si="101"/>
        <v>#REF!</v>
      </c>
      <c r="T351" s="125" t="e">
        <f t="shared" ca="1" si="96"/>
        <v>#REF!</v>
      </c>
      <c r="U351" s="128" t="e">
        <f t="shared" ca="1" si="102"/>
        <v>#REF!</v>
      </c>
      <c r="AC351">
        <v>344</v>
      </c>
      <c r="AD351" s="6">
        <f t="shared" ca="1" si="97"/>
        <v>42309</v>
      </c>
      <c r="AE351" s="7" t="e">
        <f t="shared" ca="1" si="103"/>
        <v>#REF!</v>
      </c>
      <c r="AF351" s="125" t="e">
        <f t="shared" ca="1" si="104"/>
        <v>#REF!</v>
      </c>
      <c r="AG351" s="125" t="e">
        <f t="shared" ca="1" si="98"/>
        <v>#REF!</v>
      </c>
      <c r="AH351" s="128" t="e">
        <f t="shared" ca="1" si="105"/>
        <v>#REF!</v>
      </c>
    </row>
    <row r="352" spans="4:34">
      <c r="D352">
        <v>345</v>
      </c>
      <c r="E352" s="6">
        <f t="shared" ca="1" si="90"/>
        <v>42278</v>
      </c>
      <c r="F352" s="7">
        <f t="shared" ca="1" si="99"/>
        <v>0</v>
      </c>
      <c r="G352" s="125">
        <f t="shared" ca="1" si="91"/>
        <v>0</v>
      </c>
      <c r="H352" s="125">
        <f ca="1">IF(F352=1,F352*$B$10/MIN(12,'Simulador - 3º Pilar'!$E$88),0)</f>
        <v>0</v>
      </c>
      <c r="I352" s="128">
        <f t="shared" ca="1" si="92"/>
        <v>0</v>
      </c>
      <c r="J352" s="494">
        <f t="shared" ca="1" si="93"/>
        <v>0</v>
      </c>
      <c r="K352" s="126">
        <f t="shared" ca="1" si="94"/>
        <v>0</v>
      </c>
      <c r="L352" s="126">
        <f t="shared" ca="1" si="86"/>
        <v>0</v>
      </c>
      <c r="P352">
        <v>345</v>
      </c>
      <c r="Q352" s="6">
        <f t="shared" ca="1" si="95"/>
        <v>42278</v>
      </c>
      <c r="R352" s="7" t="e">
        <f t="shared" ca="1" si="100"/>
        <v>#REF!</v>
      </c>
      <c r="S352" s="125" t="e">
        <f t="shared" ca="1" si="101"/>
        <v>#REF!</v>
      </c>
      <c r="T352" s="125" t="e">
        <f t="shared" ca="1" si="96"/>
        <v>#REF!</v>
      </c>
      <c r="U352" s="128" t="e">
        <f t="shared" ca="1" si="102"/>
        <v>#REF!</v>
      </c>
      <c r="AC352">
        <v>345</v>
      </c>
      <c r="AD352" s="6">
        <f t="shared" ca="1" si="97"/>
        <v>42278</v>
      </c>
      <c r="AE352" s="7" t="e">
        <f t="shared" ca="1" si="103"/>
        <v>#REF!</v>
      </c>
      <c r="AF352" s="125" t="e">
        <f t="shared" ca="1" si="104"/>
        <v>#REF!</v>
      </c>
      <c r="AG352" s="125" t="e">
        <f t="shared" ca="1" si="98"/>
        <v>#REF!</v>
      </c>
      <c r="AH352" s="128" t="e">
        <f t="shared" ca="1" si="105"/>
        <v>#REF!</v>
      </c>
    </row>
    <row r="353" spans="4:34">
      <c r="D353">
        <v>346</v>
      </c>
      <c r="E353" s="6">
        <f t="shared" ca="1" si="90"/>
        <v>42248</v>
      </c>
      <c r="F353" s="7">
        <f t="shared" ca="1" si="99"/>
        <v>0</v>
      </c>
      <c r="G353" s="125">
        <f t="shared" ca="1" si="91"/>
        <v>0</v>
      </c>
      <c r="H353" s="125">
        <f ca="1">IF(F353=1,F353*$B$10/MIN(12,'Simulador - 3º Pilar'!$E$88),0)</f>
        <v>0</v>
      </c>
      <c r="I353" s="128">
        <f t="shared" ca="1" si="92"/>
        <v>0</v>
      </c>
      <c r="J353" s="494">
        <f t="shared" ca="1" si="93"/>
        <v>0</v>
      </c>
      <c r="K353" s="126">
        <f t="shared" ca="1" si="94"/>
        <v>0</v>
      </c>
      <c r="L353" s="126">
        <f t="shared" ref="L353:L416" ca="1" si="106">(1+$G$5)^(D353/12)*(IF((E353)&gt;($B$6),H353,0)+IF(E353=$N$7,$N$4,0)+IF(E353=$C$6,0,0))</f>
        <v>0</v>
      </c>
      <c r="P353">
        <v>346</v>
      </c>
      <c r="Q353" s="6">
        <f t="shared" ca="1" si="95"/>
        <v>42248</v>
      </c>
      <c r="R353" s="7" t="e">
        <f t="shared" ca="1" si="100"/>
        <v>#REF!</v>
      </c>
      <c r="S353" s="125" t="e">
        <f t="shared" ca="1" si="101"/>
        <v>#REF!</v>
      </c>
      <c r="T353" s="125" t="e">
        <f t="shared" ca="1" si="96"/>
        <v>#REF!</v>
      </c>
      <c r="U353" s="128" t="e">
        <f t="shared" ca="1" si="102"/>
        <v>#REF!</v>
      </c>
      <c r="AC353">
        <v>346</v>
      </c>
      <c r="AD353" s="6">
        <f t="shared" ca="1" si="97"/>
        <v>42248</v>
      </c>
      <c r="AE353" s="7" t="e">
        <f t="shared" ca="1" si="103"/>
        <v>#REF!</v>
      </c>
      <c r="AF353" s="125" t="e">
        <f t="shared" ca="1" si="104"/>
        <v>#REF!</v>
      </c>
      <c r="AG353" s="125" t="e">
        <f t="shared" ca="1" si="98"/>
        <v>#REF!</v>
      </c>
      <c r="AH353" s="128" t="e">
        <f t="shared" ca="1" si="105"/>
        <v>#REF!</v>
      </c>
    </row>
    <row r="354" spans="4:34">
      <c r="D354">
        <v>347</v>
      </c>
      <c r="E354" s="6">
        <f t="shared" ca="1" si="90"/>
        <v>42217</v>
      </c>
      <c r="F354" s="7">
        <f t="shared" ca="1" si="99"/>
        <v>0</v>
      </c>
      <c r="G354" s="125">
        <f t="shared" ca="1" si="91"/>
        <v>0</v>
      </c>
      <c r="H354" s="125">
        <f ca="1">IF(F354=1,F354*$B$10/MIN(12,'Simulador - 3º Pilar'!$E$88),0)</f>
        <v>0</v>
      </c>
      <c r="I354" s="128">
        <f t="shared" ca="1" si="92"/>
        <v>0</v>
      </c>
      <c r="J354" s="494">
        <f t="shared" ca="1" si="93"/>
        <v>0</v>
      </c>
      <c r="K354" s="126">
        <f t="shared" ca="1" si="94"/>
        <v>0</v>
      </c>
      <c r="L354" s="126">
        <f t="shared" ca="1" si="106"/>
        <v>0</v>
      </c>
      <c r="P354">
        <v>347</v>
      </c>
      <c r="Q354" s="6">
        <f t="shared" ca="1" si="95"/>
        <v>42217</v>
      </c>
      <c r="R354" s="7" t="e">
        <f t="shared" ca="1" si="100"/>
        <v>#REF!</v>
      </c>
      <c r="S354" s="125" t="e">
        <f t="shared" ca="1" si="101"/>
        <v>#REF!</v>
      </c>
      <c r="T354" s="125" t="e">
        <f t="shared" ca="1" si="96"/>
        <v>#REF!</v>
      </c>
      <c r="U354" s="128" t="e">
        <f t="shared" ca="1" si="102"/>
        <v>#REF!</v>
      </c>
      <c r="AC354">
        <v>347</v>
      </c>
      <c r="AD354" s="6">
        <f t="shared" ca="1" si="97"/>
        <v>42217</v>
      </c>
      <c r="AE354" s="7" t="e">
        <f t="shared" ca="1" si="103"/>
        <v>#REF!</v>
      </c>
      <c r="AF354" s="125" t="e">
        <f t="shared" ca="1" si="104"/>
        <v>#REF!</v>
      </c>
      <c r="AG354" s="125" t="e">
        <f t="shared" ca="1" si="98"/>
        <v>#REF!</v>
      </c>
      <c r="AH354" s="128" t="e">
        <f t="shared" ca="1" si="105"/>
        <v>#REF!</v>
      </c>
    </row>
    <row r="355" spans="4:34">
      <c r="D355">
        <v>348</v>
      </c>
      <c r="E355" s="6">
        <f t="shared" ca="1" si="90"/>
        <v>42186</v>
      </c>
      <c r="F355" s="7">
        <f t="shared" ca="1" si="99"/>
        <v>0</v>
      </c>
      <c r="G355" s="125">
        <f t="shared" ca="1" si="91"/>
        <v>0</v>
      </c>
      <c r="H355" s="125">
        <f ca="1">IF(F355=1,F355*$B$10/MIN(12,'Simulador - 3º Pilar'!$E$88),0)</f>
        <v>0</v>
      </c>
      <c r="I355" s="128">
        <f t="shared" ca="1" si="92"/>
        <v>0</v>
      </c>
      <c r="J355" s="494">
        <f t="shared" ca="1" si="93"/>
        <v>0</v>
      </c>
      <c r="K355" s="126">
        <f t="shared" ca="1" si="94"/>
        <v>0</v>
      </c>
      <c r="L355" s="126">
        <f t="shared" ca="1" si="106"/>
        <v>0</v>
      </c>
      <c r="P355">
        <v>348</v>
      </c>
      <c r="Q355" s="6">
        <f t="shared" ca="1" si="95"/>
        <v>42186</v>
      </c>
      <c r="R355" s="7" t="e">
        <f t="shared" ca="1" si="100"/>
        <v>#REF!</v>
      </c>
      <c r="S355" s="125" t="e">
        <f t="shared" ca="1" si="101"/>
        <v>#REF!</v>
      </c>
      <c r="T355" s="125" t="e">
        <f t="shared" ca="1" si="96"/>
        <v>#REF!</v>
      </c>
      <c r="U355" s="128" t="e">
        <f t="shared" ca="1" si="102"/>
        <v>#REF!</v>
      </c>
      <c r="AC355">
        <v>348</v>
      </c>
      <c r="AD355" s="6">
        <f t="shared" ca="1" si="97"/>
        <v>42186</v>
      </c>
      <c r="AE355" s="7" t="e">
        <f t="shared" ca="1" si="103"/>
        <v>#REF!</v>
      </c>
      <c r="AF355" s="125" t="e">
        <f t="shared" ca="1" si="104"/>
        <v>#REF!</v>
      </c>
      <c r="AG355" s="125" t="e">
        <f t="shared" ca="1" si="98"/>
        <v>#REF!</v>
      </c>
      <c r="AH355" s="128" t="e">
        <f t="shared" ca="1" si="105"/>
        <v>#REF!</v>
      </c>
    </row>
    <row r="356" spans="4:34">
      <c r="D356">
        <v>349</v>
      </c>
      <c r="E356" s="6">
        <f t="shared" ca="1" si="90"/>
        <v>42156</v>
      </c>
      <c r="F356" s="7">
        <f t="shared" ca="1" si="99"/>
        <v>0</v>
      </c>
      <c r="G356" s="125">
        <f t="shared" ca="1" si="91"/>
        <v>0</v>
      </c>
      <c r="H356" s="125">
        <f ca="1">IF(F356=1,F356*$B$10/MIN(12,'Simulador - 3º Pilar'!$E$88),0)</f>
        <v>0</v>
      </c>
      <c r="I356" s="128">
        <f t="shared" ca="1" si="92"/>
        <v>0</v>
      </c>
      <c r="J356" s="494">
        <f t="shared" ca="1" si="93"/>
        <v>0</v>
      </c>
      <c r="K356" s="126">
        <f t="shared" ca="1" si="94"/>
        <v>0</v>
      </c>
      <c r="L356" s="126">
        <f t="shared" ca="1" si="106"/>
        <v>0</v>
      </c>
      <c r="P356">
        <v>349</v>
      </c>
      <c r="Q356" s="6">
        <f t="shared" ca="1" si="95"/>
        <v>42156</v>
      </c>
      <c r="R356" s="7" t="e">
        <f t="shared" ca="1" si="100"/>
        <v>#REF!</v>
      </c>
      <c r="S356" s="125" t="e">
        <f t="shared" ca="1" si="101"/>
        <v>#REF!</v>
      </c>
      <c r="T356" s="125" t="e">
        <f t="shared" ca="1" si="96"/>
        <v>#REF!</v>
      </c>
      <c r="U356" s="128" t="e">
        <f t="shared" ca="1" si="102"/>
        <v>#REF!</v>
      </c>
      <c r="AC356">
        <v>349</v>
      </c>
      <c r="AD356" s="6">
        <f t="shared" ca="1" si="97"/>
        <v>42156</v>
      </c>
      <c r="AE356" s="7" t="e">
        <f t="shared" ca="1" si="103"/>
        <v>#REF!</v>
      </c>
      <c r="AF356" s="125" t="e">
        <f t="shared" ca="1" si="104"/>
        <v>#REF!</v>
      </c>
      <c r="AG356" s="125" t="e">
        <f t="shared" ca="1" si="98"/>
        <v>#REF!</v>
      </c>
      <c r="AH356" s="128" t="e">
        <f t="shared" ca="1" si="105"/>
        <v>#REF!</v>
      </c>
    </row>
    <row r="357" spans="4:34">
      <c r="D357">
        <v>350</v>
      </c>
      <c r="E357" s="6">
        <f t="shared" ca="1" si="90"/>
        <v>42125</v>
      </c>
      <c r="F357" s="7">
        <f t="shared" ca="1" si="99"/>
        <v>0</v>
      </c>
      <c r="G357" s="125">
        <f t="shared" ca="1" si="91"/>
        <v>0</v>
      </c>
      <c r="H357" s="125">
        <f ca="1">IF(F357=1,F357*$B$10/MIN(12,'Simulador - 3º Pilar'!$E$88),0)</f>
        <v>0</v>
      </c>
      <c r="I357" s="128">
        <f t="shared" ca="1" si="92"/>
        <v>0</v>
      </c>
      <c r="J357" s="494">
        <f t="shared" ca="1" si="93"/>
        <v>0</v>
      </c>
      <c r="K357" s="126">
        <f t="shared" ca="1" si="94"/>
        <v>0</v>
      </c>
      <c r="L357" s="126">
        <f t="shared" ca="1" si="106"/>
        <v>0</v>
      </c>
      <c r="P357">
        <v>350</v>
      </c>
      <c r="Q357" s="6">
        <f t="shared" ca="1" si="95"/>
        <v>42125</v>
      </c>
      <c r="R357" s="7" t="e">
        <f t="shared" ca="1" si="100"/>
        <v>#REF!</v>
      </c>
      <c r="S357" s="125" t="e">
        <f t="shared" ca="1" si="101"/>
        <v>#REF!</v>
      </c>
      <c r="T357" s="125" t="e">
        <f t="shared" ca="1" si="96"/>
        <v>#REF!</v>
      </c>
      <c r="U357" s="128" t="e">
        <f t="shared" ca="1" si="102"/>
        <v>#REF!</v>
      </c>
      <c r="AC357">
        <v>350</v>
      </c>
      <c r="AD357" s="6">
        <f t="shared" ca="1" si="97"/>
        <v>42125</v>
      </c>
      <c r="AE357" s="7" t="e">
        <f t="shared" ca="1" si="103"/>
        <v>#REF!</v>
      </c>
      <c r="AF357" s="125" t="e">
        <f t="shared" ca="1" si="104"/>
        <v>#REF!</v>
      </c>
      <c r="AG357" s="125" t="e">
        <f t="shared" ca="1" si="98"/>
        <v>#REF!</v>
      </c>
      <c r="AH357" s="128" t="e">
        <f t="shared" ca="1" si="105"/>
        <v>#REF!</v>
      </c>
    </row>
    <row r="358" spans="4:34">
      <c r="D358">
        <v>351</v>
      </c>
      <c r="E358" s="6">
        <f t="shared" ca="1" si="90"/>
        <v>42095</v>
      </c>
      <c r="F358" s="7">
        <f t="shared" ca="1" si="99"/>
        <v>0</v>
      </c>
      <c r="G358" s="125">
        <f t="shared" ca="1" si="91"/>
        <v>0</v>
      </c>
      <c r="H358" s="125">
        <f ca="1">IF(F358=1,F358*$B$10/MIN(12,'Simulador - 3º Pilar'!$E$88),0)</f>
        <v>0</v>
      </c>
      <c r="I358" s="128">
        <f t="shared" ca="1" si="92"/>
        <v>0</v>
      </c>
      <c r="J358" s="494">
        <f t="shared" ca="1" si="93"/>
        <v>0</v>
      </c>
      <c r="K358" s="126">
        <f t="shared" ca="1" si="94"/>
        <v>0</v>
      </c>
      <c r="L358" s="126">
        <f t="shared" ca="1" si="106"/>
        <v>0</v>
      </c>
      <c r="P358">
        <v>351</v>
      </c>
      <c r="Q358" s="6">
        <f t="shared" ca="1" si="95"/>
        <v>42095</v>
      </c>
      <c r="R358" s="7" t="e">
        <f t="shared" ca="1" si="100"/>
        <v>#REF!</v>
      </c>
      <c r="S358" s="125" t="e">
        <f t="shared" ca="1" si="101"/>
        <v>#REF!</v>
      </c>
      <c r="T358" s="125" t="e">
        <f t="shared" ca="1" si="96"/>
        <v>#REF!</v>
      </c>
      <c r="U358" s="128" t="e">
        <f t="shared" ca="1" si="102"/>
        <v>#REF!</v>
      </c>
      <c r="AC358">
        <v>351</v>
      </c>
      <c r="AD358" s="6">
        <f t="shared" ca="1" si="97"/>
        <v>42095</v>
      </c>
      <c r="AE358" s="7" t="e">
        <f t="shared" ca="1" si="103"/>
        <v>#REF!</v>
      </c>
      <c r="AF358" s="125" t="e">
        <f t="shared" ca="1" si="104"/>
        <v>#REF!</v>
      </c>
      <c r="AG358" s="125" t="e">
        <f t="shared" ca="1" si="98"/>
        <v>#REF!</v>
      </c>
      <c r="AH358" s="128" t="e">
        <f t="shared" ca="1" si="105"/>
        <v>#REF!</v>
      </c>
    </row>
    <row r="359" spans="4:34">
      <c r="D359">
        <v>352</v>
      </c>
      <c r="E359" s="6">
        <f t="shared" ca="1" si="90"/>
        <v>42064</v>
      </c>
      <c r="F359" s="7">
        <f t="shared" ca="1" si="99"/>
        <v>0</v>
      </c>
      <c r="G359" s="125">
        <f t="shared" ca="1" si="91"/>
        <v>0</v>
      </c>
      <c r="H359" s="125">
        <f ca="1">IF(F359=1,F359*$B$10/MIN(12,'Simulador - 3º Pilar'!$E$88),0)</f>
        <v>0</v>
      </c>
      <c r="I359" s="128">
        <f t="shared" ca="1" si="92"/>
        <v>0</v>
      </c>
      <c r="J359" s="494">
        <f t="shared" ca="1" si="93"/>
        <v>0</v>
      </c>
      <c r="K359" s="126">
        <f t="shared" ca="1" si="94"/>
        <v>0</v>
      </c>
      <c r="L359" s="126">
        <f t="shared" ca="1" si="106"/>
        <v>0</v>
      </c>
      <c r="P359">
        <v>352</v>
      </c>
      <c r="Q359" s="6">
        <f t="shared" ca="1" si="95"/>
        <v>42064</v>
      </c>
      <c r="R359" s="7" t="e">
        <f t="shared" ca="1" si="100"/>
        <v>#REF!</v>
      </c>
      <c r="S359" s="125" t="e">
        <f t="shared" ca="1" si="101"/>
        <v>#REF!</v>
      </c>
      <c r="T359" s="125" t="e">
        <f t="shared" ca="1" si="96"/>
        <v>#REF!</v>
      </c>
      <c r="U359" s="128" t="e">
        <f t="shared" ca="1" si="102"/>
        <v>#REF!</v>
      </c>
      <c r="AC359">
        <v>352</v>
      </c>
      <c r="AD359" s="6">
        <f t="shared" ca="1" si="97"/>
        <v>42064</v>
      </c>
      <c r="AE359" s="7" t="e">
        <f t="shared" ca="1" si="103"/>
        <v>#REF!</v>
      </c>
      <c r="AF359" s="125" t="e">
        <f t="shared" ca="1" si="104"/>
        <v>#REF!</v>
      </c>
      <c r="AG359" s="125" t="e">
        <f t="shared" ca="1" si="98"/>
        <v>#REF!</v>
      </c>
      <c r="AH359" s="128" t="e">
        <f t="shared" ca="1" si="105"/>
        <v>#REF!</v>
      </c>
    </row>
    <row r="360" spans="4:34">
      <c r="D360">
        <v>353</v>
      </c>
      <c r="E360" s="6">
        <f t="shared" ca="1" si="90"/>
        <v>42036</v>
      </c>
      <c r="F360" s="7">
        <f t="shared" ca="1" si="99"/>
        <v>0</v>
      </c>
      <c r="G360" s="125">
        <f t="shared" ca="1" si="91"/>
        <v>0</v>
      </c>
      <c r="H360" s="125">
        <f ca="1">IF(F360=1,F360*$B$10/MIN(12,'Simulador - 3º Pilar'!$E$88),0)</f>
        <v>0</v>
      </c>
      <c r="I360" s="128">
        <f t="shared" ca="1" si="92"/>
        <v>0</v>
      </c>
      <c r="J360" s="494">
        <f t="shared" ca="1" si="93"/>
        <v>0</v>
      </c>
      <c r="K360" s="126">
        <f t="shared" ca="1" si="94"/>
        <v>0</v>
      </c>
      <c r="L360" s="126">
        <f t="shared" ca="1" si="106"/>
        <v>0</v>
      </c>
      <c r="P360">
        <v>353</v>
      </c>
      <c r="Q360" s="6">
        <f t="shared" ca="1" si="95"/>
        <v>42036</v>
      </c>
      <c r="R360" s="7" t="e">
        <f t="shared" ca="1" si="100"/>
        <v>#REF!</v>
      </c>
      <c r="S360" s="125" t="e">
        <f t="shared" ca="1" si="101"/>
        <v>#REF!</v>
      </c>
      <c r="T360" s="125" t="e">
        <f t="shared" ca="1" si="96"/>
        <v>#REF!</v>
      </c>
      <c r="U360" s="128" t="e">
        <f t="shared" ca="1" si="102"/>
        <v>#REF!</v>
      </c>
      <c r="AC360">
        <v>353</v>
      </c>
      <c r="AD360" s="6">
        <f t="shared" ca="1" si="97"/>
        <v>42036</v>
      </c>
      <c r="AE360" s="7" t="e">
        <f t="shared" ca="1" si="103"/>
        <v>#REF!</v>
      </c>
      <c r="AF360" s="125" t="e">
        <f t="shared" ca="1" si="104"/>
        <v>#REF!</v>
      </c>
      <c r="AG360" s="125" t="e">
        <f t="shared" ca="1" si="98"/>
        <v>#REF!</v>
      </c>
      <c r="AH360" s="128" t="e">
        <f t="shared" ca="1" si="105"/>
        <v>#REF!</v>
      </c>
    </row>
    <row r="361" spans="4:34">
      <c r="D361">
        <v>354</v>
      </c>
      <c r="E361" s="6">
        <f t="shared" ca="1" si="90"/>
        <v>42005</v>
      </c>
      <c r="F361" s="7">
        <f t="shared" ca="1" si="99"/>
        <v>0</v>
      </c>
      <c r="G361" s="125">
        <f t="shared" ca="1" si="91"/>
        <v>0</v>
      </c>
      <c r="H361" s="125">
        <f ca="1">IF(F361=1,F361*$B$10/MIN(12,'Simulador - 3º Pilar'!$E$88),0)</f>
        <v>0</v>
      </c>
      <c r="I361" s="128">
        <f t="shared" ca="1" si="92"/>
        <v>0</v>
      </c>
      <c r="J361" s="494">
        <f t="shared" ca="1" si="93"/>
        <v>0</v>
      </c>
      <c r="K361" s="126">
        <f t="shared" ca="1" si="94"/>
        <v>0</v>
      </c>
      <c r="L361" s="126">
        <f t="shared" ca="1" si="106"/>
        <v>0</v>
      </c>
      <c r="P361">
        <v>354</v>
      </c>
      <c r="Q361" s="6">
        <f t="shared" ca="1" si="95"/>
        <v>42005</v>
      </c>
      <c r="R361" s="7" t="e">
        <f t="shared" ca="1" si="100"/>
        <v>#REF!</v>
      </c>
      <c r="S361" s="125" t="e">
        <f t="shared" ca="1" si="101"/>
        <v>#REF!</v>
      </c>
      <c r="T361" s="125" t="e">
        <f t="shared" ca="1" si="96"/>
        <v>#REF!</v>
      </c>
      <c r="U361" s="128" t="e">
        <f t="shared" ca="1" si="102"/>
        <v>#REF!</v>
      </c>
      <c r="AC361">
        <v>354</v>
      </c>
      <c r="AD361" s="6">
        <f t="shared" ca="1" si="97"/>
        <v>42005</v>
      </c>
      <c r="AE361" s="7" t="e">
        <f t="shared" ca="1" si="103"/>
        <v>#REF!</v>
      </c>
      <c r="AF361" s="125" t="e">
        <f t="shared" ca="1" si="104"/>
        <v>#REF!</v>
      </c>
      <c r="AG361" s="125" t="e">
        <f t="shared" ca="1" si="98"/>
        <v>#REF!</v>
      </c>
      <c r="AH361" s="128" t="e">
        <f t="shared" ca="1" si="105"/>
        <v>#REF!</v>
      </c>
    </row>
    <row r="362" spans="4:34">
      <c r="D362">
        <v>355</v>
      </c>
      <c r="E362" s="6">
        <f t="shared" ca="1" si="90"/>
        <v>41974</v>
      </c>
      <c r="F362" s="7">
        <f t="shared" ca="1" si="99"/>
        <v>0</v>
      </c>
      <c r="G362" s="125">
        <f t="shared" ca="1" si="91"/>
        <v>0</v>
      </c>
      <c r="H362" s="125">
        <f ca="1">IF(F362=1,F362*$B$10/MIN(12,'Simulador - 3º Pilar'!$E$88),0)</f>
        <v>0</v>
      </c>
      <c r="I362" s="128">
        <f t="shared" ca="1" si="92"/>
        <v>0</v>
      </c>
      <c r="J362" s="494">
        <f t="shared" ca="1" si="93"/>
        <v>0</v>
      </c>
      <c r="K362" s="126">
        <f t="shared" ca="1" si="94"/>
        <v>0</v>
      </c>
      <c r="L362" s="126">
        <f t="shared" ca="1" si="106"/>
        <v>0</v>
      </c>
      <c r="P362">
        <v>355</v>
      </c>
      <c r="Q362" s="6">
        <f t="shared" ca="1" si="95"/>
        <v>41974</v>
      </c>
      <c r="R362" s="7" t="e">
        <f t="shared" ca="1" si="100"/>
        <v>#REF!</v>
      </c>
      <c r="S362" s="125" t="e">
        <f t="shared" ca="1" si="101"/>
        <v>#REF!</v>
      </c>
      <c r="T362" s="125" t="e">
        <f t="shared" ca="1" si="96"/>
        <v>#REF!</v>
      </c>
      <c r="U362" s="128" t="e">
        <f t="shared" ca="1" si="102"/>
        <v>#REF!</v>
      </c>
      <c r="AC362">
        <v>355</v>
      </c>
      <c r="AD362" s="6">
        <f t="shared" ca="1" si="97"/>
        <v>41974</v>
      </c>
      <c r="AE362" s="7" t="e">
        <f t="shared" ca="1" si="103"/>
        <v>#REF!</v>
      </c>
      <c r="AF362" s="125" t="e">
        <f t="shared" ca="1" si="104"/>
        <v>#REF!</v>
      </c>
      <c r="AG362" s="125" t="e">
        <f t="shared" ca="1" si="98"/>
        <v>#REF!</v>
      </c>
      <c r="AH362" s="128" t="e">
        <f t="shared" ca="1" si="105"/>
        <v>#REF!</v>
      </c>
    </row>
    <row r="363" spans="4:34">
      <c r="D363">
        <v>356</v>
      </c>
      <c r="E363" s="6">
        <f t="shared" ca="1" si="90"/>
        <v>41944</v>
      </c>
      <c r="F363" s="7">
        <f t="shared" ca="1" si="99"/>
        <v>0</v>
      </c>
      <c r="G363" s="125">
        <f t="shared" ca="1" si="91"/>
        <v>0</v>
      </c>
      <c r="H363" s="125">
        <f ca="1">IF(F363=1,F363*$B$10/MIN(12,'Simulador - 3º Pilar'!$E$88),0)</f>
        <v>0</v>
      </c>
      <c r="I363" s="128">
        <f t="shared" ca="1" si="92"/>
        <v>0</v>
      </c>
      <c r="J363" s="494">
        <f t="shared" ca="1" si="93"/>
        <v>0</v>
      </c>
      <c r="K363" s="126">
        <f t="shared" ca="1" si="94"/>
        <v>0</v>
      </c>
      <c r="L363" s="126">
        <f t="shared" ca="1" si="106"/>
        <v>0</v>
      </c>
      <c r="P363">
        <v>356</v>
      </c>
      <c r="Q363" s="6">
        <f t="shared" ca="1" si="95"/>
        <v>41944</v>
      </c>
      <c r="R363" s="7" t="e">
        <f t="shared" ca="1" si="100"/>
        <v>#REF!</v>
      </c>
      <c r="S363" s="125" t="e">
        <f t="shared" ca="1" si="101"/>
        <v>#REF!</v>
      </c>
      <c r="T363" s="125" t="e">
        <f t="shared" ca="1" si="96"/>
        <v>#REF!</v>
      </c>
      <c r="U363" s="128" t="e">
        <f t="shared" ca="1" si="102"/>
        <v>#REF!</v>
      </c>
      <c r="AC363">
        <v>356</v>
      </c>
      <c r="AD363" s="6">
        <f t="shared" ca="1" si="97"/>
        <v>41944</v>
      </c>
      <c r="AE363" s="7" t="e">
        <f t="shared" ca="1" si="103"/>
        <v>#REF!</v>
      </c>
      <c r="AF363" s="125" t="e">
        <f t="shared" ca="1" si="104"/>
        <v>#REF!</v>
      </c>
      <c r="AG363" s="125" t="e">
        <f t="shared" ca="1" si="98"/>
        <v>#REF!</v>
      </c>
      <c r="AH363" s="128" t="e">
        <f t="shared" ca="1" si="105"/>
        <v>#REF!</v>
      </c>
    </row>
    <row r="364" spans="4:34">
      <c r="D364">
        <v>357</v>
      </c>
      <c r="E364" s="6">
        <f t="shared" ca="1" si="90"/>
        <v>41913</v>
      </c>
      <c r="F364" s="7">
        <f t="shared" ca="1" si="99"/>
        <v>0</v>
      </c>
      <c r="G364" s="125">
        <f t="shared" ca="1" si="91"/>
        <v>0</v>
      </c>
      <c r="H364" s="125">
        <f ca="1">IF(F364=1,F364*$B$10/MIN(12,'Simulador - 3º Pilar'!$E$88),0)</f>
        <v>0</v>
      </c>
      <c r="I364" s="128">
        <f t="shared" ca="1" si="92"/>
        <v>0</v>
      </c>
      <c r="J364" s="494">
        <f t="shared" ca="1" si="93"/>
        <v>0</v>
      </c>
      <c r="K364" s="126">
        <f t="shared" ca="1" si="94"/>
        <v>0</v>
      </c>
      <c r="L364" s="126">
        <f t="shared" ca="1" si="106"/>
        <v>0</v>
      </c>
      <c r="P364">
        <v>357</v>
      </c>
      <c r="Q364" s="6">
        <f t="shared" ca="1" si="95"/>
        <v>41913</v>
      </c>
      <c r="R364" s="7" t="e">
        <f t="shared" ca="1" si="100"/>
        <v>#REF!</v>
      </c>
      <c r="S364" s="125" t="e">
        <f t="shared" ca="1" si="101"/>
        <v>#REF!</v>
      </c>
      <c r="T364" s="125" t="e">
        <f t="shared" ca="1" si="96"/>
        <v>#REF!</v>
      </c>
      <c r="U364" s="128" t="e">
        <f t="shared" ca="1" si="102"/>
        <v>#REF!</v>
      </c>
      <c r="AC364">
        <v>357</v>
      </c>
      <c r="AD364" s="6">
        <f t="shared" ca="1" si="97"/>
        <v>41913</v>
      </c>
      <c r="AE364" s="7" t="e">
        <f t="shared" ca="1" si="103"/>
        <v>#REF!</v>
      </c>
      <c r="AF364" s="125" t="e">
        <f t="shared" ca="1" si="104"/>
        <v>#REF!</v>
      </c>
      <c r="AG364" s="125" t="e">
        <f t="shared" ca="1" si="98"/>
        <v>#REF!</v>
      </c>
      <c r="AH364" s="128" t="e">
        <f t="shared" ca="1" si="105"/>
        <v>#REF!</v>
      </c>
    </row>
    <row r="365" spans="4:34">
      <c r="D365">
        <v>358</v>
      </c>
      <c r="E365" s="6">
        <f t="shared" ca="1" si="90"/>
        <v>41883</v>
      </c>
      <c r="F365" s="7">
        <f t="shared" ca="1" si="99"/>
        <v>0</v>
      </c>
      <c r="G365" s="125">
        <f t="shared" ca="1" si="91"/>
        <v>0</v>
      </c>
      <c r="H365" s="125">
        <f ca="1">IF(F365=1,F365*$B$10/MIN(12,'Simulador - 3º Pilar'!$E$88),0)</f>
        <v>0</v>
      </c>
      <c r="I365" s="128">
        <f t="shared" ca="1" si="92"/>
        <v>0</v>
      </c>
      <c r="J365" s="494">
        <f t="shared" ca="1" si="93"/>
        <v>0</v>
      </c>
      <c r="K365" s="126">
        <f t="shared" ca="1" si="94"/>
        <v>0</v>
      </c>
      <c r="L365" s="126">
        <f t="shared" ca="1" si="106"/>
        <v>0</v>
      </c>
      <c r="P365">
        <v>358</v>
      </c>
      <c r="Q365" s="6">
        <f t="shared" ca="1" si="95"/>
        <v>41883</v>
      </c>
      <c r="R365" s="7" t="e">
        <f t="shared" ca="1" si="100"/>
        <v>#REF!</v>
      </c>
      <c r="S365" s="125" t="e">
        <f t="shared" ca="1" si="101"/>
        <v>#REF!</v>
      </c>
      <c r="T365" s="125" t="e">
        <f t="shared" ca="1" si="96"/>
        <v>#REF!</v>
      </c>
      <c r="U365" s="128" t="e">
        <f t="shared" ca="1" si="102"/>
        <v>#REF!</v>
      </c>
      <c r="AC365">
        <v>358</v>
      </c>
      <c r="AD365" s="6">
        <f t="shared" ca="1" si="97"/>
        <v>41883</v>
      </c>
      <c r="AE365" s="7" t="e">
        <f t="shared" ca="1" si="103"/>
        <v>#REF!</v>
      </c>
      <c r="AF365" s="125" t="e">
        <f t="shared" ca="1" si="104"/>
        <v>#REF!</v>
      </c>
      <c r="AG365" s="125" t="e">
        <f t="shared" ca="1" si="98"/>
        <v>#REF!</v>
      </c>
      <c r="AH365" s="128" t="e">
        <f t="shared" ca="1" si="105"/>
        <v>#REF!</v>
      </c>
    </row>
    <row r="366" spans="4:34">
      <c r="D366">
        <v>359</v>
      </c>
      <c r="E366" s="6">
        <f t="shared" ca="1" si="90"/>
        <v>41852</v>
      </c>
      <c r="F366" s="7">
        <f t="shared" ca="1" si="99"/>
        <v>0</v>
      </c>
      <c r="G366" s="125">
        <f t="shared" ca="1" si="91"/>
        <v>0</v>
      </c>
      <c r="H366" s="125">
        <f ca="1">IF(F366=1,F366*$B$10/MIN(12,'Simulador - 3º Pilar'!$E$88),0)</f>
        <v>0</v>
      </c>
      <c r="I366" s="128">
        <f t="shared" ca="1" si="92"/>
        <v>0</v>
      </c>
      <c r="J366" s="494">
        <f t="shared" ca="1" si="93"/>
        <v>0</v>
      </c>
      <c r="K366" s="126">
        <f t="shared" ca="1" si="94"/>
        <v>0</v>
      </c>
      <c r="L366" s="126">
        <f t="shared" ca="1" si="106"/>
        <v>0</v>
      </c>
      <c r="P366">
        <v>359</v>
      </c>
      <c r="Q366" s="6">
        <f t="shared" ca="1" si="95"/>
        <v>41852</v>
      </c>
      <c r="R366" s="7" t="e">
        <f t="shared" ca="1" si="100"/>
        <v>#REF!</v>
      </c>
      <c r="S366" s="125" t="e">
        <f t="shared" ca="1" si="101"/>
        <v>#REF!</v>
      </c>
      <c r="T366" s="125" t="e">
        <f t="shared" ca="1" si="96"/>
        <v>#REF!</v>
      </c>
      <c r="U366" s="128" t="e">
        <f t="shared" ca="1" si="102"/>
        <v>#REF!</v>
      </c>
      <c r="AC366">
        <v>359</v>
      </c>
      <c r="AD366" s="6">
        <f t="shared" ca="1" si="97"/>
        <v>41852</v>
      </c>
      <c r="AE366" s="7" t="e">
        <f t="shared" ca="1" si="103"/>
        <v>#REF!</v>
      </c>
      <c r="AF366" s="125" t="e">
        <f t="shared" ca="1" si="104"/>
        <v>#REF!</v>
      </c>
      <c r="AG366" s="125" t="e">
        <f t="shared" ca="1" si="98"/>
        <v>#REF!</v>
      </c>
      <c r="AH366" s="128" t="e">
        <f t="shared" ca="1" si="105"/>
        <v>#REF!</v>
      </c>
    </row>
    <row r="367" spans="4:34">
      <c r="D367">
        <v>360</v>
      </c>
      <c r="E367" s="6">
        <f t="shared" ca="1" si="90"/>
        <v>41821</v>
      </c>
      <c r="F367" s="7">
        <f t="shared" ca="1" si="99"/>
        <v>0</v>
      </c>
      <c r="G367" s="125">
        <f t="shared" ca="1" si="91"/>
        <v>0</v>
      </c>
      <c r="H367" s="125">
        <f ca="1">IF(F367=1,F367*$B$10/MIN(12,'Simulador - 3º Pilar'!$E$88),0)</f>
        <v>0</v>
      </c>
      <c r="I367" s="128">
        <f t="shared" ca="1" si="92"/>
        <v>0</v>
      </c>
      <c r="J367" s="494">
        <f t="shared" ca="1" si="93"/>
        <v>0</v>
      </c>
      <c r="K367" s="126">
        <f t="shared" ca="1" si="94"/>
        <v>0</v>
      </c>
      <c r="L367" s="126">
        <f t="shared" ca="1" si="106"/>
        <v>0</v>
      </c>
      <c r="P367">
        <v>360</v>
      </c>
      <c r="Q367" s="6">
        <f t="shared" ca="1" si="95"/>
        <v>41821</v>
      </c>
      <c r="R367" s="7" t="e">
        <f t="shared" ca="1" si="100"/>
        <v>#REF!</v>
      </c>
      <c r="S367" s="125" t="e">
        <f t="shared" ca="1" si="101"/>
        <v>#REF!</v>
      </c>
      <c r="T367" s="125" t="e">
        <f t="shared" ca="1" si="96"/>
        <v>#REF!</v>
      </c>
      <c r="U367" s="128" t="e">
        <f t="shared" ca="1" si="102"/>
        <v>#REF!</v>
      </c>
      <c r="AC367">
        <v>360</v>
      </c>
      <c r="AD367" s="6">
        <f t="shared" ca="1" si="97"/>
        <v>41821</v>
      </c>
      <c r="AE367" s="7" t="e">
        <f t="shared" ca="1" si="103"/>
        <v>#REF!</v>
      </c>
      <c r="AF367" s="125" t="e">
        <f t="shared" ca="1" si="104"/>
        <v>#REF!</v>
      </c>
      <c r="AG367" s="125" t="e">
        <f t="shared" ca="1" si="98"/>
        <v>#REF!</v>
      </c>
      <c r="AH367" s="128" t="e">
        <f t="shared" ca="1" si="105"/>
        <v>#REF!</v>
      </c>
    </row>
    <row r="368" spans="4:34">
      <c r="D368">
        <v>361</v>
      </c>
      <c r="E368" s="6">
        <f t="shared" ca="1" si="90"/>
        <v>41791</v>
      </c>
      <c r="F368" s="7">
        <f t="shared" ca="1" si="99"/>
        <v>0</v>
      </c>
      <c r="G368" s="125">
        <f t="shared" ca="1" si="91"/>
        <v>0</v>
      </c>
      <c r="H368" s="125">
        <f ca="1">IF(F368=1,F368*$B$10/MIN(12,'Simulador - 3º Pilar'!$E$88),0)</f>
        <v>0</v>
      </c>
      <c r="I368" s="128">
        <f t="shared" ca="1" si="92"/>
        <v>0</v>
      </c>
      <c r="J368" s="494">
        <f t="shared" ca="1" si="93"/>
        <v>0</v>
      </c>
      <c r="K368" s="126">
        <f t="shared" ca="1" si="94"/>
        <v>0</v>
      </c>
      <c r="L368" s="126">
        <f t="shared" ca="1" si="106"/>
        <v>0</v>
      </c>
      <c r="P368">
        <v>361</v>
      </c>
      <c r="Q368" s="6">
        <f t="shared" ca="1" si="95"/>
        <v>41791</v>
      </c>
      <c r="R368" s="7" t="e">
        <f t="shared" ca="1" si="100"/>
        <v>#REF!</v>
      </c>
      <c r="S368" s="125" t="e">
        <f t="shared" ca="1" si="101"/>
        <v>#REF!</v>
      </c>
      <c r="T368" s="125" t="e">
        <f t="shared" ca="1" si="96"/>
        <v>#REF!</v>
      </c>
      <c r="U368" s="128" t="e">
        <f t="shared" ca="1" si="102"/>
        <v>#REF!</v>
      </c>
      <c r="AC368">
        <v>361</v>
      </c>
      <c r="AD368" s="6">
        <f t="shared" ca="1" si="97"/>
        <v>41791</v>
      </c>
      <c r="AE368" s="7" t="e">
        <f t="shared" ca="1" si="103"/>
        <v>#REF!</v>
      </c>
      <c r="AF368" s="125" t="e">
        <f t="shared" ca="1" si="104"/>
        <v>#REF!</v>
      </c>
      <c r="AG368" s="125" t="e">
        <f t="shared" ca="1" si="98"/>
        <v>#REF!</v>
      </c>
      <c r="AH368" s="128" t="e">
        <f t="shared" ca="1" si="105"/>
        <v>#REF!</v>
      </c>
    </row>
    <row r="369" spans="4:34">
      <c r="D369">
        <v>362</v>
      </c>
      <c r="E369" s="6">
        <f t="shared" ca="1" si="90"/>
        <v>41760</v>
      </c>
      <c r="F369" s="7">
        <f t="shared" ca="1" si="99"/>
        <v>0</v>
      </c>
      <c r="G369" s="125">
        <f t="shared" ca="1" si="91"/>
        <v>0</v>
      </c>
      <c r="H369" s="125">
        <f ca="1">IF(F369=1,F369*$B$10/MIN(12,'Simulador - 3º Pilar'!$E$88),0)</f>
        <v>0</v>
      </c>
      <c r="I369" s="128">
        <f t="shared" ca="1" si="92"/>
        <v>0</v>
      </c>
      <c r="J369" s="494">
        <f t="shared" ca="1" si="93"/>
        <v>0</v>
      </c>
      <c r="K369" s="126">
        <f t="shared" ca="1" si="94"/>
        <v>0</v>
      </c>
      <c r="L369" s="126">
        <f t="shared" ca="1" si="106"/>
        <v>0</v>
      </c>
      <c r="P369">
        <v>362</v>
      </c>
      <c r="Q369" s="6">
        <f t="shared" ca="1" si="95"/>
        <v>41760</v>
      </c>
      <c r="R369" s="7" t="e">
        <f t="shared" ca="1" si="100"/>
        <v>#REF!</v>
      </c>
      <c r="S369" s="125" t="e">
        <f t="shared" ca="1" si="101"/>
        <v>#REF!</v>
      </c>
      <c r="T369" s="125" t="e">
        <f t="shared" ca="1" si="96"/>
        <v>#REF!</v>
      </c>
      <c r="U369" s="128" t="e">
        <f t="shared" ca="1" si="102"/>
        <v>#REF!</v>
      </c>
      <c r="AC369">
        <v>362</v>
      </c>
      <c r="AD369" s="6">
        <f t="shared" ca="1" si="97"/>
        <v>41760</v>
      </c>
      <c r="AE369" s="7" t="e">
        <f t="shared" ca="1" si="103"/>
        <v>#REF!</v>
      </c>
      <c r="AF369" s="125" t="e">
        <f t="shared" ca="1" si="104"/>
        <v>#REF!</v>
      </c>
      <c r="AG369" s="125" t="e">
        <f t="shared" ca="1" si="98"/>
        <v>#REF!</v>
      </c>
      <c r="AH369" s="128" t="e">
        <f t="shared" ca="1" si="105"/>
        <v>#REF!</v>
      </c>
    </row>
    <row r="370" spans="4:34">
      <c r="D370">
        <v>363</v>
      </c>
      <c r="E370" s="6">
        <f t="shared" ca="1" si="90"/>
        <v>41730</v>
      </c>
      <c r="F370" s="7">
        <f t="shared" ca="1" si="99"/>
        <v>0</v>
      </c>
      <c r="G370" s="125">
        <f t="shared" ca="1" si="91"/>
        <v>0</v>
      </c>
      <c r="H370" s="125">
        <f ca="1">IF(F370=1,F370*$B$10/MIN(12,'Simulador - 3º Pilar'!$E$88),0)</f>
        <v>0</v>
      </c>
      <c r="I370" s="128">
        <f t="shared" ca="1" si="92"/>
        <v>0</v>
      </c>
      <c r="J370" s="494">
        <f t="shared" ca="1" si="93"/>
        <v>0</v>
      </c>
      <c r="K370" s="126">
        <f t="shared" ca="1" si="94"/>
        <v>0</v>
      </c>
      <c r="L370" s="126">
        <f t="shared" ca="1" si="106"/>
        <v>0</v>
      </c>
      <c r="P370">
        <v>363</v>
      </c>
      <c r="Q370" s="6">
        <f t="shared" ca="1" si="95"/>
        <v>41730</v>
      </c>
      <c r="R370" s="7" t="e">
        <f t="shared" ca="1" si="100"/>
        <v>#REF!</v>
      </c>
      <c r="S370" s="125" t="e">
        <f t="shared" ca="1" si="101"/>
        <v>#REF!</v>
      </c>
      <c r="T370" s="125" t="e">
        <f t="shared" ca="1" si="96"/>
        <v>#REF!</v>
      </c>
      <c r="U370" s="128" t="e">
        <f t="shared" ca="1" si="102"/>
        <v>#REF!</v>
      </c>
      <c r="AC370">
        <v>363</v>
      </c>
      <c r="AD370" s="6">
        <f t="shared" ca="1" si="97"/>
        <v>41730</v>
      </c>
      <c r="AE370" s="7" t="e">
        <f t="shared" ca="1" si="103"/>
        <v>#REF!</v>
      </c>
      <c r="AF370" s="125" t="e">
        <f t="shared" ca="1" si="104"/>
        <v>#REF!</v>
      </c>
      <c r="AG370" s="125" t="e">
        <f t="shared" ca="1" si="98"/>
        <v>#REF!</v>
      </c>
      <c r="AH370" s="128" t="e">
        <f t="shared" ca="1" si="105"/>
        <v>#REF!</v>
      </c>
    </row>
    <row r="371" spans="4:34">
      <c r="D371">
        <v>364</v>
      </c>
      <c r="E371" s="6">
        <f t="shared" ca="1" si="90"/>
        <v>41699</v>
      </c>
      <c r="F371" s="7">
        <f t="shared" ca="1" si="99"/>
        <v>0</v>
      </c>
      <c r="G371" s="125">
        <f t="shared" ca="1" si="91"/>
        <v>0</v>
      </c>
      <c r="H371" s="125">
        <f ca="1">IF(F371=1,F371*$B$10/MIN(12,'Simulador - 3º Pilar'!$E$88),0)</f>
        <v>0</v>
      </c>
      <c r="I371" s="128">
        <f t="shared" ca="1" si="92"/>
        <v>0</v>
      </c>
      <c r="J371" s="494">
        <f t="shared" ca="1" si="93"/>
        <v>0</v>
      </c>
      <c r="K371" s="126">
        <f t="shared" ca="1" si="94"/>
        <v>0</v>
      </c>
      <c r="L371" s="126">
        <f t="shared" ca="1" si="106"/>
        <v>0</v>
      </c>
      <c r="P371">
        <v>364</v>
      </c>
      <c r="Q371" s="6">
        <f t="shared" ca="1" si="95"/>
        <v>41699</v>
      </c>
      <c r="R371" s="7" t="e">
        <f t="shared" ca="1" si="100"/>
        <v>#REF!</v>
      </c>
      <c r="S371" s="125" t="e">
        <f t="shared" ca="1" si="101"/>
        <v>#REF!</v>
      </c>
      <c r="T371" s="125" t="e">
        <f t="shared" ca="1" si="96"/>
        <v>#REF!</v>
      </c>
      <c r="U371" s="128" t="e">
        <f t="shared" ca="1" si="102"/>
        <v>#REF!</v>
      </c>
      <c r="AC371">
        <v>364</v>
      </c>
      <c r="AD371" s="6">
        <f t="shared" ca="1" si="97"/>
        <v>41699</v>
      </c>
      <c r="AE371" s="7" t="e">
        <f t="shared" ca="1" si="103"/>
        <v>#REF!</v>
      </c>
      <c r="AF371" s="125" t="e">
        <f t="shared" ca="1" si="104"/>
        <v>#REF!</v>
      </c>
      <c r="AG371" s="125" t="e">
        <f t="shared" ca="1" si="98"/>
        <v>#REF!</v>
      </c>
      <c r="AH371" s="128" t="e">
        <f t="shared" ca="1" si="105"/>
        <v>#REF!</v>
      </c>
    </row>
    <row r="372" spans="4:34">
      <c r="D372">
        <v>365</v>
      </c>
      <c r="E372" s="6">
        <f t="shared" ca="1" si="90"/>
        <v>41671</v>
      </c>
      <c r="F372" s="7">
        <f t="shared" ca="1" si="99"/>
        <v>0</v>
      </c>
      <c r="G372" s="125">
        <f t="shared" ca="1" si="91"/>
        <v>0</v>
      </c>
      <c r="H372" s="125">
        <f ca="1">IF(F372=1,F372*$B$10/MIN(12,'Simulador - 3º Pilar'!$E$88),0)</f>
        <v>0</v>
      </c>
      <c r="I372" s="128">
        <f t="shared" ca="1" si="92"/>
        <v>0</v>
      </c>
      <c r="J372" s="494">
        <f t="shared" ca="1" si="93"/>
        <v>0</v>
      </c>
      <c r="K372" s="126">
        <f t="shared" ca="1" si="94"/>
        <v>0</v>
      </c>
      <c r="L372" s="126">
        <f t="shared" ca="1" si="106"/>
        <v>0</v>
      </c>
      <c r="P372">
        <v>365</v>
      </c>
      <c r="Q372" s="6">
        <f t="shared" ca="1" si="95"/>
        <v>41671</v>
      </c>
      <c r="R372" s="7" t="e">
        <f t="shared" ca="1" si="100"/>
        <v>#REF!</v>
      </c>
      <c r="S372" s="125" t="e">
        <f t="shared" ca="1" si="101"/>
        <v>#REF!</v>
      </c>
      <c r="T372" s="125" t="e">
        <f t="shared" ca="1" si="96"/>
        <v>#REF!</v>
      </c>
      <c r="U372" s="128" t="e">
        <f t="shared" ca="1" si="102"/>
        <v>#REF!</v>
      </c>
      <c r="AC372">
        <v>365</v>
      </c>
      <c r="AD372" s="6">
        <f t="shared" ca="1" si="97"/>
        <v>41671</v>
      </c>
      <c r="AE372" s="7" t="e">
        <f t="shared" ca="1" si="103"/>
        <v>#REF!</v>
      </c>
      <c r="AF372" s="125" t="e">
        <f t="shared" ca="1" si="104"/>
        <v>#REF!</v>
      </c>
      <c r="AG372" s="125" t="e">
        <f t="shared" ca="1" si="98"/>
        <v>#REF!</v>
      </c>
      <c r="AH372" s="128" t="e">
        <f t="shared" ca="1" si="105"/>
        <v>#REF!</v>
      </c>
    </row>
    <row r="373" spans="4:34">
      <c r="D373">
        <v>366</v>
      </c>
      <c r="E373" s="6">
        <f t="shared" ca="1" si="90"/>
        <v>41640</v>
      </c>
      <c r="F373" s="7">
        <f t="shared" ca="1" si="99"/>
        <v>0</v>
      </c>
      <c r="G373" s="125">
        <f t="shared" ca="1" si="91"/>
        <v>0</v>
      </c>
      <c r="H373" s="125">
        <f ca="1">IF(F373=1,F373*$B$10/MIN(12,'Simulador - 3º Pilar'!$E$88),0)</f>
        <v>0</v>
      </c>
      <c r="I373" s="128">
        <f t="shared" ca="1" si="92"/>
        <v>0</v>
      </c>
      <c r="J373" s="494">
        <f t="shared" ca="1" si="93"/>
        <v>0</v>
      </c>
      <c r="K373" s="126">
        <f t="shared" ca="1" si="94"/>
        <v>0</v>
      </c>
      <c r="L373" s="126">
        <f t="shared" ca="1" si="106"/>
        <v>0</v>
      </c>
      <c r="P373">
        <v>366</v>
      </c>
      <c r="Q373" s="6">
        <f t="shared" ca="1" si="95"/>
        <v>41640</v>
      </c>
      <c r="R373" s="7" t="e">
        <f t="shared" ca="1" si="100"/>
        <v>#REF!</v>
      </c>
      <c r="S373" s="125" t="e">
        <f t="shared" ca="1" si="101"/>
        <v>#REF!</v>
      </c>
      <c r="T373" s="125" t="e">
        <f t="shared" ca="1" si="96"/>
        <v>#REF!</v>
      </c>
      <c r="U373" s="128" t="e">
        <f t="shared" ca="1" si="102"/>
        <v>#REF!</v>
      </c>
      <c r="AC373">
        <v>366</v>
      </c>
      <c r="AD373" s="6">
        <f t="shared" ca="1" si="97"/>
        <v>41640</v>
      </c>
      <c r="AE373" s="7" t="e">
        <f t="shared" ca="1" si="103"/>
        <v>#REF!</v>
      </c>
      <c r="AF373" s="125" t="e">
        <f t="shared" ca="1" si="104"/>
        <v>#REF!</v>
      </c>
      <c r="AG373" s="125" t="e">
        <f t="shared" ca="1" si="98"/>
        <v>#REF!</v>
      </c>
      <c r="AH373" s="128" t="e">
        <f t="shared" ca="1" si="105"/>
        <v>#REF!</v>
      </c>
    </row>
    <row r="374" spans="4:34">
      <c r="D374">
        <v>367</v>
      </c>
      <c r="E374" s="6">
        <f t="shared" ca="1" si="90"/>
        <v>41609</v>
      </c>
      <c r="F374" s="7">
        <f t="shared" ca="1" si="99"/>
        <v>0</v>
      </c>
      <c r="G374" s="125">
        <f t="shared" ca="1" si="91"/>
        <v>0</v>
      </c>
      <c r="H374" s="125">
        <f ca="1">IF(F374=1,F374*$B$10/MIN(12,'Simulador - 3º Pilar'!$E$88),0)</f>
        <v>0</v>
      </c>
      <c r="I374" s="128">
        <f t="shared" ca="1" si="92"/>
        <v>0</v>
      </c>
      <c r="J374" s="494">
        <f t="shared" ca="1" si="93"/>
        <v>0</v>
      </c>
      <c r="K374" s="126">
        <f t="shared" ca="1" si="94"/>
        <v>0</v>
      </c>
      <c r="L374" s="126">
        <f t="shared" ca="1" si="106"/>
        <v>0</v>
      </c>
      <c r="P374">
        <v>367</v>
      </c>
      <c r="Q374" s="6">
        <f t="shared" ca="1" si="95"/>
        <v>41609</v>
      </c>
      <c r="R374" s="7" t="e">
        <f t="shared" ca="1" si="100"/>
        <v>#REF!</v>
      </c>
      <c r="S374" s="125" t="e">
        <f t="shared" ca="1" si="101"/>
        <v>#REF!</v>
      </c>
      <c r="T374" s="125" t="e">
        <f t="shared" ca="1" si="96"/>
        <v>#REF!</v>
      </c>
      <c r="U374" s="128" t="e">
        <f t="shared" ca="1" si="102"/>
        <v>#REF!</v>
      </c>
      <c r="AC374">
        <v>367</v>
      </c>
      <c r="AD374" s="6">
        <f t="shared" ca="1" si="97"/>
        <v>41609</v>
      </c>
      <c r="AE374" s="7" t="e">
        <f t="shared" ca="1" si="103"/>
        <v>#REF!</v>
      </c>
      <c r="AF374" s="125" t="e">
        <f t="shared" ca="1" si="104"/>
        <v>#REF!</v>
      </c>
      <c r="AG374" s="125" t="e">
        <f t="shared" ca="1" si="98"/>
        <v>#REF!</v>
      </c>
      <c r="AH374" s="128" t="e">
        <f t="shared" ca="1" si="105"/>
        <v>#REF!</v>
      </c>
    </row>
    <row r="375" spans="4:34">
      <c r="D375">
        <v>368</v>
      </c>
      <c r="E375" s="6">
        <f t="shared" ca="1" si="90"/>
        <v>41579</v>
      </c>
      <c r="F375" s="7">
        <f t="shared" ca="1" si="99"/>
        <v>0</v>
      </c>
      <c r="G375" s="125">
        <f t="shared" ca="1" si="91"/>
        <v>0</v>
      </c>
      <c r="H375" s="125">
        <f ca="1">IF(F375=1,F375*$B$10/MIN(12,'Simulador - 3º Pilar'!$E$88),0)</f>
        <v>0</v>
      </c>
      <c r="I375" s="128">
        <f t="shared" ca="1" si="92"/>
        <v>0</v>
      </c>
      <c r="J375" s="494">
        <f t="shared" ca="1" si="93"/>
        <v>0</v>
      </c>
      <c r="K375" s="126">
        <f t="shared" ca="1" si="94"/>
        <v>0</v>
      </c>
      <c r="L375" s="126">
        <f t="shared" ca="1" si="106"/>
        <v>0</v>
      </c>
      <c r="P375">
        <v>368</v>
      </c>
      <c r="Q375" s="6">
        <f t="shared" ca="1" si="95"/>
        <v>41579</v>
      </c>
      <c r="R375" s="7" t="e">
        <f t="shared" ca="1" si="100"/>
        <v>#REF!</v>
      </c>
      <c r="S375" s="125" t="e">
        <f t="shared" ca="1" si="101"/>
        <v>#REF!</v>
      </c>
      <c r="T375" s="125" t="e">
        <f t="shared" ca="1" si="96"/>
        <v>#REF!</v>
      </c>
      <c r="U375" s="128" t="e">
        <f t="shared" ca="1" si="102"/>
        <v>#REF!</v>
      </c>
      <c r="AC375">
        <v>368</v>
      </c>
      <c r="AD375" s="6">
        <f t="shared" ca="1" si="97"/>
        <v>41579</v>
      </c>
      <c r="AE375" s="7" t="e">
        <f t="shared" ca="1" si="103"/>
        <v>#REF!</v>
      </c>
      <c r="AF375" s="125" t="e">
        <f t="shared" ca="1" si="104"/>
        <v>#REF!</v>
      </c>
      <c r="AG375" s="125" t="e">
        <f t="shared" ca="1" si="98"/>
        <v>#REF!</v>
      </c>
      <c r="AH375" s="128" t="e">
        <f t="shared" ca="1" si="105"/>
        <v>#REF!</v>
      </c>
    </row>
    <row r="376" spans="4:34">
      <c r="D376">
        <v>369</v>
      </c>
      <c r="E376" s="6">
        <f t="shared" ca="1" si="90"/>
        <v>41548</v>
      </c>
      <c r="F376" s="7">
        <f t="shared" ca="1" si="99"/>
        <v>0</v>
      </c>
      <c r="G376" s="125">
        <f t="shared" ca="1" si="91"/>
        <v>0</v>
      </c>
      <c r="H376" s="125">
        <f ca="1">IF(F376=1,F376*$B$10/MIN(12,'Simulador - 3º Pilar'!$E$88),0)</f>
        <v>0</v>
      </c>
      <c r="I376" s="128">
        <f t="shared" ca="1" si="92"/>
        <v>0</v>
      </c>
      <c r="J376" s="494">
        <f ca="1">(1+$G$5)^(D376/12)*(H376*(12-IF(MONTH(E377)=12,0,MONTH(E377)))+IF(AND(F376=1,F377=0),$Q$4,0))*IF(AND(F376=1,F377=0),1,0)</f>
        <v>0</v>
      </c>
      <c r="K376" s="126">
        <f t="shared" ca="1" si="94"/>
        <v>0</v>
      </c>
      <c r="L376" s="126">
        <f t="shared" ca="1" si="106"/>
        <v>0</v>
      </c>
      <c r="P376">
        <v>369</v>
      </c>
      <c r="Q376" s="6">
        <f t="shared" ca="1" si="95"/>
        <v>41548</v>
      </c>
      <c r="R376" s="7" t="e">
        <f t="shared" ca="1" si="100"/>
        <v>#REF!</v>
      </c>
      <c r="S376" s="125" t="e">
        <f t="shared" ca="1" si="101"/>
        <v>#REF!</v>
      </c>
      <c r="T376" s="125" t="e">
        <f t="shared" ca="1" si="96"/>
        <v>#REF!</v>
      </c>
      <c r="U376" s="128" t="e">
        <f t="shared" ca="1" si="102"/>
        <v>#REF!</v>
      </c>
      <c r="AC376">
        <v>369</v>
      </c>
      <c r="AD376" s="6">
        <f t="shared" ca="1" si="97"/>
        <v>41548</v>
      </c>
      <c r="AE376" s="7" t="e">
        <f t="shared" ca="1" si="103"/>
        <v>#REF!</v>
      </c>
      <c r="AF376" s="125" t="e">
        <f t="shared" ca="1" si="104"/>
        <v>#REF!</v>
      </c>
      <c r="AG376" s="125" t="e">
        <f t="shared" ca="1" si="98"/>
        <v>#REF!</v>
      </c>
      <c r="AH376" s="128" t="e">
        <f t="shared" ca="1" si="105"/>
        <v>#REF!</v>
      </c>
    </row>
    <row r="377" spans="4:34">
      <c r="D377">
        <v>370</v>
      </c>
      <c r="E377" s="6">
        <f t="shared" ca="1" si="90"/>
        <v>41518</v>
      </c>
      <c r="F377" s="7">
        <f t="shared" ca="1" si="99"/>
        <v>0</v>
      </c>
      <c r="G377" s="125">
        <f t="shared" ca="1" si="91"/>
        <v>0</v>
      </c>
      <c r="H377" s="125">
        <f ca="1">IF(F377=1,F377*$B$10/MIN(12,'Simulador - 3º Pilar'!$E$88),0)</f>
        <v>0</v>
      </c>
      <c r="I377" s="128">
        <f t="shared" ca="1" si="92"/>
        <v>0</v>
      </c>
      <c r="J377" s="494">
        <f t="shared" ca="1" si="93"/>
        <v>0</v>
      </c>
      <c r="K377" s="126">
        <f t="shared" ca="1" si="94"/>
        <v>0</v>
      </c>
      <c r="L377" s="126">
        <f t="shared" ca="1" si="106"/>
        <v>0</v>
      </c>
      <c r="P377">
        <v>370</v>
      </c>
      <c r="Q377" s="6">
        <f t="shared" ca="1" si="95"/>
        <v>41518</v>
      </c>
      <c r="R377" s="7" t="e">
        <f t="shared" ca="1" si="100"/>
        <v>#REF!</v>
      </c>
      <c r="S377" s="125" t="e">
        <f t="shared" ca="1" si="101"/>
        <v>#REF!</v>
      </c>
      <c r="T377" s="125" t="e">
        <f t="shared" ca="1" si="96"/>
        <v>#REF!</v>
      </c>
      <c r="U377" s="128" t="e">
        <f t="shared" ca="1" si="102"/>
        <v>#REF!</v>
      </c>
      <c r="AC377">
        <v>370</v>
      </c>
      <c r="AD377" s="6">
        <f t="shared" ca="1" si="97"/>
        <v>41518</v>
      </c>
      <c r="AE377" s="7" t="e">
        <f t="shared" ca="1" si="103"/>
        <v>#REF!</v>
      </c>
      <c r="AF377" s="125" t="e">
        <f t="shared" ca="1" si="104"/>
        <v>#REF!</v>
      </c>
      <c r="AG377" s="125" t="e">
        <f t="shared" ca="1" si="98"/>
        <v>#REF!</v>
      </c>
      <c r="AH377" s="128" t="e">
        <f t="shared" ca="1" si="105"/>
        <v>#REF!</v>
      </c>
    </row>
    <row r="378" spans="4:34">
      <c r="D378">
        <v>371</v>
      </c>
      <c r="E378" s="6">
        <f t="shared" ca="1" si="90"/>
        <v>41487</v>
      </c>
      <c r="F378" s="7">
        <f t="shared" ca="1" si="99"/>
        <v>0</v>
      </c>
      <c r="G378" s="125">
        <f t="shared" ca="1" si="91"/>
        <v>0</v>
      </c>
      <c r="H378" s="125">
        <f ca="1">IF(F378=1,F378*$B$10/MIN(12,'Simulador - 3º Pilar'!$E$88),0)</f>
        <v>0</v>
      </c>
      <c r="I378" s="128">
        <f t="shared" ca="1" si="92"/>
        <v>0</v>
      </c>
      <c r="J378" s="494">
        <f t="shared" ca="1" si="93"/>
        <v>0</v>
      </c>
      <c r="K378" s="126">
        <f t="shared" ca="1" si="94"/>
        <v>0</v>
      </c>
      <c r="L378" s="126">
        <f t="shared" ca="1" si="106"/>
        <v>0</v>
      </c>
      <c r="P378">
        <v>371</v>
      </c>
      <c r="Q378" s="6">
        <f t="shared" ca="1" si="95"/>
        <v>41487</v>
      </c>
      <c r="R378" s="7" t="e">
        <f t="shared" ca="1" si="100"/>
        <v>#REF!</v>
      </c>
      <c r="S378" s="125" t="e">
        <f t="shared" ca="1" si="101"/>
        <v>#REF!</v>
      </c>
      <c r="T378" s="125" t="e">
        <f t="shared" ca="1" si="96"/>
        <v>#REF!</v>
      </c>
      <c r="U378" s="128" t="e">
        <f t="shared" ca="1" si="102"/>
        <v>#REF!</v>
      </c>
      <c r="AC378">
        <v>371</v>
      </c>
      <c r="AD378" s="6">
        <f t="shared" ca="1" si="97"/>
        <v>41487</v>
      </c>
      <c r="AE378" s="7" t="e">
        <f t="shared" ca="1" si="103"/>
        <v>#REF!</v>
      </c>
      <c r="AF378" s="125" t="e">
        <f t="shared" ca="1" si="104"/>
        <v>#REF!</v>
      </c>
      <c r="AG378" s="125" t="e">
        <f t="shared" ca="1" si="98"/>
        <v>#REF!</v>
      </c>
      <c r="AH378" s="128" t="e">
        <f t="shared" ca="1" si="105"/>
        <v>#REF!</v>
      </c>
    </row>
    <row r="379" spans="4:34">
      <c r="D379">
        <v>372</v>
      </c>
      <c r="E379" s="6">
        <f t="shared" ca="1" si="90"/>
        <v>41456</v>
      </c>
      <c r="F379" s="7">
        <f t="shared" ca="1" si="99"/>
        <v>0</v>
      </c>
      <c r="G379" s="125">
        <f t="shared" ca="1" si="91"/>
        <v>0</v>
      </c>
      <c r="H379" s="125">
        <f ca="1">IF(F379=1,F379*$B$10/MIN(12,'Simulador - 3º Pilar'!$E$88),0)</f>
        <v>0</v>
      </c>
      <c r="I379" s="128">
        <f t="shared" ca="1" si="92"/>
        <v>0</v>
      </c>
      <c r="J379" s="494">
        <f t="shared" ca="1" si="93"/>
        <v>0</v>
      </c>
      <c r="K379" s="126">
        <f t="shared" ca="1" si="94"/>
        <v>0</v>
      </c>
      <c r="L379" s="126">
        <f t="shared" ca="1" si="106"/>
        <v>0</v>
      </c>
      <c r="P379">
        <v>372</v>
      </c>
      <c r="Q379" s="6">
        <f t="shared" ca="1" si="95"/>
        <v>41456</v>
      </c>
      <c r="R379" s="7" t="e">
        <f t="shared" ca="1" si="100"/>
        <v>#REF!</v>
      </c>
      <c r="S379" s="125" t="e">
        <f t="shared" ca="1" si="101"/>
        <v>#REF!</v>
      </c>
      <c r="T379" s="125" t="e">
        <f t="shared" ca="1" si="96"/>
        <v>#REF!</v>
      </c>
      <c r="U379" s="128" t="e">
        <f t="shared" ca="1" si="102"/>
        <v>#REF!</v>
      </c>
      <c r="AC379">
        <v>372</v>
      </c>
      <c r="AD379" s="6">
        <f t="shared" ca="1" si="97"/>
        <v>41456</v>
      </c>
      <c r="AE379" s="7" t="e">
        <f t="shared" ca="1" si="103"/>
        <v>#REF!</v>
      </c>
      <c r="AF379" s="125" t="e">
        <f t="shared" ca="1" si="104"/>
        <v>#REF!</v>
      </c>
      <c r="AG379" s="125" t="e">
        <f t="shared" ca="1" si="98"/>
        <v>#REF!</v>
      </c>
      <c r="AH379" s="128" t="e">
        <f t="shared" ca="1" si="105"/>
        <v>#REF!</v>
      </c>
    </row>
    <row r="380" spans="4:34">
      <c r="D380">
        <v>373</v>
      </c>
      <c r="E380" s="6">
        <f t="shared" ca="1" si="90"/>
        <v>41426</v>
      </c>
      <c r="F380" s="7">
        <f t="shared" ca="1" si="99"/>
        <v>0</v>
      </c>
      <c r="G380" s="125">
        <f t="shared" ca="1" si="91"/>
        <v>0</v>
      </c>
      <c r="H380" s="125">
        <f ca="1">IF(F380=1,F380*$B$10/MIN(12,'Simulador - 3º Pilar'!$E$88),0)</f>
        <v>0</v>
      </c>
      <c r="I380" s="128">
        <f t="shared" ca="1" si="92"/>
        <v>0</v>
      </c>
      <c r="J380" s="494">
        <f t="shared" ca="1" si="93"/>
        <v>0</v>
      </c>
      <c r="K380" s="126">
        <f t="shared" ca="1" si="94"/>
        <v>0</v>
      </c>
      <c r="L380" s="126">
        <f t="shared" ca="1" si="106"/>
        <v>0</v>
      </c>
      <c r="P380">
        <v>373</v>
      </c>
      <c r="Q380" s="6">
        <f t="shared" ca="1" si="95"/>
        <v>41426</v>
      </c>
      <c r="R380" s="7" t="e">
        <f t="shared" ca="1" si="100"/>
        <v>#REF!</v>
      </c>
      <c r="S380" s="125" t="e">
        <f t="shared" ca="1" si="101"/>
        <v>#REF!</v>
      </c>
      <c r="T380" s="125" t="e">
        <f t="shared" ca="1" si="96"/>
        <v>#REF!</v>
      </c>
      <c r="U380" s="128" t="e">
        <f t="shared" ca="1" si="102"/>
        <v>#REF!</v>
      </c>
      <c r="AC380">
        <v>373</v>
      </c>
      <c r="AD380" s="6">
        <f t="shared" ca="1" si="97"/>
        <v>41426</v>
      </c>
      <c r="AE380" s="7" t="e">
        <f t="shared" ca="1" si="103"/>
        <v>#REF!</v>
      </c>
      <c r="AF380" s="125" t="e">
        <f t="shared" ca="1" si="104"/>
        <v>#REF!</v>
      </c>
      <c r="AG380" s="125" t="e">
        <f t="shared" ca="1" si="98"/>
        <v>#REF!</v>
      </c>
      <c r="AH380" s="128" t="e">
        <f t="shared" ca="1" si="105"/>
        <v>#REF!</v>
      </c>
    </row>
    <row r="381" spans="4:34">
      <c r="D381">
        <v>374</v>
      </c>
      <c r="E381" s="6">
        <f t="shared" ca="1" si="90"/>
        <v>41395</v>
      </c>
      <c r="F381" s="7">
        <f t="shared" ca="1" si="99"/>
        <v>0</v>
      </c>
      <c r="G381" s="125">
        <f t="shared" ca="1" si="91"/>
        <v>0</v>
      </c>
      <c r="H381" s="125">
        <f ca="1">IF(F381=1,F381*$B$10/MIN(12,'Simulador - 3º Pilar'!$E$88),0)</f>
        <v>0</v>
      </c>
      <c r="I381" s="128">
        <f t="shared" ca="1" si="92"/>
        <v>0</v>
      </c>
      <c r="J381" s="494">
        <f t="shared" ca="1" si="93"/>
        <v>0</v>
      </c>
      <c r="K381" s="126">
        <f t="shared" ca="1" si="94"/>
        <v>0</v>
      </c>
      <c r="L381" s="126">
        <f t="shared" ca="1" si="106"/>
        <v>0</v>
      </c>
      <c r="P381">
        <v>374</v>
      </c>
      <c r="Q381" s="6">
        <f t="shared" ca="1" si="95"/>
        <v>41395</v>
      </c>
      <c r="R381" s="7" t="e">
        <f t="shared" ca="1" si="100"/>
        <v>#REF!</v>
      </c>
      <c r="S381" s="125" t="e">
        <f t="shared" ca="1" si="101"/>
        <v>#REF!</v>
      </c>
      <c r="T381" s="125" t="e">
        <f t="shared" ca="1" si="96"/>
        <v>#REF!</v>
      </c>
      <c r="U381" s="128" t="e">
        <f t="shared" ca="1" si="102"/>
        <v>#REF!</v>
      </c>
      <c r="AC381">
        <v>374</v>
      </c>
      <c r="AD381" s="6">
        <f t="shared" ca="1" si="97"/>
        <v>41395</v>
      </c>
      <c r="AE381" s="7" t="e">
        <f t="shared" ca="1" si="103"/>
        <v>#REF!</v>
      </c>
      <c r="AF381" s="125" t="e">
        <f t="shared" ca="1" si="104"/>
        <v>#REF!</v>
      </c>
      <c r="AG381" s="125" t="e">
        <f t="shared" ca="1" si="98"/>
        <v>#REF!</v>
      </c>
      <c r="AH381" s="128" t="e">
        <f t="shared" ca="1" si="105"/>
        <v>#REF!</v>
      </c>
    </row>
    <row r="382" spans="4:34">
      <c r="D382">
        <v>375</v>
      </c>
      <c r="E382" s="6">
        <f t="shared" ca="1" si="90"/>
        <v>41365</v>
      </c>
      <c r="F382" s="7">
        <f t="shared" ca="1" si="99"/>
        <v>0</v>
      </c>
      <c r="G382" s="125">
        <f t="shared" ca="1" si="91"/>
        <v>0</v>
      </c>
      <c r="H382" s="125">
        <f ca="1">IF(F382=1,F382*$B$10/MIN(12,'Simulador - 3º Pilar'!$E$88),0)</f>
        <v>0</v>
      </c>
      <c r="I382" s="128">
        <f t="shared" ca="1" si="92"/>
        <v>0</v>
      </c>
      <c r="J382" s="494">
        <f t="shared" ca="1" si="93"/>
        <v>0</v>
      </c>
      <c r="K382" s="126">
        <f t="shared" ca="1" si="94"/>
        <v>0</v>
      </c>
      <c r="L382" s="126">
        <f t="shared" ca="1" si="106"/>
        <v>0</v>
      </c>
      <c r="P382">
        <v>375</v>
      </c>
      <c r="Q382" s="6">
        <f t="shared" ca="1" si="95"/>
        <v>41365</v>
      </c>
      <c r="R382" s="7" t="e">
        <f t="shared" ca="1" si="100"/>
        <v>#REF!</v>
      </c>
      <c r="S382" s="125" t="e">
        <f t="shared" ca="1" si="101"/>
        <v>#REF!</v>
      </c>
      <c r="T382" s="125" t="e">
        <f t="shared" ca="1" si="96"/>
        <v>#REF!</v>
      </c>
      <c r="U382" s="128" t="e">
        <f t="shared" ca="1" si="102"/>
        <v>#REF!</v>
      </c>
      <c r="AC382">
        <v>375</v>
      </c>
      <c r="AD382" s="6">
        <f t="shared" ca="1" si="97"/>
        <v>41365</v>
      </c>
      <c r="AE382" s="7" t="e">
        <f t="shared" ca="1" si="103"/>
        <v>#REF!</v>
      </c>
      <c r="AF382" s="125" t="e">
        <f t="shared" ca="1" si="104"/>
        <v>#REF!</v>
      </c>
      <c r="AG382" s="125" t="e">
        <f t="shared" ca="1" si="98"/>
        <v>#REF!</v>
      </c>
      <c r="AH382" s="128" t="e">
        <f t="shared" ca="1" si="105"/>
        <v>#REF!</v>
      </c>
    </row>
    <row r="383" spans="4:34">
      <c r="D383">
        <v>376</v>
      </c>
      <c r="E383" s="6">
        <f t="shared" ca="1" si="90"/>
        <v>41334</v>
      </c>
      <c r="F383" s="7">
        <f t="shared" ca="1" si="99"/>
        <v>0</v>
      </c>
      <c r="G383" s="125">
        <f t="shared" ca="1" si="91"/>
        <v>0</v>
      </c>
      <c r="H383" s="125">
        <f ca="1">IF(F383=1,F383*$B$10/MIN(12,'Simulador - 3º Pilar'!$E$88),0)</f>
        <v>0</v>
      </c>
      <c r="I383" s="128">
        <f t="shared" ca="1" si="92"/>
        <v>0</v>
      </c>
      <c r="J383" s="494">
        <f t="shared" ca="1" si="93"/>
        <v>0</v>
      </c>
      <c r="K383" s="126">
        <f t="shared" ca="1" si="94"/>
        <v>0</v>
      </c>
      <c r="L383" s="126">
        <f t="shared" ca="1" si="106"/>
        <v>0</v>
      </c>
      <c r="P383">
        <v>376</v>
      </c>
      <c r="Q383" s="6">
        <f t="shared" ca="1" si="95"/>
        <v>41334</v>
      </c>
      <c r="R383" s="7" t="e">
        <f t="shared" ca="1" si="100"/>
        <v>#REF!</v>
      </c>
      <c r="S383" s="125" t="e">
        <f t="shared" ca="1" si="101"/>
        <v>#REF!</v>
      </c>
      <c r="T383" s="125" t="e">
        <f t="shared" ca="1" si="96"/>
        <v>#REF!</v>
      </c>
      <c r="U383" s="128" t="e">
        <f t="shared" ca="1" si="102"/>
        <v>#REF!</v>
      </c>
      <c r="AC383">
        <v>376</v>
      </c>
      <c r="AD383" s="6">
        <f t="shared" ca="1" si="97"/>
        <v>41334</v>
      </c>
      <c r="AE383" s="7" t="e">
        <f t="shared" ca="1" si="103"/>
        <v>#REF!</v>
      </c>
      <c r="AF383" s="125" t="e">
        <f t="shared" ca="1" si="104"/>
        <v>#REF!</v>
      </c>
      <c r="AG383" s="125" t="e">
        <f t="shared" ca="1" si="98"/>
        <v>#REF!</v>
      </c>
      <c r="AH383" s="128" t="e">
        <f t="shared" ca="1" si="105"/>
        <v>#REF!</v>
      </c>
    </row>
    <row r="384" spans="4:34">
      <c r="D384">
        <v>377</v>
      </c>
      <c r="E384" s="6">
        <f t="shared" ca="1" si="90"/>
        <v>41306</v>
      </c>
      <c r="F384" s="7">
        <f t="shared" ca="1" si="99"/>
        <v>0</v>
      </c>
      <c r="G384" s="125">
        <f t="shared" ca="1" si="91"/>
        <v>0</v>
      </c>
      <c r="H384" s="125">
        <f ca="1">IF(F384=1,F384*$B$10/MIN(12,'Simulador - 3º Pilar'!$E$88),0)</f>
        <v>0</v>
      </c>
      <c r="I384" s="128">
        <f t="shared" ca="1" si="92"/>
        <v>0</v>
      </c>
      <c r="J384" s="494">
        <f t="shared" ca="1" si="93"/>
        <v>0</v>
      </c>
      <c r="K384" s="126">
        <f t="shared" ca="1" si="94"/>
        <v>0</v>
      </c>
      <c r="L384" s="126">
        <f t="shared" ca="1" si="106"/>
        <v>0</v>
      </c>
      <c r="P384">
        <v>377</v>
      </c>
      <c r="Q384" s="6">
        <f t="shared" ca="1" si="95"/>
        <v>41306</v>
      </c>
      <c r="R384" s="7" t="e">
        <f t="shared" ca="1" si="100"/>
        <v>#REF!</v>
      </c>
      <c r="S384" s="125" t="e">
        <f t="shared" ca="1" si="101"/>
        <v>#REF!</v>
      </c>
      <c r="T384" s="125" t="e">
        <f t="shared" ca="1" si="96"/>
        <v>#REF!</v>
      </c>
      <c r="U384" s="128" t="e">
        <f t="shared" ca="1" si="102"/>
        <v>#REF!</v>
      </c>
      <c r="AC384">
        <v>377</v>
      </c>
      <c r="AD384" s="6">
        <f t="shared" ca="1" si="97"/>
        <v>41306</v>
      </c>
      <c r="AE384" s="7" t="e">
        <f t="shared" ca="1" si="103"/>
        <v>#REF!</v>
      </c>
      <c r="AF384" s="125" t="e">
        <f t="shared" ca="1" si="104"/>
        <v>#REF!</v>
      </c>
      <c r="AG384" s="125" t="e">
        <f t="shared" ca="1" si="98"/>
        <v>#REF!</v>
      </c>
      <c r="AH384" s="128" t="e">
        <f t="shared" ca="1" si="105"/>
        <v>#REF!</v>
      </c>
    </row>
    <row r="385" spans="4:34">
      <c r="D385">
        <v>378</v>
      </c>
      <c r="E385" s="6">
        <f t="shared" ca="1" si="90"/>
        <v>41275</v>
      </c>
      <c r="F385" s="7">
        <f t="shared" ca="1" si="99"/>
        <v>0</v>
      </c>
      <c r="G385" s="125">
        <f t="shared" ca="1" si="91"/>
        <v>0</v>
      </c>
      <c r="H385" s="125">
        <f ca="1">IF(F385=1,F385*$B$10/MIN(12,'Simulador - 3º Pilar'!$E$88),0)</f>
        <v>0</v>
      </c>
      <c r="I385" s="128">
        <f t="shared" ca="1" si="92"/>
        <v>0</v>
      </c>
      <c r="J385" s="494">
        <f t="shared" ca="1" si="93"/>
        <v>0</v>
      </c>
      <c r="K385" s="126">
        <f t="shared" ca="1" si="94"/>
        <v>0</v>
      </c>
      <c r="L385" s="126">
        <f t="shared" ca="1" si="106"/>
        <v>0</v>
      </c>
      <c r="P385">
        <v>378</v>
      </c>
      <c r="Q385" s="6">
        <f t="shared" ca="1" si="95"/>
        <v>41275</v>
      </c>
      <c r="R385" s="7" t="e">
        <f t="shared" ca="1" si="100"/>
        <v>#REF!</v>
      </c>
      <c r="S385" s="125" t="e">
        <f t="shared" ca="1" si="101"/>
        <v>#REF!</v>
      </c>
      <c r="T385" s="125" t="e">
        <f t="shared" ca="1" si="96"/>
        <v>#REF!</v>
      </c>
      <c r="U385" s="128" t="e">
        <f t="shared" ca="1" si="102"/>
        <v>#REF!</v>
      </c>
      <c r="AC385">
        <v>378</v>
      </c>
      <c r="AD385" s="6">
        <f t="shared" ca="1" si="97"/>
        <v>41275</v>
      </c>
      <c r="AE385" s="7" t="e">
        <f t="shared" ca="1" si="103"/>
        <v>#REF!</v>
      </c>
      <c r="AF385" s="125" t="e">
        <f t="shared" ca="1" si="104"/>
        <v>#REF!</v>
      </c>
      <c r="AG385" s="125" t="e">
        <f t="shared" ca="1" si="98"/>
        <v>#REF!</v>
      </c>
      <c r="AH385" s="128" t="e">
        <f t="shared" ca="1" si="105"/>
        <v>#REF!</v>
      </c>
    </row>
    <row r="386" spans="4:34">
      <c r="D386">
        <v>379</v>
      </c>
      <c r="E386" s="6">
        <f t="shared" ca="1" si="90"/>
        <v>41244</v>
      </c>
      <c r="F386" s="7">
        <f t="shared" ca="1" si="99"/>
        <v>0</v>
      </c>
      <c r="G386" s="125">
        <f t="shared" ca="1" si="91"/>
        <v>0</v>
      </c>
      <c r="H386" s="125">
        <f ca="1">IF(F386=1,F386*$B$10/MIN(12,'Simulador - 3º Pilar'!$E$88),0)</f>
        <v>0</v>
      </c>
      <c r="I386" s="128">
        <f t="shared" ca="1" si="92"/>
        <v>0</v>
      </c>
      <c r="J386" s="494">
        <f t="shared" ca="1" si="93"/>
        <v>0</v>
      </c>
      <c r="K386" s="126">
        <f t="shared" ca="1" si="94"/>
        <v>0</v>
      </c>
      <c r="L386" s="126">
        <f t="shared" ca="1" si="106"/>
        <v>0</v>
      </c>
      <c r="P386">
        <v>379</v>
      </c>
      <c r="Q386" s="6">
        <f t="shared" ca="1" si="95"/>
        <v>41244</v>
      </c>
      <c r="R386" s="7" t="e">
        <f t="shared" ca="1" si="100"/>
        <v>#REF!</v>
      </c>
      <c r="S386" s="125" t="e">
        <f t="shared" ca="1" si="101"/>
        <v>#REF!</v>
      </c>
      <c r="T386" s="125" t="e">
        <f t="shared" ca="1" si="96"/>
        <v>#REF!</v>
      </c>
      <c r="U386" s="128" t="e">
        <f t="shared" ca="1" si="102"/>
        <v>#REF!</v>
      </c>
      <c r="AC386">
        <v>379</v>
      </c>
      <c r="AD386" s="6">
        <f t="shared" ca="1" si="97"/>
        <v>41244</v>
      </c>
      <c r="AE386" s="7" t="e">
        <f t="shared" ca="1" si="103"/>
        <v>#REF!</v>
      </c>
      <c r="AF386" s="125" t="e">
        <f t="shared" ca="1" si="104"/>
        <v>#REF!</v>
      </c>
      <c r="AG386" s="125" t="e">
        <f t="shared" ca="1" si="98"/>
        <v>#REF!</v>
      </c>
      <c r="AH386" s="128" t="e">
        <f t="shared" ca="1" si="105"/>
        <v>#REF!</v>
      </c>
    </row>
    <row r="387" spans="4:34">
      <c r="D387">
        <v>380</v>
      </c>
      <c r="E387" s="6">
        <f t="shared" ca="1" si="90"/>
        <v>41214</v>
      </c>
      <c r="F387" s="7">
        <f t="shared" ca="1" si="99"/>
        <v>0</v>
      </c>
      <c r="G387" s="125">
        <f t="shared" ca="1" si="91"/>
        <v>0</v>
      </c>
      <c r="H387" s="125">
        <f ca="1">IF(F387=1,F387*$B$10/MIN(12,'Simulador - 3º Pilar'!$E$88),0)</f>
        <v>0</v>
      </c>
      <c r="I387" s="128">
        <f t="shared" ca="1" si="92"/>
        <v>0</v>
      </c>
      <c r="J387" s="494">
        <f t="shared" ca="1" si="93"/>
        <v>0</v>
      </c>
      <c r="K387" s="126">
        <f t="shared" ca="1" si="94"/>
        <v>0</v>
      </c>
      <c r="L387" s="126">
        <f t="shared" ca="1" si="106"/>
        <v>0</v>
      </c>
      <c r="P387">
        <v>380</v>
      </c>
      <c r="Q387" s="6">
        <f t="shared" ca="1" si="95"/>
        <v>41214</v>
      </c>
      <c r="R387" s="7" t="e">
        <f t="shared" ca="1" si="100"/>
        <v>#REF!</v>
      </c>
      <c r="S387" s="125" t="e">
        <f t="shared" ca="1" si="101"/>
        <v>#REF!</v>
      </c>
      <c r="T387" s="125" t="e">
        <f t="shared" ca="1" si="96"/>
        <v>#REF!</v>
      </c>
      <c r="U387" s="128" t="e">
        <f t="shared" ca="1" si="102"/>
        <v>#REF!</v>
      </c>
      <c r="AC387">
        <v>380</v>
      </c>
      <c r="AD387" s="6">
        <f t="shared" ca="1" si="97"/>
        <v>41214</v>
      </c>
      <c r="AE387" s="7" t="e">
        <f t="shared" ca="1" si="103"/>
        <v>#REF!</v>
      </c>
      <c r="AF387" s="125" t="e">
        <f t="shared" ca="1" si="104"/>
        <v>#REF!</v>
      </c>
      <c r="AG387" s="125" t="e">
        <f t="shared" ca="1" si="98"/>
        <v>#REF!</v>
      </c>
      <c r="AH387" s="128" t="e">
        <f t="shared" ca="1" si="105"/>
        <v>#REF!</v>
      </c>
    </row>
    <row r="388" spans="4:34">
      <c r="D388">
        <v>381</v>
      </c>
      <c r="E388" s="6">
        <f t="shared" ca="1" si="90"/>
        <v>41183</v>
      </c>
      <c r="F388" s="7">
        <f t="shared" ca="1" si="99"/>
        <v>0</v>
      </c>
      <c r="G388" s="125">
        <f t="shared" ca="1" si="91"/>
        <v>0</v>
      </c>
      <c r="H388" s="125">
        <f ca="1">IF(F388=1,F388*$B$10/MIN(12,'Simulador - 3º Pilar'!$E$88),0)</f>
        <v>0</v>
      </c>
      <c r="I388" s="128">
        <f t="shared" ca="1" si="92"/>
        <v>0</v>
      </c>
      <c r="J388" s="494">
        <f t="shared" ca="1" si="93"/>
        <v>0</v>
      </c>
      <c r="K388" s="126">
        <f t="shared" ca="1" si="94"/>
        <v>0</v>
      </c>
      <c r="L388" s="126">
        <f t="shared" ca="1" si="106"/>
        <v>0</v>
      </c>
      <c r="P388">
        <v>381</v>
      </c>
      <c r="Q388" s="6">
        <f t="shared" ca="1" si="95"/>
        <v>41183</v>
      </c>
      <c r="R388" s="7" t="e">
        <f t="shared" ca="1" si="100"/>
        <v>#REF!</v>
      </c>
      <c r="S388" s="125" t="e">
        <f t="shared" ca="1" si="101"/>
        <v>#REF!</v>
      </c>
      <c r="T388" s="125" t="e">
        <f t="shared" ca="1" si="96"/>
        <v>#REF!</v>
      </c>
      <c r="U388" s="128" t="e">
        <f t="shared" ca="1" si="102"/>
        <v>#REF!</v>
      </c>
      <c r="AC388">
        <v>381</v>
      </c>
      <c r="AD388" s="6">
        <f t="shared" ca="1" si="97"/>
        <v>41183</v>
      </c>
      <c r="AE388" s="7" t="e">
        <f t="shared" ca="1" si="103"/>
        <v>#REF!</v>
      </c>
      <c r="AF388" s="125" t="e">
        <f t="shared" ca="1" si="104"/>
        <v>#REF!</v>
      </c>
      <c r="AG388" s="125" t="e">
        <f t="shared" ca="1" si="98"/>
        <v>#REF!</v>
      </c>
      <c r="AH388" s="128" t="e">
        <f t="shared" ca="1" si="105"/>
        <v>#REF!</v>
      </c>
    </row>
    <row r="389" spans="4:34">
      <c r="D389">
        <v>382</v>
      </c>
      <c r="E389" s="6">
        <f t="shared" ca="1" si="90"/>
        <v>41153</v>
      </c>
      <c r="F389" s="7">
        <f t="shared" ca="1" si="99"/>
        <v>0</v>
      </c>
      <c r="G389" s="125">
        <f t="shared" ca="1" si="91"/>
        <v>0</v>
      </c>
      <c r="H389" s="125">
        <f ca="1">IF(F389=1,F389*$B$10/MIN(12,'Simulador - 3º Pilar'!$E$88),0)</f>
        <v>0</v>
      </c>
      <c r="I389" s="128">
        <f t="shared" ca="1" si="92"/>
        <v>0</v>
      </c>
      <c r="J389" s="494">
        <f t="shared" ca="1" si="93"/>
        <v>0</v>
      </c>
      <c r="K389" s="126">
        <f t="shared" ca="1" si="94"/>
        <v>0</v>
      </c>
      <c r="L389" s="126">
        <f t="shared" ca="1" si="106"/>
        <v>0</v>
      </c>
      <c r="P389">
        <v>382</v>
      </c>
      <c r="Q389" s="6">
        <f t="shared" ca="1" si="95"/>
        <v>41153</v>
      </c>
      <c r="R389" s="7" t="e">
        <f t="shared" ca="1" si="100"/>
        <v>#REF!</v>
      </c>
      <c r="S389" s="125" t="e">
        <f t="shared" ca="1" si="101"/>
        <v>#REF!</v>
      </c>
      <c r="T389" s="125" t="e">
        <f t="shared" ca="1" si="96"/>
        <v>#REF!</v>
      </c>
      <c r="U389" s="128" t="e">
        <f t="shared" ca="1" si="102"/>
        <v>#REF!</v>
      </c>
      <c r="AC389">
        <v>382</v>
      </c>
      <c r="AD389" s="6">
        <f t="shared" ca="1" si="97"/>
        <v>41153</v>
      </c>
      <c r="AE389" s="7" t="e">
        <f t="shared" ca="1" si="103"/>
        <v>#REF!</v>
      </c>
      <c r="AF389" s="125" t="e">
        <f t="shared" ca="1" si="104"/>
        <v>#REF!</v>
      </c>
      <c r="AG389" s="125" t="e">
        <f t="shared" ca="1" si="98"/>
        <v>#REF!</v>
      </c>
      <c r="AH389" s="128" t="e">
        <f t="shared" ca="1" si="105"/>
        <v>#REF!</v>
      </c>
    </row>
    <row r="390" spans="4:34">
      <c r="D390">
        <v>383</v>
      </c>
      <c r="E390" s="6">
        <f t="shared" ca="1" si="90"/>
        <v>41122</v>
      </c>
      <c r="F390" s="7">
        <f t="shared" ca="1" si="99"/>
        <v>0</v>
      </c>
      <c r="G390" s="125">
        <f t="shared" ca="1" si="91"/>
        <v>0</v>
      </c>
      <c r="H390" s="125">
        <f ca="1">IF(F390=1,F390*$B$10/MIN(12,'Simulador - 3º Pilar'!$E$88),0)</f>
        <v>0</v>
      </c>
      <c r="I390" s="128">
        <f t="shared" ca="1" si="92"/>
        <v>0</v>
      </c>
      <c r="J390" s="494">
        <f t="shared" ca="1" si="93"/>
        <v>0</v>
      </c>
      <c r="K390" s="126">
        <f t="shared" ca="1" si="94"/>
        <v>0</v>
      </c>
      <c r="L390" s="126">
        <f t="shared" ca="1" si="106"/>
        <v>0</v>
      </c>
      <c r="P390">
        <v>383</v>
      </c>
      <c r="Q390" s="6">
        <f t="shared" ca="1" si="95"/>
        <v>41122</v>
      </c>
      <c r="R390" s="7" t="e">
        <f t="shared" ca="1" si="100"/>
        <v>#REF!</v>
      </c>
      <c r="S390" s="125" t="e">
        <f t="shared" ca="1" si="101"/>
        <v>#REF!</v>
      </c>
      <c r="T390" s="125" t="e">
        <f t="shared" ca="1" si="96"/>
        <v>#REF!</v>
      </c>
      <c r="U390" s="128" t="e">
        <f t="shared" ca="1" si="102"/>
        <v>#REF!</v>
      </c>
      <c r="AC390">
        <v>383</v>
      </c>
      <c r="AD390" s="6">
        <f t="shared" ca="1" si="97"/>
        <v>41122</v>
      </c>
      <c r="AE390" s="7" t="e">
        <f t="shared" ca="1" si="103"/>
        <v>#REF!</v>
      </c>
      <c r="AF390" s="125" t="e">
        <f t="shared" ca="1" si="104"/>
        <v>#REF!</v>
      </c>
      <c r="AG390" s="125" t="e">
        <f t="shared" ca="1" si="98"/>
        <v>#REF!</v>
      </c>
      <c r="AH390" s="128" t="e">
        <f t="shared" ca="1" si="105"/>
        <v>#REF!</v>
      </c>
    </row>
    <row r="391" spans="4:34">
      <c r="D391">
        <v>384</v>
      </c>
      <c r="E391" s="6">
        <f t="shared" ca="1" si="90"/>
        <v>41091</v>
      </c>
      <c r="F391" s="7">
        <f t="shared" ca="1" si="99"/>
        <v>0</v>
      </c>
      <c r="G391" s="125">
        <f t="shared" ca="1" si="91"/>
        <v>0</v>
      </c>
      <c r="H391" s="125">
        <f ca="1">IF(F391=1,F391*$B$10/MIN(12,'Simulador - 3º Pilar'!$E$88),0)</f>
        <v>0</v>
      </c>
      <c r="I391" s="128">
        <f t="shared" ca="1" si="92"/>
        <v>0</v>
      </c>
      <c r="J391" s="494">
        <f t="shared" ca="1" si="93"/>
        <v>0</v>
      </c>
      <c r="K391" s="126">
        <f t="shared" ca="1" si="94"/>
        <v>0</v>
      </c>
      <c r="L391" s="126">
        <f t="shared" ca="1" si="106"/>
        <v>0</v>
      </c>
      <c r="P391">
        <v>384</v>
      </c>
      <c r="Q391" s="6">
        <f t="shared" ca="1" si="95"/>
        <v>41091</v>
      </c>
      <c r="R391" s="7" t="e">
        <f t="shared" ca="1" si="100"/>
        <v>#REF!</v>
      </c>
      <c r="S391" s="125" t="e">
        <f t="shared" ca="1" si="101"/>
        <v>#REF!</v>
      </c>
      <c r="T391" s="125" t="e">
        <f t="shared" ca="1" si="96"/>
        <v>#REF!</v>
      </c>
      <c r="U391" s="128" t="e">
        <f t="shared" ca="1" si="102"/>
        <v>#REF!</v>
      </c>
      <c r="AC391">
        <v>384</v>
      </c>
      <c r="AD391" s="6">
        <f t="shared" ca="1" si="97"/>
        <v>41091</v>
      </c>
      <c r="AE391" s="7" t="e">
        <f t="shared" ca="1" si="103"/>
        <v>#REF!</v>
      </c>
      <c r="AF391" s="125" t="e">
        <f t="shared" ca="1" si="104"/>
        <v>#REF!</v>
      </c>
      <c r="AG391" s="125" t="e">
        <f t="shared" ca="1" si="98"/>
        <v>#REF!</v>
      </c>
      <c r="AH391" s="128" t="e">
        <f t="shared" ca="1" si="105"/>
        <v>#REF!</v>
      </c>
    </row>
    <row r="392" spans="4:34">
      <c r="D392">
        <v>385</v>
      </c>
      <c r="E392" s="6">
        <f t="shared" ref="E392:E455" ca="1" si="107">+DATE(YEAR(E391),MONTH(E391)-1,DAY(E391))</f>
        <v>41061</v>
      </c>
      <c r="F392" s="7">
        <f t="shared" ca="1" si="99"/>
        <v>0</v>
      </c>
      <c r="G392" s="125">
        <f t="shared" ref="G392:G455" ca="1" si="108">F392*$B$8/12</f>
        <v>0</v>
      </c>
      <c r="H392" s="125">
        <f ca="1">IF(F392=1,F392*$B$10/MIN(12,'Simulador - 3º Pilar'!$E$88),0)</f>
        <v>0</v>
      </c>
      <c r="I392" s="128">
        <f t="shared" ref="I392:I455" ca="1" si="109">(1+$G$5)^(D392/12)*(H392+IF(E392=$N$7,$N$4,0))</f>
        <v>0</v>
      </c>
      <c r="J392" s="494">
        <f t="shared" ref="J392:J455" ca="1" si="110">(1+$G$5)^(D392/12)*(H392*(12-IF(MONTH(E393)=12,0,MONTH(E393)))+IF(AND(F392=1,F393=0),$Q$4,0))*IF(AND(F392=1,F393=0),1,0)</f>
        <v>0</v>
      </c>
      <c r="K392" s="126">
        <f t="shared" ref="K392:K455" ca="1" si="111">(1+$G$5)^(D392/12)*(IF(E392=$N$7,$N$4,0)+IF(E392=$C$6,$B$10,0))</f>
        <v>0</v>
      </c>
      <c r="L392" s="126">
        <f t="shared" ca="1" si="106"/>
        <v>0</v>
      </c>
      <c r="P392">
        <v>385</v>
      </c>
      <c r="Q392" s="6">
        <f t="shared" ref="Q392:Q455" ca="1" si="112">+DATE(YEAR(Q391),MONTH(Q391)-1,DAY(Q391))</f>
        <v>41061</v>
      </c>
      <c r="R392" s="7" t="e">
        <f t="shared" ca="1" si="100"/>
        <v>#REF!</v>
      </c>
      <c r="S392" s="125" t="e">
        <f t="shared" ca="1" si="101"/>
        <v>#REF!</v>
      </c>
      <c r="T392" s="125" t="e">
        <f t="shared" ref="T392:T455" ca="1" si="113">R392*$B$11/12</f>
        <v>#REF!</v>
      </c>
      <c r="U392" s="128" t="e">
        <f t="shared" ca="1" si="102"/>
        <v>#REF!</v>
      </c>
      <c r="AC392">
        <v>385</v>
      </c>
      <c r="AD392" s="6">
        <f t="shared" ref="AD392:AD455" ca="1" si="114">+DATE(YEAR(AD391),MONTH(AD391)-1,DAY(AD391))</f>
        <v>41061</v>
      </c>
      <c r="AE392" s="7" t="e">
        <f t="shared" ca="1" si="103"/>
        <v>#REF!</v>
      </c>
      <c r="AF392" s="125" t="e">
        <f t="shared" ca="1" si="104"/>
        <v>#REF!</v>
      </c>
      <c r="AG392" s="125" t="e">
        <f t="shared" ref="AG392:AG455" ca="1" si="115">AE392*$B$12/12</f>
        <v>#REF!</v>
      </c>
      <c r="AH392" s="128" t="e">
        <f t="shared" ca="1" si="105"/>
        <v>#REF!</v>
      </c>
    </row>
    <row r="393" spans="4:34">
      <c r="D393">
        <v>386</v>
      </c>
      <c r="E393" s="6">
        <f t="shared" ca="1" si="107"/>
        <v>41030</v>
      </c>
      <c r="F393" s="7">
        <f t="shared" ref="F393:F456" ca="1" si="116">IF($C$6=$E393,1,IF(MONTH($E393)=1,F394*(1+$F$5),F394))</f>
        <v>0</v>
      </c>
      <c r="G393" s="125">
        <f t="shared" ca="1" si="108"/>
        <v>0</v>
      </c>
      <c r="H393" s="125">
        <f ca="1">IF(F393=1,F393*$B$10/MIN(12,'Simulador - 3º Pilar'!$E$88),0)</f>
        <v>0</v>
      </c>
      <c r="I393" s="128">
        <f t="shared" ca="1" si="109"/>
        <v>0</v>
      </c>
      <c r="J393" s="494">
        <f t="shared" ca="1" si="110"/>
        <v>0</v>
      </c>
      <c r="K393" s="126">
        <f t="shared" ca="1" si="111"/>
        <v>0</v>
      </c>
      <c r="L393" s="126">
        <f t="shared" ca="1" si="106"/>
        <v>0</v>
      </c>
      <c r="P393">
        <v>386</v>
      </c>
      <c r="Q393" s="6">
        <f t="shared" ca="1" si="112"/>
        <v>41030</v>
      </c>
      <c r="R393" s="7" t="e">
        <f t="shared" ref="R393:R456" ca="1" si="117">IF($Z$7=$E393,1,IF(MONTH($E393)=1,R394*(1+$F$5),R394))</f>
        <v>#REF!</v>
      </c>
      <c r="S393" s="125" t="e">
        <f t="shared" ref="S393:S456" ca="1" si="118">R393*$B$8/12</f>
        <v>#REF!</v>
      </c>
      <c r="T393" s="125" t="e">
        <f t="shared" ca="1" si="113"/>
        <v>#REF!</v>
      </c>
      <c r="U393" s="128" t="e">
        <f t="shared" ref="U393:U456" ca="1" si="119">(1+$V$5)^(P393/12)*(T393+IF(Q393=$Z$7,$Z$4,0))</f>
        <v>#REF!</v>
      </c>
      <c r="AC393">
        <v>386</v>
      </c>
      <c r="AD393" s="6">
        <f t="shared" ca="1" si="114"/>
        <v>41030</v>
      </c>
      <c r="AE393" s="7" t="e">
        <f t="shared" ref="AE393:AE456" ca="1" si="120">IF($AM$7=$E393,1,IF(MONTH($E393)=1,AE394*(1+$F$5),AE394))</f>
        <v>#REF!</v>
      </c>
      <c r="AF393" s="125" t="e">
        <f t="shared" ref="AF393:AF456" ca="1" si="121">AE393*$B$8/12</f>
        <v>#REF!</v>
      </c>
      <c r="AG393" s="125" t="e">
        <f t="shared" ca="1" si="115"/>
        <v>#REF!</v>
      </c>
      <c r="AH393" s="128" t="e">
        <f t="shared" ref="AH393:AH456" ca="1" si="122">(1+$AI$5)^(AC393/12)*(AG393+IF(AD393=$AM$7,$AM$4,0))</f>
        <v>#REF!</v>
      </c>
    </row>
    <row r="394" spans="4:34">
      <c r="D394">
        <v>387</v>
      </c>
      <c r="E394" s="6">
        <f t="shared" ca="1" si="107"/>
        <v>41000</v>
      </c>
      <c r="F394" s="7">
        <f t="shared" ca="1" si="116"/>
        <v>0</v>
      </c>
      <c r="G394" s="125">
        <f t="shared" ca="1" si="108"/>
        <v>0</v>
      </c>
      <c r="H394" s="125">
        <f ca="1">IF(F394=1,F394*$B$10/MIN(12,'Simulador - 3º Pilar'!$E$88),0)</f>
        <v>0</v>
      </c>
      <c r="I394" s="128">
        <f t="shared" ca="1" si="109"/>
        <v>0</v>
      </c>
      <c r="J394" s="494">
        <f t="shared" ca="1" si="110"/>
        <v>0</v>
      </c>
      <c r="K394" s="126">
        <f t="shared" ca="1" si="111"/>
        <v>0</v>
      </c>
      <c r="L394" s="126">
        <f t="shared" ca="1" si="106"/>
        <v>0</v>
      </c>
      <c r="P394">
        <v>387</v>
      </c>
      <c r="Q394" s="6">
        <f t="shared" ca="1" si="112"/>
        <v>41000</v>
      </c>
      <c r="R394" s="7" t="e">
        <f t="shared" ca="1" si="117"/>
        <v>#REF!</v>
      </c>
      <c r="S394" s="125" t="e">
        <f t="shared" ca="1" si="118"/>
        <v>#REF!</v>
      </c>
      <c r="T394" s="125" t="e">
        <f t="shared" ca="1" si="113"/>
        <v>#REF!</v>
      </c>
      <c r="U394" s="128" t="e">
        <f t="shared" ca="1" si="119"/>
        <v>#REF!</v>
      </c>
      <c r="AC394">
        <v>387</v>
      </c>
      <c r="AD394" s="6">
        <f t="shared" ca="1" si="114"/>
        <v>41000</v>
      </c>
      <c r="AE394" s="7" t="e">
        <f t="shared" ca="1" si="120"/>
        <v>#REF!</v>
      </c>
      <c r="AF394" s="125" t="e">
        <f t="shared" ca="1" si="121"/>
        <v>#REF!</v>
      </c>
      <c r="AG394" s="125" t="e">
        <f t="shared" ca="1" si="115"/>
        <v>#REF!</v>
      </c>
      <c r="AH394" s="128" t="e">
        <f t="shared" ca="1" si="122"/>
        <v>#REF!</v>
      </c>
    </row>
    <row r="395" spans="4:34">
      <c r="D395">
        <v>388</v>
      </c>
      <c r="E395" s="6">
        <f t="shared" ca="1" si="107"/>
        <v>40969</v>
      </c>
      <c r="F395" s="7">
        <f t="shared" ca="1" si="116"/>
        <v>0</v>
      </c>
      <c r="G395" s="125">
        <f t="shared" ca="1" si="108"/>
        <v>0</v>
      </c>
      <c r="H395" s="125">
        <f ca="1">IF(F395=1,F395*$B$10/MIN(12,'Simulador - 3º Pilar'!$E$88),0)</f>
        <v>0</v>
      </c>
      <c r="I395" s="128">
        <f t="shared" ca="1" si="109"/>
        <v>0</v>
      </c>
      <c r="J395" s="494">
        <f t="shared" ca="1" si="110"/>
        <v>0</v>
      </c>
      <c r="K395" s="126">
        <f t="shared" ca="1" si="111"/>
        <v>0</v>
      </c>
      <c r="L395" s="126">
        <f t="shared" ca="1" si="106"/>
        <v>0</v>
      </c>
      <c r="P395">
        <v>388</v>
      </c>
      <c r="Q395" s="6">
        <f t="shared" ca="1" si="112"/>
        <v>40969</v>
      </c>
      <c r="R395" s="7" t="e">
        <f t="shared" ca="1" si="117"/>
        <v>#REF!</v>
      </c>
      <c r="S395" s="125" t="e">
        <f t="shared" ca="1" si="118"/>
        <v>#REF!</v>
      </c>
      <c r="T395" s="125" t="e">
        <f t="shared" ca="1" si="113"/>
        <v>#REF!</v>
      </c>
      <c r="U395" s="128" t="e">
        <f t="shared" ca="1" si="119"/>
        <v>#REF!</v>
      </c>
      <c r="AC395">
        <v>388</v>
      </c>
      <c r="AD395" s="6">
        <f t="shared" ca="1" si="114"/>
        <v>40969</v>
      </c>
      <c r="AE395" s="7" t="e">
        <f t="shared" ca="1" si="120"/>
        <v>#REF!</v>
      </c>
      <c r="AF395" s="125" t="e">
        <f t="shared" ca="1" si="121"/>
        <v>#REF!</v>
      </c>
      <c r="AG395" s="125" t="e">
        <f t="shared" ca="1" si="115"/>
        <v>#REF!</v>
      </c>
      <c r="AH395" s="128" t="e">
        <f t="shared" ca="1" si="122"/>
        <v>#REF!</v>
      </c>
    </row>
    <row r="396" spans="4:34">
      <c r="D396">
        <v>389</v>
      </c>
      <c r="E396" s="6">
        <f t="shared" ca="1" si="107"/>
        <v>40940</v>
      </c>
      <c r="F396" s="7">
        <f t="shared" ca="1" si="116"/>
        <v>0</v>
      </c>
      <c r="G396" s="125">
        <f t="shared" ca="1" si="108"/>
        <v>0</v>
      </c>
      <c r="H396" s="125">
        <f ca="1">IF(F396=1,F396*$B$10/MIN(12,'Simulador - 3º Pilar'!$E$88),0)</f>
        <v>0</v>
      </c>
      <c r="I396" s="128">
        <f t="shared" ca="1" si="109"/>
        <v>0</v>
      </c>
      <c r="J396" s="494">
        <f t="shared" ca="1" si="110"/>
        <v>0</v>
      </c>
      <c r="K396" s="126">
        <f t="shared" ca="1" si="111"/>
        <v>0</v>
      </c>
      <c r="L396" s="126">
        <f t="shared" ca="1" si="106"/>
        <v>0</v>
      </c>
      <c r="P396">
        <v>389</v>
      </c>
      <c r="Q396" s="6">
        <f t="shared" ca="1" si="112"/>
        <v>40940</v>
      </c>
      <c r="R396" s="7" t="e">
        <f t="shared" ca="1" si="117"/>
        <v>#REF!</v>
      </c>
      <c r="S396" s="125" t="e">
        <f t="shared" ca="1" si="118"/>
        <v>#REF!</v>
      </c>
      <c r="T396" s="125" t="e">
        <f t="shared" ca="1" si="113"/>
        <v>#REF!</v>
      </c>
      <c r="U396" s="128" t="e">
        <f t="shared" ca="1" si="119"/>
        <v>#REF!</v>
      </c>
      <c r="AC396">
        <v>389</v>
      </c>
      <c r="AD396" s="6">
        <f t="shared" ca="1" si="114"/>
        <v>40940</v>
      </c>
      <c r="AE396" s="7" t="e">
        <f t="shared" ca="1" si="120"/>
        <v>#REF!</v>
      </c>
      <c r="AF396" s="125" t="e">
        <f t="shared" ca="1" si="121"/>
        <v>#REF!</v>
      </c>
      <c r="AG396" s="125" t="e">
        <f t="shared" ca="1" si="115"/>
        <v>#REF!</v>
      </c>
      <c r="AH396" s="128" t="e">
        <f t="shared" ca="1" si="122"/>
        <v>#REF!</v>
      </c>
    </row>
    <row r="397" spans="4:34">
      <c r="D397">
        <v>390</v>
      </c>
      <c r="E397" s="6">
        <f t="shared" ca="1" si="107"/>
        <v>40909</v>
      </c>
      <c r="F397" s="7">
        <f t="shared" ca="1" si="116"/>
        <v>0</v>
      </c>
      <c r="G397" s="125">
        <f t="shared" ca="1" si="108"/>
        <v>0</v>
      </c>
      <c r="H397" s="125">
        <f ca="1">IF(F397=1,F397*$B$10/MIN(12,'Simulador - 3º Pilar'!$E$88),0)</f>
        <v>0</v>
      </c>
      <c r="I397" s="128">
        <f t="shared" ca="1" si="109"/>
        <v>0</v>
      </c>
      <c r="J397" s="494">
        <f t="shared" ca="1" si="110"/>
        <v>0</v>
      </c>
      <c r="K397" s="126">
        <f t="shared" ca="1" si="111"/>
        <v>0</v>
      </c>
      <c r="L397" s="126">
        <f t="shared" ca="1" si="106"/>
        <v>0</v>
      </c>
      <c r="P397">
        <v>390</v>
      </c>
      <c r="Q397" s="6">
        <f t="shared" ca="1" si="112"/>
        <v>40909</v>
      </c>
      <c r="R397" s="7" t="e">
        <f t="shared" ca="1" si="117"/>
        <v>#REF!</v>
      </c>
      <c r="S397" s="125" t="e">
        <f t="shared" ca="1" si="118"/>
        <v>#REF!</v>
      </c>
      <c r="T397" s="125" t="e">
        <f t="shared" ca="1" si="113"/>
        <v>#REF!</v>
      </c>
      <c r="U397" s="128" t="e">
        <f t="shared" ca="1" si="119"/>
        <v>#REF!</v>
      </c>
      <c r="AC397">
        <v>390</v>
      </c>
      <c r="AD397" s="6">
        <f t="shared" ca="1" si="114"/>
        <v>40909</v>
      </c>
      <c r="AE397" s="7" t="e">
        <f t="shared" ca="1" si="120"/>
        <v>#REF!</v>
      </c>
      <c r="AF397" s="125" t="e">
        <f t="shared" ca="1" si="121"/>
        <v>#REF!</v>
      </c>
      <c r="AG397" s="125" t="e">
        <f t="shared" ca="1" si="115"/>
        <v>#REF!</v>
      </c>
      <c r="AH397" s="128" t="e">
        <f t="shared" ca="1" si="122"/>
        <v>#REF!</v>
      </c>
    </row>
    <row r="398" spans="4:34">
      <c r="D398">
        <v>391</v>
      </c>
      <c r="E398" s="6">
        <f t="shared" ca="1" si="107"/>
        <v>40878</v>
      </c>
      <c r="F398" s="7">
        <f t="shared" ca="1" si="116"/>
        <v>0</v>
      </c>
      <c r="G398" s="125">
        <f t="shared" ca="1" si="108"/>
        <v>0</v>
      </c>
      <c r="H398" s="125">
        <f ca="1">IF(F398=1,F398*$B$10/MIN(12,'Simulador - 3º Pilar'!$E$88),0)</f>
        <v>0</v>
      </c>
      <c r="I398" s="128">
        <f t="shared" ca="1" si="109"/>
        <v>0</v>
      </c>
      <c r="J398" s="494">
        <f t="shared" ca="1" si="110"/>
        <v>0</v>
      </c>
      <c r="K398" s="126">
        <f t="shared" ca="1" si="111"/>
        <v>0</v>
      </c>
      <c r="L398" s="126">
        <f t="shared" ca="1" si="106"/>
        <v>0</v>
      </c>
      <c r="P398">
        <v>391</v>
      </c>
      <c r="Q398" s="6">
        <f t="shared" ca="1" si="112"/>
        <v>40878</v>
      </c>
      <c r="R398" s="7" t="e">
        <f t="shared" ca="1" si="117"/>
        <v>#REF!</v>
      </c>
      <c r="S398" s="125" t="e">
        <f t="shared" ca="1" si="118"/>
        <v>#REF!</v>
      </c>
      <c r="T398" s="125" t="e">
        <f t="shared" ca="1" si="113"/>
        <v>#REF!</v>
      </c>
      <c r="U398" s="128" t="e">
        <f t="shared" ca="1" si="119"/>
        <v>#REF!</v>
      </c>
      <c r="AC398">
        <v>391</v>
      </c>
      <c r="AD398" s="6">
        <f t="shared" ca="1" si="114"/>
        <v>40878</v>
      </c>
      <c r="AE398" s="7" t="e">
        <f t="shared" ca="1" si="120"/>
        <v>#REF!</v>
      </c>
      <c r="AF398" s="125" t="e">
        <f t="shared" ca="1" si="121"/>
        <v>#REF!</v>
      </c>
      <c r="AG398" s="125" t="e">
        <f t="shared" ca="1" si="115"/>
        <v>#REF!</v>
      </c>
      <c r="AH398" s="128" t="e">
        <f t="shared" ca="1" si="122"/>
        <v>#REF!</v>
      </c>
    </row>
    <row r="399" spans="4:34">
      <c r="D399">
        <v>392</v>
      </c>
      <c r="E399" s="6">
        <f t="shared" ca="1" si="107"/>
        <v>40848</v>
      </c>
      <c r="F399" s="7">
        <f t="shared" ca="1" si="116"/>
        <v>0</v>
      </c>
      <c r="G399" s="125">
        <f t="shared" ca="1" si="108"/>
        <v>0</v>
      </c>
      <c r="H399" s="125">
        <f ca="1">IF(F399=1,F399*$B$10/MIN(12,'Simulador - 3º Pilar'!$E$88),0)</f>
        <v>0</v>
      </c>
      <c r="I399" s="128">
        <f t="shared" ca="1" si="109"/>
        <v>0</v>
      </c>
      <c r="J399" s="494">
        <f t="shared" ca="1" si="110"/>
        <v>0</v>
      </c>
      <c r="K399" s="126">
        <f t="shared" ca="1" si="111"/>
        <v>0</v>
      </c>
      <c r="L399" s="126">
        <f t="shared" ca="1" si="106"/>
        <v>0</v>
      </c>
      <c r="P399">
        <v>392</v>
      </c>
      <c r="Q399" s="6">
        <f t="shared" ca="1" si="112"/>
        <v>40848</v>
      </c>
      <c r="R399" s="7" t="e">
        <f t="shared" ca="1" si="117"/>
        <v>#REF!</v>
      </c>
      <c r="S399" s="125" t="e">
        <f t="shared" ca="1" si="118"/>
        <v>#REF!</v>
      </c>
      <c r="T399" s="125" t="e">
        <f t="shared" ca="1" si="113"/>
        <v>#REF!</v>
      </c>
      <c r="U399" s="128" t="e">
        <f t="shared" ca="1" si="119"/>
        <v>#REF!</v>
      </c>
      <c r="AC399">
        <v>392</v>
      </c>
      <c r="AD399" s="6">
        <f t="shared" ca="1" si="114"/>
        <v>40848</v>
      </c>
      <c r="AE399" s="7" t="e">
        <f t="shared" ca="1" si="120"/>
        <v>#REF!</v>
      </c>
      <c r="AF399" s="125" t="e">
        <f t="shared" ca="1" si="121"/>
        <v>#REF!</v>
      </c>
      <c r="AG399" s="125" t="e">
        <f t="shared" ca="1" si="115"/>
        <v>#REF!</v>
      </c>
      <c r="AH399" s="128" t="e">
        <f t="shared" ca="1" si="122"/>
        <v>#REF!</v>
      </c>
    </row>
    <row r="400" spans="4:34">
      <c r="D400">
        <v>393</v>
      </c>
      <c r="E400" s="6">
        <f t="shared" ca="1" si="107"/>
        <v>40817</v>
      </c>
      <c r="F400" s="7">
        <f t="shared" ca="1" si="116"/>
        <v>0</v>
      </c>
      <c r="G400" s="125">
        <f t="shared" ca="1" si="108"/>
        <v>0</v>
      </c>
      <c r="H400" s="125">
        <f ca="1">IF(F400=1,F400*$B$10/MIN(12,'Simulador - 3º Pilar'!$E$88),0)</f>
        <v>0</v>
      </c>
      <c r="I400" s="128">
        <f t="shared" ca="1" si="109"/>
        <v>0</v>
      </c>
      <c r="J400" s="494">
        <f t="shared" ca="1" si="110"/>
        <v>0</v>
      </c>
      <c r="K400" s="126">
        <f t="shared" ca="1" si="111"/>
        <v>0</v>
      </c>
      <c r="L400" s="126">
        <f t="shared" ca="1" si="106"/>
        <v>0</v>
      </c>
      <c r="P400">
        <v>393</v>
      </c>
      <c r="Q400" s="6">
        <f t="shared" ca="1" si="112"/>
        <v>40817</v>
      </c>
      <c r="R400" s="7" t="e">
        <f t="shared" ca="1" si="117"/>
        <v>#REF!</v>
      </c>
      <c r="S400" s="125" t="e">
        <f t="shared" ca="1" si="118"/>
        <v>#REF!</v>
      </c>
      <c r="T400" s="125" t="e">
        <f t="shared" ca="1" si="113"/>
        <v>#REF!</v>
      </c>
      <c r="U400" s="128" t="e">
        <f t="shared" ca="1" si="119"/>
        <v>#REF!</v>
      </c>
      <c r="AC400">
        <v>393</v>
      </c>
      <c r="AD400" s="6">
        <f t="shared" ca="1" si="114"/>
        <v>40817</v>
      </c>
      <c r="AE400" s="7" t="e">
        <f t="shared" ca="1" si="120"/>
        <v>#REF!</v>
      </c>
      <c r="AF400" s="125" t="e">
        <f t="shared" ca="1" si="121"/>
        <v>#REF!</v>
      </c>
      <c r="AG400" s="125" t="e">
        <f t="shared" ca="1" si="115"/>
        <v>#REF!</v>
      </c>
      <c r="AH400" s="128" t="e">
        <f t="shared" ca="1" si="122"/>
        <v>#REF!</v>
      </c>
    </row>
    <row r="401" spans="4:34">
      <c r="D401">
        <v>394</v>
      </c>
      <c r="E401" s="6">
        <f t="shared" ca="1" si="107"/>
        <v>40787</v>
      </c>
      <c r="F401" s="7">
        <f t="shared" ca="1" si="116"/>
        <v>0</v>
      </c>
      <c r="G401" s="125">
        <f t="shared" ca="1" si="108"/>
        <v>0</v>
      </c>
      <c r="H401" s="125">
        <f ca="1">IF(F401=1,F401*$B$10/MIN(12,'Simulador - 3º Pilar'!$E$88),0)</f>
        <v>0</v>
      </c>
      <c r="I401" s="128">
        <f t="shared" ca="1" si="109"/>
        <v>0</v>
      </c>
      <c r="J401" s="494">
        <f t="shared" ca="1" si="110"/>
        <v>0</v>
      </c>
      <c r="K401" s="126">
        <f t="shared" ca="1" si="111"/>
        <v>0</v>
      </c>
      <c r="L401" s="126">
        <f t="shared" ca="1" si="106"/>
        <v>0</v>
      </c>
      <c r="P401">
        <v>394</v>
      </c>
      <c r="Q401" s="6">
        <f t="shared" ca="1" si="112"/>
        <v>40787</v>
      </c>
      <c r="R401" s="7" t="e">
        <f t="shared" ca="1" si="117"/>
        <v>#REF!</v>
      </c>
      <c r="S401" s="125" t="e">
        <f t="shared" ca="1" si="118"/>
        <v>#REF!</v>
      </c>
      <c r="T401" s="125" t="e">
        <f t="shared" ca="1" si="113"/>
        <v>#REF!</v>
      </c>
      <c r="U401" s="128" t="e">
        <f t="shared" ca="1" si="119"/>
        <v>#REF!</v>
      </c>
      <c r="AC401">
        <v>394</v>
      </c>
      <c r="AD401" s="6">
        <f t="shared" ca="1" si="114"/>
        <v>40787</v>
      </c>
      <c r="AE401" s="7" t="e">
        <f t="shared" ca="1" si="120"/>
        <v>#REF!</v>
      </c>
      <c r="AF401" s="125" t="e">
        <f t="shared" ca="1" si="121"/>
        <v>#REF!</v>
      </c>
      <c r="AG401" s="125" t="e">
        <f t="shared" ca="1" si="115"/>
        <v>#REF!</v>
      </c>
      <c r="AH401" s="128" t="e">
        <f t="shared" ca="1" si="122"/>
        <v>#REF!</v>
      </c>
    </row>
    <row r="402" spans="4:34">
      <c r="D402">
        <v>395</v>
      </c>
      <c r="E402" s="6">
        <f t="shared" ca="1" si="107"/>
        <v>40756</v>
      </c>
      <c r="F402" s="7">
        <f t="shared" ca="1" si="116"/>
        <v>0</v>
      </c>
      <c r="G402" s="125">
        <f t="shared" ca="1" si="108"/>
        <v>0</v>
      </c>
      <c r="H402" s="125">
        <f ca="1">IF(F402=1,F402*$B$10/MIN(12,'Simulador - 3º Pilar'!$E$88),0)</f>
        <v>0</v>
      </c>
      <c r="I402" s="128">
        <f t="shared" ca="1" si="109"/>
        <v>0</v>
      </c>
      <c r="J402" s="494">
        <f t="shared" ca="1" si="110"/>
        <v>0</v>
      </c>
      <c r="K402" s="126">
        <f t="shared" ca="1" si="111"/>
        <v>0</v>
      </c>
      <c r="L402" s="126">
        <f t="shared" ca="1" si="106"/>
        <v>0</v>
      </c>
      <c r="P402">
        <v>395</v>
      </c>
      <c r="Q402" s="6">
        <f t="shared" ca="1" si="112"/>
        <v>40756</v>
      </c>
      <c r="R402" s="7" t="e">
        <f t="shared" ca="1" si="117"/>
        <v>#REF!</v>
      </c>
      <c r="S402" s="125" t="e">
        <f t="shared" ca="1" si="118"/>
        <v>#REF!</v>
      </c>
      <c r="T402" s="125" t="e">
        <f t="shared" ca="1" si="113"/>
        <v>#REF!</v>
      </c>
      <c r="U402" s="128" t="e">
        <f t="shared" ca="1" si="119"/>
        <v>#REF!</v>
      </c>
      <c r="AC402">
        <v>395</v>
      </c>
      <c r="AD402" s="6">
        <f t="shared" ca="1" si="114"/>
        <v>40756</v>
      </c>
      <c r="AE402" s="7" t="e">
        <f t="shared" ca="1" si="120"/>
        <v>#REF!</v>
      </c>
      <c r="AF402" s="125" t="e">
        <f t="shared" ca="1" si="121"/>
        <v>#REF!</v>
      </c>
      <c r="AG402" s="125" t="e">
        <f t="shared" ca="1" si="115"/>
        <v>#REF!</v>
      </c>
      <c r="AH402" s="128" t="e">
        <f t="shared" ca="1" si="122"/>
        <v>#REF!</v>
      </c>
    </row>
    <row r="403" spans="4:34">
      <c r="D403">
        <v>396</v>
      </c>
      <c r="E403" s="6">
        <f t="shared" ca="1" si="107"/>
        <v>40725</v>
      </c>
      <c r="F403" s="7">
        <f t="shared" ca="1" si="116"/>
        <v>0</v>
      </c>
      <c r="G403" s="125">
        <f t="shared" ca="1" si="108"/>
        <v>0</v>
      </c>
      <c r="H403" s="125">
        <f ca="1">IF(F403=1,F403*$B$10/MIN(12,'Simulador - 3º Pilar'!$E$88),0)</f>
        <v>0</v>
      </c>
      <c r="I403" s="128">
        <f t="shared" ca="1" si="109"/>
        <v>0</v>
      </c>
      <c r="J403" s="494">
        <f t="shared" ca="1" si="110"/>
        <v>0</v>
      </c>
      <c r="K403" s="126">
        <f t="shared" ca="1" si="111"/>
        <v>0</v>
      </c>
      <c r="L403" s="126">
        <f t="shared" ca="1" si="106"/>
        <v>0</v>
      </c>
      <c r="P403">
        <v>396</v>
      </c>
      <c r="Q403" s="6">
        <f t="shared" ca="1" si="112"/>
        <v>40725</v>
      </c>
      <c r="R403" s="7" t="e">
        <f t="shared" ca="1" si="117"/>
        <v>#REF!</v>
      </c>
      <c r="S403" s="125" t="e">
        <f t="shared" ca="1" si="118"/>
        <v>#REF!</v>
      </c>
      <c r="T403" s="125" t="e">
        <f t="shared" ca="1" si="113"/>
        <v>#REF!</v>
      </c>
      <c r="U403" s="128" t="e">
        <f t="shared" ca="1" si="119"/>
        <v>#REF!</v>
      </c>
      <c r="AC403">
        <v>396</v>
      </c>
      <c r="AD403" s="6">
        <f t="shared" ca="1" si="114"/>
        <v>40725</v>
      </c>
      <c r="AE403" s="7" t="e">
        <f t="shared" ca="1" si="120"/>
        <v>#REF!</v>
      </c>
      <c r="AF403" s="125" t="e">
        <f t="shared" ca="1" si="121"/>
        <v>#REF!</v>
      </c>
      <c r="AG403" s="125" t="e">
        <f t="shared" ca="1" si="115"/>
        <v>#REF!</v>
      </c>
      <c r="AH403" s="128" t="e">
        <f t="shared" ca="1" si="122"/>
        <v>#REF!</v>
      </c>
    </row>
    <row r="404" spans="4:34">
      <c r="D404">
        <v>397</v>
      </c>
      <c r="E404" s="6">
        <f t="shared" ca="1" si="107"/>
        <v>40695</v>
      </c>
      <c r="F404" s="7">
        <f t="shared" ca="1" si="116"/>
        <v>0</v>
      </c>
      <c r="G404" s="125">
        <f t="shared" ca="1" si="108"/>
        <v>0</v>
      </c>
      <c r="H404" s="125">
        <f ca="1">IF(F404=1,F404*$B$10/MIN(12,'Simulador - 3º Pilar'!$E$88),0)</f>
        <v>0</v>
      </c>
      <c r="I404" s="128">
        <f t="shared" ca="1" si="109"/>
        <v>0</v>
      </c>
      <c r="J404" s="494">
        <f t="shared" ca="1" si="110"/>
        <v>0</v>
      </c>
      <c r="K404" s="126">
        <f t="shared" ca="1" si="111"/>
        <v>0</v>
      </c>
      <c r="L404" s="126">
        <f t="shared" ca="1" si="106"/>
        <v>0</v>
      </c>
      <c r="P404">
        <v>397</v>
      </c>
      <c r="Q404" s="6">
        <f t="shared" ca="1" si="112"/>
        <v>40695</v>
      </c>
      <c r="R404" s="7" t="e">
        <f t="shared" ca="1" si="117"/>
        <v>#REF!</v>
      </c>
      <c r="S404" s="125" t="e">
        <f t="shared" ca="1" si="118"/>
        <v>#REF!</v>
      </c>
      <c r="T404" s="125" t="e">
        <f t="shared" ca="1" si="113"/>
        <v>#REF!</v>
      </c>
      <c r="U404" s="128" t="e">
        <f t="shared" ca="1" si="119"/>
        <v>#REF!</v>
      </c>
      <c r="AC404">
        <v>397</v>
      </c>
      <c r="AD404" s="6">
        <f t="shared" ca="1" si="114"/>
        <v>40695</v>
      </c>
      <c r="AE404" s="7" t="e">
        <f t="shared" ca="1" si="120"/>
        <v>#REF!</v>
      </c>
      <c r="AF404" s="125" t="e">
        <f t="shared" ca="1" si="121"/>
        <v>#REF!</v>
      </c>
      <c r="AG404" s="125" t="e">
        <f t="shared" ca="1" si="115"/>
        <v>#REF!</v>
      </c>
      <c r="AH404" s="128" t="e">
        <f t="shared" ca="1" si="122"/>
        <v>#REF!</v>
      </c>
    </row>
    <row r="405" spans="4:34">
      <c r="D405">
        <v>398</v>
      </c>
      <c r="E405" s="6">
        <f t="shared" ca="1" si="107"/>
        <v>40664</v>
      </c>
      <c r="F405" s="7">
        <f t="shared" ca="1" si="116"/>
        <v>0</v>
      </c>
      <c r="G405" s="125">
        <f t="shared" ca="1" si="108"/>
        <v>0</v>
      </c>
      <c r="H405" s="125">
        <f ca="1">IF(F405=1,F405*$B$10/MIN(12,'Simulador - 3º Pilar'!$E$88),0)</f>
        <v>0</v>
      </c>
      <c r="I405" s="128">
        <f t="shared" ca="1" si="109"/>
        <v>0</v>
      </c>
      <c r="J405" s="494">
        <f t="shared" ca="1" si="110"/>
        <v>0</v>
      </c>
      <c r="K405" s="126">
        <f t="shared" ca="1" si="111"/>
        <v>0</v>
      </c>
      <c r="L405" s="126">
        <f t="shared" ca="1" si="106"/>
        <v>0</v>
      </c>
      <c r="P405">
        <v>398</v>
      </c>
      <c r="Q405" s="6">
        <f t="shared" ca="1" si="112"/>
        <v>40664</v>
      </c>
      <c r="R405" s="7" t="e">
        <f t="shared" ca="1" si="117"/>
        <v>#REF!</v>
      </c>
      <c r="S405" s="125" t="e">
        <f t="shared" ca="1" si="118"/>
        <v>#REF!</v>
      </c>
      <c r="T405" s="125" t="e">
        <f t="shared" ca="1" si="113"/>
        <v>#REF!</v>
      </c>
      <c r="U405" s="128" t="e">
        <f t="shared" ca="1" si="119"/>
        <v>#REF!</v>
      </c>
      <c r="AC405">
        <v>398</v>
      </c>
      <c r="AD405" s="6">
        <f t="shared" ca="1" si="114"/>
        <v>40664</v>
      </c>
      <c r="AE405" s="7" t="e">
        <f t="shared" ca="1" si="120"/>
        <v>#REF!</v>
      </c>
      <c r="AF405" s="125" t="e">
        <f t="shared" ca="1" si="121"/>
        <v>#REF!</v>
      </c>
      <c r="AG405" s="125" t="e">
        <f t="shared" ca="1" si="115"/>
        <v>#REF!</v>
      </c>
      <c r="AH405" s="128" t="e">
        <f t="shared" ca="1" si="122"/>
        <v>#REF!</v>
      </c>
    </row>
    <row r="406" spans="4:34">
      <c r="D406">
        <v>399</v>
      </c>
      <c r="E406" s="6">
        <f t="shared" ca="1" si="107"/>
        <v>40634</v>
      </c>
      <c r="F406" s="7">
        <f t="shared" ca="1" si="116"/>
        <v>0</v>
      </c>
      <c r="G406" s="125">
        <f t="shared" ca="1" si="108"/>
        <v>0</v>
      </c>
      <c r="H406" s="125">
        <f ca="1">IF(F406=1,F406*$B$10/MIN(12,'Simulador - 3º Pilar'!$E$88),0)</f>
        <v>0</v>
      </c>
      <c r="I406" s="128">
        <f t="shared" ca="1" si="109"/>
        <v>0</v>
      </c>
      <c r="J406" s="494">
        <f t="shared" ca="1" si="110"/>
        <v>0</v>
      </c>
      <c r="K406" s="126">
        <f t="shared" ca="1" si="111"/>
        <v>0</v>
      </c>
      <c r="L406" s="126">
        <f t="shared" ca="1" si="106"/>
        <v>0</v>
      </c>
      <c r="P406">
        <v>399</v>
      </c>
      <c r="Q406" s="6">
        <f t="shared" ca="1" si="112"/>
        <v>40634</v>
      </c>
      <c r="R406" s="7" t="e">
        <f t="shared" ca="1" si="117"/>
        <v>#REF!</v>
      </c>
      <c r="S406" s="125" t="e">
        <f t="shared" ca="1" si="118"/>
        <v>#REF!</v>
      </c>
      <c r="T406" s="125" t="e">
        <f t="shared" ca="1" si="113"/>
        <v>#REF!</v>
      </c>
      <c r="U406" s="128" t="e">
        <f t="shared" ca="1" si="119"/>
        <v>#REF!</v>
      </c>
      <c r="AC406">
        <v>399</v>
      </c>
      <c r="AD406" s="6">
        <f t="shared" ca="1" si="114"/>
        <v>40634</v>
      </c>
      <c r="AE406" s="7" t="e">
        <f t="shared" ca="1" si="120"/>
        <v>#REF!</v>
      </c>
      <c r="AF406" s="125" t="e">
        <f t="shared" ca="1" si="121"/>
        <v>#REF!</v>
      </c>
      <c r="AG406" s="125" t="e">
        <f t="shared" ca="1" si="115"/>
        <v>#REF!</v>
      </c>
      <c r="AH406" s="128" t="e">
        <f t="shared" ca="1" si="122"/>
        <v>#REF!</v>
      </c>
    </row>
    <row r="407" spans="4:34">
      <c r="D407">
        <v>400</v>
      </c>
      <c r="E407" s="6">
        <f t="shared" ca="1" si="107"/>
        <v>40603</v>
      </c>
      <c r="F407" s="7">
        <f t="shared" ca="1" si="116"/>
        <v>0</v>
      </c>
      <c r="G407" s="125">
        <f t="shared" ca="1" si="108"/>
        <v>0</v>
      </c>
      <c r="H407" s="125">
        <f ca="1">IF(F407=1,F407*$B$10/MIN(12,'Simulador - 3º Pilar'!$E$88),0)</f>
        <v>0</v>
      </c>
      <c r="I407" s="128">
        <f t="shared" ca="1" si="109"/>
        <v>0</v>
      </c>
      <c r="J407" s="494">
        <f t="shared" ca="1" si="110"/>
        <v>0</v>
      </c>
      <c r="K407" s="126">
        <f t="shared" ca="1" si="111"/>
        <v>0</v>
      </c>
      <c r="L407" s="126">
        <f t="shared" ca="1" si="106"/>
        <v>0</v>
      </c>
      <c r="P407">
        <v>400</v>
      </c>
      <c r="Q407" s="6">
        <f t="shared" ca="1" si="112"/>
        <v>40603</v>
      </c>
      <c r="R407" s="7" t="e">
        <f t="shared" ca="1" si="117"/>
        <v>#REF!</v>
      </c>
      <c r="S407" s="125" t="e">
        <f t="shared" ca="1" si="118"/>
        <v>#REF!</v>
      </c>
      <c r="T407" s="125" t="e">
        <f t="shared" ca="1" si="113"/>
        <v>#REF!</v>
      </c>
      <c r="U407" s="128" t="e">
        <f t="shared" ca="1" si="119"/>
        <v>#REF!</v>
      </c>
      <c r="AC407">
        <v>400</v>
      </c>
      <c r="AD407" s="6">
        <f t="shared" ca="1" si="114"/>
        <v>40603</v>
      </c>
      <c r="AE407" s="7" t="e">
        <f t="shared" ca="1" si="120"/>
        <v>#REF!</v>
      </c>
      <c r="AF407" s="125" t="e">
        <f t="shared" ca="1" si="121"/>
        <v>#REF!</v>
      </c>
      <c r="AG407" s="125" t="e">
        <f t="shared" ca="1" si="115"/>
        <v>#REF!</v>
      </c>
      <c r="AH407" s="128" t="e">
        <f t="shared" ca="1" si="122"/>
        <v>#REF!</v>
      </c>
    </row>
    <row r="408" spans="4:34">
      <c r="D408">
        <v>401</v>
      </c>
      <c r="E408" s="6">
        <f t="shared" ca="1" si="107"/>
        <v>40575</v>
      </c>
      <c r="F408" s="7">
        <f t="shared" ca="1" si="116"/>
        <v>0</v>
      </c>
      <c r="G408" s="125">
        <f t="shared" ca="1" si="108"/>
        <v>0</v>
      </c>
      <c r="H408" s="125">
        <f ca="1">IF(F408=1,F408*$B$10/MIN(12,'Simulador - 3º Pilar'!$E$88),0)</f>
        <v>0</v>
      </c>
      <c r="I408" s="128">
        <f t="shared" ca="1" si="109"/>
        <v>0</v>
      </c>
      <c r="J408" s="494">
        <f t="shared" ca="1" si="110"/>
        <v>0</v>
      </c>
      <c r="K408" s="126">
        <f t="shared" ca="1" si="111"/>
        <v>0</v>
      </c>
      <c r="L408" s="126">
        <f t="shared" ca="1" si="106"/>
        <v>0</v>
      </c>
      <c r="P408">
        <v>401</v>
      </c>
      <c r="Q408" s="6">
        <f t="shared" ca="1" si="112"/>
        <v>40575</v>
      </c>
      <c r="R408" s="7" t="e">
        <f t="shared" ca="1" si="117"/>
        <v>#REF!</v>
      </c>
      <c r="S408" s="125" t="e">
        <f t="shared" ca="1" si="118"/>
        <v>#REF!</v>
      </c>
      <c r="T408" s="125" t="e">
        <f t="shared" ca="1" si="113"/>
        <v>#REF!</v>
      </c>
      <c r="U408" s="128" t="e">
        <f t="shared" ca="1" si="119"/>
        <v>#REF!</v>
      </c>
      <c r="AC408">
        <v>401</v>
      </c>
      <c r="AD408" s="6">
        <f t="shared" ca="1" si="114"/>
        <v>40575</v>
      </c>
      <c r="AE408" s="7" t="e">
        <f t="shared" ca="1" si="120"/>
        <v>#REF!</v>
      </c>
      <c r="AF408" s="125" t="e">
        <f t="shared" ca="1" si="121"/>
        <v>#REF!</v>
      </c>
      <c r="AG408" s="125" t="e">
        <f t="shared" ca="1" si="115"/>
        <v>#REF!</v>
      </c>
      <c r="AH408" s="128" t="e">
        <f t="shared" ca="1" si="122"/>
        <v>#REF!</v>
      </c>
    </row>
    <row r="409" spans="4:34">
      <c r="D409">
        <v>402</v>
      </c>
      <c r="E409" s="6">
        <f t="shared" ca="1" si="107"/>
        <v>40544</v>
      </c>
      <c r="F409" s="7">
        <f t="shared" ca="1" si="116"/>
        <v>0</v>
      </c>
      <c r="G409" s="125">
        <f t="shared" ca="1" si="108"/>
        <v>0</v>
      </c>
      <c r="H409" s="125">
        <f ca="1">IF(F409=1,F409*$B$10/MIN(12,'Simulador - 3º Pilar'!$E$88),0)</f>
        <v>0</v>
      </c>
      <c r="I409" s="128">
        <f t="shared" ca="1" si="109"/>
        <v>0</v>
      </c>
      <c r="J409" s="494">
        <f t="shared" ca="1" si="110"/>
        <v>0</v>
      </c>
      <c r="K409" s="126">
        <f t="shared" ca="1" si="111"/>
        <v>0</v>
      </c>
      <c r="L409" s="126">
        <f t="shared" ca="1" si="106"/>
        <v>0</v>
      </c>
      <c r="P409">
        <v>402</v>
      </c>
      <c r="Q409" s="6">
        <f t="shared" ca="1" si="112"/>
        <v>40544</v>
      </c>
      <c r="R409" s="7" t="e">
        <f t="shared" ca="1" si="117"/>
        <v>#REF!</v>
      </c>
      <c r="S409" s="125" t="e">
        <f t="shared" ca="1" si="118"/>
        <v>#REF!</v>
      </c>
      <c r="T409" s="125" t="e">
        <f t="shared" ca="1" si="113"/>
        <v>#REF!</v>
      </c>
      <c r="U409" s="128" t="e">
        <f t="shared" ca="1" si="119"/>
        <v>#REF!</v>
      </c>
      <c r="AC409">
        <v>402</v>
      </c>
      <c r="AD409" s="6">
        <f t="shared" ca="1" si="114"/>
        <v>40544</v>
      </c>
      <c r="AE409" s="7" t="e">
        <f t="shared" ca="1" si="120"/>
        <v>#REF!</v>
      </c>
      <c r="AF409" s="125" t="e">
        <f t="shared" ca="1" si="121"/>
        <v>#REF!</v>
      </c>
      <c r="AG409" s="125" t="e">
        <f t="shared" ca="1" si="115"/>
        <v>#REF!</v>
      </c>
      <c r="AH409" s="128" t="e">
        <f t="shared" ca="1" si="122"/>
        <v>#REF!</v>
      </c>
    </row>
    <row r="410" spans="4:34">
      <c r="D410">
        <v>403</v>
      </c>
      <c r="E410" s="6">
        <f t="shared" ca="1" si="107"/>
        <v>40513</v>
      </c>
      <c r="F410" s="7">
        <f t="shared" ca="1" si="116"/>
        <v>0</v>
      </c>
      <c r="G410" s="125">
        <f t="shared" ca="1" si="108"/>
        <v>0</v>
      </c>
      <c r="H410" s="125">
        <f ca="1">IF(F410=1,F410*$B$10/MIN(12,'Simulador - 3º Pilar'!$E$88),0)</f>
        <v>0</v>
      </c>
      <c r="I410" s="128">
        <f t="shared" ca="1" si="109"/>
        <v>0</v>
      </c>
      <c r="J410" s="494">
        <f t="shared" ca="1" si="110"/>
        <v>0</v>
      </c>
      <c r="K410" s="126">
        <f t="shared" ca="1" si="111"/>
        <v>0</v>
      </c>
      <c r="L410" s="126">
        <f t="shared" ca="1" si="106"/>
        <v>0</v>
      </c>
      <c r="P410">
        <v>403</v>
      </c>
      <c r="Q410" s="6">
        <f t="shared" ca="1" si="112"/>
        <v>40513</v>
      </c>
      <c r="R410" s="7" t="e">
        <f t="shared" ca="1" si="117"/>
        <v>#REF!</v>
      </c>
      <c r="S410" s="125" t="e">
        <f t="shared" ca="1" si="118"/>
        <v>#REF!</v>
      </c>
      <c r="T410" s="125" t="e">
        <f t="shared" ca="1" si="113"/>
        <v>#REF!</v>
      </c>
      <c r="U410" s="128" t="e">
        <f t="shared" ca="1" si="119"/>
        <v>#REF!</v>
      </c>
      <c r="AC410">
        <v>403</v>
      </c>
      <c r="AD410" s="6">
        <f t="shared" ca="1" si="114"/>
        <v>40513</v>
      </c>
      <c r="AE410" s="7" t="e">
        <f t="shared" ca="1" si="120"/>
        <v>#REF!</v>
      </c>
      <c r="AF410" s="125" t="e">
        <f t="shared" ca="1" si="121"/>
        <v>#REF!</v>
      </c>
      <c r="AG410" s="125" t="e">
        <f t="shared" ca="1" si="115"/>
        <v>#REF!</v>
      </c>
      <c r="AH410" s="128" t="e">
        <f t="shared" ca="1" si="122"/>
        <v>#REF!</v>
      </c>
    </row>
    <row r="411" spans="4:34">
      <c r="D411">
        <v>404</v>
      </c>
      <c r="E411" s="6">
        <f t="shared" ca="1" si="107"/>
        <v>40483</v>
      </c>
      <c r="F411" s="7">
        <f t="shared" ca="1" si="116"/>
        <v>0</v>
      </c>
      <c r="G411" s="125">
        <f t="shared" ca="1" si="108"/>
        <v>0</v>
      </c>
      <c r="H411" s="125">
        <f ca="1">IF(F411=1,F411*$B$10/MIN(12,'Simulador - 3º Pilar'!$E$88),0)</f>
        <v>0</v>
      </c>
      <c r="I411" s="128">
        <f t="shared" ca="1" si="109"/>
        <v>0</v>
      </c>
      <c r="J411" s="494">
        <f t="shared" ca="1" si="110"/>
        <v>0</v>
      </c>
      <c r="K411" s="126">
        <f t="shared" ca="1" si="111"/>
        <v>0</v>
      </c>
      <c r="L411" s="126">
        <f t="shared" ca="1" si="106"/>
        <v>0</v>
      </c>
      <c r="P411">
        <v>404</v>
      </c>
      <c r="Q411" s="6">
        <f t="shared" ca="1" si="112"/>
        <v>40483</v>
      </c>
      <c r="R411" s="7" t="e">
        <f t="shared" ca="1" si="117"/>
        <v>#REF!</v>
      </c>
      <c r="S411" s="125" t="e">
        <f t="shared" ca="1" si="118"/>
        <v>#REF!</v>
      </c>
      <c r="T411" s="125" t="e">
        <f t="shared" ca="1" si="113"/>
        <v>#REF!</v>
      </c>
      <c r="U411" s="128" t="e">
        <f t="shared" ca="1" si="119"/>
        <v>#REF!</v>
      </c>
      <c r="AC411">
        <v>404</v>
      </c>
      <c r="AD411" s="6">
        <f t="shared" ca="1" si="114"/>
        <v>40483</v>
      </c>
      <c r="AE411" s="7" t="e">
        <f t="shared" ca="1" si="120"/>
        <v>#REF!</v>
      </c>
      <c r="AF411" s="125" t="e">
        <f t="shared" ca="1" si="121"/>
        <v>#REF!</v>
      </c>
      <c r="AG411" s="125" t="e">
        <f t="shared" ca="1" si="115"/>
        <v>#REF!</v>
      </c>
      <c r="AH411" s="128" t="e">
        <f t="shared" ca="1" si="122"/>
        <v>#REF!</v>
      </c>
    </row>
    <row r="412" spans="4:34">
      <c r="D412">
        <v>405</v>
      </c>
      <c r="E412" s="6">
        <f t="shared" ca="1" si="107"/>
        <v>40452</v>
      </c>
      <c r="F412" s="7">
        <f t="shared" ca="1" si="116"/>
        <v>0</v>
      </c>
      <c r="G412" s="125">
        <f t="shared" ca="1" si="108"/>
        <v>0</v>
      </c>
      <c r="H412" s="125">
        <f ca="1">IF(F412=1,F412*$B$10/MIN(12,'Simulador - 3º Pilar'!$E$88),0)</f>
        <v>0</v>
      </c>
      <c r="I412" s="128">
        <f t="shared" ca="1" si="109"/>
        <v>0</v>
      </c>
      <c r="J412" s="494">
        <f t="shared" ca="1" si="110"/>
        <v>0</v>
      </c>
      <c r="K412" s="126">
        <f t="shared" ca="1" si="111"/>
        <v>0</v>
      </c>
      <c r="L412" s="126">
        <f t="shared" ca="1" si="106"/>
        <v>0</v>
      </c>
      <c r="P412">
        <v>405</v>
      </c>
      <c r="Q412" s="6">
        <f t="shared" ca="1" si="112"/>
        <v>40452</v>
      </c>
      <c r="R412" s="7" t="e">
        <f t="shared" ca="1" si="117"/>
        <v>#REF!</v>
      </c>
      <c r="S412" s="125" t="e">
        <f t="shared" ca="1" si="118"/>
        <v>#REF!</v>
      </c>
      <c r="T412" s="125" t="e">
        <f t="shared" ca="1" si="113"/>
        <v>#REF!</v>
      </c>
      <c r="U412" s="128" t="e">
        <f t="shared" ca="1" si="119"/>
        <v>#REF!</v>
      </c>
      <c r="AC412">
        <v>405</v>
      </c>
      <c r="AD412" s="6">
        <f t="shared" ca="1" si="114"/>
        <v>40452</v>
      </c>
      <c r="AE412" s="7" t="e">
        <f t="shared" ca="1" si="120"/>
        <v>#REF!</v>
      </c>
      <c r="AF412" s="125" t="e">
        <f t="shared" ca="1" si="121"/>
        <v>#REF!</v>
      </c>
      <c r="AG412" s="125" t="e">
        <f t="shared" ca="1" si="115"/>
        <v>#REF!</v>
      </c>
      <c r="AH412" s="128" t="e">
        <f t="shared" ca="1" si="122"/>
        <v>#REF!</v>
      </c>
    </row>
    <row r="413" spans="4:34">
      <c r="D413">
        <v>406</v>
      </c>
      <c r="E413" s="6">
        <f t="shared" ca="1" si="107"/>
        <v>40422</v>
      </c>
      <c r="F413" s="7">
        <f t="shared" ca="1" si="116"/>
        <v>0</v>
      </c>
      <c r="G413" s="125">
        <f t="shared" ca="1" si="108"/>
        <v>0</v>
      </c>
      <c r="H413" s="125">
        <f ca="1">IF(F413=1,F413*$B$10/MIN(12,'Simulador - 3º Pilar'!$E$88),0)</f>
        <v>0</v>
      </c>
      <c r="I413" s="128">
        <f t="shared" ca="1" si="109"/>
        <v>0</v>
      </c>
      <c r="J413" s="494">
        <f t="shared" ca="1" si="110"/>
        <v>0</v>
      </c>
      <c r="K413" s="126">
        <f t="shared" ca="1" si="111"/>
        <v>0</v>
      </c>
      <c r="L413" s="126">
        <f t="shared" ca="1" si="106"/>
        <v>0</v>
      </c>
      <c r="P413">
        <v>406</v>
      </c>
      <c r="Q413" s="6">
        <f t="shared" ca="1" si="112"/>
        <v>40422</v>
      </c>
      <c r="R413" s="7" t="e">
        <f t="shared" ca="1" si="117"/>
        <v>#REF!</v>
      </c>
      <c r="S413" s="125" t="e">
        <f t="shared" ca="1" si="118"/>
        <v>#REF!</v>
      </c>
      <c r="T413" s="125" t="e">
        <f t="shared" ca="1" si="113"/>
        <v>#REF!</v>
      </c>
      <c r="U413" s="128" t="e">
        <f t="shared" ca="1" si="119"/>
        <v>#REF!</v>
      </c>
      <c r="AC413">
        <v>406</v>
      </c>
      <c r="AD413" s="6">
        <f t="shared" ca="1" si="114"/>
        <v>40422</v>
      </c>
      <c r="AE413" s="7" t="e">
        <f t="shared" ca="1" si="120"/>
        <v>#REF!</v>
      </c>
      <c r="AF413" s="125" t="e">
        <f t="shared" ca="1" si="121"/>
        <v>#REF!</v>
      </c>
      <c r="AG413" s="125" t="e">
        <f t="shared" ca="1" si="115"/>
        <v>#REF!</v>
      </c>
      <c r="AH413" s="128" t="e">
        <f t="shared" ca="1" si="122"/>
        <v>#REF!</v>
      </c>
    </row>
    <row r="414" spans="4:34">
      <c r="D414">
        <v>407</v>
      </c>
      <c r="E414" s="6">
        <f t="shared" ca="1" si="107"/>
        <v>40391</v>
      </c>
      <c r="F414" s="7">
        <f t="shared" ca="1" si="116"/>
        <v>0</v>
      </c>
      <c r="G414" s="125">
        <f t="shared" ca="1" si="108"/>
        <v>0</v>
      </c>
      <c r="H414" s="125">
        <f ca="1">IF(F414=1,F414*$B$10/MIN(12,'Simulador - 3º Pilar'!$E$88),0)</f>
        <v>0</v>
      </c>
      <c r="I414" s="128">
        <f t="shared" ca="1" si="109"/>
        <v>0</v>
      </c>
      <c r="J414" s="494">
        <f t="shared" ca="1" si="110"/>
        <v>0</v>
      </c>
      <c r="K414" s="126">
        <f t="shared" ca="1" si="111"/>
        <v>0</v>
      </c>
      <c r="L414" s="126">
        <f t="shared" ca="1" si="106"/>
        <v>0</v>
      </c>
      <c r="P414">
        <v>407</v>
      </c>
      <c r="Q414" s="6">
        <f t="shared" ca="1" si="112"/>
        <v>40391</v>
      </c>
      <c r="R414" s="7" t="e">
        <f t="shared" ca="1" si="117"/>
        <v>#REF!</v>
      </c>
      <c r="S414" s="125" t="e">
        <f t="shared" ca="1" si="118"/>
        <v>#REF!</v>
      </c>
      <c r="T414" s="125" t="e">
        <f t="shared" ca="1" si="113"/>
        <v>#REF!</v>
      </c>
      <c r="U414" s="128" t="e">
        <f t="shared" ca="1" si="119"/>
        <v>#REF!</v>
      </c>
      <c r="AC414">
        <v>407</v>
      </c>
      <c r="AD414" s="6">
        <f t="shared" ca="1" si="114"/>
        <v>40391</v>
      </c>
      <c r="AE414" s="7" t="e">
        <f t="shared" ca="1" si="120"/>
        <v>#REF!</v>
      </c>
      <c r="AF414" s="125" t="e">
        <f t="shared" ca="1" si="121"/>
        <v>#REF!</v>
      </c>
      <c r="AG414" s="125" t="e">
        <f t="shared" ca="1" si="115"/>
        <v>#REF!</v>
      </c>
      <c r="AH414" s="128" t="e">
        <f t="shared" ca="1" si="122"/>
        <v>#REF!</v>
      </c>
    </row>
    <row r="415" spans="4:34">
      <c r="D415">
        <v>408</v>
      </c>
      <c r="E415" s="6">
        <f t="shared" ca="1" si="107"/>
        <v>40360</v>
      </c>
      <c r="F415" s="7">
        <f t="shared" ca="1" si="116"/>
        <v>0</v>
      </c>
      <c r="G415" s="125">
        <f t="shared" ca="1" si="108"/>
        <v>0</v>
      </c>
      <c r="H415" s="125">
        <f ca="1">IF(F415=1,F415*$B$10/MIN(12,'Simulador - 3º Pilar'!$E$88),0)</f>
        <v>0</v>
      </c>
      <c r="I415" s="128">
        <f t="shared" ca="1" si="109"/>
        <v>0</v>
      </c>
      <c r="J415" s="494">
        <f t="shared" ca="1" si="110"/>
        <v>0</v>
      </c>
      <c r="K415" s="126">
        <f t="shared" ca="1" si="111"/>
        <v>0</v>
      </c>
      <c r="L415" s="126">
        <f t="shared" ca="1" si="106"/>
        <v>0</v>
      </c>
      <c r="P415">
        <v>408</v>
      </c>
      <c r="Q415" s="6">
        <f t="shared" ca="1" si="112"/>
        <v>40360</v>
      </c>
      <c r="R415" s="7" t="e">
        <f t="shared" ca="1" si="117"/>
        <v>#REF!</v>
      </c>
      <c r="S415" s="125" t="e">
        <f t="shared" ca="1" si="118"/>
        <v>#REF!</v>
      </c>
      <c r="T415" s="125" t="e">
        <f t="shared" ca="1" si="113"/>
        <v>#REF!</v>
      </c>
      <c r="U415" s="128" t="e">
        <f t="shared" ca="1" si="119"/>
        <v>#REF!</v>
      </c>
      <c r="AC415">
        <v>408</v>
      </c>
      <c r="AD415" s="6">
        <f t="shared" ca="1" si="114"/>
        <v>40360</v>
      </c>
      <c r="AE415" s="7" t="e">
        <f t="shared" ca="1" si="120"/>
        <v>#REF!</v>
      </c>
      <c r="AF415" s="125" t="e">
        <f t="shared" ca="1" si="121"/>
        <v>#REF!</v>
      </c>
      <c r="AG415" s="125" t="e">
        <f t="shared" ca="1" si="115"/>
        <v>#REF!</v>
      </c>
      <c r="AH415" s="128" t="e">
        <f t="shared" ca="1" si="122"/>
        <v>#REF!</v>
      </c>
    </row>
    <row r="416" spans="4:34">
      <c r="D416">
        <v>409</v>
      </c>
      <c r="E416" s="6">
        <f t="shared" ca="1" si="107"/>
        <v>40330</v>
      </c>
      <c r="F416" s="7">
        <f t="shared" ca="1" si="116"/>
        <v>0</v>
      </c>
      <c r="G416" s="125">
        <f t="shared" ca="1" si="108"/>
        <v>0</v>
      </c>
      <c r="H416" s="125">
        <f ca="1">IF(F416=1,F416*$B$10/MIN(12,'Simulador - 3º Pilar'!$E$88),0)</f>
        <v>0</v>
      </c>
      <c r="I416" s="128">
        <f t="shared" ca="1" si="109"/>
        <v>0</v>
      </c>
      <c r="J416" s="494">
        <f t="shared" ca="1" si="110"/>
        <v>0</v>
      </c>
      <c r="K416" s="126">
        <f t="shared" ca="1" si="111"/>
        <v>0</v>
      </c>
      <c r="L416" s="126">
        <f t="shared" ca="1" si="106"/>
        <v>0</v>
      </c>
      <c r="P416">
        <v>409</v>
      </c>
      <c r="Q416" s="6">
        <f t="shared" ca="1" si="112"/>
        <v>40330</v>
      </c>
      <c r="R416" s="7" t="e">
        <f t="shared" ca="1" si="117"/>
        <v>#REF!</v>
      </c>
      <c r="S416" s="125" t="e">
        <f t="shared" ca="1" si="118"/>
        <v>#REF!</v>
      </c>
      <c r="T416" s="125" t="e">
        <f t="shared" ca="1" si="113"/>
        <v>#REF!</v>
      </c>
      <c r="U416" s="128" t="e">
        <f t="shared" ca="1" si="119"/>
        <v>#REF!</v>
      </c>
      <c r="AC416">
        <v>409</v>
      </c>
      <c r="AD416" s="6">
        <f t="shared" ca="1" si="114"/>
        <v>40330</v>
      </c>
      <c r="AE416" s="7" t="e">
        <f t="shared" ca="1" si="120"/>
        <v>#REF!</v>
      </c>
      <c r="AF416" s="125" t="e">
        <f t="shared" ca="1" si="121"/>
        <v>#REF!</v>
      </c>
      <c r="AG416" s="125" t="e">
        <f t="shared" ca="1" si="115"/>
        <v>#REF!</v>
      </c>
      <c r="AH416" s="128" t="e">
        <f t="shared" ca="1" si="122"/>
        <v>#REF!</v>
      </c>
    </row>
    <row r="417" spans="4:34">
      <c r="D417">
        <v>410</v>
      </c>
      <c r="E417" s="6">
        <f t="shared" ca="1" si="107"/>
        <v>40299</v>
      </c>
      <c r="F417" s="7">
        <f t="shared" ca="1" si="116"/>
        <v>0</v>
      </c>
      <c r="G417" s="125">
        <f t="shared" ca="1" si="108"/>
        <v>0</v>
      </c>
      <c r="H417" s="125">
        <f ca="1">IF(F417=1,F417*$B$10/MIN(12,'Simulador - 3º Pilar'!$E$88),0)</f>
        <v>0</v>
      </c>
      <c r="I417" s="128">
        <f t="shared" ca="1" si="109"/>
        <v>0</v>
      </c>
      <c r="J417" s="494">
        <f t="shared" ca="1" si="110"/>
        <v>0</v>
      </c>
      <c r="K417" s="126">
        <f t="shared" ca="1" si="111"/>
        <v>0</v>
      </c>
      <c r="L417" s="126">
        <f t="shared" ref="L417:L480" ca="1" si="123">(1+$G$5)^(D417/12)*(IF((E417)&gt;($B$6),H417,0)+IF(E417=$N$7,$N$4,0)+IF(E417=$C$6,0,0))</f>
        <v>0</v>
      </c>
      <c r="P417">
        <v>410</v>
      </c>
      <c r="Q417" s="6">
        <f t="shared" ca="1" si="112"/>
        <v>40299</v>
      </c>
      <c r="R417" s="7" t="e">
        <f t="shared" ca="1" si="117"/>
        <v>#REF!</v>
      </c>
      <c r="S417" s="125" t="e">
        <f t="shared" ca="1" si="118"/>
        <v>#REF!</v>
      </c>
      <c r="T417" s="125" t="e">
        <f t="shared" ca="1" si="113"/>
        <v>#REF!</v>
      </c>
      <c r="U417" s="128" t="e">
        <f t="shared" ca="1" si="119"/>
        <v>#REF!</v>
      </c>
      <c r="AC417">
        <v>410</v>
      </c>
      <c r="AD417" s="6">
        <f t="shared" ca="1" si="114"/>
        <v>40299</v>
      </c>
      <c r="AE417" s="7" t="e">
        <f t="shared" ca="1" si="120"/>
        <v>#REF!</v>
      </c>
      <c r="AF417" s="125" t="e">
        <f t="shared" ca="1" si="121"/>
        <v>#REF!</v>
      </c>
      <c r="AG417" s="125" t="e">
        <f t="shared" ca="1" si="115"/>
        <v>#REF!</v>
      </c>
      <c r="AH417" s="128" t="e">
        <f t="shared" ca="1" si="122"/>
        <v>#REF!</v>
      </c>
    </row>
    <row r="418" spans="4:34">
      <c r="D418">
        <v>411</v>
      </c>
      <c r="E418" s="6">
        <f t="shared" ca="1" si="107"/>
        <v>40269</v>
      </c>
      <c r="F418" s="7">
        <f t="shared" ca="1" si="116"/>
        <v>0</v>
      </c>
      <c r="G418" s="125">
        <f t="shared" ca="1" si="108"/>
        <v>0</v>
      </c>
      <c r="H418" s="125">
        <f ca="1">IF(F418=1,F418*$B$10/MIN(12,'Simulador - 3º Pilar'!$E$88),0)</f>
        <v>0</v>
      </c>
      <c r="I418" s="128">
        <f t="shared" ca="1" si="109"/>
        <v>0</v>
      </c>
      <c r="J418" s="494">
        <f t="shared" ca="1" si="110"/>
        <v>0</v>
      </c>
      <c r="K418" s="126">
        <f t="shared" ca="1" si="111"/>
        <v>0</v>
      </c>
      <c r="L418" s="126">
        <f t="shared" ca="1" si="123"/>
        <v>0</v>
      </c>
      <c r="P418">
        <v>411</v>
      </c>
      <c r="Q418" s="6">
        <f t="shared" ca="1" si="112"/>
        <v>40269</v>
      </c>
      <c r="R418" s="7" t="e">
        <f t="shared" ca="1" si="117"/>
        <v>#REF!</v>
      </c>
      <c r="S418" s="125" t="e">
        <f t="shared" ca="1" si="118"/>
        <v>#REF!</v>
      </c>
      <c r="T418" s="125" t="e">
        <f t="shared" ca="1" si="113"/>
        <v>#REF!</v>
      </c>
      <c r="U418" s="128" t="e">
        <f t="shared" ca="1" si="119"/>
        <v>#REF!</v>
      </c>
      <c r="AC418">
        <v>411</v>
      </c>
      <c r="AD418" s="6">
        <f t="shared" ca="1" si="114"/>
        <v>40269</v>
      </c>
      <c r="AE418" s="7" t="e">
        <f t="shared" ca="1" si="120"/>
        <v>#REF!</v>
      </c>
      <c r="AF418" s="125" t="e">
        <f t="shared" ca="1" si="121"/>
        <v>#REF!</v>
      </c>
      <c r="AG418" s="125" t="e">
        <f t="shared" ca="1" si="115"/>
        <v>#REF!</v>
      </c>
      <c r="AH418" s="128" t="e">
        <f t="shared" ca="1" si="122"/>
        <v>#REF!</v>
      </c>
    </row>
    <row r="419" spans="4:34">
      <c r="D419">
        <v>412</v>
      </c>
      <c r="E419" s="6">
        <f t="shared" ca="1" si="107"/>
        <v>40238</v>
      </c>
      <c r="F419" s="7">
        <f t="shared" ca="1" si="116"/>
        <v>0</v>
      </c>
      <c r="G419" s="125">
        <f t="shared" ca="1" si="108"/>
        <v>0</v>
      </c>
      <c r="H419" s="125">
        <f ca="1">IF(F419=1,F419*$B$10/MIN(12,'Simulador - 3º Pilar'!$E$88),0)</f>
        <v>0</v>
      </c>
      <c r="I419" s="128">
        <f t="shared" ca="1" si="109"/>
        <v>0</v>
      </c>
      <c r="J419" s="494">
        <f t="shared" ca="1" si="110"/>
        <v>0</v>
      </c>
      <c r="K419" s="126">
        <f t="shared" ca="1" si="111"/>
        <v>0</v>
      </c>
      <c r="L419" s="126">
        <f t="shared" ca="1" si="123"/>
        <v>0</v>
      </c>
      <c r="P419">
        <v>412</v>
      </c>
      <c r="Q419" s="6">
        <f t="shared" ca="1" si="112"/>
        <v>40238</v>
      </c>
      <c r="R419" s="7" t="e">
        <f t="shared" ca="1" si="117"/>
        <v>#REF!</v>
      </c>
      <c r="S419" s="125" t="e">
        <f t="shared" ca="1" si="118"/>
        <v>#REF!</v>
      </c>
      <c r="T419" s="125" t="e">
        <f t="shared" ca="1" si="113"/>
        <v>#REF!</v>
      </c>
      <c r="U419" s="128" t="e">
        <f t="shared" ca="1" si="119"/>
        <v>#REF!</v>
      </c>
      <c r="AC419">
        <v>412</v>
      </c>
      <c r="AD419" s="6">
        <f t="shared" ca="1" si="114"/>
        <v>40238</v>
      </c>
      <c r="AE419" s="7" t="e">
        <f t="shared" ca="1" si="120"/>
        <v>#REF!</v>
      </c>
      <c r="AF419" s="125" t="e">
        <f t="shared" ca="1" si="121"/>
        <v>#REF!</v>
      </c>
      <c r="AG419" s="125" t="e">
        <f t="shared" ca="1" si="115"/>
        <v>#REF!</v>
      </c>
      <c r="AH419" s="128" t="e">
        <f t="shared" ca="1" si="122"/>
        <v>#REF!</v>
      </c>
    </row>
    <row r="420" spans="4:34">
      <c r="D420">
        <v>413</v>
      </c>
      <c r="E420" s="6">
        <f t="shared" ca="1" si="107"/>
        <v>40210</v>
      </c>
      <c r="F420" s="7">
        <f t="shared" ca="1" si="116"/>
        <v>0</v>
      </c>
      <c r="G420" s="125">
        <f t="shared" ca="1" si="108"/>
        <v>0</v>
      </c>
      <c r="H420" s="125">
        <f ca="1">IF(F420=1,F420*$B$10/MIN(12,'Simulador - 3º Pilar'!$E$88),0)</f>
        <v>0</v>
      </c>
      <c r="I420" s="128">
        <f t="shared" ca="1" si="109"/>
        <v>0</v>
      </c>
      <c r="J420" s="494">
        <f t="shared" ca="1" si="110"/>
        <v>0</v>
      </c>
      <c r="K420" s="126">
        <f t="shared" ca="1" si="111"/>
        <v>0</v>
      </c>
      <c r="L420" s="126">
        <f t="shared" ca="1" si="123"/>
        <v>0</v>
      </c>
      <c r="P420">
        <v>413</v>
      </c>
      <c r="Q420" s="6">
        <f t="shared" ca="1" si="112"/>
        <v>40210</v>
      </c>
      <c r="R420" s="7" t="e">
        <f t="shared" ca="1" si="117"/>
        <v>#REF!</v>
      </c>
      <c r="S420" s="125" t="e">
        <f t="shared" ca="1" si="118"/>
        <v>#REF!</v>
      </c>
      <c r="T420" s="125" t="e">
        <f t="shared" ca="1" si="113"/>
        <v>#REF!</v>
      </c>
      <c r="U420" s="128" t="e">
        <f t="shared" ca="1" si="119"/>
        <v>#REF!</v>
      </c>
      <c r="AC420">
        <v>413</v>
      </c>
      <c r="AD420" s="6">
        <f t="shared" ca="1" si="114"/>
        <v>40210</v>
      </c>
      <c r="AE420" s="7" t="e">
        <f t="shared" ca="1" si="120"/>
        <v>#REF!</v>
      </c>
      <c r="AF420" s="125" t="e">
        <f t="shared" ca="1" si="121"/>
        <v>#REF!</v>
      </c>
      <c r="AG420" s="125" t="e">
        <f t="shared" ca="1" si="115"/>
        <v>#REF!</v>
      </c>
      <c r="AH420" s="128" t="e">
        <f t="shared" ca="1" si="122"/>
        <v>#REF!</v>
      </c>
    </row>
    <row r="421" spans="4:34">
      <c r="D421">
        <v>414</v>
      </c>
      <c r="E421" s="6">
        <f t="shared" ca="1" si="107"/>
        <v>40179</v>
      </c>
      <c r="F421" s="7">
        <f t="shared" ca="1" si="116"/>
        <v>0</v>
      </c>
      <c r="G421" s="125">
        <f t="shared" ca="1" si="108"/>
        <v>0</v>
      </c>
      <c r="H421" s="125">
        <f ca="1">IF(F421=1,F421*$B$10/MIN(12,'Simulador - 3º Pilar'!$E$88),0)</f>
        <v>0</v>
      </c>
      <c r="I421" s="128">
        <f t="shared" ca="1" si="109"/>
        <v>0</v>
      </c>
      <c r="J421" s="494">
        <f t="shared" ca="1" si="110"/>
        <v>0</v>
      </c>
      <c r="K421" s="126">
        <f t="shared" ca="1" si="111"/>
        <v>0</v>
      </c>
      <c r="L421" s="126">
        <f t="shared" ca="1" si="123"/>
        <v>0</v>
      </c>
      <c r="P421">
        <v>414</v>
      </c>
      <c r="Q421" s="6">
        <f t="shared" ca="1" si="112"/>
        <v>40179</v>
      </c>
      <c r="R421" s="7" t="e">
        <f t="shared" ca="1" si="117"/>
        <v>#REF!</v>
      </c>
      <c r="S421" s="125" t="e">
        <f t="shared" ca="1" si="118"/>
        <v>#REF!</v>
      </c>
      <c r="T421" s="125" t="e">
        <f t="shared" ca="1" si="113"/>
        <v>#REF!</v>
      </c>
      <c r="U421" s="128" t="e">
        <f t="shared" ca="1" si="119"/>
        <v>#REF!</v>
      </c>
      <c r="AC421">
        <v>414</v>
      </c>
      <c r="AD421" s="6">
        <f t="shared" ca="1" si="114"/>
        <v>40179</v>
      </c>
      <c r="AE421" s="7" t="e">
        <f t="shared" ca="1" si="120"/>
        <v>#REF!</v>
      </c>
      <c r="AF421" s="125" t="e">
        <f t="shared" ca="1" si="121"/>
        <v>#REF!</v>
      </c>
      <c r="AG421" s="125" t="e">
        <f t="shared" ca="1" si="115"/>
        <v>#REF!</v>
      </c>
      <c r="AH421" s="128" t="e">
        <f t="shared" ca="1" si="122"/>
        <v>#REF!</v>
      </c>
    </row>
    <row r="422" spans="4:34">
      <c r="D422">
        <v>415</v>
      </c>
      <c r="E422" s="6">
        <f t="shared" ca="1" si="107"/>
        <v>40148</v>
      </c>
      <c r="F422" s="7">
        <f t="shared" ca="1" si="116"/>
        <v>0</v>
      </c>
      <c r="G422" s="125">
        <f t="shared" ca="1" si="108"/>
        <v>0</v>
      </c>
      <c r="H422" s="125">
        <f ca="1">IF(F422=1,F422*$B$10/MIN(12,'Simulador - 3º Pilar'!$E$88),0)</f>
        <v>0</v>
      </c>
      <c r="I422" s="128">
        <f t="shared" ca="1" si="109"/>
        <v>0</v>
      </c>
      <c r="J422" s="494">
        <f t="shared" ca="1" si="110"/>
        <v>0</v>
      </c>
      <c r="K422" s="126">
        <f t="shared" ca="1" si="111"/>
        <v>0</v>
      </c>
      <c r="L422" s="126">
        <f t="shared" ca="1" si="123"/>
        <v>0</v>
      </c>
      <c r="P422">
        <v>415</v>
      </c>
      <c r="Q422" s="6">
        <f t="shared" ca="1" si="112"/>
        <v>40148</v>
      </c>
      <c r="R422" s="7" t="e">
        <f t="shared" ca="1" si="117"/>
        <v>#REF!</v>
      </c>
      <c r="S422" s="125" t="e">
        <f t="shared" ca="1" si="118"/>
        <v>#REF!</v>
      </c>
      <c r="T422" s="125" t="e">
        <f t="shared" ca="1" si="113"/>
        <v>#REF!</v>
      </c>
      <c r="U422" s="128" t="e">
        <f t="shared" ca="1" si="119"/>
        <v>#REF!</v>
      </c>
      <c r="AC422">
        <v>415</v>
      </c>
      <c r="AD422" s="6">
        <f t="shared" ca="1" si="114"/>
        <v>40148</v>
      </c>
      <c r="AE422" s="7" t="e">
        <f t="shared" ca="1" si="120"/>
        <v>#REF!</v>
      </c>
      <c r="AF422" s="125" t="e">
        <f t="shared" ca="1" si="121"/>
        <v>#REF!</v>
      </c>
      <c r="AG422" s="125" t="e">
        <f t="shared" ca="1" si="115"/>
        <v>#REF!</v>
      </c>
      <c r="AH422" s="128" t="e">
        <f t="shared" ca="1" si="122"/>
        <v>#REF!</v>
      </c>
    </row>
    <row r="423" spans="4:34">
      <c r="D423">
        <v>416</v>
      </c>
      <c r="E423" s="6">
        <f t="shared" ca="1" si="107"/>
        <v>40118</v>
      </c>
      <c r="F423" s="7">
        <f t="shared" ca="1" si="116"/>
        <v>0</v>
      </c>
      <c r="G423" s="125">
        <f t="shared" ca="1" si="108"/>
        <v>0</v>
      </c>
      <c r="H423" s="125">
        <f ca="1">IF(F423=1,F423*$B$10/MIN(12,'Simulador - 3º Pilar'!$E$88),0)</f>
        <v>0</v>
      </c>
      <c r="I423" s="128">
        <f t="shared" ca="1" si="109"/>
        <v>0</v>
      </c>
      <c r="J423" s="494">
        <f t="shared" ca="1" si="110"/>
        <v>0</v>
      </c>
      <c r="K423" s="126">
        <f t="shared" ca="1" si="111"/>
        <v>0</v>
      </c>
      <c r="L423" s="126">
        <f t="shared" ca="1" si="123"/>
        <v>0</v>
      </c>
      <c r="P423">
        <v>416</v>
      </c>
      <c r="Q423" s="6">
        <f t="shared" ca="1" si="112"/>
        <v>40118</v>
      </c>
      <c r="R423" s="7" t="e">
        <f t="shared" ca="1" si="117"/>
        <v>#REF!</v>
      </c>
      <c r="S423" s="125" t="e">
        <f t="shared" ca="1" si="118"/>
        <v>#REF!</v>
      </c>
      <c r="T423" s="125" t="e">
        <f t="shared" ca="1" si="113"/>
        <v>#REF!</v>
      </c>
      <c r="U423" s="128" t="e">
        <f t="shared" ca="1" si="119"/>
        <v>#REF!</v>
      </c>
      <c r="AC423">
        <v>416</v>
      </c>
      <c r="AD423" s="6">
        <f t="shared" ca="1" si="114"/>
        <v>40118</v>
      </c>
      <c r="AE423" s="7" t="e">
        <f t="shared" ca="1" si="120"/>
        <v>#REF!</v>
      </c>
      <c r="AF423" s="125" t="e">
        <f t="shared" ca="1" si="121"/>
        <v>#REF!</v>
      </c>
      <c r="AG423" s="125" t="e">
        <f t="shared" ca="1" si="115"/>
        <v>#REF!</v>
      </c>
      <c r="AH423" s="128" t="e">
        <f t="shared" ca="1" si="122"/>
        <v>#REF!</v>
      </c>
    </row>
    <row r="424" spans="4:34">
      <c r="D424">
        <v>417</v>
      </c>
      <c r="E424" s="6">
        <f t="shared" ca="1" si="107"/>
        <v>40087</v>
      </c>
      <c r="F424" s="7">
        <f t="shared" ca="1" si="116"/>
        <v>0</v>
      </c>
      <c r="G424" s="125">
        <f t="shared" ca="1" si="108"/>
        <v>0</v>
      </c>
      <c r="H424" s="125">
        <f ca="1">IF(F424=1,F424*$B$10/MIN(12,'Simulador - 3º Pilar'!$E$88),0)</f>
        <v>0</v>
      </c>
      <c r="I424" s="128">
        <f t="shared" ca="1" si="109"/>
        <v>0</v>
      </c>
      <c r="J424" s="494">
        <f t="shared" ca="1" si="110"/>
        <v>0</v>
      </c>
      <c r="K424" s="126">
        <f t="shared" ca="1" si="111"/>
        <v>0</v>
      </c>
      <c r="L424" s="126">
        <f t="shared" ca="1" si="123"/>
        <v>0</v>
      </c>
      <c r="P424">
        <v>417</v>
      </c>
      <c r="Q424" s="6">
        <f t="shared" ca="1" si="112"/>
        <v>40087</v>
      </c>
      <c r="R424" s="7" t="e">
        <f t="shared" ca="1" si="117"/>
        <v>#REF!</v>
      </c>
      <c r="S424" s="125" t="e">
        <f t="shared" ca="1" si="118"/>
        <v>#REF!</v>
      </c>
      <c r="T424" s="125" t="e">
        <f t="shared" ca="1" si="113"/>
        <v>#REF!</v>
      </c>
      <c r="U424" s="128" t="e">
        <f t="shared" ca="1" si="119"/>
        <v>#REF!</v>
      </c>
      <c r="AC424">
        <v>417</v>
      </c>
      <c r="AD424" s="6">
        <f t="shared" ca="1" si="114"/>
        <v>40087</v>
      </c>
      <c r="AE424" s="7" t="e">
        <f t="shared" ca="1" si="120"/>
        <v>#REF!</v>
      </c>
      <c r="AF424" s="125" t="e">
        <f t="shared" ca="1" si="121"/>
        <v>#REF!</v>
      </c>
      <c r="AG424" s="125" t="e">
        <f t="shared" ca="1" si="115"/>
        <v>#REF!</v>
      </c>
      <c r="AH424" s="128" t="e">
        <f t="shared" ca="1" si="122"/>
        <v>#REF!</v>
      </c>
    </row>
    <row r="425" spans="4:34">
      <c r="D425">
        <v>418</v>
      </c>
      <c r="E425" s="6">
        <f t="shared" ca="1" si="107"/>
        <v>40057</v>
      </c>
      <c r="F425" s="7">
        <f t="shared" ca="1" si="116"/>
        <v>0</v>
      </c>
      <c r="G425" s="125">
        <f t="shared" ca="1" si="108"/>
        <v>0</v>
      </c>
      <c r="H425" s="125">
        <f ca="1">IF(F425=1,F425*$B$10/MIN(12,'Simulador - 3º Pilar'!$E$88),0)</f>
        <v>0</v>
      </c>
      <c r="I425" s="128">
        <f t="shared" ca="1" si="109"/>
        <v>0</v>
      </c>
      <c r="J425" s="494">
        <f t="shared" ca="1" si="110"/>
        <v>0</v>
      </c>
      <c r="K425" s="126">
        <f t="shared" ca="1" si="111"/>
        <v>0</v>
      </c>
      <c r="L425" s="126">
        <f t="shared" ca="1" si="123"/>
        <v>0</v>
      </c>
      <c r="P425">
        <v>418</v>
      </c>
      <c r="Q425" s="6">
        <f t="shared" ca="1" si="112"/>
        <v>40057</v>
      </c>
      <c r="R425" s="7" t="e">
        <f t="shared" ca="1" si="117"/>
        <v>#REF!</v>
      </c>
      <c r="S425" s="125" t="e">
        <f t="shared" ca="1" si="118"/>
        <v>#REF!</v>
      </c>
      <c r="T425" s="125" t="e">
        <f t="shared" ca="1" si="113"/>
        <v>#REF!</v>
      </c>
      <c r="U425" s="128" t="e">
        <f t="shared" ca="1" si="119"/>
        <v>#REF!</v>
      </c>
      <c r="AC425">
        <v>418</v>
      </c>
      <c r="AD425" s="6">
        <f t="shared" ca="1" si="114"/>
        <v>40057</v>
      </c>
      <c r="AE425" s="7" t="e">
        <f t="shared" ca="1" si="120"/>
        <v>#REF!</v>
      </c>
      <c r="AF425" s="125" t="e">
        <f t="shared" ca="1" si="121"/>
        <v>#REF!</v>
      </c>
      <c r="AG425" s="125" t="e">
        <f t="shared" ca="1" si="115"/>
        <v>#REF!</v>
      </c>
      <c r="AH425" s="128" t="e">
        <f t="shared" ca="1" si="122"/>
        <v>#REF!</v>
      </c>
    </row>
    <row r="426" spans="4:34">
      <c r="D426">
        <v>419</v>
      </c>
      <c r="E426" s="6">
        <f t="shared" ca="1" si="107"/>
        <v>40026</v>
      </c>
      <c r="F426" s="7">
        <f t="shared" ca="1" si="116"/>
        <v>0</v>
      </c>
      <c r="G426" s="125">
        <f t="shared" ca="1" si="108"/>
        <v>0</v>
      </c>
      <c r="H426" s="125">
        <f ca="1">IF(F426=1,F426*$B$10/MIN(12,'Simulador - 3º Pilar'!$E$88),0)</f>
        <v>0</v>
      </c>
      <c r="I426" s="128">
        <f t="shared" ca="1" si="109"/>
        <v>0</v>
      </c>
      <c r="J426" s="494">
        <f t="shared" ca="1" si="110"/>
        <v>0</v>
      </c>
      <c r="K426" s="126">
        <f t="shared" ca="1" si="111"/>
        <v>0</v>
      </c>
      <c r="L426" s="126">
        <f t="shared" ca="1" si="123"/>
        <v>0</v>
      </c>
      <c r="P426">
        <v>419</v>
      </c>
      <c r="Q426" s="6">
        <f t="shared" ca="1" si="112"/>
        <v>40026</v>
      </c>
      <c r="R426" s="7" t="e">
        <f t="shared" ca="1" si="117"/>
        <v>#REF!</v>
      </c>
      <c r="S426" s="125" t="e">
        <f t="shared" ca="1" si="118"/>
        <v>#REF!</v>
      </c>
      <c r="T426" s="125" t="e">
        <f t="shared" ca="1" si="113"/>
        <v>#REF!</v>
      </c>
      <c r="U426" s="128" t="e">
        <f t="shared" ca="1" si="119"/>
        <v>#REF!</v>
      </c>
      <c r="AC426">
        <v>419</v>
      </c>
      <c r="AD426" s="6">
        <f t="shared" ca="1" si="114"/>
        <v>40026</v>
      </c>
      <c r="AE426" s="7" t="e">
        <f t="shared" ca="1" si="120"/>
        <v>#REF!</v>
      </c>
      <c r="AF426" s="125" t="e">
        <f t="shared" ca="1" si="121"/>
        <v>#REF!</v>
      </c>
      <c r="AG426" s="125" t="e">
        <f t="shared" ca="1" si="115"/>
        <v>#REF!</v>
      </c>
      <c r="AH426" s="128" t="e">
        <f t="shared" ca="1" si="122"/>
        <v>#REF!</v>
      </c>
    </row>
    <row r="427" spans="4:34">
      <c r="D427">
        <v>420</v>
      </c>
      <c r="E427" s="6">
        <f t="shared" ca="1" si="107"/>
        <v>39995</v>
      </c>
      <c r="F427" s="7">
        <f t="shared" ca="1" si="116"/>
        <v>0</v>
      </c>
      <c r="G427" s="125">
        <f t="shared" ca="1" si="108"/>
        <v>0</v>
      </c>
      <c r="H427" s="125">
        <f ca="1">IF(F427=1,F427*$B$10/MIN(12,'Simulador - 3º Pilar'!$E$88),0)</f>
        <v>0</v>
      </c>
      <c r="I427" s="128">
        <f t="shared" ca="1" si="109"/>
        <v>0</v>
      </c>
      <c r="J427" s="494">
        <f t="shared" ca="1" si="110"/>
        <v>0</v>
      </c>
      <c r="K427" s="126">
        <f t="shared" ca="1" si="111"/>
        <v>0</v>
      </c>
      <c r="L427" s="126">
        <f t="shared" ca="1" si="123"/>
        <v>0</v>
      </c>
      <c r="P427">
        <v>420</v>
      </c>
      <c r="Q427" s="6">
        <f t="shared" ca="1" si="112"/>
        <v>39995</v>
      </c>
      <c r="R427" s="7" t="e">
        <f t="shared" ca="1" si="117"/>
        <v>#REF!</v>
      </c>
      <c r="S427" s="125" t="e">
        <f t="shared" ca="1" si="118"/>
        <v>#REF!</v>
      </c>
      <c r="T427" s="125" t="e">
        <f t="shared" ca="1" si="113"/>
        <v>#REF!</v>
      </c>
      <c r="U427" s="128" t="e">
        <f t="shared" ca="1" si="119"/>
        <v>#REF!</v>
      </c>
      <c r="AC427">
        <v>420</v>
      </c>
      <c r="AD427" s="6">
        <f t="shared" ca="1" si="114"/>
        <v>39995</v>
      </c>
      <c r="AE427" s="7" t="e">
        <f t="shared" ca="1" si="120"/>
        <v>#REF!</v>
      </c>
      <c r="AF427" s="125" t="e">
        <f t="shared" ca="1" si="121"/>
        <v>#REF!</v>
      </c>
      <c r="AG427" s="125" t="e">
        <f t="shared" ca="1" si="115"/>
        <v>#REF!</v>
      </c>
      <c r="AH427" s="128" t="e">
        <f t="shared" ca="1" si="122"/>
        <v>#REF!</v>
      </c>
    </row>
    <row r="428" spans="4:34">
      <c r="D428">
        <v>421</v>
      </c>
      <c r="E428" s="6">
        <f t="shared" ca="1" si="107"/>
        <v>39965</v>
      </c>
      <c r="F428" s="7">
        <f t="shared" ca="1" si="116"/>
        <v>0</v>
      </c>
      <c r="G428" s="125">
        <f t="shared" ca="1" si="108"/>
        <v>0</v>
      </c>
      <c r="H428" s="125">
        <f ca="1">IF(F428=1,F428*$B$10/MIN(12,'Simulador - 3º Pilar'!$E$88),0)</f>
        <v>0</v>
      </c>
      <c r="I428" s="128">
        <f t="shared" ca="1" si="109"/>
        <v>0</v>
      </c>
      <c r="J428" s="494">
        <f t="shared" ca="1" si="110"/>
        <v>0</v>
      </c>
      <c r="K428" s="126">
        <f t="shared" ca="1" si="111"/>
        <v>0</v>
      </c>
      <c r="L428" s="126">
        <f t="shared" ca="1" si="123"/>
        <v>0</v>
      </c>
      <c r="P428">
        <v>421</v>
      </c>
      <c r="Q428" s="6">
        <f t="shared" ca="1" si="112"/>
        <v>39965</v>
      </c>
      <c r="R428" s="7" t="e">
        <f t="shared" ca="1" si="117"/>
        <v>#REF!</v>
      </c>
      <c r="S428" s="125" t="e">
        <f t="shared" ca="1" si="118"/>
        <v>#REF!</v>
      </c>
      <c r="T428" s="125" t="e">
        <f t="shared" ca="1" si="113"/>
        <v>#REF!</v>
      </c>
      <c r="U428" s="128" t="e">
        <f t="shared" ca="1" si="119"/>
        <v>#REF!</v>
      </c>
      <c r="AC428">
        <v>421</v>
      </c>
      <c r="AD428" s="6">
        <f t="shared" ca="1" si="114"/>
        <v>39965</v>
      </c>
      <c r="AE428" s="7" t="e">
        <f t="shared" ca="1" si="120"/>
        <v>#REF!</v>
      </c>
      <c r="AF428" s="125" t="e">
        <f t="shared" ca="1" si="121"/>
        <v>#REF!</v>
      </c>
      <c r="AG428" s="125" t="e">
        <f t="shared" ca="1" si="115"/>
        <v>#REF!</v>
      </c>
      <c r="AH428" s="128" t="e">
        <f t="shared" ca="1" si="122"/>
        <v>#REF!</v>
      </c>
    </row>
    <row r="429" spans="4:34">
      <c r="D429">
        <v>422</v>
      </c>
      <c r="E429" s="6">
        <f t="shared" ca="1" si="107"/>
        <v>39934</v>
      </c>
      <c r="F429" s="7">
        <f t="shared" ca="1" si="116"/>
        <v>0</v>
      </c>
      <c r="G429" s="125">
        <f t="shared" ca="1" si="108"/>
        <v>0</v>
      </c>
      <c r="H429" s="125">
        <f ca="1">IF(F429=1,F429*$B$10/MIN(12,'Simulador - 3º Pilar'!$E$88),0)</f>
        <v>0</v>
      </c>
      <c r="I429" s="128">
        <f t="shared" ca="1" si="109"/>
        <v>0</v>
      </c>
      <c r="J429" s="494">
        <f t="shared" ca="1" si="110"/>
        <v>0</v>
      </c>
      <c r="K429" s="126">
        <f t="shared" ca="1" si="111"/>
        <v>0</v>
      </c>
      <c r="L429" s="126">
        <f t="shared" ca="1" si="123"/>
        <v>0</v>
      </c>
      <c r="P429">
        <v>422</v>
      </c>
      <c r="Q429" s="6">
        <f t="shared" ca="1" si="112"/>
        <v>39934</v>
      </c>
      <c r="R429" s="7" t="e">
        <f t="shared" ca="1" si="117"/>
        <v>#REF!</v>
      </c>
      <c r="S429" s="125" t="e">
        <f t="shared" ca="1" si="118"/>
        <v>#REF!</v>
      </c>
      <c r="T429" s="125" t="e">
        <f t="shared" ca="1" si="113"/>
        <v>#REF!</v>
      </c>
      <c r="U429" s="128" t="e">
        <f t="shared" ca="1" si="119"/>
        <v>#REF!</v>
      </c>
      <c r="AC429">
        <v>422</v>
      </c>
      <c r="AD429" s="6">
        <f t="shared" ca="1" si="114"/>
        <v>39934</v>
      </c>
      <c r="AE429" s="7" t="e">
        <f t="shared" ca="1" si="120"/>
        <v>#REF!</v>
      </c>
      <c r="AF429" s="125" t="e">
        <f t="shared" ca="1" si="121"/>
        <v>#REF!</v>
      </c>
      <c r="AG429" s="125" t="e">
        <f t="shared" ca="1" si="115"/>
        <v>#REF!</v>
      </c>
      <c r="AH429" s="128" t="e">
        <f t="shared" ca="1" si="122"/>
        <v>#REF!</v>
      </c>
    </row>
    <row r="430" spans="4:34">
      <c r="D430">
        <v>423</v>
      </c>
      <c r="E430" s="6">
        <f t="shared" ca="1" si="107"/>
        <v>39904</v>
      </c>
      <c r="F430" s="7">
        <f t="shared" ca="1" si="116"/>
        <v>0</v>
      </c>
      <c r="G430" s="125">
        <f t="shared" ca="1" si="108"/>
        <v>0</v>
      </c>
      <c r="H430" s="125">
        <f ca="1">IF(F430=1,F430*$B$10/MIN(12,'Simulador - 3º Pilar'!$E$88),0)</f>
        <v>0</v>
      </c>
      <c r="I430" s="128">
        <f t="shared" ca="1" si="109"/>
        <v>0</v>
      </c>
      <c r="J430" s="494">
        <f t="shared" ca="1" si="110"/>
        <v>0</v>
      </c>
      <c r="K430" s="126">
        <f t="shared" ca="1" si="111"/>
        <v>0</v>
      </c>
      <c r="L430" s="126">
        <f t="shared" ca="1" si="123"/>
        <v>0</v>
      </c>
      <c r="P430">
        <v>423</v>
      </c>
      <c r="Q430" s="6">
        <f t="shared" ca="1" si="112"/>
        <v>39904</v>
      </c>
      <c r="R430" s="7" t="e">
        <f t="shared" ca="1" si="117"/>
        <v>#REF!</v>
      </c>
      <c r="S430" s="125" t="e">
        <f t="shared" ca="1" si="118"/>
        <v>#REF!</v>
      </c>
      <c r="T430" s="125" t="e">
        <f t="shared" ca="1" si="113"/>
        <v>#REF!</v>
      </c>
      <c r="U430" s="128" t="e">
        <f t="shared" ca="1" si="119"/>
        <v>#REF!</v>
      </c>
      <c r="AC430">
        <v>423</v>
      </c>
      <c r="AD430" s="6">
        <f t="shared" ca="1" si="114"/>
        <v>39904</v>
      </c>
      <c r="AE430" s="7" t="e">
        <f t="shared" ca="1" si="120"/>
        <v>#REF!</v>
      </c>
      <c r="AF430" s="125" t="e">
        <f t="shared" ca="1" si="121"/>
        <v>#REF!</v>
      </c>
      <c r="AG430" s="125" t="e">
        <f t="shared" ca="1" si="115"/>
        <v>#REF!</v>
      </c>
      <c r="AH430" s="128" t="e">
        <f t="shared" ca="1" si="122"/>
        <v>#REF!</v>
      </c>
    </row>
    <row r="431" spans="4:34">
      <c r="D431">
        <v>424</v>
      </c>
      <c r="E431" s="6">
        <f t="shared" ca="1" si="107"/>
        <v>39873</v>
      </c>
      <c r="F431" s="7">
        <f t="shared" ca="1" si="116"/>
        <v>0</v>
      </c>
      <c r="G431" s="125">
        <f t="shared" ca="1" si="108"/>
        <v>0</v>
      </c>
      <c r="H431" s="125">
        <f ca="1">IF(F431=1,F431*$B$10/MIN(12,'Simulador - 3º Pilar'!$E$88),0)</f>
        <v>0</v>
      </c>
      <c r="I431" s="128">
        <f t="shared" ca="1" si="109"/>
        <v>0</v>
      </c>
      <c r="J431" s="494">
        <f t="shared" ca="1" si="110"/>
        <v>0</v>
      </c>
      <c r="K431" s="126">
        <f t="shared" ca="1" si="111"/>
        <v>0</v>
      </c>
      <c r="L431" s="126">
        <f t="shared" ca="1" si="123"/>
        <v>0</v>
      </c>
      <c r="P431">
        <v>424</v>
      </c>
      <c r="Q431" s="6">
        <f t="shared" ca="1" si="112"/>
        <v>39873</v>
      </c>
      <c r="R431" s="7" t="e">
        <f t="shared" ca="1" si="117"/>
        <v>#REF!</v>
      </c>
      <c r="S431" s="125" t="e">
        <f t="shared" ca="1" si="118"/>
        <v>#REF!</v>
      </c>
      <c r="T431" s="125" t="e">
        <f t="shared" ca="1" si="113"/>
        <v>#REF!</v>
      </c>
      <c r="U431" s="128" t="e">
        <f t="shared" ca="1" si="119"/>
        <v>#REF!</v>
      </c>
      <c r="AC431">
        <v>424</v>
      </c>
      <c r="AD431" s="6">
        <f t="shared" ca="1" si="114"/>
        <v>39873</v>
      </c>
      <c r="AE431" s="7" t="e">
        <f t="shared" ca="1" si="120"/>
        <v>#REF!</v>
      </c>
      <c r="AF431" s="125" t="e">
        <f t="shared" ca="1" si="121"/>
        <v>#REF!</v>
      </c>
      <c r="AG431" s="125" t="e">
        <f t="shared" ca="1" si="115"/>
        <v>#REF!</v>
      </c>
      <c r="AH431" s="128" t="e">
        <f t="shared" ca="1" si="122"/>
        <v>#REF!</v>
      </c>
    </row>
    <row r="432" spans="4:34">
      <c r="D432">
        <v>425</v>
      </c>
      <c r="E432" s="6">
        <f t="shared" ca="1" si="107"/>
        <v>39845</v>
      </c>
      <c r="F432" s="7">
        <f t="shared" ca="1" si="116"/>
        <v>0</v>
      </c>
      <c r="G432" s="125">
        <f t="shared" ca="1" si="108"/>
        <v>0</v>
      </c>
      <c r="H432" s="125">
        <f ca="1">IF(F432=1,F432*$B$10/MIN(12,'Simulador - 3º Pilar'!$E$88),0)</f>
        <v>0</v>
      </c>
      <c r="I432" s="128">
        <f t="shared" ca="1" si="109"/>
        <v>0</v>
      </c>
      <c r="J432" s="494">
        <f t="shared" ca="1" si="110"/>
        <v>0</v>
      </c>
      <c r="K432" s="126">
        <f t="shared" ca="1" si="111"/>
        <v>0</v>
      </c>
      <c r="L432" s="126">
        <f t="shared" ca="1" si="123"/>
        <v>0</v>
      </c>
      <c r="P432">
        <v>425</v>
      </c>
      <c r="Q432" s="6">
        <f t="shared" ca="1" si="112"/>
        <v>39845</v>
      </c>
      <c r="R432" s="7" t="e">
        <f t="shared" ca="1" si="117"/>
        <v>#REF!</v>
      </c>
      <c r="S432" s="125" t="e">
        <f t="shared" ca="1" si="118"/>
        <v>#REF!</v>
      </c>
      <c r="T432" s="125" t="e">
        <f t="shared" ca="1" si="113"/>
        <v>#REF!</v>
      </c>
      <c r="U432" s="128" t="e">
        <f t="shared" ca="1" si="119"/>
        <v>#REF!</v>
      </c>
      <c r="AC432">
        <v>425</v>
      </c>
      <c r="AD432" s="6">
        <f t="shared" ca="1" si="114"/>
        <v>39845</v>
      </c>
      <c r="AE432" s="7" t="e">
        <f t="shared" ca="1" si="120"/>
        <v>#REF!</v>
      </c>
      <c r="AF432" s="125" t="e">
        <f t="shared" ca="1" si="121"/>
        <v>#REF!</v>
      </c>
      <c r="AG432" s="125" t="e">
        <f t="shared" ca="1" si="115"/>
        <v>#REF!</v>
      </c>
      <c r="AH432" s="128" t="e">
        <f t="shared" ca="1" si="122"/>
        <v>#REF!</v>
      </c>
    </row>
    <row r="433" spans="4:34">
      <c r="D433">
        <v>426</v>
      </c>
      <c r="E433" s="6">
        <f t="shared" ca="1" si="107"/>
        <v>39814</v>
      </c>
      <c r="F433" s="7">
        <f t="shared" ca="1" si="116"/>
        <v>0</v>
      </c>
      <c r="G433" s="125">
        <f t="shared" ca="1" si="108"/>
        <v>0</v>
      </c>
      <c r="H433" s="125">
        <f ca="1">IF(F433=1,F433*$B$10/MIN(12,'Simulador - 3º Pilar'!$E$88),0)</f>
        <v>0</v>
      </c>
      <c r="I433" s="128">
        <f t="shared" ca="1" si="109"/>
        <v>0</v>
      </c>
      <c r="J433" s="494">
        <f t="shared" ca="1" si="110"/>
        <v>0</v>
      </c>
      <c r="K433" s="126">
        <f t="shared" ca="1" si="111"/>
        <v>0</v>
      </c>
      <c r="L433" s="126">
        <f t="shared" ca="1" si="123"/>
        <v>0</v>
      </c>
      <c r="P433">
        <v>426</v>
      </c>
      <c r="Q433" s="6">
        <f t="shared" ca="1" si="112"/>
        <v>39814</v>
      </c>
      <c r="R433" s="7" t="e">
        <f t="shared" ca="1" si="117"/>
        <v>#REF!</v>
      </c>
      <c r="S433" s="125" t="e">
        <f t="shared" ca="1" si="118"/>
        <v>#REF!</v>
      </c>
      <c r="T433" s="125" t="e">
        <f t="shared" ca="1" si="113"/>
        <v>#REF!</v>
      </c>
      <c r="U433" s="128" t="e">
        <f t="shared" ca="1" si="119"/>
        <v>#REF!</v>
      </c>
      <c r="AC433">
        <v>426</v>
      </c>
      <c r="AD433" s="6">
        <f t="shared" ca="1" si="114"/>
        <v>39814</v>
      </c>
      <c r="AE433" s="7" t="e">
        <f t="shared" ca="1" si="120"/>
        <v>#REF!</v>
      </c>
      <c r="AF433" s="125" t="e">
        <f t="shared" ca="1" si="121"/>
        <v>#REF!</v>
      </c>
      <c r="AG433" s="125" t="e">
        <f t="shared" ca="1" si="115"/>
        <v>#REF!</v>
      </c>
      <c r="AH433" s="128" t="e">
        <f t="shared" ca="1" si="122"/>
        <v>#REF!</v>
      </c>
    </row>
    <row r="434" spans="4:34">
      <c r="D434">
        <v>427</v>
      </c>
      <c r="E434" s="6">
        <f t="shared" ca="1" si="107"/>
        <v>39783</v>
      </c>
      <c r="F434" s="7">
        <f t="shared" ca="1" si="116"/>
        <v>0</v>
      </c>
      <c r="G434" s="125">
        <f t="shared" ca="1" si="108"/>
        <v>0</v>
      </c>
      <c r="H434" s="125">
        <f ca="1">IF(F434=1,F434*$B$10/MIN(12,'Simulador - 3º Pilar'!$E$88),0)</f>
        <v>0</v>
      </c>
      <c r="I434" s="128">
        <f t="shared" ca="1" si="109"/>
        <v>0</v>
      </c>
      <c r="J434" s="494">
        <f t="shared" ca="1" si="110"/>
        <v>0</v>
      </c>
      <c r="K434" s="126">
        <f t="shared" ca="1" si="111"/>
        <v>0</v>
      </c>
      <c r="L434" s="126">
        <f t="shared" ca="1" si="123"/>
        <v>0</v>
      </c>
      <c r="P434">
        <v>427</v>
      </c>
      <c r="Q434" s="6">
        <f t="shared" ca="1" si="112"/>
        <v>39783</v>
      </c>
      <c r="R434" s="7" t="e">
        <f t="shared" ca="1" si="117"/>
        <v>#REF!</v>
      </c>
      <c r="S434" s="125" t="e">
        <f t="shared" ca="1" si="118"/>
        <v>#REF!</v>
      </c>
      <c r="T434" s="125" t="e">
        <f t="shared" ca="1" si="113"/>
        <v>#REF!</v>
      </c>
      <c r="U434" s="128" t="e">
        <f t="shared" ca="1" si="119"/>
        <v>#REF!</v>
      </c>
      <c r="AC434">
        <v>427</v>
      </c>
      <c r="AD434" s="6">
        <f t="shared" ca="1" si="114"/>
        <v>39783</v>
      </c>
      <c r="AE434" s="7" t="e">
        <f t="shared" ca="1" si="120"/>
        <v>#REF!</v>
      </c>
      <c r="AF434" s="125" t="e">
        <f t="shared" ca="1" si="121"/>
        <v>#REF!</v>
      </c>
      <c r="AG434" s="125" t="e">
        <f t="shared" ca="1" si="115"/>
        <v>#REF!</v>
      </c>
      <c r="AH434" s="128" t="e">
        <f t="shared" ca="1" si="122"/>
        <v>#REF!</v>
      </c>
    </row>
    <row r="435" spans="4:34">
      <c r="D435">
        <v>428</v>
      </c>
      <c r="E435" s="6">
        <f t="shared" ca="1" si="107"/>
        <v>39753</v>
      </c>
      <c r="F435" s="7">
        <f t="shared" ca="1" si="116"/>
        <v>0</v>
      </c>
      <c r="G435" s="125">
        <f t="shared" ca="1" si="108"/>
        <v>0</v>
      </c>
      <c r="H435" s="125">
        <f ca="1">IF(F435=1,F435*$B$10/MIN(12,'Simulador - 3º Pilar'!$E$88),0)</f>
        <v>0</v>
      </c>
      <c r="I435" s="128">
        <f t="shared" ca="1" si="109"/>
        <v>0</v>
      </c>
      <c r="J435" s="494">
        <f t="shared" ca="1" si="110"/>
        <v>0</v>
      </c>
      <c r="K435" s="126">
        <f t="shared" ca="1" si="111"/>
        <v>0</v>
      </c>
      <c r="L435" s="126">
        <f t="shared" ca="1" si="123"/>
        <v>0</v>
      </c>
      <c r="P435">
        <v>428</v>
      </c>
      <c r="Q435" s="6">
        <f t="shared" ca="1" si="112"/>
        <v>39753</v>
      </c>
      <c r="R435" s="7" t="e">
        <f t="shared" ca="1" si="117"/>
        <v>#REF!</v>
      </c>
      <c r="S435" s="125" t="e">
        <f t="shared" ca="1" si="118"/>
        <v>#REF!</v>
      </c>
      <c r="T435" s="125" t="e">
        <f t="shared" ca="1" si="113"/>
        <v>#REF!</v>
      </c>
      <c r="U435" s="128" t="e">
        <f t="shared" ca="1" si="119"/>
        <v>#REF!</v>
      </c>
      <c r="AC435">
        <v>428</v>
      </c>
      <c r="AD435" s="6">
        <f t="shared" ca="1" si="114"/>
        <v>39753</v>
      </c>
      <c r="AE435" s="7" t="e">
        <f t="shared" ca="1" si="120"/>
        <v>#REF!</v>
      </c>
      <c r="AF435" s="125" t="e">
        <f t="shared" ca="1" si="121"/>
        <v>#REF!</v>
      </c>
      <c r="AG435" s="125" t="e">
        <f t="shared" ca="1" si="115"/>
        <v>#REF!</v>
      </c>
      <c r="AH435" s="128" t="e">
        <f t="shared" ca="1" si="122"/>
        <v>#REF!</v>
      </c>
    </row>
    <row r="436" spans="4:34">
      <c r="D436">
        <v>429</v>
      </c>
      <c r="E436" s="6">
        <f t="shared" ca="1" si="107"/>
        <v>39722</v>
      </c>
      <c r="F436" s="7">
        <f t="shared" ca="1" si="116"/>
        <v>0</v>
      </c>
      <c r="G436" s="125">
        <f t="shared" ca="1" si="108"/>
        <v>0</v>
      </c>
      <c r="H436" s="125">
        <f ca="1">IF(F436=1,F436*$B$10/MIN(12,'Simulador - 3º Pilar'!$E$88),0)</f>
        <v>0</v>
      </c>
      <c r="I436" s="128">
        <f t="shared" ca="1" si="109"/>
        <v>0</v>
      </c>
      <c r="J436" s="494">
        <f t="shared" ca="1" si="110"/>
        <v>0</v>
      </c>
      <c r="K436" s="126">
        <f t="shared" ca="1" si="111"/>
        <v>0</v>
      </c>
      <c r="L436" s="126">
        <f t="shared" ca="1" si="123"/>
        <v>0</v>
      </c>
      <c r="P436">
        <v>429</v>
      </c>
      <c r="Q436" s="6">
        <f t="shared" ca="1" si="112"/>
        <v>39722</v>
      </c>
      <c r="R436" s="7" t="e">
        <f t="shared" ca="1" si="117"/>
        <v>#REF!</v>
      </c>
      <c r="S436" s="125" t="e">
        <f t="shared" ca="1" si="118"/>
        <v>#REF!</v>
      </c>
      <c r="T436" s="125" t="e">
        <f t="shared" ca="1" si="113"/>
        <v>#REF!</v>
      </c>
      <c r="U436" s="128" t="e">
        <f t="shared" ca="1" si="119"/>
        <v>#REF!</v>
      </c>
      <c r="AC436">
        <v>429</v>
      </c>
      <c r="AD436" s="6">
        <f t="shared" ca="1" si="114"/>
        <v>39722</v>
      </c>
      <c r="AE436" s="7" t="e">
        <f t="shared" ca="1" si="120"/>
        <v>#REF!</v>
      </c>
      <c r="AF436" s="125" t="e">
        <f t="shared" ca="1" si="121"/>
        <v>#REF!</v>
      </c>
      <c r="AG436" s="125" t="e">
        <f t="shared" ca="1" si="115"/>
        <v>#REF!</v>
      </c>
      <c r="AH436" s="128" t="e">
        <f t="shared" ca="1" si="122"/>
        <v>#REF!</v>
      </c>
    </row>
    <row r="437" spans="4:34">
      <c r="D437">
        <v>430</v>
      </c>
      <c r="E437" s="6">
        <f t="shared" ca="1" si="107"/>
        <v>39692</v>
      </c>
      <c r="F437" s="7">
        <f t="shared" ca="1" si="116"/>
        <v>0</v>
      </c>
      <c r="G437" s="125">
        <f t="shared" ca="1" si="108"/>
        <v>0</v>
      </c>
      <c r="H437" s="125">
        <f ca="1">IF(F437=1,F437*$B$10/MIN(12,'Simulador - 3º Pilar'!$E$88),0)</f>
        <v>0</v>
      </c>
      <c r="I437" s="128">
        <f t="shared" ca="1" si="109"/>
        <v>0</v>
      </c>
      <c r="J437" s="494">
        <f t="shared" ca="1" si="110"/>
        <v>0</v>
      </c>
      <c r="K437" s="126">
        <f t="shared" ca="1" si="111"/>
        <v>0</v>
      </c>
      <c r="L437" s="126">
        <f t="shared" ca="1" si="123"/>
        <v>0</v>
      </c>
      <c r="P437">
        <v>430</v>
      </c>
      <c r="Q437" s="6">
        <f t="shared" ca="1" si="112"/>
        <v>39692</v>
      </c>
      <c r="R437" s="7" t="e">
        <f t="shared" ca="1" si="117"/>
        <v>#REF!</v>
      </c>
      <c r="S437" s="125" t="e">
        <f t="shared" ca="1" si="118"/>
        <v>#REF!</v>
      </c>
      <c r="T437" s="125" t="e">
        <f t="shared" ca="1" si="113"/>
        <v>#REF!</v>
      </c>
      <c r="U437" s="128" t="e">
        <f t="shared" ca="1" si="119"/>
        <v>#REF!</v>
      </c>
      <c r="AC437">
        <v>430</v>
      </c>
      <c r="AD437" s="6">
        <f t="shared" ca="1" si="114"/>
        <v>39692</v>
      </c>
      <c r="AE437" s="7" t="e">
        <f t="shared" ca="1" si="120"/>
        <v>#REF!</v>
      </c>
      <c r="AF437" s="125" t="e">
        <f t="shared" ca="1" si="121"/>
        <v>#REF!</v>
      </c>
      <c r="AG437" s="125" t="e">
        <f t="shared" ca="1" si="115"/>
        <v>#REF!</v>
      </c>
      <c r="AH437" s="128" t="e">
        <f t="shared" ca="1" si="122"/>
        <v>#REF!</v>
      </c>
    </row>
    <row r="438" spans="4:34">
      <c r="D438">
        <v>431</v>
      </c>
      <c r="E438" s="6">
        <f t="shared" ca="1" si="107"/>
        <v>39661</v>
      </c>
      <c r="F438" s="7">
        <f t="shared" ca="1" si="116"/>
        <v>0</v>
      </c>
      <c r="G438" s="125">
        <f t="shared" ca="1" si="108"/>
        <v>0</v>
      </c>
      <c r="H438" s="125">
        <f ca="1">IF(F438=1,F438*$B$10/MIN(12,'Simulador - 3º Pilar'!$E$88),0)</f>
        <v>0</v>
      </c>
      <c r="I438" s="128">
        <f t="shared" ca="1" si="109"/>
        <v>0</v>
      </c>
      <c r="J438" s="494">
        <f t="shared" ca="1" si="110"/>
        <v>0</v>
      </c>
      <c r="K438" s="126">
        <f t="shared" ca="1" si="111"/>
        <v>0</v>
      </c>
      <c r="L438" s="126">
        <f t="shared" ca="1" si="123"/>
        <v>0</v>
      </c>
      <c r="P438">
        <v>431</v>
      </c>
      <c r="Q438" s="6">
        <f t="shared" ca="1" si="112"/>
        <v>39661</v>
      </c>
      <c r="R438" s="7" t="e">
        <f t="shared" ca="1" si="117"/>
        <v>#REF!</v>
      </c>
      <c r="S438" s="125" t="e">
        <f t="shared" ca="1" si="118"/>
        <v>#REF!</v>
      </c>
      <c r="T438" s="125" t="e">
        <f t="shared" ca="1" si="113"/>
        <v>#REF!</v>
      </c>
      <c r="U438" s="128" t="e">
        <f t="shared" ca="1" si="119"/>
        <v>#REF!</v>
      </c>
      <c r="AC438">
        <v>431</v>
      </c>
      <c r="AD438" s="6">
        <f t="shared" ca="1" si="114"/>
        <v>39661</v>
      </c>
      <c r="AE438" s="7" t="e">
        <f t="shared" ca="1" si="120"/>
        <v>#REF!</v>
      </c>
      <c r="AF438" s="125" t="e">
        <f t="shared" ca="1" si="121"/>
        <v>#REF!</v>
      </c>
      <c r="AG438" s="125" t="e">
        <f t="shared" ca="1" si="115"/>
        <v>#REF!</v>
      </c>
      <c r="AH438" s="128" t="e">
        <f t="shared" ca="1" si="122"/>
        <v>#REF!</v>
      </c>
    </row>
    <row r="439" spans="4:34">
      <c r="D439">
        <v>432</v>
      </c>
      <c r="E439" s="6">
        <f t="shared" ca="1" si="107"/>
        <v>39630</v>
      </c>
      <c r="F439" s="7">
        <f t="shared" ca="1" si="116"/>
        <v>0</v>
      </c>
      <c r="G439" s="125">
        <f t="shared" ca="1" si="108"/>
        <v>0</v>
      </c>
      <c r="H439" s="125">
        <f ca="1">IF(F439=1,F439*$B$10/MIN(12,'Simulador - 3º Pilar'!$E$88),0)</f>
        <v>0</v>
      </c>
      <c r="I439" s="128">
        <f t="shared" ca="1" si="109"/>
        <v>0</v>
      </c>
      <c r="J439" s="494">
        <f t="shared" ca="1" si="110"/>
        <v>0</v>
      </c>
      <c r="K439" s="126">
        <f t="shared" ca="1" si="111"/>
        <v>0</v>
      </c>
      <c r="L439" s="126">
        <f t="shared" ca="1" si="123"/>
        <v>0</v>
      </c>
      <c r="P439">
        <v>432</v>
      </c>
      <c r="Q439" s="6">
        <f t="shared" ca="1" si="112"/>
        <v>39630</v>
      </c>
      <c r="R439" s="7" t="e">
        <f t="shared" ca="1" si="117"/>
        <v>#REF!</v>
      </c>
      <c r="S439" s="125" t="e">
        <f t="shared" ca="1" si="118"/>
        <v>#REF!</v>
      </c>
      <c r="T439" s="125" t="e">
        <f t="shared" ca="1" si="113"/>
        <v>#REF!</v>
      </c>
      <c r="U439" s="128" t="e">
        <f t="shared" ca="1" si="119"/>
        <v>#REF!</v>
      </c>
      <c r="AC439">
        <v>432</v>
      </c>
      <c r="AD439" s="6">
        <f t="shared" ca="1" si="114"/>
        <v>39630</v>
      </c>
      <c r="AE439" s="7" t="e">
        <f t="shared" ca="1" si="120"/>
        <v>#REF!</v>
      </c>
      <c r="AF439" s="125" t="e">
        <f t="shared" ca="1" si="121"/>
        <v>#REF!</v>
      </c>
      <c r="AG439" s="125" t="e">
        <f t="shared" ca="1" si="115"/>
        <v>#REF!</v>
      </c>
      <c r="AH439" s="128" t="e">
        <f t="shared" ca="1" si="122"/>
        <v>#REF!</v>
      </c>
    </row>
    <row r="440" spans="4:34">
      <c r="D440">
        <v>433</v>
      </c>
      <c r="E440" s="6">
        <f t="shared" ca="1" si="107"/>
        <v>39600</v>
      </c>
      <c r="F440" s="7">
        <f t="shared" ca="1" si="116"/>
        <v>0</v>
      </c>
      <c r="G440" s="125">
        <f t="shared" ca="1" si="108"/>
        <v>0</v>
      </c>
      <c r="H440" s="125">
        <f ca="1">IF(F440=1,F440*$B$10/MIN(12,'Simulador - 3º Pilar'!$E$88),0)</f>
        <v>0</v>
      </c>
      <c r="I440" s="128">
        <f t="shared" ca="1" si="109"/>
        <v>0</v>
      </c>
      <c r="J440" s="494">
        <f t="shared" ca="1" si="110"/>
        <v>0</v>
      </c>
      <c r="K440" s="126">
        <f t="shared" ca="1" si="111"/>
        <v>0</v>
      </c>
      <c r="L440" s="126">
        <f t="shared" ca="1" si="123"/>
        <v>0</v>
      </c>
      <c r="P440">
        <v>433</v>
      </c>
      <c r="Q440" s="6">
        <f t="shared" ca="1" si="112"/>
        <v>39600</v>
      </c>
      <c r="R440" s="7" t="e">
        <f t="shared" ca="1" si="117"/>
        <v>#REF!</v>
      </c>
      <c r="S440" s="125" t="e">
        <f t="shared" ca="1" si="118"/>
        <v>#REF!</v>
      </c>
      <c r="T440" s="125" t="e">
        <f t="shared" ca="1" si="113"/>
        <v>#REF!</v>
      </c>
      <c r="U440" s="128" t="e">
        <f t="shared" ca="1" si="119"/>
        <v>#REF!</v>
      </c>
      <c r="AC440">
        <v>433</v>
      </c>
      <c r="AD440" s="6">
        <f t="shared" ca="1" si="114"/>
        <v>39600</v>
      </c>
      <c r="AE440" s="7" t="e">
        <f t="shared" ca="1" si="120"/>
        <v>#REF!</v>
      </c>
      <c r="AF440" s="125" t="e">
        <f t="shared" ca="1" si="121"/>
        <v>#REF!</v>
      </c>
      <c r="AG440" s="125" t="e">
        <f t="shared" ca="1" si="115"/>
        <v>#REF!</v>
      </c>
      <c r="AH440" s="128" t="e">
        <f t="shared" ca="1" si="122"/>
        <v>#REF!</v>
      </c>
    </row>
    <row r="441" spans="4:34">
      <c r="D441">
        <v>434</v>
      </c>
      <c r="E441" s="6">
        <f t="shared" ca="1" si="107"/>
        <v>39569</v>
      </c>
      <c r="F441" s="7">
        <f t="shared" ca="1" si="116"/>
        <v>0</v>
      </c>
      <c r="G441" s="125">
        <f t="shared" ca="1" si="108"/>
        <v>0</v>
      </c>
      <c r="H441" s="125">
        <f ca="1">IF(F441=1,F441*$B$10/MIN(12,'Simulador - 3º Pilar'!$E$88),0)</f>
        <v>0</v>
      </c>
      <c r="I441" s="128">
        <f t="shared" ca="1" si="109"/>
        <v>0</v>
      </c>
      <c r="J441" s="494">
        <f t="shared" ca="1" si="110"/>
        <v>0</v>
      </c>
      <c r="K441" s="126">
        <f t="shared" ca="1" si="111"/>
        <v>0</v>
      </c>
      <c r="L441" s="126">
        <f t="shared" ca="1" si="123"/>
        <v>0</v>
      </c>
      <c r="P441">
        <v>434</v>
      </c>
      <c r="Q441" s="6">
        <f t="shared" ca="1" si="112"/>
        <v>39569</v>
      </c>
      <c r="R441" s="7" t="e">
        <f t="shared" ca="1" si="117"/>
        <v>#REF!</v>
      </c>
      <c r="S441" s="125" t="e">
        <f t="shared" ca="1" si="118"/>
        <v>#REF!</v>
      </c>
      <c r="T441" s="125" t="e">
        <f t="shared" ca="1" si="113"/>
        <v>#REF!</v>
      </c>
      <c r="U441" s="128" t="e">
        <f t="shared" ca="1" si="119"/>
        <v>#REF!</v>
      </c>
      <c r="AC441">
        <v>434</v>
      </c>
      <c r="AD441" s="6">
        <f t="shared" ca="1" si="114"/>
        <v>39569</v>
      </c>
      <c r="AE441" s="7" t="e">
        <f t="shared" ca="1" si="120"/>
        <v>#REF!</v>
      </c>
      <c r="AF441" s="125" t="e">
        <f t="shared" ca="1" si="121"/>
        <v>#REF!</v>
      </c>
      <c r="AG441" s="125" t="e">
        <f t="shared" ca="1" si="115"/>
        <v>#REF!</v>
      </c>
      <c r="AH441" s="128" t="e">
        <f t="shared" ca="1" si="122"/>
        <v>#REF!</v>
      </c>
    </row>
    <row r="442" spans="4:34">
      <c r="D442">
        <v>435</v>
      </c>
      <c r="E442" s="6">
        <f t="shared" ca="1" si="107"/>
        <v>39539</v>
      </c>
      <c r="F442" s="7">
        <f t="shared" ca="1" si="116"/>
        <v>0</v>
      </c>
      <c r="G442" s="125">
        <f t="shared" ca="1" si="108"/>
        <v>0</v>
      </c>
      <c r="H442" s="125">
        <f ca="1">IF(F442=1,F442*$B$10/MIN(12,'Simulador - 3º Pilar'!$E$88),0)</f>
        <v>0</v>
      </c>
      <c r="I442" s="128">
        <f t="shared" ca="1" si="109"/>
        <v>0</v>
      </c>
      <c r="J442" s="494">
        <f t="shared" ca="1" si="110"/>
        <v>0</v>
      </c>
      <c r="K442" s="126">
        <f t="shared" ca="1" si="111"/>
        <v>0</v>
      </c>
      <c r="L442" s="126">
        <f t="shared" ca="1" si="123"/>
        <v>0</v>
      </c>
      <c r="P442">
        <v>435</v>
      </c>
      <c r="Q442" s="6">
        <f t="shared" ca="1" si="112"/>
        <v>39539</v>
      </c>
      <c r="R442" s="7" t="e">
        <f t="shared" ca="1" si="117"/>
        <v>#REF!</v>
      </c>
      <c r="S442" s="125" t="e">
        <f t="shared" ca="1" si="118"/>
        <v>#REF!</v>
      </c>
      <c r="T442" s="125" t="e">
        <f t="shared" ca="1" si="113"/>
        <v>#REF!</v>
      </c>
      <c r="U442" s="128" t="e">
        <f t="shared" ca="1" si="119"/>
        <v>#REF!</v>
      </c>
      <c r="AC442">
        <v>435</v>
      </c>
      <c r="AD442" s="6">
        <f t="shared" ca="1" si="114"/>
        <v>39539</v>
      </c>
      <c r="AE442" s="7" t="e">
        <f t="shared" ca="1" si="120"/>
        <v>#REF!</v>
      </c>
      <c r="AF442" s="125" t="e">
        <f t="shared" ca="1" si="121"/>
        <v>#REF!</v>
      </c>
      <c r="AG442" s="125" t="e">
        <f t="shared" ca="1" si="115"/>
        <v>#REF!</v>
      </c>
      <c r="AH442" s="128" t="e">
        <f t="shared" ca="1" si="122"/>
        <v>#REF!</v>
      </c>
    </row>
    <row r="443" spans="4:34">
      <c r="D443">
        <v>436</v>
      </c>
      <c r="E443" s="6">
        <f t="shared" ca="1" si="107"/>
        <v>39508</v>
      </c>
      <c r="F443" s="7">
        <f t="shared" ca="1" si="116"/>
        <v>0</v>
      </c>
      <c r="G443" s="125">
        <f t="shared" ca="1" si="108"/>
        <v>0</v>
      </c>
      <c r="H443" s="125">
        <f ca="1">IF(F443=1,F443*$B$10/MIN(12,'Simulador - 3º Pilar'!$E$88),0)</f>
        <v>0</v>
      </c>
      <c r="I443" s="128">
        <f t="shared" ca="1" si="109"/>
        <v>0</v>
      </c>
      <c r="J443" s="494">
        <f t="shared" ca="1" si="110"/>
        <v>0</v>
      </c>
      <c r="K443" s="126">
        <f t="shared" ca="1" si="111"/>
        <v>0</v>
      </c>
      <c r="L443" s="126">
        <f t="shared" ca="1" si="123"/>
        <v>0</v>
      </c>
      <c r="P443">
        <v>436</v>
      </c>
      <c r="Q443" s="6">
        <f t="shared" ca="1" si="112"/>
        <v>39508</v>
      </c>
      <c r="R443" s="7" t="e">
        <f t="shared" ca="1" si="117"/>
        <v>#REF!</v>
      </c>
      <c r="S443" s="125" t="e">
        <f t="shared" ca="1" si="118"/>
        <v>#REF!</v>
      </c>
      <c r="T443" s="125" t="e">
        <f t="shared" ca="1" si="113"/>
        <v>#REF!</v>
      </c>
      <c r="U443" s="128" t="e">
        <f t="shared" ca="1" si="119"/>
        <v>#REF!</v>
      </c>
      <c r="AC443">
        <v>436</v>
      </c>
      <c r="AD443" s="6">
        <f t="shared" ca="1" si="114"/>
        <v>39508</v>
      </c>
      <c r="AE443" s="7" t="e">
        <f t="shared" ca="1" si="120"/>
        <v>#REF!</v>
      </c>
      <c r="AF443" s="125" t="e">
        <f t="shared" ca="1" si="121"/>
        <v>#REF!</v>
      </c>
      <c r="AG443" s="125" t="e">
        <f t="shared" ca="1" si="115"/>
        <v>#REF!</v>
      </c>
      <c r="AH443" s="128" t="e">
        <f t="shared" ca="1" si="122"/>
        <v>#REF!</v>
      </c>
    </row>
    <row r="444" spans="4:34">
      <c r="D444">
        <v>437</v>
      </c>
      <c r="E444" s="6">
        <f t="shared" ca="1" si="107"/>
        <v>39479</v>
      </c>
      <c r="F444" s="7">
        <f t="shared" ca="1" si="116"/>
        <v>0</v>
      </c>
      <c r="G444" s="125">
        <f t="shared" ca="1" si="108"/>
        <v>0</v>
      </c>
      <c r="H444" s="125">
        <f ca="1">IF(F444=1,F444*$B$10/MIN(12,'Simulador - 3º Pilar'!$E$88),0)</f>
        <v>0</v>
      </c>
      <c r="I444" s="128">
        <f t="shared" ca="1" si="109"/>
        <v>0</v>
      </c>
      <c r="J444" s="494">
        <f t="shared" ca="1" si="110"/>
        <v>0</v>
      </c>
      <c r="K444" s="126">
        <f t="shared" ca="1" si="111"/>
        <v>0</v>
      </c>
      <c r="L444" s="126">
        <f t="shared" ca="1" si="123"/>
        <v>0</v>
      </c>
      <c r="P444">
        <v>437</v>
      </c>
      <c r="Q444" s="6">
        <f t="shared" ca="1" si="112"/>
        <v>39479</v>
      </c>
      <c r="R444" s="7" t="e">
        <f t="shared" ca="1" si="117"/>
        <v>#REF!</v>
      </c>
      <c r="S444" s="125" t="e">
        <f t="shared" ca="1" si="118"/>
        <v>#REF!</v>
      </c>
      <c r="T444" s="125" t="e">
        <f t="shared" ca="1" si="113"/>
        <v>#REF!</v>
      </c>
      <c r="U444" s="128" t="e">
        <f t="shared" ca="1" si="119"/>
        <v>#REF!</v>
      </c>
      <c r="AC444">
        <v>437</v>
      </c>
      <c r="AD444" s="6">
        <f t="shared" ca="1" si="114"/>
        <v>39479</v>
      </c>
      <c r="AE444" s="7" t="e">
        <f t="shared" ca="1" si="120"/>
        <v>#REF!</v>
      </c>
      <c r="AF444" s="125" t="e">
        <f t="shared" ca="1" si="121"/>
        <v>#REF!</v>
      </c>
      <c r="AG444" s="125" t="e">
        <f t="shared" ca="1" si="115"/>
        <v>#REF!</v>
      </c>
      <c r="AH444" s="128" t="e">
        <f t="shared" ca="1" si="122"/>
        <v>#REF!</v>
      </c>
    </row>
    <row r="445" spans="4:34">
      <c r="D445">
        <v>438</v>
      </c>
      <c r="E445" s="6">
        <f t="shared" ca="1" si="107"/>
        <v>39448</v>
      </c>
      <c r="F445" s="7">
        <f t="shared" ca="1" si="116"/>
        <v>0</v>
      </c>
      <c r="G445" s="125">
        <f t="shared" ca="1" si="108"/>
        <v>0</v>
      </c>
      <c r="H445" s="125">
        <f ca="1">IF(F445=1,F445*$B$10/MIN(12,'Simulador - 3º Pilar'!$E$88),0)</f>
        <v>0</v>
      </c>
      <c r="I445" s="128">
        <f t="shared" ca="1" si="109"/>
        <v>0</v>
      </c>
      <c r="J445" s="494">
        <f t="shared" ca="1" si="110"/>
        <v>0</v>
      </c>
      <c r="K445" s="126">
        <f t="shared" ca="1" si="111"/>
        <v>0</v>
      </c>
      <c r="L445" s="126">
        <f t="shared" ca="1" si="123"/>
        <v>0</v>
      </c>
      <c r="P445">
        <v>438</v>
      </c>
      <c r="Q445" s="6">
        <f t="shared" ca="1" si="112"/>
        <v>39448</v>
      </c>
      <c r="R445" s="7" t="e">
        <f t="shared" ca="1" si="117"/>
        <v>#REF!</v>
      </c>
      <c r="S445" s="125" t="e">
        <f t="shared" ca="1" si="118"/>
        <v>#REF!</v>
      </c>
      <c r="T445" s="125" t="e">
        <f t="shared" ca="1" si="113"/>
        <v>#REF!</v>
      </c>
      <c r="U445" s="128" t="e">
        <f t="shared" ca="1" si="119"/>
        <v>#REF!</v>
      </c>
      <c r="AC445">
        <v>438</v>
      </c>
      <c r="AD445" s="6">
        <f t="shared" ca="1" si="114"/>
        <v>39448</v>
      </c>
      <c r="AE445" s="7" t="e">
        <f t="shared" ca="1" si="120"/>
        <v>#REF!</v>
      </c>
      <c r="AF445" s="125" t="e">
        <f t="shared" ca="1" si="121"/>
        <v>#REF!</v>
      </c>
      <c r="AG445" s="125" t="e">
        <f t="shared" ca="1" si="115"/>
        <v>#REF!</v>
      </c>
      <c r="AH445" s="128" t="e">
        <f t="shared" ca="1" si="122"/>
        <v>#REF!</v>
      </c>
    </row>
    <row r="446" spans="4:34">
      <c r="D446">
        <v>439</v>
      </c>
      <c r="E446" s="6">
        <f t="shared" ca="1" si="107"/>
        <v>39417</v>
      </c>
      <c r="F446" s="7">
        <f t="shared" ca="1" si="116"/>
        <v>0</v>
      </c>
      <c r="G446" s="125">
        <f t="shared" ca="1" si="108"/>
        <v>0</v>
      </c>
      <c r="H446" s="125">
        <f ca="1">IF(F446=1,F446*$B$10/MIN(12,'Simulador - 3º Pilar'!$E$88),0)</f>
        <v>0</v>
      </c>
      <c r="I446" s="128">
        <f t="shared" ca="1" si="109"/>
        <v>0</v>
      </c>
      <c r="J446" s="494">
        <f t="shared" ca="1" si="110"/>
        <v>0</v>
      </c>
      <c r="K446" s="126">
        <f t="shared" ca="1" si="111"/>
        <v>0</v>
      </c>
      <c r="L446" s="126">
        <f t="shared" ca="1" si="123"/>
        <v>0</v>
      </c>
      <c r="P446">
        <v>439</v>
      </c>
      <c r="Q446" s="6">
        <f t="shared" ca="1" si="112"/>
        <v>39417</v>
      </c>
      <c r="R446" s="7" t="e">
        <f t="shared" ca="1" si="117"/>
        <v>#REF!</v>
      </c>
      <c r="S446" s="125" t="e">
        <f t="shared" ca="1" si="118"/>
        <v>#REF!</v>
      </c>
      <c r="T446" s="125" t="e">
        <f t="shared" ca="1" si="113"/>
        <v>#REF!</v>
      </c>
      <c r="U446" s="128" t="e">
        <f t="shared" ca="1" si="119"/>
        <v>#REF!</v>
      </c>
      <c r="AC446">
        <v>439</v>
      </c>
      <c r="AD446" s="6">
        <f t="shared" ca="1" si="114"/>
        <v>39417</v>
      </c>
      <c r="AE446" s="7" t="e">
        <f t="shared" ca="1" si="120"/>
        <v>#REF!</v>
      </c>
      <c r="AF446" s="125" t="e">
        <f t="shared" ca="1" si="121"/>
        <v>#REF!</v>
      </c>
      <c r="AG446" s="125" t="e">
        <f t="shared" ca="1" si="115"/>
        <v>#REF!</v>
      </c>
      <c r="AH446" s="128" t="e">
        <f t="shared" ca="1" si="122"/>
        <v>#REF!</v>
      </c>
    </row>
    <row r="447" spans="4:34">
      <c r="D447">
        <v>440</v>
      </c>
      <c r="E447" s="6">
        <f t="shared" ca="1" si="107"/>
        <v>39387</v>
      </c>
      <c r="F447" s="7">
        <f t="shared" ca="1" si="116"/>
        <v>0</v>
      </c>
      <c r="G447" s="125">
        <f t="shared" ca="1" si="108"/>
        <v>0</v>
      </c>
      <c r="H447" s="125">
        <f ca="1">IF(F447=1,F447*$B$10/MIN(12,'Simulador - 3º Pilar'!$E$88),0)</f>
        <v>0</v>
      </c>
      <c r="I447" s="128">
        <f t="shared" ca="1" si="109"/>
        <v>0</v>
      </c>
      <c r="J447" s="494">
        <f t="shared" ca="1" si="110"/>
        <v>0</v>
      </c>
      <c r="K447" s="126">
        <f t="shared" ca="1" si="111"/>
        <v>0</v>
      </c>
      <c r="L447" s="126">
        <f t="shared" ca="1" si="123"/>
        <v>0</v>
      </c>
      <c r="P447">
        <v>440</v>
      </c>
      <c r="Q447" s="6">
        <f t="shared" ca="1" si="112"/>
        <v>39387</v>
      </c>
      <c r="R447" s="7" t="e">
        <f t="shared" ca="1" si="117"/>
        <v>#REF!</v>
      </c>
      <c r="S447" s="125" t="e">
        <f t="shared" ca="1" si="118"/>
        <v>#REF!</v>
      </c>
      <c r="T447" s="125" t="e">
        <f t="shared" ca="1" si="113"/>
        <v>#REF!</v>
      </c>
      <c r="U447" s="128" t="e">
        <f t="shared" ca="1" si="119"/>
        <v>#REF!</v>
      </c>
      <c r="AC447">
        <v>440</v>
      </c>
      <c r="AD447" s="6">
        <f t="shared" ca="1" si="114"/>
        <v>39387</v>
      </c>
      <c r="AE447" s="7" t="e">
        <f t="shared" ca="1" si="120"/>
        <v>#REF!</v>
      </c>
      <c r="AF447" s="125" t="e">
        <f t="shared" ca="1" si="121"/>
        <v>#REF!</v>
      </c>
      <c r="AG447" s="125" t="e">
        <f t="shared" ca="1" si="115"/>
        <v>#REF!</v>
      </c>
      <c r="AH447" s="128" t="e">
        <f t="shared" ca="1" si="122"/>
        <v>#REF!</v>
      </c>
    </row>
    <row r="448" spans="4:34">
      <c r="D448">
        <v>441</v>
      </c>
      <c r="E448" s="6">
        <f t="shared" ca="1" si="107"/>
        <v>39356</v>
      </c>
      <c r="F448" s="7">
        <f t="shared" ca="1" si="116"/>
        <v>0</v>
      </c>
      <c r="G448" s="125">
        <f t="shared" ca="1" si="108"/>
        <v>0</v>
      </c>
      <c r="H448" s="125">
        <f ca="1">IF(F448=1,F448*$B$10/MIN(12,'Simulador - 3º Pilar'!$E$88),0)</f>
        <v>0</v>
      </c>
      <c r="I448" s="128">
        <f t="shared" ca="1" si="109"/>
        <v>0</v>
      </c>
      <c r="J448" s="494">
        <f t="shared" ca="1" si="110"/>
        <v>0</v>
      </c>
      <c r="K448" s="126">
        <f t="shared" ca="1" si="111"/>
        <v>0</v>
      </c>
      <c r="L448" s="126">
        <f t="shared" ca="1" si="123"/>
        <v>0</v>
      </c>
      <c r="P448">
        <v>441</v>
      </c>
      <c r="Q448" s="6">
        <f t="shared" ca="1" si="112"/>
        <v>39356</v>
      </c>
      <c r="R448" s="7" t="e">
        <f t="shared" ca="1" si="117"/>
        <v>#REF!</v>
      </c>
      <c r="S448" s="125" t="e">
        <f t="shared" ca="1" si="118"/>
        <v>#REF!</v>
      </c>
      <c r="T448" s="125" t="e">
        <f t="shared" ca="1" si="113"/>
        <v>#REF!</v>
      </c>
      <c r="U448" s="128" t="e">
        <f t="shared" ca="1" si="119"/>
        <v>#REF!</v>
      </c>
      <c r="AC448">
        <v>441</v>
      </c>
      <c r="AD448" s="6">
        <f t="shared" ca="1" si="114"/>
        <v>39356</v>
      </c>
      <c r="AE448" s="7" t="e">
        <f t="shared" ca="1" si="120"/>
        <v>#REF!</v>
      </c>
      <c r="AF448" s="125" t="e">
        <f t="shared" ca="1" si="121"/>
        <v>#REF!</v>
      </c>
      <c r="AG448" s="125" t="e">
        <f t="shared" ca="1" si="115"/>
        <v>#REF!</v>
      </c>
      <c r="AH448" s="128" t="e">
        <f t="shared" ca="1" si="122"/>
        <v>#REF!</v>
      </c>
    </row>
    <row r="449" spans="4:34">
      <c r="D449">
        <v>442</v>
      </c>
      <c r="E449" s="6">
        <f t="shared" ca="1" si="107"/>
        <v>39326</v>
      </c>
      <c r="F449" s="7">
        <f t="shared" ca="1" si="116"/>
        <v>0</v>
      </c>
      <c r="G449" s="125">
        <f t="shared" ca="1" si="108"/>
        <v>0</v>
      </c>
      <c r="H449" s="125">
        <f ca="1">IF(F449=1,F449*$B$10/MIN(12,'Simulador - 3º Pilar'!$E$88),0)</f>
        <v>0</v>
      </c>
      <c r="I449" s="128">
        <f t="shared" ca="1" si="109"/>
        <v>0</v>
      </c>
      <c r="J449" s="494">
        <f t="shared" ca="1" si="110"/>
        <v>0</v>
      </c>
      <c r="K449" s="126">
        <f t="shared" ca="1" si="111"/>
        <v>0</v>
      </c>
      <c r="L449" s="126">
        <f t="shared" ca="1" si="123"/>
        <v>0</v>
      </c>
      <c r="P449">
        <v>442</v>
      </c>
      <c r="Q449" s="6">
        <f t="shared" ca="1" si="112"/>
        <v>39326</v>
      </c>
      <c r="R449" s="7" t="e">
        <f t="shared" ca="1" si="117"/>
        <v>#REF!</v>
      </c>
      <c r="S449" s="125" t="e">
        <f t="shared" ca="1" si="118"/>
        <v>#REF!</v>
      </c>
      <c r="T449" s="125" t="e">
        <f t="shared" ca="1" si="113"/>
        <v>#REF!</v>
      </c>
      <c r="U449" s="128" t="e">
        <f t="shared" ca="1" si="119"/>
        <v>#REF!</v>
      </c>
      <c r="AC449">
        <v>442</v>
      </c>
      <c r="AD449" s="6">
        <f t="shared" ca="1" si="114"/>
        <v>39326</v>
      </c>
      <c r="AE449" s="7" t="e">
        <f t="shared" ca="1" si="120"/>
        <v>#REF!</v>
      </c>
      <c r="AF449" s="125" t="e">
        <f t="shared" ca="1" si="121"/>
        <v>#REF!</v>
      </c>
      <c r="AG449" s="125" t="e">
        <f t="shared" ca="1" si="115"/>
        <v>#REF!</v>
      </c>
      <c r="AH449" s="128" t="e">
        <f t="shared" ca="1" si="122"/>
        <v>#REF!</v>
      </c>
    </row>
    <row r="450" spans="4:34">
      <c r="D450">
        <v>443</v>
      </c>
      <c r="E450" s="6">
        <f t="shared" ca="1" si="107"/>
        <v>39295</v>
      </c>
      <c r="F450" s="7">
        <f t="shared" ca="1" si="116"/>
        <v>0</v>
      </c>
      <c r="G450" s="125">
        <f t="shared" ca="1" si="108"/>
        <v>0</v>
      </c>
      <c r="H450" s="125">
        <f ca="1">IF(F450=1,F450*$B$10/MIN(12,'Simulador - 3º Pilar'!$E$88),0)</f>
        <v>0</v>
      </c>
      <c r="I450" s="128">
        <f t="shared" ca="1" si="109"/>
        <v>0</v>
      </c>
      <c r="J450" s="494">
        <f t="shared" ca="1" si="110"/>
        <v>0</v>
      </c>
      <c r="K450" s="126">
        <f t="shared" ca="1" si="111"/>
        <v>0</v>
      </c>
      <c r="L450" s="126">
        <f t="shared" ca="1" si="123"/>
        <v>0</v>
      </c>
      <c r="P450">
        <v>443</v>
      </c>
      <c r="Q450" s="6">
        <f t="shared" ca="1" si="112"/>
        <v>39295</v>
      </c>
      <c r="R450" s="7" t="e">
        <f t="shared" ca="1" si="117"/>
        <v>#REF!</v>
      </c>
      <c r="S450" s="125" t="e">
        <f t="shared" ca="1" si="118"/>
        <v>#REF!</v>
      </c>
      <c r="T450" s="125" t="e">
        <f t="shared" ca="1" si="113"/>
        <v>#REF!</v>
      </c>
      <c r="U450" s="128" t="e">
        <f t="shared" ca="1" si="119"/>
        <v>#REF!</v>
      </c>
      <c r="AC450">
        <v>443</v>
      </c>
      <c r="AD450" s="6">
        <f t="shared" ca="1" si="114"/>
        <v>39295</v>
      </c>
      <c r="AE450" s="7" t="e">
        <f t="shared" ca="1" si="120"/>
        <v>#REF!</v>
      </c>
      <c r="AF450" s="125" t="e">
        <f t="shared" ca="1" si="121"/>
        <v>#REF!</v>
      </c>
      <c r="AG450" s="125" t="e">
        <f t="shared" ca="1" si="115"/>
        <v>#REF!</v>
      </c>
      <c r="AH450" s="128" t="e">
        <f t="shared" ca="1" si="122"/>
        <v>#REF!</v>
      </c>
    </row>
    <row r="451" spans="4:34">
      <c r="D451">
        <v>444</v>
      </c>
      <c r="E451" s="6">
        <f t="shared" ca="1" si="107"/>
        <v>39264</v>
      </c>
      <c r="F451" s="7">
        <f t="shared" ca="1" si="116"/>
        <v>0</v>
      </c>
      <c r="G451" s="125">
        <f t="shared" ca="1" si="108"/>
        <v>0</v>
      </c>
      <c r="H451" s="125">
        <f ca="1">IF(F451=1,F451*$B$10/MIN(12,'Simulador - 3º Pilar'!$E$88),0)</f>
        <v>0</v>
      </c>
      <c r="I451" s="128">
        <f t="shared" ca="1" si="109"/>
        <v>0</v>
      </c>
      <c r="J451" s="494">
        <f t="shared" ca="1" si="110"/>
        <v>0</v>
      </c>
      <c r="K451" s="126">
        <f t="shared" ca="1" si="111"/>
        <v>0</v>
      </c>
      <c r="L451" s="126">
        <f t="shared" ca="1" si="123"/>
        <v>0</v>
      </c>
      <c r="P451">
        <v>444</v>
      </c>
      <c r="Q451" s="6">
        <f t="shared" ca="1" si="112"/>
        <v>39264</v>
      </c>
      <c r="R451" s="7" t="e">
        <f t="shared" ca="1" si="117"/>
        <v>#REF!</v>
      </c>
      <c r="S451" s="125" t="e">
        <f t="shared" ca="1" si="118"/>
        <v>#REF!</v>
      </c>
      <c r="T451" s="125" t="e">
        <f t="shared" ca="1" si="113"/>
        <v>#REF!</v>
      </c>
      <c r="U451" s="128" t="e">
        <f t="shared" ca="1" si="119"/>
        <v>#REF!</v>
      </c>
      <c r="AC451">
        <v>444</v>
      </c>
      <c r="AD451" s="6">
        <f t="shared" ca="1" si="114"/>
        <v>39264</v>
      </c>
      <c r="AE451" s="7" t="e">
        <f t="shared" ca="1" si="120"/>
        <v>#REF!</v>
      </c>
      <c r="AF451" s="125" t="e">
        <f t="shared" ca="1" si="121"/>
        <v>#REF!</v>
      </c>
      <c r="AG451" s="125" t="e">
        <f t="shared" ca="1" si="115"/>
        <v>#REF!</v>
      </c>
      <c r="AH451" s="128" t="e">
        <f t="shared" ca="1" si="122"/>
        <v>#REF!</v>
      </c>
    </row>
    <row r="452" spans="4:34">
      <c r="D452">
        <v>445</v>
      </c>
      <c r="E452" s="6">
        <f t="shared" ca="1" si="107"/>
        <v>39234</v>
      </c>
      <c r="F452" s="7">
        <f t="shared" ca="1" si="116"/>
        <v>0</v>
      </c>
      <c r="G452" s="125">
        <f t="shared" ca="1" si="108"/>
        <v>0</v>
      </c>
      <c r="H452" s="125">
        <f ca="1">IF(F452=1,F452*$B$10/MIN(12,'Simulador - 3º Pilar'!$E$88),0)</f>
        <v>0</v>
      </c>
      <c r="I452" s="128">
        <f t="shared" ca="1" si="109"/>
        <v>0</v>
      </c>
      <c r="J452" s="494">
        <f t="shared" ca="1" si="110"/>
        <v>0</v>
      </c>
      <c r="K452" s="126">
        <f t="shared" ca="1" si="111"/>
        <v>0</v>
      </c>
      <c r="L452" s="126">
        <f t="shared" ca="1" si="123"/>
        <v>0</v>
      </c>
      <c r="P452">
        <v>445</v>
      </c>
      <c r="Q452" s="6">
        <f t="shared" ca="1" si="112"/>
        <v>39234</v>
      </c>
      <c r="R452" s="7" t="e">
        <f t="shared" ca="1" si="117"/>
        <v>#REF!</v>
      </c>
      <c r="S452" s="125" t="e">
        <f t="shared" ca="1" si="118"/>
        <v>#REF!</v>
      </c>
      <c r="T452" s="125" t="e">
        <f t="shared" ca="1" si="113"/>
        <v>#REF!</v>
      </c>
      <c r="U452" s="128" t="e">
        <f t="shared" ca="1" si="119"/>
        <v>#REF!</v>
      </c>
      <c r="AC452">
        <v>445</v>
      </c>
      <c r="AD452" s="6">
        <f t="shared" ca="1" si="114"/>
        <v>39234</v>
      </c>
      <c r="AE452" s="7" t="e">
        <f t="shared" ca="1" si="120"/>
        <v>#REF!</v>
      </c>
      <c r="AF452" s="125" t="e">
        <f t="shared" ca="1" si="121"/>
        <v>#REF!</v>
      </c>
      <c r="AG452" s="125" t="e">
        <f t="shared" ca="1" si="115"/>
        <v>#REF!</v>
      </c>
      <c r="AH452" s="128" t="e">
        <f t="shared" ca="1" si="122"/>
        <v>#REF!</v>
      </c>
    </row>
    <row r="453" spans="4:34">
      <c r="D453">
        <v>446</v>
      </c>
      <c r="E453" s="6">
        <f t="shared" ca="1" si="107"/>
        <v>39203</v>
      </c>
      <c r="F453" s="7">
        <f t="shared" ca="1" si="116"/>
        <v>0</v>
      </c>
      <c r="G453" s="125">
        <f t="shared" ca="1" si="108"/>
        <v>0</v>
      </c>
      <c r="H453" s="125">
        <f ca="1">IF(F453=1,F453*$B$10/MIN(12,'Simulador - 3º Pilar'!$E$88),0)</f>
        <v>0</v>
      </c>
      <c r="I453" s="128">
        <f t="shared" ca="1" si="109"/>
        <v>0</v>
      </c>
      <c r="J453" s="494">
        <f t="shared" ca="1" si="110"/>
        <v>0</v>
      </c>
      <c r="K453" s="126">
        <f t="shared" ca="1" si="111"/>
        <v>0</v>
      </c>
      <c r="L453" s="126">
        <f t="shared" ca="1" si="123"/>
        <v>0</v>
      </c>
      <c r="P453">
        <v>446</v>
      </c>
      <c r="Q453" s="6">
        <f t="shared" ca="1" si="112"/>
        <v>39203</v>
      </c>
      <c r="R453" s="7" t="e">
        <f t="shared" ca="1" si="117"/>
        <v>#REF!</v>
      </c>
      <c r="S453" s="125" t="e">
        <f t="shared" ca="1" si="118"/>
        <v>#REF!</v>
      </c>
      <c r="T453" s="125" t="e">
        <f t="shared" ca="1" si="113"/>
        <v>#REF!</v>
      </c>
      <c r="U453" s="128" t="e">
        <f t="shared" ca="1" si="119"/>
        <v>#REF!</v>
      </c>
      <c r="AC453">
        <v>446</v>
      </c>
      <c r="AD453" s="6">
        <f t="shared" ca="1" si="114"/>
        <v>39203</v>
      </c>
      <c r="AE453" s="7" t="e">
        <f t="shared" ca="1" si="120"/>
        <v>#REF!</v>
      </c>
      <c r="AF453" s="125" t="e">
        <f t="shared" ca="1" si="121"/>
        <v>#REF!</v>
      </c>
      <c r="AG453" s="125" t="e">
        <f t="shared" ca="1" si="115"/>
        <v>#REF!</v>
      </c>
      <c r="AH453" s="128" t="e">
        <f t="shared" ca="1" si="122"/>
        <v>#REF!</v>
      </c>
    </row>
    <row r="454" spans="4:34">
      <c r="D454">
        <v>447</v>
      </c>
      <c r="E454" s="6">
        <f t="shared" ca="1" si="107"/>
        <v>39173</v>
      </c>
      <c r="F454" s="7">
        <f t="shared" ca="1" si="116"/>
        <v>0</v>
      </c>
      <c r="G454" s="125">
        <f t="shared" ca="1" si="108"/>
        <v>0</v>
      </c>
      <c r="H454" s="125">
        <f ca="1">IF(F454=1,F454*$B$10/MIN(12,'Simulador - 3º Pilar'!$E$88),0)</f>
        <v>0</v>
      </c>
      <c r="I454" s="128">
        <f t="shared" ca="1" si="109"/>
        <v>0</v>
      </c>
      <c r="J454" s="494">
        <f t="shared" ca="1" si="110"/>
        <v>0</v>
      </c>
      <c r="K454" s="126">
        <f t="shared" ca="1" si="111"/>
        <v>0</v>
      </c>
      <c r="L454" s="126">
        <f t="shared" ca="1" si="123"/>
        <v>0</v>
      </c>
      <c r="P454">
        <v>447</v>
      </c>
      <c r="Q454" s="6">
        <f t="shared" ca="1" si="112"/>
        <v>39173</v>
      </c>
      <c r="R454" s="7" t="e">
        <f t="shared" ca="1" si="117"/>
        <v>#REF!</v>
      </c>
      <c r="S454" s="125" t="e">
        <f t="shared" ca="1" si="118"/>
        <v>#REF!</v>
      </c>
      <c r="T454" s="125" t="e">
        <f t="shared" ca="1" si="113"/>
        <v>#REF!</v>
      </c>
      <c r="U454" s="128" t="e">
        <f t="shared" ca="1" si="119"/>
        <v>#REF!</v>
      </c>
      <c r="AC454">
        <v>447</v>
      </c>
      <c r="AD454" s="6">
        <f t="shared" ca="1" si="114"/>
        <v>39173</v>
      </c>
      <c r="AE454" s="7" t="e">
        <f t="shared" ca="1" si="120"/>
        <v>#REF!</v>
      </c>
      <c r="AF454" s="125" t="e">
        <f t="shared" ca="1" si="121"/>
        <v>#REF!</v>
      </c>
      <c r="AG454" s="125" t="e">
        <f t="shared" ca="1" si="115"/>
        <v>#REF!</v>
      </c>
      <c r="AH454" s="128" t="e">
        <f t="shared" ca="1" si="122"/>
        <v>#REF!</v>
      </c>
    </row>
    <row r="455" spans="4:34">
      <c r="D455">
        <v>448</v>
      </c>
      <c r="E455" s="6">
        <f t="shared" ca="1" si="107"/>
        <v>39142</v>
      </c>
      <c r="F455" s="7">
        <f t="shared" ca="1" si="116"/>
        <v>0</v>
      </c>
      <c r="G455" s="125">
        <f t="shared" ca="1" si="108"/>
        <v>0</v>
      </c>
      <c r="H455" s="125">
        <f ca="1">IF(F455=1,F455*$B$10/MIN(12,'Simulador - 3º Pilar'!$E$88),0)</f>
        <v>0</v>
      </c>
      <c r="I455" s="128">
        <f t="shared" ca="1" si="109"/>
        <v>0</v>
      </c>
      <c r="J455" s="494">
        <f t="shared" ca="1" si="110"/>
        <v>0</v>
      </c>
      <c r="K455" s="126">
        <f t="shared" ca="1" si="111"/>
        <v>0</v>
      </c>
      <c r="L455" s="126">
        <f t="shared" ca="1" si="123"/>
        <v>0</v>
      </c>
      <c r="P455">
        <v>448</v>
      </c>
      <c r="Q455" s="6">
        <f t="shared" ca="1" si="112"/>
        <v>39142</v>
      </c>
      <c r="R455" s="7" t="e">
        <f t="shared" ca="1" si="117"/>
        <v>#REF!</v>
      </c>
      <c r="S455" s="125" t="e">
        <f t="shared" ca="1" si="118"/>
        <v>#REF!</v>
      </c>
      <c r="T455" s="125" t="e">
        <f t="shared" ca="1" si="113"/>
        <v>#REF!</v>
      </c>
      <c r="U455" s="128" t="e">
        <f t="shared" ca="1" si="119"/>
        <v>#REF!</v>
      </c>
      <c r="AC455">
        <v>448</v>
      </c>
      <c r="AD455" s="6">
        <f t="shared" ca="1" si="114"/>
        <v>39142</v>
      </c>
      <c r="AE455" s="7" t="e">
        <f t="shared" ca="1" si="120"/>
        <v>#REF!</v>
      </c>
      <c r="AF455" s="125" t="e">
        <f t="shared" ca="1" si="121"/>
        <v>#REF!</v>
      </c>
      <c r="AG455" s="125" t="e">
        <f t="shared" ca="1" si="115"/>
        <v>#REF!</v>
      </c>
      <c r="AH455" s="128" t="e">
        <f t="shared" ca="1" si="122"/>
        <v>#REF!</v>
      </c>
    </row>
    <row r="456" spans="4:34">
      <c r="D456">
        <v>449</v>
      </c>
      <c r="E456" s="6">
        <f t="shared" ref="E456:E519" ca="1" si="124">+DATE(YEAR(E455),MONTH(E455)-1,DAY(E455))</f>
        <v>39114</v>
      </c>
      <c r="F456" s="7">
        <f t="shared" ca="1" si="116"/>
        <v>0</v>
      </c>
      <c r="G456" s="125">
        <f t="shared" ref="G456:G519" ca="1" si="125">F456*$B$8/12</f>
        <v>0</v>
      </c>
      <c r="H456" s="125">
        <f ca="1">IF(F456=1,F456*$B$10/MIN(12,'Simulador - 3º Pilar'!$E$88),0)</f>
        <v>0</v>
      </c>
      <c r="I456" s="128">
        <f t="shared" ref="I456:I519" ca="1" si="126">(1+$G$5)^(D456/12)*(H456+IF(E456=$N$7,$N$4,0))</f>
        <v>0</v>
      </c>
      <c r="J456" s="494">
        <f t="shared" ref="J456:J519" ca="1" si="127">(1+$G$5)^(D456/12)*(H456*(12-IF(MONTH(E457)=12,0,MONTH(E457)))+IF(AND(F456=1,F457=0),$Q$4,0))*IF(AND(F456=1,F457=0),1,0)</f>
        <v>0</v>
      </c>
      <c r="K456" s="126">
        <f t="shared" ref="K456:K519" ca="1" si="128">(1+$G$5)^(D456/12)*(IF(E456=$N$7,$N$4,0)+IF(E456=$C$6,$B$10,0))</f>
        <v>0</v>
      </c>
      <c r="L456" s="126">
        <f t="shared" ca="1" si="123"/>
        <v>0</v>
      </c>
      <c r="P456">
        <v>449</v>
      </c>
      <c r="Q456" s="6">
        <f t="shared" ref="Q456:Q519" ca="1" si="129">+DATE(YEAR(Q455),MONTH(Q455)-1,DAY(Q455))</f>
        <v>39114</v>
      </c>
      <c r="R456" s="7" t="e">
        <f t="shared" ca="1" si="117"/>
        <v>#REF!</v>
      </c>
      <c r="S456" s="125" t="e">
        <f t="shared" ca="1" si="118"/>
        <v>#REF!</v>
      </c>
      <c r="T456" s="125" t="e">
        <f t="shared" ref="T456:T519" ca="1" si="130">R456*$B$11/12</f>
        <v>#REF!</v>
      </c>
      <c r="U456" s="128" t="e">
        <f t="shared" ca="1" si="119"/>
        <v>#REF!</v>
      </c>
      <c r="AC456">
        <v>449</v>
      </c>
      <c r="AD456" s="6">
        <f t="shared" ref="AD456:AD519" ca="1" si="131">+DATE(YEAR(AD455),MONTH(AD455)-1,DAY(AD455))</f>
        <v>39114</v>
      </c>
      <c r="AE456" s="7" t="e">
        <f t="shared" ca="1" si="120"/>
        <v>#REF!</v>
      </c>
      <c r="AF456" s="125" t="e">
        <f t="shared" ca="1" si="121"/>
        <v>#REF!</v>
      </c>
      <c r="AG456" s="125" t="e">
        <f t="shared" ref="AG456:AG519" ca="1" si="132">AE456*$B$12/12</f>
        <v>#REF!</v>
      </c>
      <c r="AH456" s="128" t="e">
        <f t="shared" ca="1" si="122"/>
        <v>#REF!</v>
      </c>
    </row>
    <row r="457" spans="4:34">
      <c r="D457">
        <v>450</v>
      </c>
      <c r="E457" s="6">
        <f t="shared" ca="1" si="124"/>
        <v>39083</v>
      </c>
      <c r="F457" s="7">
        <f t="shared" ref="F457:F520" ca="1" si="133">IF($C$6=$E457,1,IF(MONTH($E457)=1,F458*(1+$F$5),F458))</f>
        <v>0</v>
      </c>
      <c r="G457" s="125">
        <f t="shared" ca="1" si="125"/>
        <v>0</v>
      </c>
      <c r="H457" s="125">
        <f ca="1">IF(F457=1,F457*$B$10/MIN(12,'Simulador - 3º Pilar'!$E$88),0)</f>
        <v>0</v>
      </c>
      <c r="I457" s="128">
        <f t="shared" ca="1" si="126"/>
        <v>0</v>
      </c>
      <c r="J457" s="494">
        <f t="shared" ca="1" si="127"/>
        <v>0</v>
      </c>
      <c r="K457" s="126">
        <f t="shared" ca="1" si="128"/>
        <v>0</v>
      </c>
      <c r="L457" s="126">
        <f t="shared" ca="1" si="123"/>
        <v>0</v>
      </c>
      <c r="P457">
        <v>450</v>
      </c>
      <c r="Q457" s="6">
        <f t="shared" ca="1" si="129"/>
        <v>39083</v>
      </c>
      <c r="R457" s="7" t="e">
        <f t="shared" ref="R457:R520" ca="1" si="134">IF($Z$7=$E457,1,IF(MONTH($E457)=1,R458*(1+$F$5),R458))</f>
        <v>#REF!</v>
      </c>
      <c r="S457" s="125" t="e">
        <f t="shared" ref="S457:S520" ca="1" si="135">R457*$B$8/12</f>
        <v>#REF!</v>
      </c>
      <c r="T457" s="125" t="e">
        <f t="shared" ca="1" si="130"/>
        <v>#REF!</v>
      </c>
      <c r="U457" s="128" t="e">
        <f t="shared" ref="U457:U520" ca="1" si="136">(1+$V$5)^(P457/12)*(T457+IF(Q457=$Z$7,$Z$4,0))</f>
        <v>#REF!</v>
      </c>
      <c r="AC457">
        <v>450</v>
      </c>
      <c r="AD457" s="6">
        <f t="shared" ca="1" si="131"/>
        <v>39083</v>
      </c>
      <c r="AE457" s="7" t="e">
        <f t="shared" ref="AE457:AE520" ca="1" si="137">IF($AM$7=$E457,1,IF(MONTH($E457)=1,AE458*(1+$F$5),AE458))</f>
        <v>#REF!</v>
      </c>
      <c r="AF457" s="125" t="e">
        <f t="shared" ref="AF457:AF520" ca="1" si="138">AE457*$B$8/12</f>
        <v>#REF!</v>
      </c>
      <c r="AG457" s="125" t="e">
        <f t="shared" ca="1" si="132"/>
        <v>#REF!</v>
      </c>
      <c r="AH457" s="128" t="e">
        <f t="shared" ref="AH457:AH520" ca="1" si="139">(1+$AI$5)^(AC457/12)*(AG457+IF(AD457=$AM$7,$AM$4,0))</f>
        <v>#REF!</v>
      </c>
    </row>
    <row r="458" spans="4:34">
      <c r="D458">
        <v>451</v>
      </c>
      <c r="E458" s="6">
        <f t="shared" ca="1" si="124"/>
        <v>39052</v>
      </c>
      <c r="F458" s="7">
        <f t="shared" ca="1" si="133"/>
        <v>0</v>
      </c>
      <c r="G458" s="125">
        <f t="shared" ca="1" si="125"/>
        <v>0</v>
      </c>
      <c r="H458" s="125">
        <f ca="1">IF(F458=1,F458*$B$10/MIN(12,'Simulador - 3º Pilar'!$E$88),0)</f>
        <v>0</v>
      </c>
      <c r="I458" s="128">
        <f t="shared" ca="1" si="126"/>
        <v>0</v>
      </c>
      <c r="J458" s="494">
        <f t="shared" ca="1" si="127"/>
        <v>0</v>
      </c>
      <c r="K458" s="126">
        <f t="shared" ca="1" si="128"/>
        <v>0</v>
      </c>
      <c r="L458" s="126">
        <f t="shared" ca="1" si="123"/>
        <v>0</v>
      </c>
      <c r="P458">
        <v>451</v>
      </c>
      <c r="Q458" s="6">
        <f t="shared" ca="1" si="129"/>
        <v>39052</v>
      </c>
      <c r="R458" s="7" t="e">
        <f t="shared" ca="1" si="134"/>
        <v>#REF!</v>
      </c>
      <c r="S458" s="125" t="e">
        <f t="shared" ca="1" si="135"/>
        <v>#REF!</v>
      </c>
      <c r="T458" s="125" t="e">
        <f t="shared" ca="1" si="130"/>
        <v>#REF!</v>
      </c>
      <c r="U458" s="128" t="e">
        <f t="shared" ca="1" si="136"/>
        <v>#REF!</v>
      </c>
      <c r="AC458">
        <v>451</v>
      </c>
      <c r="AD458" s="6">
        <f t="shared" ca="1" si="131"/>
        <v>39052</v>
      </c>
      <c r="AE458" s="7" t="e">
        <f t="shared" ca="1" si="137"/>
        <v>#REF!</v>
      </c>
      <c r="AF458" s="125" t="e">
        <f t="shared" ca="1" si="138"/>
        <v>#REF!</v>
      </c>
      <c r="AG458" s="125" t="e">
        <f t="shared" ca="1" si="132"/>
        <v>#REF!</v>
      </c>
      <c r="AH458" s="128" t="e">
        <f t="shared" ca="1" si="139"/>
        <v>#REF!</v>
      </c>
    </row>
    <row r="459" spans="4:34">
      <c r="D459">
        <v>452</v>
      </c>
      <c r="E459" s="6">
        <f t="shared" ca="1" si="124"/>
        <v>39022</v>
      </c>
      <c r="F459" s="7">
        <f t="shared" ca="1" si="133"/>
        <v>0</v>
      </c>
      <c r="G459" s="125">
        <f t="shared" ca="1" si="125"/>
        <v>0</v>
      </c>
      <c r="H459" s="125">
        <f ca="1">IF(F459=1,F459*$B$10/MIN(12,'Simulador - 3º Pilar'!$E$88),0)</f>
        <v>0</v>
      </c>
      <c r="I459" s="128">
        <f t="shared" ca="1" si="126"/>
        <v>0</v>
      </c>
      <c r="J459" s="494">
        <f t="shared" ca="1" si="127"/>
        <v>0</v>
      </c>
      <c r="K459" s="126">
        <f t="shared" ca="1" si="128"/>
        <v>0</v>
      </c>
      <c r="L459" s="126">
        <f t="shared" ca="1" si="123"/>
        <v>0</v>
      </c>
      <c r="P459">
        <v>452</v>
      </c>
      <c r="Q459" s="6">
        <f t="shared" ca="1" si="129"/>
        <v>39022</v>
      </c>
      <c r="R459" s="7" t="e">
        <f t="shared" ca="1" si="134"/>
        <v>#REF!</v>
      </c>
      <c r="S459" s="125" t="e">
        <f t="shared" ca="1" si="135"/>
        <v>#REF!</v>
      </c>
      <c r="T459" s="125" t="e">
        <f t="shared" ca="1" si="130"/>
        <v>#REF!</v>
      </c>
      <c r="U459" s="128" t="e">
        <f t="shared" ca="1" si="136"/>
        <v>#REF!</v>
      </c>
      <c r="AC459">
        <v>452</v>
      </c>
      <c r="AD459" s="6">
        <f t="shared" ca="1" si="131"/>
        <v>39022</v>
      </c>
      <c r="AE459" s="7" t="e">
        <f t="shared" ca="1" si="137"/>
        <v>#REF!</v>
      </c>
      <c r="AF459" s="125" t="e">
        <f t="shared" ca="1" si="138"/>
        <v>#REF!</v>
      </c>
      <c r="AG459" s="125" t="e">
        <f t="shared" ca="1" si="132"/>
        <v>#REF!</v>
      </c>
      <c r="AH459" s="128" t="e">
        <f t="shared" ca="1" si="139"/>
        <v>#REF!</v>
      </c>
    </row>
    <row r="460" spans="4:34">
      <c r="D460">
        <v>453</v>
      </c>
      <c r="E460" s="6">
        <f t="shared" ca="1" si="124"/>
        <v>38991</v>
      </c>
      <c r="F460" s="7">
        <f t="shared" ca="1" si="133"/>
        <v>0</v>
      </c>
      <c r="G460" s="125">
        <f t="shared" ca="1" si="125"/>
        <v>0</v>
      </c>
      <c r="H460" s="125">
        <f ca="1">IF(F460=1,F460*$B$10/MIN(12,'Simulador - 3º Pilar'!$E$88),0)</f>
        <v>0</v>
      </c>
      <c r="I460" s="128">
        <f t="shared" ca="1" si="126"/>
        <v>0</v>
      </c>
      <c r="J460" s="494">
        <f t="shared" ca="1" si="127"/>
        <v>0</v>
      </c>
      <c r="K460" s="126">
        <f t="shared" ca="1" si="128"/>
        <v>0</v>
      </c>
      <c r="L460" s="126">
        <f t="shared" ca="1" si="123"/>
        <v>0</v>
      </c>
      <c r="P460">
        <v>453</v>
      </c>
      <c r="Q460" s="6">
        <f t="shared" ca="1" si="129"/>
        <v>38991</v>
      </c>
      <c r="R460" s="7" t="e">
        <f t="shared" ca="1" si="134"/>
        <v>#REF!</v>
      </c>
      <c r="S460" s="125" t="e">
        <f t="shared" ca="1" si="135"/>
        <v>#REF!</v>
      </c>
      <c r="T460" s="125" t="e">
        <f t="shared" ca="1" si="130"/>
        <v>#REF!</v>
      </c>
      <c r="U460" s="128" t="e">
        <f t="shared" ca="1" si="136"/>
        <v>#REF!</v>
      </c>
      <c r="AC460">
        <v>453</v>
      </c>
      <c r="AD460" s="6">
        <f t="shared" ca="1" si="131"/>
        <v>38991</v>
      </c>
      <c r="AE460" s="7" t="e">
        <f t="shared" ca="1" si="137"/>
        <v>#REF!</v>
      </c>
      <c r="AF460" s="125" t="e">
        <f t="shared" ca="1" si="138"/>
        <v>#REF!</v>
      </c>
      <c r="AG460" s="125" t="e">
        <f t="shared" ca="1" si="132"/>
        <v>#REF!</v>
      </c>
      <c r="AH460" s="128" t="e">
        <f t="shared" ca="1" si="139"/>
        <v>#REF!</v>
      </c>
    </row>
    <row r="461" spans="4:34">
      <c r="D461">
        <v>454</v>
      </c>
      <c r="E461" s="6">
        <f t="shared" ca="1" si="124"/>
        <v>38961</v>
      </c>
      <c r="F461" s="7">
        <f t="shared" ca="1" si="133"/>
        <v>0</v>
      </c>
      <c r="G461" s="125">
        <f t="shared" ca="1" si="125"/>
        <v>0</v>
      </c>
      <c r="H461" s="125">
        <f ca="1">IF(F461=1,F461*$B$10/MIN(12,'Simulador - 3º Pilar'!$E$88),0)</f>
        <v>0</v>
      </c>
      <c r="I461" s="128">
        <f t="shared" ca="1" si="126"/>
        <v>0</v>
      </c>
      <c r="J461" s="494">
        <f t="shared" ca="1" si="127"/>
        <v>0</v>
      </c>
      <c r="K461" s="126">
        <f t="shared" ca="1" si="128"/>
        <v>0</v>
      </c>
      <c r="L461" s="126">
        <f t="shared" ca="1" si="123"/>
        <v>0</v>
      </c>
      <c r="P461">
        <v>454</v>
      </c>
      <c r="Q461" s="6">
        <f t="shared" ca="1" si="129"/>
        <v>38961</v>
      </c>
      <c r="R461" s="7" t="e">
        <f t="shared" ca="1" si="134"/>
        <v>#REF!</v>
      </c>
      <c r="S461" s="125" t="e">
        <f t="shared" ca="1" si="135"/>
        <v>#REF!</v>
      </c>
      <c r="T461" s="125" t="e">
        <f t="shared" ca="1" si="130"/>
        <v>#REF!</v>
      </c>
      <c r="U461" s="128" t="e">
        <f t="shared" ca="1" si="136"/>
        <v>#REF!</v>
      </c>
      <c r="AC461">
        <v>454</v>
      </c>
      <c r="AD461" s="6">
        <f t="shared" ca="1" si="131"/>
        <v>38961</v>
      </c>
      <c r="AE461" s="7" t="e">
        <f t="shared" ca="1" si="137"/>
        <v>#REF!</v>
      </c>
      <c r="AF461" s="125" t="e">
        <f t="shared" ca="1" si="138"/>
        <v>#REF!</v>
      </c>
      <c r="AG461" s="125" t="e">
        <f t="shared" ca="1" si="132"/>
        <v>#REF!</v>
      </c>
      <c r="AH461" s="128" t="e">
        <f t="shared" ca="1" si="139"/>
        <v>#REF!</v>
      </c>
    </row>
    <row r="462" spans="4:34">
      <c r="D462">
        <v>455</v>
      </c>
      <c r="E462" s="6">
        <f t="shared" ca="1" si="124"/>
        <v>38930</v>
      </c>
      <c r="F462" s="7">
        <f t="shared" ca="1" si="133"/>
        <v>0</v>
      </c>
      <c r="G462" s="125">
        <f t="shared" ca="1" si="125"/>
        <v>0</v>
      </c>
      <c r="H462" s="125">
        <f ca="1">IF(F462=1,F462*$B$10/MIN(12,'Simulador - 3º Pilar'!$E$88),0)</f>
        <v>0</v>
      </c>
      <c r="I462" s="128">
        <f t="shared" ca="1" si="126"/>
        <v>0</v>
      </c>
      <c r="J462" s="494">
        <f t="shared" ca="1" si="127"/>
        <v>0</v>
      </c>
      <c r="K462" s="126">
        <f t="shared" ca="1" si="128"/>
        <v>0</v>
      </c>
      <c r="L462" s="126">
        <f t="shared" ca="1" si="123"/>
        <v>0</v>
      </c>
      <c r="P462">
        <v>455</v>
      </c>
      <c r="Q462" s="6">
        <f t="shared" ca="1" si="129"/>
        <v>38930</v>
      </c>
      <c r="R462" s="7" t="e">
        <f t="shared" ca="1" si="134"/>
        <v>#REF!</v>
      </c>
      <c r="S462" s="125" t="e">
        <f t="shared" ca="1" si="135"/>
        <v>#REF!</v>
      </c>
      <c r="T462" s="125" t="e">
        <f t="shared" ca="1" si="130"/>
        <v>#REF!</v>
      </c>
      <c r="U462" s="128" t="e">
        <f t="shared" ca="1" si="136"/>
        <v>#REF!</v>
      </c>
      <c r="AC462">
        <v>455</v>
      </c>
      <c r="AD462" s="6">
        <f t="shared" ca="1" si="131"/>
        <v>38930</v>
      </c>
      <c r="AE462" s="7" t="e">
        <f t="shared" ca="1" si="137"/>
        <v>#REF!</v>
      </c>
      <c r="AF462" s="125" t="e">
        <f t="shared" ca="1" si="138"/>
        <v>#REF!</v>
      </c>
      <c r="AG462" s="125" t="e">
        <f t="shared" ca="1" si="132"/>
        <v>#REF!</v>
      </c>
      <c r="AH462" s="128" t="e">
        <f t="shared" ca="1" si="139"/>
        <v>#REF!</v>
      </c>
    </row>
    <row r="463" spans="4:34">
      <c r="D463">
        <v>456</v>
      </c>
      <c r="E463" s="6">
        <f t="shared" ca="1" si="124"/>
        <v>38899</v>
      </c>
      <c r="F463" s="7">
        <f t="shared" ca="1" si="133"/>
        <v>0</v>
      </c>
      <c r="G463" s="125">
        <f t="shared" ca="1" si="125"/>
        <v>0</v>
      </c>
      <c r="H463" s="125">
        <f ca="1">IF(F463=1,F463*$B$10/MIN(12,'Simulador - 3º Pilar'!$E$88),0)</f>
        <v>0</v>
      </c>
      <c r="I463" s="128">
        <f t="shared" ca="1" si="126"/>
        <v>0</v>
      </c>
      <c r="J463" s="494">
        <f t="shared" ca="1" si="127"/>
        <v>0</v>
      </c>
      <c r="K463" s="126">
        <f t="shared" ca="1" si="128"/>
        <v>0</v>
      </c>
      <c r="L463" s="126">
        <f t="shared" ca="1" si="123"/>
        <v>0</v>
      </c>
      <c r="P463">
        <v>456</v>
      </c>
      <c r="Q463" s="6">
        <f t="shared" ca="1" si="129"/>
        <v>38899</v>
      </c>
      <c r="R463" s="7" t="e">
        <f t="shared" ca="1" si="134"/>
        <v>#REF!</v>
      </c>
      <c r="S463" s="125" t="e">
        <f t="shared" ca="1" si="135"/>
        <v>#REF!</v>
      </c>
      <c r="T463" s="125" t="e">
        <f t="shared" ca="1" si="130"/>
        <v>#REF!</v>
      </c>
      <c r="U463" s="128" t="e">
        <f t="shared" ca="1" si="136"/>
        <v>#REF!</v>
      </c>
      <c r="AC463">
        <v>456</v>
      </c>
      <c r="AD463" s="6">
        <f t="shared" ca="1" si="131"/>
        <v>38899</v>
      </c>
      <c r="AE463" s="7" t="e">
        <f t="shared" ca="1" si="137"/>
        <v>#REF!</v>
      </c>
      <c r="AF463" s="125" t="e">
        <f t="shared" ca="1" si="138"/>
        <v>#REF!</v>
      </c>
      <c r="AG463" s="125" t="e">
        <f t="shared" ca="1" si="132"/>
        <v>#REF!</v>
      </c>
      <c r="AH463" s="128" t="e">
        <f t="shared" ca="1" si="139"/>
        <v>#REF!</v>
      </c>
    </row>
    <row r="464" spans="4:34">
      <c r="D464">
        <v>457</v>
      </c>
      <c r="E464" s="6">
        <f t="shared" ca="1" si="124"/>
        <v>38869</v>
      </c>
      <c r="F464" s="7">
        <f t="shared" ca="1" si="133"/>
        <v>0</v>
      </c>
      <c r="G464" s="125">
        <f t="shared" ca="1" si="125"/>
        <v>0</v>
      </c>
      <c r="H464" s="125">
        <f ca="1">IF(F464=1,F464*$B$10/MIN(12,'Simulador - 3º Pilar'!$E$88),0)</f>
        <v>0</v>
      </c>
      <c r="I464" s="128">
        <f t="shared" ca="1" si="126"/>
        <v>0</v>
      </c>
      <c r="J464" s="494">
        <f t="shared" ca="1" si="127"/>
        <v>0</v>
      </c>
      <c r="K464" s="126">
        <f t="shared" ca="1" si="128"/>
        <v>0</v>
      </c>
      <c r="L464" s="126">
        <f t="shared" ca="1" si="123"/>
        <v>0</v>
      </c>
      <c r="P464">
        <v>457</v>
      </c>
      <c r="Q464" s="6">
        <f t="shared" ca="1" si="129"/>
        <v>38869</v>
      </c>
      <c r="R464" s="7" t="e">
        <f t="shared" ca="1" si="134"/>
        <v>#REF!</v>
      </c>
      <c r="S464" s="125" t="e">
        <f t="shared" ca="1" si="135"/>
        <v>#REF!</v>
      </c>
      <c r="T464" s="125" t="e">
        <f t="shared" ca="1" si="130"/>
        <v>#REF!</v>
      </c>
      <c r="U464" s="128" t="e">
        <f t="shared" ca="1" si="136"/>
        <v>#REF!</v>
      </c>
      <c r="AC464">
        <v>457</v>
      </c>
      <c r="AD464" s="6">
        <f t="shared" ca="1" si="131"/>
        <v>38869</v>
      </c>
      <c r="AE464" s="7" t="e">
        <f t="shared" ca="1" si="137"/>
        <v>#REF!</v>
      </c>
      <c r="AF464" s="125" t="e">
        <f t="shared" ca="1" si="138"/>
        <v>#REF!</v>
      </c>
      <c r="AG464" s="125" t="e">
        <f t="shared" ca="1" si="132"/>
        <v>#REF!</v>
      </c>
      <c r="AH464" s="128" t="e">
        <f t="shared" ca="1" si="139"/>
        <v>#REF!</v>
      </c>
    </row>
    <row r="465" spans="4:34">
      <c r="D465">
        <v>458</v>
      </c>
      <c r="E465" s="6">
        <f t="shared" ca="1" si="124"/>
        <v>38838</v>
      </c>
      <c r="F465" s="7">
        <f t="shared" ca="1" si="133"/>
        <v>0</v>
      </c>
      <c r="G465" s="125">
        <f t="shared" ca="1" si="125"/>
        <v>0</v>
      </c>
      <c r="H465" s="125">
        <f ca="1">IF(F465=1,F465*$B$10/MIN(12,'Simulador - 3º Pilar'!$E$88),0)</f>
        <v>0</v>
      </c>
      <c r="I465" s="128">
        <f t="shared" ca="1" si="126"/>
        <v>0</v>
      </c>
      <c r="J465" s="494">
        <f t="shared" ca="1" si="127"/>
        <v>0</v>
      </c>
      <c r="K465" s="126">
        <f t="shared" ca="1" si="128"/>
        <v>0</v>
      </c>
      <c r="L465" s="126">
        <f t="shared" ca="1" si="123"/>
        <v>0</v>
      </c>
      <c r="P465">
        <v>458</v>
      </c>
      <c r="Q465" s="6">
        <f t="shared" ca="1" si="129"/>
        <v>38838</v>
      </c>
      <c r="R465" s="7" t="e">
        <f t="shared" ca="1" si="134"/>
        <v>#REF!</v>
      </c>
      <c r="S465" s="125" t="e">
        <f t="shared" ca="1" si="135"/>
        <v>#REF!</v>
      </c>
      <c r="T465" s="125" t="e">
        <f t="shared" ca="1" si="130"/>
        <v>#REF!</v>
      </c>
      <c r="U465" s="128" t="e">
        <f t="shared" ca="1" si="136"/>
        <v>#REF!</v>
      </c>
      <c r="AC465">
        <v>458</v>
      </c>
      <c r="AD465" s="6">
        <f t="shared" ca="1" si="131"/>
        <v>38838</v>
      </c>
      <c r="AE465" s="7" t="e">
        <f t="shared" ca="1" si="137"/>
        <v>#REF!</v>
      </c>
      <c r="AF465" s="125" t="e">
        <f t="shared" ca="1" si="138"/>
        <v>#REF!</v>
      </c>
      <c r="AG465" s="125" t="e">
        <f t="shared" ca="1" si="132"/>
        <v>#REF!</v>
      </c>
      <c r="AH465" s="128" t="e">
        <f t="shared" ca="1" si="139"/>
        <v>#REF!</v>
      </c>
    </row>
    <row r="466" spans="4:34">
      <c r="D466">
        <v>459</v>
      </c>
      <c r="E466" s="6">
        <f t="shared" ca="1" si="124"/>
        <v>38808</v>
      </c>
      <c r="F466" s="7">
        <f t="shared" ca="1" si="133"/>
        <v>0</v>
      </c>
      <c r="G466" s="125">
        <f t="shared" ca="1" si="125"/>
        <v>0</v>
      </c>
      <c r="H466" s="125">
        <f ca="1">IF(F466=1,F466*$B$10/MIN(12,'Simulador - 3º Pilar'!$E$88),0)</f>
        <v>0</v>
      </c>
      <c r="I466" s="128">
        <f t="shared" ca="1" si="126"/>
        <v>0</v>
      </c>
      <c r="J466" s="494">
        <f t="shared" ca="1" si="127"/>
        <v>0</v>
      </c>
      <c r="K466" s="126">
        <f t="shared" ca="1" si="128"/>
        <v>0</v>
      </c>
      <c r="L466" s="126">
        <f t="shared" ca="1" si="123"/>
        <v>0</v>
      </c>
      <c r="P466">
        <v>459</v>
      </c>
      <c r="Q466" s="6">
        <f t="shared" ca="1" si="129"/>
        <v>38808</v>
      </c>
      <c r="R466" s="7" t="e">
        <f t="shared" ca="1" si="134"/>
        <v>#REF!</v>
      </c>
      <c r="S466" s="125" t="e">
        <f t="shared" ca="1" si="135"/>
        <v>#REF!</v>
      </c>
      <c r="T466" s="125" t="e">
        <f t="shared" ca="1" si="130"/>
        <v>#REF!</v>
      </c>
      <c r="U466" s="128" t="e">
        <f t="shared" ca="1" si="136"/>
        <v>#REF!</v>
      </c>
      <c r="AC466">
        <v>459</v>
      </c>
      <c r="AD466" s="6">
        <f t="shared" ca="1" si="131"/>
        <v>38808</v>
      </c>
      <c r="AE466" s="7" t="e">
        <f t="shared" ca="1" si="137"/>
        <v>#REF!</v>
      </c>
      <c r="AF466" s="125" t="e">
        <f t="shared" ca="1" si="138"/>
        <v>#REF!</v>
      </c>
      <c r="AG466" s="125" t="e">
        <f t="shared" ca="1" si="132"/>
        <v>#REF!</v>
      </c>
      <c r="AH466" s="128" t="e">
        <f t="shared" ca="1" si="139"/>
        <v>#REF!</v>
      </c>
    </row>
    <row r="467" spans="4:34">
      <c r="D467">
        <v>460</v>
      </c>
      <c r="E467" s="6">
        <f t="shared" ca="1" si="124"/>
        <v>38777</v>
      </c>
      <c r="F467" s="7">
        <f t="shared" ca="1" si="133"/>
        <v>0</v>
      </c>
      <c r="G467" s="125">
        <f t="shared" ca="1" si="125"/>
        <v>0</v>
      </c>
      <c r="H467" s="125">
        <f ca="1">IF(F467=1,F467*$B$10/MIN(12,'Simulador - 3º Pilar'!$E$88),0)</f>
        <v>0</v>
      </c>
      <c r="I467" s="128">
        <f t="shared" ca="1" si="126"/>
        <v>0</v>
      </c>
      <c r="J467" s="494">
        <f t="shared" ca="1" si="127"/>
        <v>0</v>
      </c>
      <c r="K467" s="126">
        <f t="shared" ca="1" si="128"/>
        <v>0</v>
      </c>
      <c r="L467" s="126">
        <f t="shared" ca="1" si="123"/>
        <v>0</v>
      </c>
      <c r="P467">
        <v>460</v>
      </c>
      <c r="Q467" s="6">
        <f t="shared" ca="1" si="129"/>
        <v>38777</v>
      </c>
      <c r="R467" s="7" t="e">
        <f t="shared" ca="1" si="134"/>
        <v>#REF!</v>
      </c>
      <c r="S467" s="125" t="e">
        <f t="shared" ca="1" si="135"/>
        <v>#REF!</v>
      </c>
      <c r="T467" s="125" t="e">
        <f t="shared" ca="1" si="130"/>
        <v>#REF!</v>
      </c>
      <c r="U467" s="128" t="e">
        <f t="shared" ca="1" si="136"/>
        <v>#REF!</v>
      </c>
      <c r="AC467">
        <v>460</v>
      </c>
      <c r="AD467" s="6">
        <f t="shared" ca="1" si="131"/>
        <v>38777</v>
      </c>
      <c r="AE467" s="7" t="e">
        <f t="shared" ca="1" si="137"/>
        <v>#REF!</v>
      </c>
      <c r="AF467" s="125" t="e">
        <f t="shared" ca="1" si="138"/>
        <v>#REF!</v>
      </c>
      <c r="AG467" s="125" t="e">
        <f t="shared" ca="1" si="132"/>
        <v>#REF!</v>
      </c>
      <c r="AH467" s="128" t="e">
        <f t="shared" ca="1" si="139"/>
        <v>#REF!</v>
      </c>
    </row>
    <row r="468" spans="4:34">
      <c r="D468">
        <v>461</v>
      </c>
      <c r="E468" s="6">
        <f t="shared" ca="1" si="124"/>
        <v>38749</v>
      </c>
      <c r="F468" s="7">
        <f t="shared" ca="1" si="133"/>
        <v>0</v>
      </c>
      <c r="G468" s="125">
        <f t="shared" ca="1" si="125"/>
        <v>0</v>
      </c>
      <c r="H468" s="125">
        <f ca="1">IF(F468=1,F468*$B$10/MIN(12,'Simulador - 3º Pilar'!$E$88),0)</f>
        <v>0</v>
      </c>
      <c r="I468" s="128">
        <f t="shared" ca="1" si="126"/>
        <v>0</v>
      </c>
      <c r="J468" s="494">
        <f t="shared" ca="1" si="127"/>
        <v>0</v>
      </c>
      <c r="K468" s="126">
        <f t="shared" ca="1" si="128"/>
        <v>0</v>
      </c>
      <c r="L468" s="126">
        <f t="shared" ca="1" si="123"/>
        <v>0</v>
      </c>
      <c r="P468">
        <v>461</v>
      </c>
      <c r="Q468" s="6">
        <f t="shared" ca="1" si="129"/>
        <v>38749</v>
      </c>
      <c r="R468" s="7" t="e">
        <f t="shared" ca="1" si="134"/>
        <v>#REF!</v>
      </c>
      <c r="S468" s="125" t="e">
        <f t="shared" ca="1" si="135"/>
        <v>#REF!</v>
      </c>
      <c r="T468" s="125" t="e">
        <f t="shared" ca="1" si="130"/>
        <v>#REF!</v>
      </c>
      <c r="U468" s="128" t="e">
        <f t="shared" ca="1" si="136"/>
        <v>#REF!</v>
      </c>
      <c r="AC468">
        <v>461</v>
      </c>
      <c r="AD468" s="6">
        <f t="shared" ca="1" si="131"/>
        <v>38749</v>
      </c>
      <c r="AE468" s="7" t="e">
        <f t="shared" ca="1" si="137"/>
        <v>#REF!</v>
      </c>
      <c r="AF468" s="125" t="e">
        <f t="shared" ca="1" si="138"/>
        <v>#REF!</v>
      </c>
      <c r="AG468" s="125" t="e">
        <f t="shared" ca="1" si="132"/>
        <v>#REF!</v>
      </c>
      <c r="AH468" s="128" t="e">
        <f t="shared" ca="1" si="139"/>
        <v>#REF!</v>
      </c>
    </row>
    <row r="469" spans="4:34">
      <c r="D469">
        <v>462</v>
      </c>
      <c r="E469" s="6">
        <f t="shared" ca="1" si="124"/>
        <v>38718</v>
      </c>
      <c r="F469" s="7">
        <f t="shared" ca="1" si="133"/>
        <v>0</v>
      </c>
      <c r="G469" s="125">
        <f t="shared" ca="1" si="125"/>
        <v>0</v>
      </c>
      <c r="H469" s="125">
        <f ca="1">IF(F469=1,F469*$B$10/MIN(12,'Simulador - 3º Pilar'!$E$88),0)</f>
        <v>0</v>
      </c>
      <c r="I469" s="128">
        <f t="shared" ca="1" si="126"/>
        <v>0</v>
      </c>
      <c r="J469" s="494">
        <f t="shared" ca="1" si="127"/>
        <v>0</v>
      </c>
      <c r="K469" s="126">
        <f t="shared" ca="1" si="128"/>
        <v>0</v>
      </c>
      <c r="L469" s="126">
        <f t="shared" ca="1" si="123"/>
        <v>0</v>
      </c>
      <c r="P469">
        <v>462</v>
      </c>
      <c r="Q469" s="6">
        <f t="shared" ca="1" si="129"/>
        <v>38718</v>
      </c>
      <c r="R469" s="7" t="e">
        <f t="shared" ca="1" si="134"/>
        <v>#REF!</v>
      </c>
      <c r="S469" s="125" t="e">
        <f t="shared" ca="1" si="135"/>
        <v>#REF!</v>
      </c>
      <c r="T469" s="125" t="e">
        <f t="shared" ca="1" si="130"/>
        <v>#REF!</v>
      </c>
      <c r="U469" s="128" t="e">
        <f t="shared" ca="1" si="136"/>
        <v>#REF!</v>
      </c>
      <c r="AC469">
        <v>462</v>
      </c>
      <c r="AD469" s="6">
        <f t="shared" ca="1" si="131"/>
        <v>38718</v>
      </c>
      <c r="AE469" s="7" t="e">
        <f t="shared" ca="1" si="137"/>
        <v>#REF!</v>
      </c>
      <c r="AF469" s="125" t="e">
        <f t="shared" ca="1" si="138"/>
        <v>#REF!</v>
      </c>
      <c r="AG469" s="125" t="e">
        <f t="shared" ca="1" si="132"/>
        <v>#REF!</v>
      </c>
      <c r="AH469" s="128" t="e">
        <f t="shared" ca="1" si="139"/>
        <v>#REF!</v>
      </c>
    </row>
    <row r="470" spans="4:34">
      <c r="D470">
        <v>463</v>
      </c>
      <c r="E470" s="6">
        <f t="shared" ca="1" si="124"/>
        <v>38687</v>
      </c>
      <c r="F470" s="7">
        <f t="shared" ca="1" si="133"/>
        <v>0</v>
      </c>
      <c r="G470" s="125">
        <f t="shared" ca="1" si="125"/>
        <v>0</v>
      </c>
      <c r="H470" s="125">
        <f ca="1">IF(F470=1,F470*$B$10/MIN(12,'Simulador - 3º Pilar'!$E$88),0)</f>
        <v>0</v>
      </c>
      <c r="I470" s="128">
        <f t="shared" ca="1" si="126"/>
        <v>0</v>
      </c>
      <c r="J470" s="494">
        <f t="shared" ca="1" si="127"/>
        <v>0</v>
      </c>
      <c r="K470" s="126">
        <f t="shared" ca="1" si="128"/>
        <v>0</v>
      </c>
      <c r="L470" s="126">
        <f t="shared" ca="1" si="123"/>
        <v>0</v>
      </c>
      <c r="P470">
        <v>463</v>
      </c>
      <c r="Q470" s="6">
        <f t="shared" ca="1" si="129"/>
        <v>38687</v>
      </c>
      <c r="R470" s="7" t="e">
        <f t="shared" ca="1" si="134"/>
        <v>#REF!</v>
      </c>
      <c r="S470" s="125" t="e">
        <f t="shared" ca="1" si="135"/>
        <v>#REF!</v>
      </c>
      <c r="T470" s="125" t="e">
        <f t="shared" ca="1" si="130"/>
        <v>#REF!</v>
      </c>
      <c r="U470" s="128" t="e">
        <f t="shared" ca="1" si="136"/>
        <v>#REF!</v>
      </c>
      <c r="AC470">
        <v>463</v>
      </c>
      <c r="AD470" s="6">
        <f t="shared" ca="1" si="131"/>
        <v>38687</v>
      </c>
      <c r="AE470" s="7" t="e">
        <f t="shared" ca="1" si="137"/>
        <v>#REF!</v>
      </c>
      <c r="AF470" s="125" t="e">
        <f t="shared" ca="1" si="138"/>
        <v>#REF!</v>
      </c>
      <c r="AG470" s="125" t="e">
        <f t="shared" ca="1" si="132"/>
        <v>#REF!</v>
      </c>
      <c r="AH470" s="128" t="e">
        <f t="shared" ca="1" si="139"/>
        <v>#REF!</v>
      </c>
    </row>
    <row r="471" spans="4:34">
      <c r="D471">
        <v>464</v>
      </c>
      <c r="E471" s="6">
        <f t="shared" ca="1" si="124"/>
        <v>38657</v>
      </c>
      <c r="F471" s="7">
        <f t="shared" ca="1" si="133"/>
        <v>0</v>
      </c>
      <c r="G471" s="125">
        <f t="shared" ca="1" si="125"/>
        <v>0</v>
      </c>
      <c r="H471" s="125">
        <f ca="1">IF(F471=1,F471*$B$10/MIN(12,'Simulador - 3º Pilar'!$E$88),0)</f>
        <v>0</v>
      </c>
      <c r="I471" s="128">
        <f t="shared" ca="1" si="126"/>
        <v>0</v>
      </c>
      <c r="J471" s="494">
        <f t="shared" ca="1" si="127"/>
        <v>0</v>
      </c>
      <c r="K471" s="126">
        <f t="shared" ca="1" si="128"/>
        <v>0</v>
      </c>
      <c r="L471" s="126">
        <f t="shared" ca="1" si="123"/>
        <v>0</v>
      </c>
      <c r="P471">
        <v>464</v>
      </c>
      <c r="Q471" s="6">
        <f t="shared" ca="1" si="129"/>
        <v>38657</v>
      </c>
      <c r="R471" s="7" t="e">
        <f t="shared" ca="1" si="134"/>
        <v>#REF!</v>
      </c>
      <c r="S471" s="125" t="e">
        <f t="shared" ca="1" si="135"/>
        <v>#REF!</v>
      </c>
      <c r="T471" s="125" t="e">
        <f t="shared" ca="1" si="130"/>
        <v>#REF!</v>
      </c>
      <c r="U471" s="128" t="e">
        <f t="shared" ca="1" si="136"/>
        <v>#REF!</v>
      </c>
      <c r="AC471">
        <v>464</v>
      </c>
      <c r="AD471" s="6">
        <f t="shared" ca="1" si="131"/>
        <v>38657</v>
      </c>
      <c r="AE471" s="7" t="e">
        <f t="shared" ca="1" si="137"/>
        <v>#REF!</v>
      </c>
      <c r="AF471" s="125" t="e">
        <f t="shared" ca="1" si="138"/>
        <v>#REF!</v>
      </c>
      <c r="AG471" s="125" t="e">
        <f t="shared" ca="1" si="132"/>
        <v>#REF!</v>
      </c>
      <c r="AH471" s="128" t="e">
        <f t="shared" ca="1" si="139"/>
        <v>#REF!</v>
      </c>
    </row>
    <row r="472" spans="4:34">
      <c r="D472">
        <v>465</v>
      </c>
      <c r="E472" s="6">
        <f t="shared" ca="1" si="124"/>
        <v>38626</v>
      </c>
      <c r="F472" s="7">
        <f t="shared" ca="1" si="133"/>
        <v>0</v>
      </c>
      <c r="G472" s="125">
        <f t="shared" ca="1" si="125"/>
        <v>0</v>
      </c>
      <c r="H472" s="125">
        <f ca="1">IF(F472=1,F472*$B$10/MIN(12,'Simulador - 3º Pilar'!$E$88),0)</f>
        <v>0</v>
      </c>
      <c r="I472" s="128">
        <f t="shared" ca="1" si="126"/>
        <v>0</v>
      </c>
      <c r="J472" s="494">
        <f t="shared" ca="1" si="127"/>
        <v>0</v>
      </c>
      <c r="K472" s="126">
        <f t="shared" ca="1" si="128"/>
        <v>0</v>
      </c>
      <c r="L472" s="126">
        <f t="shared" ca="1" si="123"/>
        <v>0</v>
      </c>
      <c r="P472">
        <v>465</v>
      </c>
      <c r="Q472" s="6">
        <f t="shared" ca="1" si="129"/>
        <v>38626</v>
      </c>
      <c r="R472" s="7" t="e">
        <f t="shared" ca="1" si="134"/>
        <v>#REF!</v>
      </c>
      <c r="S472" s="125" t="e">
        <f t="shared" ca="1" si="135"/>
        <v>#REF!</v>
      </c>
      <c r="T472" s="125" t="e">
        <f t="shared" ca="1" si="130"/>
        <v>#REF!</v>
      </c>
      <c r="U472" s="128" t="e">
        <f t="shared" ca="1" si="136"/>
        <v>#REF!</v>
      </c>
      <c r="AC472">
        <v>465</v>
      </c>
      <c r="AD472" s="6">
        <f t="shared" ca="1" si="131"/>
        <v>38626</v>
      </c>
      <c r="AE472" s="7" t="e">
        <f t="shared" ca="1" si="137"/>
        <v>#REF!</v>
      </c>
      <c r="AF472" s="125" t="e">
        <f t="shared" ca="1" si="138"/>
        <v>#REF!</v>
      </c>
      <c r="AG472" s="125" t="e">
        <f t="shared" ca="1" si="132"/>
        <v>#REF!</v>
      </c>
      <c r="AH472" s="128" t="e">
        <f t="shared" ca="1" si="139"/>
        <v>#REF!</v>
      </c>
    </row>
    <row r="473" spans="4:34">
      <c r="D473">
        <v>466</v>
      </c>
      <c r="E473" s="6">
        <f t="shared" ca="1" si="124"/>
        <v>38596</v>
      </c>
      <c r="F473" s="7">
        <f t="shared" ca="1" si="133"/>
        <v>0</v>
      </c>
      <c r="G473" s="125">
        <f t="shared" ca="1" si="125"/>
        <v>0</v>
      </c>
      <c r="H473" s="125">
        <f ca="1">IF(F473=1,F473*$B$10/MIN(12,'Simulador - 3º Pilar'!$E$88),0)</f>
        <v>0</v>
      </c>
      <c r="I473" s="128">
        <f t="shared" ca="1" si="126"/>
        <v>0</v>
      </c>
      <c r="J473" s="494">
        <f t="shared" ca="1" si="127"/>
        <v>0</v>
      </c>
      <c r="K473" s="126">
        <f t="shared" ca="1" si="128"/>
        <v>0</v>
      </c>
      <c r="L473" s="126">
        <f t="shared" ca="1" si="123"/>
        <v>0</v>
      </c>
      <c r="P473">
        <v>466</v>
      </c>
      <c r="Q473" s="6">
        <f t="shared" ca="1" si="129"/>
        <v>38596</v>
      </c>
      <c r="R473" s="7" t="e">
        <f t="shared" ca="1" si="134"/>
        <v>#REF!</v>
      </c>
      <c r="S473" s="125" t="e">
        <f t="shared" ca="1" si="135"/>
        <v>#REF!</v>
      </c>
      <c r="T473" s="125" t="e">
        <f t="shared" ca="1" si="130"/>
        <v>#REF!</v>
      </c>
      <c r="U473" s="128" t="e">
        <f t="shared" ca="1" si="136"/>
        <v>#REF!</v>
      </c>
      <c r="AC473">
        <v>466</v>
      </c>
      <c r="AD473" s="6">
        <f t="shared" ca="1" si="131"/>
        <v>38596</v>
      </c>
      <c r="AE473" s="7" t="e">
        <f t="shared" ca="1" si="137"/>
        <v>#REF!</v>
      </c>
      <c r="AF473" s="125" t="e">
        <f t="shared" ca="1" si="138"/>
        <v>#REF!</v>
      </c>
      <c r="AG473" s="125" t="e">
        <f t="shared" ca="1" si="132"/>
        <v>#REF!</v>
      </c>
      <c r="AH473" s="128" t="e">
        <f t="shared" ca="1" si="139"/>
        <v>#REF!</v>
      </c>
    </row>
    <row r="474" spans="4:34">
      <c r="D474">
        <v>467</v>
      </c>
      <c r="E474" s="6">
        <f t="shared" ca="1" si="124"/>
        <v>38565</v>
      </c>
      <c r="F474" s="7">
        <f t="shared" ca="1" si="133"/>
        <v>0</v>
      </c>
      <c r="G474" s="125">
        <f t="shared" ca="1" si="125"/>
        <v>0</v>
      </c>
      <c r="H474" s="125">
        <f ca="1">IF(F474=1,F474*$B$10/MIN(12,'Simulador - 3º Pilar'!$E$88),0)</f>
        <v>0</v>
      </c>
      <c r="I474" s="128">
        <f t="shared" ca="1" si="126"/>
        <v>0</v>
      </c>
      <c r="J474" s="494">
        <f t="shared" ca="1" si="127"/>
        <v>0</v>
      </c>
      <c r="K474" s="126">
        <f t="shared" ca="1" si="128"/>
        <v>0</v>
      </c>
      <c r="L474" s="126">
        <f t="shared" ca="1" si="123"/>
        <v>0</v>
      </c>
      <c r="P474">
        <v>467</v>
      </c>
      <c r="Q474" s="6">
        <f t="shared" ca="1" si="129"/>
        <v>38565</v>
      </c>
      <c r="R474" s="7" t="e">
        <f t="shared" ca="1" si="134"/>
        <v>#REF!</v>
      </c>
      <c r="S474" s="125" t="e">
        <f t="shared" ca="1" si="135"/>
        <v>#REF!</v>
      </c>
      <c r="T474" s="125" t="e">
        <f t="shared" ca="1" si="130"/>
        <v>#REF!</v>
      </c>
      <c r="U474" s="128" t="e">
        <f t="shared" ca="1" si="136"/>
        <v>#REF!</v>
      </c>
      <c r="AC474">
        <v>467</v>
      </c>
      <c r="AD474" s="6">
        <f t="shared" ca="1" si="131"/>
        <v>38565</v>
      </c>
      <c r="AE474" s="7" t="e">
        <f t="shared" ca="1" si="137"/>
        <v>#REF!</v>
      </c>
      <c r="AF474" s="125" t="e">
        <f t="shared" ca="1" si="138"/>
        <v>#REF!</v>
      </c>
      <c r="AG474" s="125" t="e">
        <f t="shared" ca="1" si="132"/>
        <v>#REF!</v>
      </c>
      <c r="AH474" s="128" t="e">
        <f t="shared" ca="1" si="139"/>
        <v>#REF!</v>
      </c>
    </row>
    <row r="475" spans="4:34">
      <c r="D475">
        <v>468</v>
      </c>
      <c r="E475" s="6">
        <f t="shared" ca="1" si="124"/>
        <v>38534</v>
      </c>
      <c r="F475" s="7">
        <f t="shared" ca="1" si="133"/>
        <v>0</v>
      </c>
      <c r="G475" s="125">
        <f t="shared" ca="1" si="125"/>
        <v>0</v>
      </c>
      <c r="H475" s="125">
        <f ca="1">IF(F475=1,F475*$B$10/MIN(12,'Simulador - 3º Pilar'!$E$88),0)</f>
        <v>0</v>
      </c>
      <c r="I475" s="128">
        <f t="shared" ca="1" si="126"/>
        <v>0</v>
      </c>
      <c r="J475" s="494">
        <f t="shared" ca="1" si="127"/>
        <v>0</v>
      </c>
      <c r="K475" s="126">
        <f t="shared" ca="1" si="128"/>
        <v>0</v>
      </c>
      <c r="L475" s="126">
        <f t="shared" ca="1" si="123"/>
        <v>0</v>
      </c>
      <c r="P475">
        <v>468</v>
      </c>
      <c r="Q475" s="6">
        <f t="shared" ca="1" si="129"/>
        <v>38534</v>
      </c>
      <c r="R475" s="7" t="e">
        <f t="shared" ca="1" si="134"/>
        <v>#REF!</v>
      </c>
      <c r="S475" s="125" t="e">
        <f t="shared" ca="1" si="135"/>
        <v>#REF!</v>
      </c>
      <c r="T475" s="125" t="e">
        <f t="shared" ca="1" si="130"/>
        <v>#REF!</v>
      </c>
      <c r="U475" s="128" t="e">
        <f t="shared" ca="1" si="136"/>
        <v>#REF!</v>
      </c>
      <c r="AC475">
        <v>468</v>
      </c>
      <c r="AD475" s="6">
        <f t="shared" ca="1" si="131"/>
        <v>38534</v>
      </c>
      <c r="AE475" s="7" t="e">
        <f t="shared" ca="1" si="137"/>
        <v>#REF!</v>
      </c>
      <c r="AF475" s="125" t="e">
        <f t="shared" ca="1" si="138"/>
        <v>#REF!</v>
      </c>
      <c r="AG475" s="125" t="e">
        <f t="shared" ca="1" si="132"/>
        <v>#REF!</v>
      </c>
      <c r="AH475" s="128" t="e">
        <f t="shared" ca="1" si="139"/>
        <v>#REF!</v>
      </c>
    </row>
    <row r="476" spans="4:34">
      <c r="D476">
        <v>469</v>
      </c>
      <c r="E476" s="6">
        <f t="shared" ca="1" si="124"/>
        <v>38504</v>
      </c>
      <c r="F476" s="7">
        <f t="shared" ca="1" si="133"/>
        <v>0</v>
      </c>
      <c r="G476" s="125">
        <f t="shared" ca="1" si="125"/>
        <v>0</v>
      </c>
      <c r="H476" s="125">
        <f ca="1">IF(F476=1,F476*$B$10/MIN(12,'Simulador - 3º Pilar'!$E$88),0)</f>
        <v>0</v>
      </c>
      <c r="I476" s="128">
        <f t="shared" ca="1" si="126"/>
        <v>0</v>
      </c>
      <c r="J476" s="494">
        <f t="shared" ca="1" si="127"/>
        <v>0</v>
      </c>
      <c r="K476" s="126">
        <f t="shared" ca="1" si="128"/>
        <v>0</v>
      </c>
      <c r="L476" s="126">
        <f t="shared" ca="1" si="123"/>
        <v>0</v>
      </c>
      <c r="P476">
        <v>469</v>
      </c>
      <c r="Q476" s="6">
        <f t="shared" ca="1" si="129"/>
        <v>38504</v>
      </c>
      <c r="R476" s="7" t="e">
        <f t="shared" ca="1" si="134"/>
        <v>#REF!</v>
      </c>
      <c r="S476" s="125" t="e">
        <f t="shared" ca="1" si="135"/>
        <v>#REF!</v>
      </c>
      <c r="T476" s="125" t="e">
        <f t="shared" ca="1" si="130"/>
        <v>#REF!</v>
      </c>
      <c r="U476" s="128" t="e">
        <f t="shared" ca="1" si="136"/>
        <v>#REF!</v>
      </c>
      <c r="AC476">
        <v>469</v>
      </c>
      <c r="AD476" s="6">
        <f t="shared" ca="1" si="131"/>
        <v>38504</v>
      </c>
      <c r="AE476" s="7" t="e">
        <f t="shared" ca="1" si="137"/>
        <v>#REF!</v>
      </c>
      <c r="AF476" s="125" t="e">
        <f t="shared" ca="1" si="138"/>
        <v>#REF!</v>
      </c>
      <c r="AG476" s="125" t="e">
        <f t="shared" ca="1" si="132"/>
        <v>#REF!</v>
      </c>
      <c r="AH476" s="128" t="e">
        <f t="shared" ca="1" si="139"/>
        <v>#REF!</v>
      </c>
    </row>
    <row r="477" spans="4:34">
      <c r="D477">
        <v>470</v>
      </c>
      <c r="E477" s="6">
        <f t="shared" ca="1" si="124"/>
        <v>38473</v>
      </c>
      <c r="F477" s="7">
        <f t="shared" ca="1" si="133"/>
        <v>0</v>
      </c>
      <c r="G477" s="125">
        <f t="shared" ca="1" si="125"/>
        <v>0</v>
      </c>
      <c r="H477" s="125">
        <f ca="1">IF(F477=1,F477*$B$10/MIN(12,'Simulador - 3º Pilar'!$E$88),0)</f>
        <v>0</v>
      </c>
      <c r="I477" s="128">
        <f t="shared" ca="1" si="126"/>
        <v>0</v>
      </c>
      <c r="J477" s="494">
        <f t="shared" ca="1" si="127"/>
        <v>0</v>
      </c>
      <c r="K477" s="126">
        <f t="shared" ca="1" si="128"/>
        <v>0</v>
      </c>
      <c r="L477" s="126">
        <f t="shared" ca="1" si="123"/>
        <v>0</v>
      </c>
      <c r="P477">
        <v>470</v>
      </c>
      <c r="Q477" s="6">
        <f t="shared" ca="1" si="129"/>
        <v>38473</v>
      </c>
      <c r="R477" s="7" t="e">
        <f t="shared" ca="1" si="134"/>
        <v>#REF!</v>
      </c>
      <c r="S477" s="125" t="e">
        <f t="shared" ca="1" si="135"/>
        <v>#REF!</v>
      </c>
      <c r="T477" s="125" t="e">
        <f t="shared" ca="1" si="130"/>
        <v>#REF!</v>
      </c>
      <c r="U477" s="128" t="e">
        <f t="shared" ca="1" si="136"/>
        <v>#REF!</v>
      </c>
      <c r="AC477">
        <v>470</v>
      </c>
      <c r="AD477" s="6">
        <f t="shared" ca="1" si="131"/>
        <v>38473</v>
      </c>
      <c r="AE477" s="7" t="e">
        <f t="shared" ca="1" si="137"/>
        <v>#REF!</v>
      </c>
      <c r="AF477" s="125" t="e">
        <f t="shared" ca="1" si="138"/>
        <v>#REF!</v>
      </c>
      <c r="AG477" s="125" t="e">
        <f t="shared" ca="1" si="132"/>
        <v>#REF!</v>
      </c>
      <c r="AH477" s="128" t="e">
        <f t="shared" ca="1" si="139"/>
        <v>#REF!</v>
      </c>
    </row>
    <row r="478" spans="4:34">
      <c r="D478">
        <v>471</v>
      </c>
      <c r="E478" s="6">
        <f t="shared" ca="1" si="124"/>
        <v>38443</v>
      </c>
      <c r="F478" s="7">
        <f t="shared" ca="1" si="133"/>
        <v>0</v>
      </c>
      <c r="G478" s="125">
        <f t="shared" ca="1" si="125"/>
        <v>0</v>
      </c>
      <c r="H478" s="125">
        <f ca="1">IF(F478=1,F478*$B$10/MIN(12,'Simulador - 3º Pilar'!$E$88),0)</f>
        <v>0</v>
      </c>
      <c r="I478" s="128">
        <f t="shared" ca="1" si="126"/>
        <v>0</v>
      </c>
      <c r="J478" s="494">
        <f t="shared" ca="1" si="127"/>
        <v>0</v>
      </c>
      <c r="K478" s="126">
        <f t="shared" ca="1" si="128"/>
        <v>0</v>
      </c>
      <c r="L478" s="126">
        <f t="shared" ca="1" si="123"/>
        <v>0</v>
      </c>
      <c r="P478">
        <v>471</v>
      </c>
      <c r="Q478" s="6">
        <f t="shared" ca="1" si="129"/>
        <v>38443</v>
      </c>
      <c r="R478" s="7" t="e">
        <f t="shared" ca="1" si="134"/>
        <v>#REF!</v>
      </c>
      <c r="S478" s="125" t="e">
        <f t="shared" ca="1" si="135"/>
        <v>#REF!</v>
      </c>
      <c r="T478" s="125" t="e">
        <f t="shared" ca="1" si="130"/>
        <v>#REF!</v>
      </c>
      <c r="U478" s="128" t="e">
        <f t="shared" ca="1" si="136"/>
        <v>#REF!</v>
      </c>
      <c r="AC478">
        <v>471</v>
      </c>
      <c r="AD478" s="6">
        <f t="shared" ca="1" si="131"/>
        <v>38443</v>
      </c>
      <c r="AE478" s="7" t="e">
        <f t="shared" ca="1" si="137"/>
        <v>#REF!</v>
      </c>
      <c r="AF478" s="125" t="e">
        <f t="shared" ca="1" si="138"/>
        <v>#REF!</v>
      </c>
      <c r="AG478" s="125" t="e">
        <f t="shared" ca="1" si="132"/>
        <v>#REF!</v>
      </c>
      <c r="AH478" s="128" t="e">
        <f t="shared" ca="1" si="139"/>
        <v>#REF!</v>
      </c>
    </row>
    <row r="479" spans="4:34">
      <c r="D479">
        <v>472</v>
      </c>
      <c r="E479" s="6">
        <f t="shared" ca="1" si="124"/>
        <v>38412</v>
      </c>
      <c r="F479" s="7">
        <f t="shared" ca="1" si="133"/>
        <v>0</v>
      </c>
      <c r="G479" s="125">
        <f t="shared" ca="1" si="125"/>
        <v>0</v>
      </c>
      <c r="H479" s="125">
        <f ca="1">IF(F479=1,F479*$B$10/MIN(12,'Simulador - 3º Pilar'!$E$88),0)</f>
        <v>0</v>
      </c>
      <c r="I479" s="128">
        <f t="shared" ca="1" si="126"/>
        <v>0</v>
      </c>
      <c r="J479" s="494">
        <f t="shared" ca="1" si="127"/>
        <v>0</v>
      </c>
      <c r="K479" s="126">
        <f t="shared" ca="1" si="128"/>
        <v>0</v>
      </c>
      <c r="L479" s="126">
        <f t="shared" ca="1" si="123"/>
        <v>0</v>
      </c>
      <c r="P479">
        <v>472</v>
      </c>
      <c r="Q479" s="6">
        <f t="shared" ca="1" si="129"/>
        <v>38412</v>
      </c>
      <c r="R479" s="7" t="e">
        <f t="shared" ca="1" si="134"/>
        <v>#REF!</v>
      </c>
      <c r="S479" s="125" t="e">
        <f t="shared" ca="1" si="135"/>
        <v>#REF!</v>
      </c>
      <c r="T479" s="125" t="e">
        <f t="shared" ca="1" si="130"/>
        <v>#REF!</v>
      </c>
      <c r="U479" s="128" t="e">
        <f t="shared" ca="1" si="136"/>
        <v>#REF!</v>
      </c>
      <c r="AC479">
        <v>472</v>
      </c>
      <c r="AD479" s="6">
        <f t="shared" ca="1" si="131"/>
        <v>38412</v>
      </c>
      <c r="AE479" s="7" t="e">
        <f t="shared" ca="1" si="137"/>
        <v>#REF!</v>
      </c>
      <c r="AF479" s="125" t="e">
        <f t="shared" ca="1" si="138"/>
        <v>#REF!</v>
      </c>
      <c r="AG479" s="125" t="e">
        <f t="shared" ca="1" si="132"/>
        <v>#REF!</v>
      </c>
      <c r="AH479" s="128" t="e">
        <f t="shared" ca="1" si="139"/>
        <v>#REF!</v>
      </c>
    </row>
    <row r="480" spans="4:34">
      <c r="D480">
        <v>473</v>
      </c>
      <c r="E480" s="6">
        <f t="shared" ca="1" si="124"/>
        <v>38384</v>
      </c>
      <c r="F480" s="7">
        <f t="shared" ca="1" si="133"/>
        <v>0</v>
      </c>
      <c r="G480" s="125">
        <f t="shared" ca="1" si="125"/>
        <v>0</v>
      </c>
      <c r="H480" s="125">
        <f ca="1">IF(F480=1,F480*$B$10/MIN(12,'Simulador - 3º Pilar'!$E$88),0)</f>
        <v>0</v>
      </c>
      <c r="I480" s="128">
        <f t="shared" ca="1" si="126"/>
        <v>0</v>
      </c>
      <c r="J480" s="494">
        <f t="shared" ca="1" si="127"/>
        <v>0</v>
      </c>
      <c r="K480" s="126">
        <f t="shared" ca="1" si="128"/>
        <v>0</v>
      </c>
      <c r="L480" s="126">
        <f t="shared" ca="1" si="123"/>
        <v>0</v>
      </c>
      <c r="P480">
        <v>473</v>
      </c>
      <c r="Q480" s="6">
        <f t="shared" ca="1" si="129"/>
        <v>38384</v>
      </c>
      <c r="R480" s="7" t="e">
        <f t="shared" ca="1" si="134"/>
        <v>#REF!</v>
      </c>
      <c r="S480" s="125" t="e">
        <f t="shared" ca="1" si="135"/>
        <v>#REF!</v>
      </c>
      <c r="T480" s="125" t="e">
        <f t="shared" ca="1" si="130"/>
        <v>#REF!</v>
      </c>
      <c r="U480" s="128" t="e">
        <f t="shared" ca="1" si="136"/>
        <v>#REF!</v>
      </c>
      <c r="AC480">
        <v>473</v>
      </c>
      <c r="AD480" s="6">
        <f t="shared" ca="1" si="131"/>
        <v>38384</v>
      </c>
      <c r="AE480" s="7" t="e">
        <f t="shared" ca="1" si="137"/>
        <v>#REF!</v>
      </c>
      <c r="AF480" s="125" t="e">
        <f t="shared" ca="1" si="138"/>
        <v>#REF!</v>
      </c>
      <c r="AG480" s="125" t="e">
        <f t="shared" ca="1" si="132"/>
        <v>#REF!</v>
      </c>
      <c r="AH480" s="128" t="e">
        <f t="shared" ca="1" si="139"/>
        <v>#REF!</v>
      </c>
    </row>
    <row r="481" spans="4:34">
      <c r="D481">
        <v>474</v>
      </c>
      <c r="E481" s="6">
        <f t="shared" ca="1" si="124"/>
        <v>38353</v>
      </c>
      <c r="F481" s="7">
        <f t="shared" ca="1" si="133"/>
        <v>0</v>
      </c>
      <c r="G481" s="125">
        <f t="shared" ca="1" si="125"/>
        <v>0</v>
      </c>
      <c r="H481" s="125">
        <f ca="1">IF(F481=1,F481*$B$10/MIN(12,'Simulador - 3º Pilar'!$E$88),0)</f>
        <v>0</v>
      </c>
      <c r="I481" s="128">
        <f t="shared" ca="1" si="126"/>
        <v>0</v>
      </c>
      <c r="J481" s="494">
        <f t="shared" ca="1" si="127"/>
        <v>0</v>
      </c>
      <c r="K481" s="126">
        <f t="shared" ca="1" si="128"/>
        <v>0</v>
      </c>
      <c r="L481" s="126">
        <f t="shared" ref="L481:L544" ca="1" si="140">(1+$G$5)^(D481/12)*(IF((E481)&gt;($B$6),H481,0)+IF(E481=$N$7,$N$4,0)+IF(E481=$C$6,0,0))</f>
        <v>0</v>
      </c>
      <c r="P481">
        <v>474</v>
      </c>
      <c r="Q481" s="6">
        <f t="shared" ca="1" si="129"/>
        <v>38353</v>
      </c>
      <c r="R481" s="7" t="e">
        <f t="shared" ca="1" si="134"/>
        <v>#REF!</v>
      </c>
      <c r="S481" s="125" t="e">
        <f t="shared" ca="1" si="135"/>
        <v>#REF!</v>
      </c>
      <c r="T481" s="125" t="e">
        <f t="shared" ca="1" si="130"/>
        <v>#REF!</v>
      </c>
      <c r="U481" s="128" t="e">
        <f t="shared" ca="1" si="136"/>
        <v>#REF!</v>
      </c>
      <c r="AC481">
        <v>474</v>
      </c>
      <c r="AD481" s="6">
        <f t="shared" ca="1" si="131"/>
        <v>38353</v>
      </c>
      <c r="AE481" s="7" t="e">
        <f t="shared" ca="1" si="137"/>
        <v>#REF!</v>
      </c>
      <c r="AF481" s="125" t="e">
        <f t="shared" ca="1" si="138"/>
        <v>#REF!</v>
      </c>
      <c r="AG481" s="125" t="e">
        <f t="shared" ca="1" si="132"/>
        <v>#REF!</v>
      </c>
      <c r="AH481" s="128" t="e">
        <f t="shared" ca="1" si="139"/>
        <v>#REF!</v>
      </c>
    </row>
    <row r="482" spans="4:34">
      <c r="D482">
        <v>475</v>
      </c>
      <c r="E482" s="6">
        <f t="shared" ca="1" si="124"/>
        <v>38322</v>
      </c>
      <c r="F482" s="7">
        <f t="shared" ca="1" si="133"/>
        <v>0</v>
      </c>
      <c r="G482" s="125">
        <f t="shared" ca="1" si="125"/>
        <v>0</v>
      </c>
      <c r="H482" s="125">
        <f ca="1">IF(F482=1,F482*$B$10/MIN(12,'Simulador - 3º Pilar'!$E$88),0)</f>
        <v>0</v>
      </c>
      <c r="I482" s="128">
        <f t="shared" ca="1" si="126"/>
        <v>0</v>
      </c>
      <c r="J482" s="494">
        <f t="shared" ca="1" si="127"/>
        <v>0</v>
      </c>
      <c r="K482" s="126">
        <f t="shared" ca="1" si="128"/>
        <v>0</v>
      </c>
      <c r="L482" s="126">
        <f t="shared" ca="1" si="140"/>
        <v>0</v>
      </c>
      <c r="P482">
        <v>475</v>
      </c>
      <c r="Q482" s="6">
        <f t="shared" ca="1" si="129"/>
        <v>38322</v>
      </c>
      <c r="R482" s="7" t="e">
        <f t="shared" ca="1" si="134"/>
        <v>#REF!</v>
      </c>
      <c r="S482" s="125" t="e">
        <f t="shared" ca="1" si="135"/>
        <v>#REF!</v>
      </c>
      <c r="T482" s="125" t="e">
        <f t="shared" ca="1" si="130"/>
        <v>#REF!</v>
      </c>
      <c r="U482" s="128" t="e">
        <f t="shared" ca="1" si="136"/>
        <v>#REF!</v>
      </c>
      <c r="AC482">
        <v>475</v>
      </c>
      <c r="AD482" s="6">
        <f t="shared" ca="1" si="131"/>
        <v>38322</v>
      </c>
      <c r="AE482" s="7" t="e">
        <f t="shared" ca="1" si="137"/>
        <v>#REF!</v>
      </c>
      <c r="AF482" s="125" t="e">
        <f t="shared" ca="1" si="138"/>
        <v>#REF!</v>
      </c>
      <c r="AG482" s="125" t="e">
        <f t="shared" ca="1" si="132"/>
        <v>#REF!</v>
      </c>
      <c r="AH482" s="128" t="e">
        <f t="shared" ca="1" si="139"/>
        <v>#REF!</v>
      </c>
    </row>
    <row r="483" spans="4:34">
      <c r="D483">
        <v>476</v>
      </c>
      <c r="E483" s="6">
        <f t="shared" ca="1" si="124"/>
        <v>38292</v>
      </c>
      <c r="F483" s="7">
        <f t="shared" ca="1" si="133"/>
        <v>0</v>
      </c>
      <c r="G483" s="125">
        <f t="shared" ca="1" si="125"/>
        <v>0</v>
      </c>
      <c r="H483" s="125">
        <f ca="1">IF(F483=1,F483*$B$10/MIN(12,'Simulador - 3º Pilar'!$E$88),0)</f>
        <v>0</v>
      </c>
      <c r="I483" s="128">
        <f t="shared" ca="1" si="126"/>
        <v>0</v>
      </c>
      <c r="J483" s="494">
        <f t="shared" ca="1" si="127"/>
        <v>0</v>
      </c>
      <c r="K483" s="126">
        <f t="shared" ca="1" si="128"/>
        <v>0</v>
      </c>
      <c r="L483" s="126">
        <f t="shared" ca="1" si="140"/>
        <v>0</v>
      </c>
      <c r="P483">
        <v>476</v>
      </c>
      <c r="Q483" s="6">
        <f t="shared" ca="1" si="129"/>
        <v>38292</v>
      </c>
      <c r="R483" s="7" t="e">
        <f t="shared" ca="1" si="134"/>
        <v>#REF!</v>
      </c>
      <c r="S483" s="125" t="e">
        <f t="shared" ca="1" si="135"/>
        <v>#REF!</v>
      </c>
      <c r="T483" s="125" t="e">
        <f t="shared" ca="1" si="130"/>
        <v>#REF!</v>
      </c>
      <c r="U483" s="128" t="e">
        <f t="shared" ca="1" si="136"/>
        <v>#REF!</v>
      </c>
      <c r="AC483">
        <v>476</v>
      </c>
      <c r="AD483" s="6">
        <f t="shared" ca="1" si="131"/>
        <v>38292</v>
      </c>
      <c r="AE483" s="7" t="e">
        <f t="shared" ca="1" si="137"/>
        <v>#REF!</v>
      </c>
      <c r="AF483" s="125" t="e">
        <f t="shared" ca="1" si="138"/>
        <v>#REF!</v>
      </c>
      <c r="AG483" s="125" t="e">
        <f t="shared" ca="1" si="132"/>
        <v>#REF!</v>
      </c>
      <c r="AH483" s="128" t="e">
        <f t="shared" ca="1" si="139"/>
        <v>#REF!</v>
      </c>
    </row>
    <row r="484" spans="4:34">
      <c r="D484">
        <v>477</v>
      </c>
      <c r="E484" s="6">
        <f t="shared" ca="1" si="124"/>
        <v>38261</v>
      </c>
      <c r="F484" s="7">
        <f t="shared" ca="1" si="133"/>
        <v>0</v>
      </c>
      <c r="G484" s="125">
        <f t="shared" ca="1" si="125"/>
        <v>0</v>
      </c>
      <c r="H484" s="125">
        <f ca="1">IF(F484=1,F484*$B$10/MIN(12,'Simulador - 3º Pilar'!$E$88),0)</f>
        <v>0</v>
      </c>
      <c r="I484" s="128">
        <f t="shared" ca="1" si="126"/>
        <v>0</v>
      </c>
      <c r="J484" s="494">
        <f t="shared" ca="1" si="127"/>
        <v>0</v>
      </c>
      <c r="K484" s="126">
        <f t="shared" ca="1" si="128"/>
        <v>0</v>
      </c>
      <c r="L484" s="126">
        <f t="shared" ca="1" si="140"/>
        <v>0</v>
      </c>
      <c r="P484">
        <v>477</v>
      </c>
      <c r="Q484" s="6">
        <f t="shared" ca="1" si="129"/>
        <v>38261</v>
      </c>
      <c r="R484" s="7" t="e">
        <f t="shared" ca="1" si="134"/>
        <v>#REF!</v>
      </c>
      <c r="S484" s="125" t="e">
        <f t="shared" ca="1" si="135"/>
        <v>#REF!</v>
      </c>
      <c r="T484" s="125" t="e">
        <f t="shared" ca="1" si="130"/>
        <v>#REF!</v>
      </c>
      <c r="U484" s="128" t="e">
        <f t="shared" ca="1" si="136"/>
        <v>#REF!</v>
      </c>
      <c r="AC484">
        <v>477</v>
      </c>
      <c r="AD484" s="6">
        <f t="shared" ca="1" si="131"/>
        <v>38261</v>
      </c>
      <c r="AE484" s="7" t="e">
        <f t="shared" ca="1" si="137"/>
        <v>#REF!</v>
      </c>
      <c r="AF484" s="125" t="e">
        <f t="shared" ca="1" si="138"/>
        <v>#REF!</v>
      </c>
      <c r="AG484" s="125" t="e">
        <f t="shared" ca="1" si="132"/>
        <v>#REF!</v>
      </c>
      <c r="AH484" s="128" t="e">
        <f t="shared" ca="1" si="139"/>
        <v>#REF!</v>
      </c>
    </row>
    <row r="485" spans="4:34">
      <c r="D485">
        <v>478</v>
      </c>
      <c r="E485" s="6">
        <f t="shared" ca="1" si="124"/>
        <v>38231</v>
      </c>
      <c r="F485" s="7">
        <f t="shared" ca="1" si="133"/>
        <v>0</v>
      </c>
      <c r="G485" s="125">
        <f t="shared" ca="1" si="125"/>
        <v>0</v>
      </c>
      <c r="H485" s="125">
        <f ca="1">IF(F485=1,F485*$B$10/MIN(12,'Simulador - 3º Pilar'!$E$88),0)</f>
        <v>0</v>
      </c>
      <c r="I485" s="128">
        <f t="shared" ca="1" si="126"/>
        <v>0</v>
      </c>
      <c r="J485" s="494">
        <f t="shared" ca="1" si="127"/>
        <v>0</v>
      </c>
      <c r="K485" s="126">
        <f t="shared" ca="1" si="128"/>
        <v>0</v>
      </c>
      <c r="L485" s="126">
        <f t="shared" ca="1" si="140"/>
        <v>0</v>
      </c>
      <c r="P485">
        <v>478</v>
      </c>
      <c r="Q485" s="6">
        <f t="shared" ca="1" si="129"/>
        <v>38231</v>
      </c>
      <c r="R485" s="7" t="e">
        <f t="shared" ca="1" si="134"/>
        <v>#REF!</v>
      </c>
      <c r="S485" s="125" t="e">
        <f t="shared" ca="1" si="135"/>
        <v>#REF!</v>
      </c>
      <c r="T485" s="125" t="e">
        <f t="shared" ca="1" si="130"/>
        <v>#REF!</v>
      </c>
      <c r="U485" s="128" t="e">
        <f t="shared" ca="1" si="136"/>
        <v>#REF!</v>
      </c>
      <c r="AC485">
        <v>478</v>
      </c>
      <c r="AD485" s="6">
        <f t="shared" ca="1" si="131"/>
        <v>38231</v>
      </c>
      <c r="AE485" s="7" t="e">
        <f t="shared" ca="1" si="137"/>
        <v>#REF!</v>
      </c>
      <c r="AF485" s="125" t="e">
        <f t="shared" ca="1" si="138"/>
        <v>#REF!</v>
      </c>
      <c r="AG485" s="125" t="e">
        <f t="shared" ca="1" si="132"/>
        <v>#REF!</v>
      </c>
      <c r="AH485" s="128" t="e">
        <f t="shared" ca="1" si="139"/>
        <v>#REF!</v>
      </c>
    </row>
    <row r="486" spans="4:34">
      <c r="D486">
        <v>479</v>
      </c>
      <c r="E486" s="6">
        <f t="shared" ca="1" si="124"/>
        <v>38200</v>
      </c>
      <c r="F486" s="7">
        <f t="shared" ca="1" si="133"/>
        <v>0</v>
      </c>
      <c r="G486" s="125">
        <f t="shared" ca="1" si="125"/>
        <v>0</v>
      </c>
      <c r="H486" s="125">
        <f ca="1">IF(F486=1,F486*$B$10/MIN(12,'Simulador - 3º Pilar'!$E$88),0)</f>
        <v>0</v>
      </c>
      <c r="I486" s="128">
        <f t="shared" ca="1" si="126"/>
        <v>0</v>
      </c>
      <c r="J486" s="494">
        <f t="shared" ca="1" si="127"/>
        <v>0</v>
      </c>
      <c r="K486" s="126">
        <f t="shared" ca="1" si="128"/>
        <v>0</v>
      </c>
      <c r="L486" s="126">
        <f t="shared" ca="1" si="140"/>
        <v>0</v>
      </c>
      <c r="P486">
        <v>479</v>
      </c>
      <c r="Q486" s="6">
        <f t="shared" ca="1" si="129"/>
        <v>38200</v>
      </c>
      <c r="R486" s="7" t="e">
        <f t="shared" ca="1" si="134"/>
        <v>#REF!</v>
      </c>
      <c r="S486" s="125" t="e">
        <f t="shared" ca="1" si="135"/>
        <v>#REF!</v>
      </c>
      <c r="T486" s="125" t="e">
        <f t="shared" ca="1" si="130"/>
        <v>#REF!</v>
      </c>
      <c r="U486" s="128" t="e">
        <f t="shared" ca="1" si="136"/>
        <v>#REF!</v>
      </c>
      <c r="AC486">
        <v>479</v>
      </c>
      <c r="AD486" s="6">
        <f t="shared" ca="1" si="131"/>
        <v>38200</v>
      </c>
      <c r="AE486" s="7" t="e">
        <f t="shared" ca="1" si="137"/>
        <v>#REF!</v>
      </c>
      <c r="AF486" s="125" t="e">
        <f t="shared" ca="1" si="138"/>
        <v>#REF!</v>
      </c>
      <c r="AG486" s="125" t="e">
        <f t="shared" ca="1" si="132"/>
        <v>#REF!</v>
      </c>
      <c r="AH486" s="128" t="e">
        <f t="shared" ca="1" si="139"/>
        <v>#REF!</v>
      </c>
    </row>
    <row r="487" spans="4:34">
      <c r="D487">
        <v>480</v>
      </c>
      <c r="E487" s="6">
        <f t="shared" ca="1" si="124"/>
        <v>38169</v>
      </c>
      <c r="F487" s="7">
        <f t="shared" ca="1" si="133"/>
        <v>0</v>
      </c>
      <c r="G487" s="125">
        <f t="shared" ca="1" si="125"/>
        <v>0</v>
      </c>
      <c r="H487" s="125">
        <f ca="1">IF(F487=1,F487*$B$10/MIN(12,'Simulador - 3º Pilar'!$E$88),0)</f>
        <v>0</v>
      </c>
      <c r="I487" s="128">
        <f t="shared" ca="1" si="126"/>
        <v>0</v>
      </c>
      <c r="J487" s="494">
        <f t="shared" ca="1" si="127"/>
        <v>0</v>
      </c>
      <c r="K487" s="126">
        <f t="shared" ca="1" si="128"/>
        <v>0</v>
      </c>
      <c r="L487" s="126">
        <f t="shared" ca="1" si="140"/>
        <v>0</v>
      </c>
      <c r="P487">
        <v>480</v>
      </c>
      <c r="Q487" s="6">
        <f t="shared" ca="1" si="129"/>
        <v>38169</v>
      </c>
      <c r="R487" s="7" t="e">
        <f t="shared" ca="1" si="134"/>
        <v>#REF!</v>
      </c>
      <c r="S487" s="125" t="e">
        <f t="shared" ca="1" si="135"/>
        <v>#REF!</v>
      </c>
      <c r="T487" s="125" t="e">
        <f t="shared" ca="1" si="130"/>
        <v>#REF!</v>
      </c>
      <c r="U487" s="128" t="e">
        <f t="shared" ca="1" si="136"/>
        <v>#REF!</v>
      </c>
      <c r="AC487">
        <v>480</v>
      </c>
      <c r="AD487" s="6">
        <f t="shared" ca="1" si="131"/>
        <v>38169</v>
      </c>
      <c r="AE487" s="7" t="e">
        <f t="shared" ca="1" si="137"/>
        <v>#REF!</v>
      </c>
      <c r="AF487" s="125" t="e">
        <f t="shared" ca="1" si="138"/>
        <v>#REF!</v>
      </c>
      <c r="AG487" s="125" t="e">
        <f t="shared" ca="1" si="132"/>
        <v>#REF!</v>
      </c>
      <c r="AH487" s="128" t="e">
        <f t="shared" ca="1" si="139"/>
        <v>#REF!</v>
      </c>
    </row>
    <row r="488" spans="4:34">
      <c r="D488">
        <v>481</v>
      </c>
      <c r="E488" s="6">
        <f t="shared" ca="1" si="124"/>
        <v>38139</v>
      </c>
      <c r="F488" s="7">
        <f t="shared" ca="1" si="133"/>
        <v>0</v>
      </c>
      <c r="G488" s="125">
        <f t="shared" ca="1" si="125"/>
        <v>0</v>
      </c>
      <c r="H488" s="125">
        <f ca="1">IF(F488=1,F488*$B$10/MIN(12,'Simulador - 3º Pilar'!$E$88),0)</f>
        <v>0</v>
      </c>
      <c r="I488" s="128">
        <f t="shared" ca="1" si="126"/>
        <v>0</v>
      </c>
      <c r="J488" s="494">
        <f t="shared" ca="1" si="127"/>
        <v>0</v>
      </c>
      <c r="K488" s="126">
        <f t="shared" ca="1" si="128"/>
        <v>0</v>
      </c>
      <c r="L488" s="126">
        <f t="shared" ca="1" si="140"/>
        <v>0</v>
      </c>
      <c r="P488">
        <v>481</v>
      </c>
      <c r="Q488" s="6">
        <f t="shared" ca="1" si="129"/>
        <v>38139</v>
      </c>
      <c r="R488" s="7" t="e">
        <f t="shared" ca="1" si="134"/>
        <v>#REF!</v>
      </c>
      <c r="S488" s="125" t="e">
        <f t="shared" ca="1" si="135"/>
        <v>#REF!</v>
      </c>
      <c r="T488" s="125" t="e">
        <f t="shared" ca="1" si="130"/>
        <v>#REF!</v>
      </c>
      <c r="U488" s="128" t="e">
        <f t="shared" ca="1" si="136"/>
        <v>#REF!</v>
      </c>
      <c r="AC488">
        <v>481</v>
      </c>
      <c r="AD488" s="6">
        <f t="shared" ca="1" si="131"/>
        <v>38139</v>
      </c>
      <c r="AE488" s="7" t="e">
        <f t="shared" ca="1" si="137"/>
        <v>#REF!</v>
      </c>
      <c r="AF488" s="125" t="e">
        <f t="shared" ca="1" si="138"/>
        <v>#REF!</v>
      </c>
      <c r="AG488" s="125" t="e">
        <f t="shared" ca="1" si="132"/>
        <v>#REF!</v>
      </c>
      <c r="AH488" s="128" t="e">
        <f t="shared" ca="1" si="139"/>
        <v>#REF!</v>
      </c>
    </row>
    <row r="489" spans="4:34">
      <c r="D489">
        <v>482</v>
      </c>
      <c r="E489" s="6">
        <f t="shared" ca="1" si="124"/>
        <v>38108</v>
      </c>
      <c r="F489" s="7">
        <f t="shared" ca="1" si="133"/>
        <v>0</v>
      </c>
      <c r="G489" s="125">
        <f t="shared" ca="1" si="125"/>
        <v>0</v>
      </c>
      <c r="H489" s="125">
        <f ca="1">IF(F489=1,F489*$B$10/MIN(12,'Simulador - 3º Pilar'!$E$88),0)</f>
        <v>0</v>
      </c>
      <c r="I489" s="128">
        <f t="shared" ca="1" si="126"/>
        <v>0</v>
      </c>
      <c r="J489" s="494">
        <f t="shared" ca="1" si="127"/>
        <v>0</v>
      </c>
      <c r="K489" s="126">
        <f t="shared" ca="1" si="128"/>
        <v>0</v>
      </c>
      <c r="L489" s="126">
        <f t="shared" ca="1" si="140"/>
        <v>0</v>
      </c>
      <c r="P489">
        <v>482</v>
      </c>
      <c r="Q489" s="6">
        <f t="shared" ca="1" si="129"/>
        <v>38108</v>
      </c>
      <c r="R489" s="7" t="e">
        <f t="shared" ca="1" si="134"/>
        <v>#REF!</v>
      </c>
      <c r="S489" s="125" t="e">
        <f t="shared" ca="1" si="135"/>
        <v>#REF!</v>
      </c>
      <c r="T489" s="125" t="e">
        <f t="shared" ca="1" si="130"/>
        <v>#REF!</v>
      </c>
      <c r="U489" s="128" t="e">
        <f t="shared" ca="1" si="136"/>
        <v>#REF!</v>
      </c>
      <c r="AC489">
        <v>482</v>
      </c>
      <c r="AD489" s="6">
        <f t="shared" ca="1" si="131"/>
        <v>38108</v>
      </c>
      <c r="AE489" s="7" t="e">
        <f t="shared" ca="1" si="137"/>
        <v>#REF!</v>
      </c>
      <c r="AF489" s="125" t="e">
        <f t="shared" ca="1" si="138"/>
        <v>#REF!</v>
      </c>
      <c r="AG489" s="125" t="e">
        <f t="shared" ca="1" si="132"/>
        <v>#REF!</v>
      </c>
      <c r="AH489" s="128" t="e">
        <f t="shared" ca="1" si="139"/>
        <v>#REF!</v>
      </c>
    </row>
    <row r="490" spans="4:34">
      <c r="D490">
        <v>483</v>
      </c>
      <c r="E490" s="6">
        <f t="shared" ca="1" si="124"/>
        <v>38078</v>
      </c>
      <c r="F490" s="7">
        <f t="shared" ca="1" si="133"/>
        <v>0</v>
      </c>
      <c r="G490" s="125">
        <f t="shared" ca="1" si="125"/>
        <v>0</v>
      </c>
      <c r="H490" s="125">
        <f ca="1">IF(F490=1,F490*$B$10/MIN(12,'Simulador - 3º Pilar'!$E$88),0)</f>
        <v>0</v>
      </c>
      <c r="I490" s="128">
        <f t="shared" ca="1" si="126"/>
        <v>0</v>
      </c>
      <c r="J490" s="494">
        <f t="shared" ca="1" si="127"/>
        <v>0</v>
      </c>
      <c r="K490" s="126">
        <f t="shared" ca="1" si="128"/>
        <v>0</v>
      </c>
      <c r="L490" s="126">
        <f t="shared" ca="1" si="140"/>
        <v>0</v>
      </c>
      <c r="P490">
        <v>483</v>
      </c>
      <c r="Q490" s="6">
        <f t="shared" ca="1" si="129"/>
        <v>38078</v>
      </c>
      <c r="R490" s="7" t="e">
        <f t="shared" ca="1" si="134"/>
        <v>#REF!</v>
      </c>
      <c r="S490" s="125" t="e">
        <f t="shared" ca="1" si="135"/>
        <v>#REF!</v>
      </c>
      <c r="T490" s="125" t="e">
        <f t="shared" ca="1" si="130"/>
        <v>#REF!</v>
      </c>
      <c r="U490" s="128" t="e">
        <f t="shared" ca="1" si="136"/>
        <v>#REF!</v>
      </c>
      <c r="AC490">
        <v>483</v>
      </c>
      <c r="AD490" s="6">
        <f t="shared" ca="1" si="131"/>
        <v>38078</v>
      </c>
      <c r="AE490" s="7" t="e">
        <f t="shared" ca="1" si="137"/>
        <v>#REF!</v>
      </c>
      <c r="AF490" s="125" t="e">
        <f t="shared" ca="1" si="138"/>
        <v>#REF!</v>
      </c>
      <c r="AG490" s="125" t="e">
        <f t="shared" ca="1" si="132"/>
        <v>#REF!</v>
      </c>
      <c r="AH490" s="128" t="e">
        <f t="shared" ca="1" si="139"/>
        <v>#REF!</v>
      </c>
    </row>
    <row r="491" spans="4:34">
      <c r="D491">
        <v>484</v>
      </c>
      <c r="E491" s="6">
        <f t="shared" ca="1" si="124"/>
        <v>38047</v>
      </c>
      <c r="F491" s="7">
        <f t="shared" ca="1" si="133"/>
        <v>0</v>
      </c>
      <c r="G491" s="125">
        <f t="shared" ca="1" si="125"/>
        <v>0</v>
      </c>
      <c r="H491" s="125">
        <f ca="1">IF(F491=1,F491*$B$10/MIN(12,'Simulador - 3º Pilar'!$E$88),0)</f>
        <v>0</v>
      </c>
      <c r="I491" s="128">
        <f t="shared" ca="1" si="126"/>
        <v>0</v>
      </c>
      <c r="J491" s="494">
        <f t="shared" ca="1" si="127"/>
        <v>0</v>
      </c>
      <c r="K491" s="126">
        <f t="shared" ca="1" si="128"/>
        <v>0</v>
      </c>
      <c r="L491" s="126">
        <f t="shared" ca="1" si="140"/>
        <v>0</v>
      </c>
      <c r="P491">
        <v>484</v>
      </c>
      <c r="Q491" s="6">
        <f t="shared" ca="1" si="129"/>
        <v>38047</v>
      </c>
      <c r="R491" s="7" t="e">
        <f t="shared" ca="1" si="134"/>
        <v>#REF!</v>
      </c>
      <c r="S491" s="125" t="e">
        <f t="shared" ca="1" si="135"/>
        <v>#REF!</v>
      </c>
      <c r="T491" s="125" t="e">
        <f t="shared" ca="1" si="130"/>
        <v>#REF!</v>
      </c>
      <c r="U491" s="128" t="e">
        <f t="shared" ca="1" si="136"/>
        <v>#REF!</v>
      </c>
      <c r="AC491">
        <v>484</v>
      </c>
      <c r="AD491" s="6">
        <f t="shared" ca="1" si="131"/>
        <v>38047</v>
      </c>
      <c r="AE491" s="7" t="e">
        <f t="shared" ca="1" si="137"/>
        <v>#REF!</v>
      </c>
      <c r="AF491" s="125" t="e">
        <f t="shared" ca="1" si="138"/>
        <v>#REF!</v>
      </c>
      <c r="AG491" s="125" t="e">
        <f t="shared" ca="1" si="132"/>
        <v>#REF!</v>
      </c>
      <c r="AH491" s="128" t="e">
        <f t="shared" ca="1" si="139"/>
        <v>#REF!</v>
      </c>
    </row>
    <row r="492" spans="4:34">
      <c r="D492">
        <v>485</v>
      </c>
      <c r="E492" s="6">
        <f t="shared" ca="1" si="124"/>
        <v>38018</v>
      </c>
      <c r="F492" s="7">
        <f t="shared" ca="1" si="133"/>
        <v>0</v>
      </c>
      <c r="G492" s="125">
        <f t="shared" ca="1" si="125"/>
        <v>0</v>
      </c>
      <c r="H492" s="125">
        <f ca="1">IF(F492=1,F492*$B$10/MIN(12,'Simulador - 3º Pilar'!$E$88),0)</f>
        <v>0</v>
      </c>
      <c r="I492" s="128">
        <f t="shared" ca="1" si="126"/>
        <v>0</v>
      </c>
      <c r="J492" s="494">
        <f t="shared" ca="1" si="127"/>
        <v>0</v>
      </c>
      <c r="K492" s="126">
        <f t="shared" ca="1" si="128"/>
        <v>0</v>
      </c>
      <c r="L492" s="126">
        <f t="shared" ca="1" si="140"/>
        <v>0</v>
      </c>
      <c r="P492">
        <v>485</v>
      </c>
      <c r="Q492" s="6">
        <f t="shared" ca="1" si="129"/>
        <v>38018</v>
      </c>
      <c r="R492" s="7" t="e">
        <f t="shared" ca="1" si="134"/>
        <v>#REF!</v>
      </c>
      <c r="S492" s="125" t="e">
        <f t="shared" ca="1" si="135"/>
        <v>#REF!</v>
      </c>
      <c r="T492" s="125" t="e">
        <f t="shared" ca="1" si="130"/>
        <v>#REF!</v>
      </c>
      <c r="U492" s="128" t="e">
        <f t="shared" ca="1" si="136"/>
        <v>#REF!</v>
      </c>
      <c r="AC492">
        <v>485</v>
      </c>
      <c r="AD492" s="6">
        <f t="shared" ca="1" si="131"/>
        <v>38018</v>
      </c>
      <c r="AE492" s="7" t="e">
        <f t="shared" ca="1" si="137"/>
        <v>#REF!</v>
      </c>
      <c r="AF492" s="125" t="e">
        <f t="shared" ca="1" si="138"/>
        <v>#REF!</v>
      </c>
      <c r="AG492" s="125" t="e">
        <f t="shared" ca="1" si="132"/>
        <v>#REF!</v>
      </c>
      <c r="AH492" s="128" t="e">
        <f t="shared" ca="1" si="139"/>
        <v>#REF!</v>
      </c>
    </row>
    <row r="493" spans="4:34">
      <c r="D493">
        <v>486</v>
      </c>
      <c r="E493" s="6">
        <f t="shared" ca="1" si="124"/>
        <v>37987</v>
      </c>
      <c r="F493" s="7">
        <f t="shared" ca="1" si="133"/>
        <v>0</v>
      </c>
      <c r="G493" s="125">
        <f t="shared" ca="1" si="125"/>
        <v>0</v>
      </c>
      <c r="H493" s="125">
        <f ca="1">IF(F493=1,F493*$B$10/MIN(12,'Simulador - 3º Pilar'!$E$88),0)</f>
        <v>0</v>
      </c>
      <c r="I493" s="128">
        <f t="shared" ca="1" si="126"/>
        <v>0</v>
      </c>
      <c r="J493" s="494">
        <f t="shared" ca="1" si="127"/>
        <v>0</v>
      </c>
      <c r="K493" s="126">
        <f t="shared" ca="1" si="128"/>
        <v>0</v>
      </c>
      <c r="L493" s="126">
        <f t="shared" ca="1" si="140"/>
        <v>0</v>
      </c>
      <c r="P493">
        <v>486</v>
      </c>
      <c r="Q493" s="6">
        <f t="shared" ca="1" si="129"/>
        <v>37987</v>
      </c>
      <c r="R493" s="7" t="e">
        <f t="shared" ca="1" si="134"/>
        <v>#REF!</v>
      </c>
      <c r="S493" s="125" t="e">
        <f t="shared" ca="1" si="135"/>
        <v>#REF!</v>
      </c>
      <c r="T493" s="125" t="e">
        <f t="shared" ca="1" si="130"/>
        <v>#REF!</v>
      </c>
      <c r="U493" s="128" t="e">
        <f t="shared" ca="1" si="136"/>
        <v>#REF!</v>
      </c>
      <c r="AC493">
        <v>486</v>
      </c>
      <c r="AD493" s="6">
        <f t="shared" ca="1" si="131"/>
        <v>37987</v>
      </c>
      <c r="AE493" s="7" t="e">
        <f t="shared" ca="1" si="137"/>
        <v>#REF!</v>
      </c>
      <c r="AF493" s="125" t="e">
        <f t="shared" ca="1" si="138"/>
        <v>#REF!</v>
      </c>
      <c r="AG493" s="125" t="e">
        <f t="shared" ca="1" si="132"/>
        <v>#REF!</v>
      </c>
      <c r="AH493" s="128" t="e">
        <f t="shared" ca="1" si="139"/>
        <v>#REF!</v>
      </c>
    </row>
    <row r="494" spans="4:34">
      <c r="D494">
        <v>487</v>
      </c>
      <c r="E494" s="6">
        <f t="shared" ca="1" si="124"/>
        <v>37956</v>
      </c>
      <c r="F494" s="7">
        <f t="shared" ca="1" si="133"/>
        <v>0</v>
      </c>
      <c r="G494" s="125">
        <f t="shared" ca="1" si="125"/>
        <v>0</v>
      </c>
      <c r="H494" s="125">
        <f ca="1">IF(F494=1,F494*$B$10/MIN(12,'Simulador - 3º Pilar'!$E$88),0)</f>
        <v>0</v>
      </c>
      <c r="I494" s="128">
        <f t="shared" ca="1" si="126"/>
        <v>0</v>
      </c>
      <c r="J494" s="494">
        <f t="shared" ca="1" si="127"/>
        <v>0</v>
      </c>
      <c r="K494" s="126">
        <f t="shared" ca="1" si="128"/>
        <v>0</v>
      </c>
      <c r="L494" s="126">
        <f t="shared" ca="1" si="140"/>
        <v>0</v>
      </c>
      <c r="P494">
        <v>487</v>
      </c>
      <c r="Q494" s="6">
        <f t="shared" ca="1" si="129"/>
        <v>37956</v>
      </c>
      <c r="R494" s="7" t="e">
        <f t="shared" ca="1" si="134"/>
        <v>#REF!</v>
      </c>
      <c r="S494" s="125" t="e">
        <f t="shared" ca="1" si="135"/>
        <v>#REF!</v>
      </c>
      <c r="T494" s="125" t="e">
        <f t="shared" ca="1" si="130"/>
        <v>#REF!</v>
      </c>
      <c r="U494" s="128" t="e">
        <f t="shared" ca="1" si="136"/>
        <v>#REF!</v>
      </c>
      <c r="AC494">
        <v>487</v>
      </c>
      <c r="AD494" s="6">
        <f t="shared" ca="1" si="131"/>
        <v>37956</v>
      </c>
      <c r="AE494" s="7" t="e">
        <f t="shared" ca="1" si="137"/>
        <v>#REF!</v>
      </c>
      <c r="AF494" s="125" t="e">
        <f t="shared" ca="1" si="138"/>
        <v>#REF!</v>
      </c>
      <c r="AG494" s="125" t="e">
        <f t="shared" ca="1" si="132"/>
        <v>#REF!</v>
      </c>
      <c r="AH494" s="128" t="e">
        <f t="shared" ca="1" si="139"/>
        <v>#REF!</v>
      </c>
    </row>
    <row r="495" spans="4:34">
      <c r="D495">
        <v>488</v>
      </c>
      <c r="E495" s="6">
        <f t="shared" ca="1" si="124"/>
        <v>37926</v>
      </c>
      <c r="F495" s="7">
        <f t="shared" ca="1" si="133"/>
        <v>0</v>
      </c>
      <c r="G495" s="125">
        <f t="shared" ca="1" si="125"/>
        <v>0</v>
      </c>
      <c r="H495" s="125">
        <f ca="1">IF(F495=1,F495*$B$10/MIN(12,'Simulador - 3º Pilar'!$E$88),0)</f>
        <v>0</v>
      </c>
      <c r="I495" s="128">
        <f t="shared" ca="1" si="126"/>
        <v>0</v>
      </c>
      <c r="J495" s="494">
        <f t="shared" ca="1" si="127"/>
        <v>0</v>
      </c>
      <c r="K495" s="126">
        <f t="shared" ca="1" si="128"/>
        <v>0</v>
      </c>
      <c r="L495" s="126">
        <f t="shared" ca="1" si="140"/>
        <v>0</v>
      </c>
      <c r="P495">
        <v>488</v>
      </c>
      <c r="Q495" s="6">
        <f t="shared" ca="1" si="129"/>
        <v>37926</v>
      </c>
      <c r="R495" s="7" t="e">
        <f t="shared" ca="1" si="134"/>
        <v>#REF!</v>
      </c>
      <c r="S495" s="125" t="e">
        <f t="shared" ca="1" si="135"/>
        <v>#REF!</v>
      </c>
      <c r="T495" s="125" t="e">
        <f t="shared" ca="1" si="130"/>
        <v>#REF!</v>
      </c>
      <c r="U495" s="128" t="e">
        <f t="shared" ca="1" si="136"/>
        <v>#REF!</v>
      </c>
      <c r="AC495">
        <v>488</v>
      </c>
      <c r="AD495" s="6">
        <f t="shared" ca="1" si="131"/>
        <v>37926</v>
      </c>
      <c r="AE495" s="7" t="e">
        <f t="shared" ca="1" si="137"/>
        <v>#REF!</v>
      </c>
      <c r="AF495" s="125" t="e">
        <f t="shared" ca="1" si="138"/>
        <v>#REF!</v>
      </c>
      <c r="AG495" s="125" t="e">
        <f t="shared" ca="1" si="132"/>
        <v>#REF!</v>
      </c>
      <c r="AH495" s="128" t="e">
        <f t="shared" ca="1" si="139"/>
        <v>#REF!</v>
      </c>
    </row>
    <row r="496" spans="4:34">
      <c r="D496">
        <v>489</v>
      </c>
      <c r="E496" s="6">
        <f t="shared" ca="1" si="124"/>
        <v>37895</v>
      </c>
      <c r="F496" s="7">
        <f t="shared" ca="1" si="133"/>
        <v>0</v>
      </c>
      <c r="G496" s="125">
        <f t="shared" ca="1" si="125"/>
        <v>0</v>
      </c>
      <c r="H496" s="125">
        <f ca="1">IF(F496=1,F496*$B$10/MIN(12,'Simulador - 3º Pilar'!$E$88),0)</f>
        <v>0</v>
      </c>
      <c r="I496" s="128">
        <f t="shared" ca="1" si="126"/>
        <v>0</v>
      </c>
      <c r="J496" s="494">
        <f t="shared" ca="1" si="127"/>
        <v>0</v>
      </c>
      <c r="K496" s="126">
        <f t="shared" ca="1" si="128"/>
        <v>0</v>
      </c>
      <c r="L496" s="126">
        <f t="shared" ca="1" si="140"/>
        <v>0</v>
      </c>
      <c r="P496">
        <v>489</v>
      </c>
      <c r="Q496" s="6">
        <f t="shared" ca="1" si="129"/>
        <v>37895</v>
      </c>
      <c r="R496" s="7" t="e">
        <f t="shared" ca="1" si="134"/>
        <v>#REF!</v>
      </c>
      <c r="S496" s="125" t="e">
        <f t="shared" ca="1" si="135"/>
        <v>#REF!</v>
      </c>
      <c r="T496" s="125" t="e">
        <f t="shared" ca="1" si="130"/>
        <v>#REF!</v>
      </c>
      <c r="U496" s="128" t="e">
        <f t="shared" ca="1" si="136"/>
        <v>#REF!</v>
      </c>
      <c r="AC496">
        <v>489</v>
      </c>
      <c r="AD496" s="6">
        <f t="shared" ca="1" si="131"/>
        <v>37895</v>
      </c>
      <c r="AE496" s="7" t="e">
        <f t="shared" ca="1" si="137"/>
        <v>#REF!</v>
      </c>
      <c r="AF496" s="125" t="e">
        <f t="shared" ca="1" si="138"/>
        <v>#REF!</v>
      </c>
      <c r="AG496" s="125" t="e">
        <f t="shared" ca="1" si="132"/>
        <v>#REF!</v>
      </c>
      <c r="AH496" s="128" t="e">
        <f t="shared" ca="1" si="139"/>
        <v>#REF!</v>
      </c>
    </row>
    <row r="497" spans="4:34">
      <c r="D497">
        <v>490</v>
      </c>
      <c r="E497" s="6">
        <f t="shared" ca="1" si="124"/>
        <v>37865</v>
      </c>
      <c r="F497" s="7">
        <f t="shared" ca="1" si="133"/>
        <v>0</v>
      </c>
      <c r="G497" s="125">
        <f t="shared" ca="1" si="125"/>
        <v>0</v>
      </c>
      <c r="H497" s="125">
        <f ca="1">IF(F497=1,F497*$B$10/MIN(12,'Simulador - 3º Pilar'!$E$88),0)</f>
        <v>0</v>
      </c>
      <c r="I497" s="128">
        <f t="shared" ca="1" si="126"/>
        <v>0</v>
      </c>
      <c r="J497" s="494">
        <f t="shared" ca="1" si="127"/>
        <v>0</v>
      </c>
      <c r="K497" s="126">
        <f t="shared" ca="1" si="128"/>
        <v>0</v>
      </c>
      <c r="L497" s="126">
        <f t="shared" ca="1" si="140"/>
        <v>0</v>
      </c>
      <c r="P497">
        <v>490</v>
      </c>
      <c r="Q497" s="6">
        <f t="shared" ca="1" si="129"/>
        <v>37865</v>
      </c>
      <c r="R497" s="7" t="e">
        <f t="shared" ca="1" si="134"/>
        <v>#REF!</v>
      </c>
      <c r="S497" s="125" t="e">
        <f t="shared" ca="1" si="135"/>
        <v>#REF!</v>
      </c>
      <c r="T497" s="125" t="e">
        <f t="shared" ca="1" si="130"/>
        <v>#REF!</v>
      </c>
      <c r="U497" s="128" t="e">
        <f t="shared" ca="1" si="136"/>
        <v>#REF!</v>
      </c>
      <c r="AC497">
        <v>490</v>
      </c>
      <c r="AD497" s="6">
        <f t="shared" ca="1" si="131"/>
        <v>37865</v>
      </c>
      <c r="AE497" s="7" t="e">
        <f t="shared" ca="1" si="137"/>
        <v>#REF!</v>
      </c>
      <c r="AF497" s="125" t="e">
        <f t="shared" ca="1" si="138"/>
        <v>#REF!</v>
      </c>
      <c r="AG497" s="125" t="e">
        <f t="shared" ca="1" si="132"/>
        <v>#REF!</v>
      </c>
      <c r="AH497" s="128" t="e">
        <f t="shared" ca="1" si="139"/>
        <v>#REF!</v>
      </c>
    </row>
    <row r="498" spans="4:34">
      <c r="D498">
        <v>491</v>
      </c>
      <c r="E498" s="6">
        <f t="shared" ca="1" si="124"/>
        <v>37834</v>
      </c>
      <c r="F498" s="7">
        <f t="shared" ca="1" si="133"/>
        <v>0</v>
      </c>
      <c r="G498" s="125">
        <f t="shared" ca="1" si="125"/>
        <v>0</v>
      </c>
      <c r="H498" s="125">
        <f ca="1">IF(F498=1,F498*$B$10/MIN(12,'Simulador - 3º Pilar'!$E$88),0)</f>
        <v>0</v>
      </c>
      <c r="I498" s="128">
        <f t="shared" ca="1" si="126"/>
        <v>0</v>
      </c>
      <c r="J498" s="494">
        <f t="shared" ca="1" si="127"/>
        <v>0</v>
      </c>
      <c r="K498" s="126">
        <f t="shared" ca="1" si="128"/>
        <v>0</v>
      </c>
      <c r="L498" s="126">
        <f t="shared" ca="1" si="140"/>
        <v>0</v>
      </c>
      <c r="P498">
        <v>491</v>
      </c>
      <c r="Q498" s="6">
        <f t="shared" ca="1" si="129"/>
        <v>37834</v>
      </c>
      <c r="R498" s="7" t="e">
        <f t="shared" ca="1" si="134"/>
        <v>#REF!</v>
      </c>
      <c r="S498" s="125" t="e">
        <f t="shared" ca="1" si="135"/>
        <v>#REF!</v>
      </c>
      <c r="T498" s="125" t="e">
        <f t="shared" ca="1" si="130"/>
        <v>#REF!</v>
      </c>
      <c r="U498" s="128" t="e">
        <f t="shared" ca="1" si="136"/>
        <v>#REF!</v>
      </c>
      <c r="AC498">
        <v>491</v>
      </c>
      <c r="AD498" s="6">
        <f t="shared" ca="1" si="131"/>
        <v>37834</v>
      </c>
      <c r="AE498" s="7" t="e">
        <f t="shared" ca="1" si="137"/>
        <v>#REF!</v>
      </c>
      <c r="AF498" s="125" t="e">
        <f t="shared" ca="1" si="138"/>
        <v>#REF!</v>
      </c>
      <c r="AG498" s="125" t="e">
        <f t="shared" ca="1" si="132"/>
        <v>#REF!</v>
      </c>
      <c r="AH498" s="128" t="e">
        <f t="shared" ca="1" si="139"/>
        <v>#REF!</v>
      </c>
    </row>
    <row r="499" spans="4:34">
      <c r="D499">
        <v>492</v>
      </c>
      <c r="E499" s="6">
        <f t="shared" ca="1" si="124"/>
        <v>37803</v>
      </c>
      <c r="F499" s="7">
        <f t="shared" ca="1" si="133"/>
        <v>0</v>
      </c>
      <c r="G499" s="125">
        <f t="shared" ca="1" si="125"/>
        <v>0</v>
      </c>
      <c r="H499" s="125">
        <f ca="1">IF(F499=1,F499*$B$10/MIN(12,'Simulador - 3º Pilar'!$E$88),0)</f>
        <v>0</v>
      </c>
      <c r="I499" s="128">
        <f t="shared" ca="1" si="126"/>
        <v>0</v>
      </c>
      <c r="J499" s="494">
        <f t="shared" ca="1" si="127"/>
        <v>0</v>
      </c>
      <c r="K499" s="126">
        <f t="shared" ca="1" si="128"/>
        <v>0</v>
      </c>
      <c r="L499" s="126">
        <f t="shared" ca="1" si="140"/>
        <v>0</v>
      </c>
      <c r="P499">
        <v>492</v>
      </c>
      <c r="Q499" s="6">
        <f t="shared" ca="1" si="129"/>
        <v>37803</v>
      </c>
      <c r="R499" s="7" t="e">
        <f t="shared" ca="1" si="134"/>
        <v>#REF!</v>
      </c>
      <c r="S499" s="125" t="e">
        <f t="shared" ca="1" si="135"/>
        <v>#REF!</v>
      </c>
      <c r="T499" s="125" t="e">
        <f t="shared" ca="1" si="130"/>
        <v>#REF!</v>
      </c>
      <c r="U499" s="128" t="e">
        <f t="shared" ca="1" si="136"/>
        <v>#REF!</v>
      </c>
      <c r="AC499">
        <v>492</v>
      </c>
      <c r="AD499" s="6">
        <f t="shared" ca="1" si="131"/>
        <v>37803</v>
      </c>
      <c r="AE499" s="7" t="e">
        <f t="shared" ca="1" si="137"/>
        <v>#REF!</v>
      </c>
      <c r="AF499" s="125" t="e">
        <f t="shared" ca="1" si="138"/>
        <v>#REF!</v>
      </c>
      <c r="AG499" s="125" t="e">
        <f t="shared" ca="1" si="132"/>
        <v>#REF!</v>
      </c>
      <c r="AH499" s="128" t="e">
        <f t="shared" ca="1" si="139"/>
        <v>#REF!</v>
      </c>
    </row>
    <row r="500" spans="4:34">
      <c r="D500">
        <v>493</v>
      </c>
      <c r="E500" s="6">
        <f t="shared" ca="1" si="124"/>
        <v>37773</v>
      </c>
      <c r="F500" s="7">
        <f t="shared" ca="1" si="133"/>
        <v>0</v>
      </c>
      <c r="G500" s="125">
        <f t="shared" ca="1" si="125"/>
        <v>0</v>
      </c>
      <c r="H500" s="125">
        <f ca="1">IF(F500=1,F500*$B$10/MIN(12,'Simulador - 3º Pilar'!$E$88),0)</f>
        <v>0</v>
      </c>
      <c r="I500" s="128">
        <f t="shared" ca="1" si="126"/>
        <v>0</v>
      </c>
      <c r="J500" s="494">
        <f t="shared" ca="1" si="127"/>
        <v>0</v>
      </c>
      <c r="K500" s="126">
        <f t="shared" ca="1" si="128"/>
        <v>0</v>
      </c>
      <c r="L500" s="126">
        <f t="shared" ca="1" si="140"/>
        <v>0</v>
      </c>
      <c r="P500">
        <v>493</v>
      </c>
      <c r="Q500" s="6">
        <f t="shared" ca="1" si="129"/>
        <v>37773</v>
      </c>
      <c r="R500" s="7" t="e">
        <f t="shared" ca="1" si="134"/>
        <v>#REF!</v>
      </c>
      <c r="S500" s="125" t="e">
        <f t="shared" ca="1" si="135"/>
        <v>#REF!</v>
      </c>
      <c r="T500" s="125" t="e">
        <f t="shared" ca="1" si="130"/>
        <v>#REF!</v>
      </c>
      <c r="U500" s="128" t="e">
        <f t="shared" ca="1" si="136"/>
        <v>#REF!</v>
      </c>
      <c r="AC500">
        <v>493</v>
      </c>
      <c r="AD500" s="6">
        <f t="shared" ca="1" si="131"/>
        <v>37773</v>
      </c>
      <c r="AE500" s="7" t="e">
        <f t="shared" ca="1" si="137"/>
        <v>#REF!</v>
      </c>
      <c r="AF500" s="125" t="e">
        <f t="shared" ca="1" si="138"/>
        <v>#REF!</v>
      </c>
      <c r="AG500" s="125" t="e">
        <f t="shared" ca="1" si="132"/>
        <v>#REF!</v>
      </c>
      <c r="AH500" s="128" t="e">
        <f t="shared" ca="1" si="139"/>
        <v>#REF!</v>
      </c>
    </row>
    <row r="501" spans="4:34">
      <c r="D501">
        <v>494</v>
      </c>
      <c r="E501" s="6">
        <f t="shared" ca="1" si="124"/>
        <v>37742</v>
      </c>
      <c r="F501" s="7">
        <f t="shared" ca="1" si="133"/>
        <v>0</v>
      </c>
      <c r="G501" s="125">
        <f t="shared" ca="1" si="125"/>
        <v>0</v>
      </c>
      <c r="H501" s="125">
        <f ca="1">IF(F501=1,F501*$B$10/MIN(12,'Simulador - 3º Pilar'!$E$88),0)</f>
        <v>0</v>
      </c>
      <c r="I501" s="128">
        <f t="shared" ca="1" si="126"/>
        <v>0</v>
      </c>
      <c r="J501" s="494">
        <f t="shared" ca="1" si="127"/>
        <v>0</v>
      </c>
      <c r="K501" s="126">
        <f t="shared" ca="1" si="128"/>
        <v>0</v>
      </c>
      <c r="L501" s="126">
        <f t="shared" ca="1" si="140"/>
        <v>0</v>
      </c>
      <c r="P501">
        <v>494</v>
      </c>
      <c r="Q501" s="6">
        <f t="shared" ca="1" si="129"/>
        <v>37742</v>
      </c>
      <c r="R501" s="7" t="e">
        <f t="shared" ca="1" si="134"/>
        <v>#REF!</v>
      </c>
      <c r="S501" s="125" t="e">
        <f t="shared" ca="1" si="135"/>
        <v>#REF!</v>
      </c>
      <c r="T501" s="125" t="e">
        <f t="shared" ca="1" si="130"/>
        <v>#REF!</v>
      </c>
      <c r="U501" s="128" t="e">
        <f t="shared" ca="1" si="136"/>
        <v>#REF!</v>
      </c>
      <c r="AC501">
        <v>494</v>
      </c>
      <c r="AD501" s="6">
        <f t="shared" ca="1" si="131"/>
        <v>37742</v>
      </c>
      <c r="AE501" s="7" t="e">
        <f t="shared" ca="1" si="137"/>
        <v>#REF!</v>
      </c>
      <c r="AF501" s="125" t="e">
        <f t="shared" ca="1" si="138"/>
        <v>#REF!</v>
      </c>
      <c r="AG501" s="125" t="e">
        <f t="shared" ca="1" si="132"/>
        <v>#REF!</v>
      </c>
      <c r="AH501" s="128" t="e">
        <f t="shared" ca="1" si="139"/>
        <v>#REF!</v>
      </c>
    </row>
    <row r="502" spans="4:34">
      <c r="D502">
        <v>495</v>
      </c>
      <c r="E502" s="6">
        <f t="shared" ca="1" si="124"/>
        <v>37712</v>
      </c>
      <c r="F502" s="7">
        <f t="shared" ca="1" si="133"/>
        <v>0</v>
      </c>
      <c r="G502" s="125">
        <f t="shared" ca="1" si="125"/>
        <v>0</v>
      </c>
      <c r="H502" s="125">
        <f ca="1">IF(F502=1,F502*$B$10/MIN(12,'Simulador - 3º Pilar'!$E$88),0)</f>
        <v>0</v>
      </c>
      <c r="I502" s="128">
        <f t="shared" ca="1" si="126"/>
        <v>0</v>
      </c>
      <c r="J502" s="494">
        <f t="shared" ca="1" si="127"/>
        <v>0</v>
      </c>
      <c r="K502" s="126">
        <f t="shared" ca="1" si="128"/>
        <v>0</v>
      </c>
      <c r="L502" s="126">
        <f t="shared" ca="1" si="140"/>
        <v>0</v>
      </c>
      <c r="P502">
        <v>495</v>
      </c>
      <c r="Q502" s="6">
        <f t="shared" ca="1" si="129"/>
        <v>37712</v>
      </c>
      <c r="R502" s="7" t="e">
        <f t="shared" ca="1" si="134"/>
        <v>#REF!</v>
      </c>
      <c r="S502" s="125" t="e">
        <f t="shared" ca="1" si="135"/>
        <v>#REF!</v>
      </c>
      <c r="T502" s="125" t="e">
        <f t="shared" ca="1" si="130"/>
        <v>#REF!</v>
      </c>
      <c r="U502" s="128" t="e">
        <f t="shared" ca="1" si="136"/>
        <v>#REF!</v>
      </c>
      <c r="AC502">
        <v>495</v>
      </c>
      <c r="AD502" s="6">
        <f t="shared" ca="1" si="131"/>
        <v>37712</v>
      </c>
      <c r="AE502" s="7" t="e">
        <f t="shared" ca="1" si="137"/>
        <v>#REF!</v>
      </c>
      <c r="AF502" s="125" t="e">
        <f t="shared" ca="1" si="138"/>
        <v>#REF!</v>
      </c>
      <c r="AG502" s="125" t="e">
        <f t="shared" ca="1" si="132"/>
        <v>#REF!</v>
      </c>
      <c r="AH502" s="128" t="e">
        <f t="shared" ca="1" si="139"/>
        <v>#REF!</v>
      </c>
    </row>
    <row r="503" spans="4:34">
      <c r="D503">
        <v>496</v>
      </c>
      <c r="E503" s="6">
        <f t="shared" ca="1" si="124"/>
        <v>37681</v>
      </c>
      <c r="F503" s="7">
        <f t="shared" ca="1" si="133"/>
        <v>0</v>
      </c>
      <c r="G503" s="125">
        <f t="shared" ca="1" si="125"/>
        <v>0</v>
      </c>
      <c r="H503" s="125">
        <f ca="1">IF(F503=1,F503*$B$10/MIN(12,'Simulador - 3º Pilar'!$E$88),0)</f>
        <v>0</v>
      </c>
      <c r="I503" s="128">
        <f t="shared" ca="1" si="126"/>
        <v>0</v>
      </c>
      <c r="J503" s="494">
        <f t="shared" ca="1" si="127"/>
        <v>0</v>
      </c>
      <c r="K503" s="126">
        <f t="shared" ca="1" si="128"/>
        <v>0</v>
      </c>
      <c r="L503" s="126">
        <f t="shared" ca="1" si="140"/>
        <v>0</v>
      </c>
      <c r="P503">
        <v>496</v>
      </c>
      <c r="Q503" s="6">
        <f t="shared" ca="1" si="129"/>
        <v>37681</v>
      </c>
      <c r="R503" s="7" t="e">
        <f t="shared" ca="1" si="134"/>
        <v>#REF!</v>
      </c>
      <c r="S503" s="125" t="e">
        <f t="shared" ca="1" si="135"/>
        <v>#REF!</v>
      </c>
      <c r="T503" s="125" t="e">
        <f t="shared" ca="1" si="130"/>
        <v>#REF!</v>
      </c>
      <c r="U503" s="128" t="e">
        <f t="shared" ca="1" si="136"/>
        <v>#REF!</v>
      </c>
      <c r="AC503">
        <v>496</v>
      </c>
      <c r="AD503" s="6">
        <f t="shared" ca="1" si="131"/>
        <v>37681</v>
      </c>
      <c r="AE503" s="7" t="e">
        <f t="shared" ca="1" si="137"/>
        <v>#REF!</v>
      </c>
      <c r="AF503" s="125" t="e">
        <f t="shared" ca="1" si="138"/>
        <v>#REF!</v>
      </c>
      <c r="AG503" s="125" t="e">
        <f t="shared" ca="1" si="132"/>
        <v>#REF!</v>
      </c>
      <c r="AH503" s="128" t="e">
        <f t="shared" ca="1" si="139"/>
        <v>#REF!</v>
      </c>
    </row>
    <row r="504" spans="4:34">
      <c r="D504">
        <v>497</v>
      </c>
      <c r="E504" s="6">
        <f t="shared" ca="1" si="124"/>
        <v>37653</v>
      </c>
      <c r="F504" s="7">
        <f t="shared" ca="1" si="133"/>
        <v>0</v>
      </c>
      <c r="G504" s="125">
        <f t="shared" ca="1" si="125"/>
        <v>0</v>
      </c>
      <c r="H504" s="125">
        <f ca="1">IF(F504=1,F504*$B$10/MIN(12,'Simulador - 3º Pilar'!$E$88),0)</f>
        <v>0</v>
      </c>
      <c r="I504" s="128">
        <f t="shared" ca="1" si="126"/>
        <v>0</v>
      </c>
      <c r="J504" s="494">
        <f t="shared" ca="1" si="127"/>
        <v>0</v>
      </c>
      <c r="K504" s="126">
        <f t="shared" ca="1" si="128"/>
        <v>0</v>
      </c>
      <c r="L504" s="126">
        <f t="shared" ca="1" si="140"/>
        <v>0</v>
      </c>
      <c r="P504">
        <v>497</v>
      </c>
      <c r="Q504" s="6">
        <f t="shared" ca="1" si="129"/>
        <v>37653</v>
      </c>
      <c r="R504" s="7" t="e">
        <f t="shared" ca="1" si="134"/>
        <v>#REF!</v>
      </c>
      <c r="S504" s="125" t="e">
        <f t="shared" ca="1" si="135"/>
        <v>#REF!</v>
      </c>
      <c r="T504" s="125" t="e">
        <f t="shared" ca="1" si="130"/>
        <v>#REF!</v>
      </c>
      <c r="U504" s="128" t="e">
        <f t="shared" ca="1" si="136"/>
        <v>#REF!</v>
      </c>
      <c r="AC504">
        <v>497</v>
      </c>
      <c r="AD504" s="6">
        <f t="shared" ca="1" si="131"/>
        <v>37653</v>
      </c>
      <c r="AE504" s="7" t="e">
        <f t="shared" ca="1" si="137"/>
        <v>#REF!</v>
      </c>
      <c r="AF504" s="125" t="e">
        <f t="shared" ca="1" si="138"/>
        <v>#REF!</v>
      </c>
      <c r="AG504" s="125" t="e">
        <f t="shared" ca="1" si="132"/>
        <v>#REF!</v>
      </c>
      <c r="AH504" s="128" t="e">
        <f t="shared" ca="1" si="139"/>
        <v>#REF!</v>
      </c>
    </row>
    <row r="505" spans="4:34">
      <c r="D505">
        <v>498</v>
      </c>
      <c r="E505" s="6">
        <f t="shared" ca="1" si="124"/>
        <v>37622</v>
      </c>
      <c r="F505" s="7">
        <f t="shared" ca="1" si="133"/>
        <v>0</v>
      </c>
      <c r="G505" s="125">
        <f t="shared" ca="1" si="125"/>
        <v>0</v>
      </c>
      <c r="H505" s="125">
        <f ca="1">IF(F505=1,F505*$B$10/MIN(12,'Simulador - 3º Pilar'!$E$88),0)</f>
        <v>0</v>
      </c>
      <c r="I505" s="128">
        <f t="shared" ca="1" si="126"/>
        <v>0</v>
      </c>
      <c r="J505" s="494">
        <f t="shared" ca="1" si="127"/>
        <v>0</v>
      </c>
      <c r="K505" s="126">
        <f t="shared" ca="1" si="128"/>
        <v>0</v>
      </c>
      <c r="L505" s="126">
        <f t="shared" ca="1" si="140"/>
        <v>0</v>
      </c>
      <c r="P505">
        <v>498</v>
      </c>
      <c r="Q505" s="6">
        <f t="shared" ca="1" si="129"/>
        <v>37622</v>
      </c>
      <c r="R505" s="7" t="e">
        <f t="shared" ca="1" si="134"/>
        <v>#REF!</v>
      </c>
      <c r="S505" s="125" t="e">
        <f t="shared" ca="1" si="135"/>
        <v>#REF!</v>
      </c>
      <c r="T505" s="125" t="e">
        <f t="shared" ca="1" si="130"/>
        <v>#REF!</v>
      </c>
      <c r="U505" s="128" t="e">
        <f t="shared" ca="1" si="136"/>
        <v>#REF!</v>
      </c>
      <c r="AC505">
        <v>498</v>
      </c>
      <c r="AD505" s="6">
        <f t="shared" ca="1" si="131"/>
        <v>37622</v>
      </c>
      <c r="AE505" s="7" t="e">
        <f t="shared" ca="1" si="137"/>
        <v>#REF!</v>
      </c>
      <c r="AF505" s="125" t="e">
        <f t="shared" ca="1" si="138"/>
        <v>#REF!</v>
      </c>
      <c r="AG505" s="125" t="e">
        <f t="shared" ca="1" si="132"/>
        <v>#REF!</v>
      </c>
      <c r="AH505" s="128" t="e">
        <f t="shared" ca="1" si="139"/>
        <v>#REF!</v>
      </c>
    </row>
    <row r="506" spans="4:34">
      <c r="D506">
        <v>499</v>
      </c>
      <c r="E506" s="6">
        <f t="shared" ca="1" si="124"/>
        <v>37591</v>
      </c>
      <c r="F506" s="7">
        <f t="shared" ca="1" si="133"/>
        <v>0</v>
      </c>
      <c r="G506" s="125">
        <f t="shared" ca="1" si="125"/>
        <v>0</v>
      </c>
      <c r="H506" s="125">
        <f ca="1">IF(F506=1,F506*$B$10/MIN(12,'Simulador - 3º Pilar'!$E$88),0)</f>
        <v>0</v>
      </c>
      <c r="I506" s="128">
        <f t="shared" ca="1" si="126"/>
        <v>0</v>
      </c>
      <c r="J506" s="494">
        <f t="shared" ca="1" si="127"/>
        <v>0</v>
      </c>
      <c r="K506" s="126">
        <f t="shared" ca="1" si="128"/>
        <v>0</v>
      </c>
      <c r="L506" s="126">
        <f t="shared" ca="1" si="140"/>
        <v>0</v>
      </c>
      <c r="P506">
        <v>499</v>
      </c>
      <c r="Q506" s="6">
        <f t="shared" ca="1" si="129"/>
        <v>37591</v>
      </c>
      <c r="R506" s="7" t="e">
        <f t="shared" ca="1" si="134"/>
        <v>#REF!</v>
      </c>
      <c r="S506" s="125" t="e">
        <f t="shared" ca="1" si="135"/>
        <v>#REF!</v>
      </c>
      <c r="T506" s="125" t="e">
        <f t="shared" ca="1" si="130"/>
        <v>#REF!</v>
      </c>
      <c r="U506" s="128" t="e">
        <f t="shared" ca="1" si="136"/>
        <v>#REF!</v>
      </c>
      <c r="AC506">
        <v>499</v>
      </c>
      <c r="AD506" s="6">
        <f t="shared" ca="1" si="131"/>
        <v>37591</v>
      </c>
      <c r="AE506" s="7" t="e">
        <f t="shared" ca="1" si="137"/>
        <v>#REF!</v>
      </c>
      <c r="AF506" s="125" t="e">
        <f t="shared" ca="1" si="138"/>
        <v>#REF!</v>
      </c>
      <c r="AG506" s="125" t="e">
        <f t="shared" ca="1" si="132"/>
        <v>#REF!</v>
      </c>
      <c r="AH506" s="128" t="e">
        <f t="shared" ca="1" si="139"/>
        <v>#REF!</v>
      </c>
    </row>
    <row r="507" spans="4:34">
      <c r="D507">
        <v>500</v>
      </c>
      <c r="E507" s="6">
        <f t="shared" ca="1" si="124"/>
        <v>37561</v>
      </c>
      <c r="F507" s="7">
        <f t="shared" ca="1" si="133"/>
        <v>0</v>
      </c>
      <c r="G507" s="125">
        <f t="shared" ca="1" si="125"/>
        <v>0</v>
      </c>
      <c r="H507" s="125">
        <f ca="1">IF(F507=1,F507*$B$10/MIN(12,'Simulador - 3º Pilar'!$E$88),0)</f>
        <v>0</v>
      </c>
      <c r="I507" s="128">
        <f t="shared" ca="1" si="126"/>
        <v>0</v>
      </c>
      <c r="J507" s="494">
        <f t="shared" ca="1" si="127"/>
        <v>0</v>
      </c>
      <c r="K507" s="126">
        <f t="shared" ca="1" si="128"/>
        <v>0</v>
      </c>
      <c r="L507" s="126">
        <f t="shared" ca="1" si="140"/>
        <v>0</v>
      </c>
      <c r="P507">
        <v>500</v>
      </c>
      <c r="Q507" s="6">
        <f t="shared" ca="1" si="129"/>
        <v>37561</v>
      </c>
      <c r="R507" s="7" t="e">
        <f t="shared" ca="1" si="134"/>
        <v>#REF!</v>
      </c>
      <c r="S507" s="125" t="e">
        <f t="shared" ca="1" si="135"/>
        <v>#REF!</v>
      </c>
      <c r="T507" s="125" t="e">
        <f t="shared" ca="1" si="130"/>
        <v>#REF!</v>
      </c>
      <c r="U507" s="128" t="e">
        <f t="shared" ca="1" si="136"/>
        <v>#REF!</v>
      </c>
      <c r="AC507">
        <v>500</v>
      </c>
      <c r="AD507" s="6">
        <f t="shared" ca="1" si="131"/>
        <v>37561</v>
      </c>
      <c r="AE507" s="7" t="e">
        <f t="shared" ca="1" si="137"/>
        <v>#REF!</v>
      </c>
      <c r="AF507" s="125" t="e">
        <f t="shared" ca="1" si="138"/>
        <v>#REF!</v>
      </c>
      <c r="AG507" s="125" t="e">
        <f t="shared" ca="1" si="132"/>
        <v>#REF!</v>
      </c>
      <c r="AH507" s="128" t="e">
        <f t="shared" ca="1" si="139"/>
        <v>#REF!</v>
      </c>
    </row>
    <row r="508" spans="4:34">
      <c r="D508">
        <v>501</v>
      </c>
      <c r="E508" s="6">
        <f t="shared" ca="1" si="124"/>
        <v>37530</v>
      </c>
      <c r="F508" s="7">
        <f t="shared" ca="1" si="133"/>
        <v>0</v>
      </c>
      <c r="G508" s="125">
        <f t="shared" ca="1" si="125"/>
        <v>0</v>
      </c>
      <c r="H508" s="125">
        <f ca="1">IF(F508=1,F508*$B$10/MIN(12,'Simulador - 3º Pilar'!$E$88),0)</f>
        <v>0</v>
      </c>
      <c r="I508" s="128">
        <f t="shared" ca="1" si="126"/>
        <v>0</v>
      </c>
      <c r="J508" s="494">
        <f t="shared" ca="1" si="127"/>
        <v>0</v>
      </c>
      <c r="K508" s="126">
        <f t="shared" ca="1" si="128"/>
        <v>0</v>
      </c>
      <c r="L508" s="126">
        <f t="shared" ca="1" si="140"/>
        <v>0</v>
      </c>
      <c r="P508">
        <v>501</v>
      </c>
      <c r="Q508" s="6">
        <f t="shared" ca="1" si="129"/>
        <v>37530</v>
      </c>
      <c r="R508" s="7" t="e">
        <f t="shared" ca="1" si="134"/>
        <v>#REF!</v>
      </c>
      <c r="S508" s="125" t="e">
        <f t="shared" ca="1" si="135"/>
        <v>#REF!</v>
      </c>
      <c r="T508" s="125" t="e">
        <f t="shared" ca="1" si="130"/>
        <v>#REF!</v>
      </c>
      <c r="U508" s="128" t="e">
        <f t="shared" ca="1" si="136"/>
        <v>#REF!</v>
      </c>
      <c r="AC508">
        <v>501</v>
      </c>
      <c r="AD508" s="6">
        <f t="shared" ca="1" si="131"/>
        <v>37530</v>
      </c>
      <c r="AE508" s="7" t="e">
        <f t="shared" ca="1" si="137"/>
        <v>#REF!</v>
      </c>
      <c r="AF508" s="125" t="e">
        <f t="shared" ca="1" si="138"/>
        <v>#REF!</v>
      </c>
      <c r="AG508" s="125" t="e">
        <f t="shared" ca="1" si="132"/>
        <v>#REF!</v>
      </c>
      <c r="AH508" s="128" t="e">
        <f t="shared" ca="1" si="139"/>
        <v>#REF!</v>
      </c>
    </row>
    <row r="509" spans="4:34">
      <c r="D509">
        <v>502</v>
      </c>
      <c r="E509" s="6">
        <f t="shared" ca="1" si="124"/>
        <v>37500</v>
      </c>
      <c r="F509" s="7">
        <f t="shared" ca="1" si="133"/>
        <v>0</v>
      </c>
      <c r="G509" s="125">
        <f t="shared" ca="1" si="125"/>
        <v>0</v>
      </c>
      <c r="H509" s="125">
        <f ca="1">IF(F509=1,F509*$B$10/MIN(12,'Simulador - 3º Pilar'!$E$88),0)</f>
        <v>0</v>
      </c>
      <c r="I509" s="128">
        <f t="shared" ca="1" si="126"/>
        <v>0</v>
      </c>
      <c r="J509" s="494">
        <f t="shared" ca="1" si="127"/>
        <v>0</v>
      </c>
      <c r="K509" s="126">
        <f t="shared" ca="1" si="128"/>
        <v>0</v>
      </c>
      <c r="L509" s="126">
        <f t="shared" ca="1" si="140"/>
        <v>0</v>
      </c>
      <c r="P509">
        <v>502</v>
      </c>
      <c r="Q509" s="6">
        <f t="shared" ca="1" si="129"/>
        <v>37500</v>
      </c>
      <c r="R509" s="7" t="e">
        <f t="shared" ca="1" si="134"/>
        <v>#REF!</v>
      </c>
      <c r="S509" s="125" t="e">
        <f t="shared" ca="1" si="135"/>
        <v>#REF!</v>
      </c>
      <c r="T509" s="125" t="e">
        <f t="shared" ca="1" si="130"/>
        <v>#REF!</v>
      </c>
      <c r="U509" s="128" t="e">
        <f t="shared" ca="1" si="136"/>
        <v>#REF!</v>
      </c>
      <c r="AC509">
        <v>502</v>
      </c>
      <c r="AD509" s="6">
        <f t="shared" ca="1" si="131"/>
        <v>37500</v>
      </c>
      <c r="AE509" s="7" t="e">
        <f t="shared" ca="1" si="137"/>
        <v>#REF!</v>
      </c>
      <c r="AF509" s="125" t="e">
        <f t="shared" ca="1" si="138"/>
        <v>#REF!</v>
      </c>
      <c r="AG509" s="125" t="e">
        <f t="shared" ca="1" si="132"/>
        <v>#REF!</v>
      </c>
      <c r="AH509" s="128" t="e">
        <f t="shared" ca="1" si="139"/>
        <v>#REF!</v>
      </c>
    </row>
    <row r="510" spans="4:34">
      <c r="D510">
        <v>503</v>
      </c>
      <c r="E510" s="6">
        <f t="shared" ca="1" si="124"/>
        <v>37469</v>
      </c>
      <c r="F510" s="7">
        <f t="shared" ca="1" si="133"/>
        <v>0</v>
      </c>
      <c r="G510" s="125">
        <f t="shared" ca="1" si="125"/>
        <v>0</v>
      </c>
      <c r="H510" s="125">
        <f ca="1">IF(F510=1,F510*$B$10/MIN(12,'Simulador - 3º Pilar'!$E$88),0)</f>
        <v>0</v>
      </c>
      <c r="I510" s="128">
        <f t="shared" ca="1" si="126"/>
        <v>0</v>
      </c>
      <c r="J510" s="494">
        <f t="shared" ca="1" si="127"/>
        <v>0</v>
      </c>
      <c r="K510" s="126">
        <f t="shared" ca="1" si="128"/>
        <v>0</v>
      </c>
      <c r="L510" s="126">
        <f t="shared" ca="1" si="140"/>
        <v>0</v>
      </c>
      <c r="P510">
        <v>503</v>
      </c>
      <c r="Q510" s="6">
        <f t="shared" ca="1" si="129"/>
        <v>37469</v>
      </c>
      <c r="R510" s="7" t="e">
        <f t="shared" ca="1" si="134"/>
        <v>#REF!</v>
      </c>
      <c r="S510" s="125" t="e">
        <f t="shared" ca="1" si="135"/>
        <v>#REF!</v>
      </c>
      <c r="T510" s="125" t="e">
        <f t="shared" ca="1" si="130"/>
        <v>#REF!</v>
      </c>
      <c r="U510" s="128" t="e">
        <f t="shared" ca="1" si="136"/>
        <v>#REF!</v>
      </c>
      <c r="AC510">
        <v>503</v>
      </c>
      <c r="AD510" s="6">
        <f t="shared" ca="1" si="131"/>
        <v>37469</v>
      </c>
      <c r="AE510" s="7" t="e">
        <f t="shared" ca="1" si="137"/>
        <v>#REF!</v>
      </c>
      <c r="AF510" s="125" t="e">
        <f t="shared" ca="1" si="138"/>
        <v>#REF!</v>
      </c>
      <c r="AG510" s="125" t="e">
        <f t="shared" ca="1" si="132"/>
        <v>#REF!</v>
      </c>
      <c r="AH510" s="128" t="e">
        <f t="shared" ca="1" si="139"/>
        <v>#REF!</v>
      </c>
    </row>
    <row r="511" spans="4:34">
      <c r="D511">
        <v>504</v>
      </c>
      <c r="E511" s="6">
        <f t="shared" ca="1" si="124"/>
        <v>37438</v>
      </c>
      <c r="F511" s="7">
        <f t="shared" ca="1" si="133"/>
        <v>0</v>
      </c>
      <c r="G511" s="125">
        <f t="shared" ca="1" si="125"/>
        <v>0</v>
      </c>
      <c r="H511" s="125">
        <f ca="1">IF(F511=1,F511*$B$10/MIN(12,'Simulador - 3º Pilar'!$E$88),0)</f>
        <v>0</v>
      </c>
      <c r="I511" s="128">
        <f t="shared" ca="1" si="126"/>
        <v>0</v>
      </c>
      <c r="J511" s="494">
        <f t="shared" ca="1" si="127"/>
        <v>0</v>
      </c>
      <c r="K511" s="126">
        <f t="shared" ca="1" si="128"/>
        <v>0</v>
      </c>
      <c r="L511" s="126">
        <f t="shared" ca="1" si="140"/>
        <v>0</v>
      </c>
      <c r="P511">
        <v>504</v>
      </c>
      <c r="Q511" s="6">
        <f t="shared" ca="1" si="129"/>
        <v>37438</v>
      </c>
      <c r="R511" s="7" t="e">
        <f t="shared" ca="1" si="134"/>
        <v>#REF!</v>
      </c>
      <c r="S511" s="125" t="e">
        <f t="shared" ca="1" si="135"/>
        <v>#REF!</v>
      </c>
      <c r="T511" s="125" t="e">
        <f t="shared" ca="1" si="130"/>
        <v>#REF!</v>
      </c>
      <c r="U511" s="128" t="e">
        <f t="shared" ca="1" si="136"/>
        <v>#REF!</v>
      </c>
      <c r="AC511">
        <v>504</v>
      </c>
      <c r="AD511" s="6">
        <f t="shared" ca="1" si="131"/>
        <v>37438</v>
      </c>
      <c r="AE511" s="7" t="e">
        <f t="shared" ca="1" si="137"/>
        <v>#REF!</v>
      </c>
      <c r="AF511" s="125" t="e">
        <f t="shared" ca="1" si="138"/>
        <v>#REF!</v>
      </c>
      <c r="AG511" s="125" t="e">
        <f t="shared" ca="1" si="132"/>
        <v>#REF!</v>
      </c>
      <c r="AH511" s="128" t="e">
        <f t="shared" ca="1" si="139"/>
        <v>#REF!</v>
      </c>
    </row>
    <row r="512" spans="4:34">
      <c r="D512">
        <v>505</v>
      </c>
      <c r="E512" s="6">
        <f t="shared" ca="1" si="124"/>
        <v>37408</v>
      </c>
      <c r="F512" s="7">
        <f t="shared" ca="1" si="133"/>
        <v>0</v>
      </c>
      <c r="G512" s="125">
        <f t="shared" ca="1" si="125"/>
        <v>0</v>
      </c>
      <c r="H512" s="125">
        <f ca="1">IF(F512=1,F512*$B$10/MIN(12,'Simulador - 3º Pilar'!$E$88),0)</f>
        <v>0</v>
      </c>
      <c r="I512" s="128">
        <f t="shared" ca="1" si="126"/>
        <v>0</v>
      </c>
      <c r="J512" s="494">
        <f t="shared" ca="1" si="127"/>
        <v>0</v>
      </c>
      <c r="K512" s="126">
        <f t="shared" ca="1" si="128"/>
        <v>0</v>
      </c>
      <c r="L512" s="126">
        <f t="shared" ca="1" si="140"/>
        <v>0</v>
      </c>
      <c r="P512">
        <v>505</v>
      </c>
      <c r="Q512" s="6">
        <f t="shared" ca="1" si="129"/>
        <v>37408</v>
      </c>
      <c r="R512" s="7" t="e">
        <f t="shared" ca="1" si="134"/>
        <v>#REF!</v>
      </c>
      <c r="S512" s="125" t="e">
        <f t="shared" ca="1" si="135"/>
        <v>#REF!</v>
      </c>
      <c r="T512" s="125" t="e">
        <f t="shared" ca="1" si="130"/>
        <v>#REF!</v>
      </c>
      <c r="U512" s="128" t="e">
        <f t="shared" ca="1" si="136"/>
        <v>#REF!</v>
      </c>
      <c r="AC512">
        <v>505</v>
      </c>
      <c r="AD512" s="6">
        <f t="shared" ca="1" si="131"/>
        <v>37408</v>
      </c>
      <c r="AE512" s="7" t="e">
        <f t="shared" ca="1" si="137"/>
        <v>#REF!</v>
      </c>
      <c r="AF512" s="125" t="e">
        <f t="shared" ca="1" si="138"/>
        <v>#REF!</v>
      </c>
      <c r="AG512" s="125" t="e">
        <f t="shared" ca="1" si="132"/>
        <v>#REF!</v>
      </c>
      <c r="AH512" s="128" t="e">
        <f t="shared" ca="1" si="139"/>
        <v>#REF!</v>
      </c>
    </row>
    <row r="513" spans="4:34">
      <c r="D513">
        <v>506</v>
      </c>
      <c r="E513" s="6">
        <f t="shared" ca="1" si="124"/>
        <v>37377</v>
      </c>
      <c r="F513" s="7">
        <f t="shared" ca="1" si="133"/>
        <v>0</v>
      </c>
      <c r="G513" s="125">
        <f t="shared" ca="1" si="125"/>
        <v>0</v>
      </c>
      <c r="H513" s="125">
        <f ca="1">IF(F513=1,F513*$B$10/MIN(12,'Simulador - 3º Pilar'!$E$88),0)</f>
        <v>0</v>
      </c>
      <c r="I513" s="128">
        <f t="shared" ca="1" si="126"/>
        <v>0</v>
      </c>
      <c r="J513" s="494">
        <f t="shared" ca="1" si="127"/>
        <v>0</v>
      </c>
      <c r="K513" s="126">
        <f t="shared" ca="1" si="128"/>
        <v>0</v>
      </c>
      <c r="L513" s="126">
        <f t="shared" ca="1" si="140"/>
        <v>0</v>
      </c>
      <c r="P513">
        <v>506</v>
      </c>
      <c r="Q513" s="6">
        <f t="shared" ca="1" si="129"/>
        <v>37377</v>
      </c>
      <c r="R513" s="7" t="e">
        <f t="shared" ca="1" si="134"/>
        <v>#REF!</v>
      </c>
      <c r="S513" s="125" t="e">
        <f t="shared" ca="1" si="135"/>
        <v>#REF!</v>
      </c>
      <c r="T513" s="125" t="e">
        <f t="shared" ca="1" si="130"/>
        <v>#REF!</v>
      </c>
      <c r="U513" s="128" t="e">
        <f t="shared" ca="1" si="136"/>
        <v>#REF!</v>
      </c>
      <c r="AC513">
        <v>506</v>
      </c>
      <c r="AD513" s="6">
        <f t="shared" ca="1" si="131"/>
        <v>37377</v>
      </c>
      <c r="AE513" s="7" t="e">
        <f t="shared" ca="1" si="137"/>
        <v>#REF!</v>
      </c>
      <c r="AF513" s="125" t="e">
        <f t="shared" ca="1" si="138"/>
        <v>#REF!</v>
      </c>
      <c r="AG513" s="125" t="e">
        <f t="shared" ca="1" si="132"/>
        <v>#REF!</v>
      </c>
      <c r="AH513" s="128" t="e">
        <f t="shared" ca="1" si="139"/>
        <v>#REF!</v>
      </c>
    </row>
    <row r="514" spans="4:34">
      <c r="D514">
        <v>507</v>
      </c>
      <c r="E514" s="6">
        <f t="shared" ca="1" si="124"/>
        <v>37347</v>
      </c>
      <c r="F514" s="7">
        <f t="shared" ca="1" si="133"/>
        <v>0</v>
      </c>
      <c r="G514" s="125">
        <f t="shared" ca="1" si="125"/>
        <v>0</v>
      </c>
      <c r="H514" s="125">
        <f ca="1">IF(F514=1,F514*$B$10/MIN(12,'Simulador - 3º Pilar'!$E$88),0)</f>
        <v>0</v>
      </c>
      <c r="I514" s="128">
        <f t="shared" ca="1" si="126"/>
        <v>0</v>
      </c>
      <c r="J514" s="494">
        <f t="shared" ca="1" si="127"/>
        <v>0</v>
      </c>
      <c r="K514" s="126">
        <f t="shared" ca="1" si="128"/>
        <v>0</v>
      </c>
      <c r="L514" s="126">
        <f t="shared" ca="1" si="140"/>
        <v>0</v>
      </c>
      <c r="P514">
        <v>507</v>
      </c>
      <c r="Q514" s="6">
        <f t="shared" ca="1" si="129"/>
        <v>37347</v>
      </c>
      <c r="R514" s="7" t="e">
        <f t="shared" ca="1" si="134"/>
        <v>#REF!</v>
      </c>
      <c r="S514" s="125" t="e">
        <f t="shared" ca="1" si="135"/>
        <v>#REF!</v>
      </c>
      <c r="T514" s="125" t="e">
        <f t="shared" ca="1" si="130"/>
        <v>#REF!</v>
      </c>
      <c r="U514" s="128" t="e">
        <f t="shared" ca="1" si="136"/>
        <v>#REF!</v>
      </c>
      <c r="AC514">
        <v>507</v>
      </c>
      <c r="AD514" s="6">
        <f t="shared" ca="1" si="131"/>
        <v>37347</v>
      </c>
      <c r="AE514" s="7" t="e">
        <f t="shared" ca="1" si="137"/>
        <v>#REF!</v>
      </c>
      <c r="AF514" s="125" t="e">
        <f t="shared" ca="1" si="138"/>
        <v>#REF!</v>
      </c>
      <c r="AG514" s="125" t="e">
        <f t="shared" ca="1" si="132"/>
        <v>#REF!</v>
      </c>
      <c r="AH514" s="128" t="e">
        <f t="shared" ca="1" si="139"/>
        <v>#REF!</v>
      </c>
    </row>
    <row r="515" spans="4:34">
      <c r="D515">
        <v>508</v>
      </c>
      <c r="E515" s="6">
        <f t="shared" ca="1" si="124"/>
        <v>37316</v>
      </c>
      <c r="F515" s="7">
        <f t="shared" ca="1" si="133"/>
        <v>0</v>
      </c>
      <c r="G515" s="125">
        <f t="shared" ca="1" si="125"/>
        <v>0</v>
      </c>
      <c r="H515" s="125">
        <f ca="1">IF(F515=1,F515*$B$10/MIN(12,'Simulador - 3º Pilar'!$E$88),0)</f>
        <v>0</v>
      </c>
      <c r="I515" s="128">
        <f t="shared" ca="1" si="126"/>
        <v>0</v>
      </c>
      <c r="J515" s="494">
        <f t="shared" ca="1" si="127"/>
        <v>0</v>
      </c>
      <c r="K515" s="126">
        <f t="shared" ca="1" si="128"/>
        <v>0</v>
      </c>
      <c r="L515" s="126">
        <f t="shared" ca="1" si="140"/>
        <v>0</v>
      </c>
      <c r="P515">
        <v>508</v>
      </c>
      <c r="Q515" s="6">
        <f t="shared" ca="1" si="129"/>
        <v>37316</v>
      </c>
      <c r="R515" s="7" t="e">
        <f t="shared" ca="1" si="134"/>
        <v>#REF!</v>
      </c>
      <c r="S515" s="125" t="e">
        <f t="shared" ca="1" si="135"/>
        <v>#REF!</v>
      </c>
      <c r="T515" s="125" t="e">
        <f t="shared" ca="1" si="130"/>
        <v>#REF!</v>
      </c>
      <c r="U515" s="128" t="e">
        <f t="shared" ca="1" si="136"/>
        <v>#REF!</v>
      </c>
      <c r="AC515">
        <v>508</v>
      </c>
      <c r="AD515" s="6">
        <f t="shared" ca="1" si="131"/>
        <v>37316</v>
      </c>
      <c r="AE515" s="7" t="e">
        <f t="shared" ca="1" si="137"/>
        <v>#REF!</v>
      </c>
      <c r="AF515" s="125" t="e">
        <f t="shared" ca="1" si="138"/>
        <v>#REF!</v>
      </c>
      <c r="AG515" s="125" t="e">
        <f t="shared" ca="1" si="132"/>
        <v>#REF!</v>
      </c>
      <c r="AH515" s="128" t="e">
        <f t="shared" ca="1" si="139"/>
        <v>#REF!</v>
      </c>
    </row>
    <row r="516" spans="4:34">
      <c r="D516">
        <v>509</v>
      </c>
      <c r="E516" s="6">
        <f t="shared" ca="1" si="124"/>
        <v>37288</v>
      </c>
      <c r="F516" s="7">
        <f t="shared" ca="1" si="133"/>
        <v>0</v>
      </c>
      <c r="G516" s="125">
        <f t="shared" ca="1" si="125"/>
        <v>0</v>
      </c>
      <c r="H516" s="125">
        <f ca="1">IF(F516=1,F516*$B$10/MIN(12,'Simulador - 3º Pilar'!$E$88),0)</f>
        <v>0</v>
      </c>
      <c r="I516" s="128">
        <f t="shared" ca="1" si="126"/>
        <v>0</v>
      </c>
      <c r="J516" s="494">
        <f t="shared" ca="1" si="127"/>
        <v>0</v>
      </c>
      <c r="K516" s="126">
        <f t="shared" ca="1" si="128"/>
        <v>0</v>
      </c>
      <c r="L516" s="126">
        <f t="shared" ca="1" si="140"/>
        <v>0</v>
      </c>
      <c r="P516">
        <v>509</v>
      </c>
      <c r="Q516" s="6">
        <f t="shared" ca="1" si="129"/>
        <v>37288</v>
      </c>
      <c r="R516" s="7" t="e">
        <f t="shared" ca="1" si="134"/>
        <v>#REF!</v>
      </c>
      <c r="S516" s="125" t="e">
        <f t="shared" ca="1" si="135"/>
        <v>#REF!</v>
      </c>
      <c r="T516" s="125" t="e">
        <f t="shared" ca="1" si="130"/>
        <v>#REF!</v>
      </c>
      <c r="U516" s="128" t="e">
        <f t="shared" ca="1" si="136"/>
        <v>#REF!</v>
      </c>
      <c r="AC516">
        <v>509</v>
      </c>
      <c r="AD516" s="6">
        <f t="shared" ca="1" si="131"/>
        <v>37288</v>
      </c>
      <c r="AE516" s="7" t="e">
        <f t="shared" ca="1" si="137"/>
        <v>#REF!</v>
      </c>
      <c r="AF516" s="125" t="e">
        <f t="shared" ca="1" si="138"/>
        <v>#REF!</v>
      </c>
      <c r="AG516" s="125" t="e">
        <f t="shared" ca="1" si="132"/>
        <v>#REF!</v>
      </c>
      <c r="AH516" s="128" t="e">
        <f t="shared" ca="1" si="139"/>
        <v>#REF!</v>
      </c>
    </row>
    <row r="517" spans="4:34">
      <c r="D517">
        <v>510</v>
      </c>
      <c r="E517" s="6">
        <f t="shared" ca="1" si="124"/>
        <v>37257</v>
      </c>
      <c r="F517" s="7">
        <f t="shared" ca="1" si="133"/>
        <v>0</v>
      </c>
      <c r="G517" s="125">
        <f t="shared" ca="1" si="125"/>
        <v>0</v>
      </c>
      <c r="H517" s="125">
        <f ca="1">IF(F517=1,F517*$B$10/MIN(12,'Simulador - 3º Pilar'!$E$88),0)</f>
        <v>0</v>
      </c>
      <c r="I517" s="128">
        <f t="shared" ca="1" si="126"/>
        <v>0</v>
      </c>
      <c r="J517" s="494">
        <f t="shared" ca="1" si="127"/>
        <v>0</v>
      </c>
      <c r="K517" s="126">
        <f t="shared" ca="1" si="128"/>
        <v>0</v>
      </c>
      <c r="L517" s="126">
        <f t="shared" ca="1" si="140"/>
        <v>0</v>
      </c>
      <c r="P517">
        <v>510</v>
      </c>
      <c r="Q517" s="6">
        <f t="shared" ca="1" si="129"/>
        <v>37257</v>
      </c>
      <c r="R517" s="7" t="e">
        <f t="shared" ca="1" si="134"/>
        <v>#REF!</v>
      </c>
      <c r="S517" s="125" t="e">
        <f t="shared" ca="1" si="135"/>
        <v>#REF!</v>
      </c>
      <c r="T517" s="125" t="e">
        <f t="shared" ca="1" si="130"/>
        <v>#REF!</v>
      </c>
      <c r="U517" s="128" t="e">
        <f t="shared" ca="1" si="136"/>
        <v>#REF!</v>
      </c>
      <c r="AC517">
        <v>510</v>
      </c>
      <c r="AD517" s="6">
        <f t="shared" ca="1" si="131"/>
        <v>37257</v>
      </c>
      <c r="AE517" s="7" t="e">
        <f t="shared" ca="1" si="137"/>
        <v>#REF!</v>
      </c>
      <c r="AF517" s="125" t="e">
        <f t="shared" ca="1" si="138"/>
        <v>#REF!</v>
      </c>
      <c r="AG517" s="125" t="e">
        <f t="shared" ca="1" si="132"/>
        <v>#REF!</v>
      </c>
      <c r="AH517" s="128" t="e">
        <f t="shared" ca="1" si="139"/>
        <v>#REF!</v>
      </c>
    </row>
    <row r="518" spans="4:34">
      <c r="D518">
        <v>511</v>
      </c>
      <c r="E518" s="6">
        <f t="shared" ca="1" si="124"/>
        <v>37226</v>
      </c>
      <c r="F518" s="7">
        <f t="shared" ca="1" si="133"/>
        <v>0</v>
      </c>
      <c r="G518" s="125">
        <f t="shared" ca="1" si="125"/>
        <v>0</v>
      </c>
      <c r="H518" s="125">
        <f ca="1">IF(F518=1,F518*$B$10/MIN(12,'Simulador - 3º Pilar'!$E$88),0)</f>
        <v>0</v>
      </c>
      <c r="I518" s="128">
        <f t="shared" ca="1" si="126"/>
        <v>0</v>
      </c>
      <c r="J518" s="494">
        <f t="shared" ca="1" si="127"/>
        <v>0</v>
      </c>
      <c r="K518" s="126">
        <f t="shared" ca="1" si="128"/>
        <v>0</v>
      </c>
      <c r="L518" s="126">
        <f t="shared" ca="1" si="140"/>
        <v>0</v>
      </c>
      <c r="P518">
        <v>511</v>
      </c>
      <c r="Q518" s="6">
        <f t="shared" ca="1" si="129"/>
        <v>37226</v>
      </c>
      <c r="R518" s="7" t="e">
        <f t="shared" ca="1" si="134"/>
        <v>#REF!</v>
      </c>
      <c r="S518" s="125" t="e">
        <f t="shared" ca="1" si="135"/>
        <v>#REF!</v>
      </c>
      <c r="T518" s="125" t="e">
        <f t="shared" ca="1" si="130"/>
        <v>#REF!</v>
      </c>
      <c r="U518" s="128" t="e">
        <f t="shared" ca="1" si="136"/>
        <v>#REF!</v>
      </c>
      <c r="AC518">
        <v>511</v>
      </c>
      <c r="AD518" s="6">
        <f t="shared" ca="1" si="131"/>
        <v>37226</v>
      </c>
      <c r="AE518" s="7" t="e">
        <f t="shared" ca="1" si="137"/>
        <v>#REF!</v>
      </c>
      <c r="AF518" s="125" t="e">
        <f t="shared" ca="1" si="138"/>
        <v>#REF!</v>
      </c>
      <c r="AG518" s="125" t="e">
        <f t="shared" ca="1" si="132"/>
        <v>#REF!</v>
      </c>
      <c r="AH518" s="128" t="e">
        <f t="shared" ca="1" si="139"/>
        <v>#REF!</v>
      </c>
    </row>
    <row r="519" spans="4:34">
      <c r="D519">
        <v>512</v>
      </c>
      <c r="E519" s="6">
        <f t="shared" ca="1" si="124"/>
        <v>37196</v>
      </c>
      <c r="F519" s="7">
        <f t="shared" ca="1" si="133"/>
        <v>0</v>
      </c>
      <c r="G519" s="125">
        <f t="shared" ca="1" si="125"/>
        <v>0</v>
      </c>
      <c r="H519" s="125">
        <f ca="1">IF(F519=1,F519*$B$10/MIN(12,'Simulador - 3º Pilar'!$E$88),0)</f>
        <v>0</v>
      </c>
      <c r="I519" s="128">
        <f t="shared" ca="1" si="126"/>
        <v>0</v>
      </c>
      <c r="J519" s="494">
        <f t="shared" ca="1" si="127"/>
        <v>0</v>
      </c>
      <c r="K519" s="126">
        <f t="shared" ca="1" si="128"/>
        <v>0</v>
      </c>
      <c r="L519" s="126">
        <f t="shared" ca="1" si="140"/>
        <v>0</v>
      </c>
      <c r="P519">
        <v>512</v>
      </c>
      <c r="Q519" s="6">
        <f t="shared" ca="1" si="129"/>
        <v>37196</v>
      </c>
      <c r="R519" s="7" t="e">
        <f t="shared" ca="1" si="134"/>
        <v>#REF!</v>
      </c>
      <c r="S519" s="125" t="e">
        <f t="shared" ca="1" si="135"/>
        <v>#REF!</v>
      </c>
      <c r="T519" s="125" t="e">
        <f t="shared" ca="1" si="130"/>
        <v>#REF!</v>
      </c>
      <c r="U519" s="128" t="e">
        <f t="shared" ca="1" si="136"/>
        <v>#REF!</v>
      </c>
      <c r="AC519">
        <v>512</v>
      </c>
      <c r="AD519" s="6">
        <f t="shared" ca="1" si="131"/>
        <v>37196</v>
      </c>
      <c r="AE519" s="7" t="e">
        <f t="shared" ca="1" si="137"/>
        <v>#REF!</v>
      </c>
      <c r="AF519" s="125" t="e">
        <f t="shared" ca="1" si="138"/>
        <v>#REF!</v>
      </c>
      <c r="AG519" s="125" t="e">
        <f t="shared" ca="1" si="132"/>
        <v>#REF!</v>
      </c>
      <c r="AH519" s="128" t="e">
        <f t="shared" ca="1" si="139"/>
        <v>#REF!</v>
      </c>
    </row>
    <row r="520" spans="4:34">
      <c r="D520">
        <v>513</v>
      </c>
      <c r="E520" s="6">
        <f t="shared" ref="E520:E583" ca="1" si="141">+DATE(YEAR(E519),MONTH(E519)-1,DAY(E519))</f>
        <v>37165</v>
      </c>
      <c r="F520" s="7">
        <f t="shared" ca="1" si="133"/>
        <v>0</v>
      </c>
      <c r="G520" s="125">
        <f t="shared" ref="G520:G583" ca="1" si="142">F520*$B$8/12</f>
        <v>0</v>
      </c>
      <c r="H520" s="125">
        <f ca="1">IF(F520=1,F520*$B$10/MIN(12,'Simulador - 3º Pilar'!$E$88),0)</f>
        <v>0</v>
      </c>
      <c r="I520" s="128">
        <f t="shared" ref="I520:I583" ca="1" si="143">(1+$G$5)^(D520/12)*(H520+IF(E520=$N$7,$N$4,0))</f>
        <v>0</v>
      </c>
      <c r="J520" s="494">
        <f t="shared" ref="J520:J583" ca="1" si="144">(1+$G$5)^(D520/12)*(H520*(12-IF(MONTH(E521)=12,0,MONTH(E521)))+IF(AND(F520=1,F521=0),$Q$4,0))*IF(AND(F520=1,F521=0),1,0)</f>
        <v>0</v>
      </c>
      <c r="K520" s="126">
        <f t="shared" ref="K520:K583" ca="1" si="145">(1+$G$5)^(D520/12)*(IF(E520=$N$7,$N$4,0)+IF(E520=$C$6,$B$10,0))</f>
        <v>0</v>
      </c>
      <c r="L520" s="126">
        <f t="shared" ca="1" si="140"/>
        <v>0</v>
      </c>
      <c r="P520">
        <v>513</v>
      </c>
      <c r="Q520" s="6">
        <f t="shared" ref="Q520:Q583" ca="1" si="146">+DATE(YEAR(Q519),MONTH(Q519)-1,DAY(Q519))</f>
        <v>37165</v>
      </c>
      <c r="R520" s="7" t="e">
        <f t="shared" ca="1" si="134"/>
        <v>#REF!</v>
      </c>
      <c r="S520" s="125" t="e">
        <f t="shared" ca="1" si="135"/>
        <v>#REF!</v>
      </c>
      <c r="T520" s="125" t="e">
        <f t="shared" ref="T520:T583" ca="1" si="147">R520*$B$11/12</f>
        <v>#REF!</v>
      </c>
      <c r="U520" s="128" t="e">
        <f t="shared" ca="1" si="136"/>
        <v>#REF!</v>
      </c>
      <c r="AC520">
        <v>513</v>
      </c>
      <c r="AD520" s="6">
        <f t="shared" ref="AD520:AD583" ca="1" si="148">+DATE(YEAR(AD519),MONTH(AD519)-1,DAY(AD519))</f>
        <v>37165</v>
      </c>
      <c r="AE520" s="7" t="e">
        <f t="shared" ca="1" si="137"/>
        <v>#REF!</v>
      </c>
      <c r="AF520" s="125" t="e">
        <f t="shared" ca="1" si="138"/>
        <v>#REF!</v>
      </c>
      <c r="AG520" s="125" t="e">
        <f t="shared" ref="AG520:AG583" ca="1" si="149">AE520*$B$12/12</f>
        <v>#REF!</v>
      </c>
      <c r="AH520" s="128" t="e">
        <f t="shared" ca="1" si="139"/>
        <v>#REF!</v>
      </c>
    </row>
    <row r="521" spans="4:34">
      <c r="D521">
        <v>514</v>
      </c>
      <c r="E521" s="6">
        <f t="shared" ca="1" si="141"/>
        <v>37135</v>
      </c>
      <c r="F521" s="7">
        <f t="shared" ref="F521:F584" ca="1" si="150">IF($C$6=$E521,1,IF(MONTH($E521)=1,F522*(1+$F$5),F522))</f>
        <v>0</v>
      </c>
      <c r="G521" s="125">
        <f t="shared" ca="1" si="142"/>
        <v>0</v>
      </c>
      <c r="H521" s="125">
        <f ca="1">IF(F521=1,F521*$B$10/MIN(12,'Simulador - 3º Pilar'!$E$88),0)</f>
        <v>0</v>
      </c>
      <c r="I521" s="128">
        <f t="shared" ca="1" si="143"/>
        <v>0</v>
      </c>
      <c r="J521" s="494">
        <f t="shared" ca="1" si="144"/>
        <v>0</v>
      </c>
      <c r="K521" s="126">
        <f t="shared" ca="1" si="145"/>
        <v>0</v>
      </c>
      <c r="L521" s="126">
        <f t="shared" ca="1" si="140"/>
        <v>0</v>
      </c>
      <c r="P521">
        <v>514</v>
      </c>
      <c r="Q521" s="6">
        <f t="shared" ca="1" si="146"/>
        <v>37135</v>
      </c>
      <c r="R521" s="7" t="e">
        <f t="shared" ref="R521:R584" ca="1" si="151">IF($Z$7=$E521,1,IF(MONTH($E521)=1,R522*(1+$F$5),R522))</f>
        <v>#REF!</v>
      </c>
      <c r="S521" s="125" t="e">
        <f t="shared" ref="S521:S584" ca="1" si="152">R521*$B$8/12</f>
        <v>#REF!</v>
      </c>
      <c r="T521" s="125" t="e">
        <f t="shared" ca="1" si="147"/>
        <v>#REF!</v>
      </c>
      <c r="U521" s="128" t="e">
        <f t="shared" ref="U521:U584" ca="1" si="153">(1+$V$5)^(P521/12)*(T521+IF(Q521=$Z$7,$Z$4,0))</f>
        <v>#REF!</v>
      </c>
      <c r="AC521">
        <v>514</v>
      </c>
      <c r="AD521" s="6">
        <f t="shared" ca="1" si="148"/>
        <v>37135</v>
      </c>
      <c r="AE521" s="7" t="e">
        <f t="shared" ref="AE521:AE584" ca="1" si="154">IF($AM$7=$E521,1,IF(MONTH($E521)=1,AE522*(1+$F$5),AE522))</f>
        <v>#REF!</v>
      </c>
      <c r="AF521" s="125" t="e">
        <f t="shared" ref="AF521:AF584" ca="1" si="155">AE521*$B$8/12</f>
        <v>#REF!</v>
      </c>
      <c r="AG521" s="125" t="e">
        <f t="shared" ca="1" si="149"/>
        <v>#REF!</v>
      </c>
      <c r="AH521" s="128" t="e">
        <f t="shared" ref="AH521:AH584" ca="1" si="156">(1+$AI$5)^(AC521/12)*(AG521+IF(AD521=$AM$7,$AM$4,0))</f>
        <v>#REF!</v>
      </c>
    </row>
    <row r="522" spans="4:34">
      <c r="D522">
        <v>515</v>
      </c>
      <c r="E522" s="6">
        <f t="shared" ca="1" si="141"/>
        <v>37104</v>
      </c>
      <c r="F522" s="7">
        <f t="shared" ca="1" si="150"/>
        <v>0</v>
      </c>
      <c r="G522" s="125">
        <f t="shared" ca="1" si="142"/>
        <v>0</v>
      </c>
      <c r="H522" s="125">
        <f ca="1">IF(F522=1,F522*$B$10/MIN(12,'Simulador - 3º Pilar'!$E$88),0)</f>
        <v>0</v>
      </c>
      <c r="I522" s="128">
        <f t="shared" ca="1" si="143"/>
        <v>0</v>
      </c>
      <c r="J522" s="494">
        <f t="shared" ca="1" si="144"/>
        <v>0</v>
      </c>
      <c r="K522" s="126">
        <f t="shared" ca="1" si="145"/>
        <v>0</v>
      </c>
      <c r="L522" s="126">
        <f t="shared" ca="1" si="140"/>
        <v>0</v>
      </c>
      <c r="P522">
        <v>515</v>
      </c>
      <c r="Q522" s="6">
        <f t="shared" ca="1" si="146"/>
        <v>37104</v>
      </c>
      <c r="R522" s="7" t="e">
        <f t="shared" ca="1" si="151"/>
        <v>#REF!</v>
      </c>
      <c r="S522" s="125" t="e">
        <f t="shared" ca="1" si="152"/>
        <v>#REF!</v>
      </c>
      <c r="T522" s="125" t="e">
        <f t="shared" ca="1" si="147"/>
        <v>#REF!</v>
      </c>
      <c r="U522" s="128" t="e">
        <f t="shared" ca="1" si="153"/>
        <v>#REF!</v>
      </c>
      <c r="AC522">
        <v>515</v>
      </c>
      <c r="AD522" s="6">
        <f t="shared" ca="1" si="148"/>
        <v>37104</v>
      </c>
      <c r="AE522" s="7" t="e">
        <f t="shared" ca="1" si="154"/>
        <v>#REF!</v>
      </c>
      <c r="AF522" s="125" t="e">
        <f t="shared" ca="1" si="155"/>
        <v>#REF!</v>
      </c>
      <c r="AG522" s="125" t="e">
        <f t="shared" ca="1" si="149"/>
        <v>#REF!</v>
      </c>
      <c r="AH522" s="128" t="e">
        <f t="shared" ca="1" si="156"/>
        <v>#REF!</v>
      </c>
    </row>
    <row r="523" spans="4:34">
      <c r="D523">
        <v>516</v>
      </c>
      <c r="E523" s="6">
        <f t="shared" ca="1" si="141"/>
        <v>37073</v>
      </c>
      <c r="F523" s="7">
        <f t="shared" ca="1" si="150"/>
        <v>0</v>
      </c>
      <c r="G523" s="125">
        <f t="shared" ca="1" si="142"/>
        <v>0</v>
      </c>
      <c r="H523" s="125">
        <f ca="1">IF(F523=1,F523*$B$10/MIN(12,'Simulador - 3º Pilar'!$E$88),0)</f>
        <v>0</v>
      </c>
      <c r="I523" s="128">
        <f t="shared" ca="1" si="143"/>
        <v>0</v>
      </c>
      <c r="J523" s="494">
        <f t="shared" ca="1" si="144"/>
        <v>0</v>
      </c>
      <c r="K523" s="126">
        <f t="shared" ca="1" si="145"/>
        <v>0</v>
      </c>
      <c r="L523" s="126">
        <f t="shared" ca="1" si="140"/>
        <v>0</v>
      </c>
      <c r="P523">
        <v>516</v>
      </c>
      <c r="Q523" s="6">
        <f t="shared" ca="1" si="146"/>
        <v>37073</v>
      </c>
      <c r="R523" s="7" t="e">
        <f t="shared" ca="1" si="151"/>
        <v>#REF!</v>
      </c>
      <c r="S523" s="125" t="e">
        <f t="shared" ca="1" si="152"/>
        <v>#REF!</v>
      </c>
      <c r="T523" s="125" t="e">
        <f t="shared" ca="1" si="147"/>
        <v>#REF!</v>
      </c>
      <c r="U523" s="128" t="e">
        <f t="shared" ca="1" si="153"/>
        <v>#REF!</v>
      </c>
      <c r="AC523">
        <v>516</v>
      </c>
      <c r="AD523" s="6">
        <f t="shared" ca="1" si="148"/>
        <v>37073</v>
      </c>
      <c r="AE523" s="7" t="e">
        <f t="shared" ca="1" si="154"/>
        <v>#REF!</v>
      </c>
      <c r="AF523" s="125" t="e">
        <f t="shared" ca="1" si="155"/>
        <v>#REF!</v>
      </c>
      <c r="AG523" s="125" t="e">
        <f t="shared" ca="1" si="149"/>
        <v>#REF!</v>
      </c>
      <c r="AH523" s="128" t="e">
        <f t="shared" ca="1" si="156"/>
        <v>#REF!</v>
      </c>
    </row>
    <row r="524" spans="4:34">
      <c r="D524">
        <v>517</v>
      </c>
      <c r="E524" s="6">
        <f t="shared" ca="1" si="141"/>
        <v>37043</v>
      </c>
      <c r="F524" s="7">
        <f t="shared" ca="1" si="150"/>
        <v>0</v>
      </c>
      <c r="G524" s="125">
        <f t="shared" ca="1" si="142"/>
        <v>0</v>
      </c>
      <c r="H524" s="125">
        <f ca="1">IF(F524=1,F524*$B$10/MIN(12,'Simulador - 3º Pilar'!$E$88),0)</f>
        <v>0</v>
      </c>
      <c r="I524" s="128">
        <f t="shared" ca="1" si="143"/>
        <v>0</v>
      </c>
      <c r="J524" s="494">
        <f t="shared" ca="1" si="144"/>
        <v>0</v>
      </c>
      <c r="K524" s="126">
        <f t="shared" ca="1" si="145"/>
        <v>0</v>
      </c>
      <c r="L524" s="126">
        <f t="shared" ca="1" si="140"/>
        <v>0</v>
      </c>
      <c r="P524">
        <v>517</v>
      </c>
      <c r="Q524" s="6">
        <f t="shared" ca="1" si="146"/>
        <v>37043</v>
      </c>
      <c r="R524" s="7" t="e">
        <f t="shared" ca="1" si="151"/>
        <v>#REF!</v>
      </c>
      <c r="S524" s="125" t="e">
        <f t="shared" ca="1" si="152"/>
        <v>#REF!</v>
      </c>
      <c r="T524" s="125" t="e">
        <f t="shared" ca="1" si="147"/>
        <v>#REF!</v>
      </c>
      <c r="U524" s="128" t="e">
        <f t="shared" ca="1" si="153"/>
        <v>#REF!</v>
      </c>
      <c r="AC524">
        <v>517</v>
      </c>
      <c r="AD524" s="6">
        <f t="shared" ca="1" si="148"/>
        <v>37043</v>
      </c>
      <c r="AE524" s="7" t="e">
        <f t="shared" ca="1" si="154"/>
        <v>#REF!</v>
      </c>
      <c r="AF524" s="125" t="e">
        <f t="shared" ca="1" si="155"/>
        <v>#REF!</v>
      </c>
      <c r="AG524" s="125" t="e">
        <f t="shared" ca="1" si="149"/>
        <v>#REF!</v>
      </c>
      <c r="AH524" s="128" t="e">
        <f t="shared" ca="1" si="156"/>
        <v>#REF!</v>
      </c>
    </row>
    <row r="525" spans="4:34">
      <c r="D525">
        <v>518</v>
      </c>
      <c r="E525" s="6">
        <f t="shared" ca="1" si="141"/>
        <v>37012</v>
      </c>
      <c r="F525" s="7">
        <f t="shared" ca="1" si="150"/>
        <v>0</v>
      </c>
      <c r="G525" s="125">
        <f t="shared" ca="1" si="142"/>
        <v>0</v>
      </c>
      <c r="H525" s="125">
        <f ca="1">IF(F525=1,F525*$B$10/MIN(12,'Simulador - 3º Pilar'!$E$88),0)</f>
        <v>0</v>
      </c>
      <c r="I525" s="128">
        <f t="shared" ca="1" si="143"/>
        <v>0</v>
      </c>
      <c r="J525" s="494">
        <f t="shared" ca="1" si="144"/>
        <v>0</v>
      </c>
      <c r="K525" s="126">
        <f t="shared" ca="1" si="145"/>
        <v>0</v>
      </c>
      <c r="L525" s="126">
        <f t="shared" ca="1" si="140"/>
        <v>0</v>
      </c>
      <c r="P525">
        <v>518</v>
      </c>
      <c r="Q525" s="6">
        <f t="shared" ca="1" si="146"/>
        <v>37012</v>
      </c>
      <c r="R525" s="7" t="e">
        <f t="shared" ca="1" si="151"/>
        <v>#REF!</v>
      </c>
      <c r="S525" s="125" t="e">
        <f t="shared" ca="1" si="152"/>
        <v>#REF!</v>
      </c>
      <c r="T525" s="125" t="e">
        <f t="shared" ca="1" si="147"/>
        <v>#REF!</v>
      </c>
      <c r="U525" s="128" t="e">
        <f t="shared" ca="1" si="153"/>
        <v>#REF!</v>
      </c>
      <c r="AC525">
        <v>518</v>
      </c>
      <c r="AD525" s="6">
        <f t="shared" ca="1" si="148"/>
        <v>37012</v>
      </c>
      <c r="AE525" s="7" t="e">
        <f t="shared" ca="1" si="154"/>
        <v>#REF!</v>
      </c>
      <c r="AF525" s="125" t="e">
        <f t="shared" ca="1" si="155"/>
        <v>#REF!</v>
      </c>
      <c r="AG525" s="125" t="e">
        <f t="shared" ca="1" si="149"/>
        <v>#REF!</v>
      </c>
      <c r="AH525" s="128" t="e">
        <f t="shared" ca="1" si="156"/>
        <v>#REF!</v>
      </c>
    </row>
    <row r="526" spans="4:34">
      <c r="D526">
        <v>519</v>
      </c>
      <c r="E526" s="6">
        <f t="shared" ca="1" si="141"/>
        <v>36982</v>
      </c>
      <c r="F526" s="7">
        <f t="shared" ca="1" si="150"/>
        <v>0</v>
      </c>
      <c r="G526" s="125">
        <f t="shared" ca="1" si="142"/>
        <v>0</v>
      </c>
      <c r="H526" s="125">
        <f ca="1">IF(F526=1,F526*$B$10/MIN(12,'Simulador - 3º Pilar'!$E$88),0)</f>
        <v>0</v>
      </c>
      <c r="I526" s="128">
        <f t="shared" ca="1" si="143"/>
        <v>0</v>
      </c>
      <c r="J526" s="494">
        <f t="shared" ca="1" si="144"/>
        <v>0</v>
      </c>
      <c r="K526" s="126">
        <f t="shared" ca="1" si="145"/>
        <v>0</v>
      </c>
      <c r="L526" s="126">
        <f t="shared" ca="1" si="140"/>
        <v>0</v>
      </c>
      <c r="P526">
        <v>519</v>
      </c>
      <c r="Q526" s="6">
        <f t="shared" ca="1" si="146"/>
        <v>36982</v>
      </c>
      <c r="R526" s="7" t="e">
        <f t="shared" ca="1" si="151"/>
        <v>#REF!</v>
      </c>
      <c r="S526" s="125" t="e">
        <f t="shared" ca="1" si="152"/>
        <v>#REF!</v>
      </c>
      <c r="T526" s="125" t="e">
        <f t="shared" ca="1" si="147"/>
        <v>#REF!</v>
      </c>
      <c r="U526" s="128" t="e">
        <f t="shared" ca="1" si="153"/>
        <v>#REF!</v>
      </c>
      <c r="AC526">
        <v>519</v>
      </c>
      <c r="AD526" s="6">
        <f t="shared" ca="1" si="148"/>
        <v>36982</v>
      </c>
      <c r="AE526" s="7" t="e">
        <f t="shared" ca="1" si="154"/>
        <v>#REF!</v>
      </c>
      <c r="AF526" s="125" t="e">
        <f t="shared" ca="1" si="155"/>
        <v>#REF!</v>
      </c>
      <c r="AG526" s="125" t="e">
        <f t="shared" ca="1" si="149"/>
        <v>#REF!</v>
      </c>
      <c r="AH526" s="128" t="e">
        <f t="shared" ca="1" si="156"/>
        <v>#REF!</v>
      </c>
    </row>
    <row r="527" spans="4:34">
      <c r="D527">
        <v>520</v>
      </c>
      <c r="E527" s="6">
        <f t="shared" ca="1" si="141"/>
        <v>36951</v>
      </c>
      <c r="F527" s="7">
        <f t="shared" ca="1" si="150"/>
        <v>0</v>
      </c>
      <c r="G527" s="125">
        <f t="shared" ca="1" si="142"/>
        <v>0</v>
      </c>
      <c r="H527" s="125">
        <f ca="1">IF(F527=1,F527*$B$10/MIN(12,'Simulador - 3º Pilar'!$E$88),0)</f>
        <v>0</v>
      </c>
      <c r="I527" s="128">
        <f t="shared" ca="1" si="143"/>
        <v>0</v>
      </c>
      <c r="J527" s="494">
        <f t="shared" ca="1" si="144"/>
        <v>0</v>
      </c>
      <c r="K527" s="126">
        <f t="shared" ca="1" si="145"/>
        <v>0</v>
      </c>
      <c r="L527" s="126">
        <f t="shared" ca="1" si="140"/>
        <v>0</v>
      </c>
      <c r="P527">
        <v>520</v>
      </c>
      <c r="Q527" s="6">
        <f t="shared" ca="1" si="146"/>
        <v>36951</v>
      </c>
      <c r="R527" s="7" t="e">
        <f t="shared" ca="1" si="151"/>
        <v>#REF!</v>
      </c>
      <c r="S527" s="125" t="e">
        <f t="shared" ca="1" si="152"/>
        <v>#REF!</v>
      </c>
      <c r="T527" s="125" t="e">
        <f t="shared" ca="1" si="147"/>
        <v>#REF!</v>
      </c>
      <c r="U527" s="128" t="e">
        <f t="shared" ca="1" si="153"/>
        <v>#REF!</v>
      </c>
      <c r="AC527">
        <v>520</v>
      </c>
      <c r="AD527" s="6">
        <f t="shared" ca="1" si="148"/>
        <v>36951</v>
      </c>
      <c r="AE527" s="7" t="e">
        <f t="shared" ca="1" si="154"/>
        <v>#REF!</v>
      </c>
      <c r="AF527" s="125" t="e">
        <f t="shared" ca="1" si="155"/>
        <v>#REF!</v>
      </c>
      <c r="AG527" s="125" t="e">
        <f t="shared" ca="1" si="149"/>
        <v>#REF!</v>
      </c>
      <c r="AH527" s="128" t="e">
        <f t="shared" ca="1" si="156"/>
        <v>#REF!</v>
      </c>
    </row>
    <row r="528" spans="4:34">
      <c r="D528">
        <v>521</v>
      </c>
      <c r="E528" s="6">
        <f t="shared" ca="1" si="141"/>
        <v>36923</v>
      </c>
      <c r="F528" s="7">
        <f t="shared" ca="1" si="150"/>
        <v>0</v>
      </c>
      <c r="G528" s="125">
        <f t="shared" ca="1" si="142"/>
        <v>0</v>
      </c>
      <c r="H528" s="125">
        <f ca="1">IF(F528=1,F528*$B$10/MIN(12,'Simulador - 3º Pilar'!$E$88),0)</f>
        <v>0</v>
      </c>
      <c r="I528" s="128">
        <f t="shared" ca="1" si="143"/>
        <v>0</v>
      </c>
      <c r="J528" s="494">
        <f t="shared" ca="1" si="144"/>
        <v>0</v>
      </c>
      <c r="K528" s="126">
        <f t="shared" ca="1" si="145"/>
        <v>0</v>
      </c>
      <c r="L528" s="126">
        <f t="shared" ca="1" si="140"/>
        <v>0</v>
      </c>
      <c r="P528">
        <v>521</v>
      </c>
      <c r="Q528" s="6">
        <f t="shared" ca="1" si="146"/>
        <v>36923</v>
      </c>
      <c r="R528" s="7" t="e">
        <f t="shared" ca="1" si="151"/>
        <v>#REF!</v>
      </c>
      <c r="S528" s="125" t="e">
        <f t="shared" ca="1" si="152"/>
        <v>#REF!</v>
      </c>
      <c r="T528" s="125" t="e">
        <f t="shared" ca="1" si="147"/>
        <v>#REF!</v>
      </c>
      <c r="U528" s="128" t="e">
        <f t="shared" ca="1" si="153"/>
        <v>#REF!</v>
      </c>
      <c r="AC528">
        <v>521</v>
      </c>
      <c r="AD528" s="6">
        <f t="shared" ca="1" si="148"/>
        <v>36923</v>
      </c>
      <c r="AE528" s="7" t="e">
        <f t="shared" ca="1" si="154"/>
        <v>#REF!</v>
      </c>
      <c r="AF528" s="125" t="e">
        <f t="shared" ca="1" si="155"/>
        <v>#REF!</v>
      </c>
      <c r="AG528" s="125" t="e">
        <f t="shared" ca="1" si="149"/>
        <v>#REF!</v>
      </c>
      <c r="AH528" s="128" t="e">
        <f t="shared" ca="1" si="156"/>
        <v>#REF!</v>
      </c>
    </row>
    <row r="529" spans="4:34">
      <c r="D529">
        <v>522</v>
      </c>
      <c r="E529" s="6">
        <f t="shared" ca="1" si="141"/>
        <v>36892</v>
      </c>
      <c r="F529" s="7">
        <f t="shared" ca="1" si="150"/>
        <v>0</v>
      </c>
      <c r="G529" s="125">
        <f t="shared" ca="1" si="142"/>
        <v>0</v>
      </c>
      <c r="H529" s="125">
        <f ca="1">IF(F529=1,F529*$B$10/MIN(12,'Simulador - 3º Pilar'!$E$88),0)</f>
        <v>0</v>
      </c>
      <c r="I529" s="128">
        <f t="shared" ca="1" si="143"/>
        <v>0</v>
      </c>
      <c r="J529" s="494">
        <f t="shared" ca="1" si="144"/>
        <v>0</v>
      </c>
      <c r="K529" s="126">
        <f t="shared" ca="1" si="145"/>
        <v>0</v>
      </c>
      <c r="L529" s="126">
        <f t="shared" ca="1" si="140"/>
        <v>0</v>
      </c>
      <c r="P529">
        <v>522</v>
      </c>
      <c r="Q529" s="6">
        <f t="shared" ca="1" si="146"/>
        <v>36892</v>
      </c>
      <c r="R529" s="7" t="e">
        <f t="shared" ca="1" si="151"/>
        <v>#REF!</v>
      </c>
      <c r="S529" s="125" t="e">
        <f t="shared" ca="1" si="152"/>
        <v>#REF!</v>
      </c>
      <c r="T529" s="125" t="e">
        <f t="shared" ca="1" si="147"/>
        <v>#REF!</v>
      </c>
      <c r="U529" s="128" t="e">
        <f t="shared" ca="1" si="153"/>
        <v>#REF!</v>
      </c>
      <c r="AC529">
        <v>522</v>
      </c>
      <c r="AD529" s="6">
        <f t="shared" ca="1" si="148"/>
        <v>36892</v>
      </c>
      <c r="AE529" s="7" t="e">
        <f t="shared" ca="1" si="154"/>
        <v>#REF!</v>
      </c>
      <c r="AF529" s="125" t="e">
        <f t="shared" ca="1" si="155"/>
        <v>#REF!</v>
      </c>
      <c r="AG529" s="125" t="e">
        <f t="shared" ca="1" si="149"/>
        <v>#REF!</v>
      </c>
      <c r="AH529" s="128" t="e">
        <f t="shared" ca="1" si="156"/>
        <v>#REF!</v>
      </c>
    </row>
    <row r="530" spans="4:34">
      <c r="D530">
        <v>523</v>
      </c>
      <c r="E530" s="6">
        <f t="shared" ca="1" si="141"/>
        <v>36861</v>
      </c>
      <c r="F530" s="7">
        <f t="shared" ca="1" si="150"/>
        <v>0</v>
      </c>
      <c r="G530" s="125">
        <f t="shared" ca="1" si="142"/>
        <v>0</v>
      </c>
      <c r="H530" s="125">
        <f ca="1">IF(F530=1,F530*$B$10/MIN(12,'Simulador - 3º Pilar'!$E$88),0)</f>
        <v>0</v>
      </c>
      <c r="I530" s="128">
        <f t="shared" ca="1" si="143"/>
        <v>0</v>
      </c>
      <c r="J530" s="494">
        <f t="shared" ca="1" si="144"/>
        <v>0</v>
      </c>
      <c r="K530" s="126">
        <f t="shared" ca="1" si="145"/>
        <v>0</v>
      </c>
      <c r="L530" s="126">
        <f t="shared" ca="1" si="140"/>
        <v>0</v>
      </c>
      <c r="P530">
        <v>523</v>
      </c>
      <c r="Q530" s="6">
        <f t="shared" ca="1" si="146"/>
        <v>36861</v>
      </c>
      <c r="R530" s="7" t="e">
        <f t="shared" ca="1" si="151"/>
        <v>#REF!</v>
      </c>
      <c r="S530" s="125" t="e">
        <f t="shared" ca="1" si="152"/>
        <v>#REF!</v>
      </c>
      <c r="T530" s="125" t="e">
        <f t="shared" ca="1" si="147"/>
        <v>#REF!</v>
      </c>
      <c r="U530" s="128" t="e">
        <f t="shared" ca="1" si="153"/>
        <v>#REF!</v>
      </c>
      <c r="AC530">
        <v>523</v>
      </c>
      <c r="AD530" s="6">
        <f t="shared" ca="1" si="148"/>
        <v>36861</v>
      </c>
      <c r="AE530" s="7" t="e">
        <f t="shared" ca="1" si="154"/>
        <v>#REF!</v>
      </c>
      <c r="AF530" s="125" t="e">
        <f t="shared" ca="1" si="155"/>
        <v>#REF!</v>
      </c>
      <c r="AG530" s="125" t="e">
        <f t="shared" ca="1" si="149"/>
        <v>#REF!</v>
      </c>
      <c r="AH530" s="128" t="e">
        <f t="shared" ca="1" si="156"/>
        <v>#REF!</v>
      </c>
    </row>
    <row r="531" spans="4:34">
      <c r="D531">
        <v>524</v>
      </c>
      <c r="E531" s="6">
        <f t="shared" ca="1" si="141"/>
        <v>36831</v>
      </c>
      <c r="F531" s="7">
        <f t="shared" ca="1" si="150"/>
        <v>0</v>
      </c>
      <c r="G531" s="125">
        <f t="shared" ca="1" si="142"/>
        <v>0</v>
      </c>
      <c r="H531" s="125">
        <f ca="1">IF(F531=1,F531*$B$10/MIN(12,'Simulador - 3º Pilar'!$E$88),0)</f>
        <v>0</v>
      </c>
      <c r="I531" s="128">
        <f t="shared" ca="1" si="143"/>
        <v>0</v>
      </c>
      <c r="J531" s="494">
        <f t="shared" ca="1" si="144"/>
        <v>0</v>
      </c>
      <c r="K531" s="126">
        <f t="shared" ca="1" si="145"/>
        <v>0</v>
      </c>
      <c r="L531" s="126">
        <f t="shared" ca="1" si="140"/>
        <v>0</v>
      </c>
      <c r="P531">
        <v>524</v>
      </c>
      <c r="Q531" s="6">
        <f t="shared" ca="1" si="146"/>
        <v>36831</v>
      </c>
      <c r="R531" s="7" t="e">
        <f t="shared" ca="1" si="151"/>
        <v>#REF!</v>
      </c>
      <c r="S531" s="125" t="e">
        <f t="shared" ca="1" si="152"/>
        <v>#REF!</v>
      </c>
      <c r="T531" s="125" t="e">
        <f t="shared" ca="1" si="147"/>
        <v>#REF!</v>
      </c>
      <c r="U531" s="128" t="e">
        <f t="shared" ca="1" si="153"/>
        <v>#REF!</v>
      </c>
      <c r="AC531">
        <v>524</v>
      </c>
      <c r="AD531" s="6">
        <f t="shared" ca="1" si="148"/>
        <v>36831</v>
      </c>
      <c r="AE531" s="7" t="e">
        <f t="shared" ca="1" si="154"/>
        <v>#REF!</v>
      </c>
      <c r="AF531" s="125" t="e">
        <f t="shared" ca="1" si="155"/>
        <v>#REF!</v>
      </c>
      <c r="AG531" s="125" t="e">
        <f t="shared" ca="1" si="149"/>
        <v>#REF!</v>
      </c>
      <c r="AH531" s="128" t="e">
        <f t="shared" ca="1" si="156"/>
        <v>#REF!</v>
      </c>
    </row>
    <row r="532" spans="4:34">
      <c r="D532">
        <v>525</v>
      </c>
      <c r="E532" s="6">
        <f t="shared" ca="1" si="141"/>
        <v>36800</v>
      </c>
      <c r="F532" s="7">
        <f t="shared" ca="1" si="150"/>
        <v>0</v>
      </c>
      <c r="G532" s="125">
        <f t="shared" ca="1" si="142"/>
        <v>0</v>
      </c>
      <c r="H532" s="125">
        <f ca="1">IF(F532=1,F532*$B$10/MIN(12,'Simulador - 3º Pilar'!$E$88),0)</f>
        <v>0</v>
      </c>
      <c r="I532" s="128">
        <f t="shared" ca="1" si="143"/>
        <v>0</v>
      </c>
      <c r="J532" s="494">
        <f t="shared" ca="1" si="144"/>
        <v>0</v>
      </c>
      <c r="K532" s="126">
        <f t="shared" ca="1" si="145"/>
        <v>0</v>
      </c>
      <c r="L532" s="126">
        <f t="shared" ca="1" si="140"/>
        <v>0</v>
      </c>
      <c r="P532">
        <v>525</v>
      </c>
      <c r="Q532" s="6">
        <f t="shared" ca="1" si="146"/>
        <v>36800</v>
      </c>
      <c r="R532" s="7" t="e">
        <f t="shared" ca="1" si="151"/>
        <v>#REF!</v>
      </c>
      <c r="S532" s="125" t="e">
        <f t="shared" ca="1" si="152"/>
        <v>#REF!</v>
      </c>
      <c r="T532" s="125" t="e">
        <f t="shared" ca="1" si="147"/>
        <v>#REF!</v>
      </c>
      <c r="U532" s="128" t="e">
        <f t="shared" ca="1" si="153"/>
        <v>#REF!</v>
      </c>
      <c r="AC532">
        <v>525</v>
      </c>
      <c r="AD532" s="6">
        <f t="shared" ca="1" si="148"/>
        <v>36800</v>
      </c>
      <c r="AE532" s="7" t="e">
        <f t="shared" ca="1" si="154"/>
        <v>#REF!</v>
      </c>
      <c r="AF532" s="125" t="e">
        <f t="shared" ca="1" si="155"/>
        <v>#REF!</v>
      </c>
      <c r="AG532" s="125" t="e">
        <f t="shared" ca="1" si="149"/>
        <v>#REF!</v>
      </c>
      <c r="AH532" s="128" t="e">
        <f t="shared" ca="1" si="156"/>
        <v>#REF!</v>
      </c>
    </row>
    <row r="533" spans="4:34">
      <c r="D533">
        <v>526</v>
      </c>
      <c r="E533" s="6">
        <f t="shared" ca="1" si="141"/>
        <v>36770</v>
      </c>
      <c r="F533" s="7">
        <f t="shared" ca="1" si="150"/>
        <v>0</v>
      </c>
      <c r="G533" s="125">
        <f t="shared" ca="1" si="142"/>
        <v>0</v>
      </c>
      <c r="H533" s="125">
        <f ca="1">IF(F533=1,F533*$B$10/MIN(12,'Simulador - 3º Pilar'!$E$88),0)</f>
        <v>0</v>
      </c>
      <c r="I533" s="128">
        <f t="shared" ca="1" si="143"/>
        <v>0</v>
      </c>
      <c r="J533" s="494">
        <f t="shared" ca="1" si="144"/>
        <v>0</v>
      </c>
      <c r="K533" s="126">
        <f t="shared" ca="1" si="145"/>
        <v>0</v>
      </c>
      <c r="L533" s="126">
        <f t="shared" ca="1" si="140"/>
        <v>0</v>
      </c>
      <c r="P533">
        <v>526</v>
      </c>
      <c r="Q533" s="6">
        <f t="shared" ca="1" si="146"/>
        <v>36770</v>
      </c>
      <c r="R533" s="7" t="e">
        <f t="shared" ca="1" si="151"/>
        <v>#REF!</v>
      </c>
      <c r="S533" s="125" t="e">
        <f t="shared" ca="1" si="152"/>
        <v>#REF!</v>
      </c>
      <c r="T533" s="125" t="e">
        <f t="shared" ca="1" si="147"/>
        <v>#REF!</v>
      </c>
      <c r="U533" s="128" t="e">
        <f t="shared" ca="1" si="153"/>
        <v>#REF!</v>
      </c>
      <c r="AC533">
        <v>526</v>
      </c>
      <c r="AD533" s="6">
        <f t="shared" ca="1" si="148"/>
        <v>36770</v>
      </c>
      <c r="AE533" s="7" t="e">
        <f t="shared" ca="1" si="154"/>
        <v>#REF!</v>
      </c>
      <c r="AF533" s="125" t="e">
        <f t="shared" ca="1" si="155"/>
        <v>#REF!</v>
      </c>
      <c r="AG533" s="125" t="e">
        <f t="shared" ca="1" si="149"/>
        <v>#REF!</v>
      </c>
      <c r="AH533" s="128" t="e">
        <f t="shared" ca="1" si="156"/>
        <v>#REF!</v>
      </c>
    </row>
    <row r="534" spans="4:34">
      <c r="D534">
        <v>527</v>
      </c>
      <c r="E534" s="6">
        <f t="shared" ca="1" si="141"/>
        <v>36739</v>
      </c>
      <c r="F534" s="7">
        <f t="shared" ca="1" si="150"/>
        <v>0</v>
      </c>
      <c r="G534" s="125">
        <f t="shared" ca="1" si="142"/>
        <v>0</v>
      </c>
      <c r="H534" s="125">
        <f ca="1">IF(F534=1,F534*$B$10/MIN(12,'Simulador - 3º Pilar'!$E$88),0)</f>
        <v>0</v>
      </c>
      <c r="I534" s="128">
        <f t="shared" ca="1" si="143"/>
        <v>0</v>
      </c>
      <c r="J534" s="494">
        <f t="shared" ca="1" si="144"/>
        <v>0</v>
      </c>
      <c r="K534" s="126">
        <f t="shared" ca="1" si="145"/>
        <v>0</v>
      </c>
      <c r="L534" s="126">
        <f t="shared" ca="1" si="140"/>
        <v>0</v>
      </c>
      <c r="P534">
        <v>527</v>
      </c>
      <c r="Q534" s="6">
        <f t="shared" ca="1" si="146"/>
        <v>36739</v>
      </c>
      <c r="R534" s="7" t="e">
        <f t="shared" ca="1" si="151"/>
        <v>#REF!</v>
      </c>
      <c r="S534" s="125" t="e">
        <f t="shared" ca="1" si="152"/>
        <v>#REF!</v>
      </c>
      <c r="T534" s="125" t="e">
        <f t="shared" ca="1" si="147"/>
        <v>#REF!</v>
      </c>
      <c r="U534" s="128" t="e">
        <f t="shared" ca="1" si="153"/>
        <v>#REF!</v>
      </c>
      <c r="AC534">
        <v>527</v>
      </c>
      <c r="AD534" s="6">
        <f t="shared" ca="1" si="148"/>
        <v>36739</v>
      </c>
      <c r="AE534" s="7" t="e">
        <f t="shared" ca="1" si="154"/>
        <v>#REF!</v>
      </c>
      <c r="AF534" s="125" t="e">
        <f t="shared" ca="1" si="155"/>
        <v>#REF!</v>
      </c>
      <c r="AG534" s="125" t="e">
        <f t="shared" ca="1" si="149"/>
        <v>#REF!</v>
      </c>
      <c r="AH534" s="128" t="e">
        <f t="shared" ca="1" si="156"/>
        <v>#REF!</v>
      </c>
    </row>
    <row r="535" spans="4:34">
      <c r="D535">
        <v>528</v>
      </c>
      <c r="E535" s="6">
        <f t="shared" ca="1" si="141"/>
        <v>36708</v>
      </c>
      <c r="F535" s="7">
        <f t="shared" ca="1" si="150"/>
        <v>0</v>
      </c>
      <c r="G535" s="125">
        <f t="shared" ca="1" si="142"/>
        <v>0</v>
      </c>
      <c r="H535" s="125">
        <f ca="1">IF(F535=1,F535*$B$10/MIN(12,'Simulador - 3º Pilar'!$E$88),0)</f>
        <v>0</v>
      </c>
      <c r="I535" s="128">
        <f t="shared" ca="1" si="143"/>
        <v>0</v>
      </c>
      <c r="J535" s="494">
        <f t="shared" ca="1" si="144"/>
        <v>0</v>
      </c>
      <c r="K535" s="126">
        <f t="shared" ca="1" si="145"/>
        <v>0</v>
      </c>
      <c r="L535" s="126">
        <f t="shared" ca="1" si="140"/>
        <v>0</v>
      </c>
      <c r="P535">
        <v>528</v>
      </c>
      <c r="Q535" s="6">
        <f t="shared" ca="1" si="146"/>
        <v>36708</v>
      </c>
      <c r="R535" s="7" t="e">
        <f t="shared" ca="1" si="151"/>
        <v>#REF!</v>
      </c>
      <c r="S535" s="125" t="e">
        <f t="shared" ca="1" si="152"/>
        <v>#REF!</v>
      </c>
      <c r="T535" s="125" t="e">
        <f t="shared" ca="1" si="147"/>
        <v>#REF!</v>
      </c>
      <c r="U535" s="128" t="e">
        <f t="shared" ca="1" si="153"/>
        <v>#REF!</v>
      </c>
      <c r="AC535">
        <v>528</v>
      </c>
      <c r="AD535" s="6">
        <f t="shared" ca="1" si="148"/>
        <v>36708</v>
      </c>
      <c r="AE535" s="7" t="e">
        <f t="shared" ca="1" si="154"/>
        <v>#REF!</v>
      </c>
      <c r="AF535" s="125" t="e">
        <f t="shared" ca="1" si="155"/>
        <v>#REF!</v>
      </c>
      <c r="AG535" s="125" t="e">
        <f t="shared" ca="1" si="149"/>
        <v>#REF!</v>
      </c>
      <c r="AH535" s="128" t="e">
        <f t="shared" ca="1" si="156"/>
        <v>#REF!</v>
      </c>
    </row>
    <row r="536" spans="4:34">
      <c r="D536">
        <v>529</v>
      </c>
      <c r="E536" s="6">
        <f t="shared" ca="1" si="141"/>
        <v>36678</v>
      </c>
      <c r="F536" s="7">
        <f t="shared" ca="1" si="150"/>
        <v>0</v>
      </c>
      <c r="G536" s="125">
        <f t="shared" ca="1" si="142"/>
        <v>0</v>
      </c>
      <c r="H536" s="125">
        <f ca="1">IF(F536=1,F536*$B$10/MIN(12,'Simulador - 3º Pilar'!$E$88),0)</f>
        <v>0</v>
      </c>
      <c r="I536" s="128">
        <f t="shared" ca="1" si="143"/>
        <v>0</v>
      </c>
      <c r="J536" s="494">
        <f t="shared" ca="1" si="144"/>
        <v>0</v>
      </c>
      <c r="K536" s="126">
        <f t="shared" ca="1" si="145"/>
        <v>0</v>
      </c>
      <c r="L536" s="126">
        <f t="shared" ca="1" si="140"/>
        <v>0</v>
      </c>
      <c r="P536">
        <v>529</v>
      </c>
      <c r="Q536" s="6">
        <f t="shared" ca="1" si="146"/>
        <v>36678</v>
      </c>
      <c r="R536" s="7" t="e">
        <f t="shared" ca="1" si="151"/>
        <v>#REF!</v>
      </c>
      <c r="S536" s="125" t="e">
        <f t="shared" ca="1" si="152"/>
        <v>#REF!</v>
      </c>
      <c r="T536" s="125" t="e">
        <f t="shared" ca="1" si="147"/>
        <v>#REF!</v>
      </c>
      <c r="U536" s="128" t="e">
        <f t="shared" ca="1" si="153"/>
        <v>#REF!</v>
      </c>
      <c r="AC536">
        <v>529</v>
      </c>
      <c r="AD536" s="6">
        <f t="shared" ca="1" si="148"/>
        <v>36678</v>
      </c>
      <c r="AE536" s="7" t="e">
        <f t="shared" ca="1" si="154"/>
        <v>#REF!</v>
      </c>
      <c r="AF536" s="125" t="e">
        <f t="shared" ca="1" si="155"/>
        <v>#REF!</v>
      </c>
      <c r="AG536" s="125" t="e">
        <f t="shared" ca="1" si="149"/>
        <v>#REF!</v>
      </c>
      <c r="AH536" s="128" t="e">
        <f t="shared" ca="1" si="156"/>
        <v>#REF!</v>
      </c>
    </row>
    <row r="537" spans="4:34">
      <c r="D537">
        <v>530</v>
      </c>
      <c r="E537" s="6">
        <f t="shared" ca="1" si="141"/>
        <v>36647</v>
      </c>
      <c r="F537" s="7">
        <f t="shared" ca="1" si="150"/>
        <v>0</v>
      </c>
      <c r="G537" s="125">
        <f t="shared" ca="1" si="142"/>
        <v>0</v>
      </c>
      <c r="H537" s="125">
        <f ca="1">IF(F537=1,F537*$B$10/MIN(12,'Simulador - 3º Pilar'!$E$88),0)</f>
        <v>0</v>
      </c>
      <c r="I537" s="128">
        <f t="shared" ca="1" si="143"/>
        <v>0</v>
      </c>
      <c r="J537" s="494">
        <f t="shared" ca="1" si="144"/>
        <v>0</v>
      </c>
      <c r="K537" s="126">
        <f t="shared" ca="1" si="145"/>
        <v>0</v>
      </c>
      <c r="L537" s="126">
        <f t="shared" ca="1" si="140"/>
        <v>0</v>
      </c>
      <c r="P537">
        <v>530</v>
      </c>
      <c r="Q537" s="6">
        <f t="shared" ca="1" si="146"/>
        <v>36647</v>
      </c>
      <c r="R537" s="7" t="e">
        <f t="shared" ca="1" si="151"/>
        <v>#REF!</v>
      </c>
      <c r="S537" s="125" t="e">
        <f t="shared" ca="1" si="152"/>
        <v>#REF!</v>
      </c>
      <c r="T537" s="125" t="e">
        <f t="shared" ca="1" si="147"/>
        <v>#REF!</v>
      </c>
      <c r="U537" s="128" t="e">
        <f t="shared" ca="1" si="153"/>
        <v>#REF!</v>
      </c>
      <c r="AC537">
        <v>530</v>
      </c>
      <c r="AD537" s="6">
        <f t="shared" ca="1" si="148"/>
        <v>36647</v>
      </c>
      <c r="AE537" s="7" t="e">
        <f t="shared" ca="1" si="154"/>
        <v>#REF!</v>
      </c>
      <c r="AF537" s="125" t="e">
        <f t="shared" ca="1" si="155"/>
        <v>#REF!</v>
      </c>
      <c r="AG537" s="125" t="e">
        <f t="shared" ca="1" si="149"/>
        <v>#REF!</v>
      </c>
      <c r="AH537" s="128" t="e">
        <f t="shared" ca="1" si="156"/>
        <v>#REF!</v>
      </c>
    </row>
    <row r="538" spans="4:34">
      <c r="D538">
        <v>531</v>
      </c>
      <c r="E538" s="6">
        <f t="shared" ca="1" si="141"/>
        <v>36617</v>
      </c>
      <c r="F538" s="7">
        <f t="shared" ca="1" si="150"/>
        <v>0</v>
      </c>
      <c r="G538" s="125">
        <f t="shared" ca="1" si="142"/>
        <v>0</v>
      </c>
      <c r="H538" s="125">
        <f ca="1">IF(F538=1,F538*$B$10/MIN(12,'Simulador - 3º Pilar'!$E$88),0)</f>
        <v>0</v>
      </c>
      <c r="I538" s="128">
        <f t="shared" ca="1" si="143"/>
        <v>0</v>
      </c>
      <c r="J538" s="494">
        <f t="shared" ca="1" si="144"/>
        <v>0</v>
      </c>
      <c r="K538" s="126">
        <f t="shared" ca="1" si="145"/>
        <v>0</v>
      </c>
      <c r="L538" s="126">
        <f t="shared" ca="1" si="140"/>
        <v>0</v>
      </c>
      <c r="P538">
        <v>531</v>
      </c>
      <c r="Q538" s="6">
        <f t="shared" ca="1" si="146"/>
        <v>36617</v>
      </c>
      <c r="R538" s="7" t="e">
        <f t="shared" ca="1" si="151"/>
        <v>#REF!</v>
      </c>
      <c r="S538" s="125" t="e">
        <f t="shared" ca="1" si="152"/>
        <v>#REF!</v>
      </c>
      <c r="T538" s="125" t="e">
        <f t="shared" ca="1" si="147"/>
        <v>#REF!</v>
      </c>
      <c r="U538" s="128" t="e">
        <f t="shared" ca="1" si="153"/>
        <v>#REF!</v>
      </c>
      <c r="AC538">
        <v>531</v>
      </c>
      <c r="AD538" s="6">
        <f t="shared" ca="1" si="148"/>
        <v>36617</v>
      </c>
      <c r="AE538" s="7" t="e">
        <f t="shared" ca="1" si="154"/>
        <v>#REF!</v>
      </c>
      <c r="AF538" s="125" t="e">
        <f t="shared" ca="1" si="155"/>
        <v>#REF!</v>
      </c>
      <c r="AG538" s="125" t="e">
        <f t="shared" ca="1" si="149"/>
        <v>#REF!</v>
      </c>
      <c r="AH538" s="128" t="e">
        <f t="shared" ca="1" si="156"/>
        <v>#REF!</v>
      </c>
    </row>
    <row r="539" spans="4:34">
      <c r="D539">
        <v>532</v>
      </c>
      <c r="E539" s="6">
        <f t="shared" ca="1" si="141"/>
        <v>36586</v>
      </c>
      <c r="F539" s="7">
        <f t="shared" ca="1" si="150"/>
        <v>0</v>
      </c>
      <c r="G539" s="125">
        <f t="shared" ca="1" si="142"/>
        <v>0</v>
      </c>
      <c r="H539" s="125">
        <f ca="1">IF(F539=1,F539*$B$10/MIN(12,'Simulador - 3º Pilar'!$E$88),0)</f>
        <v>0</v>
      </c>
      <c r="I539" s="128">
        <f t="shared" ca="1" si="143"/>
        <v>0</v>
      </c>
      <c r="J539" s="494">
        <f t="shared" ca="1" si="144"/>
        <v>0</v>
      </c>
      <c r="K539" s="126">
        <f t="shared" ca="1" si="145"/>
        <v>0</v>
      </c>
      <c r="L539" s="126">
        <f t="shared" ca="1" si="140"/>
        <v>0</v>
      </c>
      <c r="P539">
        <v>532</v>
      </c>
      <c r="Q539" s="6">
        <f t="shared" ca="1" si="146"/>
        <v>36586</v>
      </c>
      <c r="R539" s="7" t="e">
        <f t="shared" ca="1" si="151"/>
        <v>#REF!</v>
      </c>
      <c r="S539" s="125" t="e">
        <f t="shared" ca="1" si="152"/>
        <v>#REF!</v>
      </c>
      <c r="T539" s="125" t="e">
        <f t="shared" ca="1" si="147"/>
        <v>#REF!</v>
      </c>
      <c r="U539" s="128" t="e">
        <f t="shared" ca="1" si="153"/>
        <v>#REF!</v>
      </c>
      <c r="AC539">
        <v>532</v>
      </c>
      <c r="AD539" s="6">
        <f t="shared" ca="1" si="148"/>
        <v>36586</v>
      </c>
      <c r="AE539" s="7" t="e">
        <f t="shared" ca="1" si="154"/>
        <v>#REF!</v>
      </c>
      <c r="AF539" s="125" t="e">
        <f t="shared" ca="1" si="155"/>
        <v>#REF!</v>
      </c>
      <c r="AG539" s="125" t="e">
        <f t="shared" ca="1" si="149"/>
        <v>#REF!</v>
      </c>
      <c r="AH539" s="128" t="e">
        <f t="shared" ca="1" si="156"/>
        <v>#REF!</v>
      </c>
    </row>
    <row r="540" spans="4:34">
      <c r="D540">
        <v>533</v>
      </c>
      <c r="E540" s="6">
        <f t="shared" ca="1" si="141"/>
        <v>36557</v>
      </c>
      <c r="F540" s="7">
        <f t="shared" ca="1" si="150"/>
        <v>0</v>
      </c>
      <c r="G540" s="125">
        <f t="shared" ca="1" si="142"/>
        <v>0</v>
      </c>
      <c r="H540" s="125">
        <f ca="1">IF(F540=1,F540*$B$10/MIN(12,'Simulador - 3º Pilar'!$E$88),0)</f>
        <v>0</v>
      </c>
      <c r="I540" s="128">
        <f t="shared" ca="1" si="143"/>
        <v>0</v>
      </c>
      <c r="J540" s="494">
        <f t="shared" ca="1" si="144"/>
        <v>0</v>
      </c>
      <c r="K540" s="126">
        <f t="shared" ca="1" si="145"/>
        <v>0</v>
      </c>
      <c r="L540" s="126">
        <f t="shared" ca="1" si="140"/>
        <v>0</v>
      </c>
      <c r="P540">
        <v>533</v>
      </c>
      <c r="Q540" s="6">
        <f t="shared" ca="1" si="146"/>
        <v>36557</v>
      </c>
      <c r="R540" s="7" t="e">
        <f t="shared" ca="1" si="151"/>
        <v>#REF!</v>
      </c>
      <c r="S540" s="125" t="e">
        <f t="shared" ca="1" si="152"/>
        <v>#REF!</v>
      </c>
      <c r="T540" s="125" t="e">
        <f t="shared" ca="1" si="147"/>
        <v>#REF!</v>
      </c>
      <c r="U540" s="128" t="e">
        <f t="shared" ca="1" si="153"/>
        <v>#REF!</v>
      </c>
      <c r="AC540">
        <v>533</v>
      </c>
      <c r="AD540" s="6">
        <f t="shared" ca="1" si="148"/>
        <v>36557</v>
      </c>
      <c r="AE540" s="7" t="e">
        <f t="shared" ca="1" si="154"/>
        <v>#REF!</v>
      </c>
      <c r="AF540" s="125" t="e">
        <f t="shared" ca="1" si="155"/>
        <v>#REF!</v>
      </c>
      <c r="AG540" s="125" t="e">
        <f t="shared" ca="1" si="149"/>
        <v>#REF!</v>
      </c>
      <c r="AH540" s="128" t="e">
        <f t="shared" ca="1" si="156"/>
        <v>#REF!</v>
      </c>
    </row>
    <row r="541" spans="4:34">
      <c r="D541">
        <v>534</v>
      </c>
      <c r="E541" s="6">
        <f t="shared" ca="1" si="141"/>
        <v>36526</v>
      </c>
      <c r="F541" s="7">
        <f t="shared" ca="1" si="150"/>
        <v>0</v>
      </c>
      <c r="G541" s="125">
        <f t="shared" ca="1" si="142"/>
        <v>0</v>
      </c>
      <c r="H541" s="125">
        <f ca="1">IF(F541=1,F541*$B$10/MIN(12,'Simulador - 3º Pilar'!$E$88),0)</f>
        <v>0</v>
      </c>
      <c r="I541" s="128">
        <f t="shared" ca="1" si="143"/>
        <v>0</v>
      </c>
      <c r="J541" s="494">
        <f t="shared" ca="1" si="144"/>
        <v>0</v>
      </c>
      <c r="K541" s="126">
        <f t="shared" ca="1" si="145"/>
        <v>0</v>
      </c>
      <c r="L541" s="126">
        <f t="shared" ca="1" si="140"/>
        <v>0</v>
      </c>
      <c r="P541">
        <v>534</v>
      </c>
      <c r="Q541" s="6">
        <f t="shared" ca="1" si="146"/>
        <v>36526</v>
      </c>
      <c r="R541" s="7" t="e">
        <f t="shared" ca="1" si="151"/>
        <v>#REF!</v>
      </c>
      <c r="S541" s="125" t="e">
        <f t="shared" ca="1" si="152"/>
        <v>#REF!</v>
      </c>
      <c r="T541" s="125" t="e">
        <f t="shared" ca="1" si="147"/>
        <v>#REF!</v>
      </c>
      <c r="U541" s="128" t="e">
        <f t="shared" ca="1" si="153"/>
        <v>#REF!</v>
      </c>
      <c r="AC541">
        <v>534</v>
      </c>
      <c r="AD541" s="6">
        <f t="shared" ca="1" si="148"/>
        <v>36526</v>
      </c>
      <c r="AE541" s="7" t="e">
        <f t="shared" ca="1" si="154"/>
        <v>#REF!</v>
      </c>
      <c r="AF541" s="125" t="e">
        <f t="shared" ca="1" si="155"/>
        <v>#REF!</v>
      </c>
      <c r="AG541" s="125" t="e">
        <f t="shared" ca="1" si="149"/>
        <v>#REF!</v>
      </c>
      <c r="AH541" s="128" t="e">
        <f t="shared" ca="1" si="156"/>
        <v>#REF!</v>
      </c>
    </row>
    <row r="542" spans="4:34">
      <c r="D542">
        <v>535</v>
      </c>
      <c r="E542" s="6">
        <f t="shared" ca="1" si="141"/>
        <v>36495</v>
      </c>
      <c r="F542" s="7">
        <f t="shared" ca="1" si="150"/>
        <v>0</v>
      </c>
      <c r="G542" s="125">
        <f t="shared" ca="1" si="142"/>
        <v>0</v>
      </c>
      <c r="H542" s="125">
        <f ca="1">IF(F542=1,F542*$B$10/MIN(12,'Simulador - 3º Pilar'!$E$88),0)</f>
        <v>0</v>
      </c>
      <c r="I542" s="128">
        <f t="shared" ca="1" si="143"/>
        <v>0</v>
      </c>
      <c r="J542" s="494">
        <f t="shared" ca="1" si="144"/>
        <v>0</v>
      </c>
      <c r="K542" s="126">
        <f t="shared" ca="1" si="145"/>
        <v>0</v>
      </c>
      <c r="L542" s="126">
        <f t="shared" ca="1" si="140"/>
        <v>0</v>
      </c>
      <c r="P542">
        <v>535</v>
      </c>
      <c r="Q542" s="6">
        <f t="shared" ca="1" si="146"/>
        <v>36495</v>
      </c>
      <c r="R542" s="7" t="e">
        <f t="shared" ca="1" si="151"/>
        <v>#REF!</v>
      </c>
      <c r="S542" s="125" t="e">
        <f t="shared" ca="1" si="152"/>
        <v>#REF!</v>
      </c>
      <c r="T542" s="125" t="e">
        <f t="shared" ca="1" si="147"/>
        <v>#REF!</v>
      </c>
      <c r="U542" s="128" t="e">
        <f t="shared" ca="1" si="153"/>
        <v>#REF!</v>
      </c>
      <c r="AC542">
        <v>535</v>
      </c>
      <c r="AD542" s="6">
        <f t="shared" ca="1" si="148"/>
        <v>36495</v>
      </c>
      <c r="AE542" s="7" t="e">
        <f t="shared" ca="1" si="154"/>
        <v>#REF!</v>
      </c>
      <c r="AF542" s="125" t="e">
        <f t="shared" ca="1" si="155"/>
        <v>#REF!</v>
      </c>
      <c r="AG542" s="125" t="e">
        <f t="shared" ca="1" si="149"/>
        <v>#REF!</v>
      </c>
      <c r="AH542" s="128" t="e">
        <f t="shared" ca="1" si="156"/>
        <v>#REF!</v>
      </c>
    </row>
    <row r="543" spans="4:34">
      <c r="D543">
        <v>536</v>
      </c>
      <c r="E543" s="6">
        <f t="shared" ca="1" si="141"/>
        <v>36465</v>
      </c>
      <c r="F543" s="7">
        <f t="shared" ca="1" si="150"/>
        <v>0</v>
      </c>
      <c r="G543" s="125">
        <f t="shared" ca="1" si="142"/>
        <v>0</v>
      </c>
      <c r="H543" s="125">
        <f ca="1">IF(F543=1,F543*$B$10/MIN(12,'Simulador - 3º Pilar'!$E$88),0)</f>
        <v>0</v>
      </c>
      <c r="I543" s="128">
        <f t="shared" ca="1" si="143"/>
        <v>0</v>
      </c>
      <c r="J543" s="494">
        <f t="shared" ca="1" si="144"/>
        <v>0</v>
      </c>
      <c r="K543" s="126">
        <f t="shared" ca="1" si="145"/>
        <v>0</v>
      </c>
      <c r="L543" s="126">
        <f t="shared" ca="1" si="140"/>
        <v>0</v>
      </c>
      <c r="P543">
        <v>536</v>
      </c>
      <c r="Q543" s="6">
        <f t="shared" ca="1" si="146"/>
        <v>36465</v>
      </c>
      <c r="R543" s="7" t="e">
        <f t="shared" ca="1" si="151"/>
        <v>#REF!</v>
      </c>
      <c r="S543" s="125" t="e">
        <f t="shared" ca="1" si="152"/>
        <v>#REF!</v>
      </c>
      <c r="T543" s="125" t="e">
        <f t="shared" ca="1" si="147"/>
        <v>#REF!</v>
      </c>
      <c r="U543" s="128" t="e">
        <f t="shared" ca="1" si="153"/>
        <v>#REF!</v>
      </c>
      <c r="AC543">
        <v>536</v>
      </c>
      <c r="AD543" s="6">
        <f t="shared" ca="1" si="148"/>
        <v>36465</v>
      </c>
      <c r="AE543" s="7" t="e">
        <f t="shared" ca="1" si="154"/>
        <v>#REF!</v>
      </c>
      <c r="AF543" s="125" t="e">
        <f t="shared" ca="1" si="155"/>
        <v>#REF!</v>
      </c>
      <c r="AG543" s="125" t="e">
        <f t="shared" ca="1" si="149"/>
        <v>#REF!</v>
      </c>
      <c r="AH543" s="128" t="e">
        <f t="shared" ca="1" si="156"/>
        <v>#REF!</v>
      </c>
    </row>
    <row r="544" spans="4:34">
      <c r="D544">
        <v>537</v>
      </c>
      <c r="E544" s="6">
        <f t="shared" ca="1" si="141"/>
        <v>36434</v>
      </c>
      <c r="F544" s="7">
        <f t="shared" ca="1" si="150"/>
        <v>0</v>
      </c>
      <c r="G544" s="125">
        <f t="shared" ca="1" si="142"/>
        <v>0</v>
      </c>
      <c r="H544" s="125">
        <f ca="1">IF(F544=1,F544*$B$10/MIN(12,'Simulador - 3º Pilar'!$E$88),0)</f>
        <v>0</v>
      </c>
      <c r="I544" s="128">
        <f t="shared" ca="1" si="143"/>
        <v>0</v>
      </c>
      <c r="J544" s="494">
        <f t="shared" ca="1" si="144"/>
        <v>0</v>
      </c>
      <c r="K544" s="126">
        <f t="shared" ca="1" si="145"/>
        <v>0</v>
      </c>
      <c r="L544" s="126">
        <f t="shared" ca="1" si="140"/>
        <v>0</v>
      </c>
      <c r="P544">
        <v>537</v>
      </c>
      <c r="Q544" s="6">
        <f t="shared" ca="1" si="146"/>
        <v>36434</v>
      </c>
      <c r="R544" s="7" t="e">
        <f t="shared" ca="1" si="151"/>
        <v>#REF!</v>
      </c>
      <c r="S544" s="125" t="e">
        <f t="shared" ca="1" si="152"/>
        <v>#REF!</v>
      </c>
      <c r="T544" s="125" t="e">
        <f t="shared" ca="1" si="147"/>
        <v>#REF!</v>
      </c>
      <c r="U544" s="128" t="e">
        <f t="shared" ca="1" si="153"/>
        <v>#REF!</v>
      </c>
      <c r="AC544">
        <v>537</v>
      </c>
      <c r="AD544" s="6">
        <f t="shared" ca="1" si="148"/>
        <v>36434</v>
      </c>
      <c r="AE544" s="7" t="e">
        <f t="shared" ca="1" si="154"/>
        <v>#REF!</v>
      </c>
      <c r="AF544" s="125" t="e">
        <f t="shared" ca="1" si="155"/>
        <v>#REF!</v>
      </c>
      <c r="AG544" s="125" t="e">
        <f t="shared" ca="1" si="149"/>
        <v>#REF!</v>
      </c>
      <c r="AH544" s="128" t="e">
        <f t="shared" ca="1" si="156"/>
        <v>#REF!</v>
      </c>
    </row>
    <row r="545" spans="4:34">
      <c r="D545">
        <v>538</v>
      </c>
      <c r="E545" s="6">
        <f t="shared" ca="1" si="141"/>
        <v>36404</v>
      </c>
      <c r="F545" s="7">
        <f t="shared" ca="1" si="150"/>
        <v>0</v>
      </c>
      <c r="G545" s="125">
        <f t="shared" ca="1" si="142"/>
        <v>0</v>
      </c>
      <c r="H545" s="125">
        <f ca="1">IF(F545=1,F545*$B$10/MIN(12,'Simulador - 3º Pilar'!$E$88),0)</f>
        <v>0</v>
      </c>
      <c r="I545" s="128">
        <f t="shared" ca="1" si="143"/>
        <v>0</v>
      </c>
      <c r="J545" s="494">
        <f t="shared" ca="1" si="144"/>
        <v>0</v>
      </c>
      <c r="K545" s="126">
        <f t="shared" ca="1" si="145"/>
        <v>0</v>
      </c>
      <c r="L545" s="126">
        <f t="shared" ref="L545:L608" ca="1" si="157">(1+$G$5)^(D545/12)*(IF((E545)&gt;($B$6),H545,0)+IF(E545=$N$7,$N$4,0)+IF(E545=$C$6,0,0))</f>
        <v>0</v>
      </c>
      <c r="P545">
        <v>538</v>
      </c>
      <c r="Q545" s="6">
        <f t="shared" ca="1" si="146"/>
        <v>36404</v>
      </c>
      <c r="R545" s="7" t="e">
        <f t="shared" ca="1" si="151"/>
        <v>#REF!</v>
      </c>
      <c r="S545" s="125" t="e">
        <f t="shared" ca="1" si="152"/>
        <v>#REF!</v>
      </c>
      <c r="T545" s="125" t="e">
        <f t="shared" ca="1" si="147"/>
        <v>#REF!</v>
      </c>
      <c r="U545" s="128" t="e">
        <f t="shared" ca="1" si="153"/>
        <v>#REF!</v>
      </c>
      <c r="AC545">
        <v>538</v>
      </c>
      <c r="AD545" s="6">
        <f t="shared" ca="1" si="148"/>
        <v>36404</v>
      </c>
      <c r="AE545" s="7" t="e">
        <f t="shared" ca="1" si="154"/>
        <v>#REF!</v>
      </c>
      <c r="AF545" s="125" t="e">
        <f t="shared" ca="1" si="155"/>
        <v>#REF!</v>
      </c>
      <c r="AG545" s="125" t="e">
        <f t="shared" ca="1" si="149"/>
        <v>#REF!</v>
      </c>
      <c r="AH545" s="128" t="e">
        <f t="shared" ca="1" si="156"/>
        <v>#REF!</v>
      </c>
    </row>
    <row r="546" spans="4:34">
      <c r="D546">
        <v>539</v>
      </c>
      <c r="E546" s="6">
        <f t="shared" ca="1" si="141"/>
        <v>36373</v>
      </c>
      <c r="F546" s="7">
        <f t="shared" ca="1" si="150"/>
        <v>0</v>
      </c>
      <c r="G546" s="125">
        <f t="shared" ca="1" si="142"/>
        <v>0</v>
      </c>
      <c r="H546" s="125">
        <f ca="1">IF(F546=1,F546*$B$10/MIN(12,'Simulador - 3º Pilar'!$E$88),0)</f>
        <v>0</v>
      </c>
      <c r="I546" s="128">
        <f t="shared" ca="1" si="143"/>
        <v>0</v>
      </c>
      <c r="J546" s="494">
        <f t="shared" ca="1" si="144"/>
        <v>0</v>
      </c>
      <c r="K546" s="126">
        <f t="shared" ca="1" si="145"/>
        <v>0</v>
      </c>
      <c r="L546" s="126">
        <f t="shared" ca="1" si="157"/>
        <v>0</v>
      </c>
      <c r="P546">
        <v>539</v>
      </c>
      <c r="Q546" s="6">
        <f t="shared" ca="1" si="146"/>
        <v>36373</v>
      </c>
      <c r="R546" s="7" t="e">
        <f t="shared" ca="1" si="151"/>
        <v>#REF!</v>
      </c>
      <c r="S546" s="125" t="e">
        <f t="shared" ca="1" si="152"/>
        <v>#REF!</v>
      </c>
      <c r="T546" s="125" t="e">
        <f t="shared" ca="1" si="147"/>
        <v>#REF!</v>
      </c>
      <c r="U546" s="128" t="e">
        <f t="shared" ca="1" si="153"/>
        <v>#REF!</v>
      </c>
      <c r="AC546">
        <v>539</v>
      </c>
      <c r="AD546" s="6">
        <f t="shared" ca="1" si="148"/>
        <v>36373</v>
      </c>
      <c r="AE546" s="7" t="e">
        <f t="shared" ca="1" si="154"/>
        <v>#REF!</v>
      </c>
      <c r="AF546" s="125" t="e">
        <f t="shared" ca="1" si="155"/>
        <v>#REF!</v>
      </c>
      <c r="AG546" s="125" t="e">
        <f t="shared" ca="1" si="149"/>
        <v>#REF!</v>
      </c>
      <c r="AH546" s="128" t="e">
        <f t="shared" ca="1" si="156"/>
        <v>#REF!</v>
      </c>
    </row>
    <row r="547" spans="4:34">
      <c r="D547">
        <v>540</v>
      </c>
      <c r="E547" s="6">
        <f t="shared" ca="1" si="141"/>
        <v>36342</v>
      </c>
      <c r="F547" s="7">
        <f t="shared" ca="1" si="150"/>
        <v>0</v>
      </c>
      <c r="G547" s="125">
        <f t="shared" ca="1" si="142"/>
        <v>0</v>
      </c>
      <c r="H547" s="125">
        <f ca="1">IF(F547=1,F547*$B$10/MIN(12,'Simulador - 3º Pilar'!$E$88),0)</f>
        <v>0</v>
      </c>
      <c r="I547" s="128">
        <f t="shared" ca="1" si="143"/>
        <v>0</v>
      </c>
      <c r="J547" s="494">
        <f t="shared" ca="1" si="144"/>
        <v>0</v>
      </c>
      <c r="K547" s="126">
        <f t="shared" ca="1" si="145"/>
        <v>0</v>
      </c>
      <c r="L547" s="126">
        <f t="shared" ca="1" si="157"/>
        <v>0</v>
      </c>
      <c r="P547">
        <v>540</v>
      </c>
      <c r="Q547" s="6">
        <f t="shared" ca="1" si="146"/>
        <v>36342</v>
      </c>
      <c r="R547" s="7" t="e">
        <f t="shared" ca="1" si="151"/>
        <v>#REF!</v>
      </c>
      <c r="S547" s="125" t="e">
        <f t="shared" ca="1" si="152"/>
        <v>#REF!</v>
      </c>
      <c r="T547" s="125" t="e">
        <f t="shared" ca="1" si="147"/>
        <v>#REF!</v>
      </c>
      <c r="U547" s="128" t="e">
        <f t="shared" ca="1" si="153"/>
        <v>#REF!</v>
      </c>
      <c r="AC547">
        <v>540</v>
      </c>
      <c r="AD547" s="6">
        <f t="shared" ca="1" si="148"/>
        <v>36342</v>
      </c>
      <c r="AE547" s="7" t="e">
        <f t="shared" ca="1" si="154"/>
        <v>#REF!</v>
      </c>
      <c r="AF547" s="125" t="e">
        <f t="shared" ca="1" si="155"/>
        <v>#REF!</v>
      </c>
      <c r="AG547" s="125" t="e">
        <f t="shared" ca="1" si="149"/>
        <v>#REF!</v>
      </c>
      <c r="AH547" s="128" t="e">
        <f t="shared" ca="1" si="156"/>
        <v>#REF!</v>
      </c>
    </row>
    <row r="548" spans="4:34">
      <c r="D548">
        <v>541</v>
      </c>
      <c r="E548" s="6">
        <f t="shared" ca="1" si="141"/>
        <v>36312</v>
      </c>
      <c r="F548" s="7">
        <f t="shared" ca="1" si="150"/>
        <v>0</v>
      </c>
      <c r="G548" s="125">
        <f t="shared" ca="1" si="142"/>
        <v>0</v>
      </c>
      <c r="H548" s="125">
        <f ca="1">IF(F548=1,F548*$B$10/MIN(12,'Simulador - 3º Pilar'!$E$88),0)</f>
        <v>0</v>
      </c>
      <c r="I548" s="128">
        <f t="shared" ca="1" si="143"/>
        <v>0</v>
      </c>
      <c r="J548" s="494">
        <f t="shared" ca="1" si="144"/>
        <v>0</v>
      </c>
      <c r="K548" s="126">
        <f t="shared" ca="1" si="145"/>
        <v>0</v>
      </c>
      <c r="L548" s="126">
        <f t="shared" ca="1" si="157"/>
        <v>0</v>
      </c>
      <c r="P548">
        <v>541</v>
      </c>
      <c r="Q548" s="6">
        <f t="shared" ca="1" si="146"/>
        <v>36312</v>
      </c>
      <c r="R548" s="7" t="e">
        <f t="shared" ca="1" si="151"/>
        <v>#REF!</v>
      </c>
      <c r="S548" s="125" t="e">
        <f t="shared" ca="1" si="152"/>
        <v>#REF!</v>
      </c>
      <c r="T548" s="125" t="e">
        <f t="shared" ca="1" si="147"/>
        <v>#REF!</v>
      </c>
      <c r="U548" s="128" t="e">
        <f t="shared" ca="1" si="153"/>
        <v>#REF!</v>
      </c>
      <c r="AC548">
        <v>541</v>
      </c>
      <c r="AD548" s="6">
        <f t="shared" ca="1" si="148"/>
        <v>36312</v>
      </c>
      <c r="AE548" s="7" t="e">
        <f t="shared" ca="1" si="154"/>
        <v>#REF!</v>
      </c>
      <c r="AF548" s="125" t="e">
        <f t="shared" ca="1" si="155"/>
        <v>#REF!</v>
      </c>
      <c r="AG548" s="125" t="e">
        <f t="shared" ca="1" si="149"/>
        <v>#REF!</v>
      </c>
      <c r="AH548" s="128" t="e">
        <f t="shared" ca="1" si="156"/>
        <v>#REF!</v>
      </c>
    </row>
    <row r="549" spans="4:34">
      <c r="D549">
        <v>542</v>
      </c>
      <c r="E549" s="6">
        <f t="shared" ca="1" si="141"/>
        <v>36281</v>
      </c>
      <c r="F549" s="7">
        <f t="shared" ca="1" si="150"/>
        <v>0</v>
      </c>
      <c r="G549" s="125">
        <f t="shared" ca="1" si="142"/>
        <v>0</v>
      </c>
      <c r="H549" s="125">
        <f ca="1">IF(F549=1,F549*$B$10/MIN(12,'Simulador - 3º Pilar'!$E$88),0)</f>
        <v>0</v>
      </c>
      <c r="I549" s="128">
        <f t="shared" ca="1" si="143"/>
        <v>0</v>
      </c>
      <c r="J549" s="494">
        <f t="shared" ca="1" si="144"/>
        <v>0</v>
      </c>
      <c r="K549" s="126">
        <f t="shared" ca="1" si="145"/>
        <v>0</v>
      </c>
      <c r="L549" s="126">
        <f t="shared" ca="1" si="157"/>
        <v>0</v>
      </c>
      <c r="P549">
        <v>542</v>
      </c>
      <c r="Q549" s="6">
        <f t="shared" ca="1" si="146"/>
        <v>36281</v>
      </c>
      <c r="R549" s="7" t="e">
        <f t="shared" ca="1" si="151"/>
        <v>#REF!</v>
      </c>
      <c r="S549" s="125" t="e">
        <f t="shared" ca="1" si="152"/>
        <v>#REF!</v>
      </c>
      <c r="T549" s="125" t="e">
        <f t="shared" ca="1" si="147"/>
        <v>#REF!</v>
      </c>
      <c r="U549" s="128" t="e">
        <f t="shared" ca="1" si="153"/>
        <v>#REF!</v>
      </c>
      <c r="AC549">
        <v>542</v>
      </c>
      <c r="AD549" s="6">
        <f t="shared" ca="1" si="148"/>
        <v>36281</v>
      </c>
      <c r="AE549" s="7" t="e">
        <f t="shared" ca="1" si="154"/>
        <v>#REF!</v>
      </c>
      <c r="AF549" s="125" t="e">
        <f t="shared" ca="1" si="155"/>
        <v>#REF!</v>
      </c>
      <c r="AG549" s="125" t="e">
        <f t="shared" ca="1" si="149"/>
        <v>#REF!</v>
      </c>
      <c r="AH549" s="128" t="e">
        <f t="shared" ca="1" si="156"/>
        <v>#REF!</v>
      </c>
    </row>
    <row r="550" spans="4:34">
      <c r="D550">
        <v>543</v>
      </c>
      <c r="E550" s="6">
        <f t="shared" ca="1" si="141"/>
        <v>36251</v>
      </c>
      <c r="F550" s="7">
        <f t="shared" ca="1" si="150"/>
        <v>0</v>
      </c>
      <c r="G550" s="125">
        <f t="shared" ca="1" si="142"/>
        <v>0</v>
      </c>
      <c r="H550" s="125">
        <f ca="1">IF(F550=1,F550*$B$10/MIN(12,'Simulador - 3º Pilar'!$E$88),0)</f>
        <v>0</v>
      </c>
      <c r="I550" s="128">
        <f t="shared" ca="1" si="143"/>
        <v>0</v>
      </c>
      <c r="J550" s="494">
        <f t="shared" ca="1" si="144"/>
        <v>0</v>
      </c>
      <c r="K550" s="126">
        <f t="shared" ca="1" si="145"/>
        <v>0</v>
      </c>
      <c r="L550" s="126">
        <f t="shared" ca="1" si="157"/>
        <v>0</v>
      </c>
      <c r="P550">
        <v>543</v>
      </c>
      <c r="Q550" s="6">
        <f t="shared" ca="1" si="146"/>
        <v>36251</v>
      </c>
      <c r="R550" s="7" t="e">
        <f t="shared" ca="1" si="151"/>
        <v>#REF!</v>
      </c>
      <c r="S550" s="125" t="e">
        <f t="shared" ca="1" si="152"/>
        <v>#REF!</v>
      </c>
      <c r="T550" s="125" t="e">
        <f t="shared" ca="1" si="147"/>
        <v>#REF!</v>
      </c>
      <c r="U550" s="128" t="e">
        <f t="shared" ca="1" si="153"/>
        <v>#REF!</v>
      </c>
      <c r="AC550">
        <v>543</v>
      </c>
      <c r="AD550" s="6">
        <f t="shared" ca="1" si="148"/>
        <v>36251</v>
      </c>
      <c r="AE550" s="7" t="e">
        <f t="shared" ca="1" si="154"/>
        <v>#REF!</v>
      </c>
      <c r="AF550" s="125" t="e">
        <f t="shared" ca="1" si="155"/>
        <v>#REF!</v>
      </c>
      <c r="AG550" s="125" t="e">
        <f t="shared" ca="1" si="149"/>
        <v>#REF!</v>
      </c>
      <c r="AH550" s="128" t="e">
        <f t="shared" ca="1" si="156"/>
        <v>#REF!</v>
      </c>
    </row>
    <row r="551" spans="4:34">
      <c r="D551">
        <v>544</v>
      </c>
      <c r="E551" s="6">
        <f t="shared" ca="1" si="141"/>
        <v>36220</v>
      </c>
      <c r="F551" s="7">
        <f t="shared" ca="1" si="150"/>
        <v>0</v>
      </c>
      <c r="G551" s="125">
        <f t="shared" ca="1" si="142"/>
        <v>0</v>
      </c>
      <c r="H551" s="125">
        <f ca="1">IF(F551=1,F551*$B$10/MIN(12,'Simulador - 3º Pilar'!$E$88),0)</f>
        <v>0</v>
      </c>
      <c r="I551" s="128">
        <f t="shared" ca="1" si="143"/>
        <v>0</v>
      </c>
      <c r="J551" s="494">
        <f t="shared" ca="1" si="144"/>
        <v>0</v>
      </c>
      <c r="K551" s="126">
        <f t="shared" ca="1" si="145"/>
        <v>0</v>
      </c>
      <c r="L551" s="126">
        <f t="shared" ca="1" si="157"/>
        <v>0</v>
      </c>
      <c r="P551">
        <v>544</v>
      </c>
      <c r="Q551" s="6">
        <f t="shared" ca="1" si="146"/>
        <v>36220</v>
      </c>
      <c r="R551" s="7" t="e">
        <f t="shared" ca="1" si="151"/>
        <v>#REF!</v>
      </c>
      <c r="S551" s="125" t="e">
        <f t="shared" ca="1" si="152"/>
        <v>#REF!</v>
      </c>
      <c r="T551" s="125" t="e">
        <f t="shared" ca="1" si="147"/>
        <v>#REF!</v>
      </c>
      <c r="U551" s="128" t="e">
        <f t="shared" ca="1" si="153"/>
        <v>#REF!</v>
      </c>
      <c r="AC551">
        <v>544</v>
      </c>
      <c r="AD551" s="6">
        <f t="shared" ca="1" si="148"/>
        <v>36220</v>
      </c>
      <c r="AE551" s="7" t="e">
        <f t="shared" ca="1" si="154"/>
        <v>#REF!</v>
      </c>
      <c r="AF551" s="125" t="e">
        <f t="shared" ca="1" si="155"/>
        <v>#REF!</v>
      </c>
      <c r="AG551" s="125" t="e">
        <f t="shared" ca="1" si="149"/>
        <v>#REF!</v>
      </c>
      <c r="AH551" s="128" t="e">
        <f t="shared" ca="1" si="156"/>
        <v>#REF!</v>
      </c>
    </row>
    <row r="552" spans="4:34">
      <c r="D552">
        <v>545</v>
      </c>
      <c r="E552" s="6">
        <f t="shared" ca="1" si="141"/>
        <v>36192</v>
      </c>
      <c r="F552" s="7">
        <f t="shared" ca="1" si="150"/>
        <v>0</v>
      </c>
      <c r="G552" s="125">
        <f t="shared" ca="1" si="142"/>
        <v>0</v>
      </c>
      <c r="H552" s="125">
        <f ca="1">IF(F552=1,F552*$B$10/MIN(12,'Simulador - 3º Pilar'!$E$88),0)</f>
        <v>0</v>
      </c>
      <c r="I552" s="128">
        <f t="shared" ca="1" si="143"/>
        <v>0</v>
      </c>
      <c r="J552" s="494">
        <f t="shared" ca="1" si="144"/>
        <v>0</v>
      </c>
      <c r="K552" s="126">
        <f t="shared" ca="1" si="145"/>
        <v>0</v>
      </c>
      <c r="L552" s="126">
        <f t="shared" ca="1" si="157"/>
        <v>0</v>
      </c>
      <c r="P552">
        <v>545</v>
      </c>
      <c r="Q552" s="6">
        <f t="shared" ca="1" si="146"/>
        <v>36192</v>
      </c>
      <c r="R552" s="7" t="e">
        <f t="shared" ca="1" si="151"/>
        <v>#REF!</v>
      </c>
      <c r="S552" s="125" t="e">
        <f t="shared" ca="1" si="152"/>
        <v>#REF!</v>
      </c>
      <c r="T552" s="125" t="e">
        <f t="shared" ca="1" si="147"/>
        <v>#REF!</v>
      </c>
      <c r="U552" s="128" t="e">
        <f t="shared" ca="1" si="153"/>
        <v>#REF!</v>
      </c>
      <c r="AC552">
        <v>545</v>
      </c>
      <c r="AD552" s="6">
        <f t="shared" ca="1" si="148"/>
        <v>36192</v>
      </c>
      <c r="AE552" s="7" t="e">
        <f t="shared" ca="1" si="154"/>
        <v>#REF!</v>
      </c>
      <c r="AF552" s="125" t="e">
        <f t="shared" ca="1" si="155"/>
        <v>#REF!</v>
      </c>
      <c r="AG552" s="125" t="e">
        <f t="shared" ca="1" si="149"/>
        <v>#REF!</v>
      </c>
      <c r="AH552" s="128" t="e">
        <f t="shared" ca="1" si="156"/>
        <v>#REF!</v>
      </c>
    </row>
    <row r="553" spans="4:34">
      <c r="D553">
        <v>546</v>
      </c>
      <c r="E553" s="6">
        <f t="shared" ca="1" si="141"/>
        <v>36161</v>
      </c>
      <c r="F553" s="7">
        <f t="shared" ca="1" si="150"/>
        <v>0</v>
      </c>
      <c r="G553" s="125">
        <f t="shared" ca="1" si="142"/>
        <v>0</v>
      </c>
      <c r="H553" s="125">
        <f ca="1">IF(F553=1,F553*$B$10/MIN(12,'Simulador - 3º Pilar'!$E$88),0)</f>
        <v>0</v>
      </c>
      <c r="I553" s="128">
        <f t="shared" ca="1" si="143"/>
        <v>0</v>
      </c>
      <c r="J553" s="494">
        <f t="shared" ca="1" si="144"/>
        <v>0</v>
      </c>
      <c r="K553" s="126">
        <f t="shared" ca="1" si="145"/>
        <v>0</v>
      </c>
      <c r="L553" s="126">
        <f t="shared" ca="1" si="157"/>
        <v>0</v>
      </c>
      <c r="P553">
        <v>546</v>
      </c>
      <c r="Q553" s="6">
        <f t="shared" ca="1" si="146"/>
        <v>36161</v>
      </c>
      <c r="R553" s="7" t="e">
        <f t="shared" ca="1" si="151"/>
        <v>#REF!</v>
      </c>
      <c r="S553" s="125" t="e">
        <f t="shared" ca="1" si="152"/>
        <v>#REF!</v>
      </c>
      <c r="T553" s="125" t="e">
        <f t="shared" ca="1" si="147"/>
        <v>#REF!</v>
      </c>
      <c r="U553" s="128" t="e">
        <f t="shared" ca="1" si="153"/>
        <v>#REF!</v>
      </c>
      <c r="AC553">
        <v>546</v>
      </c>
      <c r="AD553" s="6">
        <f t="shared" ca="1" si="148"/>
        <v>36161</v>
      </c>
      <c r="AE553" s="7" t="e">
        <f t="shared" ca="1" si="154"/>
        <v>#REF!</v>
      </c>
      <c r="AF553" s="125" t="e">
        <f t="shared" ca="1" si="155"/>
        <v>#REF!</v>
      </c>
      <c r="AG553" s="125" t="e">
        <f t="shared" ca="1" si="149"/>
        <v>#REF!</v>
      </c>
      <c r="AH553" s="128" t="e">
        <f t="shared" ca="1" si="156"/>
        <v>#REF!</v>
      </c>
    </row>
    <row r="554" spans="4:34">
      <c r="D554">
        <v>547</v>
      </c>
      <c r="E554" s="6">
        <f t="shared" ca="1" si="141"/>
        <v>36130</v>
      </c>
      <c r="F554" s="7">
        <f t="shared" ca="1" si="150"/>
        <v>0</v>
      </c>
      <c r="G554" s="125">
        <f t="shared" ca="1" si="142"/>
        <v>0</v>
      </c>
      <c r="H554" s="125">
        <f ca="1">IF(F554=1,F554*$B$10/MIN(12,'Simulador - 3º Pilar'!$E$88),0)</f>
        <v>0</v>
      </c>
      <c r="I554" s="128">
        <f t="shared" ca="1" si="143"/>
        <v>0</v>
      </c>
      <c r="J554" s="494">
        <f t="shared" ca="1" si="144"/>
        <v>0</v>
      </c>
      <c r="K554" s="126">
        <f t="shared" ca="1" si="145"/>
        <v>0</v>
      </c>
      <c r="L554" s="126">
        <f t="shared" ca="1" si="157"/>
        <v>0</v>
      </c>
      <c r="P554">
        <v>547</v>
      </c>
      <c r="Q554" s="6">
        <f t="shared" ca="1" si="146"/>
        <v>36130</v>
      </c>
      <c r="R554" s="7" t="e">
        <f t="shared" ca="1" si="151"/>
        <v>#REF!</v>
      </c>
      <c r="S554" s="125" t="e">
        <f t="shared" ca="1" si="152"/>
        <v>#REF!</v>
      </c>
      <c r="T554" s="125" t="e">
        <f t="shared" ca="1" si="147"/>
        <v>#REF!</v>
      </c>
      <c r="U554" s="128" t="e">
        <f t="shared" ca="1" si="153"/>
        <v>#REF!</v>
      </c>
      <c r="AC554">
        <v>547</v>
      </c>
      <c r="AD554" s="6">
        <f t="shared" ca="1" si="148"/>
        <v>36130</v>
      </c>
      <c r="AE554" s="7" t="e">
        <f t="shared" ca="1" si="154"/>
        <v>#REF!</v>
      </c>
      <c r="AF554" s="125" t="e">
        <f t="shared" ca="1" si="155"/>
        <v>#REF!</v>
      </c>
      <c r="AG554" s="125" t="e">
        <f t="shared" ca="1" si="149"/>
        <v>#REF!</v>
      </c>
      <c r="AH554" s="128" t="e">
        <f t="shared" ca="1" si="156"/>
        <v>#REF!</v>
      </c>
    </row>
    <row r="555" spans="4:34">
      <c r="D555">
        <v>548</v>
      </c>
      <c r="E555" s="6">
        <f t="shared" ca="1" si="141"/>
        <v>36100</v>
      </c>
      <c r="F555" s="7">
        <f t="shared" ca="1" si="150"/>
        <v>0</v>
      </c>
      <c r="G555" s="125">
        <f t="shared" ca="1" si="142"/>
        <v>0</v>
      </c>
      <c r="H555" s="125">
        <f ca="1">IF(F555=1,F555*$B$10/MIN(12,'Simulador - 3º Pilar'!$E$88),0)</f>
        <v>0</v>
      </c>
      <c r="I555" s="128">
        <f t="shared" ca="1" si="143"/>
        <v>0</v>
      </c>
      <c r="J555" s="494">
        <f t="shared" ca="1" si="144"/>
        <v>0</v>
      </c>
      <c r="K555" s="126">
        <f t="shared" ca="1" si="145"/>
        <v>0</v>
      </c>
      <c r="L555" s="126">
        <f t="shared" ca="1" si="157"/>
        <v>0</v>
      </c>
      <c r="P555">
        <v>548</v>
      </c>
      <c r="Q555" s="6">
        <f t="shared" ca="1" si="146"/>
        <v>36100</v>
      </c>
      <c r="R555" s="7" t="e">
        <f t="shared" ca="1" si="151"/>
        <v>#REF!</v>
      </c>
      <c r="S555" s="125" t="e">
        <f t="shared" ca="1" si="152"/>
        <v>#REF!</v>
      </c>
      <c r="T555" s="125" t="e">
        <f t="shared" ca="1" si="147"/>
        <v>#REF!</v>
      </c>
      <c r="U555" s="128" t="e">
        <f t="shared" ca="1" si="153"/>
        <v>#REF!</v>
      </c>
      <c r="AC555">
        <v>548</v>
      </c>
      <c r="AD555" s="6">
        <f t="shared" ca="1" si="148"/>
        <v>36100</v>
      </c>
      <c r="AE555" s="7" t="e">
        <f t="shared" ca="1" si="154"/>
        <v>#REF!</v>
      </c>
      <c r="AF555" s="125" t="e">
        <f t="shared" ca="1" si="155"/>
        <v>#REF!</v>
      </c>
      <c r="AG555" s="125" t="e">
        <f t="shared" ca="1" si="149"/>
        <v>#REF!</v>
      </c>
      <c r="AH555" s="128" t="e">
        <f t="shared" ca="1" si="156"/>
        <v>#REF!</v>
      </c>
    </row>
    <row r="556" spans="4:34">
      <c r="D556">
        <v>549</v>
      </c>
      <c r="E556" s="6">
        <f t="shared" ca="1" si="141"/>
        <v>36069</v>
      </c>
      <c r="F556" s="7">
        <f t="shared" ca="1" si="150"/>
        <v>0</v>
      </c>
      <c r="G556" s="125">
        <f t="shared" ca="1" si="142"/>
        <v>0</v>
      </c>
      <c r="H556" s="125">
        <f ca="1">IF(F556=1,F556*$B$10/MIN(12,'Simulador - 3º Pilar'!$E$88),0)</f>
        <v>0</v>
      </c>
      <c r="I556" s="128">
        <f t="shared" ca="1" si="143"/>
        <v>0</v>
      </c>
      <c r="J556" s="494">
        <f t="shared" ca="1" si="144"/>
        <v>0</v>
      </c>
      <c r="K556" s="126">
        <f t="shared" ca="1" si="145"/>
        <v>0</v>
      </c>
      <c r="L556" s="126">
        <f t="shared" ca="1" si="157"/>
        <v>0</v>
      </c>
      <c r="P556">
        <v>549</v>
      </c>
      <c r="Q556" s="6">
        <f t="shared" ca="1" si="146"/>
        <v>36069</v>
      </c>
      <c r="R556" s="7" t="e">
        <f t="shared" ca="1" si="151"/>
        <v>#REF!</v>
      </c>
      <c r="S556" s="125" t="e">
        <f t="shared" ca="1" si="152"/>
        <v>#REF!</v>
      </c>
      <c r="T556" s="125" t="e">
        <f t="shared" ca="1" si="147"/>
        <v>#REF!</v>
      </c>
      <c r="U556" s="128" t="e">
        <f t="shared" ca="1" si="153"/>
        <v>#REF!</v>
      </c>
      <c r="AC556">
        <v>549</v>
      </c>
      <c r="AD556" s="6">
        <f t="shared" ca="1" si="148"/>
        <v>36069</v>
      </c>
      <c r="AE556" s="7" t="e">
        <f t="shared" ca="1" si="154"/>
        <v>#REF!</v>
      </c>
      <c r="AF556" s="125" t="e">
        <f t="shared" ca="1" si="155"/>
        <v>#REF!</v>
      </c>
      <c r="AG556" s="125" t="e">
        <f t="shared" ca="1" si="149"/>
        <v>#REF!</v>
      </c>
      <c r="AH556" s="128" t="e">
        <f t="shared" ca="1" si="156"/>
        <v>#REF!</v>
      </c>
    </row>
    <row r="557" spans="4:34">
      <c r="D557">
        <v>550</v>
      </c>
      <c r="E557" s="6">
        <f t="shared" ca="1" si="141"/>
        <v>36039</v>
      </c>
      <c r="F557" s="7">
        <f t="shared" ca="1" si="150"/>
        <v>0</v>
      </c>
      <c r="G557" s="125">
        <f t="shared" ca="1" si="142"/>
        <v>0</v>
      </c>
      <c r="H557" s="125">
        <f ca="1">IF(F557=1,F557*$B$10/MIN(12,'Simulador - 3º Pilar'!$E$88),0)</f>
        <v>0</v>
      </c>
      <c r="I557" s="128">
        <f t="shared" ca="1" si="143"/>
        <v>0</v>
      </c>
      <c r="J557" s="494">
        <f t="shared" ca="1" si="144"/>
        <v>0</v>
      </c>
      <c r="K557" s="126">
        <f t="shared" ca="1" si="145"/>
        <v>0</v>
      </c>
      <c r="L557" s="126">
        <f t="shared" ca="1" si="157"/>
        <v>0</v>
      </c>
      <c r="P557">
        <v>550</v>
      </c>
      <c r="Q557" s="6">
        <f t="shared" ca="1" si="146"/>
        <v>36039</v>
      </c>
      <c r="R557" s="7" t="e">
        <f t="shared" ca="1" si="151"/>
        <v>#REF!</v>
      </c>
      <c r="S557" s="125" t="e">
        <f t="shared" ca="1" si="152"/>
        <v>#REF!</v>
      </c>
      <c r="T557" s="125" t="e">
        <f t="shared" ca="1" si="147"/>
        <v>#REF!</v>
      </c>
      <c r="U557" s="128" t="e">
        <f t="shared" ca="1" si="153"/>
        <v>#REF!</v>
      </c>
      <c r="AC557">
        <v>550</v>
      </c>
      <c r="AD557" s="6">
        <f t="shared" ca="1" si="148"/>
        <v>36039</v>
      </c>
      <c r="AE557" s="7" t="e">
        <f t="shared" ca="1" si="154"/>
        <v>#REF!</v>
      </c>
      <c r="AF557" s="125" t="e">
        <f t="shared" ca="1" si="155"/>
        <v>#REF!</v>
      </c>
      <c r="AG557" s="125" t="e">
        <f t="shared" ca="1" si="149"/>
        <v>#REF!</v>
      </c>
      <c r="AH557" s="128" t="e">
        <f t="shared" ca="1" si="156"/>
        <v>#REF!</v>
      </c>
    </row>
    <row r="558" spans="4:34">
      <c r="D558">
        <v>551</v>
      </c>
      <c r="E558" s="6">
        <f t="shared" ca="1" si="141"/>
        <v>36008</v>
      </c>
      <c r="F558" s="7">
        <f t="shared" ca="1" si="150"/>
        <v>0</v>
      </c>
      <c r="G558" s="125">
        <f t="shared" ca="1" si="142"/>
        <v>0</v>
      </c>
      <c r="H558" s="125">
        <f ca="1">IF(F558=1,F558*$B$10/MIN(12,'Simulador - 3º Pilar'!$E$88),0)</f>
        <v>0</v>
      </c>
      <c r="I558" s="128">
        <f t="shared" ca="1" si="143"/>
        <v>0</v>
      </c>
      <c r="J558" s="494">
        <f t="shared" ca="1" si="144"/>
        <v>0</v>
      </c>
      <c r="K558" s="126">
        <f t="shared" ca="1" si="145"/>
        <v>0</v>
      </c>
      <c r="L558" s="126">
        <f t="shared" ca="1" si="157"/>
        <v>0</v>
      </c>
      <c r="P558">
        <v>551</v>
      </c>
      <c r="Q558" s="6">
        <f t="shared" ca="1" si="146"/>
        <v>36008</v>
      </c>
      <c r="R558" s="7" t="e">
        <f t="shared" ca="1" si="151"/>
        <v>#REF!</v>
      </c>
      <c r="S558" s="125" t="e">
        <f t="shared" ca="1" si="152"/>
        <v>#REF!</v>
      </c>
      <c r="T558" s="125" t="e">
        <f t="shared" ca="1" si="147"/>
        <v>#REF!</v>
      </c>
      <c r="U558" s="128" t="e">
        <f t="shared" ca="1" si="153"/>
        <v>#REF!</v>
      </c>
      <c r="AC558">
        <v>551</v>
      </c>
      <c r="AD558" s="6">
        <f t="shared" ca="1" si="148"/>
        <v>36008</v>
      </c>
      <c r="AE558" s="7" t="e">
        <f t="shared" ca="1" si="154"/>
        <v>#REF!</v>
      </c>
      <c r="AF558" s="125" t="e">
        <f t="shared" ca="1" si="155"/>
        <v>#REF!</v>
      </c>
      <c r="AG558" s="125" t="e">
        <f t="shared" ca="1" si="149"/>
        <v>#REF!</v>
      </c>
      <c r="AH558" s="128" t="e">
        <f t="shared" ca="1" si="156"/>
        <v>#REF!</v>
      </c>
    </row>
    <row r="559" spans="4:34">
      <c r="D559">
        <v>552</v>
      </c>
      <c r="E559" s="6">
        <f t="shared" ca="1" si="141"/>
        <v>35977</v>
      </c>
      <c r="F559" s="7">
        <f t="shared" ca="1" si="150"/>
        <v>0</v>
      </c>
      <c r="G559" s="125">
        <f t="shared" ca="1" si="142"/>
        <v>0</v>
      </c>
      <c r="H559" s="125">
        <f ca="1">IF(F559=1,F559*$B$10/MIN(12,'Simulador - 3º Pilar'!$E$88),0)</f>
        <v>0</v>
      </c>
      <c r="I559" s="128">
        <f t="shared" ca="1" si="143"/>
        <v>0</v>
      </c>
      <c r="J559" s="494">
        <f t="shared" ca="1" si="144"/>
        <v>0</v>
      </c>
      <c r="K559" s="126">
        <f t="shared" ca="1" si="145"/>
        <v>0</v>
      </c>
      <c r="L559" s="126">
        <f t="shared" ca="1" si="157"/>
        <v>0</v>
      </c>
      <c r="P559">
        <v>552</v>
      </c>
      <c r="Q559" s="6">
        <f t="shared" ca="1" si="146"/>
        <v>35977</v>
      </c>
      <c r="R559" s="7" t="e">
        <f t="shared" ca="1" si="151"/>
        <v>#REF!</v>
      </c>
      <c r="S559" s="125" t="e">
        <f t="shared" ca="1" si="152"/>
        <v>#REF!</v>
      </c>
      <c r="T559" s="125" t="e">
        <f t="shared" ca="1" si="147"/>
        <v>#REF!</v>
      </c>
      <c r="U559" s="128" t="e">
        <f t="shared" ca="1" si="153"/>
        <v>#REF!</v>
      </c>
      <c r="AC559">
        <v>552</v>
      </c>
      <c r="AD559" s="6">
        <f t="shared" ca="1" si="148"/>
        <v>35977</v>
      </c>
      <c r="AE559" s="7" t="e">
        <f t="shared" ca="1" si="154"/>
        <v>#REF!</v>
      </c>
      <c r="AF559" s="125" t="e">
        <f t="shared" ca="1" si="155"/>
        <v>#REF!</v>
      </c>
      <c r="AG559" s="125" t="e">
        <f t="shared" ca="1" si="149"/>
        <v>#REF!</v>
      </c>
      <c r="AH559" s="128" t="e">
        <f t="shared" ca="1" si="156"/>
        <v>#REF!</v>
      </c>
    </row>
    <row r="560" spans="4:34">
      <c r="D560">
        <v>553</v>
      </c>
      <c r="E560" s="6">
        <f t="shared" ca="1" si="141"/>
        <v>35947</v>
      </c>
      <c r="F560" s="7">
        <f t="shared" ca="1" si="150"/>
        <v>0</v>
      </c>
      <c r="G560" s="125">
        <f t="shared" ca="1" si="142"/>
        <v>0</v>
      </c>
      <c r="H560" s="125">
        <f ca="1">IF(F560=1,F560*$B$10/MIN(12,'Simulador - 3º Pilar'!$E$88),0)</f>
        <v>0</v>
      </c>
      <c r="I560" s="128">
        <f t="shared" ca="1" si="143"/>
        <v>0</v>
      </c>
      <c r="J560" s="494">
        <f t="shared" ca="1" si="144"/>
        <v>0</v>
      </c>
      <c r="K560" s="126">
        <f t="shared" ca="1" si="145"/>
        <v>0</v>
      </c>
      <c r="L560" s="126">
        <f t="shared" ca="1" si="157"/>
        <v>0</v>
      </c>
      <c r="P560">
        <v>553</v>
      </c>
      <c r="Q560" s="6">
        <f t="shared" ca="1" si="146"/>
        <v>35947</v>
      </c>
      <c r="R560" s="7" t="e">
        <f t="shared" ca="1" si="151"/>
        <v>#REF!</v>
      </c>
      <c r="S560" s="125" t="e">
        <f t="shared" ca="1" si="152"/>
        <v>#REF!</v>
      </c>
      <c r="T560" s="125" t="e">
        <f t="shared" ca="1" si="147"/>
        <v>#REF!</v>
      </c>
      <c r="U560" s="128" t="e">
        <f t="shared" ca="1" si="153"/>
        <v>#REF!</v>
      </c>
      <c r="AC560">
        <v>553</v>
      </c>
      <c r="AD560" s="6">
        <f t="shared" ca="1" si="148"/>
        <v>35947</v>
      </c>
      <c r="AE560" s="7" t="e">
        <f t="shared" ca="1" si="154"/>
        <v>#REF!</v>
      </c>
      <c r="AF560" s="125" t="e">
        <f t="shared" ca="1" si="155"/>
        <v>#REF!</v>
      </c>
      <c r="AG560" s="125" t="e">
        <f t="shared" ca="1" si="149"/>
        <v>#REF!</v>
      </c>
      <c r="AH560" s="128" t="e">
        <f t="shared" ca="1" si="156"/>
        <v>#REF!</v>
      </c>
    </row>
    <row r="561" spans="4:34">
      <c r="D561">
        <v>554</v>
      </c>
      <c r="E561" s="6">
        <f t="shared" ca="1" si="141"/>
        <v>35916</v>
      </c>
      <c r="F561" s="7">
        <f t="shared" ca="1" si="150"/>
        <v>0</v>
      </c>
      <c r="G561" s="125">
        <f t="shared" ca="1" si="142"/>
        <v>0</v>
      </c>
      <c r="H561" s="125">
        <f ca="1">IF(F561=1,F561*$B$10/MIN(12,'Simulador - 3º Pilar'!$E$88),0)</f>
        <v>0</v>
      </c>
      <c r="I561" s="128">
        <f t="shared" ca="1" si="143"/>
        <v>0</v>
      </c>
      <c r="J561" s="494">
        <f t="shared" ca="1" si="144"/>
        <v>0</v>
      </c>
      <c r="K561" s="126">
        <f t="shared" ca="1" si="145"/>
        <v>0</v>
      </c>
      <c r="L561" s="126">
        <f t="shared" ca="1" si="157"/>
        <v>0</v>
      </c>
      <c r="P561">
        <v>554</v>
      </c>
      <c r="Q561" s="6">
        <f t="shared" ca="1" si="146"/>
        <v>35916</v>
      </c>
      <c r="R561" s="7" t="e">
        <f t="shared" ca="1" si="151"/>
        <v>#REF!</v>
      </c>
      <c r="S561" s="125" t="e">
        <f t="shared" ca="1" si="152"/>
        <v>#REF!</v>
      </c>
      <c r="T561" s="125" t="e">
        <f t="shared" ca="1" si="147"/>
        <v>#REF!</v>
      </c>
      <c r="U561" s="128" t="e">
        <f t="shared" ca="1" si="153"/>
        <v>#REF!</v>
      </c>
      <c r="AC561">
        <v>554</v>
      </c>
      <c r="AD561" s="6">
        <f t="shared" ca="1" si="148"/>
        <v>35916</v>
      </c>
      <c r="AE561" s="7" t="e">
        <f t="shared" ca="1" si="154"/>
        <v>#REF!</v>
      </c>
      <c r="AF561" s="125" t="e">
        <f t="shared" ca="1" si="155"/>
        <v>#REF!</v>
      </c>
      <c r="AG561" s="125" t="e">
        <f t="shared" ca="1" si="149"/>
        <v>#REF!</v>
      </c>
      <c r="AH561" s="128" t="e">
        <f t="shared" ca="1" si="156"/>
        <v>#REF!</v>
      </c>
    </row>
    <row r="562" spans="4:34">
      <c r="D562">
        <v>555</v>
      </c>
      <c r="E562" s="6">
        <f t="shared" ca="1" si="141"/>
        <v>35886</v>
      </c>
      <c r="F562" s="7">
        <f t="shared" ca="1" si="150"/>
        <v>0</v>
      </c>
      <c r="G562" s="125">
        <f t="shared" ca="1" si="142"/>
        <v>0</v>
      </c>
      <c r="H562" s="125">
        <f ca="1">IF(F562=1,F562*$B$10/MIN(12,'Simulador - 3º Pilar'!$E$88),0)</f>
        <v>0</v>
      </c>
      <c r="I562" s="128">
        <f t="shared" ca="1" si="143"/>
        <v>0</v>
      </c>
      <c r="J562" s="494">
        <f t="shared" ca="1" si="144"/>
        <v>0</v>
      </c>
      <c r="K562" s="126">
        <f t="shared" ca="1" si="145"/>
        <v>0</v>
      </c>
      <c r="L562" s="126">
        <f t="shared" ca="1" si="157"/>
        <v>0</v>
      </c>
      <c r="P562">
        <v>555</v>
      </c>
      <c r="Q562" s="6">
        <f t="shared" ca="1" si="146"/>
        <v>35886</v>
      </c>
      <c r="R562" s="7" t="e">
        <f t="shared" ca="1" si="151"/>
        <v>#REF!</v>
      </c>
      <c r="S562" s="125" t="e">
        <f t="shared" ca="1" si="152"/>
        <v>#REF!</v>
      </c>
      <c r="T562" s="125" t="e">
        <f t="shared" ca="1" si="147"/>
        <v>#REF!</v>
      </c>
      <c r="U562" s="128" t="e">
        <f t="shared" ca="1" si="153"/>
        <v>#REF!</v>
      </c>
      <c r="AC562">
        <v>555</v>
      </c>
      <c r="AD562" s="6">
        <f t="shared" ca="1" si="148"/>
        <v>35886</v>
      </c>
      <c r="AE562" s="7" t="e">
        <f t="shared" ca="1" si="154"/>
        <v>#REF!</v>
      </c>
      <c r="AF562" s="125" t="e">
        <f t="shared" ca="1" si="155"/>
        <v>#REF!</v>
      </c>
      <c r="AG562" s="125" t="e">
        <f t="shared" ca="1" si="149"/>
        <v>#REF!</v>
      </c>
      <c r="AH562" s="128" t="e">
        <f t="shared" ca="1" si="156"/>
        <v>#REF!</v>
      </c>
    </row>
    <row r="563" spans="4:34">
      <c r="D563">
        <v>556</v>
      </c>
      <c r="E563" s="6">
        <f t="shared" ca="1" si="141"/>
        <v>35855</v>
      </c>
      <c r="F563" s="7">
        <f t="shared" ca="1" si="150"/>
        <v>0</v>
      </c>
      <c r="G563" s="125">
        <f t="shared" ca="1" si="142"/>
        <v>0</v>
      </c>
      <c r="H563" s="125">
        <f ca="1">IF(F563=1,F563*$B$10/MIN(12,'Simulador - 3º Pilar'!$E$88),0)</f>
        <v>0</v>
      </c>
      <c r="I563" s="128">
        <f t="shared" ca="1" si="143"/>
        <v>0</v>
      </c>
      <c r="J563" s="494">
        <f t="shared" ca="1" si="144"/>
        <v>0</v>
      </c>
      <c r="K563" s="126">
        <f t="shared" ca="1" si="145"/>
        <v>0</v>
      </c>
      <c r="L563" s="126">
        <f t="shared" ca="1" si="157"/>
        <v>0</v>
      </c>
      <c r="P563">
        <v>556</v>
      </c>
      <c r="Q563" s="6">
        <f t="shared" ca="1" si="146"/>
        <v>35855</v>
      </c>
      <c r="R563" s="7" t="e">
        <f t="shared" ca="1" si="151"/>
        <v>#REF!</v>
      </c>
      <c r="S563" s="125" t="e">
        <f t="shared" ca="1" si="152"/>
        <v>#REF!</v>
      </c>
      <c r="T563" s="125" t="e">
        <f t="shared" ca="1" si="147"/>
        <v>#REF!</v>
      </c>
      <c r="U563" s="128" t="e">
        <f t="shared" ca="1" si="153"/>
        <v>#REF!</v>
      </c>
      <c r="AC563">
        <v>556</v>
      </c>
      <c r="AD563" s="6">
        <f t="shared" ca="1" si="148"/>
        <v>35855</v>
      </c>
      <c r="AE563" s="7" t="e">
        <f t="shared" ca="1" si="154"/>
        <v>#REF!</v>
      </c>
      <c r="AF563" s="125" t="e">
        <f t="shared" ca="1" si="155"/>
        <v>#REF!</v>
      </c>
      <c r="AG563" s="125" t="e">
        <f t="shared" ca="1" si="149"/>
        <v>#REF!</v>
      </c>
      <c r="AH563" s="128" t="e">
        <f t="shared" ca="1" si="156"/>
        <v>#REF!</v>
      </c>
    </row>
    <row r="564" spans="4:34">
      <c r="D564">
        <v>557</v>
      </c>
      <c r="E564" s="6">
        <f t="shared" ca="1" si="141"/>
        <v>35827</v>
      </c>
      <c r="F564" s="7">
        <f t="shared" ca="1" si="150"/>
        <v>0</v>
      </c>
      <c r="G564" s="125">
        <f t="shared" ca="1" si="142"/>
        <v>0</v>
      </c>
      <c r="H564" s="125">
        <f ca="1">IF(F564=1,F564*$B$10/MIN(12,'Simulador - 3º Pilar'!$E$88),0)</f>
        <v>0</v>
      </c>
      <c r="I564" s="128">
        <f t="shared" ca="1" si="143"/>
        <v>0</v>
      </c>
      <c r="J564" s="494">
        <f t="shared" ca="1" si="144"/>
        <v>0</v>
      </c>
      <c r="K564" s="126">
        <f t="shared" ca="1" si="145"/>
        <v>0</v>
      </c>
      <c r="L564" s="126">
        <f t="shared" ca="1" si="157"/>
        <v>0</v>
      </c>
      <c r="P564">
        <v>557</v>
      </c>
      <c r="Q564" s="6">
        <f t="shared" ca="1" si="146"/>
        <v>35827</v>
      </c>
      <c r="R564" s="7" t="e">
        <f t="shared" ca="1" si="151"/>
        <v>#REF!</v>
      </c>
      <c r="S564" s="125" t="e">
        <f t="shared" ca="1" si="152"/>
        <v>#REF!</v>
      </c>
      <c r="T564" s="125" t="e">
        <f t="shared" ca="1" si="147"/>
        <v>#REF!</v>
      </c>
      <c r="U564" s="128" t="e">
        <f t="shared" ca="1" si="153"/>
        <v>#REF!</v>
      </c>
      <c r="AC564">
        <v>557</v>
      </c>
      <c r="AD564" s="6">
        <f t="shared" ca="1" si="148"/>
        <v>35827</v>
      </c>
      <c r="AE564" s="7" t="e">
        <f t="shared" ca="1" si="154"/>
        <v>#REF!</v>
      </c>
      <c r="AF564" s="125" t="e">
        <f t="shared" ca="1" si="155"/>
        <v>#REF!</v>
      </c>
      <c r="AG564" s="125" t="e">
        <f t="shared" ca="1" si="149"/>
        <v>#REF!</v>
      </c>
      <c r="AH564" s="128" t="e">
        <f t="shared" ca="1" si="156"/>
        <v>#REF!</v>
      </c>
    </row>
    <row r="565" spans="4:34">
      <c r="D565">
        <v>558</v>
      </c>
      <c r="E565" s="6">
        <f t="shared" ca="1" si="141"/>
        <v>35796</v>
      </c>
      <c r="F565" s="7">
        <f t="shared" ca="1" si="150"/>
        <v>0</v>
      </c>
      <c r="G565" s="125">
        <f t="shared" ca="1" si="142"/>
        <v>0</v>
      </c>
      <c r="H565" s="125">
        <f ca="1">IF(F565=1,F565*$B$10/MIN(12,'Simulador - 3º Pilar'!$E$88),0)</f>
        <v>0</v>
      </c>
      <c r="I565" s="128">
        <f t="shared" ca="1" si="143"/>
        <v>0</v>
      </c>
      <c r="J565" s="494">
        <f t="shared" ca="1" si="144"/>
        <v>0</v>
      </c>
      <c r="K565" s="126">
        <f t="shared" ca="1" si="145"/>
        <v>0</v>
      </c>
      <c r="L565" s="126">
        <f t="shared" ca="1" si="157"/>
        <v>0</v>
      </c>
      <c r="P565">
        <v>558</v>
      </c>
      <c r="Q565" s="6">
        <f t="shared" ca="1" si="146"/>
        <v>35796</v>
      </c>
      <c r="R565" s="7" t="e">
        <f t="shared" ca="1" si="151"/>
        <v>#REF!</v>
      </c>
      <c r="S565" s="125" t="e">
        <f t="shared" ca="1" si="152"/>
        <v>#REF!</v>
      </c>
      <c r="T565" s="125" t="e">
        <f t="shared" ca="1" si="147"/>
        <v>#REF!</v>
      </c>
      <c r="U565" s="128" t="e">
        <f t="shared" ca="1" si="153"/>
        <v>#REF!</v>
      </c>
      <c r="AC565">
        <v>558</v>
      </c>
      <c r="AD565" s="6">
        <f t="shared" ca="1" si="148"/>
        <v>35796</v>
      </c>
      <c r="AE565" s="7" t="e">
        <f t="shared" ca="1" si="154"/>
        <v>#REF!</v>
      </c>
      <c r="AF565" s="125" t="e">
        <f t="shared" ca="1" si="155"/>
        <v>#REF!</v>
      </c>
      <c r="AG565" s="125" t="e">
        <f t="shared" ca="1" si="149"/>
        <v>#REF!</v>
      </c>
      <c r="AH565" s="128" t="e">
        <f t="shared" ca="1" si="156"/>
        <v>#REF!</v>
      </c>
    </row>
    <row r="566" spans="4:34">
      <c r="D566">
        <v>559</v>
      </c>
      <c r="E566" s="6">
        <f t="shared" ca="1" si="141"/>
        <v>35765</v>
      </c>
      <c r="F566" s="7">
        <f t="shared" ca="1" si="150"/>
        <v>0</v>
      </c>
      <c r="G566" s="125">
        <f t="shared" ca="1" si="142"/>
        <v>0</v>
      </c>
      <c r="H566" s="125">
        <f ca="1">IF(F566=1,F566*$B$10/MIN(12,'Simulador - 3º Pilar'!$E$88),0)</f>
        <v>0</v>
      </c>
      <c r="I566" s="128">
        <f t="shared" ca="1" si="143"/>
        <v>0</v>
      </c>
      <c r="J566" s="494">
        <f t="shared" ca="1" si="144"/>
        <v>0</v>
      </c>
      <c r="K566" s="126">
        <f t="shared" ca="1" si="145"/>
        <v>0</v>
      </c>
      <c r="L566" s="126">
        <f t="shared" ca="1" si="157"/>
        <v>0</v>
      </c>
      <c r="P566">
        <v>559</v>
      </c>
      <c r="Q566" s="6">
        <f t="shared" ca="1" si="146"/>
        <v>35765</v>
      </c>
      <c r="R566" s="7" t="e">
        <f t="shared" ca="1" si="151"/>
        <v>#REF!</v>
      </c>
      <c r="S566" s="125" t="e">
        <f t="shared" ca="1" si="152"/>
        <v>#REF!</v>
      </c>
      <c r="T566" s="125" t="e">
        <f t="shared" ca="1" si="147"/>
        <v>#REF!</v>
      </c>
      <c r="U566" s="128" t="e">
        <f t="shared" ca="1" si="153"/>
        <v>#REF!</v>
      </c>
      <c r="AC566">
        <v>559</v>
      </c>
      <c r="AD566" s="6">
        <f t="shared" ca="1" si="148"/>
        <v>35765</v>
      </c>
      <c r="AE566" s="7" t="e">
        <f t="shared" ca="1" si="154"/>
        <v>#REF!</v>
      </c>
      <c r="AF566" s="125" t="e">
        <f t="shared" ca="1" si="155"/>
        <v>#REF!</v>
      </c>
      <c r="AG566" s="125" t="e">
        <f t="shared" ca="1" si="149"/>
        <v>#REF!</v>
      </c>
      <c r="AH566" s="128" t="e">
        <f t="shared" ca="1" si="156"/>
        <v>#REF!</v>
      </c>
    </row>
    <row r="567" spans="4:34">
      <c r="D567">
        <v>560</v>
      </c>
      <c r="E567" s="6">
        <f t="shared" ca="1" si="141"/>
        <v>35735</v>
      </c>
      <c r="F567" s="7">
        <f t="shared" ca="1" si="150"/>
        <v>0</v>
      </c>
      <c r="G567" s="125">
        <f t="shared" ca="1" si="142"/>
        <v>0</v>
      </c>
      <c r="H567" s="125">
        <f ca="1">IF(F567=1,F567*$B$10/MIN(12,'Simulador - 3º Pilar'!$E$88),0)</f>
        <v>0</v>
      </c>
      <c r="I567" s="128">
        <f t="shared" ca="1" si="143"/>
        <v>0</v>
      </c>
      <c r="J567" s="494">
        <f t="shared" ca="1" si="144"/>
        <v>0</v>
      </c>
      <c r="K567" s="126">
        <f t="shared" ca="1" si="145"/>
        <v>0</v>
      </c>
      <c r="L567" s="126">
        <f t="shared" ca="1" si="157"/>
        <v>0</v>
      </c>
      <c r="P567">
        <v>560</v>
      </c>
      <c r="Q567" s="6">
        <f t="shared" ca="1" si="146"/>
        <v>35735</v>
      </c>
      <c r="R567" s="7" t="e">
        <f t="shared" ca="1" si="151"/>
        <v>#REF!</v>
      </c>
      <c r="S567" s="125" t="e">
        <f t="shared" ca="1" si="152"/>
        <v>#REF!</v>
      </c>
      <c r="T567" s="125" t="e">
        <f t="shared" ca="1" si="147"/>
        <v>#REF!</v>
      </c>
      <c r="U567" s="128" t="e">
        <f t="shared" ca="1" si="153"/>
        <v>#REF!</v>
      </c>
      <c r="AC567">
        <v>560</v>
      </c>
      <c r="AD567" s="6">
        <f t="shared" ca="1" si="148"/>
        <v>35735</v>
      </c>
      <c r="AE567" s="7" t="e">
        <f t="shared" ca="1" si="154"/>
        <v>#REF!</v>
      </c>
      <c r="AF567" s="125" t="e">
        <f t="shared" ca="1" si="155"/>
        <v>#REF!</v>
      </c>
      <c r="AG567" s="125" t="e">
        <f t="shared" ca="1" si="149"/>
        <v>#REF!</v>
      </c>
      <c r="AH567" s="128" t="e">
        <f t="shared" ca="1" si="156"/>
        <v>#REF!</v>
      </c>
    </row>
    <row r="568" spans="4:34">
      <c r="D568">
        <v>561</v>
      </c>
      <c r="E568" s="6">
        <f t="shared" ca="1" si="141"/>
        <v>35704</v>
      </c>
      <c r="F568" s="7">
        <f t="shared" ca="1" si="150"/>
        <v>0</v>
      </c>
      <c r="G568" s="125">
        <f t="shared" ca="1" si="142"/>
        <v>0</v>
      </c>
      <c r="H568" s="125">
        <f ca="1">IF(F568=1,F568*$B$10/MIN(12,'Simulador - 3º Pilar'!$E$88),0)</f>
        <v>0</v>
      </c>
      <c r="I568" s="128">
        <f t="shared" ca="1" si="143"/>
        <v>0</v>
      </c>
      <c r="J568" s="494">
        <f t="shared" ca="1" si="144"/>
        <v>0</v>
      </c>
      <c r="K568" s="126">
        <f t="shared" ca="1" si="145"/>
        <v>0</v>
      </c>
      <c r="L568" s="126">
        <f t="shared" ca="1" si="157"/>
        <v>0</v>
      </c>
      <c r="P568">
        <v>561</v>
      </c>
      <c r="Q568" s="6">
        <f t="shared" ca="1" si="146"/>
        <v>35704</v>
      </c>
      <c r="R568" s="7" t="e">
        <f t="shared" ca="1" si="151"/>
        <v>#REF!</v>
      </c>
      <c r="S568" s="125" t="e">
        <f t="shared" ca="1" si="152"/>
        <v>#REF!</v>
      </c>
      <c r="T568" s="125" t="e">
        <f t="shared" ca="1" si="147"/>
        <v>#REF!</v>
      </c>
      <c r="U568" s="128" t="e">
        <f t="shared" ca="1" si="153"/>
        <v>#REF!</v>
      </c>
      <c r="AC568">
        <v>561</v>
      </c>
      <c r="AD568" s="6">
        <f t="shared" ca="1" si="148"/>
        <v>35704</v>
      </c>
      <c r="AE568" s="7" t="e">
        <f t="shared" ca="1" si="154"/>
        <v>#REF!</v>
      </c>
      <c r="AF568" s="125" t="e">
        <f t="shared" ca="1" si="155"/>
        <v>#REF!</v>
      </c>
      <c r="AG568" s="125" t="e">
        <f t="shared" ca="1" si="149"/>
        <v>#REF!</v>
      </c>
      <c r="AH568" s="128" t="e">
        <f t="shared" ca="1" si="156"/>
        <v>#REF!</v>
      </c>
    </row>
    <row r="569" spans="4:34">
      <c r="D569">
        <v>562</v>
      </c>
      <c r="E569" s="6">
        <f t="shared" ca="1" si="141"/>
        <v>35674</v>
      </c>
      <c r="F569" s="7">
        <f t="shared" ca="1" si="150"/>
        <v>0</v>
      </c>
      <c r="G569" s="125">
        <f t="shared" ca="1" si="142"/>
        <v>0</v>
      </c>
      <c r="H569" s="125">
        <f ca="1">IF(F569=1,F569*$B$10/MIN(12,'Simulador - 3º Pilar'!$E$88),0)</f>
        <v>0</v>
      </c>
      <c r="I569" s="128">
        <f t="shared" ca="1" si="143"/>
        <v>0</v>
      </c>
      <c r="J569" s="494">
        <f t="shared" ca="1" si="144"/>
        <v>0</v>
      </c>
      <c r="K569" s="126">
        <f t="shared" ca="1" si="145"/>
        <v>0</v>
      </c>
      <c r="L569" s="126">
        <f t="shared" ca="1" si="157"/>
        <v>0</v>
      </c>
      <c r="P569">
        <v>562</v>
      </c>
      <c r="Q569" s="6">
        <f t="shared" ca="1" si="146"/>
        <v>35674</v>
      </c>
      <c r="R569" s="7" t="e">
        <f t="shared" ca="1" si="151"/>
        <v>#REF!</v>
      </c>
      <c r="S569" s="125" t="e">
        <f t="shared" ca="1" si="152"/>
        <v>#REF!</v>
      </c>
      <c r="T569" s="125" t="e">
        <f t="shared" ca="1" si="147"/>
        <v>#REF!</v>
      </c>
      <c r="U569" s="128" t="e">
        <f t="shared" ca="1" si="153"/>
        <v>#REF!</v>
      </c>
      <c r="AC569">
        <v>562</v>
      </c>
      <c r="AD569" s="6">
        <f t="shared" ca="1" si="148"/>
        <v>35674</v>
      </c>
      <c r="AE569" s="7" t="e">
        <f t="shared" ca="1" si="154"/>
        <v>#REF!</v>
      </c>
      <c r="AF569" s="125" t="e">
        <f t="shared" ca="1" si="155"/>
        <v>#REF!</v>
      </c>
      <c r="AG569" s="125" t="e">
        <f t="shared" ca="1" si="149"/>
        <v>#REF!</v>
      </c>
      <c r="AH569" s="128" t="e">
        <f t="shared" ca="1" si="156"/>
        <v>#REF!</v>
      </c>
    </row>
    <row r="570" spans="4:34">
      <c r="D570">
        <v>563</v>
      </c>
      <c r="E570" s="6">
        <f t="shared" ca="1" si="141"/>
        <v>35643</v>
      </c>
      <c r="F570" s="7">
        <f t="shared" ca="1" si="150"/>
        <v>0</v>
      </c>
      <c r="G570" s="125">
        <f t="shared" ca="1" si="142"/>
        <v>0</v>
      </c>
      <c r="H570" s="125">
        <f ca="1">IF(F570=1,F570*$B$10/MIN(12,'Simulador - 3º Pilar'!$E$88),0)</f>
        <v>0</v>
      </c>
      <c r="I570" s="128">
        <f t="shared" ca="1" si="143"/>
        <v>0</v>
      </c>
      <c r="J570" s="494">
        <f t="shared" ca="1" si="144"/>
        <v>0</v>
      </c>
      <c r="K570" s="126">
        <f t="shared" ca="1" si="145"/>
        <v>0</v>
      </c>
      <c r="L570" s="126">
        <f t="shared" ca="1" si="157"/>
        <v>0</v>
      </c>
      <c r="P570">
        <v>563</v>
      </c>
      <c r="Q570" s="6">
        <f t="shared" ca="1" si="146"/>
        <v>35643</v>
      </c>
      <c r="R570" s="7" t="e">
        <f t="shared" ca="1" si="151"/>
        <v>#REF!</v>
      </c>
      <c r="S570" s="125" t="e">
        <f t="shared" ca="1" si="152"/>
        <v>#REF!</v>
      </c>
      <c r="T570" s="125" t="e">
        <f t="shared" ca="1" si="147"/>
        <v>#REF!</v>
      </c>
      <c r="U570" s="128" t="e">
        <f t="shared" ca="1" si="153"/>
        <v>#REF!</v>
      </c>
      <c r="AC570">
        <v>563</v>
      </c>
      <c r="AD570" s="6">
        <f t="shared" ca="1" si="148"/>
        <v>35643</v>
      </c>
      <c r="AE570" s="7" t="e">
        <f t="shared" ca="1" si="154"/>
        <v>#REF!</v>
      </c>
      <c r="AF570" s="125" t="e">
        <f t="shared" ca="1" si="155"/>
        <v>#REF!</v>
      </c>
      <c r="AG570" s="125" t="e">
        <f t="shared" ca="1" si="149"/>
        <v>#REF!</v>
      </c>
      <c r="AH570" s="128" t="e">
        <f t="shared" ca="1" si="156"/>
        <v>#REF!</v>
      </c>
    </row>
    <row r="571" spans="4:34">
      <c r="D571">
        <v>564</v>
      </c>
      <c r="E571" s="6">
        <f t="shared" ca="1" si="141"/>
        <v>35612</v>
      </c>
      <c r="F571" s="7">
        <f t="shared" ca="1" si="150"/>
        <v>0</v>
      </c>
      <c r="G571" s="125">
        <f t="shared" ca="1" si="142"/>
        <v>0</v>
      </c>
      <c r="H571" s="125">
        <f ca="1">IF(F571=1,F571*$B$10/MIN(12,'Simulador - 3º Pilar'!$E$88),0)</f>
        <v>0</v>
      </c>
      <c r="I571" s="128">
        <f t="shared" ca="1" si="143"/>
        <v>0</v>
      </c>
      <c r="J571" s="494">
        <f t="shared" ca="1" si="144"/>
        <v>0</v>
      </c>
      <c r="K571" s="126">
        <f t="shared" ca="1" si="145"/>
        <v>0</v>
      </c>
      <c r="L571" s="126">
        <f t="shared" ca="1" si="157"/>
        <v>0</v>
      </c>
      <c r="P571">
        <v>564</v>
      </c>
      <c r="Q571" s="6">
        <f t="shared" ca="1" si="146"/>
        <v>35612</v>
      </c>
      <c r="R571" s="7" t="e">
        <f t="shared" ca="1" si="151"/>
        <v>#REF!</v>
      </c>
      <c r="S571" s="125" t="e">
        <f t="shared" ca="1" si="152"/>
        <v>#REF!</v>
      </c>
      <c r="T571" s="125" t="e">
        <f t="shared" ca="1" si="147"/>
        <v>#REF!</v>
      </c>
      <c r="U571" s="128" t="e">
        <f t="shared" ca="1" si="153"/>
        <v>#REF!</v>
      </c>
      <c r="AC571">
        <v>564</v>
      </c>
      <c r="AD571" s="6">
        <f t="shared" ca="1" si="148"/>
        <v>35612</v>
      </c>
      <c r="AE571" s="7" t="e">
        <f t="shared" ca="1" si="154"/>
        <v>#REF!</v>
      </c>
      <c r="AF571" s="125" t="e">
        <f t="shared" ca="1" si="155"/>
        <v>#REF!</v>
      </c>
      <c r="AG571" s="125" t="e">
        <f t="shared" ca="1" si="149"/>
        <v>#REF!</v>
      </c>
      <c r="AH571" s="128" t="e">
        <f t="shared" ca="1" si="156"/>
        <v>#REF!</v>
      </c>
    </row>
    <row r="572" spans="4:34">
      <c r="D572">
        <v>565</v>
      </c>
      <c r="E572" s="6">
        <f t="shared" ca="1" si="141"/>
        <v>35582</v>
      </c>
      <c r="F572" s="7">
        <f t="shared" ca="1" si="150"/>
        <v>0</v>
      </c>
      <c r="G572" s="125">
        <f t="shared" ca="1" si="142"/>
        <v>0</v>
      </c>
      <c r="H572" s="125">
        <f ca="1">IF(F572=1,F572*$B$10/MIN(12,'Simulador - 3º Pilar'!$E$88),0)</f>
        <v>0</v>
      </c>
      <c r="I572" s="128">
        <f t="shared" ca="1" si="143"/>
        <v>0</v>
      </c>
      <c r="J572" s="494">
        <f t="shared" ca="1" si="144"/>
        <v>0</v>
      </c>
      <c r="K572" s="126">
        <f t="shared" ca="1" si="145"/>
        <v>0</v>
      </c>
      <c r="L572" s="126">
        <f t="shared" ca="1" si="157"/>
        <v>0</v>
      </c>
      <c r="P572">
        <v>565</v>
      </c>
      <c r="Q572" s="6">
        <f t="shared" ca="1" si="146"/>
        <v>35582</v>
      </c>
      <c r="R572" s="7" t="e">
        <f t="shared" ca="1" si="151"/>
        <v>#REF!</v>
      </c>
      <c r="S572" s="125" t="e">
        <f t="shared" ca="1" si="152"/>
        <v>#REF!</v>
      </c>
      <c r="T572" s="125" t="e">
        <f t="shared" ca="1" si="147"/>
        <v>#REF!</v>
      </c>
      <c r="U572" s="128" t="e">
        <f t="shared" ca="1" si="153"/>
        <v>#REF!</v>
      </c>
      <c r="AC572">
        <v>565</v>
      </c>
      <c r="AD572" s="6">
        <f t="shared" ca="1" si="148"/>
        <v>35582</v>
      </c>
      <c r="AE572" s="7" t="e">
        <f t="shared" ca="1" si="154"/>
        <v>#REF!</v>
      </c>
      <c r="AF572" s="125" t="e">
        <f t="shared" ca="1" si="155"/>
        <v>#REF!</v>
      </c>
      <c r="AG572" s="125" t="e">
        <f t="shared" ca="1" si="149"/>
        <v>#REF!</v>
      </c>
      <c r="AH572" s="128" t="e">
        <f t="shared" ca="1" si="156"/>
        <v>#REF!</v>
      </c>
    </row>
    <row r="573" spans="4:34">
      <c r="D573">
        <v>566</v>
      </c>
      <c r="E573" s="6">
        <f t="shared" ca="1" si="141"/>
        <v>35551</v>
      </c>
      <c r="F573" s="7">
        <f t="shared" ca="1" si="150"/>
        <v>0</v>
      </c>
      <c r="G573" s="125">
        <f t="shared" ca="1" si="142"/>
        <v>0</v>
      </c>
      <c r="H573" s="125">
        <f ca="1">IF(F573=1,F573*$B$10/MIN(12,'Simulador - 3º Pilar'!$E$88),0)</f>
        <v>0</v>
      </c>
      <c r="I573" s="128">
        <f t="shared" ca="1" si="143"/>
        <v>0</v>
      </c>
      <c r="J573" s="494">
        <f t="shared" ca="1" si="144"/>
        <v>0</v>
      </c>
      <c r="K573" s="126">
        <f t="shared" ca="1" si="145"/>
        <v>0</v>
      </c>
      <c r="L573" s="126">
        <f t="shared" ca="1" si="157"/>
        <v>0</v>
      </c>
      <c r="P573">
        <v>566</v>
      </c>
      <c r="Q573" s="6">
        <f t="shared" ca="1" si="146"/>
        <v>35551</v>
      </c>
      <c r="R573" s="7" t="e">
        <f t="shared" ca="1" si="151"/>
        <v>#REF!</v>
      </c>
      <c r="S573" s="125" t="e">
        <f t="shared" ca="1" si="152"/>
        <v>#REF!</v>
      </c>
      <c r="T573" s="125" t="e">
        <f t="shared" ca="1" si="147"/>
        <v>#REF!</v>
      </c>
      <c r="U573" s="128" t="e">
        <f t="shared" ca="1" si="153"/>
        <v>#REF!</v>
      </c>
      <c r="AC573">
        <v>566</v>
      </c>
      <c r="AD573" s="6">
        <f t="shared" ca="1" si="148"/>
        <v>35551</v>
      </c>
      <c r="AE573" s="7" t="e">
        <f t="shared" ca="1" si="154"/>
        <v>#REF!</v>
      </c>
      <c r="AF573" s="125" t="e">
        <f t="shared" ca="1" si="155"/>
        <v>#REF!</v>
      </c>
      <c r="AG573" s="125" t="e">
        <f t="shared" ca="1" si="149"/>
        <v>#REF!</v>
      </c>
      <c r="AH573" s="128" t="e">
        <f t="shared" ca="1" si="156"/>
        <v>#REF!</v>
      </c>
    </row>
    <row r="574" spans="4:34">
      <c r="D574">
        <v>567</v>
      </c>
      <c r="E574" s="6">
        <f t="shared" ca="1" si="141"/>
        <v>35521</v>
      </c>
      <c r="F574" s="7">
        <f t="shared" ca="1" si="150"/>
        <v>0</v>
      </c>
      <c r="G574" s="125">
        <f t="shared" ca="1" si="142"/>
        <v>0</v>
      </c>
      <c r="H574" s="125">
        <f ca="1">IF(F574=1,F574*$B$10/MIN(12,'Simulador - 3º Pilar'!$E$88),0)</f>
        <v>0</v>
      </c>
      <c r="I574" s="128">
        <f t="shared" ca="1" si="143"/>
        <v>0</v>
      </c>
      <c r="J574" s="494">
        <f t="shared" ca="1" si="144"/>
        <v>0</v>
      </c>
      <c r="K574" s="126">
        <f t="shared" ca="1" si="145"/>
        <v>0</v>
      </c>
      <c r="L574" s="126">
        <f t="shared" ca="1" si="157"/>
        <v>0</v>
      </c>
      <c r="P574">
        <v>567</v>
      </c>
      <c r="Q574" s="6">
        <f t="shared" ca="1" si="146"/>
        <v>35521</v>
      </c>
      <c r="R574" s="7" t="e">
        <f t="shared" ca="1" si="151"/>
        <v>#REF!</v>
      </c>
      <c r="S574" s="125" t="e">
        <f t="shared" ca="1" si="152"/>
        <v>#REF!</v>
      </c>
      <c r="T574" s="125" t="e">
        <f t="shared" ca="1" si="147"/>
        <v>#REF!</v>
      </c>
      <c r="U574" s="128" t="e">
        <f t="shared" ca="1" si="153"/>
        <v>#REF!</v>
      </c>
      <c r="AC574">
        <v>567</v>
      </c>
      <c r="AD574" s="6">
        <f t="shared" ca="1" si="148"/>
        <v>35521</v>
      </c>
      <c r="AE574" s="7" t="e">
        <f t="shared" ca="1" si="154"/>
        <v>#REF!</v>
      </c>
      <c r="AF574" s="125" t="e">
        <f t="shared" ca="1" si="155"/>
        <v>#REF!</v>
      </c>
      <c r="AG574" s="125" t="e">
        <f t="shared" ca="1" si="149"/>
        <v>#REF!</v>
      </c>
      <c r="AH574" s="128" t="e">
        <f t="shared" ca="1" si="156"/>
        <v>#REF!</v>
      </c>
    </row>
    <row r="575" spans="4:34">
      <c r="D575">
        <v>568</v>
      </c>
      <c r="E575" s="6">
        <f t="shared" ca="1" si="141"/>
        <v>35490</v>
      </c>
      <c r="F575" s="7">
        <f t="shared" ca="1" si="150"/>
        <v>0</v>
      </c>
      <c r="G575" s="125">
        <f t="shared" ca="1" si="142"/>
        <v>0</v>
      </c>
      <c r="H575" s="125">
        <f ca="1">IF(F575=1,F575*$B$10/MIN(12,'Simulador - 3º Pilar'!$E$88),0)</f>
        <v>0</v>
      </c>
      <c r="I575" s="128">
        <f t="shared" ca="1" si="143"/>
        <v>0</v>
      </c>
      <c r="J575" s="494">
        <f t="shared" ca="1" si="144"/>
        <v>0</v>
      </c>
      <c r="K575" s="126">
        <f t="shared" ca="1" si="145"/>
        <v>0</v>
      </c>
      <c r="L575" s="126">
        <f t="shared" ca="1" si="157"/>
        <v>0</v>
      </c>
      <c r="P575">
        <v>568</v>
      </c>
      <c r="Q575" s="6">
        <f t="shared" ca="1" si="146"/>
        <v>35490</v>
      </c>
      <c r="R575" s="7" t="e">
        <f t="shared" ca="1" si="151"/>
        <v>#REF!</v>
      </c>
      <c r="S575" s="125" t="e">
        <f t="shared" ca="1" si="152"/>
        <v>#REF!</v>
      </c>
      <c r="T575" s="125" t="e">
        <f t="shared" ca="1" si="147"/>
        <v>#REF!</v>
      </c>
      <c r="U575" s="128" t="e">
        <f t="shared" ca="1" si="153"/>
        <v>#REF!</v>
      </c>
      <c r="AC575">
        <v>568</v>
      </c>
      <c r="AD575" s="6">
        <f t="shared" ca="1" si="148"/>
        <v>35490</v>
      </c>
      <c r="AE575" s="7" t="e">
        <f t="shared" ca="1" si="154"/>
        <v>#REF!</v>
      </c>
      <c r="AF575" s="125" t="e">
        <f t="shared" ca="1" si="155"/>
        <v>#REF!</v>
      </c>
      <c r="AG575" s="125" t="e">
        <f t="shared" ca="1" si="149"/>
        <v>#REF!</v>
      </c>
      <c r="AH575" s="128" t="e">
        <f t="shared" ca="1" si="156"/>
        <v>#REF!</v>
      </c>
    </row>
    <row r="576" spans="4:34">
      <c r="D576">
        <v>569</v>
      </c>
      <c r="E576" s="6">
        <f t="shared" ca="1" si="141"/>
        <v>35462</v>
      </c>
      <c r="F576" s="7">
        <f t="shared" ca="1" si="150"/>
        <v>0</v>
      </c>
      <c r="G576" s="125">
        <f t="shared" ca="1" si="142"/>
        <v>0</v>
      </c>
      <c r="H576" s="125">
        <f ca="1">IF(F576=1,F576*$B$10/MIN(12,'Simulador - 3º Pilar'!$E$88),0)</f>
        <v>0</v>
      </c>
      <c r="I576" s="128">
        <f t="shared" ca="1" si="143"/>
        <v>0</v>
      </c>
      <c r="J576" s="494">
        <f t="shared" ca="1" si="144"/>
        <v>0</v>
      </c>
      <c r="K576" s="126">
        <f t="shared" ca="1" si="145"/>
        <v>0</v>
      </c>
      <c r="L576" s="126">
        <f t="shared" ca="1" si="157"/>
        <v>0</v>
      </c>
      <c r="P576">
        <v>569</v>
      </c>
      <c r="Q576" s="6">
        <f t="shared" ca="1" si="146"/>
        <v>35462</v>
      </c>
      <c r="R576" s="7" t="e">
        <f t="shared" ca="1" si="151"/>
        <v>#REF!</v>
      </c>
      <c r="S576" s="125" t="e">
        <f t="shared" ca="1" si="152"/>
        <v>#REF!</v>
      </c>
      <c r="T576" s="125" t="e">
        <f t="shared" ca="1" si="147"/>
        <v>#REF!</v>
      </c>
      <c r="U576" s="128" t="e">
        <f t="shared" ca="1" si="153"/>
        <v>#REF!</v>
      </c>
      <c r="AC576">
        <v>569</v>
      </c>
      <c r="AD576" s="6">
        <f t="shared" ca="1" si="148"/>
        <v>35462</v>
      </c>
      <c r="AE576" s="7" t="e">
        <f t="shared" ca="1" si="154"/>
        <v>#REF!</v>
      </c>
      <c r="AF576" s="125" t="e">
        <f t="shared" ca="1" si="155"/>
        <v>#REF!</v>
      </c>
      <c r="AG576" s="125" t="e">
        <f t="shared" ca="1" si="149"/>
        <v>#REF!</v>
      </c>
      <c r="AH576" s="128" t="e">
        <f t="shared" ca="1" si="156"/>
        <v>#REF!</v>
      </c>
    </row>
    <row r="577" spans="4:34">
      <c r="D577">
        <v>570</v>
      </c>
      <c r="E577" s="6">
        <f t="shared" ca="1" si="141"/>
        <v>35431</v>
      </c>
      <c r="F577" s="7">
        <f t="shared" ca="1" si="150"/>
        <v>0</v>
      </c>
      <c r="G577" s="125">
        <f t="shared" ca="1" si="142"/>
        <v>0</v>
      </c>
      <c r="H577" s="125">
        <f ca="1">IF(F577=1,F577*$B$10/MIN(12,'Simulador - 3º Pilar'!$E$88),0)</f>
        <v>0</v>
      </c>
      <c r="I577" s="128">
        <f t="shared" ca="1" si="143"/>
        <v>0</v>
      </c>
      <c r="J577" s="494">
        <f t="shared" ca="1" si="144"/>
        <v>0</v>
      </c>
      <c r="K577" s="126">
        <f t="shared" ca="1" si="145"/>
        <v>0</v>
      </c>
      <c r="L577" s="126">
        <f t="shared" ca="1" si="157"/>
        <v>0</v>
      </c>
      <c r="P577">
        <v>570</v>
      </c>
      <c r="Q577" s="6">
        <f t="shared" ca="1" si="146"/>
        <v>35431</v>
      </c>
      <c r="R577" s="7" t="e">
        <f t="shared" ca="1" si="151"/>
        <v>#REF!</v>
      </c>
      <c r="S577" s="125" t="e">
        <f t="shared" ca="1" si="152"/>
        <v>#REF!</v>
      </c>
      <c r="T577" s="125" t="e">
        <f t="shared" ca="1" si="147"/>
        <v>#REF!</v>
      </c>
      <c r="U577" s="128" t="e">
        <f t="shared" ca="1" si="153"/>
        <v>#REF!</v>
      </c>
      <c r="AC577">
        <v>570</v>
      </c>
      <c r="AD577" s="6">
        <f t="shared" ca="1" si="148"/>
        <v>35431</v>
      </c>
      <c r="AE577" s="7" t="e">
        <f t="shared" ca="1" si="154"/>
        <v>#REF!</v>
      </c>
      <c r="AF577" s="125" t="e">
        <f t="shared" ca="1" si="155"/>
        <v>#REF!</v>
      </c>
      <c r="AG577" s="125" t="e">
        <f t="shared" ca="1" si="149"/>
        <v>#REF!</v>
      </c>
      <c r="AH577" s="128" t="e">
        <f t="shared" ca="1" si="156"/>
        <v>#REF!</v>
      </c>
    </row>
    <row r="578" spans="4:34">
      <c r="D578">
        <v>571</v>
      </c>
      <c r="E578" s="6">
        <f t="shared" ca="1" si="141"/>
        <v>35400</v>
      </c>
      <c r="F578" s="7">
        <f t="shared" ca="1" si="150"/>
        <v>0</v>
      </c>
      <c r="G578" s="125">
        <f t="shared" ca="1" si="142"/>
        <v>0</v>
      </c>
      <c r="H578" s="125">
        <f ca="1">IF(F578=1,F578*$B$10/MIN(12,'Simulador - 3º Pilar'!$E$88),0)</f>
        <v>0</v>
      </c>
      <c r="I578" s="128">
        <f t="shared" ca="1" si="143"/>
        <v>0</v>
      </c>
      <c r="J578" s="494">
        <f t="shared" ca="1" si="144"/>
        <v>0</v>
      </c>
      <c r="K578" s="126">
        <f t="shared" ca="1" si="145"/>
        <v>0</v>
      </c>
      <c r="L578" s="126">
        <f t="shared" ca="1" si="157"/>
        <v>0</v>
      </c>
      <c r="P578">
        <v>571</v>
      </c>
      <c r="Q578" s="6">
        <f t="shared" ca="1" si="146"/>
        <v>35400</v>
      </c>
      <c r="R578" s="7" t="e">
        <f t="shared" ca="1" si="151"/>
        <v>#REF!</v>
      </c>
      <c r="S578" s="125" t="e">
        <f t="shared" ca="1" si="152"/>
        <v>#REF!</v>
      </c>
      <c r="T578" s="125" t="e">
        <f t="shared" ca="1" si="147"/>
        <v>#REF!</v>
      </c>
      <c r="U578" s="128" t="e">
        <f t="shared" ca="1" si="153"/>
        <v>#REF!</v>
      </c>
      <c r="AC578">
        <v>571</v>
      </c>
      <c r="AD578" s="6">
        <f t="shared" ca="1" si="148"/>
        <v>35400</v>
      </c>
      <c r="AE578" s="7" t="e">
        <f t="shared" ca="1" si="154"/>
        <v>#REF!</v>
      </c>
      <c r="AF578" s="125" t="e">
        <f t="shared" ca="1" si="155"/>
        <v>#REF!</v>
      </c>
      <c r="AG578" s="125" t="e">
        <f t="shared" ca="1" si="149"/>
        <v>#REF!</v>
      </c>
      <c r="AH578" s="128" t="e">
        <f t="shared" ca="1" si="156"/>
        <v>#REF!</v>
      </c>
    </row>
    <row r="579" spans="4:34">
      <c r="D579">
        <v>572</v>
      </c>
      <c r="E579" s="6">
        <f t="shared" ca="1" si="141"/>
        <v>35370</v>
      </c>
      <c r="F579" s="7">
        <f t="shared" ca="1" si="150"/>
        <v>0</v>
      </c>
      <c r="G579" s="125">
        <f t="shared" ca="1" si="142"/>
        <v>0</v>
      </c>
      <c r="H579" s="125">
        <f ca="1">IF(F579=1,F579*$B$10/MIN(12,'Simulador - 3º Pilar'!$E$88),0)</f>
        <v>0</v>
      </c>
      <c r="I579" s="128">
        <f t="shared" ca="1" si="143"/>
        <v>0</v>
      </c>
      <c r="J579" s="494">
        <f t="shared" ca="1" si="144"/>
        <v>0</v>
      </c>
      <c r="K579" s="126">
        <f t="shared" ca="1" si="145"/>
        <v>0</v>
      </c>
      <c r="L579" s="126">
        <f t="shared" ca="1" si="157"/>
        <v>0</v>
      </c>
      <c r="P579">
        <v>572</v>
      </c>
      <c r="Q579" s="6">
        <f t="shared" ca="1" si="146"/>
        <v>35370</v>
      </c>
      <c r="R579" s="7" t="e">
        <f t="shared" ca="1" si="151"/>
        <v>#REF!</v>
      </c>
      <c r="S579" s="125" t="e">
        <f t="shared" ca="1" si="152"/>
        <v>#REF!</v>
      </c>
      <c r="T579" s="125" t="e">
        <f t="shared" ca="1" si="147"/>
        <v>#REF!</v>
      </c>
      <c r="U579" s="128" t="e">
        <f t="shared" ca="1" si="153"/>
        <v>#REF!</v>
      </c>
      <c r="AC579">
        <v>572</v>
      </c>
      <c r="AD579" s="6">
        <f t="shared" ca="1" si="148"/>
        <v>35370</v>
      </c>
      <c r="AE579" s="7" t="e">
        <f t="shared" ca="1" si="154"/>
        <v>#REF!</v>
      </c>
      <c r="AF579" s="125" t="e">
        <f t="shared" ca="1" si="155"/>
        <v>#REF!</v>
      </c>
      <c r="AG579" s="125" t="e">
        <f t="shared" ca="1" si="149"/>
        <v>#REF!</v>
      </c>
      <c r="AH579" s="128" t="e">
        <f t="shared" ca="1" si="156"/>
        <v>#REF!</v>
      </c>
    </row>
    <row r="580" spans="4:34">
      <c r="D580">
        <v>573</v>
      </c>
      <c r="E580" s="6">
        <f t="shared" ca="1" si="141"/>
        <v>35339</v>
      </c>
      <c r="F580" s="7">
        <f t="shared" ca="1" si="150"/>
        <v>0</v>
      </c>
      <c r="G580" s="125">
        <f t="shared" ca="1" si="142"/>
        <v>0</v>
      </c>
      <c r="H580" s="125">
        <f ca="1">IF(F580=1,F580*$B$10/MIN(12,'Simulador - 3º Pilar'!$E$88),0)</f>
        <v>0</v>
      </c>
      <c r="I580" s="128">
        <f t="shared" ca="1" si="143"/>
        <v>0</v>
      </c>
      <c r="J580" s="494">
        <f t="shared" ca="1" si="144"/>
        <v>0</v>
      </c>
      <c r="K580" s="126">
        <f t="shared" ca="1" si="145"/>
        <v>0</v>
      </c>
      <c r="L580" s="126">
        <f t="shared" ca="1" si="157"/>
        <v>0</v>
      </c>
      <c r="P580">
        <v>573</v>
      </c>
      <c r="Q580" s="6">
        <f t="shared" ca="1" si="146"/>
        <v>35339</v>
      </c>
      <c r="R580" s="7" t="e">
        <f t="shared" ca="1" si="151"/>
        <v>#REF!</v>
      </c>
      <c r="S580" s="125" t="e">
        <f t="shared" ca="1" si="152"/>
        <v>#REF!</v>
      </c>
      <c r="T580" s="125" t="e">
        <f t="shared" ca="1" si="147"/>
        <v>#REF!</v>
      </c>
      <c r="U580" s="128" t="e">
        <f t="shared" ca="1" si="153"/>
        <v>#REF!</v>
      </c>
      <c r="AC580">
        <v>573</v>
      </c>
      <c r="AD580" s="6">
        <f t="shared" ca="1" si="148"/>
        <v>35339</v>
      </c>
      <c r="AE580" s="7" t="e">
        <f t="shared" ca="1" si="154"/>
        <v>#REF!</v>
      </c>
      <c r="AF580" s="125" t="e">
        <f t="shared" ca="1" si="155"/>
        <v>#REF!</v>
      </c>
      <c r="AG580" s="125" t="e">
        <f t="shared" ca="1" si="149"/>
        <v>#REF!</v>
      </c>
      <c r="AH580" s="128" t="e">
        <f t="shared" ca="1" si="156"/>
        <v>#REF!</v>
      </c>
    </row>
    <row r="581" spans="4:34">
      <c r="D581">
        <v>574</v>
      </c>
      <c r="E581" s="6">
        <f t="shared" ca="1" si="141"/>
        <v>35309</v>
      </c>
      <c r="F581" s="7">
        <f t="shared" ca="1" si="150"/>
        <v>0</v>
      </c>
      <c r="G581" s="125">
        <f t="shared" ca="1" si="142"/>
        <v>0</v>
      </c>
      <c r="H581" s="125">
        <f ca="1">IF(F581=1,F581*$B$10/MIN(12,'Simulador - 3º Pilar'!$E$88),0)</f>
        <v>0</v>
      </c>
      <c r="I581" s="128">
        <f t="shared" ca="1" si="143"/>
        <v>0</v>
      </c>
      <c r="J581" s="494">
        <f t="shared" ca="1" si="144"/>
        <v>0</v>
      </c>
      <c r="K581" s="126">
        <f t="shared" ca="1" si="145"/>
        <v>0</v>
      </c>
      <c r="L581" s="126">
        <f t="shared" ca="1" si="157"/>
        <v>0</v>
      </c>
      <c r="P581">
        <v>574</v>
      </c>
      <c r="Q581" s="6">
        <f t="shared" ca="1" si="146"/>
        <v>35309</v>
      </c>
      <c r="R581" s="7" t="e">
        <f t="shared" ca="1" si="151"/>
        <v>#REF!</v>
      </c>
      <c r="S581" s="125" t="e">
        <f t="shared" ca="1" si="152"/>
        <v>#REF!</v>
      </c>
      <c r="T581" s="125" t="e">
        <f t="shared" ca="1" si="147"/>
        <v>#REF!</v>
      </c>
      <c r="U581" s="128" t="e">
        <f t="shared" ca="1" si="153"/>
        <v>#REF!</v>
      </c>
      <c r="AC581">
        <v>574</v>
      </c>
      <c r="AD581" s="6">
        <f t="shared" ca="1" si="148"/>
        <v>35309</v>
      </c>
      <c r="AE581" s="7" t="e">
        <f t="shared" ca="1" si="154"/>
        <v>#REF!</v>
      </c>
      <c r="AF581" s="125" t="e">
        <f t="shared" ca="1" si="155"/>
        <v>#REF!</v>
      </c>
      <c r="AG581" s="125" t="e">
        <f t="shared" ca="1" si="149"/>
        <v>#REF!</v>
      </c>
      <c r="AH581" s="128" t="e">
        <f t="shared" ca="1" si="156"/>
        <v>#REF!</v>
      </c>
    </row>
    <row r="582" spans="4:34">
      <c r="D582">
        <v>575</v>
      </c>
      <c r="E582" s="6">
        <f t="shared" ca="1" si="141"/>
        <v>35278</v>
      </c>
      <c r="F582" s="7">
        <f t="shared" ca="1" si="150"/>
        <v>0</v>
      </c>
      <c r="G582" s="125">
        <f t="shared" ca="1" si="142"/>
        <v>0</v>
      </c>
      <c r="H582" s="125">
        <f ca="1">IF(F582=1,F582*$B$10/MIN(12,'Simulador - 3º Pilar'!$E$88),0)</f>
        <v>0</v>
      </c>
      <c r="I582" s="128">
        <f t="shared" ca="1" si="143"/>
        <v>0</v>
      </c>
      <c r="J582" s="494">
        <f t="shared" ca="1" si="144"/>
        <v>0</v>
      </c>
      <c r="K582" s="126">
        <f t="shared" ca="1" si="145"/>
        <v>0</v>
      </c>
      <c r="L582" s="126">
        <f t="shared" ca="1" si="157"/>
        <v>0</v>
      </c>
      <c r="P582">
        <v>575</v>
      </c>
      <c r="Q582" s="6">
        <f t="shared" ca="1" si="146"/>
        <v>35278</v>
      </c>
      <c r="R582" s="7" t="e">
        <f t="shared" ca="1" si="151"/>
        <v>#REF!</v>
      </c>
      <c r="S582" s="125" t="e">
        <f t="shared" ca="1" si="152"/>
        <v>#REF!</v>
      </c>
      <c r="T582" s="125" t="e">
        <f t="shared" ca="1" si="147"/>
        <v>#REF!</v>
      </c>
      <c r="U582" s="128" t="e">
        <f t="shared" ca="1" si="153"/>
        <v>#REF!</v>
      </c>
      <c r="AC582">
        <v>575</v>
      </c>
      <c r="AD582" s="6">
        <f t="shared" ca="1" si="148"/>
        <v>35278</v>
      </c>
      <c r="AE582" s="7" t="e">
        <f t="shared" ca="1" si="154"/>
        <v>#REF!</v>
      </c>
      <c r="AF582" s="125" t="e">
        <f t="shared" ca="1" si="155"/>
        <v>#REF!</v>
      </c>
      <c r="AG582" s="125" t="e">
        <f t="shared" ca="1" si="149"/>
        <v>#REF!</v>
      </c>
      <c r="AH582" s="128" t="e">
        <f t="shared" ca="1" si="156"/>
        <v>#REF!</v>
      </c>
    </row>
    <row r="583" spans="4:34">
      <c r="D583">
        <v>576</v>
      </c>
      <c r="E583" s="6">
        <f t="shared" ca="1" si="141"/>
        <v>35247</v>
      </c>
      <c r="F583" s="7">
        <f t="shared" ca="1" si="150"/>
        <v>0</v>
      </c>
      <c r="G583" s="125">
        <f t="shared" ca="1" si="142"/>
        <v>0</v>
      </c>
      <c r="H583" s="125">
        <f ca="1">IF(F583=1,F583*$B$10/MIN(12,'Simulador - 3º Pilar'!$E$88),0)</f>
        <v>0</v>
      </c>
      <c r="I583" s="128">
        <f t="shared" ca="1" si="143"/>
        <v>0</v>
      </c>
      <c r="J583" s="494">
        <f t="shared" ca="1" si="144"/>
        <v>0</v>
      </c>
      <c r="K583" s="126">
        <f t="shared" ca="1" si="145"/>
        <v>0</v>
      </c>
      <c r="L583" s="126">
        <f t="shared" ca="1" si="157"/>
        <v>0</v>
      </c>
      <c r="P583">
        <v>576</v>
      </c>
      <c r="Q583" s="6">
        <f t="shared" ca="1" si="146"/>
        <v>35247</v>
      </c>
      <c r="R583" s="7" t="e">
        <f t="shared" ca="1" si="151"/>
        <v>#REF!</v>
      </c>
      <c r="S583" s="125" t="e">
        <f t="shared" ca="1" si="152"/>
        <v>#REF!</v>
      </c>
      <c r="T583" s="125" t="e">
        <f t="shared" ca="1" si="147"/>
        <v>#REF!</v>
      </c>
      <c r="U583" s="128" t="e">
        <f t="shared" ca="1" si="153"/>
        <v>#REF!</v>
      </c>
      <c r="AC583">
        <v>576</v>
      </c>
      <c r="AD583" s="6">
        <f t="shared" ca="1" si="148"/>
        <v>35247</v>
      </c>
      <c r="AE583" s="7" t="e">
        <f t="shared" ca="1" si="154"/>
        <v>#REF!</v>
      </c>
      <c r="AF583" s="125" t="e">
        <f t="shared" ca="1" si="155"/>
        <v>#REF!</v>
      </c>
      <c r="AG583" s="125" t="e">
        <f t="shared" ca="1" si="149"/>
        <v>#REF!</v>
      </c>
      <c r="AH583" s="128" t="e">
        <f t="shared" ca="1" si="156"/>
        <v>#REF!</v>
      </c>
    </row>
    <row r="584" spans="4:34">
      <c r="D584">
        <v>577</v>
      </c>
      <c r="E584" s="6">
        <f t="shared" ref="E584:E647" ca="1" si="158">+DATE(YEAR(E583),MONTH(E583)-1,DAY(E583))</f>
        <v>35217</v>
      </c>
      <c r="F584" s="7">
        <f t="shared" ca="1" si="150"/>
        <v>0</v>
      </c>
      <c r="G584" s="125">
        <f t="shared" ref="G584:G647" ca="1" si="159">F584*$B$8/12</f>
        <v>0</v>
      </c>
      <c r="H584" s="125">
        <f ca="1">IF(F584=1,F584*$B$10/MIN(12,'Simulador - 3º Pilar'!$E$88),0)</f>
        <v>0</v>
      </c>
      <c r="I584" s="128">
        <f t="shared" ref="I584:I647" ca="1" si="160">(1+$G$5)^(D584/12)*(H584+IF(E584=$N$7,$N$4,0))</f>
        <v>0</v>
      </c>
      <c r="J584" s="494">
        <f t="shared" ref="J584:J647" ca="1" si="161">(1+$G$5)^(D584/12)*(H584*(12-IF(MONTH(E585)=12,0,MONTH(E585)))+IF(AND(F584=1,F585=0),$Q$4,0))*IF(AND(F584=1,F585=0),1,0)</f>
        <v>0</v>
      </c>
      <c r="K584" s="126">
        <f t="shared" ref="K584:K647" ca="1" si="162">(1+$G$5)^(D584/12)*(IF(E584=$N$7,$N$4,0)+IF(E584=$C$6,$B$10,0))</f>
        <v>0</v>
      </c>
      <c r="L584" s="126">
        <f t="shared" ca="1" si="157"/>
        <v>0</v>
      </c>
      <c r="P584">
        <v>577</v>
      </c>
      <c r="Q584" s="6">
        <f t="shared" ref="Q584:Q647" ca="1" si="163">+DATE(YEAR(Q583),MONTH(Q583)-1,DAY(Q583))</f>
        <v>35217</v>
      </c>
      <c r="R584" s="7" t="e">
        <f t="shared" ca="1" si="151"/>
        <v>#REF!</v>
      </c>
      <c r="S584" s="125" t="e">
        <f t="shared" ca="1" si="152"/>
        <v>#REF!</v>
      </c>
      <c r="T584" s="125" t="e">
        <f t="shared" ref="T584:T647" ca="1" si="164">R584*$B$11/12</f>
        <v>#REF!</v>
      </c>
      <c r="U584" s="128" t="e">
        <f t="shared" ca="1" si="153"/>
        <v>#REF!</v>
      </c>
      <c r="AC584">
        <v>577</v>
      </c>
      <c r="AD584" s="6">
        <f t="shared" ref="AD584:AD647" ca="1" si="165">+DATE(YEAR(AD583),MONTH(AD583)-1,DAY(AD583))</f>
        <v>35217</v>
      </c>
      <c r="AE584" s="7" t="e">
        <f t="shared" ca="1" si="154"/>
        <v>#REF!</v>
      </c>
      <c r="AF584" s="125" t="e">
        <f t="shared" ca="1" si="155"/>
        <v>#REF!</v>
      </c>
      <c r="AG584" s="125" t="e">
        <f t="shared" ref="AG584:AG647" ca="1" si="166">AE584*$B$12/12</f>
        <v>#REF!</v>
      </c>
      <c r="AH584" s="128" t="e">
        <f t="shared" ca="1" si="156"/>
        <v>#REF!</v>
      </c>
    </row>
    <row r="585" spans="4:34">
      <c r="D585">
        <v>578</v>
      </c>
      <c r="E585" s="6">
        <f t="shared" ca="1" si="158"/>
        <v>35186</v>
      </c>
      <c r="F585" s="7">
        <f t="shared" ref="F585:F648" ca="1" si="167">IF($C$6=$E585,1,IF(MONTH($E585)=1,F586*(1+$F$5),F586))</f>
        <v>0</v>
      </c>
      <c r="G585" s="125">
        <f t="shared" ca="1" si="159"/>
        <v>0</v>
      </c>
      <c r="H585" s="125">
        <f ca="1">IF(F585=1,F585*$B$10/MIN(12,'Simulador - 3º Pilar'!$E$88),0)</f>
        <v>0</v>
      </c>
      <c r="I585" s="128">
        <f t="shared" ca="1" si="160"/>
        <v>0</v>
      </c>
      <c r="J585" s="494">
        <f t="shared" ca="1" si="161"/>
        <v>0</v>
      </c>
      <c r="K585" s="126">
        <f t="shared" ca="1" si="162"/>
        <v>0</v>
      </c>
      <c r="L585" s="126">
        <f t="shared" ca="1" si="157"/>
        <v>0</v>
      </c>
      <c r="P585">
        <v>578</v>
      </c>
      <c r="Q585" s="6">
        <f t="shared" ca="1" si="163"/>
        <v>35186</v>
      </c>
      <c r="R585" s="7" t="e">
        <f t="shared" ref="R585:R648" ca="1" si="168">IF($Z$7=$E585,1,IF(MONTH($E585)=1,R586*(1+$F$5),R586))</f>
        <v>#REF!</v>
      </c>
      <c r="S585" s="125" t="e">
        <f t="shared" ref="S585:S648" ca="1" si="169">R585*$B$8/12</f>
        <v>#REF!</v>
      </c>
      <c r="T585" s="125" t="e">
        <f t="shared" ca="1" si="164"/>
        <v>#REF!</v>
      </c>
      <c r="U585" s="128" t="e">
        <f t="shared" ref="U585:U648" ca="1" si="170">(1+$V$5)^(P585/12)*(T585+IF(Q585=$Z$7,$Z$4,0))</f>
        <v>#REF!</v>
      </c>
      <c r="AC585">
        <v>578</v>
      </c>
      <c r="AD585" s="6">
        <f t="shared" ca="1" si="165"/>
        <v>35186</v>
      </c>
      <c r="AE585" s="7" t="e">
        <f t="shared" ref="AE585:AE648" ca="1" si="171">IF($AM$7=$E585,1,IF(MONTH($E585)=1,AE586*(1+$F$5),AE586))</f>
        <v>#REF!</v>
      </c>
      <c r="AF585" s="125" t="e">
        <f t="shared" ref="AF585:AF648" ca="1" si="172">AE585*$B$8/12</f>
        <v>#REF!</v>
      </c>
      <c r="AG585" s="125" t="e">
        <f t="shared" ca="1" si="166"/>
        <v>#REF!</v>
      </c>
      <c r="AH585" s="128" t="e">
        <f t="shared" ref="AH585:AH648" ca="1" si="173">(1+$AI$5)^(AC585/12)*(AG585+IF(AD585=$AM$7,$AM$4,0))</f>
        <v>#REF!</v>
      </c>
    </row>
    <row r="586" spans="4:34">
      <c r="D586">
        <v>579</v>
      </c>
      <c r="E586" s="6">
        <f t="shared" ca="1" si="158"/>
        <v>35156</v>
      </c>
      <c r="F586" s="7">
        <f t="shared" ca="1" si="167"/>
        <v>0</v>
      </c>
      <c r="G586" s="125">
        <f t="shared" ca="1" si="159"/>
        <v>0</v>
      </c>
      <c r="H586" s="125">
        <f ca="1">IF(F586=1,F586*$B$10/MIN(12,'Simulador - 3º Pilar'!$E$88),0)</f>
        <v>0</v>
      </c>
      <c r="I586" s="128">
        <f t="shared" ca="1" si="160"/>
        <v>0</v>
      </c>
      <c r="J586" s="494">
        <f t="shared" ca="1" si="161"/>
        <v>0</v>
      </c>
      <c r="K586" s="126">
        <f t="shared" ca="1" si="162"/>
        <v>0</v>
      </c>
      <c r="L586" s="126">
        <f t="shared" ca="1" si="157"/>
        <v>0</v>
      </c>
      <c r="P586">
        <v>579</v>
      </c>
      <c r="Q586" s="6">
        <f t="shared" ca="1" si="163"/>
        <v>35156</v>
      </c>
      <c r="R586" s="7" t="e">
        <f t="shared" ca="1" si="168"/>
        <v>#REF!</v>
      </c>
      <c r="S586" s="125" t="e">
        <f t="shared" ca="1" si="169"/>
        <v>#REF!</v>
      </c>
      <c r="T586" s="125" t="e">
        <f t="shared" ca="1" si="164"/>
        <v>#REF!</v>
      </c>
      <c r="U586" s="128" t="e">
        <f t="shared" ca="1" si="170"/>
        <v>#REF!</v>
      </c>
      <c r="AC586">
        <v>579</v>
      </c>
      <c r="AD586" s="6">
        <f t="shared" ca="1" si="165"/>
        <v>35156</v>
      </c>
      <c r="AE586" s="7" t="e">
        <f t="shared" ca="1" si="171"/>
        <v>#REF!</v>
      </c>
      <c r="AF586" s="125" t="e">
        <f t="shared" ca="1" si="172"/>
        <v>#REF!</v>
      </c>
      <c r="AG586" s="125" t="e">
        <f t="shared" ca="1" si="166"/>
        <v>#REF!</v>
      </c>
      <c r="AH586" s="128" t="e">
        <f t="shared" ca="1" si="173"/>
        <v>#REF!</v>
      </c>
    </row>
    <row r="587" spans="4:34">
      <c r="D587">
        <v>580</v>
      </c>
      <c r="E587" s="6">
        <f t="shared" ca="1" si="158"/>
        <v>35125</v>
      </c>
      <c r="F587" s="7">
        <f t="shared" ca="1" si="167"/>
        <v>0</v>
      </c>
      <c r="G587" s="125">
        <f t="shared" ca="1" si="159"/>
        <v>0</v>
      </c>
      <c r="H587" s="125">
        <f ca="1">IF(F587=1,F587*$B$10/MIN(12,'Simulador - 3º Pilar'!$E$88),0)</f>
        <v>0</v>
      </c>
      <c r="I587" s="128">
        <f t="shared" ca="1" si="160"/>
        <v>0</v>
      </c>
      <c r="J587" s="494">
        <f t="shared" ca="1" si="161"/>
        <v>0</v>
      </c>
      <c r="K587" s="126">
        <f t="shared" ca="1" si="162"/>
        <v>0</v>
      </c>
      <c r="L587" s="126">
        <f t="shared" ca="1" si="157"/>
        <v>0</v>
      </c>
      <c r="P587">
        <v>580</v>
      </c>
      <c r="Q587" s="6">
        <f t="shared" ca="1" si="163"/>
        <v>35125</v>
      </c>
      <c r="R587" s="7" t="e">
        <f t="shared" ca="1" si="168"/>
        <v>#REF!</v>
      </c>
      <c r="S587" s="125" t="e">
        <f t="shared" ca="1" si="169"/>
        <v>#REF!</v>
      </c>
      <c r="T587" s="125" t="e">
        <f t="shared" ca="1" si="164"/>
        <v>#REF!</v>
      </c>
      <c r="U587" s="128" t="e">
        <f t="shared" ca="1" si="170"/>
        <v>#REF!</v>
      </c>
      <c r="AC587">
        <v>580</v>
      </c>
      <c r="AD587" s="6">
        <f t="shared" ca="1" si="165"/>
        <v>35125</v>
      </c>
      <c r="AE587" s="7" t="e">
        <f t="shared" ca="1" si="171"/>
        <v>#REF!</v>
      </c>
      <c r="AF587" s="125" t="e">
        <f t="shared" ca="1" si="172"/>
        <v>#REF!</v>
      </c>
      <c r="AG587" s="125" t="e">
        <f t="shared" ca="1" si="166"/>
        <v>#REF!</v>
      </c>
      <c r="AH587" s="128" t="e">
        <f t="shared" ca="1" si="173"/>
        <v>#REF!</v>
      </c>
    </row>
    <row r="588" spans="4:34">
      <c r="D588">
        <v>581</v>
      </c>
      <c r="E588" s="6">
        <f t="shared" ca="1" si="158"/>
        <v>35096</v>
      </c>
      <c r="F588" s="7">
        <f t="shared" ca="1" si="167"/>
        <v>0</v>
      </c>
      <c r="G588" s="125">
        <f t="shared" ca="1" si="159"/>
        <v>0</v>
      </c>
      <c r="H588" s="125">
        <f ca="1">IF(F588=1,F588*$B$10/MIN(12,'Simulador - 3º Pilar'!$E$88),0)</f>
        <v>0</v>
      </c>
      <c r="I588" s="128">
        <f t="shared" ca="1" si="160"/>
        <v>0</v>
      </c>
      <c r="J588" s="494">
        <f t="shared" ca="1" si="161"/>
        <v>0</v>
      </c>
      <c r="K588" s="126">
        <f t="shared" ca="1" si="162"/>
        <v>0</v>
      </c>
      <c r="L588" s="126">
        <f t="shared" ca="1" si="157"/>
        <v>0</v>
      </c>
      <c r="P588">
        <v>581</v>
      </c>
      <c r="Q588" s="6">
        <f t="shared" ca="1" si="163"/>
        <v>35096</v>
      </c>
      <c r="R588" s="7" t="e">
        <f t="shared" ca="1" si="168"/>
        <v>#REF!</v>
      </c>
      <c r="S588" s="125" t="e">
        <f t="shared" ca="1" si="169"/>
        <v>#REF!</v>
      </c>
      <c r="T588" s="125" t="e">
        <f t="shared" ca="1" si="164"/>
        <v>#REF!</v>
      </c>
      <c r="U588" s="128" t="e">
        <f t="shared" ca="1" si="170"/>
        <v>#REF!</v>
      </c>
      <c r="AC588">
        <v>581</v>
      </c>
      <c r="AD588" s="6">
        <f t="shared" ca="1" si="165"/>
        <v>35096</v>
      </c>
      <c r="AE588" s="7" t="e">
        <f t="shared" ca="1" si="171"/>
        <v>#REF!</v>
      </c>
      <c r="AF588" s="125" t="e">
        <f t="shared" ca="1" si="172"/>
        <v>#REF!</v>
      </c>
      <c r="AG588" s="125" t="e">
        <f t="shared" ca="1" si="166"/>
        <v>#REF!</v>
      </c>
      <c r="AH588" s="128" t="e">
        <f t="shared" ca="1" si="173"/>
        <v>#REF!</v>
      </c>
    </row>
    <row r="589" spans="4:34">
      <c r="D589">
        <v>582</v>
      </c>
      <c r="E589" s="6">
        <f t="shared" ca="1" si="158"/>
        <v>35065</v>
      </c>
      <c r="F589" s="7">
        <f t="shared" ca="1" si="167"/>
        <v>0</v>
      </c>
      <c r="G589" s="125">
        <f t="shared" ca="1" si="159"/>
        <v>0</v>
      </c>
      <c r="H589" s="125">
        <f ca="1">IF(F589=1,F589*$B$10/MIN(12,'Simulador - 3º Pilar'!$E$88),0)</f>
        <v>0</v>
      </c>
      <c r="I589" s="128">
        <f t="shared" ca="1" si="160"/>
        <v>0</v>
      </c>
      <c r="J589" s="494">
        <f t="shared" ca="1" si="161"/>
        <v>0</v>
      </c>
      <c r="K589" s="126">
        <f t="shared" ca="1" si="162"/>
        <v>0</v>
      </c>
      <c r="L589" s="126">
        <f t="shared" ca="1" si="157"/>
        <v>0</v>
      </c>
      <c r="P589">
        <v>582</v>
      </c>
      <c r="Q589" s="6">
        <f t="shared" ca="1" si="163"/>
        <v>35065</v>
      </c>
      <c r="R589" s="7" t="e">
        <f t="shared" ca="1" si="168"/>
        <v>#REF!</v>
      </c>
      <c r="S589" s="125" t="e">
        <f t="shared" ca="1" si="169"/>
        <v>#REF!</v>
      </c>
      <c r="T589" s="125" t="e">
        <f t="shared" ca="1" si="164"/>
        <v>#REF!</v>
      </c>
      <c r="U589" s="128" t="e">
        <f t="shared" ca="1" si="170"/>
        <v>#REF!</v>
      </c>
      <c r="AC589">
        <v>582</v>
      </c>
      <c r="AD589" s="6">
        <f t="shared" ca="1" si="165"/>
        <v>35065</v>
      </c>
      <c r="AE589" s="7" t="e">
        <f t="shared" ca="1" si="171"/>
        <v>#REF!</v>
      </c>
      <c r="AF589" s="125" t="e">
        <f t="shared" ca="1" si="172"/>
        <v>#REF!</v>
      </c>
      <c r="AG589" s="125" t="e">
        <f t="shared" ca="1" si="166"/>
        <v>#REF!</v>
      </c>
      <c r="AH589" s="128" t="e">
        <f t="shared" ca="1" si="173"/>
        <v>#REF!</v>
      </c>
    </row>
    <row r="590" spans="4:34">
      <c r="D590">
        <v>583</v>
      </c>
      <c r="E590" s="6">
        <f t="shared" ca="1" si="158"/>
        <v>35034</v>
      </c>
      <c r="F590" s="7">
        <f t="shared" ca="1" si="167"/>
        <v>0</v>
      </c>
      <c r="G590" s="125">
        <f t="shared" ca="1" si="159"/>
        <v>0</v>
      </c>
      <c r="H590" s="125">
        <f ca="1">IF(F590=1,F590*$B$10/MIN(12,'Simulador - 3º Pilar'!$E$88),0)</f>
        <v>0</v>
      </c>
      <c r="I590" s="128">
        <f t="shared" ca="1" si="160"/>
        <v>0</v>
      </c>
      <c r="J590" s="494">
        <f t="shared" ca="1" si="161"/>
        <v>0</v>
      </c>
      <c r="K590" s="126">
        <f t="shared" ca="1" si="162"/>
        <v>0</v>
      </c>
      <c r="L590" s="126">
        <f t="shared" ca="1" si="157"/>
        <v>0</v>
      </c>
      <c r="P590">
        <v>583</v>
      </c>
      <c r="Q590" s="6">
        <f t="shared" ca="1" si="163"/>
        <v>35034</v>
      </c>
      <c r="R590" s="7" t="e">
        <f t="shared" ca="1" si="168"/>
        <v>#REF!</v>
      </c>
      <c r="S590" s="125" t="e">
        <f t="shared" ca="1" si="169"/>
        <v>#REF!</v>
      </c>
      <c r="T590" s="125" t="e">
        <f t="shared" ca="1" si="164"/>
        <v>#REF!</v>
      </c>
      <c r="U590" s="128" t="e">
        <f t="shared" ca="1" si="170"/>
        <v>#REF!</v>
      </c>
      <c r="AC590">
        <v>583</v>
      </c>
      <c r="AD590" s="6">
        <f t="shared" ca="1" si="165"/>
        <v>35034</v>
      </c>
      <c r="AE590" s="7" t="e">
        <f t="shared" ca="1" si="171"/>
        <v>#REF!</v>
      </c>
      <c r="AF590" s="125" t="e">
        <f t="shared" ca="1" si="172"/>
        <v>#REF!</v>
      </c>
      <c r="AG590" s="125" t="e">
        <f t="shared" ca="1" si="166"/>
        <v>#REF!</v>
      </c>
      <c r="AH590" s="128" t="e">
        <f t="shared" ca="1" si="173"/>
        <v>#REF!</v>
      </c>
    </row>
    <row r="591" spans="4:34">
      <c r="D591">
        <v>584</v>
      </c>
      <c r="E591" s="6">
        <f t="shared" ca="1" si="158"/>
        <v>35004</v>
      </c>
      <c r="F591" s="7">
        <f t="shared" ca="1" si="167"/>
        <v>0</v>
      </c>
      <c r="G591" s="125">
        <f t="shared" ca="1" si="159"/>
        <v>0</v>
      </c>
      <c r="H591" s="125">
        <f ca="1">IF(F591=1,F591*$B$10/MIN(12,'Simulador - 3º Pilar'!$E$88),0)</f>
        <v>0</v>
      </c>
      <c r="I591" s="128">
        <f t="shared" ca="1" si="160"/>
        <v>0</v>
      </c>
      <c r="J591" s="494">
        <f t="shared" ca="1" si="161"/>
        <v>0</v>
      </c>
      <c r="K591" s="126">
        <f t="shared" ca="1" si="162"/>
        <v>0</v>
      </c>
      <c r="L591" s="126">
        <f t="shared" ca="1" si="157"/>
        <v>0</v>
      </c>
      <c r="P591">
        <v>584</v>
      </c>
      <c r="Q591" s="6">
        <f t="shared" ca="1" si="163"/>
        <v>35004</v>
      </c>
      <c r="R591" s="7" t="e">
        <f t="shared" ca="1" si="168"/>
        <v>#REF!</v>
      </c>
      <c r="S591" s="125" t="e">
        <f t="shared" ca="1" si="169"/>
        <v>#REF!</v>
      </c>
      <c r="T591" s="125" t="e">
        <f t="shared" ca="1" si="164"/>
        <v>#REF!</v>
      </c>
      <c r="U591" s="128" t="e">
        <f t="shared" ca="1" si="170"/>
        <v>#REF!</v>
      </c>
      <c r="AC591">
        <v>584</v>
      </c>
      <c r="AD591" s="6">
        <f t="shared" ca="1" si="165"/>
        <v>35004</v>
      </c>
      <c r="AE591" s="7" t="e">
        <f t="shared" ca="1" si="171"/>
        <v>#REF!</v>
      </c>
      <c r="AF591" s="125" t="e">
        <f t="shared" ca="1" si="172"/>
        <v>#REF!</v>
      </c>
      <c r="AG591" s="125" t="e">
        <f t="shared" ca="1" si="166"/>
        <v>#REF!</v>
      </c>
      <c r="AH591" s="128" t="e">
        <f t="shared" ca="1" si="173"/>
        <v>#REF!</v>
      </c>
    </row>
    <row r="592" spans="4:34">
      <c r="D592">
        <v>585</v>
      </c>
      <c r="E592" s="6">
        <f t="shared" ca="1" si="158"/>
        <v>34973</v>
      </c>
      <c r="F592" s="7">
        <f t="shared" ca="1" si="167"/>
        <v>0</v>
      </c>
      <c r="G592" s="125">
        <f t="shared" ca="1" si="159"/>
        <v>0</v>
      </c>
      <c r="H592" s="125">
        <f ca="1">IF(F592=1,F592*$B$10/MIN(12,'Simulador - 3º Pilar'!$E$88),0)</f>
        <v>0</v>
      </c>
      <c r="I592" s="128">
        <f t="shared" ca="1" si="160"/>
        <v>0</v>
      </c>
      <c r="J592" s="494">
        <f t="shared" ca="1" si="161"/>
        <v>0</v>
      </c>
      <c r="K592" s="126">
        <f t="shared" ca="1" si="162"/>
        <v>0</v>
      </c>
      <c r="L592" s="126">
        <f t="shared" ca="1" si="157"/>
        <v>0</v>
      </c>
      <c r="P592">
        <v>585</v>
      </c>
      <c r="Q592" s="6">
        <f t="shared" ca="1" si="163"/>
        <v>34973</v>
      </c>
      <c r="R592" s="7" t="e">
        <f t="shared" ca="1" si="168"/>
        <v>#REF!</v>
      </c>
      <c r="S592" s="125" t="e">
        <f t="shared" ca="1" si="169"/>
        <v>#REF!</v>
      </c>
      <c r="T592" s="125" t="e">
        <f t="shared" ca="1" si="164"/>
        <v>#REF!</v>
      </c>
      <c r="U592" s="128" t="e">
        <f t="shared" ca="1" si="170"/>
        <v>#REF!</v>
      </c>
      <c r="AC592">
        <v>585</v>
      </c>
      <c r="AD592" s="6">
        <f t="shared" ca="1" si="165"/>
        <v>34973</v>
      </c>
      <c r="AE592" s="7" t="e">
        <f t="shared" ca="1" si="171"/>
        <v>#REF!</v>
      </c>
      <c r="AF592" s="125" t="e">
        <f t="shared" ca="1" si="172"/>
        <v>#REF!</v>
      </c>
      <c r="AG592" s="125" t="e">
        <f t="shared" ca="1" si="166"/>
        <v>#REF!</v>
      </c>
      <c r="AH592" s="128" t="e">
        <f t="shared" ca="1" si="173"/>
        <v>#REF!</v>
      </c>
    </row>
    <row r="593" spans="4:34">
      <c r="D593">
        <v>586</v>
      </c>
      <c r="E593" s="6">
        <f t="shared" ca="1" si="158"/>
        <v>34943</v>
      </c>
      <c r="F593" s="7">
        <f t="shared" ca="1" si="167"/>
        <v>0</v>
      </c>
      <c r="G593" s="125">
        <f t="shared" ca="1" si="159"/>
        <v>0</v>
      </c>
      <c r="H593" s="125">
        <f ca="1">IF(F593=1,F593*$B$10/MIN(12,'Simulador - 3º Pilar'!$E$88),0)</f>
        <v>0</v>
      </c>
      <c r="I593" s="128">
        <f t="shared" ca="1" si="160"/>
        <v>0</v>
      </c>
      <c r="J593" s="494">
        <f t="shared" ca="1" si="161"/>
        <v>0</v>
      </c>
      <c r="K593" s="126">
        <f t="shared" ca="1" si="162"/>
        <v>0</v>
      </c>
      <c r="L593" s="126">
        <f t="shared" ca="1" si="157"/>
        <v>0</v>
      </c>
      <c r="P593">
        <v>586</v>
      </c>
      <c r="Q593" s="6">
        <f t="shared" ca="1" si="163"/>
        <v>34943</v>
      </c>
      <c r="R593" s="7" t="e">
        <f t="shared" ca="1" si="168"/>
        <v>#REF!</v>
      </c>
      <c r="S593" s="125" t="e">
        <f t="shared" ca="1" si="169"/>
        <v>#REF!</v>
      </c>
      <c r="T593" s="125" t="e">
        <f t="shared" ca="1" si="164"/>
        <v>#REF!</v>
      </c>
      <c r="U593" s="128" t="e">
        <f t="shared" ca="1" si="170"/>
        <v>#REF!</v>
      </c>
      <c r="AC593">
        <v>586</v>
      </c>
      <c r="AD593" s="6">
        <f t="shared" ca="1" si="165"/>
        <v>34943</v>
      </c>
      <c r="AE593" s="7" t="e">
        <f t="shared" ca="1" si="171"/>
        <v>#REF!</v>
      </c>
      <c r="AF593" s="125" t="e">
        <f t="shared" ca="1" si="172"/>
        <v>#REF!</v>
      </c>
      <c r="AG593" s="125" t="e">
        <f t="shared" ca="1" si="166"/>
        <v>#REF!</v>
      </c>
      <c r="AH593" s="128" t="e">
        <f t="shared" ca="1" si="173"/>
        <v>#REF!</v>
      </c>
    </row>
    <row r="594" spans="4:34">
      <c r="D594">
        <v>587</v>
      </c>
      <c r="E594" s="6">
        <f t="shared" ca="1" si="158"/>
        <v>34912</v>
      </c>
      <c r="F594" s="7">
        <f t="shared" ca="1" si="167"/>
        <v>0</v>
      </c>
      <c r="G594" s="125">
        <f t="shared" ca="1" si="159"/>
        <v>0</v>
      </c>
      <c r="H594" s="125">
        <f ca="1">IF(F594=1,F594*$B$10/MIN(12,'Simulador - 3º Pilar'!$E$88),0)</f>
        <v>0</v>
      </c>
      <c r="I594" s="128">
        <f t="shared" ca="1" si="160"/>
        <v>0</v>
      </c>
      <c r="J594" s="494">
        <f t="shared" ca="1" si="161"/>
        <v>0</v>
      </c>
      <c r="K594" s="126">
        <f t="shared" ca="1" si="162"/>
        <v>0</v>
      </c>
      <c r="L594" s="126">
        <f t="shared" ca="1" si="157"/>
        <v>0</v>
      </c>
      <c r="P594">
        <v>587</v>
      </c>
      <c r="Q594" s="6">
        <f t="shared" ca="1" si="163"/>
        <v>34912</v>
      </c>
      <c r="R594" s="7" t="e">
        <f t="shared" ca="1" si="168"/>
        <v>#REF!</v>
      </c>
      <c r="S594" s="125" t="e">
        <f t="shared" ca="1" si="169"/>
        <v>#REF!</v>
      </c>
      <c r="T594" s="125" t="e">
        <f t="shared" ca="1" si="164"/>
        <v>#REF!</v>
      </c>
      <c r="U594" s="128" t="e">
        <f t="shared" ca="1" si="170"/>
        <v>#REF!</v>
      </c>
      <c r="AC594">
        <v>587</v>
      </c>
      <c r="AD594" s="6">
        <f t="shared" ca="1" si="165"/>
        <v>34912</v>
      </c>
      <c r="AE594" s="7" t="e">
        <f t="shared" ca="1" si="171"/>
        <v>#REF!</v>
      </c>
      <c r="AF594" s="125" t="e">
        <f t="shared" ca="1" si="172"/>
        <v>#REF!</v>
      </c>
      <c r="AG594" s="125" t="e">
        <f t="shared" ca="1" si="166"/>
        <v>#REF!</v>
      </c>
      <c r="AH594" s="128" t="e">
        <f t="shared" ca="1" si="173"/>
        <v>#REF!</v>
      </c>
    </row>
    <row r="595" spans="4:34">
      <c r="D595">
        <v>588</v>
      </c>
      <c r="E595" s="6">
        <f t="shared" ca="1" si="158"/>
        <v>34881</v>
      </c>
      <c r="F595" s="7">
        <f t="shared" ca="1" si="167"/>
        <v>0</v>
      </c>
      <c r="G595" s="125">
        <f t="shared" ca="1" si="159"/>
        <v>0</v>
      </c>
      <c r="H595" s="125">
        <f ca="1">IF(F595=1,F595*$B$10/MIN(12,'Simulador - 3º Pilar'!$E$88),0)</f>
        <v>0</v>
      </c>
      <c r="I595" s="128">
        <f t="shared" ca="1" si="160"/>
        <v>0</v>
      </c>
      <c r="J595" s="494">
        <f t="shared" ca="1" si="161"/>
        <v>0</v>
      </c>
      <c r="K595" s="126">
        <f t="shared" ca="1" si="162"/>
        <v>0</v>
      </c>
      <c r="L595" s="126">
        <f t="shared" ca="1" si="157"/>
        <v>0</v>
      </c>
      <c r="P595">
        <v>588</v>
      </c>
      <c r="Q595" s="6">
        <f t="shared" ca="1" si="163"/>
        <v>34881</v>
      </c>
      <c r="R595" s="7" t="e">
        <f t="shared" ca="1" si="168"/>
        <v>#REF!</v>
      </c>
      <c r="S595" s="125" t="e">
        <f t="shared" ca="1" si="169"/>
        <v>#REF!</v>
      </c>
      <c r="T595" s="125" t="e">
        <f t="shared" ca="1" si="164"/>
        <v>#REF!</v>
      </c>
      <c r="U595" s="128" t="e">
        <f t="shared" ca="1" si="170"/>
        <v>#REF!</v>
      </c>
      <c r="AC595">
        <v>588</v>
      </c>
      <c r="AD595" s="6">
        <f t="shared" ca="1" si="165"/>
        <v>34881</v>
      </c>
      <c r="AE595" s="7" t="e">
        <f t="shared" ca="1" si="171"/>
        <v>#REF!</v>
      </c>
      <c r="AF595" s="125" t="e">
        <f t="shared" ca="1" si="172"/>
        <v>#REF!</v>
      </c>
      <c r="AG595" s="125" t="e">
        <f t="shared" ca="1" si="166"/>
        <v>#REF!</v>
      </c>
      <c r="AH595" s="128" t="e">
        <f t="shared" ca="1" si="173"/>
        <v>#REF!</v>
      </c>
    </row>
    <row r="596" spans="4:34">
      <c r="D596">
        <v>589</v>
      </c>
      <c r="E596" s="6">
        <f t="shared" ca="1" si="158"/>
        <v>34851</v>
      </c>
      <c r="F596" s="7">
        <f t="shared" ca="1" si="167"/>
        <v>0</v>
      </c>
      <c r="G596" s="125">
        <f t="shared" ca="1" si="159"/>
        <v>0</v>
      </c>
      <c r="H596" s="125">
        <f ca="1">IF(F596=1,F596*$B$10/MIN(12,'Simulador - 3º Pilar'!$E$88),0)</f>
        <v>0</v>
      </c>
      <c r="I596" s="128">
        <f t="shared" ca="1" si="160"/>
        <v>0</v>
      </c>
      <c r="J596" s="494">
        <f t="shared" ca="1" si="161"/>
        <v>0</v>
      </c>
      <c r="K596" s="126">
        <f t="shared" ca="1" si="162"/>
        <v>0</v>
      </c>
      <c r="L596" s="126">
        <f t="shared" ca="1" si="157"/>
        <v>0</v>
      </c>
      <c r="P596">
        <v>589</v>
      </c>
      <c r="Q596" s="6">
        <f t="shared" ca="1" si="163"/>
        <v>34851</v>
      </c>
      <c r="R596" s="7" t="e">
        <f t="shared" ca="1" si="168"/>
        <v>#REF!</v>
      </c>
      <c r="S596" s="125" t="e">
        <f t="shared" ca="1" si="169"/>
        <v>#REF!</v>
      </c>
      <c r="T596" s="125" t="e">
        <f t="shared" ca="1" si="164"/>
        <v>#REF!</v>
      </c>
      <c r="U596" s="128" t="e">
        <f t="shared" ca="1" si="170"/>
        <v>#REF!</v>
      </c>
      <c r="AC596">
        <v>589</v>
      </c>
      <c r="AD596" s="6">
        <f t="shared" ca="1" si="165"/>
        <v>34851</v>
      </c>
      <c r="AE596" s="7" t="e">
        <f t="shared" ca="1" si="171"/>
        <v>#REF!</v>
      </c>
      <c r="AF596" s="125" t="e">
        <f t="shared" ca="1" si="172"/>
        <v>#REF!</v>
      </c>
      <c r="AG596" s="125" t="e">
        <f t="shared" ca="1" si="166"/>
        <v>#REF!</v>
      </c>
      <c r="AH596" s="128" t="e">
        <f t="shared" ca="1" si="173"/>
        <v>#REF!</v>
      </c>
    </row>
    <row r="597" spans="4:34">
      <c r="D597">
        <v>590</v>
      </c>
      <c r="E597" s="6">
        <f t="shared" ca="1" si="158"/>
        <v>34820</v>
      </c>
      <c r="F597" s="7">
        <f t="shared" ca="1" si="167"/>
        <v>0</v>
      </c>
      <c r="G597" s="125">
        <f t="shared" ca="1" si="159"/>
        <v>0</v>
      </c>
      <c r="H597" s="125">
        <f ca="1">IF(F597=1,F597*$B$10/MIN(12,'Simulador - 3º Pilar'!$E$88),0)</f>
        <v>0</v>
      </c>
      <c r="I597" s="128">
        <f t="shared" ca="1" si="160"/>
        <v>0</v>
      </c>
      <c r="J597" s="494">
        <f t="shared" ca="1" si="161"/>
        <v>0</v>
      </c>
      <c r="K597" s="126">
        <f t="shared" ca="1" si="162"/>
        <v>0</v>
      </c>
      <c r="L597" s="126">
        <f t="shared" ca="1" si="157"/>
        <v>0</v>
      </c>
      <c r="P597">
        <v>590</v>
      </c>
      <c r="Q597" s="6">
        <f t="shared" ca="1" si="163"/>
        <v>34820</v>
      </c>
      <c r="R597" s="7" t="e">
        <f t="shared" ca="1" si="168"/>
        <v>#REF!</v>
      </c>
      <c r="S597" s="125" t="e">
        <f t="shared" ca="1" si="169"/>
        <v>#REF!</v>
      </c>
      <c r="T597" s="125" t="e">
        <f t="shared" ca="1" si="164"/>
        <v>#REF!</v>
      </c>
      <c r="U597" s="128" t="e">
        <f t="shared" ca="1" si="170"/>
        <v>#REF!</v>
      </c>
      <c r="AC597">
        <v>590</v>
      </c>
      <c r="AD597" s="6">
        <f t="shared" ca="1" si="165"/>
        <v>34820</v>
      </c>
      <c r="AE597" s="7" t="e">
        <f t="shared" ca="1" si="171"/>
        <v>#REF!</v>
      </c>
      <c r="AF597" s="125" t="e">
        <f t="shared" ca="1" si="172"/>
        <v>#REF!</v>
      </c>
      <c r="AG597" s="125" t="e">
        <f t="shared" ca="1" si="166"/>
        <v>#REF!</v>
      </c>
      <c r="AH597" s="128" t="e">
        <f t="shared" ca="1" si="173"/>
        <v>#REF!</v>
      </c>
    </row>
    <row r="598" spans="4:34">
      <c r="D598">
        <v>591</v>
      </c>
      <c r="E598" s="6">
        <f t="shared" ca="1" si="158"/>
        <v>34790</v>
      </c>
      <c r="F598" s="7">
        <f t="shared" ca="1" si="167"/>
        <v>0</v>
      </c>
      <c r="G598" s="125">
        <f t="shared" ca="1" si="159"/>
        <v>0</v>
      </c>
      <c r="H598" s="125">
        <f ca="1">IF(F598=1,F598*$B$10/MIN(12,'Simulador - 3º Pilar'!$E$88),0)</f>
        <v>0</v>
      </c>
      <c r="I598" s="128">
        <f t="shared" ca="1" si="160"/>
        <v>0</v>
      </c>
      <c r="J598" s="494">
        <f t="shared" ca="1" si="161"/>
        <v>0</v>
      </c>
      <c r="K598" s="126">
        <f t="shared" ca="1" si="162"/>
        <v>0</v>
      </c>
      <c r="L598" s="126">
        <f t="shared" ca="1" si="157"/>
        <v>0</v>
      </c>
      <c r="P598">
        <v>591</v>
      </c>
      <c r="Q598" s="6">
        <f t="shared" ca="1" si="163"/>
        <v>34790</v>
      </c>
      <c r="R598" s="7" t="e">
        <f t="shared" ca="1" si="168"/>
        <v>#REF!</v>
      </c>
      <c r="S598" s="125" t="e">
        <f t="shared" ca="1" si="169"/>
        <v>#REF!</v>
      </c>
      <c r="T598" s="125" t="e">
        <f t="shared" ca="1" si="164"/>
        <v>#REF!</v>
      </c>
      <c r="U598" s="128" t="e">
        <f t="shared" ca="1" si="170"/>
        <v>#REF!</v>
      </c>
      <c r="AC598">
        <v>591</v>
      </c>
      <c r="AD598" s="6">
        <f t="shared" ca="1" si="165"/>
        <v>34790</v>
      </c>
      <c r="AE598" s="7" t="e">
        <f t="shared" ca="1" si="171"/>
        <v>#REF!</v>
      </c>
      <c r="AF598" s="125" t="e">
        <f t="shared" ca="1" si="172"/>
        <v>#REF!</v>
      </c>
      <c r="AG598" s="125" t="e">
        <f t="shared" ca="1" si="166"/>
        <v>#REF!</v>
      </c>
      <c r="AH598" s="128" t="e">
        <f t="shared" ca="1" si="173"/>
        <v>#REF!</v>
      </c>
    </row>
    <row r="599" spans="4:34">
      <c r="D599">
        <v>592</v>
      </c>
      <c r="E599" s="6">
        <f t="shared" ca="1" si="158"/>
        <v>34759</v>
      </c>
      <c r="F599" s="7">
        <f t="shared" ca="1" si="167"/>
        <v>0</v>
      </c>
      <c r="G599" s="125">
        <f t="shared" ca="1" si="159"/>
        <v>0</v>
      </c>
      <c r="H599" s="125">
        <f ca="1">IF(F599=1,F599*$B$10/MIN(12,'Simulador - 3º Pilar'!$E$88),0)</f>
        <v>0</v>
      </c>
      <c r="I599" s="128">
        <f t="shared" ca="1" si="160"/>
        <v>0</v>
      </c>
      <c r="J599" s="494">
        <f t="shared" ca="1" si="161"/>
        <v>0</v>
      </c>
      <c r="K599" s="126">
        <f t="shared" ca="1" si="162"/>
        <v>0</v>
      </c>
      <c r="L599" s="126">
        <f t="shared" ca="1" si="157"/>
        <v>0</v>
      </c>
      <c r="P599">
        <v>592</v>
      </c>
      <c r="Q599" s="6">
        <f t="shared" ca="1" si="163"/>
        <v>34759</v>
      </c>
      <c r="R599" s="7" t="e">
        <f t="shared" ca="1" si="168"/>
        <v>#REF!</v>
      </c>
      <c r="S599" s="125" t="e">
        <f t="shared" ca="1" si="169"/>
        <v>#REF!</v>
      </c>
      <c r="T599" s="125" t="e">
        <f t="shared" ca="1" si="164"/>
        <v>#REF!</v>
      </c>
      <c r="U599" s="128" t="e">
        <f t="shared" ca="1" si="170"/>
        <v>#REF!</v>
      </c>
      <c r="AC599">
        <v>592</v>
      </c>
      <c r="AD599" s="6">
        <f t="shared" ca="1" si="165"/>
        <v>34759</v>
      </c>
      <c r="AE599" s="7" t="e">
        <f t="shared" ca="1" si="171"/>
        <v>#REF!</v>
      </c>
      <c r="AF599" s="125" t="e">
        <f t="shared" ca="1" si="172"/>
        <v>#REF!</v>
      </c>
      <c r="AG599" s="125" t="e">
        <f t="shared" ca="1" si="166"/>
        <v>#REF!</v>
      </c>
      <c r="AH599" s="128" t="e">
        <f t="shared" ca="1" si="173"/>
        <v>#REF!</v>
      </c>
    </row>
    <row r="600" spans="4:34">
      <c r="D600">
        <v>593</v>
      </c>
      <c r="E600" s="6">
        <f t="shared" ca="1" si="158"/>
        <v>34731</v>
      </c>
      <c r="F600" s="7">
        <f t="shared" ca="1" si="167"/>
        <v>0</v>
      </c>
      <c r="G600" s="125">
        <f t="shared" ca="1" si="159"/>
        <v>0</v>
      </c>
      <c r="H600" s="125">
        <f ca="1">IF(F600=1,F600*$B$10/MIN(12,'Simulador - 3º Pilar'!$E$88),0)</f>
        <v>0</v>
      </c>
      <c r="I600" s="128">
        <f t="shared" ca="1" si="160"/>
        <v>0</v>
      </c>
      <c r="J600" s="494">
        <f t="shared" ca="1" si="161"/>
        <v>0</v>
      </c>
      <c r="K600" s="126">
        <f t="shared" ca="1" si="162"/>
        <v>0</v>
      </c>
      <c r="L600" s="126">
        <f t="shared" ca="1" si="157"/>
        <v>0</v>
      </c>
      <c r="P600">
        <v>593</v>
      </c>
      <c r="Q600" s="6">
        <f t="shared" ca="1" si="163"/>
        <v>34731</v>
      </c>
      <c r="R600" s="7" t="e">
        <f t="shared" ca="1" si="168"/>
        <v>#REF!</v>
      </c>
      <c r="S600" s="125" t="e">
        <f t="shared" ca="1" si="169"/>
        <v>#REF!</v>
      </c>
      <c r="T600" s="125" t="e">
        <f t="shared" ca="1" si="164"/>
        <v>#REF!</v>
      </c>
      <c r="U600" s="128" t="e">
        <f t="shared" ca="1" si="170"/>
        <v>#REF!</v>
      </c>
      <c r="AC600">
        <v>593</v>
      </c>
      <c r="AD600" s="6">
        <f t="shared" ca="1" si="165"/>
        <v>34731</v>
      </c>
      <c r="AE600" s="7" t="e">
        <f t="shared" ca="1" si="171"/>
        <v>#REF!</v>
      </c>
      <c r="AF600" s="125" t="e">
        <f t="shared" ca="1" si="172"/>
        <v>#REF!</v>
      </c>
      <c r="AG600" s="125" t="e">
        <f t="shared" ca="1" si="166"/>
        <v>#REF!</v>
      </c>
      <c r="AH600" s="128" t="e">
        <f t="shared" ca="1" si="173"/>
        <v>#REF!</v>
      </c>
    </row>
    <row r="601" spans="4:34">
      <c r="D601">
        <v>594</v>
      </c>
      <c r="E601" s="6">
        <f t="shared" ca="1" si="158"/>
        <v>34700</v>
      </c>
      <c r="F601" s="7">
        <f t="shared" ca="1" si="167"/>
        <v>0</v>
      </c>
      <c r="G601" s="125">
        <f t="shared" ca="1" si="159"/>
        <v>0</v>
      </c>
      <c r="H601" s="125">
        <f ca="1">IF(F601=1,F601*$B$10/MIN(12,'Simulador - 3º Pilar'!$E$88),0)</f>
        <v>0</v>
      </c>
      <c r="I601" s="128">
        <f t="shared" ca="1" si="160"/>
        <v>0</v>
      </c>
      <c r="J601" s="494">
        <f t="shared" ca="1" si="161"/>
        <v>0</v>
      </c>
      <c r="K601" s="126">
        <f t="shared" ca="1" si="162"/>
        <v>0</v>
      </c>
      <c r="L601" s="126">
        <f t="shared" ca="1" si="157"/>
        <v>0</v>
      </c>
      <c r="P601">
        <v>594</v>
      </c>
      <c r="Q601" s="6">
        <f t="shared" ca="1" si="163"/>
        <v>34700</v>
      </c>
      <c r="R601" s="7" t="e">
        <f t="shared" ca="1" si="168"/>
        <v>#REF!</v>
      </c>
      <c r="S601" s="125" t="e">
        <f t="shared" ca="1" si="169"/>
        <v>#REF!</v>
      </c>
      <c r="T601" s="125" t="e">
        <f t="shared" ca="1" si="164"/>
        <v>#REF!</v>
      </c>
      <c r="U601" s="128" t="e">
        <f t="shared" ca="1" si="170"/>
        <v>#REF!</v>
      </c>
      <c r="AC601">
        <v>594</v>
      </c>
      <c r="AD601" s="6">
        <f t="shared" ca="1" si="165"/>
        <v>34700</v>
      </c>
      <c r="AE601" s="7" t="e">
        <f t="shared" ca="1" si="171"/>
        <v>#REF!</v>
      </c>
      <c r="AF601" s="125" t="e">
        <f t="shared" ca="1" si="172"/>
        <v>#REF!</v>
      </c>
      <c r="AG601" s="125" t="e">
        <f t="shared" ca="1" si="166"/>
        <v>#REF!</v>
      </c>
      <c r="AH601" s="128" t="e">
        <f t="shared" ca="1" si="173"/>
        <v>#REF!</v>
      </c>
    </row>
    <row r="602" spans="4:34">
      <c r="D602">
        <v>595</v>
      </c>
      <c r="E602" s="6">
        <f t="shared" ca="1" si="158"/>
        <v>34669</v>
      </c>
      <c r="F602" s="7">
        <f t="shared" ca="1" si="167"/>
        <v>0</v>
      </c>
      <c r="G602" s="125">
        <f t="shared" ca="1" si="159"/>
        <v>0</v>
      </c>
      <c r="H602" s="125">
        <f ca="1">IF(F602=1,F602*$B$10/MIN(12,'Simulador - 3º Pilar'!$E$88),0)</f>
        <v>0</v>
      </c>
      <c r="I602" s="128">
        <f t="shared" ca="1" si="160"/>
        <v>0</v>
      </c>
      <c r="J602" s="494">
        <f t="shared" ca="1" si="161"/>
        <v>0</v>
      </c>
      <c r="K602" s="126">
        <f t="shared" ca="1" si="162"/>
        <v>0</v>
      </c>
      <c r="L602" s="126">
        <f t="shared" ca="1" si="157"/>
        <v>0</v>
      </c>
      <c r="P602">
        <v>595</v>
      </c>
      <c r="Q602" s="6">
        <f t="shared" ca="1" si="163"/>
        <v>34669</v>
      </c>
      <c r="R602" s="7" t="e">
        <f t="shared" ca="1" si="168"/>
        <v>#REF!</v>
      </c>
      <c r="S602" s="125" t="e">
        <f t="shared" ca="1" si="169"/>
        <v>#REF!</v>
      </c>
      <c r="T602" s="125" t="e">
        <f t="shared" ca="1" si="164"/>
        <v>#REF!</v>
      </c>
      <c r="U602" s="128" t="e">
        <f t="shared" ca="1" si="170"/>
        <v>#REF!</v>
      </c>
      <c r="AC602">
        <v>595</v>
      </c>
      <c r="AD602" s="6">
        <f t="shared" ca="1" si="165"/>
        <v>34669</v>
      </c>
      <c r="AE602" s="7" t="e">
        <f t="shared" ca="1" si="171"/>
        <v>#REF!</v>
      </c>
      <c r="AF602" s="125" t="e">
        <f t="shared" ca="1" si="172"/>
        <v>#REF!</v>
      </c>
      <c r="AG602" s="125" t="e">
        <f t="shared" ca="1" si="166"/>
        <v>#REF!</v>
      </c>
      <c r="AH602" s="128" t="e">
        <f t="shared" ca="1" si="173"/>
        <v>#REF!</v>
      </c>
    </row>
    <row r="603" spans="4:34">
      <c r="D603">
        <v>596</v>
      </c>
      <c r="E603" s="6">
        <f t="shared" ca="1" si="158"/>
        <v>34639</v>
      </c>
      <c r="F603" s="7">
        <f t="shared" ca="1" si="167"/>
        <v>0</v>
      </c>
      <c r="G603" s="125">
        <f t="shared" ca="1" si="159"/>
        <v>0</v>
      </c>
      <c r="H603" s="125">
        <f ca="1">IF(F603=1,F603*$B$10/MIN(12,'Simulador - 3º Pilar'!$E$88),0)</f>
        <v>0</v>
      </c>
      <c r="I603" s="128">
        <f t="shared" ca="1" si="160"/>
        <v>0</v>
      </c>
      <c r="J603" s="494">
        <f t="shared" ca="1" si="161"/>
        <v>0</v>
      </c>
      <c r="K603" s="126">
        <f t="shared" ca="1" si="162"/>
        <v>0</v>
      </c>
      <c r="L603" s="126">
        <f t="shared" ca="1" si="157"/>
        <v>0</v>
      </c>
      <c r="P603">
        <v>596</v>
      </c>
      <c r="Q603" s="6">
        <f t="shared" ca="1" si="163"/>
        <v>34639</v>
      </c>
      <c r="R603" s="7" t="e">
        <f t="shared" ca="1" si="168"/>
        <v>#REF!</v>
      </c>
      <c r="S603" s="125" t="e">
        <f t="shared" ca="1" si="169"/>
        <v>#REF!</v>
      </c>
      <c r="T603" s="125" t="e">
        <f t="shared" ca="1" si="164"/>
        <v>#REF!</v>
      </c>
      <c r="U603" s="128" t="e">
        <f t="shared" ca="1" si="170"/>
        <v>#REF!</v>
      </c>
      <c r="AC603">
        <v>596</v>
      </c>
      <c r="AD603" s="6">
        <f t="shared" ca="1" si="165"/>
        <v>34639</v>
      </c>
      <c r="AE603" s="7" t="e">
        <f t="shared" ca="1" si="171"/>
        <v>#REF!</v>
      </c>
      <c r="AF603" s="125" t="e">
        <f t="shared" ca="1" si="172"/>
        <v>#REF!</v>
      </c>
      <c r="AG603" s="125" t="e">
        <f t="shared" ca="1" si="166"/>
        <v>#REF!</v>
      </c>
      <c r="AH603" s="128" t="e">
        <f t="shared" ca="1" si="173"/>
        <v>#REF!</v>
      </c>
    </row>
    <row r="604" spans="4:34">
      <c r="D604">
        <v>597</v>
      </c>
      <c r="E604" s="6">
        <f t="shared" ca="1" si="158"/>
        <v>34608</v>
      </c>
      <c r="F604" s="7">
        <f t="shared" ca="1" si="167"/>
        <v>0</v>
      </c>
      <c r="G604" s="125">
        <f t="shared" ca="1" si="159"/>
        <v>0</v>
      </c>
      <c r="H604" s="125">
        <f ca="1">IF(F604=1,F604*$B$10/MIN(12,'Simulador - 3º Pilar'!$E$88),0)</f>
        <v>0</v>
      </c>
      <c r="I604" s="128">
        <f t="shared" ca="1" si="160"/>
        <v>0</v>
      </c>
      <c r="J604" s="494">
        <f t="shared" ca="1" si="161"/>
        <v>0</v>
      </c>
      <c r="K604" s="126">
        <f t="shared" ca="1" si="162"/>
        <v>0</v>
      </c>
      <c r="L604" s="126">
        <f t="shared" ca="1" si="157"/>
        <v>0</v>
      </c>
      <c r="P604">
        <v>597</v>
      </c>
      <c r="Q604" s="6">
        <f t="shared" ca="1" si="163"/>
        <v>34608</v>
      </c>
      <c r="R604" s="7" t="e">
        <f t="shared" ca="1" si="168"/>
        <v>#REF!</v>
      </c>
      <c r="S604" s="125" t="e">
        <f t="shared" ca="1" si="169"/>
        <v>#REF!</v>
      </c>
      <c r="T604" s="125" t="e">
        <f t="shared" ca="1" si="164"/>
        <v>#REF!</v>
      </c>
      <c r="U604" s="128" t="e">
        <f t="shared" ca="1" si="170"/>
        <v>#REF!</v>
      </c>
      <c r="AC604">
        <v>597</v>
      </c>
      <c r="AD604" s="6">
        <f t="shared" ca="1" si="165"/>
        <v>34608</v>
      </c>
      <c r="AE604" s="7" t="e">
        <f t="shared" ca="1" si="171"/>
        <v>#REF!</v>
      </c>
      <c r="AF604" s="125" t="e">
        <f t="shared" ca="1" si="172"/>
        <v>#REF!</v>
      </c>
      <c r="AG604" s="125" t="e">
        <f t="shared" ca="1" si="166"/>
        <v>#REF!</v>
      </c>
      <c r="AH604" s="128" t="e">
        <f t="shared" ca="1" si="173"/>
        <v>#REF!</v>
      </c>
    </row>
    <row r="605" spans="4:34">
      <c r="D605">
        <v>598</v>
      </c>
      <c r="E605" s="6">
        <f t="shared" ca="1" si="158"/>
        <v>34578</v>
      </c>
      <c r="F605" s="7">
        <f t="shared" ca="1" si="167"/>
        <v>0</v>
      </c>
      <c r="G605" s="125">
        <f t="shared" ca="1" si="159"/>
        <v>0</v>
      </c>
      <c r="H605" s="125">
        <f ca="1">IF(F605=1,F605*$B$10/MIN(12,'Simulador - 3º Pilar'!$E$88),0)</f>
        <v>0</v>
      </c>
      <c r="I605" s="128">
        <f t="shared" ca="1" si="160"/>
        <v>0</v>
      </c>
      <c r="J605" s="494">
        <f t="shared" ca="1" si="161"/>
        <v>0</v>
      </c>
      <c r="K605" s="126">
        <f t="shared" ca="1" si="162"/>
        <v>0</v>
      </c>
      <c r="L605" s="126">
        <f t="shared" ca="1" si="157"/>
        <v>0</v>
      </c>
      <c r="P605">
        <v>598</v>
      </c>
      <c r="Q605" s="6">
        <f t="shared" ca="1" si="163"/>
        <v>34578</v>
      </c>
      <c r="R605" s="7" t="e">
        <f t="shared" ca="1" si="168"/>
        <v>#REF!</v>
      </c>
      <c r="S605" s="125" t="e">
        <f t="shared" ca="1" si="169"/>
        <v>#REF!</v>
      </c>
      <c r="T605" s="125" t="e">
        <f t="shared" ca="1" si="164"/>
        <v>#REF!</v>
      </c>
      <c r="U605" s="128" t="e">
        <f t="shared" ca="1" si="170"/>
        <v>#REF!</v>
      </c>
      <c r="AC605">
        <v>598</v>
      </c>
      <c r="AD605" s="6">
        <f t="shared" ca="1" si="165"/>
        <v>34578</v>
      </c>
      <c r="AE605" s="7" t="e">
        <f t="shared" ca="1" si="171"/>
        <v>#REF!</v>
      </c>
      <c r="AF605" s="125" t="e">
        <f t="shared" ca="1" si="172"/>
        <v>#REF!</v>
      </c>
      <c r="AG605" s="125" t="e">
        <f t="shared" ca="1" si="166"/>
        <v>#REF!</v>
      </c>
      <c r="AH605" s="128" t="e">
        <f t="shared" ca="1" si="173"/>
        <v>#REF!</v>
      </c>
    </row>
    <row r="606" spans="4:34">
      <c r="D606">
        <v>599</v>
      </c>
      <c r="E606" s="6">
        <f t="shared" ca="1" si="158"/>
        <v>34547</v>
      </c>
      <c r="F606" s="7">
        <f t="shared" ca="1" si="167"/>
        <v>0</v>
      </c>
      <c r="G606" s="125">
        <f t="shared" ca="1" si="159"/>
        <v>0</v>
      </c>
      <c r="H606" s="125">
        <f ca="1">IF(F606=1,F606*$B$10/MIN(12,'Simulador - 3º Pilar'!$E$88),0)</f>
        <v>0</v>
      </c>
      <c r="I606" s="128">
        <f t="shared" ca="1" si="160"/>
        <v>0</v>
      </c>
      <c r="J606" s="494">
        <f t="shared" ca="1" si="161"/>
        <v>0</v>
      </c>
      <c r="K606" s="126">
        <f t="shared" ca="1" si="162"/>
        <v>0</v>
      </c>
      <c r="L606" s="126">
        <f t="shared" ca="1" si="157"/>
        <v>0</v>
      </c>
      <c r="P606">
        <v>599</v>
      </c>
      <c r="Q606" s="6">
        <f t="shared" ca="1" si="163"/>
        <v>34547</v>
      </c>
      <c r="R606" s="7" t="e">
        <f t="shared" ca="1" si="168"/>
        <v>#REF!</v>
      </c>
      <c r="S606" s="125" t="e">
        <f t="shared" ca="1" si="169"/>
        <v>#REF!</v>
      </c>
      <c r="T606" s="125" t="e">
        <f t="shared" ca="1" si="164"/>
        <v>#REF!</v>
      </c>
      <c r="U606" s="128" t="e">
        <f t="shared" ca="1" si="170"/>
        <v>#REF!</v>
      </c>
      <c r="AC606">
        <v>599</v>
      </c>
      <c r="AD606" s="6">
        <f t="shared" ca="1" si="165"/>
        <v>34547</v>
      </c>
      <c r="AE606" s="7" t="e">
        <f t="shared" ca="1" si="171"/>
        <v>#REF!</v>
      </c>
      <c r="AF606" s="125" t="e">
        <f t="shared" ca="1" si="172"/>
        <v>#REF!</v>
      </c>
      <c r="AG606" s="125" t="e">
        <f t="shared" ca="1" si="166"/>
        <v>#REF!</v>
      </c>
      <c r="AH606" s="128" t="e">
        <f t="shared" ca="1" si="173"/>
        <v>#REF!</v>
      </c>
    </row>
    <row r="607" spans="4:34">
      <c r="D607">
        <v>600</v>
      </c>
      <c r="E607" s="6">
        <f t="shared" ca="1" si="158"/>
        <v>34516</v>
      </c>
      <c r="F607" s="7">
        <f t="shared" ca="1" si="167"/>
        <v>0</v>
      </c>
      <c r="G607" s="125">
        <f t="shared" ca="1" si="159"/>
        <v>0</v>
      </c>
      <c r="H607" s="125">
        <f ca="1">IF(F607=1,F607*$B$10/MIN(12,'Simulador - 3º Pilar'!$E$88),0)</f>
        <v>0</v>
      </c>
      <c r="I607" s="128">
        <f t="shared" ca="1" si="160"/>
        <v>0</v>
      </c>
      <c r="J607" s="494">
        <f t="shared" ca="1" si="161"/>
        <v>0</v>
      </c>
      <c r="K607" s="126">
        <f t="shared" ca="1" si="162"/>
        <v>0</v>
      </c>
      <c r="L607" s="126">
        <f t="shared" ca="1" si="157"/>
        <v>0</v>
      </c>
      <c r="P607">
        <v>600</v>
      </c>
      <c r="Q607" s="6">
        <f t="shared" ca="1" si="163"/>
        <v>34516</v>
      </c>
      <c r="R607" s="7" t="e">
        <f t="shared" ca="1" si="168"/>
        <v>#REF!</v>
      </c>
      <c r="S607" s="125" t="e">
        <f t="shared" ca="1" si="169"/>
        <v>#REF!</v>
      </c>
      <c r="T607" s="125" t="e">
        <f t="shared" ca="1" si="164"/>
        <v>#REF!</v>
      </c>
      <c r="U607" s="128" t="e">
        <f t="shared" ca="1" si="170"/>
        <v>#REF!</v>
      </c>
      <c r="AC607">
        <v>600</v>
      </c>
      <c r="AD607" s="6">
        <f t="shared" ca="1" si="165"/>
        <v>34516</v>
      </c>
      <c r="AE607" s="7" t="e">
        <f t="shared" ca="1" si="171"/>
        <v>#REF!</v>
      </c>
      <c r="AF607" s="125" t="e">
        <f t="shared" ca="1" si="172"/>
        <v>#REF!</v>
      </c>
      <c r="AG607" s="125" t="e">
        <f t="shared" ca="1" si="166"/>
        <v>#REF!</v>
      </c>
      <c r="AH607" s="128" t="e">
        <f t="shared" ca="1" si="173"/>
        <v>#REF!</v>
      </c>
    </row>
    <row r="608" spans="4:34">
      <c r="D608">
        <v>601</v>
      </c>
      <c r="E608" s="6">
        <f t="shared" ca="1" si="158"/>
        <v>34486</v>
      </c>
      <c r="F608" s="7">
        <f t="shared" ca="1" si="167"/>
        <v>0</v>
      </c>
      <c r="G608" s="125">
        <f t="shared" ca="1" si="159"/>
        <v>0</v>
      </c>
      <c r="H608" s="125">
        <f ca="1">IF(F608=1,F608*$B$10/MIN(12,'Simulador - 3º Pilar'!$E$88),0)</f>
        <v>0</v>
      </c>
      <c r="I608" s="128">
        <f t="shared" ca="1" si="160"/>
        <v>0</v>
      </c>
      <c r="J608" s="494">
        <f t="shared" ca="1" si="161"/>
        <v>0</v>
      </c>
      <c r="K608" s="126">
        <f t="shared" ca="1" si="162"/>
        <v>0</v>
      </c>
      <c r="L608" s="126">
        <f t="shared" ca="1" si="157"/>
        <v>0</v>
      </c>
      <c r="P608">
        <v>601</v>
      </c>
      <c r="Q608" s="6">
        <f t="shared" ca="1" si="163"/>
        <v>34486</v>
      </c>
      <c r="R608" s="7" t="e">
        <f t="shared" ca="1" si="168"/>
        <v>#REF!</v>
      </c>
      <c r="S608" s="125" t="e">
        <f t="shared" ca="1" si="169"/>
        <v>#REF!</v>
      </c>
      <c r="T608" s="125" t="e">
        <f t="shared" ca="1" si="164"/>
        <v>#REF!</v>
      </c>
      <c r="U608" s="128" t="e">
        <f t="shared" ca="1" si="170"/>
        <v>#REF!</v>
      </c>
      <c r="AC608">
        <v>601</v>
      </c>
      <c r="AD608" s="6">
        <f t="shared" ca="1" si="165"/>
        <v>34486</v>
      </c>
      <c r="AE608" s="7" t="e">
        <f t="shared" ca="1" si="171"/>
        <v>#REF!</v>
      </c>
      <c r="AF608" s="125" t="e">
        <f t="shared" ca="1" si="172"/>
        <v>#REF!</v>
      </c>
      <c r="AG608" s="125" t="e">
        <f t="shared" ca="1" si="166"/>
        <v>#REF!</v>
      </c>
      <c r="AH608" s="128" t="e">
        <f t="shared" ca="1" si="173"/>
        <v>#REF!</v>
      </c>
    </row>
    <row r="609" spans="4:34">
      <c r="D609">
        <v>602</v>
      </c>
      <c r="E609" s="6">
        <f t="shared" ca="1" si="158"/>
        <v>34455</v>
      </c>
      <c r="F609" s="7">
        <f t="shared" ca="1" si="167"/>
        <v>0</v>
      </c>
      <c r="G609" s="125">
        <f t="shared" ca="1" si="159"/>
        <v>0</v>
      </c>
      <c r="H609" s="125">
        <f ca="1">IF(F609=1,F609*$B$10/MIN(12,'Simulador - 3º Pilar'!$E$88),0)</f>
        <v>0</v>
      </c>
      <c r="I609" s="128">
        <f t="shared" ca="1" si="160"/>
        <v>0</v>
      </c>
      <c r="J609" s="494">
        <f t="shared" ca="1" si="161"/>
        <v>0</v>
      </c>
      <c r="K609" s="126">
        <f t="shared" ca="1" si="162"/>
        <v>0</v>
      </c>
      <c r="L609" s="126">
        <f t="shared" ref="L609:L672" ca="1" si="174">(1+$G$5)^(D609/12)*(IF((E609)&gt;($B$6),H609,0)+IF(E609=$N$7,$N$4,0)+IF(E609=$C$6,0,0))</f>
        <v>0</v>
      </c>
      <c r="P609">
        <v>602</v>
      </c>
      <c r="Q609" s="6">
        <f t="shared" ca="1" si="163"/>
        <v>34455</v>
      </c>
      <c r="R609" s="7" t="e">
        <f t="shared" ca="1" si="168"/>
        <v>#REF!</v>
      </c>
      <c r="S609" s="125" t="e">
        <f t="shared" ca="1" si="169"/>
        <v>#REF!</v>
      </c>
      <c r="T609" s="125" t="e">
        <f t="shared" ca="1" si="164"/>
        <v>#REF!</v>
      </c>
      <c r="U609" s="128" t="e">
        <f t="shared" ca="1" si="170"/>
        <v>#REF!</v>
      </c>
      <c r="AC609">
        <v>602</v>
      </c>
      <c r="AD609" s="6">
        <f t="shared" ca="1" si="165"/>
        <v>34455</v>
      </c>
      <c r="AE609" s="7" t="e">
        <f t="shared" ca="1" si="171"/>
        <v>#REF!</v>
      </c>
      <c r="AF609" s="125" t="e">
        <f t="shared" ca="1" si="172"/>
        <v>#REF!</v>
      </c>
      <c r="AG609" s="125" t="e">
        <f t="shared" ca="1" si="166"/>
        <v>#REF!</v>
      </c>
      <c r="AH609" s="128" t="e">
        <f t="shared" ca="1" si="173"/>
        <v>#REF!</v>
      </c>
    </row>
    <row r="610" spans="4:34">
      <c r="D610">
        <v>603</v>
      </c>
      <c r="E610" s="6">
        <f t="shared" ca="1" si="158"/>
        <v>34425</v>
      </c>
      <c r="F610" s="7">
        <f t="shared" ca="1" si="167"/>
        <v>0</v>
      </c>
      <c r="G610" s="125">
        <f t="shared" ca="1" si="159"/>
        <v>0</v>
      </c>
      <c r="H610" s="125">
        <f ca="1">IF(F610=1,F610*$B$10/MIN(12,'Simulador - 3º Pilar'!$E$88),0)</f>
        <v>0</v>
      </c>
      <c r="I610" s="128">
        <f t="shared" ca="1" si="160"/>
        <v>0</v>
      </c>
      <c r="J610" s="494">
        <f t="shared" ca="1" si="161"/>
        <v>0</v>
      </c>
      <c r="K610" s="126">
        <f t="shared" ca="1" si="162"/>
        <v>0</v>
      </c>
      <c r="L610" s="126">
        <f t="shared" ca="1" si="174"/>
        <v>0</v>
      </c>
      <c r="P610">
        <v>603</v>
      </c>
      <c r="Q610" s="6">
        <f t="shared" ca="1" si="163"/>
        <v>34425</v>
      </c>
      <c r="R610" s="7" t="e">
        <f t="shared" ca="1" si="168"/>
        <v>#REF!</v>
      </c>
      <c r="S610" s="125" t="e">
        <f t="shared" ca="1" si="169"/>
        <v>#REF!</v>
      </c>
      <c r="T610" s="125" t="e">
        <f t="shared" ca="1" si="164"/>
        <v>#REF!</v>
      </c>
      <c r="U610" s="128" t="e">
        <f t="shared" ca="1" si="170"/>
        <v>#REF!</v>
      </c>
      <c r="AC610">
        <v>603</v>
      </c>
      <c r="AD610" s="6">
        <f t="shared" ca="1" si="165"/>
        <v>34425</v>
      </c>
      <c r="AE610" s="7" t="e">
        <f t="shared" ca="1" si="171"/>
        <v>#REF!</v>
      </c>
      <c r="AF610" s="125" t="e">
        <f t="shared" ca="1" si="172"/>
        <v>#REF!</v>
      </c>
      <c r="AG610" s="125" t="e">
        <f t="shared" ca="1" si="166"/>
        <v>#REF!</v>
      </c>
      <c r="AH610" s="128" t="e">
        <f t="shared" ca="1" si="173"/>
        <v>#REF!</v>
      </c>
    </row>
    <row r="611" spans="4:34">
      <c r="D611">
        <v>604</v>
      </c>
      <c r="E611" s="6">
        <f t="shared" ca="1" si="158"/>
        <v>34394</v>
      </c>
      <c r="F611" s="7">
        <f t="shared" ca="1" si="167"/>
        <v>0</v>
      </c>
      <c r="G611" s="125">
        <f t="shared" ca="1" si="159"/>
        <v>0</v>
      </c>
      <c r="H611" s="125">
        <f ca="1">IF(F611=1,F611*$B$10/MIN(12,'Simulador - 3º Pilar'!$E$88),0)</f>
        <v>0</v>
      </c>
      <c r="I611" s="128">
        <f t="shared" ca="1" si="160"/>
        <v>0</v>
      </c>
      <c r="J611" s="494">
        <f t="shared" ca="1" si="161"/>
        <v>0</v>
      </c>
      <c r="K611" s="126">
        <f t="shared" ca="1" si="162"/>
        <v>0</v>
      </c>
      <c r="L611" s="126">
        <f t="shared" ca="1" si="174"/>
        <v>0</v>
      </c>
      <c r="P611">
        <v>604</v>
      </c>
      <c r="Q611" s="6">
        <f t="shared" ca="1" si="163"/>
        <v>34394</v>
      </c>
      <c r="R611" s="7" t="e">
        <f t="shared" ca="1" si="168"/>
        <v>#REF!</v>
      </c>
      <c r="S611" s="125" t="e">
        <f t="shared" ca="1" si="169"/>
        <v>#REF!</v>
      </c>
      <c r="T611" s="125" t="e">
        <f t="shared" ca="1" si="164"/>
        <v>#REF!</v>
      </c>
      <c r="U611" s="128" t="e">
        <f t="shared" ca="1" si="170"/>
        <v>#REF!</v>
      </c>
      <c r="AC611">
        <v>604</v>
      </c>
      <c r="AD611" s="6">
        <f t="shared" ca="1" si="165"/>
        <v>34394</v>
      </c>
      <c r="AE611" s="7" t="e">
        <f t="shared" ca="1" si="171"/>
        <v>#REF!</v>
      </c>
      <c r="AF611" s="125" t="e">
        <f t="shared" ca="1" si="172"/>
        <v>#REF!</v>
      </c>
      <c r="AG611" s="125" t="e">
        <f t="shared" ca="1" si="166"/>
        <v>#REF!</v>
      </c>
      <c r="AH611" s="128" t="e">
        <f t="shared" ca="1" si="173"/>
        <v>#REF!</v>
      </c>
    </row>
    <row r="612" spans="4:34">
      <c r="D612">
        <v>605</v>
      </c>
      <c r="E612" s="6">
        <f t="shared" ca="1" si="158"/>
        <v>34366</v>
      </c>
      <c r="F612" s="7">
        <f t="shared" ca="1" si="167"/>
        <v>0</v>
      </c>
      <c r="G612" s="125">
        <f t="shared" ca="1" si="159"/>
        <v>0</v>
      </c>
      <c r="H612" s="125">
        <f ca="1">IF(F612=1,F612*$B$10/MIN(12,'Simulador - 3º Pilar'!$E$88),0)</f>
        <v>0</v>
      </c>
      <c r="I612" s="128">
        <f t="shared" ca="1" si="160"/>
        <v>0</v>
      </c>
      <c r="J612" s="494">
        <f t="shared" ca="1" si="161"/>
        <v>0</v>
      </c>
      <c r="K612" s="126">
        <f t="shared" ca="1" si="162"/>
        <v>0</v>
      </c>
      <c r="L612" s="126">
        <f t="shared" ca="1" si="174"/>
        <v>0</v>
      </c>
      <c r="P612">
        <v>605</v>
      </c>
      <c r="Q612" s="6">
        <f t="shared" ca="1" si="163"/>
        <v>34366</v>
      </c>
      <c r="R612" s="7" t="e">
        <f t="shared" ca="1" si="168"/>
        <v>#REF!</v>
      </c>
      <c r="S612" s="125" t="e">
        <f t="shared" ca="1" si="169"/>
        <v>#REF!</v>
      </c>
      <c r="T612" s="125" t="e">
        <f t="shared" ca="1" si="164"/>
        <v>#REF!</v>
      </c>
      <c r="U612" s="128" t="e">
        <f t="shared" ca="1" si="170"/>
        <v>#REF!</v>
      </c>
      <c r="AC612">
        <v>605</v>
      </c>
      <c r="AD612" s="6">
        <f t="shared" ca="1" si="165"/>
        <v>34366</v>
      </c>
      <c r="AE612" s="7" t="e">
        <f t="shared" ca="1" si="171"/>
        <v>#REF!</v>
      </c>
      <c r="AF612" s="125" t="e">
        <f t="shared" ca="1" si="172"/>
        <v>#REF!</v>
      </c>
      <c r="AG612" s="125" t="e">
        <f t="shared" ca="1" si="166"/>
        <v>#REF!</v>
      </c>
      <c r="AH612" s="128" t="e">
        <f t="shared" ca="1" si="173"/>
        <v>#REF!</v>
      </c>
    </row>
    <row r="613" spans="4:34">
      <c r="D613">
        <v>606</v>
      </c>
      <c r="E613" s="6">
        <f t="shared" ca="1" si="158"/>
        <v>34335</v>
      </c>
      <c r="F613" s="7">
        <f t="shared" ca="1" si="167"/>
        <v>0</v>
      </c>
      <c r="G613" s="125">
        <f t="shared" ca="1" si="159"/>
        <v>0</v>
      </c>
      <c r="H613" s="125">
        <f ca="1">IF(F613=1,F613*$B$10/MIN(12,'Simulador - 3º Pilar'!$E$88),0)</f>
        <v>0</v>
      </c>
      <c r="I613" s="128">
        <f t="shared" ca="1" si="160"/>
        <v>0</v>
      </c>
      <c r="J613" s="494">
        <f t="shared" ca="1" si="161"/>
        <v>0</v>
      </c>
      <c r="K613" s="126">
        <f t="shared" ca="1" si="162"/>
        <v>0</v>
      </c>
      <c r="L613" s="126">
        <f t="shared" ca="1" si="174"/>
        <v>0</v>
      </c>
      <c r="P613">
        <v>606</v>
      </c>
      <c r="Q613" s="6">
        <f t="shared" ca="1" si="163"/>
        <v>34335</v>
      </c>
      <c r="R613" s="7" t="e">
        <f t="shared" ca="1" si="168"/>
        <v>#REF!</v>
      </c>
      <c r="S613" s="125" t="e">
        <f t="shared" ca="1" si="169"/>
        <v>#REF!</v>
      </c>
      <c r="T613" s="125" t="e">
        <f t="shared" ca="1" si="164"/>
        <v>#REF!</v>
      </c>
      <c r="U613" s="128" t="e">
        <f t="shared" ca="1" si="170"/>
        <v>#REF!</v>
      </c>
      <c r="AC613">
        <v>606</v>
      </c>
      <c r="AD613" s="6">
        <f t="shared" ca="1" si="165"/>
        <v>34335</v>
      </c>
      <c r="AE613" s="7" t="e">
        <f t="shared" ca="1" si="171"/>
        <v>#REF!</v>
      </c>
      <c r="AF613" s="125" t="e">
        <f t="shared" ca="1" si="172"/>
        <v>#REF!</v>
      </c>
      <c r="AG613" s="125" t="e">
        <f t="shared" ca="1" si="166"/>
        <v>#REF!</v>
      </c>
      <c r="AH613" s="128" t="e">
        <f t="shared" ca="1" si="173"/>
        <v>#REF!</v>
      </c>
    </row>
    <row r="614" spans="4:34">
      <c r="D614">
        <v>607</v>
      </c>
      <c r="E614" s="6">
        <f t="shared" ca="1" si="158"/>
        <v>34304</v>
      </c>
      <c r="F614" s="7">
        <f t="shared" ca="1" si="167"/>
        <v>0</v>
      </c>
      <c r="G614" s="125">
        <f t="shared" ca="1" si="159"/>
        <v>0</v>
      </c>
      <c r="H614" s="125">
        <f ca="1">IF(F614=1,F614*$B$10/MIN(12,'Simulador - 3º Pilar'!$E$88),0)</f>
        <v>0</v>
      </c>
      <c r="I614" s="128">
        <f t="shared" ca="1" si="160"/>
        <v>0</v>
      </c>
      <c r="J614" s="494">
        <f t="shared" ca="1" si="161"/>
        <v>0</v>
      </c>
      <c r="K614" s="126">
        <f t="shared" ca="1" si="162"/>
        <v>0</v>
      </c>
      <c r="L614" s="126">
        <f t="shared" ca="1" si="174"/>
        <v>0</v>
      </c>
      <c r="P614">
        <v>607</v>
      </c>
      <c r="Q614" s="6">
        <f t="shared" ca="1" si="163"/>
        <v>34304</v>
      </c>
      <c r="R614" s="7" t="e">
        <f t="shared" ca="1" si="168"/>
        <v>#REF!</v>
      </c>
      <c r="S614" s="125" t="e">
        <f t="shared" ca="1" si="169"/>
        <v>#REF!</v>
      </c>
      <c r="T614" s="125" t="e">
        <f t="shared" ca="1" si="164"/>
        <v>#REF!</v>
      </c>
      <c r="U614" s="128" t="e">
        <f t="shared" ca="1" si="170"/>
        <v>#REF!</v>
      </c>
      <c r="AC614">
        <v>607</v>
      </c>
      <c r="AD614" s="6">
        <f t="shared" ca="1" si="165"/>
        <v>34304</v>
      </c>
      <c r="AE614" s="7" t="e">
        <f t="shared" ca="1" si="171"/>
        <v>#REF!</v>
      </c>
      <c r="AF614" s="125" t="e">
        <f t="shared" ca="1" si="172"/>
        <v>#REF!</v>
      </c>
      <c r="AG614" s="125" t="e">
        <f t="shared" ca="1" si="166"/>
        <v>#REF!</v>
      </c>
      <c r="AH614" s="128" t="e">
        <f t="shared" ca="1" si="173"/>
        <v>#REF!</v>
      </c>
    </row>
    <row r="615" spans="4:34">
      <c r="D615">
        <v>608</v>
      </c>
      <c r="E615" s="6">
        <f t="shared" ca="1" si="158"/>
        <v>34274</v>
      </c>
      <c r="F615" s="7">
        <f t="shared" ca="1" si="167"/>
        <v>0</v>
      </c>
      <c r="G615" s="125">
        <f t="shared" ca="1" si="159"/>
        <v>0</v>
      </c>
      <c r="H615" s="125">
        <f ca="1">IF(F615=1,F615*$B$10/MIN(12,'Simulador - 3º Pilar'!$E$88),0)</f>
        <v>0</v>
      </c>
      <c r="I615" s="128">
        <f t="shared" ca="1" si="160"/>
        <v>0</v>
      </c>
      <c r="J615" s="494">
        <f t="shared" ca="1" si="161"/>
        <v>0</v>
      </c>
      <c r="K615" s="126">
        <f t="shared" ca="1" si="162"/>
        <v>0</v>
      </c>
      <c r="L615" s="126">
        <f t="shared" ca="1" si="174"/>
        <v>0</v>
      </c>
      <c r="P615">
        <v>608</v>
      </c>
      <c r="Q615" s="6">
        <f t="shared" ca="1" si="163"/>
        <v>34274</v>
      </c>
      <c r="R615" s="7" t="e">
        <f t="shared" ca="1" si="168"/>
        <v>#REF!</v>
      </c>
      <c r="S615" s="125" t="e">
        <f t="shared" ca="1" si="169"/>
        <v>#REF!</v>
      </c>
      <c r="T615" s="125" t="e">
        <f t="shared" ca="1" si="164"/>
        <v>#REF!</v>
      </c>
      <c r="U615" s="128" t="e">
        <f t="shared" ca="1" si="170"/>
        <v>#REF!</v>
      </c>
      <c r="AC615">
        <v>608</v>
      </c>
      <c r="AD615" s="6">
        <f t="shared" ca="1" si="165"/>
        <v>34274</v>
      </c>
      <c r="AE615" s="7" t="e">
        <f t="shared" ca="1" si="171"/>
        <v>#REF!</v>
      </c>
      <c r="AF615" s="125" t="e">
        <f t="shared" ca="1" si="172"/>
        <v>#REF!</v>
      </c>
      <c r="AG615" s="125" t="e">
        <f t="shared" ca="1" si="166"/>
        <v>#REF!</v>
      </c>
      <c r="AH615" s="128" t="e">
        <f t="shared" ca="1" si="173"/>
        <v>#REF!</v>
      </c>
    </row>
    <row r="616" spans="4:34">
      <c r="D616">
        <v>609</v>
      </c>
      <c r="E616" s="6">
        <f t="shared" ca="1" si="158"/>
        <v>34243</v>
      </c>
      <c r="F616" s="7">
        <f t="shared" ca="1" si="167"/>
        <v>0</v>
      </c>
      <c r="G616" s="125">
        <f t="shared" ca="1" si="159"/>
        <v>0</v>
      </c>
      <c r="H616" s="125">
        <f ca="1">IF(F616=1,F616*$B$10/MIN(12,'Simulador - 3º Pilar'!$E$88),0)</f>
        <v>0</v>
      </c>
      <c r="I616" s="128">
        <f t="shared" ca="1" si="160"/>
        <v>0</v>
      </c>
      <c r="J616" s="494">
        <f t="shared" ca="1" si="161"/>
        <v>0</v>
      </c>
      <c r="K616" s="126">
        <f t="shared" ca="1" si="162"/>
        <v>0</v>
      </c>
      <c r="L616" s="126">
        <f t="shared" ca="1" si="174"/>
        <v>0</v>
      </c>
      <c r="P616">
        <v>609</v>
      </c>
      <c r="Q616" s="6">
        <f t="shared" ca="1" si="163"/>
        <v>34243</v>
      </c>
      <c r="R616" s="7" t="e">
        <f t="shared" ca="1" si="168"/>
        <v>#REF!</v>
      </c>
      <c r="S616" s="125" t="e">
        <f t="shared" ca="1" si="169"/>
        <v>#REF!</v>
      </c>
      <c r="T616" s="125" t="e">
        <f t="shared" ca="1" si="164"/>
        <v>#REF!</v>
      </c>
      <c r="U616" s="128" t="e">
        <f t="shared" ca="1" si="170"/>
        <v>#REF!</v>
      </c>
      <c r="AC616">
        <v>609</v>
      </c>
      <c r="AD616" s="6">
        <f t="shared" ca="1" si="165"/>
        <v>34243</v>
      </c>
      <c r="AE616" s="7" t="e">
        <f t="shared" ca="1" si="171"/>
        <v>#REF!</v>
      </c>
      <c r="AF616" s="125" t="e">
        <f t="shared" ca="1" si="172"/>
        <v>#REF!</v>
      </c>
      <c r="AG616" s="125" t="e">
        <f t="shared" ca="1" si="166"/>
        <v>#REF!</v>
      </c>
      <c r="AH616" s="128" t="e">
        <f t="shared" ca="1" si="173"/>
        <v>#REF!</v>
      </c>
    </row>
    <row r="617" spans="4:34">
      <c r="D617">
        <v>610</v>
      </c>
      <c r="E617" s="6">
        <f t="shared" ca="1" si="158"/>
        <v>34213</v>
      </c>
      <c r="F617" s="7">
        <f t="shared" ca="1" si="167"/>
        <v>0</v>
      </c>
      <c r="G617" s="125">
        <f t="shared" ca="1" si="159"/>
        <v>0</v>
      </c>
      <c r="H617" s="125">
        <f ca="1">IF(F617=1,F617*$B$10/MIN(12,'Simulador - 3º Pilar'!$E$88),0)</f>
        <v>0</v>
      </c>
      <c r="I617" s="128">
        <f t="shared" ca="1" si="160"/>
        <v>0</v>
      </c>
      <c r="J617" s="494">
        <f t="shared" ca="1" si="161"/>
        <v>0</v>
      </c>
      <c r="K617" s="126">
        <f t="shared" ca="1" si="162"/>
        <v>0</v>
      </c>
      <c r="L617" s="126">
        <f t="shared" ca="1" si="174"/>
        <v>0</v>
      </c>
      <c r="P617">
        <v>610</v>
      </c>
      <c r="Q617" s="6">
        <f t="shared" ca="1" si="163"/>
        <v>34213</v>
      </c>
      <c r="R617" s="7" t="e">
        <f t="shared" ca="1" si="168"/>
        <v>#REF!</v>
      </c>
      <c r="S617" s="125" t="e">
        <f t="shared" ca="1" si="169"/>
        <v>#REF!</v>
      </c>
      <c r="T617" s="125" t="e">
        <f t="shared" ca="1" si="164"/>
        <v>#REF!</v>
      </c>
      <c r="U617" s="128" t="e">
        <f t="shared" ca="1" si="170"/>
        <v>#REF!</v>
      </c>
      <c r="AC617">
        <v>610</v>
      </c>
      <c r="AD617" s="6">
        <f t="shared" ca="1" si="165"/>
        <v>34213</v>
      </c>
      <c r="AE617" s="7" t="e">
        <f t="shared" ca="1" si="171"/>
        <v>#REF!</v>
      </c>
      <c r="AF617" s="125" t="e">
        <f t="shared" ca="1" si="172"/>
        <v>#REF!</v>
      </c>
      <c r="AG617" s="125" t="e">
        <f t="shared" ca="1" si="166"/>
        <v>#REF!</v>
      </c>
      <c r="AH617" s="128" t="e">
        <f t="shared" ca="1" si="173"/>
        <v>#REF!</v>
      </c>
    </row>
    <row r="618" spans="4:34">
      <c r="D618">
        <v>611</v>
      </c>
      <c r="E618" s="6">
        <f t="shared" ca="1" si="158"/>
        <v>34182</v>
      </c>
      <c r="F618" s="7">
        <f t="shared" ca="1" si="167"/>
        <v>0</v>
      </c>
      <c r="G618" s="125">
        <f t="shared" ca="1" si="159"/>
        <v>0</v>
      </c>
      <c r="H618" s="125">
        <f ca="1">IF(F618=1,F618*$B$10/MIN(12,'Simulador - 3º Pilar'!$E$88),0)</f>
        <v>0</v>
      </c>
      <c r="I618" s="128">
        <f t="shared" ca="1" si="160"/>
        <v>0</v>
      </c>
      <c r="J618" s="494">
        <f t="shared" ca="1" si="161"/>
        <v>0</v>
      </c>
      <c r="K618" s="126">
        <f t="shared" ca="1" si="162"/>
        <v>0</v>
      </c>
      <c r="L618" s="126">
        <f t="shared" ca="1" si="174"/>
        <v>0</v>
      </c>
      <c r="P618">
        <v>611</v>
      </c>
      <c r="Q618" s="6">
        <f t="shared" ca="1" si="163"/>
        <v>34182</v>
      </c>
      <c r="R618" s="7" t="e">
        <f t="shared" ca="1" si="168"/>
        <v>#REF!</v>
      </c>
      <c r="S618" s="125" t="e">
        <f t="shared" ca="1" si="169"/>
        <v>#REF!</v>
      </c>
      <c r="T618" s="125" t="e">
        <f t="shared" ca="1" si="164"/>
        <v>#REF!</v>
      </c>
      <c r="U618" s="128" t="e">
        <f t="shared" ca="1" si="170"/>
        <v>#REF!</v>
      </c>
      <c r="AC618">
        <v>611</v>
      </c>
      <c r="AD618" s="6">
        <f t="shared" ca="1" si="165"/>
        <v>34182</v>
      </c>
      <c r="AE618" s="7" t="e">
        <f t="shared" ca="1" si="171"/>
        <v>#REF!</v>
      </c>
      <c r="AF618" s="125" t="e">
        <f t="shared" ca="1" si="172"/>
        <v>#REF!</v>
      </c>
      <c r="AG618" s="125" t="e">
        <f t="shared" ca="1" si="166"/>
        <v>#REF!</v>
      </c>
      <c r="AH618" s="128" t="e">
        <f t="shared" ca="1" si="173"/>
        <v>#REF!</v>
      </c>
    </row>
    <row r="619" spans="4:34">
      <c r="D619">
        <v>612</v>
      </c>
      <c r="E619" s="6">
        <f t="shared" ca="1" si="158"/>
        <v>34151</v>
      </c>
      <c r="F619" s="7">
        <f t="shared" ca="1" si="167"/>
        <v>0</v>
      </c>
      <c r="G619" s="125">
        <f t="shared" ca="1" si="159"/>
        <v>0</v>
      </c>
      <c r="H619" s="125">
        <f ca="1">IF(F619=1,F619*$B$10/MIN(12,'Simulador - 3º Pilar'!$E$88),0)</f>
        <v>0</v>
      </c>
      <c r="I619" s="128">
        <f t="shared" ca="1" si="160"/>
        <v>0</v>
      </c>
      <c r="J619" s="494">
        <f t="shared" ca="1" si="161"/>
        <v>0</v>
      </c>
      <c r="K619" s="126">
        <f t="shared" ca="1" si="162"/>
        <v>0</v>
      </c>
      <c r="L619" s="126">
        <f t="shared" ca="1" si="174"/>
        <v>0</v>
      </c>
      <c r="P619">
        <v>612</v>
      </c>
      <c r="Q619" s="6">
        <f t="shared" ca="1" si="163"/>
        <v>34151</v>
      </c>
      <c r="R619" s="7" t="e">
        <f t="shared" ca="1" si="168"/>
        <v>#REF!</v>
      </c>
      <c r="S619" s="125" t="e">
        <f t="shared" ca="1" si="169"/>
        <v>#REF!</v>
      </c>
      <c r="T619" s="125" t="e">
        <f t="shared" ca="1" si="164"/>
        <v>#REF!</v>
      </c>
      <c r="U619" s="128" t="e">
        <f t="shared" ca="1" si="170"/>
        <v>#REF!</v>
      </c>
      <c r="AC619">
        <v>612</v>
      </c>
      <c r="AD619" s="6">
        <f t="shared" ca="1" si="165"/>
        <v>34151</v>
      </c>
      <c r="AE619" s="7" t="e">
        <f t="shared" ca="1" si="171"/>
        <v>#REF!</v>
      </c>
      <c r="AF619" s="125" t="e">
        <f t="shared" ca="1" si="172"/>
        <v>#REF!</v>
      </c>
      <c r="AG619" s="125" t="e">
        <f t="shared" ca="1" si="166"/>
        <v>#REF!</v>
      </c>
      <c r="AH619" s="128" t="e">
        <f t="shared" ca="1" si="173"/>
        <v>#REF!</v>
      </c>
    </row>
    <row r="620" spans="4:34">
      <c r="D620">
        <v>613</v>
      </c>
      <c r="E620" s="6">
        <f t="shared" ca="1" si="158"/>
        <v>34121</v>
      </c>
      <c r="F620" s="7">
        <f t="shared" ca="1" si="167"/>
        <v>0</v>
      </c>
      <c r="G620" s="125">
        <f t="shared" ca="1" si="159"/>
        <v>0</v>
      </c>
      <c r="H620" s="125">
        <f ca="1">IF(F620=1,F620*$B$10/MIN(12,'Simulador - 3º Pilar'!$E$88),0)</f>
        <v>0</v>
      </c>
      <c r="I620" s="128">
        <f t="shared" ca="1" si="160"/>
        <v>0</v>
      </c>
      <c r="J620" s="494">
        <f t="shared" ca="1" si="161"/>
        <v>0</v>
      </c>
      <c r="K620" s="126">
        <f t="shared" ca="1" si="162"/>
        <v>0</v>
      </c>
      <c r="L620" s="126">
        <f t="shared" ca="1" si="174"/>
        <v>0</v>
      </c>
      <c r="P620">
        <v>613</v>
      </c>
      <c r="Q620" s="6">
        <f t="shared" ca="1" si="163"/>
        <v>34121</v>
      </c>
      <c r="R620" s="7" t="e">
        <f t="shared" ca="1" si="168"/>
        <v>#REF!</v>
      </c>
      <c r="S620" s="125" t="e">
        <f t="shared" ca="1" si="169"/>
        <v>#REF!</v>
      </c>
      <c r="T620" s="125" t="e">
        <f t="shared" ca="1" si="164"/>
        <v>#REF!</v>
      </c>
      <c r="U620" s="128" t="e">
        <f t="shared" ca="1" si="170"/>
        <v>#REF!</v>
      </c>
      <c r="AC620">
        <v>613</v>
      </c>
      <c r="AD620" s="6">
        <f t="shared" ca="1" si="165"/>
        <v>34121</v>
      </c>
      <c r="AE620" s="7" t="e">
        <f t="shared" ca="1" si="171"/>
        <v>#REF!</v>
      </c>
      <c r="AF620" s="125" t="e">
        <f t="shared" ca="1" si="172"/>
        <v>#REF!</v>
      </c>
      <c r="AG620" s="125" t="e">
        <f t="shared" ca="1" si="166"/>
        <v>#REF!</v>
      </c>
      <c r="AH620" s="128" t="e">
        <f t="shared" ca="1" si="173"/>
        <v>#REF!</v>
      </c>
    </row>
    <row r="621" spans="4:34">
      <c r="D621">
        <v>614</v>
      </c>
      <c r="E621" s="6">
        <f t="shared" ca="1" si="158"/>
        <v>34090</v>
      </c>
      <c r="F621" s="7">
        <f t="shared" ca="1" si="167"/>
        <v>0</v>
      </c>
      <c r="G621" s="125">
        <f t="shared" ca="1" si="159"/>
        <v>0</v>
      </c>
      <c r="H621" s="125">
        <f ca="1">IF(F621=1,F621*$B$10/MIN(12,'Simulador - 3º Pilar'!$E$88),0)</f>
        <v>0</v>
      </c>
      <c r="I621" s="128">
        <f t="shared" ca="1" si="160"/>
        <v>0</v>
      </c>
      <c r="J621" s="494">
        <f t="shared" ca="1" si="161"/>
        <v>0</v>
      </c>
      <c r="K621" s="126">
        <f t="shared" ca="1" si="162"/>
        <v>0</v>
      </c>
      <c r="L621" s="126">
        <f t="shared" ca="1" si="174"/>
        <v>0</v>
      </c>
      <c r="P621">
        <v>614</v>
      </c>
      <c r="Q621" s="6">
        <f t="shared" ca="1" si="163"/>
        <v>34090</v>
      </c>
      <c r="R621" s="7" t="e">
        <f t="shared" ca="1" si="168"/>
        <v>#REF!</v>
      </c>
      <c r="S621" s="125" t="e">
        <f t="shared" ca="1" si="169"/>
        <v>#REF!</v>
      </c>
      <c r="T621" s="125" t="e">
        <f t="shared" ca="1" si="164"/>
        <v>#REF!</v>
      </c>
      <c r="U621" s="128" t="e">
        <f t="shared" ca="1" si="170"/>
        <v>#REF!</v>
      </c>
      <c r="AC621">
        <v>614</v>
      </c>
      <c r="AD621" s="6">
        <f t="shared" ca="1" si="165"/>
        <v>34090</v>
      </c>
      <c r="AE621" s="7" t="e">
        <f t="shared" ca="1" si="171"/>
        <v>#REF!</v>
      </c>
      <c r="AF621" s="125" t="e">
        <f t="shared" ca="1" si="172"/>
        <v>#REF!</v>
      </c>
      <c r="AG621" s="125" t="e">
        <f t="shared" ca="1" si="166"/>
        <v>#REF!</v>
      </c>
      <c r="AH621" s="128" t="e">
        <f t="shared" ca="1" si="173"/>
        <v>#REF!</v>
      </c>
    </row>
    <row r="622" spans="4:34">
      <c r="D622">
        <v>615</v>
      </c>
      <c r="E622" s="6">
        <f t="shared" ca="1" si="158"/>
        <v>34060</v>
      </c>
      <c r="F622" s="7">
        <f t="shared" ca="1" si="167"/>
        <v>0</v>
      </c>
      <c r="G622" s="125">
        <f t="shared" ca="1" si="159"/>
        <v>0</v>
      </c>
      <c r="H622" s="125">
        <f ca="1">IF(F622=1,F622*$B$10/MIN(12,'Simulador - 3º Pilar'!$E$88),0)</f>
        <v>0</v>
      </c>
      <c r="I622" s="128">
        <f t="shared" ca="1" si="160"/>
        <v>0</v>
      </c>
      <c r="J622" s="494">
        <f t="shared" ca="1" si="161"/>
        <v>0</v>
      </c>
      <c r="K622" s="126">
        <f t="shared" ca="1" si="162"/>
        <v>0</v>
      </c>
      <c r="L622" s="126">
        <f t="shared" ca="1" si="174"/>
        <v>0</v>
      </c>
      <c r="P622">
        <v>615</v>
      </c>
      <c r="Q622" s="6">
        <f t="shared" ca="1" si="163"/>
        <v>34060</v>
      </c>
      <c r="R622" s="7" t="e">
        <f t="shared" ca="1" si="168"/>
        <v>#REF!</v>
      </c>
      <c r="S622" s="125" t="e">
        <f t="shared" ca="1" si="169"/>
        <v>#REF!</v>
      </c>
      <c r="T622" s="125" t="e">
        <f t="shared" ca="1" si="164"/>
        <v>#REF!</v>
      </c>
      <c r="U622" s="128" t="e">
        <f t="shared" ca="1" si="170"/>
        <v>#REF!</v>
      </c>
      <c r="AC622">
        <v>615</v>
      </c>
      <c r="AD622" s="6">
        <f t="shared" ca="1" si="165"/>
        <v>34060</v>
      </c>
      <c r="AE622" s="7" t="e">
        <f t="shared" ca="1" si="171"/>
        <v>#REF!</v>
      </c>
      <c r="AF622" s="125" t="e">
        <f t="shared" ca="1" si="172"/>
        <v>#REF!</v>
      </c>
      <c r="AG622" s="125" t="e">
        <f t="shared" ca="1" si="166"/>
        <v>#REF!</v>
      </c>
      <c r="AH622" s="128" t="e">
        <f t="shared" ca="1" si="173"/>
        <v>#REF!</v>
      </c>
    </row>
    <row r="623" spans="4:34">
      <c r="D623">
        <v>616</v>
      </c>
      <c r="E623" s="6">
        <f t="shared" ca="1" si="158"/>
        <v>34029</v>
      </c>
      <c r="F623" s="7">
        <f t="shared" ca="1" si="167"/>
        <v>0</v>
      </c>
      <c r="G623" s="125">
        <f t="shared" ca="1" si="159"/>
        <v>0</v>
      </c>
      <c r="H623" s="125">
        <f ca="1">IF(F623=1,F623*$B$10/MIN(12,'Simulador - 3º Pilar'!$E$88),0)</f>
        <v>0</v>
      </c>
      <c r="I623" s="128">
        <f t="shared" ca="1" si="160"/>
        <v>0</v>
      </c>
      <c r="J623" s="494">
        <f t="shared" ca="1" si="161"/>
        <v>0</v>
      </c>
      <c r="K623" s="126">
        <f t="shared" ca="1" si="162"/>
        <v>0</v>
      </c>
      <c r="L623" s="126">
        <f t="shared" ca="1" si="174"/>
        <v>0</v>
      </c>
      <c r="P623">
        <v>616</v>
      </c>
      <c r="Q623" s="6">
        <f t="shared" ca="1" si="163"/>
        <v>34029</v>
      </c>
      <c r="R623" s="7" t="e">
        <f t="shared" ca="1" si="168"/>
        <v>#REF!</v>
      </c>
      <c r="S623" s="125" t="e">
        <f t="shared" ca="1" si="169"/>
        <v>#REF!</v>
      </c>
      <c r="T623" s="125" t="e">
        <f t="shared" ca="1" si="164"/>
        <v>#REF!</v>
      </c>
      <c r="U623" s="128" t="e">
        <f t="shared" ca="1" si="170"/>
        <v>#REF!</v>
      </c>
      <c r="AC623">
        <v>616</v>
      </c>
      <c r="AD623" s="6">
        <f t="shared" ca="1" si="165"/>
        <v>34029</v>
      </c>
      <c r="AE623" s="7" t="e">
        <f t="shared" ca="1" si="171"/>
        <v>#REF!</v>
      </c>
      <c r="AF623" s="125" t="e">
        <f t="shared" ca="1" si="172"/>
        <v>#REF!</v>
      </c>
      <c r="AG623" s="125" t="e">
        <f t="shared" ca="1" si="166"/>
        <v>#REF!</v>
      </c>
      <c r="AH623" s="128" t="e">
        <f t="shared" ca="1" si="173"/>
        <v>#REF!</v>
      </c>
    </row>
    <row r="624" spans="4:34">
      <c r="D624">
        <v>617</v>
      </c>
      <c r="E624" s="6">
        <f t="shared" ca="1" si="158"/>
        <v>34001</v>
      </c>
      <c r="F624" s="7">
        <f t="shared" ca="1" si="167"/>
        <v>0</v>
      </c>
      <c r="G624" s="125">
        <f t="shared" ca="1" si="159"/>
        <v>0</v>
      </c>
      <c r="H624" s="125">
        <f ca="1">IF(F624=1,F624*$B$10/MIN(12,'Simulador - 3º Pilar'!$E$88),0)</f>
        <v>0</v>
      </c>
      <c r="I624" s="128">
        <f t="shared" ca="1" si="160"/>
        <v>0</v>
      </c>
      <c r="J624" s="494">
        <f t="shared" ca="1" si="161"/>
        <v>0</v>
      </c>
      <c r="K624" s="126">
        <f t="shared" ca="1" si="162"/>
        <v>0</v>
      </c>
      <c r="L624" s="126">
        <f t="shared" ca="1" si="174"/>
        <v>0</v>
      </c>
      <c r="P624">
        <v>617</v>
      </c>
      <c r="Q624" s="6">
        <f t="shared" ca="1" si="163"/>
        <v>34001</v>
      </c>
      <c r="R624" s="7" t="e">
        <f t="shared" ca="1" si="168"/>
        <v>#REF!</v>
      </c>
      <c r="S624" s="125" t="e">
        <f t="shared" ca="1" si="169"/>
        <v>#REF!</v>
      </c>
      <c r="T624" s="125" t="e">
        <f t="shared" ca="1" si="164"/>
        <v>#REF!</v>
      </c>
      <c r="U624" s="128" t="e">
        <f t="shared" ca="1" si="170"/>
        <v>#REF!</v>
      </c>
      <c r="AC624">
        <v>617</v>
      </c>
      <c r="AD624" s="6">
        <f t="shared" ca="1" si="165"/>
        <v>34001</v>
      </c>
      <c r="AE624" s="7" t="e">
        <f t="shared" ca="1" si="171"/>
        <v>#REF!</v>
      </c>
      <c r="AF624" s="125" t="e">
        <f t="shared" ca="1" si="172"/>
        <v>#REF!</v>
      </c>
      <c r="AG624" s="125" t="e">
        <f t="shared" ca="1" si="166"/>
        <v>#REF!</v>
      </c>
      <c r="AH624" s="128" t="e">
        <f t="shared" ca="1" si="173"/>
        <v>#REF!</v>
      </c>
    </row>
    <row r="625" spans="4:34">
      <c r="D625">
        <v>618</v>
      </c>
      <c r="E625" s="6">
        <f t="shared" ca="1" si="158"/>
        <v>33970</v>
      </c>
      <c r="F625" s="7">
        <f t="shared" ca="1" si="167"/>
        <v>0</v>
      </c>
      <c r="G625" s="125">
        <f t="shared" ca="1" si="159"/>
        <v>0</v>
      </c>
      <c r="H625" s="125">
        <f ca="1">IF(F625=1,F625*$B$10/MIN(12,'Simulador - 3º Pilar'!$E$88),0)</f>
        <v>0</v>
      </c>
      <c r="I625" s="128">
        <f t="shared" ca="1" si="160"/>
        <v>0</v>
      </c>
      <c r="J625" s="494">
        <f t="shared" ca="1" si="161"/>
        <v>0</v>
      </c>
      <c r="K625" s="126">
        <f t="shared" ca="1" si="162"/>
        <v>0</v>
      </c>
      <c r="L625" s="126">
        <f t="shared" ca="1" si="174"/>
        <v>0</v>
      </c>
      <c r="P625">
        <v>618</v>
      </c>
      <c r="Q625" s="6">
        <f t="shared" ca="1" si="163"/>
        <v>33970</v>
      </c>
      <c r="R625" s="7" t="e">
        <f t="shared" ca="1" si="168"/>
        <v>#REF!</v>
      </c>
      <c r="S625" s="125" t="e">
        <f t="shared" ca="1" si="169"/>
        <v>#REF!</v>
      </c>
      <c r="T625" s="125" t="e">
        <f t="shared" ca="1" si="164"/>
        <v>#REF!</v>
      </c>
      <c r="U625" s="128" t="e">
        <f t="shared" ca="1" si="170"/>
        <v>#REF!</v>
      </c>
      <c r="AC625">
        <v>618</v>
      </c>
      <c r="AD625" s="6">
        <f t="shared" ca="1" si="165"/>
        <v>33970</v>
      </c>
      <c r="AE625" s="7" t="e">
        <f t="shared" ca="1" si="171"/>
        <v>#REF!</v>
      </c>
      <c r="AF625" s="125" t="e">
        <f t="shared" ca="1" si="172"/>
        <v>#REF!</v>
      </c>
      <c r="AG625" s="125" t="e">
        <f t="shared" ca="1" si="166"/>
        <v>#REF!</v>
      </c>
      <c r="AH625" s="128" t="e">
        <f t="shared" ca="1" si="173"/>
        <v>#REF!</v>
      </c>
    </row>
    <row r="626" spans="4:34">
      <c r="D626">
        <v>619</v>
      </c>
      <c r="E626" s="6">
        <f t="shared" ca="1" si="158"/>
        <v>33939</v>
      </c>
      <c r="F626" s="7">
        <f t="shared" ca="1" si="167"/>
        <v>0</v>
      </c>
      <c r="G626" s="125">
        <f t="shared" ca="1" si="159"/>
        <v>0</v>
      </c>
      <c r="H626" s="125">
        <f ca="1">IF(F626=1,F626*$B$10/MIN(12,'Simulador - 3º Pilar'!$E$88),0)</f>
        <v>0</v>
      </c>
      <c r="I626" s="128">
        <f t="shared" ca="1" si="160"/>
        <v>0</v>
      </c>
      <c r="J626" s="494">
        <f t="shared" ca="1" si="161"/>
        <v>0</v>
      </c>
      <c r="K626" s="126">
        <f t="shared" ca="1" si="162"/>
        <v>0</v>
      </c>
      <c r="L626" s="126">
        <f t="shared" ca="1" si="174"/>
        <v>0</v>
      </c>
      <c r="P626">
        <v>619</v>
      </c>
      <c r="Q626" s="6">
        <f t="shared" ca="1" si="163"/>
        <v>33939</v>
      </c>
      <c r="R626" s="7" t="e">
        <f t="shared" ca="1" si="168"/>
        <v>#REF!</v>
      </c>
      <c r="S626" s="125" t="e">
        <f t="shared" ca="1" si="169"/>
        <v>#REF!</v>
      </c>
      <c r="T626" s="125" t="e">
        <f t="shared" ca="1" si="164"/>
        <v>#REF!</v>
      </c>
      <c r="U626" s="128" t="e">
        <f t="shared" ca="1" si="170"/>
        <v>#REF!</v>
      </c>
      <c r="AC626">
        <v>619</v>
      </c>
      <c r="AD626" s="6">
        <f t="shared" ca="1" si="165"/>
        <v>33939</v>
      </c>
      <c r="AE626" s="7" t="e">
        <f t="shared" ca="1" si="171"/>
        <v>#REF!</v>
      </c>
      <c r="AF626" s="125" t="e">
        <f t="shared" ca="1" si="172"/>
        <v>#REF!</v>
      </c>
      <c r="AG626" s="125" t="e">
        <f t="shared" ca="1" si="166"/>
        <v>#REF!</v>
      </c>
      <c r="AH626" s="128" t="e">
        <f t="shared" ca="1" si="173"/>
        <v>#REF!</v>
      </c>
    </row>
    <row r="627" spans="4:34">
      <c r="D627">
        <v>620</v>
      </c>
      <c r="E627" s="6">
        <f t="shared" ca="1" si="158"/>
        <v>33909</v>
      </c>
      <c r="F627" s="7">
        <f t="shared" ca="1" si="167"/>
        <v>0</v>
      </c>
      <c r="G627" s="125">
        <f t="shared" ca="1" si="159"/>
        <v>0</v>
      </c>
      <c r="H627" s="125">
        <f ca="1">IF(F627=1,F627*$B$10/MIN(12,'Simulador - 3º Pilar'!$E$88),0)</f>
        <v>0</v>
      </c>
      <c r="I627" s="128">
        <f t="shared" ca="1" si="160"/>
        <v>0</v>
      </c>
      <c r="J627" s="494">
        <f t="shared" ca="1" si="161"/>
        <v>0</v>
      </c>
      <c r="K627" s="126">
        <f t="shared" ca="1" si="162"/>
        <v>0</v>
      </c>
      <c r="L627" s="126">
        <f t="shared" ca="1" si="174"/>
        <v>0</v>
      </c>
      <c r="P627">
        <v>620</v>
      </c>
      <c r="Q627" s="6">
        <f t="shared" ca="1" si="163"/>
        <v>33909</v>
      </c>
      <c r="R627" s="7" t="e">
        <f t="shared" ca="1" si="168"/>
        <v>#REF!</v>
      </c>
      <c r="S627" s="125" t="e">
        <f t="shared" ca="1" si="169"/>
        <v>#REF!</v>
      </c>
      <c r="T627" s="125" t="e">
        <f t="shared" ca="1" si="164"/>
        <v>#REF!</v>
      </c>
      <c r="U627" s="128" t="e">
        <f t="shared" ca="1" si="170"/>
        <v>#REF!</v>
      </c>
      <c r="AC627">
        <v>620</v>
      </c>
      <c r="AD627" s="6">
        <f t="shared" ca="1" si="165"/>
        <v>33909</v>
      </c>
      <c r="AE627" s="7" t="e">
        <f t="shared" ca="1" si="171"/>
        <v>#REF!</v>
      </c>
      <c r="AF627" s="125" t="e">
        <f t="shared" ca="1" si="172"/>
        <v>#REF!</v>
      </c>
      <c r="AG627" s="125" t="e">
        <f t="shared" ca="1" si="166"/>
        <v>#REF!</v>
      </c>
      <c r="AH627" s="128" t="e">
        <f t="shared" ca="1" si="173"/>
        <v>#REF!</v>
      </c>
    </row>
    <row r="628" spans="4:34">
      <c r="D628">
        <v>621</v>
      </c>
      <c r="E628" s="6">
        <f t="shared" ca="1" si="158"/>
        <v>33878</v>
      </c>
      <c r="F628" s="7">
        <f t="shared" ca="1" si="167"/>
        <v>0</v>
      </c>
      <c r="G628" s="125">
        <f t="shared" ca="1" si="159"/>
        <v>0</v>
      </c>
      <c r="H628" s="125">
        <f ca="1">IF(F628=1,F628*$B$10/MIN(12,'Simulador - 3º Pilar'!$E$88),0)</f>
        <v>0</v>
      </c>
      <c r="I628" s="128">
        <f t="shared" ca="1" si="160"/>
        <v>0</v>
      </c>
      <c r="J628" s="494">
        <f t="shared" ca="1" si="161"/>
        <v>0</v>
      </c>
      <c r="K628" s="126">
        <f t="shared" ca="1" si="162"/>
        <v>0</v>
      </c>
      <c r="L628" s="126">
        <f t="shared" ca="1" si="174"/>
        <v>0</v>
      </c>
      <c r="P628">
        <v>621</v>
      </c>
      <c r="Q628" s="6">
        <f t="shared" ca="1" si="163"/>
        <v>33878</v>
      </c>
      <c r="R628" s="7" t="e">
        <f t="shared" ca="1" si="168"/>
        <v>#REF!</v>
      </c>
      <c r="S628" s="125" t="e">
        <f t="shared" ca="1" si="169"/>
        <v>#REF!</v>
      </c>
      <c r="T628" s="125" t="e">
        <f t="shared" ca="1" si="164"/>
        <v>#REF!</v>
      </c>
      <c r="U628" s="128" t="e">
        <f t="shared" ca="1" si="170"/>
        <v>#REF!</v>
      </c>
      <c r="AC628">
        <v>621</v>
      </c>
      <c r="AD628" s="6">
        <f t="shared" ca="1" si="165"/>
        <v>33878</v>
      </c>
      <c r="AE628" s="7" t="e">
        <f t="shared" ca="1" si="171"/>
        <v>#REF!</v>
      </c>
      <c r="AF628" s="125" t="e">
        <f t="shared" ca="1" si="172"/>
        <v>#REF!</v>
      </c>
      <c r="AG628" s="125" t="e">
        <f t="shared" ca="1" si="166"/>
        <v>#REF!</v>
      </c>
      <c r="AH628" s="128" t="e">
        <f t="shared" ca="1" si="173"/>
        <v>#REF!</v>
      </c>
    </row>
    <row r="629" spans="4:34">
      <c r="D629">
        <v>622</v>
      </c>
      <c r="E629" s="6">
        <f t="shared" ca="1" si="158"/>
        <v>33848</v>
      </c>
      <c r="F629" s="7">
        <f t="shared" ca="1" si="167"/>
        <v>0</v>
      </c>
      <c r="G629" s="125">
        <f t="shared" ca="1" si="159"/>
        <v>0</v>
      </c>
      <c r="H629" s="125">
        <f ca="1">IF(F629=1,F629*$B$10/MIN(12,'Simulador - 3º Pilar'!$E$88),0)</f>
        <v>0</v>
      </c>
      <c r="I629" s="128">
        <f t="shared" ca="1" si="160"/>
        <v>0</v>
      </c>
      <c r="J629" s="494">
        <f t="shared" ca="1" si="161"/>
        <v>0</v>
      </c>
      <c r="K629" s="126">
        <f t="shared" ca="1" si="162"/>
        <v>0</v>
      </c>
      <c r="L629" s="126">
        <f t="shared" ca="1" si="174"/>
        <v>0</v>
      </c>
      <c r="P629">
        <v>622</v>
      </c>
      <c r="Q629" s="6">
        <f t="shared" ca="1" si="163"/>
        <v>33848</v>
      </c>
      <c r="R629" s="7" t="e">
        <f t="shared" ca="1" si="168"/>
        <v>#REF!</v>
      </c>
      <c r="S629" s="125" t="e">
        <f t="shared" ca="1" si="169"/>
        <v>#REF!</v>
      </c>
      <c r="T629" s="125" t="e">
        <f t="shared" ca="1" si="164"/>
        <v>#REF!</v>
      </c>
      <c r="U629" s="128" t="e">
        <f t="shared" ca="1" si="170"/>
        <v>#REF!</v>
      </c>
      <c r="AC629">
        <v>622</v>
      </c>
      <c r="AD629" s="6">
        <f t="shared" ca="1" si="165"/>
        <v>33848</v>
      </c>
      <c r="AE629" s="7" t="e">
        <f t="shared" ca="1" si="171"/>
        <v>#REF!</v>
      </c>
      <c r="AF629" s="125" t="e">
        <f t="shared" ca="1" si="172"/>
        <v>#REF!</v>
      </c>
      <c r="AG629" s="125" t="e">
        <f t="shared" ca="1" si="166"/>
        <v>#REF!</v>
      </c>
      <c r="AH629" s="128" t="e">
        <f t="shared" ca="1" si="173"/>
        <v>#REF!</v>
      </c>
    </row>
    <row r="630" spans="4:34">
      <c r="D630">
        <v>623</v>
      </c>
      <c r="E630" s="6">
        <f t="shared" ca="1" si="158"/>
        <v>33817</v>
      </c>
      <c r="F630" s="7">
        <f t="shared" ca="1" si="167"/>
        <v>0</v>
      </c>
      <c r="G630" s="125">
        <f t="shared" ca="1" si="159"/>
        <v>0</v>
      </c>
      <c r="H630" s="125">
        <f ca="1">IF(F630=1,F630*$B$10/MIN(12,'Simulador - 3º Pilar'!$E$88),0)</f>
        <v>0</v>
      </c>
      <c r="I630" s="128">
        <f t="shared" ca="1" si="160"/>
        <v>0</v>
      </c>
      <c r="J630" s="494">
        <f t="shared" ca="1" si="161"/>
        <v>0</v>
      </c>
      <c r="K630" s="126">
        <f t="shared" ca="1" si="162"/>
        <v>0</v>
      </c>
      <c r="L630" s="126">
        <f t="shared" ca="1" si="174"/>
        <v>0</v>
      </c>
      <c r="P630">
        <v>623</v>
      </c>
      <c r="Q630" s="6">
        <f t="shared" ca="1" si="163"/>
        <v>33817</v>
      </c>
      <c r="R630" s="7" t="e">
        <f t="shared" ca="1" si="168"/>
        <v>#REF!</v>
      </c>
      <c r="S630" s="125" t="e">
        <f t="shared" ca="1" si="169"/>
        <v>#REF!</v>
      </c>
      <c r="T630" s="125" t="e">
        <f t="shared" ca="1" si="164"/>
        <v>#REF!</v>
      </c>
      <c r="U630" s="128" t="e">
        <f t="shared" ca="1" si="170"/>
        <v>#REF!</v>
      </c>
      <c r="AC630">
        <v>623</v>
      </c>
      <c r="AD630" s="6">
        <f t="shared" ca="1" si="165"/>
        <v>33817</v>
      </c>
      <c r="AE630" s="7" t="e">
        <f t="shared" ca="1" si="171"/>
        <v>#REF!</v>
      </c>
      <c r="AF630" s="125" t="e">
        <f t="shared" ca="1" si="172"/>
        <v>#REF!</v>
      </c>
      <c r="AG630" s="125" t="e">
        <f t="shared" ca="1" si="166"/>
        <v>#REF!</v>
      </c>
      <c r="AH630" s="128" t="e">
        <f t="shared" ca="1" si="173"/>
        <v>#REF!</v>
      </c>
    </row>
    <row r="631" spans="4:34">
      <c r="D631">
        <v>624</v>
      </c>
      <c r="E631" s="6">
        <f t="shared" ca="1" si="158"/>
        <v>33786</v>
      </c>
      <c r="F631" s="7">
        <f t="shared" ca="1" si="167"/>
        <v>0</v>
      </c>
      <c r="G631" s="125">
        <f t="shared" ca="1" si="159"/>
        <v>0</v>
      </c>
      <c r="H631" s="125">
        <f ca="1">IF(F631=1,F631*$B$10/MIN(12,'Simulador - 3º Pilar'!$E$88),0)</f>
        <v>0</v>
      </c>
      <c r="I631" s="128">
        <f t="shared" ca="1" si="160"/>
        <v>0</v>
      </c>
      <c r="J631" s="494">
        <f t="shared" ca="1" si="161"/>
        <v>0</v>
      </c>
      <c r="K631" s="126">
        <f t="shared" ca="1" si="162"/>
        <v>0</v>
      </c>
      <c r="L631" s="126">
        <f t="shared" ca="1" si="174"/>
        <v>0</v>
      </c>
      <c r="P631">
        <v>624</v>
      </c>
      <c r="Q631" s="6">
        <f t="shared" ca="1" si="163"/>
        <v>33786</v>
      </c>
      <c r="R631" s="7" t="e">
        <f t="shared" ca="1" si="168"/>
        <v>#REF!</v>
      </c>
      <c r="S631" s="125" t="e">
        <f t="shared" ca="1" si="169"/>
        <v>#REF!</v>
      </c>
      <c r="T631" s="125" t="e">
        <f t="shared" ca="1" si="164"/>
        <v>#REF!</v>
      </c>
      <c r="U631" s="128" t="e">
        <f t="shared" ca="1" si="170"/>
        <v>#REF!</v>
      </c>
      <c r="AC631">
        <v>624</v>
      </c>
      <c r="AD631" s="6">
        <f t="shared" ca="1" si="165"/>
        <v>33786</v>
      </c>
      <c r="AE631" s="7" t="e">
        <f t="shared" ca="1" si="171"/>
        <v>#REF!</v>
      </c>
      <c r="AF631" s="125" t="e">
        <f t="shared" ca="1" si="172"/>
        <v>#REF!</v>
      </c>
      <c r="AG631" s="125" t="e">
        <f t="shared" ca="1" si="166"/>
        <v>#REF!</v>
      </c>
      <c r="AH631" s="128" t="e">
        <f t="shared" ca="1" si="173"/>
        <v>#REF!</v>
      </c>
    </row>
    <row r="632" spans="4:34">
      <c r="D632">
        <v>625</v>
      </c>
      <c r="E632" s="6">
        <f t="shared" ca="1" si="158"/>
        <v>33756</v>
      </c>
      <c r="F632" s="7">
        <f t="shared" ca="1" si="167"/>
        <v>0</v>
      </c>
      <c r="G632" s="125">
        <f t="shared" ca="1" si="159"/>
        <v>0</v>
      </c>
      <c r="H632" s="125">
        <f ca="1">IF(F632=1,F632*$B$10/MIN(12,'Simulador - 3º Pilar'!$E$88),0)</f>
        <v>0</v>
      </c>
      <c r="I632" s="128">
        <f t="shared" ca="1" si="160"/>
        <v>0</v>
      </c>
      <c r="J632" s="494">
        <f t="shared" ca="1" si="161"/>
        <v>0</v>
      </c>
      <c r="K632" s="126">
        <f t="shared" ca="1" si="162"/>
        <v>0</v>
      </c>
      <c r="L632" s="126">
        <f t="shared" ca="1" si="174"/>
        <v>0</v>
      </c>
      <c r="P632">
        <v>625</v>
      </c>
      <c r="Q632" s="6">
        <f t="shared" ca="1" si="163"/>
        <v>33756</v>
      </c>
      <c r="R632" s="7" t="e">
        <f t="shared" ca="1" si="168"/>
        <v>#REF!</v>
      </c>
      <c r="S632" s="125" t="e">
        <f t="shared" ca="1" si="169"/>
        <v>#REF!</v>
      </c>
      <c r="T632" s="125" t="e">
        <f t="shared" ca="1" si="164"/>
        <v>#REF!</v>
      </c>
      <c r="U632" s="128" t="e">
        <f t="shared" ca="1" si="170"/>
        <v>#REF!</v>
      </c>
      <c r="AC632">
        <v>625</v>
      </c>
      <c r="AD632" s="6">
        <f t="shared" ca="1" si="165"/>
        <v>33756</v>
      </c>
      <c r="AE632" s="7" t="e">
        <f t="shared" ca="1" si="171"/>
        <v>#REF!</v>
      </c>
      <c r="AF632" s="125" t="e">
        <f t="shared" ca="1" si="172"/>
        <v>#REF!</v>
      </c>
      <c r="AG632" s="125" t="e">
        <f t="shared" ca="1" si="166"/>
        <v>#REF!</v>
      </c>
      <c r="AH632" s="128" t="e">
        <f t="shared" ca="1" si="173"/>
        <v>#REF!</v>
      </c>
    </row>
    <row r="633" spans="4:34">
      <c r="D633">
        <v>626</v>
      </c>
      <c r="E633" s="6">
        <f t="shared" ca="1" si="158"/>
        <v>33725</v>
      </c>
      <c r="F633" s="7">
        <f t="shared" ca="1" si="167"/>
        <v>0</v>
      </c>
      <c r="G633" s="125">
        <f t="shared" ca="1" si="159"/>
        <v>0</v>
      </c>
      <c r="H633" s="125">
        <f ca="1">IF(F633=1,F633*$B$10/MIN(12,'Simulador - 3º Pilar'!$E$88),0)</f>
        <v>0</v>
      </c>
      <c r="I633" s="128">
        <f t="shared" ca="1" si="160"/>
        <v>0</v>
      </c>
      <c r="J633" s="494">
        <f t="shared" ca="1" si="161"/>
        <v>0</v>
      </c>
      <c r="K633" s="126">
        <f t="shared" ca="1" si="162"/>
        <v>0</v>
      </c>
      <c r="L633" s="126">
        <f t="shared" ca="1" si="174"/>
        <v>0</v>
      </c>
      <c r="P633">
        <v>626</v>
      </c>
      <c r="Q633" s="6">
        <f t="shared" ca="1" si="163"/>
        <v>33725</v>
      </c>
      <c r="R633" s="7" t="e">
        <f t="shared" ca="1" si="168"/>
        <v>#REF!</v>
      </c>
      <c r="S633" s="125" t="e">
        <f t="shared" ca="1" si="169"/>
        <v>#REF!</v>
      </c>
      <c r="T633" s="125" t="e">
        <f t="shared" ca="1" si="164"/>
        <v>#REF!</v>
      </c>
      <c r="U633" s="128" t="e">
        <f t="shared" ca="1" si="170"/>
        <v>#REF!</v>
      </c>
      <c r="AC633">
        <v>626</v>
      </c>
      <c r="AD633" s="6">
        <f t="shared" ca="1" si="165"/>
        <v>33725</v>
      </c>
      <c r="AE633" s="7" t="e">
        <f t="shared" ca="1" si="171"/>
        <v>#REF!</v>
      </c>
      <c r="AF633" s="125" t="e">
        <f t="shared" ca="1" si="172"/>
        <v>#REF!</v>
      </c>
      <c r="AG633" s="125" t="e">
        <f t="shared" ca="1" si="166"/>
        <v>#REF!</v>
      </c>
      <c r="AH633" s="128" t="e">
        <f t="shared" ca="1" si="173"/>
        <v>#REF!</v>
      </c>
    </row>
    <row r="634" spans="4:34">
      <c r="D634">
        <v>627</v>
      </c>
      <c r="E634" s="6">
        <f t="shared" ca="1" si="158"/>
        <v>33695</v>
      </c>
      <c r="F634" s="7">
        <f t="shared" ca="1" si="167"/>
        <v>0</v>
      </c>
      <c r="G634" s="125">
        <f t="shared" ca="1" si="159"/>
        <v>0</v>
      </c>
      <c r="H634" s="125">
        <f ca="1">IF(F634=1,F634*$B$10/MIN(12,'Simulador - 3º Pilar'!$E$88),0)</f>
        <v>0</v>
      </c>
      <c r="I634" s="128">
        <f t="shared" ca="1" si="160"/>
        <v>0</v>
      </c>
      <c r="J634" s="494">
        <f t="shared" ca="1" si="161"/>
        <v>0</v>
      </c>
      <c r="K634" s="126">
        <f t="shared" ca="1" si="162"/>
        <v>0</v>
      </c>
      <c r="L634" s="126">
        <f t="shared" ca="1" si="174"/>
        <v>0</v>
      </c>
      <c r="P634">
        <v>627</v>
      </c>
      <c r="Q634" s="6">
        <f t="shared" ca="1" si="163"/>
        <v>33695</v>
      </c>
      <c r="R634" s="7" t="e">
        <f t="shared" ca="1" si="168"/>
        <v>#REF!</v>
      </c>
      <c r="S634" s="125" t="e">
        <f t="shared" ca="1" si="169"/>
        <v>#REF!</v>
      </c>
      <c r="T634" s="125" t="e">
        <f t="shared" ca="1" si="164"/>
        <v>#REF!</v>
      </c>
      <c r="U634" s="128" t="e">
        <f t="shared" ca="1" si="170"/>
        <v>#REF!</v>
      </c>
      <c r="AC634">
        <v>627</v>
      </c>
      <c r="AD634" s="6">
        <f t="shared" ca="1" si="165"/>
        <v>33695</v>
      </c>
      <c r="AE634" s="7" t="e">
        <f t="shared" ca="1" si="171"/>
        <v>#REF!</v>
      </c>
      <c r="AF634" s="125" t="e">
        <f t="shared" ca="1" si="172"/>
        <v>#REF!</v>
      </c>
      <c r="AG634" s="125" t="e">
        <f t="shared" ca="1" si="166"/>
        <v>#REF!</v>
      </c>
      <c r="AH634" s="128" t="e">
        <f t="shared" ca="1" si="173"/>
        <v>#REF!</v>
      </c>
    </row>
    <row r="635" spans="4:34">
      <c r="D635">
        <v>628</v>
      </c>
      <c r="E635" s="6">
        <f t="shared" ca="1" si="158"/>
        <v>33664</v>
      </c>
      <c r="F635" s="7">
        <f t="shared" ca="1" si="167"/>
        <v>0</v>
      </c>
      <c r="G635" s="125">
        <f t="shared" ca="1" si="159"/>
        <v>0</v>
      </c>
      <c r="H635" s="125">
        <f ca="1">IF(F635=1,F635*$B$10/MIN(12,'Simulador - 3º Pilar'!$E$88),0)</f>
        <v>0</v>
      </c>
      <c r="I635" s="128">
        <f t="shared" ca="1" si="160"/>
        <v>0</v>
      </c>
      <c r="J635" s="494">
        <f t="shared" ca="1" si="161"/>
        <v>0</v>
      </c>
      <c r="K635" s="126">
        <f t="shared" ca="1" si="162"/>
        <v>0</v>
      </c>
      <c r="L635" s="126">
        <f t="shared" ca="1" si="174"/>
        <v>0</v>
      </c>
      <c r="P635">
        <v>628</v>
      </c>
      <c r="Q635" s="6">
        <f t="shared" ca="1" si="163"/>
        <v>33664</v>
      </c>
      <c r="R635" s="7" t="e">
        <f t="shared" ca="1" si="168"/>
        <v>#REF!</v>
      </c>
      <c r="S635" s="125" t="e">
        <f t="shared" ca="1" si="169"/>
        <v>#REF!</v>
      </c>
      <c r="T635" s="125" t="e">
        <f t="shared" ca="1" si="164"/>
        <v>#REF!</v>
      </c>
      <c r="U635" s="128" t="e">
        <f t="shared" ca="1" si="170"/>
        <v>#REF!</v>
      </c>
      <c r="AC635">
        <v>628</v>
      </c>
      <c r="AD635" s="6">
        <f t="shared" ca="1" si="165"/>
        <v>33664</v>
      </c>
      <c r="AE635" s="7" t="e">
        <f t="shared" ca="1" si="171"/>
        <v>#REF!</v>
      </c>
      <c r="AF635" s="125" t="e">
        <f t="shared" ca="1" si="172"/>
        <v>#REF!</v>
      </c>
      <c r="AG635" s="125" t="e">
        <f t="shared" ca="1" si="166"/>
        <v>#REF!</v>
      </c>
      <c r="AH635" s="128" t="e">
        <f t="shared" ca="1" si="173"/>
        <v>#REF!</v>
      </c>
    </row>
    <row r="636" spans="4:34">
      <c r="D636">
        <v>629</v>
      </c>
      <c r="E636" s="6">
        <f t="shared" ca="1" si="158"/>
        <v>33635</v>
      </c>
      <c r="F636" s="7">
        <f t="shared" ca="1" si="167"/>
        <v>0</v>
      </c>
      <c r="G636" s="125">
        <f t="shared" ca="1" si="159"/>
        <v>0</v>
      </c>
      <c r="H636" s="125">
        <f ca="1">IF(F636=1,F636*$B$10/MIN(12,'Simulador - 3º Pilar'!$E$88),0)</f>
        <v>0</v>
      </c>
      <c r="I636" s="128">
        <f t="shared" ca="1" si="160"/>
        <v>0</v>
      </c>
      <c r="J636" s="494">
        <f t="shared" ca="1" si="161"/>
        <v>0</v>
      </c>
      <c r="K636" s="126">
        <f t="shared" ca="1" si="162"/>
        <v>0</v>
      </c>
      <c r="L636" s="126">
        <f t="shared" ca="1" si="174"/>
        <v>0</v>
      </c>
      <c r="P636">
        <v>629</v>
      </c>
      <c r="Q636" s="6">
        <f t="shared" ca="1" si="163"/>
        <v>33635</v>
      </c>
      <c r="R636" s="7" t="e">
        <f t="shared" ca="1" si="168"/>
        <v>#REF!</v>
      </c>
      <c r="S636" s="125" t="e">
        <f t="shared" ca="1" si="169"/>
        <v>#REF!</v>
      </c>
      <c r="T636" s="125" t="e">
        <f t="shared" ca="1" si="164"/>
        <v>#REF!</v>
      </c>
      <c r="U636" s="128" t="e">
        <f t="shared" ca="1" si="170"/>
        <v>#REF!</v>
      </c>
      <c r="AC636">
        <v>629</v>
      </c>
      <c r="AD636" s="6">
        <f t="shared" ca="1" si="165"/>
        <v>33635</v>
      </c>
      <c r="AE636" s="7" t="e">
        <f t="shared" ca="1" si="171"/>
        <v>#REF!</v>
      </c>
      <c r="AF636" s="125" t="e">
        <f t="shared" ca="1" si="172"/>
        <v>#REF!</v>
      </c>
      <c r="AG636" s="125" t="e">
        <f t="shared" ca="1" si="166"/>
        <v>#REF!</v>
      </c>
      <c r="AH636" s="128" t="e">
        <f t="shared" ca="1" si="173"/>
        <v>#REF!</v>
      </c>
    </row>
    <row r="637" spans="4:34">
      <c r="D637">
        <v>630</v>
      </c>
      <c r="E637" s="6">
        <f t="shared" ca="1" si="158"/>
        <v>33604</v>
      </c>
      <c r="F637" s="7">
        <f t="shared" ca="1" si="167"/>
        <v>0</v>
      </c>
      <c r="G637" s="125">
        <f t="shared" ca="1" si="159"/>
        <v>0</v>
      </c>
      <c r="H637" s="125">
        <f ca="1">IF(F637=1,F637*$B$10/MIN(12,'Simulador - 3º Pilar'!$E$88),0)</f>
        <v>0</v>
      </c>
      <c r="I637" s="128">
        <f t="shared" ca="1" si="160"/>
        <v>0</v>
      </c>
      <c r="J637" s="494">
        <f t="shared" ca="1" si="161"/>
        <v>0</v>
      </c>
      <c r="K637" s="126">
        <f t="shared" ca="1" si="162"/>
        <v>0</v>
      </c>
      <c r="L637" s="126">
        <f t="shared" ca="1" si="174"/>
        <v>0</v>
      </c>
      <c r="P637">
        <v>630</v>
      </c>
      <c r="Q637" s="6">
        <f t="shared" ca="1" si="163"/>
        <v>33604</v>
      </c>
      <c r="R637" s="7" t="e">
        <f t="shared" ca="1" si="168"/>
        <v>#REF!</v>
      </c>
      <c r="S637" s="125" t="e">
        <f t="shared" ca="1" si="169"/>
        <v>#REF!</v>
      </c>
      <c r="T637" s="125" t="e">
        <f t="shared" ca="1" si="164"/>
        <v>#REF!</v>
      </c>
      <c r="U637" s="128" t="e">
        <f t="shared" ca="1" si="170"/>
        <v>#REF!</v>
      </c>
      <c r="AC637">
        <v>630</v>
      </c>
      <c r="AD637" s="6">
        <f t="shared" ca="1" si="165"/>
        <v>33604</v>
      </c>
      <c r="AE637" s="7" t="e">
        <f t="shared" ca="1" si="171"/>
        <v>#REF!</v>
      </c>
      <c r="AF637" s="125" t="e">
        <f t="shared" ca="1" si="172"/>
        <v>#REF!</v>
      </c>
      <c r="AG637" s="125" t="e">
        <f t="shared" ca="1" si="166"/>
        <v>#REF!</v>
      </c>
      <c r="AH637" s="128" t="e">
        <f t="shared" ca="1" si="173"/>
        <v>#REF!</v>
      </c>
    </row>
    <row r="638" spans="4:34">
      <c r="D638">
        <v>631</v>
      </c>
      <c r="E638" s="6">
        <f t="shared" ca="1" si="158"/>
        <v>33573</v>
      </c>
      <c r="F638" s="7">
        <f t="shared" ca="1" si="167"/>
        <v>0</v>
      </c>
      <c r="G638" s="125">
        <f t="shared" ca="1" si="159"/>
        <v>0</v>
      </c>
      <c r="H638" s="125">
        <f ca="1">IF(F638=1,F638*$B$10/MIN(12,'Simulador - 3º Pilar'!$E$88),0)</f>
        <v>0</v>
      </c>
      <c r="I638" s="128">
        <f t="shared" ca="1" si="160"/>
        <v>0</v>
      </c>
      <c r="J638" s="494">
        <f t="shared" ca="1" si="161"/>
        <v>0</v>
      </c>
      <c r="K638" s="126">
        <f t="shared" ca="1" si="162"/>
        <v>0</v>
      </c>
      <c r="L638" s="126">
        <f t="shared" ca="1" si="174"/>
        <v>0</v>
      </c>
      <c r="P638">
        <v>631</v>
      </c>
      <c r="Q638" s="6">
        <f t="shared" ca="1" si="163"/>
        <v>33573</v>
      </c>
      <c r="R638" s="7" t="e">
        <f t="shared" ca="1" si="168"/>
        <v>#REF!</v>
      </c>
      <c r="S638" s="125" t="e">
        <f t="shared" ca="1" si="169"/>
        <v>#REF!</v>
      </c>
      <c r="T638" s="125" t="e">
        <f t="shared" ca="1" si="164"/>
        <v>#REF!</v>
      </c>
      <c r="U638" s="128" t="e">
        <f t="shared" ca="1" si="170"/>
        <v>#REF!</v>
      </c>
      <c r="AC638">
        <v>631</v>
      </c>
      <c r="AD638" s="6">
        <f t="shared" ca="1" si="165"/>
        <v>33573</v>
      </c>
      <c r="AE638" s="7" t="e">
        <f t="shared" ca="1" si="171"/>
        <v>#REF!</v>
      </c>
      <c r="AF638" s="125" t="e">
        <f t="shared" ca="1" si="172"/>
        <v>#REF!</v>
      </c>
      <c r="AG638" s="125" t="e">
        <f t="shared" ca="1" si="166"/>
        <v>#REF!</v>
      </c>
      <c r="AH638" s="128" t="e">
        <f t="shared" ca="1" si="173"/>
        <v>#REF!</v>
      </c>
    </row>
    <row r="639" spans="4:34">
      <c r="D639">
        <v>632</v>
      </c>
      <c r="E639" s="6">
        <f t="shared" ca="1" si="158"/>
        <v>33543</v>
      </c>
      <c r="F639" s="7">
        <f t="shared" ca="1" si="167"/>
        <v>0</v>
      </c>
      <c r="G639" s="125">
        <f t="shared" ca="1" si="159"/>
        <v>0</v>
      </c>
      <c r="H639" s="125">
        <f ca="1">IF(F639=1,F639*$B$10/MIN(12,'Simulador - 3º Pilar'!$E$88),0)</f>
        <v>0</v>
      </c>
      <c r="I639" s="128">
        <f t="shared" ca="1" si="160"/>
        <v>0</v>
      </c>
      <c r="J639" s="494">
        <f t="shared" ca="1" si="161"/>
        <v>0</v>
      </c>
      <c r="K639" s="126">
        <f t="shared" ca="1" si="162"/>
        <v>0</v>
      </c>
      <c r="L639" s="126">
        <f t="shared" ca="1" si="174"/>
        <v>0</v>
      </c>
      <c r="P639">
        <v>632</v>
      </c>
      <c r="Q639" s="6">
        <f t="shared" ca="1" si="163"/>
        <v>33543</v>
      </c>
      <c r="R639" s="7" t="e">
        <f t="shared" ca="1" si="168"/>
        <v>#REF!</v>
      </c>
      <c r="S639" s="125" t="e">
        <f t="shared" ca="1" si="169"/>
        <v>#REF!</v>
      </c>
      <c r="T639" s="125" t="e">
        <f t="shared" ca="1" si="164"/>
        <v>#REF!</v>
      </c>
      <c r="U639" s="128" t="e">
        <f t="shared" ca="1" si="170"/>
        <v>#REF!</v>
      </c>
      <c r="AC639">
        <v>632</v>
      </c>
      <c r="AD639" s="6">
        <f t="shared" ca="1" si="165"/>
        <v>33543</v>
      </c>
      <c r="AE639" s="7" t="e">
        <f t="shared" ca="1" si="171"/>
        <v>#REF!</v>
      </c>
      <c r="AF639" s="125" t="e">
        <f t="shared" ca="1" si="172"/>
        <v>#REF!</v>
      </c>
      <c r="AG639" s="125" t="e">
        <f t="shared" ca="1" si="166"/>
        <v>#REF!</v>
      </c>
      <c r="AH639" s="128" t="e">
        <f t="shared" ca="1" si="173"/>
        <v>#REF!</v>
      </c>
    </row>
    <row r="640" spans="4:34">
      <c r="D640">
        <v>633</v>
      </c>
      <c r="E640" s="6">
        <f t="shared" ca="1" si="158"/>
        <v>33512</v>
      </c>
      <c r="F640" s="7">
        <f t="shared" ca="1" si="167"/>
        <v>0</v>
      </c>
      <c r="G640" s="125">
        <f t="shared" ca="1" si="159"/>
        <v>0</v>
      </c>
      <c r="H640" s="125">
        <f ca="1">IF(F640=1,F640*$B$10/MIN(12,'Simulador - 3º Pilar'!$E$88),0)</f>
        <v>0</v>
      </c>
      <c r="I640" s="128">
        <f t="shared" ca="1" si="160"/>
        <v>0</v>
      </c>
      <c r="J640" s="494">
        <f t="shared" ca="1" si="161"/>
        <v>0</v>
      </c>
      <c r="K640" s="126">
        <f t="shared" ca="1" si="162"/>
        <v>0</v>
      </c>
      <c r="L640" s="126">
        <f t="shared" ca="1" si="174"/>
        <v>0</v>
      </c>
      <c r="P640">
        <v>633</v>
      </c>
      <c r="Q640" s="6">
        <f t="shared" ca="1" si="163"/>
        <v>33512</v>
      </c>
      <c r="R640" s="7" t="e">
        <f t="shared" ca="1" si="168"/>
        <v>#REF!</v>
      </c>
      <c r="S640" s="125" t="e">
        <f t="shared" ca="1" si="169"/>
        <v>#REF!</v>
      </c>
      <c r="T640" s="125" t="e">
        <f t="shared" ca="1" si="164"/>
        <v>#REF!</v>
      </c>
      <c r="U640" s="128" t="e">
        <f t="shared" ca="1" si="170"/>
        <v>#REF!</v>
      </c>
      <c r="AC640">
        <v>633</v>
      </c>
      <c r="AD640" s="6">
        <f t="shared" ca="1" si="165"/>
        <v>33512</v>
      </c>
      <c r="AE640" s="7" t="e">
        <f t="shared" ca="1" si="171"/>
        <v>#REF!</v>
      </c>
      <c r="AF640" s="125" t="e">
        <f t="shared" ca="1" si="172"/>
        <v>#REF!</v>
      </c>
      <c r="AG640" s="125" t="e">
        <f t="shared" ca="1" si="166"/>
        <v>#REF!</v>
      </c>
      <c r="AH640" s="128" t="e">
        <f t="shared" ca="1" si="173"/>
        <v>#REF!</v>
      </c>
    </row>
    <row r="641" spans="4:34">
      <c r="D641">
        <v>634</v>
      </c>
      <c r="E641" s="6">
        <f t="shared" ca="1" si="158"/>
        <v>33482</v>
      </c>
      <c r="F641" s="7">
        <f t="shared" ca="1" si="167"/>
        <v>0</v>
      </c>
      <c r="G641" s="125">
        <f t="shared" ca="1" si="159"/>
        <v>0</v>
      </c>
      <c r="H641" s="125">
        <f ca="1">IF(F641=1,F641*$B$10/MIN(12,'Simulador - 3º Pilar'!$E$88),0)</f>
        <v>0</v>
      </c>
      <c r="I641" s="128">
        <f t="shared" ca="1" si="160"/>
        <v>0</v>
      </c>
      <c r="J641" s="494">
        <f t="shared" ca="1" si="161"/>
        <v>0</v>
      </c>
      <c r="K641" s="126">
        <f t="shared" ca="1" si="162"/>
        <v>0</v>
      </c>
      <c r="L641" s="126">
        <f t="shared" ca="1" si="174"/>
        <v>0</v>
      </c>
      <c r="P641">
        <v>634</v>
      </c>
      <c r="Q641" s="6">
        <f t="shared" ca="1" si="163"/>
        <v>33482</v>
      </c>
      <c r="R641" s="7" t="e">
        <f t="shared" ca="1" si="168"/>
        <v>#REF!</v>
      </c>
      <c r="S641" s="125" t="e">
        <f t="shared" ca="1" si="169"/>
        <v>#REF!</v>
      </c>
      <c r="T641" s="125" t="e">
        <f t="shared" ca="1" si="164"/>
        <v>#REF!</v>
      </c>
      <c r="U641" s="128" t="e">
        <f t="shared" ca="1" si="170"/>
        <v>#REF!</v>
      </c>
      <c r="AC641">
        <v>634</v>
      </c>
      <c r="AD641" s="6">
        <f t="shared" ca="1" si="165"/>
        <v>33482</v>
      </c>
      <c r="AE641" s="7" t="e">
        <f t="shared" ca="1" si="171"/>
        <v>#REF!</v>
      </c>
      <c r="AF641" s="125" t="e">
        <f t="shared" ca="1" si="172"/>
        <v>#REF!</v>
      </c>
      <c r="AG641" s="125" t="e">
        <f t="shared" ca="1" si="166"/>
        <v>#REF!</v>
      </c>
      <c r="AH641" s="128" t="e">
        <f t="shared" ca="1" si="173"/>
        <v>#REF!</v>
      </c>
    </row>
    <row r="642" spans="4:34">
      <c r="D642">
        <v>635</v>
      </c>
      <c r="E642" s="6">
        <f t="shared" ca="1" si="158"/>
        <v>33451</v>
      </c>
      <c r="F642" s="7">
        <f t="shared" ca="1" si="167"/>
        <v>0</v>
      </c>
      <c r="G642" s="125">
        <f t="shared" ca="1" si="159"/>
        <v>0</v>
      </c>
      <c r="H642" s="125">
        <f ca="1">IF(F642=1,F642*$B$10/MIN(12,'Simulador - 3º Pilar'!$E$88),0)</f>
        <v>0</v>
      </c>
      <c r="I642" s="128">
        <f t="shared" ca="1" si="160"/>
        <v>0</v>
      </c>
      <c r="J642" s="494">
        <f t="shared" ca="1" si="161"/>
        <v>0</v>
      </c>
      <c r="K642" s="126">
        <f t="shared" ca="1" si="162"/>
        <v>0</v>
      </c>
      <c r="L642" s="126">
        <f t="shared" ca="1" si="174"/>
        <v>0</v>
      </c>
      <c r="P642">
        <v>635</v>
      </c>
      <c r="Q642" s="6">
        <f t="shared" ca="1" si="163"/>
        <v>33451</v>
      </c>
      <c r="R642" s="7" t="e">
        <f t="shared" ca="1" si="168"/>
        <v>#REF!</v>
      </c>
      <c r="S642" s="125" t="e">
        <f t="shared" ca="1" si="169"/>
        <v>#REF!</v>
      </c>
      <c r="T642" s="125" t="e">
        <f t="shared" ca="1" si="164"/>
        <v>#REF!</v>
      </c>
      <c r="U642" s="128" t="e">
        <f t="shared" ca="1" si="170"/>
        <v>#REF!</v>
      </c>
      <c r="AC642">
        <v>635</v>
      </c>
      <c r="AD642" s="6">
        <f t="shared" ca="1" si="165"/>
        <v>33451</v>
      </c>
      <c r="AE642" s="7" t="e">
        <f t="shared" ca="1" si="171"/>
        <v>#REF!</v>
      </c>
      <c r="AF642" s="125" t="e">
        <f t="shared" ca="1" si="172"/>
        <v>#REF!</v>
      </c>
      <c r="AG642" s="125" t="e">
        <f t="shared" ca="1" si="166"/>
        <v>#REF!</v>
      </c>
      <c r="AH642" s="128" t="e">
        <f t="shared" ca="1" si="173"/>
        <v>#REF!</v>
      </c>
    </row>
    <row r="643" spans="4:34">
      <c r="D643">
        <v>636</v>
      </c>
      <c r="E643" s="6">
        <f t="shared" ca="1" si="158"/>
        <v>33420</v>
      </c>
      <c r="F643" s="7">
        <f t="shared" ca="1" si="167"/>
        <v>0</v>
      </c>
      <c r="G643" s="125">
        <f t="shared" ca="1" si="159"/>
        <v>0</v>
      </c>
      <c r="H643" s="125">
        <f ca="1">IF(F643=1,F643*$B$10/MIN(12,'Simulador - 3º Pilar'!$E$88),0)</f>
        <v>0</v>
      </c>
      <c r="I643" s="128">
        <f t="shared" ca="1" si="160"/>
        <v>0</v>
      </c>
      <c r="J643" s="494">
        <f t="shared" ca="1" si="161"/>
        <v>0</v>
      </c>
      <c r="K643" s="126">
        <f t="shared" ca="1" si="162"/>
        <v>0</v>
      </c>
      <c r="L643" s="126">
        <f t="shared" ca="1" si="174"/>
        <v>0</v>
      </c>
      <c r="P643">
        <v>636</v>
      </c>
      <c r="Q643" s="6">
        <f t="shared" ca="1" si="163"/>
        <v>33420</v>
      </c>
      <c r="R643" s="7" t="e">
        <f t="shared" ca="1" si="168"/>
        <v>#REF!</v>
      </c>
      <c r="S643" s="125" t="e">
        <f t="shared" ca="1" si="169"/>
        <v>#REF!</v>
      </c>
      <c r="T643" s="125" t="e">
        <f t="shared" ca="1" si="164"/>
        <v>#REF!</v>
      </c>
      <c r="U643" s="128" t="e">
        <f t="shared" ca="1" si="170"/>
        <v>#REF!</v>
      </c>
      <c r="AC643">
        <v>636</v>
      </c>
      <c r="AD643" s="6">
        <f t="shared" ca="1" si="165"/>
        <v>33420</v>
      </c>
      <c r="AE643" s="7" t="e">
        <f t="shared" ca="1" si="171"/>
        <v>#REF!</v>
      </c>
      <c r="AF643" s="125" t="e">
        <f t="shared" ca="1" si="172"/>
        <v>#REF!</v>
      </c>
      <c r="AG643" s="125" t="e">
        <f t="shared" ca="1" si="166"/>
        <v>#REF!</v>
      </c>
      <c r="AH643" s="128" t="e">
        <f t="shared" ca="1" si="173"/>
        <v>#REF!</v>
      </c>
    </row>
    <row r="644" spans="4:34">
      <c r="D644">
        <v>637</v>
      </c>
      <c r="E644" s="6">
        <f t="shared" ca="1" si="158"/>
        <v>33390</v>
      </c>
      <c r="F644" s="7">
        <f t="shared" ca="1" si="167"/>
        <v>0</v>
      </c>
      <c r="G644" s="125">
        <f t="shared" ca="1" si="159"/>
        <v>0</v>
      </c>
      <c r="H644" s="125">
        <f ca="1">IF(F644=1,F644*$B$10/MIN(12,'Simulador - 3º Pilar'!$E$88),0)</f>
        <v>0</v>
      </c>
      <c r="I644" s="128">
        <f t="shared" ca="1" si="160"/>
        <v>0</v>
      </c>
      <c r="J644" s="494">
        <f t="shared" ca="1" si="161"/>
        <v>0</v>
      </c>
      <c r="K644" s="126">
        <f t="shared" ca="1" si="162"/>
        <v>0</v>
      </c>
      <c r="L644" s="126">
        <f t="shared" ca="1" si="174"/>
        <v>0</v>
      </c>
      <c r="P644">
        <v>637</v>
      </c>
      <c r="Q644" s="6">
        <f t="shared" ca="1" si="163"/>
        <v>33390</v>
      </c>
      <c r="R644" s="7" t="e">
        <f t="shared" ca="1" si="168"/>
        <v>#REF!</v>
      </c>
      <c r="S644" s="125" t="e">
        <f t="shared" ca="1" si="169"/>
        <v>#REF!</v>
      </c>
      <c r="T644" s="125" t="e">
        <f t="shared" ca="1" si="164"/>
        <v>#REF!</v>
      </c>
      <c r="U644" s="128" t="e">
        <f t="shared" ca="1" si="170"/>
        <v>#REF!</v>
      </c>
      <c r="AC644">
        <v>637</v>
      </c>
      <c r="AD644" s="6">
        <f t="shared" ca="1" si="165"/>
        <v>33390</v>
      </c>
      <c r="AE644" s="7" t="e">
        <f t="shared" ca="1" si="171"/>
        <v>#REF!</v>
      </c>
      <c r="AF644" s="125" t="e">
        <f t="shared" ca="1" si="172"/>
        <v>#REF!</v>
      </c>
      <c r="AG644" s="125" t="e">
        <f t="shared" ca="1" si="166"/>
        <v>#REF!</v>
      </c>
      <c r="AH644" s="128" t="e">
        <f t="shared" ca="1" si="173"/>
        <v>#REF!</v>
      </c>
    </row>
    <row r="645" spans="4:34">
      <c r="D645">
        <v>638</v>
      </c>
      <c r="E645" s="6">
        <f t="shared" ca="1" si="158"/>
        <v>33359</v>
      </c>
      <c r="F645" s="7">
        <f t="shared" ca="1" si="167"/>
        <v>0</v>
      </c>
      <c r="G645" s="125">
        <f t="shared" ca="1" si="159"/>
        <v>0</v>
      </c>
      <c r="H645" s="125">
        <f ca="1">IF(F645=1,F645*$B$10/MIN(12,'Simulador - 3º Pilar'!$E$88),0)</f>
        <v>0</v>
      </c>
      <c r="I645" s="128">
        <f t="shared" ca="1" si="160"/>
        <v>0</v>
      </c>
      <c r="J645" s="494">
        <f t="shared" ca="1" si="161"/>
        <v>0</v>
      </c>
      <c r="K645" s="126">
        <f t="shared" ca="1" si="162"/>
        <v>0</v>
      </c>
      <c r="L645" s="126">
        <f t="shared" ca="1" si="174"/>
        <v>0</v>
      </c>
      <c r="P645">
        <v>638</v>
      </c>
      <c r="Q645" s="6">
        <f t="shared" ca="1" si="163"/>
        <v>33359</v>
      </c>
      <c r="R645" s="7" t="e">
        <f t="shared" ca="1" si="168"/>
        <v>#REF!</v>
      </c>
      <c r="S645" s="125" t="e">
        <f t="shared" ca="1" si="169"/>
        <v>#REF!</v>
      </c>
      <c r="T645" s="125" t="e">
        <f t="shared" ca="1" si="164"/>
        <v>#REF!</v>
      </c>
      <c r="U645" s="128" t="e">
        <f t="shared" ca="1" si="170"/>
        <v>#REF!</v>
      </c>
      <c r="AC645">
        <v>638</v>
      </c>
      <c r="AD645" s="6">
        <f t="shared" ca="1" si="165"/>
        <v>33359</v>
      </c>
      <c r="AE645" s="7" t="e">
        <f t="shared" ca="1" si="171"/>
        <v>#REF!</v>
      </c>
      <c r="AF645" s="125" t="e">
        <f t="shared" ca="1" si="172"/>
        <v>#REF!</v>
      </c>
      <c r="AG645" s="125" t="e">
        <f t="shared" ca="1" si="166"/>
        <v>#REF!</v>
      </c>
      <c r="AH645" s="128" t="e">
        <f t="shared" ca="1" si="173"/>
        <v>#REF!</v>
      </c>
    </row>
    <row r="646" spans="4:34">
      <c r="D646">
        <v>639</v>
      </c>
      <c r="E646" s="6">
        <f t="shared" ca="1" si="158"/>
        <v>33329</v>
      </c>
      <c r="F646" s="7">
        <f t="shared" ca="1" si="167"/>
        <v>0</v>
      </c>
      <c r="G646" s="125">
        <f t="shared" ca="1" si="159"/>
        <v>0</v>
      </c>
      <c r="H646" s="125">
        <f ca="1">IF(F646=1,F646*$B$10/MIN(12,'Simulador - 3º Pilar'!$E$88),0)</f>
        <v>0</v>
      </c>
      <c r="I646" s="128">
        <f t="shared" ca="1" si="160"/>
        <v>0</v>
      </c>
      <c r="J646" s="494">
        <f t="shared" ca="1" si="161"/>
        <v>0</v>
      </c>
      <c r="K646" s="126">
        <f t="shared" ca="1" si="162"/>
        <v>0</v>
      </c>
      <c r="L646" s="126">
        <f t="shared" ca="1" si="174"/>
        <v>0</v>
      </c>
      <c r="P646">
        <v>639</v>
      </c>
      <c r="Q646" s="6">
        <f t="shared" ca="1" si="163"/>
        <v>33329</v>
      </c>
      <c r="R646" s="7" t="e">
        <f t="shared" ca="1" si="168"/>
        <v>#REF!</v>
      </c>
      <c r="S646" s="125" t="e">
        <f t="shared" ca="1" si="169"/>
        <v>#REF!</v>
      </c>
      <c r="T646" s="125" t="e">
        <f t="shared" ca="1" si="164"/>
        <v>#REF!</v>
      </c>
      <c r="U646" s="128" t="e">
        <f t="shared" ca="1" si="170"/>
        <v>#REF!</v>
      </c>
      <c r="AC646">
        <v>639</v>
      </c>
      <c r="AD646" s="6">
        <f t="shared" ca="1" si="165"/>
        <v>33329</v>
      </c>
      <c r="AE646" s="7" t="e">
        <f t="shared" ca="1" si="171"/>
        <v>#REF!</v>
      </c>
      <c r="AF646" s="125" t="e">
        <f t="shared" ca="1" si="172"/>
        <v>#REF!</v>
      </c>
      <c r="AG646" s="125" t="e">
        <f t="shared" ca="1" si="166"/>
        <v>#REF!</v>
      </c>
      <c r="AH646" s="128" t="e">
        <f t="shared" ca="1" si="173"/>
        <v>#REF!</v>
      </c>
    </row>
    <row r="647" spans="4:34">
      <c r="D647">
        <v>640</v>
      </c>
      <c r="E647" s="6">
        <f t="shared" ca="1" si="158"/>
        <v>33298</v>
      </c>
      <c r="F647" s="7">
        <f t="shared" ca="1" si="167"/>
        <v>0</v>
      </c>
      <c r="G647" s="125">
        <f t="shared" ca="1" si="159"/>
        <v>0</v>
      </c>
      <c r="H647" s="125">
        <f ca="1">IF(F647=1,F647*$B$10/MIN(12,'Simulador - 3º Pilar'!$E$88),0)</f>
        <v>0</v>
      </c>
      <c r="I647" s="128">
        <f t="shared" ca="1" si="160"/>
        <v>0</v>
      </c>
      <c r="J647" s="494">
        <f t="shared" ca="1" si="161"/>
        <v>0</v>
      </c>
      <c r="K647" s="126">
        <f t="shared" ca="1" si="162"/>
        <v>0</v>
      </c>
      <c r="L647" s="126">
        <f t="shared" ca="1" si="174"/>
        <v>0</v>
      </c>
      <c r="P647">
        <v>640</v>
      </c>
      <c r="Q647" s="6">
        <f t="shared" ca="1" si="163"/>
        <v>33298</v>
      </c>
      <c r="R647" s="7" t="e">
        <f t="shared" ca="1" si="168"/>
        <v>#REF!</v>
      </c>
      <c r="S647" s="125" t="e">
        <f t="shared" ca="1" si="169"/>
        <v>#REF!</v>
      </c>
      <c r="T647" s="125" t="e">
        <f t="shared" ca="1" si="164"/>
        <v>#REF!</v>
      </c>
      <c r="U647" s="128" t="e">
        <f t="shared" ca="1" si="170"/>
        <v>#REF!</v>
      </c>
      <c r="AC647">
        <v>640</v>
      </c>
      <c r="AD647" s="6">
        <f t="shared" ca="1" si="165"/>
        <v>33298</v>
      </c>
      <c r="AE647" s="7" t="e">
        <f t="shared" ca="1" si="171"/>
        <v>#REF!</v>
      </c>
      <c r="AF647" s="125" t="e">
        <f t="shared" ca="1" si="172"/>
        <v>#REF!</v>
      </c>
      <c r="AG647" s="125" t="e">
        <f t="shared" ca="1" si="166"/>
        <v>#REF!</v>
      </c>
      <c r="AH647" s="128" t="e">
        <f t="shared" ca="1" si="173"/>
        <v>#REF!</v>
      </c>
    </row>
    <row r="648" spans="4:34">
      <c r="D648">
        <v>641</v>
      </c>
      <c r="E648" s="6">
        <f t="shared" ref="E648:E711" ca="1" si="175">+DATE(YEAR(E647),MONTH(E647)-1,DAY(E647))</f>
        <v>33270</v>
      </c>
      <c r="F648" s="7">
        <f t="shared" ca="1" si="167"/>
        <v>0</v>
      </c>
      <c r="G648" s="125">
        <f t="shared" ref="G648:G711" ca="1" si="176">F648*$B$8/12</f>
        <v>0</v>
      </c>
      <c r="H648" s="125">
        <f ca="1">IF(F648=1,F648*$B$10/MIN(12,'Simulador - 3º Pilar'!$E$88),0)</f>
        <v>0</v>
      </c>
      <c r="I648" s="128">
        <f t="shared" ref="I648:I711" ca="1" si="177">(1+$G$5)^(D648/12)*(H648+IF(E648=$N$7,$N$4,0))</f>
        <v>0</v>
      </c>
      <c r="J648" s="494">
        <f t="shared" ref="J648:J711" ca="1" si="178">(1+$G$5)^(D648/12)*(H648*(12-IF(MONTH(E649)=12,0,MONTH(E649)))+IF(AND(F648=1,F649=0),$Q$4,0))*IF(AND(F648=1,F649=0),1,0)</f>
        <v>0</v>
      </c>
      <c r="K648" s="126">
        <f t="shared" ref="K648:K711" ca="1" si="179">(1+$G$5)^(D648/12)*(IF(E648=$N$7,$N$4,0)+IF(E648=$C$6,$B$10,0))</f>
        <v>0</v>
      </c>
      <c r="L648" s="126">
        <f t="shared" ca="1" si="174"/>
        <v>0</v>
      </c>
      <c r="P648">
        <v>641</v>
      </c>
      <c r="Q648" s="6">
        <f t="shared" ref="Q648:Q711" ca="1" si="180">+DATE(YEAR(Q647),MONTH(Q647)-1,DAY(Q647))</f>
        <v>33270</v>
      </c>
      <c r="R648" s="7" t="e">
        <f t="shared" ca="1" si="168"/>
        <v>#REF!</v>
      </c>
      <c r="S648" s="125" t="e">
        <f t="shared" ca="1" si="169"/>
        <v>#REF!</v>
      </c>
      <c r="T648" s="125" t="e">
        <f t="shared" ref="T648:T711" ca="1" si="181">R648*$B$11/12</f>
        <v>#REF!</v>
      </c>
      <c r="U648" s="128" t="e">
        <f t="shared" ca="1" si="170"/>
        <v>#REF!</v>
      </c>
      <c r="AC648">
        <v>641</v>
      </c>
      <c r="AD648" s="6">
        <f t="shared" ref="AD648:AD711" ca="1" si="182">+DATE(YEAR(AD647),MONTH(AD647)-1,DAY(AD647))</f>
        <v>33270</v>
      </c>
      <c r="AE648" s="7" t="e">
        <f t="shared" ca="1" si="171"/>
        <v>#REF!</v>
      </c>
      <c r="AF648" s="125" t="e">
        <f t="shared" ca="1" si="172"/>
        <v>#REF!</v>
      </c>
      <c r="AG648" s="125" t="e">
        <f t="shared" ref="AG648:AG711" ca="1" si="183">AE648*$B$12/12</f>
        <v>#REF!</v>
      </c>
      <c r="AH648" s="128" t="e">
        <f t="shared" ca="1" si="173"/>
        <v>#REF!</v>
      </c>
    </row>
    <row r="649" spans="4:34">
      <c r="D649">
        <v>642</v>
      </c>
      <c r="E649" s="6">
        <f t="shared" ca="1" si="175"/>
        <v>33239</v>
      </c>
      <c r="F649" s="7">
        <f t="shared" ref="F649:F712" ca="1" si="184">IF($C$6=$E649,1,IF(MONTH($E649)=1,F650*(1+$F$5),F650))</f>
        <v>0</v>
      </c>
      <c r="G649" s="125">
        <f t="shared" ca="1" si="176"/>
        <v>0</v>
      </c>
      <c r="H649" s="125">
        <f ca="1">IF(F649=1,F649*$B$10/MIN(12,'Simulador - 3º Pilar'!$E$88),0)</f>
        <v>0</v>
      </c>
      <c r="I649" s="128">
        <f t="shared" ca="1" si="177"/>
        <v>0</v>
      </c>
      <c r="J649" s="494">
        <f t="shared" ca="1" si="178"/>
        <v>0</v>
      </c>
      <c r="K649" s="126">
        <f t="shared" ca="1" si="179"/>
        <v>0</v>
      </c>
      <c r="L649" s="126">
        <f t="shared" ca="1" si="174"/>
        <v>0</v>
      </c>
      <c r="P649">
        <v>642</v>
      </c>
      <c r="Q649" s="6">
        <f t="shared" ca="1" si="180"/>
        <v>33239</v>
      </c>
      <c r="R649" s="7" t="e">
        <f t="shared" ref="R649:R712" ca="1" si="185">IF($Z$7=$E649,1,IF(MONTH($E649)=1,R650*(1+$F$5),R650))</f>
        <v>#REF!</v>
      </c>
      <c r="S649" s="125" t="e">
        <f t="shared" ref="S649:S712" ca="1" si="186">R649*$B$8/12</f>
        <v>#REF!</v>
      </c>
      <c r="T649" s="125" t="e">
        <f t="shared" ca="1" si="181"/>
        <v>#REF!</v>
      </c>
      <c r="U649" s="128" t="e">
        <f t="shared" ref="U649:U712" ca="1" si="187">(1+$V$5)^(P649/12)*(T649+IF(Q649=$Z$7,$Z$4,0))</f>
        <v>#REF!</v>
      </c>
      <c r="AC649">
        <v>642</v>
      </c>
      <c r="AD649" s="6">
        <f t="shared" ca="1" si="182"/>
        <v>33239</v>
      </c>
      <c r="AE649" s="7" t="e">
        <f t="shared" ref="AE649:AE712" ca="1" si="188">IF($AM$7=$E649,1,IF(MONTH($E649)=1,AE650*(1+$F$5),AE650))</f>
        <v>#REF!</v>
      </c>
      <c r="AF649" s="125" t="e">
        <f t="shared" ref="AF649:AF712" ca="1" si="189">AE649*$B$8/12</f>
        <v>#REF!</v>
      </c>
      <c r="AG649" s="125" t="e">
        <f t="shared" ca="1" si="183"/>
        <v>#REF!</v>
      </c>
      <c r="AH649" s="128" t="e">
        <f t="shared" ref="AH649:AH712" ca="1" si="190">(1+$AI$5)^(AC649/12)*(AG649+IF(AD649=$AM$7,$AM$4,0))</f>
        <v>#REF!</v>
      </c>
    </row>
    <row r="650" spans="4:34">
      <c r="D650">
        <v>643</v>
      </c>
      <c r="E650" s="6">
        <f t="shared" ca="1" si="175"/>
        <v>33208</v>
      </c>
      <c r="F650" s="7">
        <f t="shared" ca="1" si="184"/>
        <v>0</v>
      </c>
      <c r="G650" s="125">
        <f t="shared" ca="1" si="176"/>
        <v>0</v>
      </c>
      <c r="H650" s="125">
        <f ca="1">IF(F650=1,F650*$B$10/MIN(12,'Simulador - 3º Pilar'!$E$88),0)</f>
        <v>0</v>
      </c>
      <c r="I650" s="128">
        <f t="shared" ca="1" si="177"/>
        <v>0</v>
      </c>
      <c r="J650" s="494">
        <f t="shared" ca="1" si="178"/>
        <v>0</v>
      </c>
      <c r="K650" s="126">
        <f t="shared" ca="1" si="179"/>
        <v>0</v>
      </c>
      <c r="L650" s="126">
        <f t="shared" ca="1" si="174"/>
        <v>0</v>
      </c>
      <c r="P650">
        <v>643</v>
      </c>
      <c r="Q650" s="6">
        <f t="shared" ca="1" si="180"/>
        <v>33208</v>
      </c>
      <c r="R650" s="7" t="e">
        <f t="shared" ca="1" si="185"/>
        <v>#REF!</v>
      </c>
      <c r="S650" s="125" t="e">
        <f t="shared" ca="1" si="186"/>
        <v>#REF!</v>
      </c>
      <c r="T650" s="125" t="e">
        <f t="shared" ca="1" si="181"/>
        <v>#REF!</v>
      </c>
      <c r="U650" s="128" t="e">
        <f t="shared" ca="1" si="187"/>
        <v>#REF!</v>
      </c>
      <c r="AC650">
        <v>643</v>
      </c>
      <c r="AD650" s="6">
        <f t="shared" ca="1" si="182"/>
        <v>33208</v>
      </c>
      <c r="AE650" s="7" t="e">
        <f t="shared" ca="1" si="188"/>
        <v>#REF!</v>
      </c>
      <c r="AF650" s="125" t="e">
        <f t="shared" ca="1" si="189"/>
        <v>#REF!</v>
      </c>
      <c r="AG650" s="125" t="e">
        <f t="shared" ca="1" si="183"/>
        <v>#REF!</v>
      </c>
      <c r="AH650" s="128" t="e">
        <f t="shared" ca="1" si="190"/>
        <v>#REF!</v>
      </c>
    </row>
    <row r="651" spans="4:34">
      <c r="D651">
        <v>644</v>
      </c>
      <c r="E651" s="6">
        <f t="shared" ca="1" si="175"/>
        <v>33178</v>
      </c>
      <c r="F651" s="7">
        <f t="shared" ca="1" si="184"/>
        <v>0</v>
      </c>
      <c r="G651" s="125">
        <f t="shared" ca="1" si="176"/>
        <v>0</v>
      </c>
      <c r="H651" s="125">
        <f ca="1">IF(F651=1,F651*$B$10/MIN(12,'Simulador - 3º Pilar'!$E$88),0)</f>
        <v>0</v>
      </c>
      <c r="I651" s="128">
        <f t="shared" ca="1" si="177"/>
        <v>0</v>
      </c>
      <c r="J651" s="494">
        <f t="shared" ca="1" si="178"/>
        <v>0</v>
      </c>
      <c r="K651" s="126">
        <f t="shared" ca="1" si="179"/>
        <v>0</v>
      </c>
      <c r="L651" s="126">
        <f t="shared" ca="1" si="174"/>
        <v>0</v>
      </c>
      <c r="P651">
        <v>644</v>
      </c>
      <c r="Q651" s="6">
        <f t="shared" ca="1" si="180"/>
        <v>33178</v>
      </c>
      <c r="R651" s="7" t="e">
        <f t="shared" ca="1" si="185"/>
        <v>#REF!</v>
      </c>
      <c r="S651" s="125" t="e">
        <f t="shared" ca="1" si="186"/>
        <v>#REF!</v>
      </c>
      <c r="T651" s="125" t="e">
        <f t="shared" ca="1" si="181"/>
        <v>#REF!</v>
      </c>
      <c r="U651" s="128" t="e">
        <f t="shared" ca="1" si="187"/>
        <v>#REF!</v>
      </c>
      <c r="AC651">
        <v>644</v>
      </c>
      <c r="AD651" s="6">
        <f t="shared" ca="1" si="182"/>
        <v>33178</v>
      </c>
      <c r="AE651" s="7" t="e">
        <f t="shared" ca="1" si="188"/>
        <v>#REF!</v>
      </c>
      <c r="AF651" s="125" t="e">
        <f t="shared" ca="1" si="189"/>
        <v>#REF!</v>
      </c>
      <c r="AG651" s="125" t="e">
        <f t="shared" ca="1" si="183"/>
        <v>#REF!</v>
      </c>
      <c r="AH651" s="128" t="e">
        <f t="shared" ca="1" si="190"/>
        <v>#REF!</v>
      </c>
    </row>
    <row r="652" spans="4:34">
      <c r="D652">
        <v>645</v>
      </c>
      <c r="E652" s="6">
        <f t="shared" ca="1" si="175"/>
        <v>33147</v>
      </c>
      <c r="F652" s="7">
        <f t="shared" ca="1" si="184"/>
        <v>0</v>
      </c>
      <c r="G652" s="125">
        <f t="shared" ca="1" si="176"/>
        <v>0</v>
      </c>
      <c r="H652" s="125">
        <f ca="1">IF(F652=1,F652*$B$10/MIN(12,'Simulador - 3º Pilar'!$E$88),0)</f>
        <v>0</v>
      </c>
      <c r="I652" s="128">
        <f t="shared" ca="1" si="177"/>
        <v>0</v>
      </c>
      <c r="J652" s="494">
        <f t="shared" ca="1" si="178"/>
        <v>0</v>
      </c>
      <c r="K652" s="126">
        <f t="shared" ca="1" si="179"/>
        <v>0</v>
      </c>
      <c r="L652" s="126">
        <f t="shared" ca="1" si="174"/>
        <v>0</v>
      </c>
      <c r="P652">
        <v>645</v>
      </c>
      <c r="Q652" s="6">
        <f t="shared" ca="1" si="180"/>
        <v>33147</v>
      </c>
      <c r="R652" s="7" t="e">
        <f t="shared" ca="1" si="185"/>
        <v>#REF!</v>
      </c>
      <c r="S652" s="125" t="e">
        <f t="shared" ca="1" si="186"/>
        <v>#REF!</v>
      </c>
      <c r="T652" s="125" t="e">
        <f t="shared" ca="1" si="181"/>
        <v>#REF!</v>
      </c>
      <c r="U652" s="128" t="e">
        <f t="shared" ca="1" si="187"/>
        <v>#REF!</v>
      </c>
      <c r="AC652">
        <v>645</v>
      </c>
      <c r="AD652" s="6">
        <f t="shared" ca="1" si="182"/>
        <v>33147</v>
      </c>
      <c r="AE652" s="7" t="e">
        <f t="shared" ca="1" si="188"/>
        <v>#REF!</v>
      </c>
      <c r="AF652" s="125" t="e">
        <f t="shared" ca="1" si="189"/>
        <v>#REF!</v>
      </c>
      <c r="AG652" s="125" t="e">
        <f t="shared" ca="1" si="183"/>
        <v>#REF!</v>
      </c>
      <c r="AH652" s="128" t="e">
        <f t="shared" ca="1" si="190"/>
        <v>#REF!</v>
      </c>
    </row>
    <row r="653" spans="4:34">
      <c r="D653">
        <v>646</v>
      </c>
      <c r="E653" s="6">
        <f t="shared" ca="1" si="175"/>
        <v>33117</v>
      </c>
      <c r="F653" s="7">
        <f t="shared" ca="1" si="184"/>
        <v>0</v>
      </c>
      <c r="G653" s="125">
        <f t="shared" ca="1" si="176"/>
        <v>0</v>
      </c>
      <c r="H653" s="125">
        <f ca="1">IF(F653=1,F653*$B$10/MIN(12,'Simulador - 3º Pilar'!$E$88),0)</f>
        <v>0</v>
      </c>
      <c r="I653" s="128">
        <f t="shared" ca="1" si="177"/>
        <v>0</v>
      </c>
      <c r="J653" s="494">
        <f t="shared" ca="1" si="178"/>
        <v>0</v>
      </c>
      <c r="K653" s="126">
        <f t="shared" ca="1" si="179"/>
        <v>0</v>
      </c>
      <c r="L653" s="126">
        <f t="shared" ca="1" si="174"/>
        <v>0</v>
      </c>
      <c r="P653">
        <v>646</v>
      </c>
      <c r="Q653" s="6">
        <f t="shared" ca="1" si="180"/>
        <v>33117</v>
      </c>
      <c r="R653" s="7" t="e">
        <f t="shared" ca="1" si="185"/>
        <v>#REF!</v>
      </c>
      <c r="S653" s="125" t="e">
        <f t="shared" ca="1" si="186"/>
        <v>#REF!</v>
      </c>
      <c r="T653" s="125" t="e">
        <f t="shared" ca="1" si="181"/>
        <v>#REF!</v>
      </c>
      <c r="U653" s="128" t="e">
        <f t="shared" ca="1" si="187"/>
        <v>#REF!</v>
      </c>
      <c r="AC653">
        <v>646</v>
      </c>
      <c r="AD653" s="6">
        <f t="shared" ca="1" si="182"/>
        <v>33117</v>
      </c>
      <c r="AE653" s="7" t="e">
        <f t="shared" ca="1" si="188"/>
        <v>#REF!</v>
      </c>
      <c r="AF653" s="125" t="e">
        <f t="shared" ca="1" si="189"/>
        <v>#REF!</v>
      </c>
      <c r="AG653" s="125" t="e">
        <f t="shared" ca="1" si="183"/>
        <v>#REF!</v>
      </c>
      <c r="AH653" s="128" t="e">
        <f t="shared" ca="1" si="190"/>
        <v>#REF!</v>
      </c>
    </row>
    <row r="654" spans="4:34">
      <c r="D654">
        <v>647</v>
      </c>
      <c r="E654" s="6">
        <f t="shared" ca="1" si="175"/>
        <v>33086</v>
      </c>
      <c r="F654" s="7">
        <f t="shared" ca="1" si="184"/>
        <v>0</v>
      </c>
      <c r="G654" s="125">
        <f t="shared" ca="1" si="176"/>
        <v>0</v>
      </c>
      <c r="H654" s="125">
        <f ca="1">IF(F654=1,F654*$B$10/MIN(12,'Simulador - 3º Pilar'!$E$88),0)</f>
        <v>0</v>
      </c>
      <c r="I654" s="128">
        <f t="shared" ca="1" si="177"/>
        <v>0</v>
      </c>
      <c r="J654" s="494">
        <f t="shared" ca="1" si="178"/>
        <v>0</v>
      </c>
      <c r="K654" s="126">
        <f t="shared" ca="1" si="179"/>
        <v>0</v>
      </c>
      <c r="L654" s="126">
        <f t="shared" ca="1" si="174"/>
        <v>0</v>
      </c>
      <c r="P654">
        <v>647</v>
      </c>
      <c r="Q654" s="6">
        <f t="shared" ca="1" si="180"/>
        <v>33086</v>
      </c>
      <c r="R654" s="7" t="e">
        <f t="shared" ca="1" si="185"/>
        <v>#REF!</v>
      </c>
      <c r="S654" s="125" t="e">
        <f t="shared" ca="1" si="186"/>
        <v>#REF!</v>
      </c>
      <c r="T654" s="125" t="e">
        <f t="shared" ca="1" si="181"/>
        <v>#REF!</v>
      </c>
      <c r="U654" s="128" t="e">
        <f t="shared" ca="1" si="187"/>
        <v>#REF!</v>
      </c>
      <c r="AC654">
        <v>647</v>
      </c>
      <c r="AD654" s="6">
        <f t="shared" ca="1" si="182"/>
        <v>33086</v>
      </c>
      <c r="AE654" s="7" t="e">
        <f t="shared" ca="1" si="188"/>
        <v>#REF!</v>
      </c>
      <c r="AF654" s="125" t="e">
        <f t="shared" ca="1" si="189"/>
        <v>#REF!</v>
      </c>
      <c r="AG654" s="125" t="e">
        <f t="shared" ca="1" si="183"/>
        <v>#REF!</v>
      </c>
      <c r="AH654" s="128" t="e">
        <f t="shared" ca="1" si="190"/>
        <v>#REF!</v>
      </c>
    </row>
    <row r="655" spans="4:34">
      <c r="D655">
        <v>648</v>
      </c>
      <c r="E655" s="6">
        <f t="shared" ca="1" si="175"/>
        <v>33055</v>
      </c>
      <c r="F655" s="7">
        <f t="shared" ca="1" si="184"/>
        <v>0</v>
      </c>
      <c r="G655" s="125">
        <f t="shared" ca="1" si="176"/>
        <v>0</v>
      </c>
      <c r="H655" s="125">
        <f ca="1">IF(F655=1,F655*$B$10/MIN(12,'Simulador - 3º Pilar'!$E$88),0)</f>
        <v>0</v>
      </c>
      <c r="I655" s="128">
        <f t="shared" ca="1" si="177"/>
        <v>0</v>
      </c>
      <c r="J655" s="494">
        <f t="shared" ca="1" si="178"/>
        <v>0</v>
      </c>
      <c r="K655" s="126">
        <f t="shared" ca="1" si="179"/>
        <v>0</v>
      </c>
      <c r="L655" s="126">
        <f t="shared" ca="1" si="174"/>
        <v>0</v>
      </c>
      <c r="P655">
        <v>648</v>
      </c>
      <c r="Q655" s="6">
        <f t="shared" ca="1" si="180"/>
        <v>33055</v>
      </c>
      <c r="R655" s="7" t="e">
        <f t="shared" ca="1" si="185"/>
        <v>#REF!</v>
      </c>
      <c r="S655" s="125" t="e">
        <f t="shared" ca="1" si="186"/>
        <v>#REF!</v>
      </c>
      <c r="T655" s="125" t="e">
        <f t="shared" ca="1" si="181"/>
        <v>#REF!</v>
      </c>
      <c r="U655" s="128" t="e">
        <f t="shared" ca="1" si="187"/>
        <v>#REF!</v>
      </c>
      <c r="AC655">
        <v>648</v>
      </c>
      <c r="AD655" s="6">
        <f t="shared" ca="1" si="182"/>
        <v>33055</v>
      </c>
      <c r="AE655" s="7" t="e">
        <f t="shared" ca="1" si="188"/>
        <v>#REF!</v>
      </c>
      <c r="AF655" s="125" t="e">
        <f t="shared" ca="1" si="189"/>
        <v>#REF!</v>
      </c>
      <c r="AG655" s="125" t="e">
        <f t="shared" ca="1" si="183"/>
        <v>#REF!</v>
      </c>
      <c r="AH655" s="128" t="e">
        <f t="shared" ca="1" si="190"/>
        <v>#REF!</v>
      </c>
    </row>
    <row r="656" spans="4:34">
      <c r="D656">
        <v>649</v>
      </c>
      <c r="E656" s="6">
        <f t="shared" ca="1" si="175"/>
        <v>33025</v>
      </c>
      <c r="F656" s="7">
        <f t="shared" ca="1" si="184"/>
        <v>0</v>
      </c>
      <c r="G656" s="125">
        <f t="shared" ca="1" si="176"/>
        <v>0</v>
      </c>
      <c r="H656" s="125">
        <f ca="1">IF(F656=1,F656*$B$10/MIN(12,'Simulador - 3º Pilar'!$E$88),0)</f>
        <v>0</v>
      </c>
      <c r="I656" s="128">
        <f t="shared" ca="1" si="177"/>
        <v>0</v>
      </c>
      <c r="J656" s="494">
        <f t="shared" ca="1" si="178"/>
        <v>0</v>
      </c>
      <c r="K656" s="126">
        <f t="shared" ca="1" si="179"/>
        <v>0</v>
      </c>
      <c r="L656" s="126">
        <f t="shared" ca="1" si="174"/>
        <v>0</v>
      </c>
      <c r="P656">
        <v>649</v>
      </c>
      <c r="Q656" s="6">
        <f t="shared" ca="1" si="180"/>
        <v>33025</v>
      </c>
      <c r="R656" s="7" t="e">
        <f t="shared" ca="1" si="185"/>
        <v>#REF!</v>
      </c>
      <c r="S656" s="125" t="e">
        <f t="shared" ca="1" si="186"/>
        <v>#REF!</v>
      </c>
      <c r="T656" s="125" t="e">
        <f t="shared" ca="1" si="181"/>
        <v>#REF!</v>
      </c>
      <c r="U656" s="128" t="e">
        <f t="shared" ca="1" si="187"/>
        <v>#REF!</v>
      </c>
      <c r="AC656">
        <v>649</v>
      </c>
      <c r="AD656" s="6">
        <f t="shared" ca="1" si="182"/>
        <v>33025</v>
      </c>
      <c r="AE656" s="7" t="e">
        <f t="shared" ca="1" si="188"/>
        <v>#REF!</v>
      </c>
      <c r="AF656" s="125" t="e">
        <f t="shared" ca="1" si="189"/>
        <v>#REF!</v>
      </c>
      <c r="AG656" s="125" t="e">
        <f t="shared" ca="1" si="183"/>
        <v>#REF!</v>
      </c>
      <c r="AH656" s="128" t="e">
        <f t="shared" ca="1" si="190"/>
        <v>#REF!</v>
      </c>
    </row>
    <row r="657" spans="4:34">
      <c r="D657">
        <v>650</v>
      </c>
      <c r="E657" s="6">
        <f t="shared" ca="1" si="175"/>
        <v>32994</v>
      </c>
      <c r="F657" s="7">
        <f t="shared" ca="1" si="184"/>
        <v>0</v>
      </c>
      <c r="G657" s="125">
        <f t="shared" ca="1" si="176"/>
        <v>0</v>
      </c>
      <c r="H657" s="125">
        <f ca="1">IF(F657=1,F657*$B$10/MIN(12,'Simulador - 3º Pilar'!$E$88),0)</f>
        <v>0</v>
      </c>
      <c r="I657" s="128">
        <f t="shared" ca="1" si="177"/>
        <v>0</v>
      </c>
      <c r="J657" s="494">
        <f t="shared" ca="1" si="178"/>
        <v>0</v>
      </c>
      <c r="K657" s="126">
        <f t="shared" ca="1" si="179"/>
        <v>0</v>
      </c>
      <c r="L657" s="126">
        <f t="shared" ca="1" si="174"/>
        <v>0</v>
      </c>
      <c r="P657">
        <v>650</v>
      </c>
      <c r="Q657" s="6">
        <f t="shared" ca="1" si="180"/>
        <v>32994</v>
      </c>
      <c r="R657" s="7" t="e">
        <f t="shared" ca="1" si="185"/>
        <v>#REF!</v>
      </c>
      <c r="S657" s="125" t="e">
        <f t="shared" ca="1" si="186"/>
        <v>#REF!</v>
      </c>
      <c r="T657" s="125" t="e">
        <f t="shared" ca="1" si="181"/>
        <v>#REF!</v>
      </c>
      <c r="U657" s="128" t="e">
        <f t="shared" ca="1" si="187"/>
        <v>#REF!</v>
      </c>
      <c r="AC657">
        <v>650</v>
      </c>
      <c r="AD657" s="6">
        <f t="shared" ca="1" si="182"/>
        <v>32994</v>
      </c>
      <c r="AE657" s="7" t="e">
        <f t="shared" ca="1" si="188"/>
        <v>#REF!</v>
      </c>
      <c r="AF657" s="125" t="e">
        <f t="shared" ca="1" si="189"/>
        <v>#REF!</v>
      </c>
      <c r="AG657" s="125" t="e">
        <f t="shared" ca="1" si="183"/>
        <v>#REF!</v>
      </c>
      <c r="AH657" s="128" t="e">
        <f t="shared" ca="1" si="190"/>
        <v>#REF!</v>
      </c>
    </row>
    <row r="658" spans="4:34">
      <c r="D658">
        <v>651</v>
      </c>
      <c r="E658" s="6">
        <f t="shared" ca="1" si="175"/>
        <v>32964</v>
      </c>
      <c r="F658" s="7">
        <f t="shared" ca="1" si="184"/>
        <v>0</v>
      </c>
      <c r="G658" s="125">
        <f t="shared" ca="1" si="176"/>
        <v>0</v>
      </c>
      <c r="H658" s="125">
        <f ca="1">IF(F658=1,F658*$B$10/MIN(12,'Simulador - 3º Pilar'!$E$88),0)</f>
        <v>0</v>
      </c>
      <c r="I658" s="128">
        <f t="shared" ca="1" si="177"/>
        <v>0</v>
      </c>
      <c r="J658" s="494">
        <f t="shared" ca="1" si="178"/>
        <v>0</v>
      </c>
      <c r="K658" s="126">
        <f t="shared" ca="1" si="179"/>
        <v>0</v>
      </c>
      <c r="L658" s="126">
        <f t="shared" ca="1" si="174"/>
        <v>0</v>
      </c>
      <c r="P658">
        <v>651</v>
      </c>
      <c r="Q658" s="6">
        <f t="shared" ca="1" si="180"/>
        <v>32964</v>
      </c>
      <c r="R658" s="7" t="e">
        <f t="shared" ca="1" si="185"/>
        <v>#REF!</v>
      </c>
      <c r="S658" s="125" t="e">
        <f t="shared" ca="1" si="186"/>
        <v>#REF!</v>
      </c>
      <c r="T658" s="125" t="e">
        <f t="shared" ca="1" si="181"/>
        <v>#REF!</v>
      </c>
      <c r="U658" s="128" t="e">
        <f t="shared" ca="1" si="187"/>
        <v>#REF!</v>
      </c>
      <c r="AC658">
        <v>651</v>
      </c>
      <c r="AD658" s="6">
        <f t="shared" ca="1" si="182"/>
        <v>32964</v>
      </c>
      <c r="AE658" s="7" t="e">
        <f t="shared" ca="1" si="188"/>
        <v>#REF!</v>
      </c>
      <c r="AF658" s="125" t="e">
        <f t="shared" ca="1" si="189"/>
        <v>#REF!</v>
      </c>
      <c r="AG658" s="125" t="e">
        <f t="shared" ca="1" si="183"/>
        <v>#REF!</v>
      </c>
      <c r="AH658" s="128" t="e">
        <f t="shared" ca="1" si="190"/>
        <v>#REF!</v>
      </c>
    </row>
    <row r="659" spans="4:34">
      <c r="D659">
        <v>652</v>
      </c>
      <c r="E659" s="6">
        <f t="shared" ca="1" si="175"/>
        <v>32933</v>
      </c>
      <c r="F659" s="7">
        <f t="shared" ca="1" si="184"/>
        <v>0</v>
      </c>
      <c r="G659" s="125">
        <f t="shared" ca="1" si="176"/>
        <v>0</v>
      </c>
      <c r="H659" s="125">
        <f ca="1">IF(F659=1,F659*$B$10/MIN(12,'Simulador - 3º Pilar'!$E$88),0)</f>
        <v>0</v>
      </c>
      <c r="I659" s="128">
        <f t="shared" ca="1" si="177"/>
        <v>0</v>
      </c>
      <c r="J659" s="494">
        <f t="shared" ca="1" si="178"/>
        <v>0</v>
      </c>
      <c r="K659" s="126">
        <f t="shared" ca="1" si="179"/>
        <v>0</v>
      </c>
      <c r="L659" s="126">
        <f t="shared" ca="1" si="174"/>
        <v>0</v>
      </c>
      <c r="P659">
        <v>652</v>
      </c>
      <c r="Q659" s="6">
        <f t="shared" ca="1" si="180"/>
        <v>32933</v>
      </c>
      <c r="R659" s="7" t="e">
        <f t="shared" ca="1" si="185"/>
        <v>#REF!</v>
      </c>
      <c r="S659" s="125" t="e">
        <f t="shared" ca="1" si="186"/>
        <v>#REF!</v>
      </c>
      <c r="T659" s="125" t="e">
        <f t="shared" ca="1" si="181"/>
        <v>#REF!</v>
      </c>
      <c r="U659" s="128" t="e">
        <f t="shared" ca="1" si="187"/>
        <v>#REF!</v>
      </c>
      <c r="AC659">
        <v>652</v>
      </c>
      <c r="AD659" s="6">
        <f t="shared" ca="1" si="182"/>
        <v>32933</v>
      </c>
      <c r="AE659" s="7" t="e">
        <f t="shared" ca="1" si="188"/>
        <v>#REF!</v>
      </c>
      <c r="AF659" s="125" t="e">
        <f t="shared" ca="1" si="189"/>
        <v>#REF!</v>
      </c>
      <c r="AG659" s="125" t="e">
        <f t="shared" ca="1" si="183"/>
        <v>#REF!</v>
      </c>
      <c r="AH659" s="128" t="e">
        <f t="shared" ca="1" si="190"/>
        <v>#REF!</v>
      </c>
    </row>
    <row r="660" spans="4:34">
      <c r="D660">
        <v>653</v>
      </c>
      <c r="E660" s="6">
        <f t="shared" ca="1" si="175"/>
        <v>32905</v>
      </c>
      <c r="F660" s="7">
        <f t="shared" ca="1" si="184"/>
        <v>0</v>
      </c>
      <c r="G660" s="125">
        <f t="shared" ca="1" si="176"/>
        <v>0</v>
      </c>
      <c r="H660" s="125">
        <f ca="1">IF(F660=1,F660*$B$10/MIN(12,'Simulador - 3º Pilar'!$E$88),0)</f>
        <v>0</v>
      </c>
      <c r="I660" s="128">
        <f t="shared" ca="1" si="177"/>
        <v>0</v>
      </c>
      <c r="J660" s="494">
        <f t="shared" ca="1" si="178"/>
        <v>0</v>
      </c>
      <c r="K660" s="126">
        <f t="shared" ca="1" si="179"/>
        <v>0</v>
      </c>
      <c r="L660" s="126">
        <f t="shared" ca="1" si="174"/>
        <v>0</v>
      </c>
      <c r="P660">
        <v>653</v>
      </c>
      <c r="Q660" s="6">
        <f t="shared" ca="1" si="180"/>
        <v>32905</v>
      </c>
      <c r="R660" s="7" t="e">
        <f t="shared" ca="1" si="185"/>
        <v>#REF!</v>
      </c>
      <c r="S660" s="125" t="e">
        <f t="shared" ca="1" si="186"/>
        <v>#REF!</v>
      </c>
      <c r="T660" s="125" t="e">
        <f t="shared" ca="1" si="181"/>
        <v>#REF!</v>
      </c>
      <c r="U660" s="128" t="e">
        <f t="shared" ca="1" si="187"/>
        <v>#REF!</v>
      </c>
      <c r="AC660">
        <v>653</v>
      </c>
      <c r="AD660" s="6">
        <f t="shared" ca="1" si="182"/>
        <v>32905</v>
      </c>
      <c r="AE660" s="7" t="e">
        <f t="shared" ca="1" si="188"/>
        <v>#REF!</v>
      </c>
      <c r="AF660" s="125" t="e">
        <f t="shared" ca="1" si="189"/>
        <v>#REF!</v>
      </c>
      <c r="AG660" s="125" t="e">
        <f t="shared" ca="1" si="183"/>
        <v>#REF!</v>
      </c>
      <c r="AH660" s="128" t="e">
        <f t="shared" ca="1" si="190"/>
        <v>#REF!</v>
      </c>
    </row>
    <row r="661" spans="4:34">
      <c r="D661">
        <v>654</v>
      </c>
      <c r="E661" s="6">
        <f t="shared" ca="1" si="175"/>
        <v>32874</v>
      </c>
      <c r="F661" s="7">
        <f t="shared" ca="1" si="184"/>
        <v>0</v>
      </c>
      <c r="G661" s="125">
        <f t="shared" ca="1" si="176"/>
        <v>0</v>
      </c>
      <c r="H661" s="125">
        <f ca="1">IF(F661=1,F661*$B$10/MIN(12,'Simulador - 3º Pilar'!$E$88),0)</f>
        <v>0</v>
      </c>
      <c r="I661" s="128">
        <f t="shared" ca="1" si="177"/>
        <v>0</v>
      </c>
      <c r="J661" s="494">
        <f t="shared" ca="1" si="178"/>
        <v>0</v>
      </c>
      <c r="K661" s="126">
        <f t="shared" ca="1" si="179"/>
        <v>0</v>
      </c>
      <c r="L661" s="126">
        <f t="shared" ca="1" si="174"/>
        <v>0</v>
      </c>
      <c r="P661">
        <v>654</v>
      </c>
      <c r="Q661" s="6">
        <f t="shared" ca="1" si="180"/>
        <v>32874</v>
      </c>
      <c r="R661" s="7" t="e">
        <f t="shared" ca="1" si="185"/>
        <v>#REF!</v>
      </c>
      <c r="S661" s="125" t="e">
        <f t="shared" ca="1" si="186"/>
        <v>#REF!</v>
      </c>
      <c r="T661" s="125" t="e">
        <f t="shared" ca="1" si="181"/>
        <v>#REF!</v>
      </c>
      <c r="U661" s="128" t="e">
        <f t="shared" ca="1" si="187"/>
        <v>#REF!</v>
      </c>
      <c r="AC661">
        <v>654</v>
      </c>
      <c r="AD661" s="6">
        <f t="shared" ca="1" si="182"/>
        <v>32874</v>
      </c>
      <c r="AE661" s="7" t="e">
        <f t="shared" ca="1" si="188"/>
        <v>#REF!</v>
      </c>
      <c r="AF661" s="125" t="e">
        <f t="shared" ca="1" si="189"/>
        <v>#REF!</v>
      </c>
      <c r="AG661" s="125" t="e">
        <f t="shared" ca="1" si="183"/>
        <v>#REF!</v>
      </c>
      <c r="AH661" s="128" t="e">
        <f t="shared" ca="1" si="190"/>
        <v>#REF!</v>
      </c>
    </row>
    <row r="662" spans="4:34">
      <c r="D662">
        <v>655</v>
      </c>
      <c r="E662" s="6">
        <f t="shared" ca="1" si="175"/>
        <v>32843</v>
      </c>
      <c r="F662" s="7">
        <f t="shared" ca="1" si="184"/>
        <v>0</v>
      </c>
      <c r="G662" s="125">
        <f t="shared" ca="1" si="176"/>
        <v>0</v>
      </c>
      <c r="H662" s="125">
        <f ca="1">IF(F662=1,F662*$B$10/MIN(12,'Simulador - 3º Pilar'!$E$88),0)</f>
        <v>0</v>
      </c>
      <c r="I662" s="128">
        <f t="shared" ca="1" si="177"/>
        <v>0</v>
      </c>
      <c r="J662" s="494">
        <f t="shared" ca="1" si="178"/>
        <v>0</v>
      </c>
      <c r="K662" s="126">
        <f t="shared" ca="1" si="179"/>
        <v>0</v>
      </c>
      <c r="L662" s="126">
        <f t="shared" ca="1" si="174"/>
        <v>0</v>
      </c>
      <c r="P662">
        <v>655</v>
      </c>
      <c r="Q662" s="6">
        <f t="shared" ca="1" si="180"/>
        <v>32843</v>
      </c>
      <c r="R662" s="7" t="e">
        <f t="shared" ca="1" si="185"/>
        <v>#REF!</v>
      </c>
      <c r="S662" s="125" t="e">
        <f t="shared" ca="1" si="186"/>
        <v>#REF!</v>
      </c>
      <c r="T662" s="125" t="e">
        <f t="shared" ca="1" si="181"/>
        <v>#REF!</v>
      </c>
      <c r="U662" s="128" t="e">
        <f t="shared" ca="1" si="187"/>
        <v>#REF!</v>
      </c>
      <c r="AC662">
        <v>655</v>
      </c>
      <c r="AD662" s="6">
        <f t="shared" ca="1" si="182"/>
        <v>32843</v>
      </c>
      <c r="AE662" s="7" t="e">
        <f t="shared" ca="1" si="188"/>
        <v>#REF!</v>
      </c>
      <c r="AF662" s="125" t="e">
        <f t="shared" ca="1" si="189"/>
        <v>#REF!</v>
      </c>
      <c r="AG662" s="125" t="e">
        <f t="shared" ca="1" si="183"/>
        <v>#REF!</v>
      </c>
      <c r="AH662" s="128" t="e">
        <f t="shared" ca="1" si="190"/>
        <v>#REF!</v>
      </c>
    </row>
    <row r="663" spans="4:34">
      <c r="D663">
        <v>656</v>
      </c>
      <c r="E663" s="6">
        <f t="shared" ca="1" si="175"/>
        <v>32813</v>
      </c>
      <c r="F663" s="7">
        <f t="shared" ca="1" si="184"/>
        <v>0</v>
      </c>
      <c r="G663" s="125">
        <f t="shared" ca="1" si="176"/>
        <v>0</v>
      </c>
      <c r="H663" s="125">
        <f ca="1">IF(F663=1,F663*$B$10/MIN(12,'Simulador - 3º Pilar'!$E$88),0)</f>
        <v>0</v>
      </c>
      <c r="I663" s="128">
        <f t="shared" ca="1" si="177"/>
        <v>0</v>
      </c>
      <c r="J663" s="494">
        <f t="shared" ca="1" si="178"/>
        <v>0</v>
      </c>
      <c r="K663" s="126">
        <f t="shared" ca="1" si="179"/>
        <v>0</v>
      </c>
      <c r="L663" s="126">
        <f t="shared" ca="1" si="174"/>
        <v>0</v>
      </c>
      <c r="P663">
        <v>656</v>
      </c>
      <c r="Q663" s="6">
        <f t="shared" ca="1" si="180"/>
        <v>32813</v>
      </c>
      <c r="R663" s="7" t="e">
        <f t="shared" ca="1" si="185"/>
        <v>#REF!</v>
      </c>
      <c r="S663" s="125" t="e">
        <f t="shared" ca="1" si="186"/>
        <v>#REF!</v>
      </c>
      <c r="T663" s="125" t="e">
        <f t="shared" ca="1" si="181"/>
        <v>#REF!</v>
      </c>
      <c r="U663" s="128" t="e">
        <f t="shared" ca="1" si="187"/>
        <v>#REF!</v>
      </c>
      <c r="AC663">
        <v>656</v>
      </c>
      <c r="AD663" s="6">
        <f t="shared" ca="1" si="182"/>
        <v>32813</v>
      </c>
      <c r="AE663" s="7" t="e">
        <f t="shared" ca="1" si="188"/>
        <v>#REF!</v>
      </c>
      <c r="AF663" s="125" t="e">
        <f t="shared" ca="1" si="189"/>
        <v>#REF!</v>
      </c>
      <c r="AG663" s="125" t="e">
        <f t="shared" ca="1" si="183"/>
        <v>#REF!</v>
      </c>
      <c r="AH663" s="128" t="e">
        <f t="shared" ca="1" si="190"/>
        <v>#REF!</v>
      </c>
    </row>
    <row r="664" spans="4:34">
      <c r="D664">
        <v>657</v>
      </c>
      <c r="E664" s="6">
        <f t="shared" ca="1" si="175"/>
        <v>32782</v>
      </c>
      <c r="F664" s="7">
        <f t="shared" ca="1" si="184"/>
        <v>0</v>
      </c>
      <c r="G664" s="125">
        <f t="shared" ca="1" si="176"/>
        <v>0</v>
      </c>
      <c r="H664" s="125">
        <f ca="1">IF(F664=1,F664*$B$10/MIN(12,'Simulador - 3º Pilar'!$E$88),0)</f>
        <v>0</v>
      </c>
      <c r="I664" s="128">
        <f t="shared" ca="1" si="177"/>
        <v>0</v>
      </c>
      <c r="J664" s="494">
        <f t="shared" ca="1" si="178"/>
        <v>0</v>
      </c>
      <c r="K664" s="126">
        <f t="shared" ca="1" si="179"/>
        <v>0</v>
      </c>
      <c r="L664" s="126">
        <f t="shared" ca="1" si="174"/>
        <v>0</v>
      </c>
      <c r="P664">
        <v>657</v>
      </c>
      <c r="Q664" s="6">
        <f t="shared" ca="1" si="180"/>
        <v>32782</v>
      </c>
      <c r="R664" s="7" t="e">
        <f t="shared" ca="1" si="185"/>
        <v>#REF!</v>
      </c>
      <c r="S664" s="125" t="e">
        <f t="shared" ca="1" si="186"/>
        <v>#REF!</v>
      </c>
      <c r="T664" s="125" t="e">
        <f t="shared" ca="1" si="181"/>
        <v>#REF!</v>
      </c>
      <c r="U664" s="128" t="e">
        <f t="shared" ca="1" si="187"/>
        <v>#REF!</v>
      </c>
      <c r="AC664">
        <v>657</v>
      </c>
      <c r="AD664" s="6">
        <f t="shared" ca="1" si="182"/>
        <v>32782</v>
      </c>
      <c r="AE664" s="7" t="e">
        <f t="shared" ca="1" si="188"/>
        <v>#REF!</v>
      </c>
      <c r="AF664" s="125" t="e">
        <f t="shared" ca="1" si="189"/>
        <v>#REF!</v>
      </c>
      <c r="AG664" s="125" t="e">
        <f t="shared" ca="1" si="183"/>
        <v>#REF!</v>
      </c>
      <c r="AH664" s="128" t="e">
        <f t="shared" ca="1" si="190"/>
        <v>#REF!</v>
      </c>
    </row>
    <row r="665" spans="4:34">
      <c r="D665">
        <v>658</v>
      </c>
      <c r="E665" s="6">
        <f t="shared" ca="1" si="175"/>
        <v>32752</v>
      </c>
      <c r="F665" s="7">
        <f t="shared" ca="1" si="184"/>
        <v>0</v>
      </c>
      <c r="G665" s="125">
        <f t="shared" ca="1" si="176"/>
        <v>0</v>
      </c>
      <c r="H665" s="125">
        <f ca="1">IF(F665=1,F665*$B$10/MIN(12,'Simulador - 3º Pilar'!$E$88),0)</f>
        <v>0</v>
      </c>
      <c r="I665" s="128">
        <f t="shared" ca="1" si="177"/>
        <v>0</v>
      </c>
      <c r="J665" s="494">
        <f t="shared" ca="1" si="178"/>
        <v>0</v>
      </c>
      <c r="K665" s="126">
        <f t="shared" ca="1" si="179"/>
        <v>0</v>
      </c>
      <c r="L665" s="126">
        <f t="shared" ca="1" si="174"/>
        <v>0</v>
      </c>
      <c r="P665">
        <v>658</v>
      </c>
      <c r="Q665" s="6">
        <f t="shared" ca="1" si="180"/>
        <v>32752</v>
      </c>
      <c r="R665" s="7" t="e">
        <f t="shared" ca="1" si="185"/>
        <v>#REF!</v>
      </c>
      <c r="S665" s="125" t="e">
        <f t="shared" ca="1" si="186"/>
        <v>#REF!</v>
      </c>
      <c r="T665" s="125" t="e">
        <f t="shared" ca="1" si="181"/>
        <v>#REF!</v>
      </c>
      <c r="U665" s="128" t="e">
        <f t="shared" ca="1" si="187"/>
        <v>#REF!</v>
      </c>
      <c r="AC665">
        <v>658</v>
      </c>
      <c r="AD665" s="6">
        <f t="shared" ca="1" si="182"/>
        <v>32752</v>
      </c>
      <c r="AE665" s="7" t="e">
        <f t="shared" ca="1" si="188"/>
        <v>#REF!</v>
      </c>
      <c r="AF665" s="125" t="e">
        <f t="shared" ca="1" si="189"/>
        <v>#REF!</v>
      </c>
      <c r="AG665" s="125" t="e">
        <f t="shared" ca="1" si="183"/>
        <v>#REF!</v>
      </c>
      <c r="AH665" s="128" t="e">
        <f t="shared" ca="1" si="190"/>
        <v>#REF!</v>
      </c>
    </row>
    <row r="666" spans="4:34">
      <c r="D666">
        <v>659</v>
      </c>
      <c r="E666" s="6">
        <f t="shared" ca="1" si="175"/>
        <v>32721</v>
      </c>
      <c r="F666" s="7">
        <f t="shared" ca="1" si="184"/>
        <v>0</v>
      </c>
      <c r="G666" s="125">
        <f t="shared" ca="1" si="176"/>
        <v>0</v>
      </c>
      <c r="H666" s="125">
        <f ca="1">IF(F666=1,F666*$B$10/MIN(12,'Simulador - 3º Pilar'!$E$88),0)</f>
        <v>0</v>
      </c>
      <c r="I666" s="128">
        <f t="shared" ca="1" si="177"/>
        <v>0</v>
      </c>
      <c r="J666" s="494">
        <f t="shared" ca="1" si="178"/>
        <v>0</v>
      </c>
      <c r="K666" s="126">
        <f t="shared" ca="1" si="179"/>
        <v>0</v>
      </c>
      <c r="L666" s="126">
        <f t="shared" ca="1" si="174"/>
        <v>0</v>
      </c>
      <c r="P666">
        <v>659</v>
      </c>
      <c r="Q666" s="6">
        <f t="shared" ca="1" si="180"/>
        <v>32721</v>
      </c>
      <c r="R666" s="7" t="e">
        <f t="shared" ca="1" si="185"/>
        <v>#REF!</v>
      </c>
      <c r="S666" s="125" t="e">
        <f t="shared" ca="1" si="186"/>
        <v>#REF!</v>
      </c>
      <c r="T666" s="125" t="e">
        <f t="shared" ca="1" si="181"/>
        <v>#REF!</v>
      </c>
      <c r="U666" s="128" t="e">
        <f t="shared" ca="1" si="187"/>
        <v>#REF!</v>
      </c>
      <c r="AC666">
        <v>659</v>
      </c>
      <c r="AD666" s="6">
        <f t="shared" ca="1" si="182"/>
        <v>32721</v>
      </c>
      <c r="AE666" s="7" t="e">
        <f t="shared" ca="1" si="188"/>
        <v>#REF!</v>
      </c>
      <c r="AF666" s="125" t="e">
        <f t="shared" ca="1" si="189"/>
        <v>#REF!</v>
      </c>
      <c r="AG666" s="125" t="e">
        <f t="shared" ca="1" si="183"/>
        <v>#REF!</v>
      </c>
      <c r="AH666" s="128" t="e">
        <f t="shared" ca="1" si="190"/>
        <v>#REF!</v>
      </c>
    </row>
    <row r="667" spans="4:34">
      <c r="D667">
        <v>660</v>
      </c>
      <c r="E667" s="6">
        <f t="shared" ca="1" si="175"/>
        <v>32690</v>
      </c>
      <c r="F667" s="7">
        <f t="shared" ca="1" si="184"/>
        <v>0</v>
      </c>
      <c r="G667" s="125">
        <f t="shared" ca="1" si="176"/>
        <v>0</v>
      </c>
      <c r="H667" s="125">
        <f ca="1">IF(F667=1,F667*$B$10/MIN(12,'Simulador - 3º Pilar'!$E$88),0)</f>
        <v>0</v>
      </c>
      <c r="I667" s="128">
        <f t="shared" ca="1" si="177"/>
        <v>0</v>
      </c>
      <c r="J667" s="494">
        <f t="shared" ca="1" si="178"/>
        <v>0</v>
      </c>
      <c r="K667" s="126">
        <f t="shared" ca="1" si="179"/>
        <v>0</v>
      </c>
      <c r="L667" s="126">
        <f t="shared" ca="1" si="174"/>
        <v>0</v>
      </c>
      <c r="P667">
        <v>660</v>
      </c>
      <c r="Q667" s="6">
        <f t="shared" ca="1" si="180"/>
        <v>32690</v>
      </c>
      <c r="R667" s="7" t="e">
        <f t="shared" ca="1" si="185"/>
        <v>#REF!</v>
      </c>
      <c r="S667" s="125" t="e">
        <f t="shared" ca="1" si="186"/>
        <v>#REF!</v>
      </c>
      <c r="T667" s="125" t="e">
        <f t="shared" ca="1" si="181"/>
        <v>#REF!</v>
      </c>
      <c r="U667" s="128" t="e">
        <f t="shared" ca="1" si="187"/>
        <v>#REF!</v>
      </c>
      <c r="AC667">
        <v>660</v>
      </c>
      <c r="AD667" s="6">
        <f t="shared" ca="1" si="182"/>
        <v>32690</v>
      </c>
      <c r="AE667" s="7" t="e">
        <f t="shared" ca="1" si="188"/>
        <v>#REF!</v>
      </c>
      <c r="AF667" s="125" t="e">
        <f t="shared" ca="1" si="189"/>
        <v>#REF!</v>
      </c>
      <c r="AG667" s="125" t="e">
        <f t="shared" ca="1" si="183"/>
        <v>#REF!</v>
      </c>
      <c r="AH667" s="128" t="e">
        <f t="shared" ca="1" si="190"/>
        <v>#REF!</v>
      </c>
    </row>
    <row r="668" spans="4:34">
      <c r="D668">
        <v>661</v>
      </c>
      <c r="E668" s="6">
        <f t="shared" ca="1" si="175"/>
        <v>32660</v>
      </c>
      <c r="F668" s="7">
        <f t="shared" ca="1" si="184"/>
        <v>0</v>
      </c>
      <c r="G668" s="125">
        <f t="shared" ca="1" si="176"/>
        <v>0</v>
      </c>
      <c r="H668" s="125">
        <f ca="1">IF(F668=1,F668*$B$10/MIN(12,'Simulador - 3º Pilar'!$E$88),0)</f>
        <v>0</v>
      </c>
      <c r="I668" s="128">
        <f t="shared" ca="1" si="177"/>
        <v>0</v>
      </c>
      <c r="J668" s="494">
        <f t="shared" ca="1" si="178"/>
        <v>0</v>
      </c>
      <c r="K668" s="126">
        <f t="shared" ca="1" si="179"/>
        <v>0</v>
      </c>
      <c r="L668" s="126">
        <f t="shared" ca="1" si="174"/>
        <v>0</v>
      </c>
      <c r="P668">
        <v>661</v>
      </c>
      <c r="Q668" s="6">
        <f t="shared" ca="1" si="180"/>
        <v>32660</v>
      </c>
      <c r="R668" s="7" t="e">
        <f t="shared" ca="1" si="185"/>
        <v>#REF!</v>
      </c>
      <c r="S668" s="125" t="e">
        <f t="shared" ca="1" si="186"/>
        <v>#REF!</v>
      </c>
      <c r="T668" s="125" t="e">
        <f t="shared" ca="1" si="181"/>
        <v>#REF!</v>
      </c>
      <c r="U668" s="128" t="e">
        <f t="shared" ca="1" si="187"/>
        <v>#REF!</v>
      </c>
      <c r="AC668">
        <v>661</v>
      </c>
      <c r="AD668" s="6">
        <f t="shared" ca="1" si="182"/>
        <v>32660</v>
      </c>
      <c r="AE668" s="7" t="e">
        <f t="shared" ca="1" si="188"/>
        <v>#REF!</v>
      </c>
      <c r="AF668" s="125" t="e">
        <f t="shared" ca="1" si="189"/>
        <v>#REF!</v>
      </c>
      <c r="AG668" s="125" t="e">
        <f t="shared" ca="1" si="183"/>
        <v>#REF!</v>
      </c>
      <c r="AH668" s="128" t="e">
        <f t="shared" ca="1" si="190"/>
        <v>#REF!</v>
      </c>
    </row>
    <row r="669" spans="4:34">
      <c r="D669">
        <v>662</v>
      </c>
      <c r="E669" s="6">
        <f t="shared" ca="1" si="175"/>
        <v>32629</v>
      </c>
      <c r="F669" s="7">
        <f t="shared" ca="1" si="184"/>
        <v>0</v>
      </c>
      <c r="G669" s="125">
        <f t="shared" ca="1" si="176"/>
        <v>0</v>
      </c>
      <c r="H669" s="125">
        <f ca="1">IF(F669=1,F669*$B$10/MIN(12,'Simulador - 3º Pilar'!$E$88),0)</f>
        <v>0</v>
      </c>
      <c r="I669" s="128">
        <f t="shared" ca="1" si="177"/>
        <v>0</v>
      </c>
      <c r="J669" s="494">
        <f t="shared" ca="1" si="178"/>
        <v>0</v>
      </c>
      <c r="K669" s="126">
        <f t="shared" ca="1" si="179"/>
        <v>0</v>
      </c>
      <c r="L669" s="126">
        <f t="shared" ca="1" si="174"/>
        <v>0</v>
      </c>
      <c r="P669">
        <v>662</v>
      </c>
      <c r="Q669" s="6">
        <f t="shared" ca="1" si="180"/>
        <v>32629</v>
      </c>
      <c r="R669" s="7" t="e">
        <f t="shared" ca="1" si="185"/>
        <v>#REF!</v>
      </c>
      <c r="S669" s="125" t="e">
        <f t="shared" ca="1" si="186"/>
        <v>#REF!</v>
      </c>
      <c r="T669" s="125" t="e">
        <f t="shared" ca="1" si="181"/>
        <v>#REF!</v>
      </c>
      <c r="U669" s="128" t="e">
        <f t="shared" ca="1" si="187"/>
        <v>#REF!</v>
      </c>
      <c r="AC669">
        <v>662</v>
      </c>
      <c r="AD669" s="6">
        <f t="shared" ca="1" si="182"/>
        <v>32629</v>
      </c>
      <c r="AE669" s="7" t="e">
        <f t="shared" ca="1" si="188"/>
        <v>#REF!</v>
      </c>
      <c r="AF669" s="125" t="e">
        <f t="shared" ca="1" si="189"/>
        <v>#REF!</v>
      </c>
      <c r="AG669" s="125" t="e">
        <f t="shared" ca="1" si="183"/>
        <v>#REF!</v>
      </c>
      <c r="AH669" s="128" t="e">
        <f t="shared" ca="1" si="190"/>
        <v>#REF!</v>
      </c>
    </row>
    <row r="670" spans="4:34">
      <c r="D670">
        <v>663</v>
      </c>
      <c r="E670" s="6">
        <f t="shared" ca="1" si="175"/>
        <v>32599</v>
      </c>
      <c r="F670" s="7">
        <f t="shared" ca="1" si="184"/>
        <v>0</v>
      </c>
      <c r="G670" s="125">
        <f t="shared" ca="1" si="176"/>
        <v>0</v>
      </c>
      <c r="H670" s="125">
        <f ca="1">IF(F670=1,F670*$B$10/MIN(12,'Simulador - 3º Pilar'!$E$88),0)</f>
        <v>0</v>
      </c>
      <c r="I670" s="128">
        <f t="shared" ca="1" si="177"/>
        <v>0</v>
      </c>
      <c r="J670" s="494">
        <f t="shared" ca="1" si="178"/>
        <v>0</v>
      </c>
      <c r="K670" s="126">
        <f t="shared" ca="1" si="179"/>
        <v>0</v>
      </c>
      <c r="L670" s="126">
        <f t="shared" ca="1" si="174"/>
        <v>0</v>
      </c>
      <c r="P670">
        <v>663</v>
      </c>
      <c r="Q670" s="6">
        <f t="shared" ca="1" si="180"/>
        <v>32599</v>
      </c>
      <c r="R670" s="7" t="e">
        <f t="shared" ca="1" si="185"/>
        <v>#REF!</v>
      </c>
      <c r="S670" s="125" t="e">
        <f t="shared" ca="1" si="186"/>
        <v>#REF!</v>
      </c>
      <c r="T670" s="125" t="e">
        <f t="shared" ca="1" si="181"/>
        <v>#REF!</v>
      </c>
      <c r="U670" s="128" t="e">
        <f t="shared" ca="1" si="187"/>
        <v>#REF!</v>
      </c>
      <c r="AC670">
        <v>663</v>
      </c>
      <c r="AD670" s="6">
        <f t="shared" ca="1" si="182"/>
        <v>32599</v>
      </c>
      <c r="AE670" s="7" t="e">
        <f t="shared" ca="1" si="188"/>
        <v>#REF!</v>
      </c>
      <c r="AF670" s="125" t="e">
        <f t="shared" ca="1" si="189"/>
        <v>#REF!</v>
      </c>
      <c r="AG670" s="125" t="e">
        <f t="shared" ca="1" si="183"/>
        <v>#REF!</v>
      </c>
      <c r="AH670" s="128" t="e">
        <f t="shared" ca="1" si="190"/>
        <v>#REF!</v>
      </c>
    </row>
    <row r="671" spans="4:34">
      <c r="D671">
        <v>664</v>
      </c>
      <c r="E671" s="6">
        <f t="shared" ca="1" si="175"/>
        <v>32568</v>
      </c>
      <c r="F671" s="7">
        <f t="shared" ca="1" si="184"/>
        <v>0</v>
      </c>
      <c r="G671" s="125">
        <f t="shared" ca="1" si="176"/>
        <v>0</v>
      </c>
      <c r="H671" s="125">
        <f ca="1">IF(F671=1,F671*$B$10/MIN(12,'Simulador - 3º Pilar'!$E$88),0)</f>
        <v>0</v>
      </c>
      <c r="I671" s="128">
        <f t="shared" ca="1" si="177"/>
        <v>0</v>
      </c>
      <c r="J671" s="494">
        <f t="shared" ca="1" si="178"/>
        <v>0</v>
      </c>
      <c r="K671" s="126">
        <f t="shared" ca="1" si="179"/>
        <v>0</v>
      </c>
      <c r="L671" s="126">
        <f t="shared" ca="1" si="174"/>
        <v>0</v>
      </c>
      <c r="P671">
        <v>664</v>
      </c>
      <c r="Q671" s="6">
        <f t="shared" ca="1" si="180"/>
        <v>32568</v>
      </c>
      <c r="R671" s="7" t="e">
        <f t="shared" ca="1" si="185"/>
        <v>#REF!</v>
      </c>
      <c r="S671" s="125" t="e">
        <f t="shared" ca="1" si="186"/>
        <v>#REF!</v>
      </c>
      <c r="T671" s="125" t="e">
        <f t="shared" ca="1" si="181"/>
        <v>#REF!</v>
      </c>
      <c r="U671" s="128" t="e">
        <f t="shared" ca="1" si="187"/>
        <v>#REF!</v>
      </c>
      <c r="AC671">
        <v>664</v>
      </c>
      <c r="AD671" s="6">
        <f t="shared" ca="1" si="182"/>
        <v>32568</v>
      </c>
      <c r="AE671" s="7" t="e">
        <f t="shared" ca="1" si="188"/>
        <v>#REF!</v>
      </c>
      <c r="AF671" s="125" t="e">
        <f t="shared" ca="1" si="189"/>
        <v>#REF!</v>
      </c>
      <c r="AG671" s="125" t="e">
        <f t="shared" ca="1" si="183"/>
        <v>#REF!</v>
      </c>
      <c r="AH671" s="128" t="e">
        <f t="shared" ca="1" si="190"/>
        <v>#REF!</v>
      </c>
    </row>
    <row r="672" spans="4:34">
      <c r="D672">
        <v>665</v>
      </c>
      <c r="E672" s="6">
        <f t="shared" ca="1" si="175"/>
        <v>32540</v>
      </c>
      <c r="F672" s="7">
        <f t="shared" ca="1" si="184"/>
        <v>0</v>
      </c>
      <c r="G672" s="125">
        <f t="shared" ca="1" si="176"/>
        <v>0</v>
      </c>
      <c r="H672" s="125">
        <f ca="1">IF(F672=1,F672*$B$10/MIN(12,'Simulador - 3º Pilar'!$E$88),0)</f>
        <v>0</v>
      </c>
      <c r="I672" s="128">
        <f t="shared" ca="1" si="177"/>
        <v>0</v>
      </c>
      <c r="J672" s="494">
        <f t="shared" ca="1" si="178"/>
        <v>0</v>
      </c>
      <c r="K672" s="126">
        <f t="shared" ca="1" si="179"/>
        <v>0</v>
      </c>
      <c r="L672" s="126">
        <f t="shared" ca="1" si="174"/>
        <v>0</v>
      </c>
      <c r="P672">
        <v>665</v>
      </c>
      <c r="Q672" s="6">
        <f t="shared" ca="1" si="180"/>
        <v>32540</v>
      </c>
      <c r="R672" s="7" t="e">
        <f t="shared" ca="1" si="185"/>
        <v>#REF!</v>
      </c>
      <c r="S672" s="125" t="e">
        <f t="shared" ca="1" si="186"/>
        <v>#REF!</v>
      </c>
      <c r="T672" s="125" t="e">
        <f t="shared" ca="1" si="181"/>
        <v>#REF!</v>
      </c>
      <c r="U672" s="128" t="e">
        <f t="shared" ca="1" si="187"/>
        <v>#REF!</v>
      </c>
      <c r="AC672">
        <v>665</v>
      </c>
      <c r="AD672" s="6">
        <f t="shared" ca="1" si="182"/>
        <v>32540</v>
      </c>
      <c r="AE672" s="7" t="e">
        <f t="shared" ca="1" si="188"/>
        <v>#REF!</v>
      </c>
      <c r="AF672" s="125" t="e">
        <f t="shared" ca="1" si="189"/>
        <v>#REF!</v>
      </c>
      <c r="AG672" s="125" t="e">
        <f t="shared" ca="1" si="183"/>
        <v>#REF!</v>
      </c>
      <c r="AH672" s="128" t="e">
        <f t="shared" ca="1" si="190"/>
        <v>#REF!</v>
      </c>
    </row>
    <row r="673" spans="4:34">
      <c r="D673">
        <v>666</v>
      </c>
      <c r="E673" s="6">
        <f t="shared" ca="1" si="175"/>
        <v>32509</v>
      </c>
      <c r="F673" s="7">
        <f t="shared" ca="1" si="184"/>
        <v>0</v>
      </c>
      <c r="G673" s="125">
        <f t="shared" ca="1" si="176"/>
        <v>0</v>
      </c>
      <c r="H673" s="125">
        <f ca="1">IF(F673=1,F673*$B$10/MIN(12,'Simulador - 3º Pilar'!$E$88),0)</f>
        <v>0</v>
      </c>
      <c r="I673" s="128">
        <f t="shared" ca="1" si="177"/>
        <v>0</v>
      </c>
      <c r="J673" s="494">
        <f t="shared" ca="1" si="178"/>
        <v>0</v>
      </c>
      <c r="K673" s="126">
        <f t="shared" ca="1" si="179"/>
        <v>0</v>
      </c>
      <c r="L673" s="126">
        <f t="shared" ref="L673:L736" ca="1" si="191">(1+$G$5)^(D673/12)*(IF((E673)&gt;($B$6),H673,0)+IF(E673=$N$7,$N$4,0)+IF(E673=$C$6,0,0))</f>
        <v>0</v>
      </c>
      <c r="P673">
        <v>666</v>
      </c>
      <c r="Q673" s="6">
        <f t="shared" ca="1" si="180"/>
        <v>32509</v>
      </c>
      <c r="R673" s="7" t="e">
        <f t="shared" ca="1" si="185"/>
        <v>#REF!</v>
      </c>
      <c r="S673" s="125" t="e">
        <f t="shared" ca="1" si="186"/>
        <v>#REF!</v>
      </c>
      <c r="T673" s="125" t="e">
        <f t="shared" ca="1" si="181"/>
        <v>#REF!</v>
      </c>
      <c r="U673" s="128" t="e">
        <f t="shared" ca="1" si="187"/>
        <v>#REF!</v>
      </c>
      <c r="AC673">
        <v>666</v>
      </c>
      <c r="AD673" s="6">
        <f t="shared" ca="1" si="182"/>
        <v>32509</v>
      </c>
      <c r="AE673" s="7" t="e">
        <f t="shared" ca="1" si="188"/>
        <v>#REF!</v>
      </c>
      <c r="AF673" s="125" t="e">
        <f t="shared" ca="1" si="189"/>
        <v>#REF!</v>
      </c>
      <c r="AG673" s="125" t="e">
        <f t="shared" ca="1" si="183"/>
        <v>#REF!</v>
      </c>
      <c r="AH673" s="128" t="e">
        <f t="shared" ca="1" si="190"/>
        <v>#REF!</v>
      </c>
    </row>
    <row r="674" spans="4:34">
      <c r="D674">
        <v>667</v>
      </c>
      <c r="E674" s="6">
        <f t="shared" ca="1" si="175"/>
        <v>32478</v>
      </c>
      <c r="F674" s="7">
        <f t="shared" ca="1" si="184"/>
        <v>0</v>
      </c>
      <c r="G674" s="125">
        <f t="shared" ca="1" si="176"/>
        <v>0</v>
      </c>
      <c r="H674" s="125">
        <f ca="1">IF(F674=1,F674*$B$10/MIN(12,'Simulador - 3º Pilar'!$E$88),0)</f>
        <v>0</v>
      </c>
      <c r="I674" s="128">
        <f t="shared" ca="1" si="177"/>
        <v>0</v>
      </c>
      <c r="J674" s="494">
        <f t="shared" ca="1" si="178"/>
        <v>0</v>
      </c>
      <c r="K674" s="126">
        <f t="shared" ca="1" si="179"/>
        <v>0</v>
      </c>
      <c r="L674" s="126">
        <f t="shared" ca="1" si="191"/>
        <v>0</v>
      </c>
      <c r="P674">
        <v>667</v>
      </c>
      <c r="Q674" s="6">
        <f t="shared" ca="1" si="180"/>
        <v>32478</v>
      </c>
      <c r="R674" s="7" t="e">
        <f t="shared" ca="1" si="185"/>
        <v>#REF!</v>
      </c>
      <c r="S674" s="125" t="e">
        <f t="shared" ca="1" si="186"/>
        <v>#REF!</v>
      </c>
      <c r="T674" s="125" t="e">
        <f t="shared" ca="1" si="181"/>
        <v>#REF!</v>
      </c>
      <c r="U674" s="128" t="e">
        <f t="shared" ca="1" si="187"/>
        <v>#REF!</v>
      </c>
      <c r="AC674">
        <v>667</v>
      </c>
      <c r="AD674" s="6">
        <f t="shared" ca="1" si="182"/>
        <v>32478</v>
      </c>
      <c r="AE674" s="7" t="e">
        <f t="shared" ca="1" si="188"/>
        <v>#REF!</v>
      </c>
      <c r="AF674" s="125" t="e">
        <f t="shared" ca="1" si="189"/>
        <v>#REF!</v>
      </c>
      <c r="AG674" s="125" t="e">
        <f t="shared" ca="1" si="183"/>
        <v>#REF!</v>
      </c>
      <c r="AH674" s="128" t="e">
        <f t="shared" ca="1" si="190"/>
        <v>#REF!</v>
      </c>
    </row>
    <row r="675" spans="4:34">
      <c r="D675">
        <v>668</v>
      </c>
      <c r="E675" s="6">
        <f t="shared" ca="1" si="175"/>
        <v>32448</v>
      </c>
      <c r="F675" s="7">
        <f t="shared" ca="1" si="184"/>
        <v>0</v>
      </c>
      <c r="G675" s="125">
        <f t="shared" ca="1" si="176"/>
        <v>0</v>
      </c>
      <c r="H675" s="125">
        <f ca="1">IF(F675=1,F675*$B$10/MIN(12,'Simulador - 3º Pilar'!$E$88),0)</f>
        <v>0</v>
      </c>
      <c r="I675" s="128">
        <f t="shared" ca="1" si="177"/>
        <v>0</v>
      </c>
      <c r="J675" s="494">
        <f t="shared" ca="1" si="178"/>
        <v>0</v>
      </c>
      <c r="K675" s="126">
        <f t="shared" ca="1" si="179"/>
        <v>0</v>
      </c>
      <c r="L675" s="126">
        <f t="shared" ca="1" si="191"/>
        <v>0</v>
      </c>
      <c r="P675">
        <v>668</v>
      </c>
      <c r="Q675" s="6">
        <f t="shared" ca="1" si="180"/>
        <v>32448</v>
      </c>
      <c r="R675" s="7" t="e">
        <f t="shared" ca="1" si="185"/>
        <v>#REF!</v>
      </c>
      <c r="S675" s="125" t="e">
        <f t="shared" ca="1" si="186"/>
        <v>#REF!</v>
      </c>
      <c r="T675" s="125" t="e">
        <f t="shared" ca="1" si="181"/>
        <v>#REF!</v>
      </c>
      <c r="U675" s="128" t="e">
        <f t="shared" ca="1" si="187"/>
        <v>#REF!</v>
      </c>
      <c r="AC675">
        <v>668</v>
      </c>
      <c r="AD675" s="6">
        <f t="shared" ca="1" si="182"/>
        <v>32448</v>
      </c>
      <c r="AE675" s="7" t="e">
        <f t="shared" ca="1" si="188"/>
        <v>#REF!</v>
      </c>
      <c r="AF675" s="125" t="e">
        <f t="shared" ca="1" si="189"/>
        <v>#REF!</v>
      </c>
      <c r="AG675" s="125" t="e">
        <f t="shared" ca="1" si="183"/>
        <v>#REF!</v>
      </c>
      <c r="AH675" s="128" t="e">
        <f t="shared" ca="1" si="190"/>
        <v>#REF!</v>
      </c>
    </row>
    <row r="676" spans="4:34">
      <c r="D676">
        <v>669</v>
      </c>
      <c r="E676" s="6">
        <f t="shared" ca="1" si="175"/>
        <v>32417</v>
      </c>
      <c r="F676" s="7">
        <f t="shared" ca="1" si="184"/>
        <v>0</v>
      </c>
      <c r="G676" s="125">
        <f t="shared" ca="1" si="176"/>
        <v>0</v>
      </c>
      <c r="H676" s="125">
        <f ca="1">IF(F676=1,F676*$B$10/MIN(12,'Simulador - 3º Pilar'!$E$88),0)</f>
        <v>0</v>
      </c>
      <c r="I676" s="128">
        <f t="shared" ca="1" si="177"/>
        <v>0</v>
      </c>
      <c r="J676" s="494">
        <f t="shared" ca="1" si="178"/>
        <v>0</v>
      </c>
      <c r="K676" s="126">
        <f t="shared" ca="1" si="179"/>
        <v>0</v>
      </c>
      <c r="L676" s="126">
        <f t="shared" ca="1" si="191"/>
        <v>0</v>
      </c>
      <c r="P676">
        <v>669</v>
      </c>
      <c r="Q676" s="6">
        <f t="shared" ca="1" si="180"/>
        <v>32417</v>
      </c>
      <c r="R676" s="7" t="e">
        <f t="shared" ca="1" si="185"/>
        <v>#REF!</v>
      </c>
      <c r="S676" s="125" t="e">
        <f t="shared" ca="1" si="186"/>
        <v>#REF!</v>
      </c>
      <c r="T676" s="125" t="e">
        <f t="shared" ca="1" si="181"/>
        <v>#REF!</v>
      </c>
      <c r="U676" s="128" t="e">
        <f t="shared" ca="1" si="187"/>
        <v>#REF!</v>
      </c>
      <c r="AC676">
        <v>669</v>
      </c>
      <c r="AD676" s="6">
        <f t="shared" ca="1" si="182"/>
        <v>32417</v>
      </c>
      <c r="AE676" s="7" t="e">
        <f t="shared" ca="1" si="188"/>
        <v>#REF!</v>
      </c>
      <c r="AF676" s="125" t="e">
        <f t="shared" ca="1" si="189"/>
        <v>#REF!</v>
      </c>
      <c r="AG676" s="125" t="e">
        <f t="shared" ca="1" si="183"/>
        <v>#REF!</v>
      </c>
      <c r="AH676" s="128" t="e">
        <f t="shared" ca="1" si="190"/>
        <v>#REF!</v>
      </c>
    </row>
    <row r="677" spans="4:34">
      <c r="D677">
        <v>670</v>
      </c>
      <c r="E677" s="6">
        <f t="shared" ca="1" si="175"/>
        <v>32387</v>
      </c>
      <c r="F677" s="7">
        <f t="shared" ca="1" si="184"/>
        <v>0</v>
      </c>
      <c r="G677" s="125">
        <f t="shared" ca="1" si="176"/>
        <v>0</v>
      </c>
      <c r="H677" s="125">
        <f ca="1">IF(F677=1,F677*$B$10/MIN(12,'Simulador - 3º Pilar'!$E$88),0)</f>
        <v>0</v>
      </c>
      <c r="I677" s="128">
        <f t="shared" ca="1" si="177"/>
        <v>0</v>
      </c>
      <c r="J677" s="494">
        <f t="shared" ca="1" si="178"/>
        <v>0</v>
      </c>
      <c r="K677" s="126">
        <f t="shared" ca="1" si="179"/>
        <v>0</v>
      </c>
      <c r="L677" s="126">
        <f t="shared" ca="1" si="191"/>
        <v>0</v>
      </c>
      <c r="P677">
        <v>670</v>
      </c>
      <c r="Q677" s="6">
        <f t="shared" ca="1" si="180"/>
        <v>32387</v>
      </c>
      <c r="R677" s="7" t="e">
        <f t="shared" ca="1" si="185"/>
        <v>#REF!</v>
      </c>
      <c r="S677" s="125" t="e">
        <f t="shared" ca="1" si="186"/>
        <v>#REF!</v>
      </c>
      <c r="T677" s="125" t="e">
        <f t="shared" ca="1" si="181"/>
        <v>#REF!</v>
      </c>
      <c r="U677" s="128" t="e">
        <f t="shared" ca="1" si="187"/>
        <v>#REF!</v>
      </c>
      <c r="AC677">
        <v>670</v>
      </c>
      <c r="AD677" s="6">
        <f t="shared" ca="1" si="182"/>
        <v>32387</v>
      </c>
      <c r="AE677" s="7" t="e">
        <f t="shared" ca="1" si="188"/>
        <v>#REF!</v>
      </c>
      <c r="AF677" s="125" t="e">
        <f t="shared" ca="1" si="189"/>
        <v>#REF!</v>
      </c>
      <c r="AG677" s="125" t="e">
        <f t="shared" ca="1" si="183"/>
        <v>#REF!</v>
      </c>
      <c r="AH677" s="128" t="e">
        <f t="shared" ca="1" si="190"/>
        <v>#REF!</v>
      </c>
    </row>
    <row r="678" spans="4:34">
      <c r="D678">
        <v>671</v>
      </c>
      <c r="E678" s="6">
        <f t="shared" ca="1" si="175"/>
        <v>32356</v>
      </c>
      <c r="F678" s="7">
        <f t="shared" ca="1" si="184"/>
        <v>0</v>
      </c>
      <c r="G678" s="125">
        <f t="shared" ca="1" si="176"/>
        <v>0</v>
      </c>
      <c r="H678" s="125">
        <f ca="1">IF(F678=1,F678*$B$10/MIN(12,'Simulador - 3º Pilar'!$E$88),0)</f>
        <v>0</v>
      </c>
      <c r="I678" s="128">
        <f t="shared" ca="1" si="177"/>
        <v>0</v>
      </c>
      <c r="J678" s="494">
        <f t="shared" ca="1" si="178"/>
        <v>0</v>
      </c>
      <c r="K678" s="126">
        <f t="shared" ca="1" si="179"/>
        <v>0</v>
      </c>
      <c r="L678" s="126">
        <f t="shared" ca="1" si="191"/>
        <v>0</v>
      </c>
      <c r="P678">
        <v>671</v>
      </c>
      <c r="Q678" s="6">
        <f t="shared" ca="1" si="180"/>
        <v>32356</v>
      </c>
      <c r="R678" s="7" t="e">
        <f t="shared" ca="1" si="185"/>
        <v>#REF!</v>
      </c>
      <c r="S678" s="125" t="e">
        <f t="shared" ca="1" si="186"/>
        <v>#REF!</v>
      </c>
      <c r="T678" s="125" t="e">
        <f t="shared" ca="1" si="181"/>
        <v>#REF!</v>
      </c>
      <c r="U678" s="128" t="e">
        <f t="shared" ca="1" si="187"/>
        <v>#REF!</v>
      </c>
      <c r="AC678">
        <v>671</v>
      </c>
      <c r="AD678" s="6">
        <f t="shared" ca="1" si="182"/>
        <v>32356</v>
      </c>
      <c r="AE678" s="7" t="e">
        <f t="shared" ca="1" si="188"/>
        <v>#REF!</v>
      </c>
      <c r="AF678" s="125" t="e">
        <f t="shared" ca="1" si="189"/>
        <v>#REF!</v>
      </c>
      <c r="AG678" s="125" t="e">
        <f t="shared" ca="1" si="183"/>
        <v>#REF!</v>
      </c>
      <c r="AH678" s="128" t="e">
        <f t="shared" ca="1" si="190"/>
        <v>#REF!</v>
      </c>
    </row>
    <row r="679" spans="4:34">
      <c r="D679">
        <v>672</v>
      </c>
      <c r="E679" s="6">
        <f t="shared" ca="1" si="175"/>
        <v>32325</v>
      </c>
      <c r="F679" s="7">
        <f t="shared" ca="1" si="184"/>
        <v>0</v>
      </c>
      <c r="G679" s="125">
        <f t="shared" ca="1" si="176"/>
        <v>0</v>
      </c>
      <c r="H679" s="125">
        <f ca="1">IF(F679=1,F679*$B$10/MIN(12,'Simulador - 3º Pilar'!$E$88),0)</f>
        <v>0</v>
      </c>
      <c r="I679" s="128">
        <f t="shared" ca="1" si="177"/>
        <v>0</v>
      </c>
      <c r="J679" s="494">
        <f t="shared" ca="1" si="178"/>
        <v>0</v>
      </c>
      <c r="K679" s="126">
        <f t="shared" ca="1" si="179"/>
        <v>0</v>
      </c>
      <c r="L679" s="126">
        <f t="shared" ca="1" si="191"/>
        <v>0</v>
      </c>
      <c r="P679">
        <v>672</v>
      </c>
      <c r="Q679" s="6">
        <f t="shared" ca="1" si="180"/>
        <v>32325</v>
      </c>
      <c r="R679" s="7" t="e">
        <f t="shared" ca="1" si="185"/>
        <v>#REF!</v>
      </c>
      <c r="S679" s="125" t="e">
        <f t="shared" ca="1" si="186"/>
        <v>#REF!</v>
      </c>
      <c r="T679" s="125" t="e">
        <f t="shared" ca="1" si="181"/>
        <v>#REF!</v>
      </c>
      <c r="U679" s="128" t="e">
        <f t="shared" ca="1" si="187"/>
        <v>#REF!</v>
      </c>
      <c r="AC679">
        <v>672</v>
      </c>
      <c r="AD679" s="6">
        <f t="shared" ca="1" si="182"/>
        <v>32325</v>
      </c>
      <c r="AE679" s="7" t="e">
        <f t="shared" ca="1" si="188"/>
        <v>#REF!</v>
      </c>
      <c r="AF679" s="125" t="e">
        <f t="shared" ca="1" si="189"/>
        <v>#REF!</v>
      </c>
      <c r="AG679" s="125" t="e">
        <f t="shared" ca="1" si="183"/>
        <v>#REF!</v>
      </c>
      <c r="AH679" s="128" t="e">
        <f t="shared" ca="1" si="190"/>
        <v>#REF!</v>
      </c>
    </row>
    <row r="680" spans="4:34">
      <c r="D680">
        <v>673</v>
      </c>
      <c r="E680" s="6">
        <f t="shared" ca="1" si="175"/>
        <v>32295</v>
      </c>
      <c r="F680" s="7">
        <f t="shared" ca="1" si="184"/>
        <v>0</v>
      </c>
      <c r="G680" s="125">
        <f t="shared" ca="1" si="176"/>
        <v>0</v>
      </c>
      <c r="H680" s="125">
        <f ca="1">IF(F680=1,F680*$B$10/MIN(12,'Simulador - 3º Pilar'!$E$88),0)</f>
        <v>0</v>
      </c>
      <c r="I680" s="128">
        <f t="shared" ca="1" si="177"/>
        <v>0</v>
      </c>
      <c r="J680" s="494">
        <f t="shared" ca="1" si="178"/>
        <v>0</v>
      </c>
      <c r="K680" s="126">
        <f t="shared" ca="1" si="179"/>
        <v>0</v>
      </c>
      <c r="L680" s="126">
        <f t="shared" ca="1" si="191"/>
        <v>0</v>
      </c>
      <c r="P680">
        <v>673</v>
      </c>
      <c r="Q680" s="6">
        <f t="shared" ca="1" si="180"/>
        <v>32295</v>
      </c>
      <c r="R680" s="7" t="e">
        <f t="shared" ca="1" si="185"/>
        <v>#REF!</v>
      </c>
      <c r="S680" s="125" t="e">
        <f t="shared" ca="1" si="186"/>
        <v>#REF!</v>
      </c>
      <c r="T680" s="125" t="e">
        <f t="shared" ca="1" si="181"/>
        <v>#REF!</v>
      </c>
      <c r="U680" s="128" t="e">
        <f t="shared" ca="1" si="187"/>
        <v>#REF!</v>
      </c>
      <c r="AC680">
        <v>673</v>
      </c>
      <c r="AD680" s="6">
        <f t="shared" ca="1" si="182"/>
        <v>32295</v>
      </c>
      <c r="AE680" s="7" t="e">
        <f t="shared" ca="1" si="188"/>
        <v>#REF!</v>
      </c>
      <c r="AF680" s="125" t="e">
        <f t="shared" ca="1" si="189"/>
        <v>#REF!</v>
      </c>
      <c r="AG680" s="125" t="e">
        <f t="shared" ca="1" si="183"/>
        <v>#REF!</v>
      </c>
      <c r="AH680" s="128" t="e">
        <f t="shared" ca="1" si="190"/>
        <v>#REF!</v>
      </c>
    </row>
    <row r="681" spans="4:34">
      <c r="D681">
        <v>674</v>
      </c>
      <c r="E681" s="6">
        <f t="shared" ca="1" si="175"/>
        <v>32264</v>
      </c>
      <c r="F681" s="7">
        <f t="shared" ca="1" si="184"/>
        <v>0</v>
      </c>
      <c r="G681" s="125">
        <f t="shared" ca="1" si="176"/>
        <v>0</v>
      </c>
      <c r="H681" s="125">
        <f ca="1">IF(F681=1,F681*$B$10/MIN(12,'Simulador - 3º Pilar'!$E$88),0)</f>
        <v>0</v>
      </c>
      <c r="I681" s="128">
        <f t="shared" ca="1" si="177"/>
        <v>0</v>
      </c>
      <c r="J681" s="494">
        <f t="shared" ca="1" si="178"/>
        <v>0</v>
      </c>
      <c r="K681" s="126">
        <f t="shared" ca="1" si="179"/>
        <v>0</v>
      </c>
      <c r="L681" s="126">
        <f t="shared" ca="1" si="191"/>
        <v>0</v>
      </c>
      <c r="P681">
        <v>674</v>
      </c>
      <c r="Q681" s="6">
        <f t="shared" ca="1" si="180"/>
        <v>32264</v>
      </c>
      <c r="R681" s="7" t="e">
        <f t="shared" ca="1" si="185"/>
        <v>#REF!</v>
      </c>
      <c r="S681" s="125" t="e">
        <f t="shared" ca="1" si="186"/>
        <v>#REF!</v>
      </c>
      <c r="T681" s="125" t="e">
        <f t="shared" ca="1" si="181"/>
        <v>#REF!</v>
      </c>
      <c r="U681" s="128" t="e">
        <f t="shared" ca="1" si="187"/>
        <v>#REF!</v>
      </c>
      <c r="AC681">
        <v>674</v>
      </c>
      <c r="AD681" s="6">
        <f t="shared" ca="1" si="182"/>
        <v>32264</v>
      </c>
      <c r="AE681" s="7" t="e">
        <f t="shared" ca="1" si="188"/>
        <v>#REF!</v>
      </c>
      <c r="AF681" s="125" t="e">
        <f t="shared" ca="1" si="189"/>
        <v>#REF!</v>
      </c>
      <c r="AG681" s="125" t="e">
        <f t="shared" ca="1" si="183"/>
        <v>#REF!</v>
      </c>
      <c r="AH681" s="128" t="e">
        <f t="shared" ca="1" si="190"/>
        <v>#REF!</v>
      </c>
    </row>
    <row r="682" spans="4:34">
      <c r="D682">
        <v>675</v>
      </c>
      <c r="E682" s="6">
        <f t="shared" ca="1" si="175"/>
        <v>32234</v>
      </c>
      <c r="F682" s="7">
        <f t="shared" ca="1" si="184"/>
        <v>0</v>
      </c>
      <c r="G682" s="125">
        <f t="shared" ca="1" si="176"/>
        <v>0</v>
      </c>
      <c r="H682" s="125">
        <f ca="1">IF(F682=1,F682*$B$10/MIN(12,'Simulador - 3º Pilar'!$E$88),0)</f>
        <v>0</v>
      </c>
      <c r="I682" s="128">
        <f t="shared" ca="1" si="177"/>
        <v>0</v>
      </c>
      <c r="J682" s="494">
        <f t="shared" ca="1" si="178"/>
        <v>0</v>
      </c>
      <c r="K682" s="126">
        <f t="shared" ca="1" si="179"/>
        <v>0</v>
      </c>
      <c r="L682" s="126">
        <f t="shared" ca="1" si="191"/>
        <v>0</v>
      </c>
      <c r="P682">
        <v>675</v>
      </c>
      <c r="Q682" s="6">
        <f t="shared" ca="1" si="180"/>
        <v>32234</v>
      </c>
      <c r="R682" s="7" t="e">
        <f t="shared" ca="1" si="185"/>
        <v>#REF!</v>
      </c>
      <c r="S682" s="125" t="e">
        <f t="shared" ca="1" si="186"/>
        <v>#REF!</v>
      </c>
      <c r="T682" s="125" t="e">
        <f t="shared" ca="1" si="181"/>
        <v>#REF!</v>
      </c>
      <c r="U682" s="128" t="e">
        <f t="shared" ca="1" si="187"/>
        <v>#REF!</v>
      </c>
      <c r="AC682">
        <v>675</v>
      </c>
      <c r="AD682" s="6">
        <f t="shared" ca="1" si="182"/>
        <v>32234</v>
      </c>
      <c r="AE682" s="7" t="e">
        <f t="shared" ca="1" si="188"/>
        <v>#REF!</v>
      </c>
      <c r="AF682" s="125" t="e">
        <f t="shared" ca="1" si="189"/>
        <v>#REF!</v>
      </c>
      <c r="AG682" s="125" t="e">
        <f t="shared" ca="1" si="183"/>
        <v>#REF!</v>
      </c>
      <c r="AH682" s="128" t="e">
        <f t="shared" ca="1" si="190"/>
        <v>#REF!</v>
      </c>
    </row>
    <row r="683" spans="4:34">
      <c r="D683">
        <v>676</v>
      </c>
      <c r="E683" s="6">
        <f t="shared" ca="1" si="175"/>
        <v>32203</v>
      </c>
      <c r="F683" s="7">
        <f t="shared" ca="1" si="184"/>
        <v>0</v>
      </c>
      <c r="G683" s="125">
        <f t="shared" ca="1" si="176"/>
        <v>0</v>
      </c>
      <c r="H683" s="125">
        <f ca="1">IF(F683=1,F683*$B$10/MIN(12,'Simulador - 3º Pilar'!$E$88),0)</f>
        <v>0</v>
      </c>
      <c r="I683" s="128">
        <f t="shared" ca="1" si="177"/>
        <v>0</v>
      </c>
      <c r="J683" s="494">
        <f t="shared" ca="1" si="178"/>
        <v>0</v>
      </c>
      <c r="K683" s="126">
        <f t="shared" ca="1" si="179"/>
        <v>0</v>
      </c>
      <c r="L683" s="126">
        <f t="shared" ca="1" si="191"/>
        <v>0</v>
      </c>
      <c r="P683">
        <v>676</v>
      </c>
      <c r="Q683" s="6">
        <f t="shared" ca="1" si="180"/>
        <v>32203</v>
      </c>
      <c r="R683" s="7" t="e">
        <f t="shared" ca="1" si="185"/>
        <v>#REF!</v>
      </c>
      <c r="S683" s="125" t="e">
        <f t="shared" ca="1" si="186"/>
        <v>#REF!</v>
      </c>
      <c r="T683" s="125" t="e">
        <f t="shared" ca="1" si="181"/>
        <v>#REF!</v>
      </c>
      <c r="U683" s="128" t="e">
        <f t="shared" ca="1" si="187"/>
        <v>#REF!</v>
      </c>
      <c r="AC683">
        <v>676</v>
      </c>
      <c r="AD683" s="6">
        <f t="shared" ca="1" si="182"/>
        <v>32203</v>
      </c>
      <c r="AE683" s="7" t="e">
        <f t="shared" ca="1" si="188"/>
        <v>#REF!</v>
      </c>
      <c r="AF683" s="125" t="e">
        <f t="shared" ca="1" si="189"/>
        <v>#REF!</v>
      </c>
      <c r="AG683" s="125" t="e">
        <f t="shared" ca="1" si="183"/>
        <v>#REF!</v>
      </c>
      <c r="AH683" s="128" t="e">
        <f t="shared" ca="1" si="190"/>
        <v>#REF!</v>
      </c>
    </row>
    <row r="684" spans="4:34">
      <c r="D684">
        <v>677</v>
      </c>
      <c r="E684" s="6">
        <f t="shared" ca="1" si="175"/>
        <v>32174</v>
      </c>
      <c r="F684" s="7">
        <f t="shared" ca="1" si="184"/>
        <v>0</v>
      </c>
      <c r="G684" s="125">
        <f t="shared" ca="1" si="176"/>
        <v>0</v>
      </c>
      <c r="H684" s="125">
        <f ca="1">IF(F684=1,F684*$B$10/MIN(12,'Simulador - 3º Pilar'!$E$88),0)</f>
        <v>0</v>
      </c>
      <c r="I684" s="128">
        <f t="shared" ca="1" si="177"/>
        <v>0</v>
      </c>
      <c r="J684" s="494">
        <f t="shared" ca="1" si="178"/>
        <v>0</v>
      </c>
      <c r="K684" s="126">
        <f t="shared" ca="1" si="179"/>
        <v>0</v>
      </c>
      <c r="L684" s="126">
        <f t="shared" ca="1" si="191"/>
        <v>0</v>
      </c>
      <c r="P684">
        <v>677</v>
      </c>
      <c r="Q684" s="6">
        <f t="shared" ca="1" si="180"/>
        <v>32174</v>
      </c>
      <c r="R684" s="7" t="e">
        <f t="shared" ca="1" si="185"/>
        <v>#REF!</v>
      </c>
      <c r="S684" s="125" t="e">
        <f t="shared" ca="1" si="186"/>
        <v>#REF!</v>
      </c>
      <c r="T684" s="125" t="e">
        <f t="shared" ca="1" si="181"/>
        <v>#REF!</v>
      </c>
      <c r="U684" s="128" t="e">
        <f t="shared" ca="1" si="187"/>
        <v>#REF!</v>
      </c>
      <c r="AC684">
        <v>677</v>
      </c>
      <c r="AD684" s="6">
        <f t="shared" ca="1" si="182"/>
        <v>32174</v>
      </c>
      <c r="AE684" s="7" t="e">
        <f t="shared" ca="1" si="188"/>
        <v>#REF!</v>
      </c>
      <c r="AF684" s="125" t="e">
        <f t="shared" ca="1" si="189"/>
        <v>#REF!</v>
      </c>
      <c r="AG684" s="125" t="e">
        <f t="shared" ca="1" si="183"/>
        <v>#REF!</v>
      </c>
      <c r="AH684" s="128" t="e">
        <f t="shared" ca="1" si="190"/>
        <v>#REF!</v>
      </c>
    </row>
    <row r="685" spans="4:34">
      <c r="D685">
        <v>678</v>
      </c>
      <c r="E685" s="6">
        <f t="shared" ca="1" si="175"/>
        <v>32143</v>
      </c>
      <c r="F685" s="7">
        <f t="shared" ca="1" si="184"/>
        <v>0</v>
      </c>
      <c r="G685" s="125">
        <f t="shared" ca="1" si="176"/>
        <v>0</v>
      </c>
      <c r="H685" s="125">
        <f ca="1">IF(F685=1,F685*$B$10/MIN(12,'Simulador - 3º Pilar'!$E$88),0)</f>
        <v>0</v>
      </c>
      <c r="I685" s="128">
        <f t="shared" ca="1" si="177"/>
        <v>0</v>
      </c>
      <c r="J685" s="494">
        <f t="shared" ca="1" si="178"/>
        <v>0</v>
      </c>
      <c r="K685" s="126">
        <f t="shared" ca="1" si="179"/>
        <v>0</v>
      </c>
      <c r="L685" s="126">
        <f t="shared" ca="1" si="191"/>
        <v>0</v>
      </c>
      <c r="P685">
        <v>678</v>
      </c>
      <c r="Q685" s="6">
        <f t="shared" ca="1" si="180"/>
        <v>32143</v>
      </c>
      <c r="R685" s="7" t="e">
        <f t="shared" ca="1" si="185"/>
        <v>#REF!</v>
      </c>
      <c r="S685" s="125" t="e">
        <f t="shared" ca="1" si="186"/>
        <v>#REF!</v>
      </c>
      <c r="T685" s="125" t="e">
        <f t="shared" ca="1" si="181"/>
        <v>#REF!</v>
      </c>
      <c r="U685" s="128" t="e">
        <f t="shared" ca="1" si="187"/>
        <v>#REF!</v>
      </c>
      <c r="AC685">
        <v>678</v>
      </c>
      <c r="AD685" s="6">
        <f t="shared" ca="1" si="182"/>
        <v>32143</v>
      </c>
      <c r="AE685" s="7" t="e">
        <f t="shared" ca="1" si="188"/>
        <v>#REF!</v>
      </c>
      <c r="AF685" s="125" t="e">
        <f t="shared" ca="1" si="189"/>
        <v>#REF!</v>
      </c>
      <c r="AG685" s="125" t="e">
        <f t="shared" ca="1" si="183"/>
        <v>#REF!</v>
      </c>
      <c r="AH685" s="128" t="e">
        <f t="shared" ca="1" si="190"/>
        <v>#REF!</v>
      </c>
    </row>
    <row r="686" spans="4:34">
      <c r="D686">
        <v>679</v>
      </c>
      <c r="E686" s="6">
        <f t="shared" ca="1" si="175"/>
        <v>32112</v>
      </c>
      <c r="F686" s="7">
        <f t="shared" ca="1" si="184"/>
        <v>0</v>
      </c>
      <c r="G686" s="125">
        <f t="shared" ca="1" si="176"/>
        <v>0</v>
      </c>
      <c r="H686" s="125">
        <f ca="1">IF(F686=1,F686*$B$10/MIN(12,'Simulador - 3º Pilar'!$E$88),0)</f>
        <v>0</v>
      </c>
      <c r="I686" s="128">
        <f t="shared" ca="1" si="177"/>
        <v>0</v>
      </c>
      <c r="J686" s="494">
        <f t="shared" ca="1" si="178"/>
        <v>0</v>
      </c>
      <c r="K686" s="126">
        <f t="shared" ca="1" si="179"/>
        <v>0</v>
      </c>
      <c r="L686" s="126">
        <f t="shared" ca="1" si="191"/>
        <v>0</v>
      </c>
      <c r="P686">
        <v>679</v>
      </c>
      <c r="Q686" s="6">
        <f t="shared" ca="1" si="180"/>
        <v>32112</v>
      </c>
      <c r="R686" s="7" t="e">
        <f t="shared" ca="1" si="185"/>
        <v>#REF!</v>
      </c>
      <c r="S686" s="125" t="e">
        <f t="shared" ca="1" si="186"/>
        <v>#REF!</v>
      </c>
      <c r="T686" s="125" t="e">
        <f t="shared" ca="1" si="181"/>
        <v>#REF!</v>
      </c>
      <c r="U686" s="128" t="e">
        <f t="shared" ca="1" si="187"/>
        <v>#REF!</v>
      </c>
      <c r="AC686">
        <v>679</v>
      </c>
      <c r="AD686" s="6">
        <f t="shared" ca="1" si="182"/>
        <v>32112</v>
      </c>
      <c r="AE686" s="7" t="e">
        <f t="shared" ca="1" si="188"/>
        <v>#REF!</v>
      </c>
      <c r="AF686" s="125" t="e">
        <f t="shared" ca="1" si="189"/>
        <v>#REF!</v>
      </c>
      <c r="AG686" s="125" t="e">
        <f t="shared" ca="1" si="183"/>
        <v>#REF!</v>
      </c>
      <c r="AH686" s="128" t="e">
        <f t="shared" ca="1" si="190"/>
        <v>#REF!</v>
      </c>
    </row>
    <row r="687" spans="4:34">
      <c r="D687">
        <v>680</v>
      </c>
      <c r="E687" s="6">
        <f t="shared" ca="1" si="175"/>
        <v>32082</v>
      </c>
      <c r="F687" s="7">
        <f t="shared" ca="1" si="184"/>
        <v>0</v>
      </c>
      <c r="G687" s="125">
        <f t="shared" ca="1" si="176"/>
        <v>0</v>
      </c>
      <c r="H687" s="125">
        <f ca="1">IF(F687=1,F687*$B$10/MIN(12,'Simulador - 3º Pilar'!$E$88),0)</f>
        <v>0</v>
      </c>
      <c r="I687" s="128">
        <f t="shared" ca="1" si="177"/>
        <v>0</v>
      </c>
      <c r="J687" s="494">
        <f t="shared" ca="1" si="178"/>
        <v>0</v>
      </c>
      <c r="K687" s="126">
        <f t="shared" ca="1" si="179"/>
        <v>0</v>
      </c>
      <c r="L687" s="126">
        <f t="shared" ca="1" si="191"/>
        <v>0</v>
      </c>
      <c r="P687">
        <v>680</v>
      </c>
      <c r="Q687" s="6">
        <f t="shared" ca="1" si="180"/>
        <v>32082</v>
      </c>
      <c r="R687" s="7" t="e">
        <f t="shared" ca="1" si="185"/>
        <v>#REF!</v>
      </c>
      <c r="S687" s="125" t="e">
        <f t="shared" ca="1" si="186"/>
        <v>#REF!</v>
      </c>
      <c r="T687" s="125" t="e">
        <f t="shared" ca="1" si="181"/>
        <v>#REF!</v>
      </c>
      <c r="U687" s="128" t="e">
        <f t="shared" ca="1" si="187"/>
        <v>#REF!</v>
      </c>
      <c r="AC687">
        <v>680</v>
      </c>
      <c r="AD687" s="6">
        <f t="shared" ca="1" si="182"/>
        <v>32082</v>
      </c>
      <c r="AE687" s="7" t="e">
        <f t="shared" ca="1" si="188"/>
        <v>#REF!</v>
      </c>
      <c r="AF687" s="125" t="e">
        <f t="shared" ca="1" si="189"/>
        <v>#REF!</v>
      </c>
      <c r="AG687" s="125" t="e">
        <f t="shared" ca="1" si="183"/>
        <v>#REF!</v>
      </c>
      <c r="AH687" s="128" t="e">
        <f t="shared" ca="1" si="190"/>
        <v>#REF!</v>
      </c>
    </row>
    <row r="688" spans="4:34">
      <c r="D688">
        <v>681</v>
      </c>
      <c r="E688" s="6">
        <f t="shared" ca="1" si="175"/>
        <v>32051</v>
      </c>
      <c r="F688" s="7">
        <f t="shared" ca="1" si="184"/>
        <v>0</v>
      </c>
      <c r="G688" s="125">
        <f t="shared" ca="1" si="176"/>
        <v>0</v>
      </c>
      <c r="H688" s="125">
        <f ca="1">IF(F688=1,F688*$B$10/MIN(12,'Simulador - 3º Pilar'!$E$88),0)</f>
        <v>0</v>
      </c>
      <c r="I688" s="128">
        <f t="shared" ca="1" si="177"/>
        <v>0</v>
      </c>
      <c r="J688" s="494">
        <f t="shared" ca="1" si="178"/>
        <v>0</v>
      </c>
      <c r="K688" s="126">
        <f t="shared" ca="1" si="179"/>
        <v>0</v>
      </c>
      <c r="L688" s="126">
        <f t="shared" ca="1" si="191"/>
        <v>0</v>
      </c>
      <c r="P688">
        <v>681</v>
      </c>
      <c r="Q688" s="6">
        <f t="shared" ca="1" si="180"/>
        <v>32051</v>
      </c>
      <c r="R688" s="7" t="e">
        <f t="shared" ca="1" si="185"/>
        <v>#REF!</v>
      </c>
      <c r="S688" s="125" t="e">
        <f t="shared" ca="1" si="186"/>
        <v>#REF!</v>
      </c>
      <c r="T688" s="125" t="e">
        <f t="shared" ca="1" si="181"/>
        <v>#REF!</v>
      </c>
      <c r="U688" s="128" t="e">
        <f t="shared" ca="1" si="187"/>
        <v>#REF!</v>
      </c>
      <c r="AC688">
        <v>681</v>
      </c>
      <c r="AD688" s="6">
        <f t="shared" ca="1" si="182"/>
        <v>32051</v>
      </c>
      <c r="AE688" s="7" t="e">
        <f t="shared" ca="1" si="188"/>
        <v>#REF!</v>
      </c>
      <c r="AF688" s="125" t="e">
        <f t="shared" ca="1" si="189"/>
        <v>#REF!</v>
      </c>
      <c r="AG688" s="125" t="e">
        <f t="shared" ca="1" si="183"/>
        <v>#REF!</v>
      </c>
      <c r="AH688" s="128" t="e">
        <f t="shared" ca="1" si="190"/>
        <v>#REF!</v>
      </c>
    </row>
    <row r="689" spans="4:34">
      <c r="D689">
        <v>682</v>
      </c>
      <c r="E689" s="6">
        <f t="shared" ca="1" si="175"/>
        <v>32021</v>
      </c>
      <c r="F689" s="7">
        <f t="shared" ca="1" si="184"/>
        <v>0</v>
      </c>
      <c r="G689" s="125">
        <f t="shared" ca="1" si="176"/>
        <v>0</v>
      </c>
      <c r="H689" s="125">
        <f ca="1">IF(F689=1,F689*$B$10/MIN(12,'Simulador - 3º Pilar'!$E$88),0)</f>
        <v>0</v>
      </c>
      <c r="I689" s="128">
        <f t="shared" ca="1" si="177"/>
        <v>0</v>
      </c>
      <c r="J689" s="494">
        <f t="shared" ca="1" si="178"/>
        <v>0</v>
      </c>
      <c r="K689" s="126">
        <f t="shared" ca="1" si="179"/>
        <v>0</v>
      </c>
      <c r="L689" s="126">
        <f t="shared" ca="1" si="191"/>
        <v>0</v>
      </c>
      <c r="P689">
        <v>682</v>
      </c>
      <c r="Q689" s="6">
        <f t="shared" ca="1" si="180"/>
        <v>32021</v>
      </c>
      <c r="R689" s="7" t="e">
        <f t="shared" ca="1" si="185"/>
        <v>#REF!</v>
      </c>
      <c r="S689" s="125" t="e">
        <f t="shared" ca="1" si="186"/>
        <v>#REF!</v>
      </c>
      <c r="T689" s="125" t="e">
        <f t="shared" ca="1" si="181"/>
        <v>#REF!</v>
      </c>
      <c r="U689" s="128" t="e">
        <f t="shared" ca="1" si="187"/>
        <v>#REF!</v>
      </c>
      <c r="AC689">
        <v>682</v>
      </c>
      <c r="AD689" s="6">
        <f t="shared" ca="1" si="182"/>
        <v>32021</v>
      </c>
      <c r="AE689" s="7" t="e">
        <f t="shared" ca="1" si="188"/>
        <v>#REF!</v>
      </c>
      <c r="AF689" s="125" t="e">
        <f t="shared" ca="1" si="189"/>
        <v>#REF!</v>
      </c>
      <c r="AG689" s="125" t="e">
        <f t="shared" ca="1" si="183"/>
        <v>#REF!</v>
      </c>
      <c r="AH689" s="128" t="e">
        <f t="shared" ca="1" si="190"/>
        <v>#REF!</v>
      </c>
    </row>
    <row r="690" spans="4:34">
      <c r="D690">
        <v>683</v>
      </c>
      <c r="E690" s="6">
        <f t="shared" ca="1" si="175"/>
        <v>31990</v>
      </c>
      <c r="F690" s="7">
        <f t="shared" ca="1" si="184"/>
        <v>0</v>
      </c>
      <c r="G690" s="125">
        <f t="shared" ca="1" si="176"/>
        <v>0</v>
      </c>
      <c r="H690" s="125">
        <f ca="1">IF(F690=1,F690*$B$10/MIN(12,'Simulador - 3º Pilar'!$E$88),0)</f>
        <v>0</v>
      </c>
      <c r="I690" s="128">
        <f t="shared" ca="1" si="177"/>
        <v>0</v>
      </c>
      <c r="J690" s="494">
        <f t="shared" ca="1" si="178"/>
        <v>0</v>
      </c>
      <c r="K690" s="126">
        <f t="shared" ca="1" si="179"/>
        <v>0</v>
      </c>
      <c r="L690" s="126">
        <f t="shared" ca="1" si="191"/>
        <v>0</v>
      </c>
      <c r="P690">
        <v>683</v>
      </c>
      <c r="Q690" s="6">
        <f t="shared" ca="1" si="180"/>
        <v>31990</v>
      </c>
      <c r="R690" s="7" t="e">
        <f t="shared" ca="1" si="185"/>
        <v>#REF!</v>
      </c>
      <c r="S690" s="125" t="e">
        <f t="shared" ca="1" si="186"/>
        <v>#REF!</v>
      </c>
      <c r="T690" s="125" t="e">
        <f t="shared" ca="1" si="181"/>
        <v>#REF!</v>
      </c>
      <c r="U690" s="128" t="e">
        <f t="shared" ca="1" si="187"/>
        <v>#REF!</v>
      </c>
      <c r="AC690">
        <v>683</v>
      </c>
      <c r="AD690" s="6">
        <f t="shared" ca="1" si="182"/>
        <v>31990</v>
      </c>
      <c r="AE690" s="7" t="e">
        <f t="shared" ca="1" si="188"/>
        <v>#REF!</v>
      </c>
      <c r="AF690" s="125" t="e">
        <f t="shared" ca="1" si="189"/>
        <v>#REF!</v>
      </c>
      <c r="AG690" s="125" t="e">
        <f t="shared" ca="1" si="183"/>
        <v>#REF!</v>
      </c>
      <c r="AH690" s="128" t="e">
        <f t="shared" ca="1" si="190"/>
        <v>#REF!</v>
      </c>
    </row>
    <row r="691" spans="4:34">
      <c r="D691">
        <v>684</v>
      </c>
      <c r="E691" s="6">
        <f t="shared" ca="1" si="175"/>
        <v>31959</v>
      </c>
      <c r="F691" s="7">
        <f t="shared" ca="1" si="184"/>
        <v>0</v>
      </c>
      <c r="G691" s="125">
        <f t="shared" ca="1" si="176"/>
        <v>0</v>
      </c>
      <c r="H691" s="125">
        <f ca="1">IF(F691=1,F691*$B$10/MIN(12,'Simulador - 3º Pilar'!$E$88),0)</f>
        <v>0</v>
      </c>
      <c r="I691" s="128">
        <f t="shared" ca="1" si="177"/>
        <v>0</v>
      </c>
      <c r="J691" s="494">
        <f t="shared" ca="1" si="178"/>
        <v>0</v>
      </c>
      <c r="K691" s="126">
        <f t="shared" ca="1" si="179"/>
        <v>0</v>
      </c>
      <c r="L691" s="126">
        <f t="shared" ca="1" si="191"/>
        <v>0</v>
      </c>
      <c r="P691">
        <v>684</v>
      </c>
      <c r="Q691" s="6">
        <f t="shared" ca="1" si="180"/>
        <v>31959</v>
      </c>
      <c r="R691" s="7" t="e">
        <f t="shared" ca="1" si="185"/>
        <v>#REF!</v>
      </c>
      <c r="S691" s="125" t="e">
        <f t="shared" ca="1" si="186"/>
        <v>#REF!</v>
      </c>
      <c r="T691" s="125" t="e">
        <f t="shared" ca="1" si="181"/>
        <v>#REF!</v>
      </c>
      <c r="U691" s="128" t="e">
        <f t="shared" ca="1" si="187"/>
        <v>#REF!</v>
      </c>
      <c r="AC691">
        <v>684</v>
      </c>
      <c r="AD691" s="6">
        <f t="shared" ca="1" si="182"/>
        <v>31959</v>
      </c>
      <c r="AE691" s="7" t="e">
        <f t="shared" ca="1" si="188"/>
        <v>#REF!</v>
      </c>
      <c r="AF691" s="125" t="e">
        <f t="shared" ca="1" si="189"/>
        <v>#REF!</v>
      </c>
      <c r="AG691" s="125" t="e">
        <f t="shared" ca="1" si="183"/>
        <v>#REF!</v>
      </c>
      <c r="AH691" s="128" t="e">
        <f t="shared" ca="1" si="190"/>
        <v>#REF!</v>
      </c>
    </row>
    <row r="692" spans="4:34">
      <c r="D692">
        <v>685</v>
      </c>
      <c r="E692" s="6">
        <f t="shared" ca="1" si="175"/>
        <v>31929</v>
      </c>
      <c r="F692" s="7">
        <f t="shared" ca="1" si="184"/>
        <v>0</v>
      </c>
      <c r="G692" s="125">
        <f t="shared" ca="1" si="176"/>
        <v>0</v>
      </c>
      <c r="H692" s="125">
        <f ca="1">IF(F692=1,F692*$B$10/MIN(12,'Simulador - 3º Pilar'!$E$88),0)</f>
        <v>0</v>
      </c>
      <c r="I692" s="128">
        <f t="shared" ca="1" si="177"/>
        <v>0</v>
      </c>
      <c r="J692" s="494">
        <f t="shared" ca="1" si="178"/>
        <v>0</v>
      </c>
      <c r="K692" s="126">
        <f t="shared" ca="1" si="179"/>
        <v>0</v>
      </c>
      <c r="L692" s="126">
        <f t="shared" ca="1" si="191"/>
        <v>0</v>
      </c>
      <c r="P692">
        <v>685</v>
      </c>
      <c r="Q692" s="6">
        <f t="shared" ca="1" si="180"/>
        <v>31929</v>
      </c>
      <c r="R692" s="7" t="e">
        <f t="shared" ca="1" si="185"/>
        <v>#REF!</v>
      </c>
      <c r="S692" s="125" t="e">
        <f t="shared" ca="1" si="186"/>
        <v>#REF!</v>
      </c>
      <c r="T692" s="125" t="e">
        <f t="shared" ca="1" si="181"/>
        <v>#REF!</v>
      </c>
      <c r="U692" s="128" t="e">
        <f t="shared" ca="1" si="187"/>
        <v>#REF!</v>
      </c>
      <c r="AC692">
        <v>685</v>
      </c>
      <c r="AD692" s="6">
        <f t="shared" ca="1" si="182"/>
        <v>31929</v>
      </c>
      <c r="AE692" s="7" t="e">
        <f t="shared" ca="1" si="188"/>
        <v>#REF!</v>
      </c>
      <c r="AF692" s="125" t="e">
        <f t="shared" ca="1" si="189"/>
        <v>#REF!</v>
      </c>
      <c r="AG692" s="125" t="e">
        <f t="shared" ca="1" si="183"/>
        <v>#REF!</v>
      </c>
      <c r="AH692" s="128" t="e">
        <f t="shared" ca="1" si="190"/>
        <v>#REF!</v>
      </c>
    </row>
    <row r="693" spans="4:34">
      <c r="D693">
        <v>686</v>
      </c>
      <c r="E693" s="6">
        <f t="shared" ca="1" si="175"/>
        <v>31898</v>
      </c>
      <c r="F693" s="7">
        <f t="shared" ca="1" si="184"/>
        <v>0</v>
      </c>
      <c r="G693" s="125">
        <f t="shared" ca="1" si="176"/>
        <v>0</v>
      </c>
      <c r="H693" s="125">
        <f ca="1">IF(F693=1,F693*$B$10/MIN(12,'Simulador - 3º Pilar'!$E$88),0)</f>
        <v>0</v>
      </c>
      <c r="I693" s="128">
        <f t="shared" ca="1" si="177"/>
        <v>0</v>
      </c>
      <c r="J693" s="494">
        <f t="shared" ca="1" si="178"/>
        <v>0</v>
      </c>
      <c r="K693" s="126">
        <f t="shared" ca="1" si="179"/>
        <v>0</v>
      </c>
      <c r="L693" s="126">
        <f t="shared" ca="1" si="191"/>
        <v>0</v>
      </c>
      <c r="P693">
        <v>686</v>
      </c>
      <c r="Q693" s="6">
        <f t="shared" ca="1" si="180"/>
        <v>31898</v>
      </c>
      <c r="R693" s="7" t="e">
        <f t="shared" ca="1" si="185"/>
        <v>#REF!</v>
      </c>
      <c r="S693" s="125" t="e">
        <f t="shared" ca="1" si="186"/>
        <v>#REF!</v>
      </c>
      <c r="T693" s="125" t="e">
        <f t="shared" ca="1" si="181"/>
        <v>#REF!</v>
      </c>
      <c r="U693" s="128" t="e">
        <f t="shared" ca="1" si="187"/>
        <v>#REF!</v>
      </c>
      <c r="AC693">
        <v>686</v>
      </c>
      <c r="AD693" s="6">
        <f t="shared" ca="1" si="182"/>
        <v>31898</v>
      </c>
      <c r="AE693" s="7" t="e">
        <f t="shared" ca="1" si="188"/>
        <v>#REF!</v>
      </c>
      <c r="AF693" s="125" t="e">
        <f t="shared" ca="1" si="189"/>
        <v>#REF!</v>
      </c>
      <c r="AG693" s="125" t="e">
        <f t="shared" ca="1" si="183"/>
        <v>#REF!</v>
      </c>
      <c r="AH693" s="128" t="e">
        <f t="shared" ca="1" si="190"/>
        <v>#REF!</v>
      </c>
    </row>
    <row r="694" spans="4:34">
      <c r="D694">
        <v>687</v>
      </c>
      <c r="E694" s="6">
        <f t="shared" ca="1" si="175"/>
        <v>31868</v>
      </c>
      <c r="F694" s="7">
        <f t="shared" ca="1" si="184"/>
        <v>0</v>
      </c>
      <c r="G694" s="125">
        <f t="shared" ca="1" si="176"/>
        <v>0</v>
      </c>
      <c r="H694" s="125">
        <f ca="1">IF(F694=1,F694*$B$10/MIN(12,'Simulador - 3º Pilar'!$E$88),0)</f>
        <v>0</v>
      </c>
      <c r="I694" s="128">
        <f t="shared" ca="1" si="177"/>
        <v>0</v>
      </c>
      <c r="J694" s="494">
        <f t="shared" ca="1" si="178"/>
        <v>0</v>
      </c>
      <c r="K694" s="126">
        <f t="shared" ca="1" si="179"/>
        <v>0</v>
      </c>
      <c r="L694" s="126">
        <f t="shared" ca="1" si="191"/>
        <v>0</v>
      </c>
      <c r="P694">
        <v>687</v>
      </c>
      <c r="Q694" s="6">
        <f t="shared" ca="1" si="180"/>
        <v>31868</v>
      </c>
      <c r="R694" s="7" t="e">
        <f t="shared" ca="1" si="185"/>
        <v>#REF!</v>
      </c>
      <c r="S694" s="125" t="e">
        <f t="shared" ca="1" si="186"/>
        <v>#REF!</v>
      </c>
      <c r="T694" s="125" t="e">
        <f t="shared" ca="1" si="181"/>
        <v>#REF!</v>
      </c>
      <c r="U694" s="128" t="e">
        <f t="shared" ca="1" si="187"/>
        <v>#REF!</v>
      </c>
      <c r="AC694">
        <v>687</v>
      </c>
      <c r="AD694" s="6">
        <f t="shared" ca="1" si="182"/>
        <v>31868</v>
      </c>
      <c r="AE694" s="7" t="e">
        <f t="shared" ca="1" si="188"/>
        <v>#REF!</v>
      </c>
      <c r="AF694" s="125" t="e">
        <f t="shared" ca="1" si="189"/>
        <v>#REF!</v>
      </c>
      <c r="AG694" s="125" t="e">
        <f t="shared" ca="1" si="183"/>
        <v>#REF!</v>
      </c>
      <c r="AH694" s="128" t="e">
        <f t="shared" ca="1" si="190"/>
        <v>#REF!</v>
      </c>
    </row>
    <row r="695" spans="4:34">
      <c r="D695">
        <v>688</v>
      </c>
      <c r="E695" s="6">
        <f t="shared" ca="1" si="175"/>
        <v>31837</v>
      </c>
      <c r="F695" s="7">
        <f t="shared" ca="1" si="184"/>
        <v>0</v>
      </c>
      <c r="G695" s="125">
        <f t="shared" ca="1" si="176"/>
        <v>0</v>
      </c>
      <c r="H695" s="125">
        <f ca="1">IF(F695=1,F695*$B$10/MIN(12,'Simulador - 3º Pilar'!$E$88),0)</f>
        <v>0</v>
      </c>
      <c r="I695" s="128">
        <f t="shared" ca="1" si="177"/>
        <v>0</v>
      </c>
      <c r="J695" s="494">
        <f t="shared" ca="1" si="178"/>
        <v>0</v>
      </c>
      <c r="K695" s="126">
        <f t="shared" ca="1" si="179"/>
        <v>0</v>
      </c>
      <c r="L695" s="126">
        <f t="shared" ca="1" si="191"/>
        <v>0</v>
      </c>
      <c r="P695">
        <v>688</v>
      </c>
      <c r="Q695" s="6">
        <f t="shared" ca="1" si="180"/>
        <v>31837</v>
      </c>
      <c r="R695" s="7" t="e">
        <f t="shared" ca="1" si="185"/>
        <v>#REF!</v>
      </c>
      <c r="S695" s="125" t="e">
        <f t="shared" ca="1" si="186"/>
        <v>#REF!</v>
      </c>
      <c r="T695" s="125" t="e">
        <f t="shared" ca="1" si="181"/>
        <v>#REF!</v>
      </c>
      <c r="U695" s="128" t="e">
        <f t="shared" ca="1" si="187"/>
        <v>#REF!</v>
      </c>
      <c r="AC695">
        <v>688</v>
      </c>
      <c r="AD695" s="6">
        <f t="shared" ca="1" si="182"/>
        <v>31837</v>
      </c>
      <c r="AE695" s="7" t="e">
        <f t="shared" ca="1" si="188"/>
        <v>#REF!</v>
      </c>
      <c r="AF695" s="125" t="e">
        <f t="shared" ca="1" si="189"/>
        <v>#REF!</v>
      </c>
      <c r="AG695" s="125" t="e">
        <f t="shared" ca="1" si="183"/>
        <v>#REF!</v>
      </c>
      <c r="AH695" s="128" t="e">
        <f t="shared" ca="1" si="190"/>
        <v>#REF!</v>
      </c>
    </row>
    <row r="696" spans="4:34">
      <c r="D696">
        <v>689</v>
      </c>
      <c r="E696" s="6">
        <f t="shared" ca="1" si="175"/>
        <v>31809</v>
      </c>
      <c r="F696" s="7">
        <f t="shared" ca="1" si="184"/>
        <v>0</v>
      </c>
      <c r="G696" s="125">
        <f t="shared" ca="1" si="176"/>
        <v>0</v>
      </c>
      <c r="H696" s="125">
        <f ca="1">IF(F696=1,F696*$B$10/MIN(12,'Simulador - 3º Pilar'!$E$88),0)</f>
        <v>0</v>
      </c>
      <c r="I696" s="128">
        <f t="shared" ca="1" si="177"/>
        <v>0</v>
      </c>
      <c r="J696" s="494">
        <f t="shared" ca="1" si="178"/>
        <v>0</v>
      </c>
      <c r="K696" s="126">
        <f t="shared" ca="1" si="179"/>
        <v>0</v>
      </c>
      <c r="L696" s="126">
        <f t="shared" ca="1" si="191"/>
        <v>0</v>
      </c>
      <c r="P696">
        <v>689</v>
      </c>
      <c r="Q696" s="6">
        <f t="shared" ca="1" si="180"/>
        <v>31809</v>
      </c>
      <c r="R696" s="7" t="e">
        <f t="shared" ca="1" si="185"/>
        <v>#REF!</v>
      </c>
      <c r="S696" s="125" t="e">
        <f t="shared" ca="1" si="186"/>
        <v>#REF!</v>
      </c>
      <c r="T696" s="125" t="e">
        <f t="shared" ca="1" si="181"/>
        <v>#REF!</v>
      </c>
      <c r="U696" s="128" t="e">
        <f t="shared" ca="1" si="187"/>
        <v>#REF!</v>
      </c>
      <c r="AC696">
        <v>689</v>
      </c>
      <c r="AD696" s="6">
        <f t="shared" ca="1" si="182"/>
        <v>31809</v>
      </c>
      <c r="AE696" s="7" t="e">
        <f t="shared" ca="1" si="188"/>
        <v>#REF!</v>
      </c>
      <c r="AF696" s="125" t="e">
        <f t="shared" ca="1" si="189"/>
        <v>#REF!</v>
      </c>
      <c r="AG696" s="125" t="e">
        <f t="shared" ca="1" si="183"/>
        <v>#REF!</v>
      </c>
      <c r="AH696" s="128" t="e">
        <f t="shared" ca="1" si="190"/>
        <v>#REF!</v>
      </c>
    </row>
    <row r="697" spans="4:34">
      <c r="D697">
        <v>690</v>
      </c>
      <c r="E697" s="6">
        <f t="shared" ca="1" si="175"/>
        <v>31778</v>
      </c>
      <c r="F697" s="7">
        <f t="shared" ca="1" si="184"/>
        <v>0</v>
      </c>
      <c r="G697" s="125">
        <f t="shared" ca="1" si="176"/>
        <v>0</v>
      </c>
      <c r="H697" s="125">
        <f ca="1">IF(F697=1,F697*$B$10/MIN(12,'Simulador - 3º Pilar'!$E$88),0)</f>
        <v>0</v>
      </c>
      <c r="I697" s="128">
        <f t="shared" ca="1" si="177"/>
        <v>0</v>
      </c>
      <c r="J697" s="494">
        <f t="shared" ca="1" si="178"/>
        <v>0</v>
      </c>
      <c r="K697" s="126">
        <f t="shared" ca="1" si="179"/>
        <v>0</v>
      </c>
      <c r="L697" s="126">
        <f t="shared" ca="1" si="191"/>
        <v>0</v>
      </c>
      <c r="P697">
        <v>690</v>
      </c>
      <c r="Q697" s="6">
        <f t="shared" ca="1" si="180"/>
        <v>31778</v>
      </c>
      <c r="R697" s="7" t="e">
        <f t="shared" ca="1" si="185"/>
        <v>#REF!</v>
      </c>
      <c r="S697" s="125" t="e">
        <f t="shared" ca="1" si="186"/>
        <v>#REF!</v>
      </c>
      <c r="T697" s="125" t="e">
        <f t="shared" ca="1" si="181"/>
        <v>#REF!</v>
      </c>
      <c r="U697" s="128" t="e">
        <f t="shared" ca="1" si="187"/>
        <v>#REF!</v>
      </c>
      <c r="AC697">
        <v>690</v>
      </c>
      <c r="AD697" s="6">
        <f t="shared" ca="1" si="182"/>
        <v>31778</v>
      </c>
      <c r="AE697" s="7" t="e">
        <f t="shared" ca="1" si="188"/>
        <v>#REF!</v>
      </c>
      <c r="AF697" s="125" t="e">
        <f t="shared" ca="1" si="189"/>
        <v>#REF!</v>
      </c>
      <c r="AG697" s="125" t="e">
        <f t="shared" ca="1" si="183"/>
        <v>#REF!</v>
      </c>
      <c r="AH697" s="128" t="e">
        <f t="shared" ca="1" si="190"/>
        <v>#REF!</v>
      </c>
    </row>
    <row r="698" spans="4:34">
      <c r="D698">
        <v>691</v>
      </c>
      <c r="E698" s="6">
        <f t="shared" ca="1" si="175"/>
        <v>31747</v>
      </c>
      <c r="F698" s="7">
        <f t="shared" ca="1" si="184"/>
        <v>0</v>
      </c>
      <c r="G698" s="125">
        <f t="shared" ca="1" si="176"/>
        <v>0</v>
      </c>
      <c r="H698" s="125">
        <f ca="1">IF(F698=1,F698*$B$10/MIN(12,'Simulador - 3º Pilar'!$E$88),0)</f>
        <v>0</v>
      </c>
      <c r="I698" s="128">
        <f t="shared" ca="1" si="177"/>
        <v>0</v>
      </c>
      <c r="J698" s="494">
        <f t="shared" ca="1" si="178"/>
        <v>0</v>
      </c>
      <c r="K698" s="126">
        <f t="shared" ca="1" si="179"/>
        <v>0</v>
      </c>
      <c r="L698" s="126">
        <f t="shared" ca="1" si="191"/>
        <v>0</v>
      </c>
      <c r="P698">
        <v>691</v>
      </c>
      <c r="Q698" s="6">
        <f t="shared" ca="1" si="180"/>
        <v>31747</v>
      </c>
      <c r="R698" s="7" t="e">
        <f t="shared" ca="1" si="185"/>
        <v>#REF!</v>
      </c>
      <c r="S698" s="125" t="e">
        <f t="shared" ca="1" si="186"/>
        <v>#REF!</v>
      </c>
      <c r="T698" s="125" t="e">
        <f t="shared" ca="1" si="181"/>
        <v>#REF!</v>
      </c>
      <c r="U698" s="128" t="e">
        <f t="shared" ca="1" si="187"/>
        <v>#REF!</v>
      </c>
      <c r="AC698">
        <v>691</v>
      </c>
      <c r="AD698" s="6">
        <f t="shared" ca="1" si="182"/>
        <v>31747</v>
      </c>
      <c r="AE698" s="7" t="e">
        <f t="shared" ca="1" si="188"/>
        <v>#REF!</v>
      </c>
      <c r="AF698" s="125" t="e">
        <f t="shared" ca="1" si="189"/>
        <v>#REF!</v>
      </c>
      <c r="AG698" s="125" t="e">
        <f t="shared" ca="1" si="183"/>
        <v>#REF!</v>
      </c>
      <c r="AH698" s="128" t="e">
        <f t="shared" ca="1" si="190"/>
        <v>#REF!</v>
      </c>
    </row>
    <row r="699" spans="4:34">
      <c r="D699">
        <v>692</v>
      </c>
      <c r="E699" s="6">
        <f t="shared" ca="1" si="175"/>
        <v>31717</v>
      </c>
      <c r="F699" s="7">
        <f t="shared" ca="1" si="184"/>
        <v>0</v>
      </c>
      <c r="G699" s="125">
        <f t="shared" ca="1" si="176"/>
        <v>0</v>
      </c>
      <c r="H699" s="125">
        <f ca="1">IF(F699=1,F699*$B$10/MIN(12,'Simulador - 3º Pilar'!$E$88),0)</f>
        <v>0</v>
      </c>
      <c r="I699" s="128">
        <f t="shared" ca="1" si="177"/>
        <v>0</v>
      </c>
      <c r="J699" s="494">
        <f t="shared" ca="1" si="178"/>
        <v>0</v>
      </c>
      <c r="K699" s="126">
        <f t="shared" ca="1" si="179"/>
        <v>0</v>
      </c>
      <c r="L699" s="126">
        <f t="shared" ca="1" si="191"/>
        <v>0</v>
      </c>
      <c r="P699">
        <v>692</v>
      </c>
      <c r="Q699" s="6">
        <f t="shared" ca="1" si="180"/>
        <v>31717</v>
      </c>
      <c r="R699" s="7" t="e">
        <f t="shared" ca="1" si="185"/>
        <v>#REF!</v>
      </c>
      <c r="S699" s="125" t="e">
        <f t="shared" ca="1" si="186"/>
        <v>#REF!</v>
      </c>
      <c r="T699" s="125" t="e">
        <f t="shared" ca="1" si="181"/>
        <v>#REF!</v>
      </c>
      <c r="U699" s="128" t="e">
        <f t="shared" ca="1" si="187"/>
        <v>#REF!</v>
      </c>
      <c r="AC699">
        <v>692</v>
      </c>
      <c r="AD699" s="6">
        <f t="shared" ca="1" si="182"/>
        <v>31717</v>
      </c>
      <c r="AE699" s="7" t="e">
        <f t="shared" ca="1" si="188"/>
        <v>#REF!</v>
      </c>
      <c r="AF699" s="125" t="e">
        <f t="shared" ca="1" si="189"/>
        <v>#REF!</v>
      </c>
      <c r="AG699" s="125" t="e">
        <f t="shared" ca="1" si="183"/>
        <v>#REF!</v>
      </c>
      <c r="AH699" s="128" t="e">
        <f t="shared" ca="1" si="190"/>
        <v>#REF!</v>
      </c>
    </row>
    <row r="700" spans="4:34">
      <c r="D700">
        <v>693</v>
      </c>
      <c r="E700" s="6">
        <f t="shared" ca="1" si="175"/>
        <v>31686</v>
      </c>
      <c r="F700" s="7">
        <f t="shared" ca="1" si="184"/>
        <v>0</v>
      </c>
      <c r="G700" s="125">
        <f t="shared" ca="1" si="176"/>
        <v>0</v>
      </c>
      <c r="H700" s="125">
        <f ca="1">IF(F700=1,F700*$B$10/MIN(12,'Simulador - 3º Pilar'!$E$88),0)</f>
        <v>0</v>
      </c>
      <c r="I700" s="128">
        <f t="shared" ca="1" si="177"/>
        <v>0</v>
      </c>
      <c r="J700" s="494">
        <f t="shared" ca="1" si="178"/>
        <v>0</v>
      </c>
      <c r="K700" s="126">
        <f t="shared" ca="1" si="179"/>
        <v>0</v>
      </c>
      <c r="L700" s="126">
        <f t="shared" ca="1" si="191"/>
        <v>0</v>
      </c>
      <c r="P700">
        <v>693</v>
      </c>
      <c r="Q700" s="6">
        <f t="shared" ca="1" si="180"/>
        <v>31686</v>
      </c>
      <c r="R700" s="7" t="e">
        <f t="shared" ca="1" si="185"/>
        <v>#REF!</v>
      </c>
      <c r="S700" s="125" t="e">
        <f t="shared" ca="1" si="186"/>
        <v>#REF!</v>
      </c>
      <c r="T700" s="125" t="e">
        <f t="shared" ca="1" si="181"/>
        <v>#REF!</v>
      </c>
      <c r="U700" s="128" t="e">
        <f t="shared" ca="1" si="187"/>
        <v>#REF!</v>
      </c>
      <c r="AC700">
        <v>693</v>
      </c>
      <c r="AD700" s="6">
        <f t="shared" ca="1" si="182"/>
        <v>31686</v>
      </c>
      <c r="AE700" s="7" t="e">
        <f t="shared" ca="1" si="188"/>
        <v>#REF!</v>
      </c>
      <c r="AF700" s="125" t="e">
        <f t="shared" ca="1" si="189"/>
        <v>#REF!</v>
      </c>
      <c r="AG700" s="125" t="e">
        <f t="shared" ca="1" si="183"/>
        <v>#REF!</v>
      </c>
      <c r="AH700" s="128" t="e">
        <f t="shared" ca="1" si="190"/>
        <v>#REF!</v>
      </c>
    </row>
    <row r="701" spans="4:34">
      <c r="D701">
        <v>694</v>
      </c>
      <c r="E701" s="6">
        <f t="shared" ca="1" si="175"/>
        <v>31656</v>
      </c>
      <c r="F701" s="7">
        <f t="shared" ca="1" si="184"/>
        <v>0</v>
      </c>
      <c r="G701" s="125">
        <f t="shared" ca="1" si="176"/>
        <v>0</v>
      </c>
      <c r="H701" s="125">
        <f ca="1">IF(F701=1,F701*$B$10/MIN(12,'Simulador - 3º Pilar'!$E$88),0)</f>
        <v>0</v>
      </c>
      <c r="I701" s="128">
        <f t="shared" ca="1" si="177"/>
        <v>0</v>
      </c>
      <c r="J701" s="494">
        <f t="shared" ca="1" si="178"/>
        <v>0</v>
      </c>
      <c r="K701" s="126">
        <f t="shared" ca="1" si="179"/>
        <v>0</v>
      </c>
      <c r="L701" s="126">
        <f t="shared" ca="1" si="191"/>
        <v>0</v>
      </c>
      <c r="P701">
        <v>694</v>
      </c>
      <c r="Q701" s="6">
        <f t="shared" ca="1" si="180"/>
        <v>31656</v>
      </c>
      <c r="R701" s="7" t="e">
        <f t="shared" ca="1" si="185"/>
        <v>#REF!</v>
      </c>
      <c r="S701" s="125" t="e">
        <f t="shared" ca="1" si="186"/>
        <v>#REF!</v>
      </c>
      <c r="T701" s="125" t="e">
        <f t="shared" ca="1" si="181"/>
        <v>#REF!</v>
      </c>
      <c r="U701" s="128" t="e">
        <f t="shared" ca="1" si="187"/>
        <v>#REF!</v>
      </c>
      <c r="AC701">
        <v>694</v>
      </c>
      <c r="AD701" s="6">
        <f t="shared" ca="1" si="182"/>
        <v>31656</v>
      </c>
      <c r="AE701" s="7" t="e">
        <f t="shared" ca="1" si="188"/>
        <v>#REF!</v>
      </c>
      <c r="AF701" s="125" t="e">
        <f t="shared" ca="1" si="189"/>
        <v>#REF!</v>
      </c>
      <c r="AG701" s="125" t="e">
        <f t="shared" ca="1" si="183"/>
        <v>#REF!</v>
      </c>
      <c r="AH701" s="128" t="e">
        <f t="shared" ca="1" si="190"/>
        <v>#REF!</v>
      </c>
    </row>
    <row r="702" spans="4:34">
      <c r="D702">
        <v>695</v>
      </c>
      <c r="E702" s="6">
        <f t="shared" ca="1" si="175"/>
        <v>31625</v>
      </c>
      <c r="F702" s="7">
        <f t="shared" ca="1" si="184"/>
        <v>0</v>
      </c>
      <c r="G702" s="125">
        <f t="shared" ca="1" si="176"/>
        <v>0</v>
      </c>
      <c r="H702" s="125">
        <f ca="1">IF(F702=1,F702*$B$10/MIN(12,'Simulador - 3º Pilar'!$E$88),0)</f>
        <v>0</v>
      </c>
      <c r="I702" s="128">
        <f t="shared" ca="1" si="177"/>
        <v>0</v>
      </c>
      <c r="J702" s="494">
        <f t="shared" ca="1" si="178"/>
        <v>0</v>
      </c>
      <c r="K702" s="126">
        <f t="shared" ca="1" si="179"/>
        <v>0</v>
      </c>
      <c r="L702" s="126">
        <f t="shared" ca="1" si="191"/>
        <v>0</v>
      </c>
      <c r="P702">
        <v>695</v>
      </c>
      <c r="Q702" s="6">
        <f t="shared" ca="1" si="180"/>
        <v>31625</v>
      </c>
      <c r="R702" s="7" t="e">
        <f t="shared" ca="1" si="185"/>
        <v>#REF!</v>
      </c>
      <c r="S702" s="125" t="e">
        <f t="shared" ca="1" si="186"/>
        <v>#REF!</v>
      </c>
      <c r="T702" s="125" t="e">
        <f t="shared" ca="1" si="181"/>
        <v>#REF!</v>
      </c>
      <c r="U702" s="128" t="e">
        <f t="shared" ca="1" si="187"/>
        <v>#REF!</v>
      </c>
      <c r="AC702">
        <v>695</v>
      </c>
      <c r="AD702" s="6">
        <f t="shared" ca="1" si="182"/>
        <v>31625</v>
      </c>
      <c r="AE702" s="7" t="e">
        <f t="shared" ca="1" si="188"/>
        <v>#REF!</v>
      </c>
      <c r="AF702" s="125" t="e">
        <f t="shared" ca="1" si="189"/>
        <v>#REF!</v>
      </c>
      <c r="AG702" s="125" t="e">
        <f t="shared" ca="1" si="183"/>
        <v>#REF!</v>
      </c>
      <c r="AH702" s="128" t="e">
        <f t="shared" ca="1" si="190"/>
        <v>#REF!</v>
      </c>
    </row>
    <row r="703" spans="4:34">
      <c r="D703">
        <v>696</v>
      </c>
      <c r="E703" s="6">
        <f t="shared" ca="1" si="175"/>
        <v>31594</v>
      </c>
      <c r="F703" s="7">
        <f t="shared" ca="1" si="184"/>
        <v>0</v>
      </c>
      <c r="G703" s="125">
        <f t="shared" ca="1" si="176"/>
        <v>0</v>
      </c>
      <c r="H703" s="125">
        <f ca="1">IF(F703=1,F703*$B$10/MIN(12,'Simulador - 3º Pilar'!$E$88),0)</f>
        <v>0</v>
      </c>
      <c r="I703" s="128">
        <f t="shared" ca="1" si="177"/>
        <v>0</v>
      </c>
      <c r="J703" s="494">
        <f t="shared" ca="1" si="178"/>
        <v>0</v>
      </c>
      <c r="K703" s="126">
        <f t="shared" ca="1" si="179"/>
        <v>0</v>
      </c>
      <c r="L703" s="126">
        <f t="shared" ca="1" si="191"/>
        <v>0</v>
      </c>
      <c r="P703">
        <v>696</v>
      </c>
      <c r="Q703" s="6">
        <f t="shared" ca="1" si="180"/>
        <v>31594</v>
      </c>
      <c r="R703" s="7" t="e">
        <f t="shared" ca="1" si="185"/>
        <v>#REF!</v>
      </c>
      <c r="S703" s="125" t="e">
        <f t="shared" ca="1" si="186"/>
        <v>#REF!</v>
      </c>
      <c r="T703" s="125" t="e">
        <f t="shared" ca="1" si="181"/>
        <v>#REF!</v>
      </c>
      <c r="U703" s="128" t="e">
        <f t="shared" ca="1" si="187"/>
        <v>#REF!</v>
      </c>
      <c r="AC703">
        <v>696</v>
      </c>
      <c r="AD703" s="6">
        <f t="shared" ca="1" si="182"/>
        <v>31594</v>
      </c>
      <c r="AE703" s="7" t="e">
        <f t="shared" ca="1" si="188"/>
        <v>#REF!</v>
      </c>
      <c r="AF703" s="125" t="e">
        <f t="shared" ca="1" si="189"/>
        <v>#REF!</v>
      </c>
      <c r="AG703" s="125" t="e">
        <f t="shared" ca="1" si="183"/>
        <v>#REF!</v>
      </c>
      <c r="AH703" s="128" t="e">
        <f t="shared" ca="1" si="190"/>
        <v>#REF!</v>
      </c>
    </row>
    <row r="704" spans="4:34">
      <c r="D704">
        <v>697</v>
      </c>
      <c r="E704" s="6">
        <f t="shared" ca="1" si="175"/>
        <v>31564</v>
      </c>
      <c r="F704" s="7">
        <f t="shared" ca="1" si="184"/>
        <v>0</v>
      </c>
      <c r="G704" s="125">
        <f t="shared" ca="1" si="176"/>
        <v>0</v>
      </c>
      <c r="H704" s="125">
        <f ca="1">IF(F704=1,F704*$B$10/MIN(12,'Simulador - 3º Pilar'!$E$88),0)</f>
        <v>0</v>
      </c>
      <c r="I704" s="128">
        <f t="shared" ca="1" si="177"/>
        <v>0</v>
      </c>
      <c r="J704" s="494">
        <f t="shared" ca="1" si="178"/>
        <v>0</v>
      </c>
      <c r="K704" s="126">
        <f t="shared" ca="1" si="179"/>
        <v>0</v>
      </c>
      <c r="L704" s="126">
        <f t="shared" ca="1" si="191"/>
        <v>0</v>
      </c>
      <c r="P704">
        <v>697</v>
      </c>
      <c r="Q704" s="6">
        <f t="shared" ca="1" si="180"/>
        <v>31564</v>
      </c>
      <c r="R704" s="7" t="e">
        <f t="shared" ca="1" si="185"/>
        <v>#REF!</v>
      </c>
      <c r="S704" s="125" t="e">
        <f t="shared" ca="1" si="186"/>
        <v>#REF!</v>
      </c>
      <c r="T704" s="125" t="e">
        <f t="shared" ca="1" si="181"/>
        <v>#REF!</v>
      </c>
      <c r="U704" s="128" t="e">
        <f t="shared" ca="1" si="187"/>
        <v>#REF!</v>
      </c>
      <c r="AC704">
        <v>697</v>
      </c>
      <c r="AD704" s="6">
        <f t="shared" ca="1" si="182"/>
        <v>31564</v>
      </c>
      <c r="AE704" s="7" t="e">
        <f t="shared" ca="1" si="188"/>
        <v>#REF!</v>
      </c>
      <c r="AF704" s="125" t="e">
        <f t="shared" ca="1" si="189"/>
        <v>#REF!</v>
      </c>
      <c r="AG704" s="125" t="e">
        <f t="shared" ca="1" si="183"/>
        <v>#REF!</v>
      </c>
      <c r="AH704" s="128" t="e">
        <f t="shared" ca="1" si="190"/>
        <v>#REF!</v>
      </c>
    </row>
    <row r="705" spans="4:34">
      <c r="D705">
        <v>698</v>
      </c>
      <c r="E705" s="6">
        <f t="shared" ca="1" si="175"/>
        <v>31533</v>
      </c>
      <c r="F705" s="7">
        <f t="shared" ca="1" si="184"/>
        <v>0</v>
      </c>
      <c r="G705" s="125">
        <f t="shared" ca="1" si="176"/>
        <v>0</v>
      </c>
      <c r="H705" s="125">
        <f ca="1">IF(F705=1,F705*$B$10/MIN(12,'Simulador - 3º Pilar'!$E$88),0)</f>
        <v>0</v>
      </c>
      <c r="I705" s="128">
        <f t="shared" ca="1" si="177"/>
        <v>0</v>
      </c>
      <c r="J705" s="494">
        <f t="shared" ca="1" si="178"/>
        <v>0</v>
      </c>
      <c r="K705" s="126">
        <f t="shared" ca="1" si="179"/>
        <v>0</v>
      </c>
      <c r="L705" s="126">
        <f t="shared" ca="1" si="191"/>
        <v>0</v>
      </c>
      <c r="P705">
        <v>698</v>
      </c>
      <c r="Q705" s="6">
        <f t="shared" ca="1" si="180"/>
        <v>31533</v>
      </c>
      <c r="R705" s="7" t="e">
        <f t="shared" ca="1" si="185"/>
        <v>#REF!</v>
      </c>
      <c r="S705" s="125" t="e">
        <f t="shared" ca="1" si="186"/>
        <v>#REF!</v>
      </c>
      <c r="T705" s="125" t="e">
        <f t="shared" ca="1" si="181"/>
        <v>#REF!</v>
      </c>
      <c r="U705" s="128" t="e">
        <f t="shared" ca="1" si="187"/>
        <v>#REF!</v>
      </c>
      <c r="AC705">
        <v>698</v>
      </c>
      <c r="AD705" s="6">
        <f t="shared" ca="1" si="182"/>
        <v>31533</v>
      </c>
      <c r="AE705" s="7" t="e">
        <f t="shared" ca="1" si="188"/>
        <v>#REF!</v>
      </c>
      <c r="AF705" s="125" t="e">
        <f t="shared" ca="1" si="189"/>
        <v>#REF!</v>
      </c>
      <c r="AG705" s="125" t="e">
        <f t="shared" ca="1" si="183"/>
        <v>#REF!</v>
      </c>
      <c r="AH705" s="128" t="e">
        <f t="shared" ca="1" si="190"/>
        <v>#REF!</v>
      </c>
    </row>
    <row r="706" spans="4:34">
      <c r="D706">
        <v>699</v>
      </c>
      <c r="E706" s="6">
        <f t="shared" ca="1" si="175"/>
        <v>31503</v>
      </c>
      <c r="F706" s="7">
        <f t="shared" ca="1" si="184"/>
        <v>0</v>
      </c>
      <c r="G706" s="125">
        <f t="shared" ca="1" si="176"/>
        <v>0</v>
      </c>
      <c r="H706" s="125">
        <f ca="1">IF(F706=1,F706*$B$10/MIN(12,'Simulador - 3º Pilar'!$E$88),0)</f>
        <v>0</v>
      </c>
      <c r="I706" s="128">
        <f t="shared" ca="1" si="177"/>
        <v>0</v>
      </c>
      <c r="J706" s="494">
        <f t="shared" ca="1" si="178"/>
        <v>0</v>
      </c>
      <c r="K706" s="126">
        <f t="shared" ca="1" si="179"/>
        <v>0</v>
      </c>
      <c r="L706" s="126">
        <f t="shared" ca="1" si="191"/>
        <v>0</v>
      </c>
      <c r="P706">
        <v>699</v>
      </c>
      <c r="Q706" s="6">
        <f t="shared" ca="1" si="180"/>
        <v>31503</v>
      </c>
      <c r="R706" s="7" t="e">
        <f t="shared" ca="1" si="185"/>
        <v>#REF!</v>
      </c>
      <c r="S706" s="125" t="e">
        <f t="shared" ca="1" si="186"/>
        <v>#REF!</v>
      </c>
      <c r="T706" s="125" t="e">
        <f t="shared" ca="1" si="181"/>
        <v>#REF!</v>
      </c>
      <c r="U706" s="128" t="e">
        <f t="shared" ca="1" si="187"/>
        <v>#REF!</v>
      </c>
      <c r="AC706">
        <v>699</v>
      </c>
      <c r="AD706" s="6">
        <f t="shared" ca="1" si="182"/>
        <v>31503</v>
      </c>
      <c r="AE706" s="7" t="e">
        <f t="shared" ca="1" si="188"/>
        <v>#REF!</v>
      </c>
      <c r="AF706" s="125" t="e">
        <f t="shared" ca="1" si="189"/>
        <v>#REF!</v>
      </c>
      <c r="AG706" s="125" t="e">
        <f t="shared" ca="1" si="183"/>
        <v>#REF!</v>
      </c>
      <c r="AH706" s="128" t="e">
        <f t="shared" ca="1" si="190"/>
        <v>#REF!</v>
      </c>
    </row>
    <row r="707" spans="4:34">
      <c r="D707">
        <v>700</v>
      </c>
      <c r="E707" s="6">
        <f t="shared" ca="1" si="175"/>
        <v>31472</v>
      </c>
      <c r="F707" s="7">
        <f t="shared" ca="1" si="184"/>
        <v>0</v>
      </c>
      <c r="G707" s="125">
        <f t="shared" ca="1" si="176"/>
        <v>0</v>
      </c>
      <c r="H707" s="125">
        <f ca="1">IF(F707=1,F707*$B$10/MIN(12,'Simulador - 3º Pilar'!$E$88),0)</f>
        <v>0</v>
      </c>
      <c r="I707" s="128">
        <f t="shared" ca="1" si="177"/>
        <v>0</v>
      </c>
      <c r="J707" s="494">
        <f t="shared" ca="1" si="178"/>
        <v>0</v>
      </c>
      <c r="K707" s="126">
        <f t="shared" ca="1" si="179"/>
        <v>0</v>
      </c>
      <c r="L707" s="126">
        <f t="shared" ca="1" si="191"/>
        <v>0</v>
      </c>
      <c r="P707">
        <v>700</v>
      </c>
      <c r="Q707" s="6">
        <f t="shared" ca="1" si="180"/>
        <v>31472</v>
      </c>
      <c r="R707" s="7" t="e">
        <f t="shared" ca="1" si="185"/>
        <v>#REF!</v>
      </c>
      <c r="S707" s="125" t="e">
        <f t="shared" ca="1" si="186"/>
        <v>#REF!</v>
      </c>
      <c r="T707" s="125" t="e">
        <f t="shared" ca="1" si="181"/>
        <v>#REF!</v>
      </c>
      <c r="U707" s="128" t="e">
        <f t="shared" ca="1" si="187"/>
        <v>#REF!</v>
      </c>
      <c r="AC707">
        <v>700</v>
      </c>
      <c r="AD707" s="6">
        <f t="shared" ca="1" si="182"/>
        <v>31472</v>
      </c>
      <c r="AE707" s="7" t="e">
        <f t="shared" ca="1" si="188"/>
        <v>#REF!</v>
      </c>
      <c r="AF707" s="125" t="e">
        <f t="shared" ca="1" si="189"/>
        <v>#REF!</v>
      </c>
      <c r="AG707" s="125" t="e">
        <f t="shared" ca="1" si="183"/>
        <v>#REF!</v>
      </c>
      <c r="AH707" s="128" t="e">
        <f t="shared" ca="1" si="190"/>
        <v>#REF!</v>
      </c>
    </row>
    <row r="708" spans="4:34">
      <c r="D708">
        <v>701</v>
      </c>
      <c r="E708" s="6">
        <f t="shared" ca="1" si="175"/>
        <v>31444</v>
      </c>
      <c r="F708" s="7">
        <f t="shared" ca="1" si="184"/>
        <v>0</v>
      </c>
      <c r="G708" s="125">
        <f t="shared" ca="1" si="176"/>
        <v>0</v>
      </c>
      <c r="H708" s="125">
        <f ca="1">IF(F708=1,F708*$B$10/MIN(12,'Simulador - 3º Pilar'!$E$88),0)</f>
        <v>0</v>
      </c>
      <c r="I708" s="128">
        <f t="shared" ca="1" si="177"/>
        <v>0</v>
      </c>
      <c r="J708" s="494">
        <f t="shared" ca="1" si="178"/>
        <v>0</v>
      </c>
      <c r="K708" s="126">
        <f t="shared" ca="1" si="179"/>
        <v>0</v>
      </c>
      <c r="L708" s="126">
        <f t="shared" ca="1" si="191"/>
        <v>0</v>
      </c>
      <c r="P708">
        <v>701</v>
      </c>
      <c r="Q708" s="6">
        <f t="shared" ca="1" si="180"/>
        <v>31444</v>
      </c>
      <c r="R708" s="7" t="e">
        <f t="shared" ca="1" si="185"/>
        <v>#REF!</v>
      </c>
      <c r="S708" s="125" t="e">
        <f t="shared" ca="1" si="186"/>
        <v>#REF!</v>
      </c>
      <c r="T708" s="125" t="e">
        <f t="shared" ca="1" si="181"/>
        <v>#REF!</v>
      </c>
      <c r="U708" s="128" t="e">
        <f t="shared" ca="1" si="187"/>
        <v>#REF!</v>
      </c>
      <c r="AC708">
        <v>701</v>
      </c>
      <c r="AD708" s="6">
        <f t="shared" ca="1" si="182"/>
        <v>31444</v>
      </c>
      <c r="AE708" s="7" t="e">
        <f t="shared" ca="1" si="188"/>
        <v>#REF!</v>
      </c>
      <c r="AF708" s="125" t="e">
        <f t="shared" ca="1" si="189"/>
        <v>#REF!</v>
      </c>
      <c r="AG708" s="125" t="e">
        <f t="shared" ca="1" si="183"/>
        <v>#REF!</v>
      </c>
      <c r="AH708" s="128" t="e">
        <f t="shared" ca="1" si="190"/>
        <v>#REF!</v>
      </c>
    </row>
    <row r="709" spans="4:34">
      <c r="D709">
        <v>702</v>
      </c>
      <c r="E709" s="6">
        <f t="shared" ca="1" si="175"/>
        <v>31413</v>
      </c>
      <c r="F709" s="7">
        <f t="shared" ca="1" si="184"/>
        <v>0</v>
      </c>
      <c r="G709" s="125">
        <f t="shared" ca="1" si="176"/>
        <v>0</v>
      </c>
      <c r="H709" s="125">
        <f ca="1">IF(F709=1,F709*$B$10/MIN(12,'Simulador - 3º Pilar'!$E$88),0)</f>
        <v>0</v>
      </c>
      <c r="I709" s="128">
        <f t="shared" ca="1" si="177"/>
        <v>0</v>
      </c>
      <c r="J709" s="494">
        <f t="shared" ca="1" si="178"/>
        <v>0</v>
      </c>
      <c r="K709" s="126">
        <f t="shared" ca="1" si="179"/>
        <v>0</v>
      </c>
      <c r="L709" s="126">
        <f t="shared" ca="1" si="191"/>
        <v>0</v>
      </c>
      <c r="P709">
        <v>702</v>
      </c>
      <c r="Q709" s="6">
        <f t="shared" ca="1" si="180"/>
        <v>31413</v>
      </c>
      <c r="R709" s="7" t="e">
        <f t="shared" ca="1" si="185"/>
        <v>#REF!</v>
      </c>
      <c r="S709" s="125" t="e">
        <f t="shared" ca="1" si="186"/>
        <v>#REF!</v>
      </c>
      <c r="T709" s="125" t="e">
        <f t="shared" ca="1" si="181"/>
        <v>#REF!</v>
      </c>
      <c r="U709" s="128" t="e">
        <f t="shared" ca="1" si="187"/>
        <v>#REF!</v>
      </c>
      <c r="AC709">
        <v>702</v>
      </c>
      <c r="AD709" s="6">
        <f t="shared" ca="1" si="182"/>
        <v>31413</v>
      </c>
      <c r="AE709" s="7" t="e">
        <f t="shared" ca="1" si="188"/>
        <v>#REF!</v>
      </c>
      <c r="AF709" s="125" t="e">
        <f t="shared" ca="1" si="189"/>
        <v>#REF!</v>
      </c>
      <c r="AG709" s="125" t="e">
        <f t="shared" ca="1" si="183"/>
        <v>#REF!</v>
      </c>
      <c r="AH709" s="128" t="e">
        <f t="shared" ca="1" si="190"/>
        <v>#REF!</v>
      </c>
    </row>
    <row r="710" spans="4:34">
      <c r="D710">
        <v>703</v>
      </c>
      <c r="E710" s="6">
        <f t="shared" ca="1" si="175"/>
        <v>31382</v>
      </c>
      <c r="F710" s="7">
        <f t="shared" ca="1" si="184"/>
        <v>0</v>
      </c>
      <c r="G710" s="125">
        <f t="shared" ca="1" si="176"/>
        <v>0</v>
      </c>
      <c r="H710" s="125">
        <f ca="1">IF(F710=1,F710*$B$10/MIN(12,'Simulador - 3º Pilar'!$E$88),0)</f>
        <v>0</v>
      </c>
      <c r="I710" s="128">
        <f t="shared" ca="1" si="177"/>
        <v>0</v>
      </c>
      <c r="J710" s="494">
        <f t="shared" ca="1" si="178"/>
        <v>0</v>
      </c>
      <c r="K710" s="126">
        <f t="shared" ca="1" si="179"/>
        <v>0</v>
      </c>
      <c r="L710" s="126">
        <f t="shared" ca="1" si="191"/>
        <v>0</v>
      </c>
      <c r="P710">
        <v>703</v>
      </c>
      <c r="Q710" s="6">
        <f t="shared" ca="1" si="180"/>
        <v>31382</v>
      </c>
      <c r="R710" s="7" t="e">
        <f t="shared" ca="1" si="185"/>
        <v>#REF!</v>
      </c>
      <c r="S710" s="125" t="e">
        <f t="shared" ca="1" si="186"/>
        <v>#REF!</v>
      </c>
      <c r="T710" s="125" t="e">
        <f t="shared" ca="1" si="181"/>
        <v>#REF!</v>
      </c>
      <c r="U710" s="128" t="e">
        <f t="shared" ca="1" si="187"/>
        <v>#REF!</v>
      </c>
      <c r="AC710">
        <v>703</v>
      </c>
      <c r="AD710" s="6">
        <f t="shared" ca="1" si="182"/>
        <v>31382</v>
      </c>
      <c r="AE710" s="7" t="e">
        <f t="shared" ca="1" si="188"/>
        <v>#REF!</v>
      </c>
      <c r="AF710" s="125" t="e">
        <f t="shared" ca="1" si="189"/>
        <v>#REF!</v>
      </c>
      <c r="AG710" s="125" t="e">
        <f t="shared" ca="1" si="183"/>
        <v>#REF!</v>
      </c>
      <c r="AH710" s="128" t="e">
        <f t="shared" ca="1" si="190"/>
        <v>#REF!</v>
      </c>
    </row>
    <row r="711" spans="4:34">
      <c r="D711">
        <v>704</v>
      </c>
      <c r="E711" s="6">
        <f t="shared" ca="1" si="175"/>
        <v>31352</v>
      </c>
      <c r="F711" s="7">
        <f t="shared" ca="1" si="184"/>
        <v>0</v>
      </c>
      <c r="G711" s="125">
        <f t="shared" ca="1" si="176"/>
        <v>0</v>
      </c>
      <c r="H711" s="125">
        <f ca="1">IF(F711=1,F711*$B$10/MIN(12,'Simulador - 3º Pilar'!$E$88),0)</f>
        <v>0</v>
      </c>
      <c r="I711" s="128">
        <f t="shared" ca="1" si="177"/>
        <v>0</v>
      </c>
      <c r="J711" s="494">
        <f t="shared" ca="1" si="178"/>
        <v>0</v>
      </c>
      <c r="K711" s="126">
        <f t="shared" ca="1" si="179"/>
        <v>0</v>
      </c>
      <c r="L711" s="126">
        <f t="shared" ca="1" si="191"/>
        <v>0</v>
      </c>
      <c r="P711">
        <v>704</v>
      </c>
      <c r="Q711" s="6">
        <f t="shared" ca="1" si="180"/>
        <v>31352</v>
      </c>
      <c r="R711" s="7" t="e">
        <f t="shared" ca="1" si="185"/>
        <v>#REF!</v>
      </c>
      <c r="S711" s="125" t="e">
        <f t="shared" ca="1" si="186"/>
        <v>#REF!</v>
      </c>
      <c r="T711" s="125" t="e">
        <f t="shared" ca="1" si="181"/>
        <v>#REF!</v>
      </c>
      <c r="U711" s="128" t="e">
        <f t="shared" ca="1" si="187"/>
        <v>#REF!</v>
      </c>
      <c r="AC711">
        <v>704</v>
      </c>
      <c r="AD711" s="6">
        <f t="shared" ca="1" si="182"/>
        <v>31352</v>
      </c>
      <c r="AE711" s="7" t="e">
        <f t="shared" ca="1" si="188"/>
        <v>#REF!</v>
      </c>
      <c r="AF711" s="125" t="e">
        <f t="shared" ca="1" si="189"/>
        <v>#REF!</v>
      </c>
      <c r="AG711" s="125" t="e">
        <f t="shared" ca="1" si="183"/>
        <v>#REF!</v>
      </c>
      <c r="AH711" s="128" t="e">
        <f t="shared" ca="1" si="190"/>
        <v>#REF!</v>
      </c>
    </row>
    <row r="712" spans="4:34">
      <c r="D712">
        <v>705</v>
      </c>
      <c r="E712" s="6">
        <f t="shared" ref="E712:E775" ca="1" si="192">+DATE(YEAR(E711),MONTH(E711)-1,DAY(E711))</f>
        <v>31321</v>
      </c>
      <c r="F712" s="7">
        <f t="shared" ca="1" si="184"/>
        <v>0</v>
      </c>
      <c r="G712" s="125">
        <f t="shared" ref="G712:G775" ca="1" si="193">F712*$B$8/12</f>
        <v>0</v>
      </c>
      <c r="H712" s="125">
        <f ca="1">IF(F712=1,F712*$B$10/MIN(12,'Simulador - 3º Pilar'!$E$88),0)</f>
        <v>0</v>
      </c>
      <c r="I712" s="128">
        <f t="shared" ref="I712:I775" ca="1" si="194">(1+$G$5)^(D712/12)*(H712+IF(E712=$N$7,$N$4,0))</f>
        <v>0</v>
      </c>
      <c r="J712" s="494">
        <f t="shared" ref="J712:J775" ca="1" si="195">(1+$G$5)^(D712/12)*(H712*(12-IF(MONTH(E713)=12,0,MONTH(E713)))+IF(AND(F712=1,F713=0),$Q$4,0))*IF(AND(F712=1,F713=0),1,0)</f>
        <v>0</v>
      </c>
      <c r="K712" s="126">
        <f t="shared" ref="K712:K775" ca="1" si="196">(1+$G$5)^(D712/12)*(IF(E712=$N$7,$N$4,0)+IF(E712=$C$6,$B$10,0))</f>
        <v>0</v>
      </c>
      <c r="L712" s="126">
        <f t="shared" ca="1" si="191"/>
        <v>0</v>
      </c>
      <c r="P712">
        <v>705</v>
      </c>
      <c r="Q712" s="6">
        <f t="shared" ref="Q712:Q775" ca="1" si="197">+DATE(YEAR(Q711),MONTH(Q711)-1,DAY(Q711))</f>
        <v>31321</v>
      </c>
      <c r="R712" s="7" t="e">
        <f t="shared" ca="1" si="185"/>
        <v>#REF!</v>
      </c>
      <c r="S712" s="125" t="e">
        <f t="shared" ca="1" si="186"/>
        <v>#REF!</v>
      </c>
      <c r="T712" s="125" t="e">
        <f t="shared" ref="T712:T775" ca="1" si="198">R712*$B$11/12</f>
        <v>#REF!</v>
      </c>
      <c r="U712" s="128" t="e">
        <f t="shared" ca="1" si="187"/>
        <v>#REF!</v>
      </c>
      <c r="AC712">
        <v>705</v>
      </c>
      <c r="AD712" s="6">
        <f t="shared" ref="AD712:AD775" ca="1" si="199">+DATE(YEAR(AD711),MONTH(AD711)-1,DAY(AD711))</f>
        <v>31321</v>
      </c>
      <c r="AE712" s="7" t="e">
        <f t="shared" ca="1" si="188"/>
        <v>#REF!</v>
      </c>
      <c r="AF712" s="125" t="e">
        <f t="shared" ca="1" si="189"/>
        <v>#REF!</v>
      </c>
      <c r="AG712" s="125" t="e">
        <f t="shared" ref="AG712:AG775" ca="1" si="200">AE712*$B$12/12</f>
        <v>#REF!</v>
      </c>
      <c r="AH712" s="128" t="e">
        <f t="shared" ca="1" si="190"/>
        <v>#REF!</v>
      </c>
    </row>
    <row r="713" spans="4:34">
      <c r="D713">
        <v>706</v>
      </c>
      <c r="E713" s="6">
        <f t="shared" ca="1" si="192"/>
        <v>31291</v>
      </c>
      <c r="F713" s="7">
        <f t="shared" ref="F713:F776" ca="1" si="201">IF($C$6=$E713,1,IF(MONTH($E713)=1,F714*(1+$F$5),F714))</f>
        <v>0</v>
      </c>
      <c r="G713" s="125">
        <f t="shared" ca="1" si="193"/>
        <v>0</v>
      </c>
      <c r="H713" s="125">
        <f ca="1">IF(F713=1,F713*$B$10/MIN(12,'Simulador - 3º Pilar'!$E$88),0)</f>
        <v>0</v>
      </c>
      <c r="I713" s="128">
        <f t="shared" ca="1" si="194"/>
        <v>0</v>
      </c>
      <c r="J713" s="494">
        <f t="shared" ca="1" si="195"/>
        <v>0</v>
      </c>
      <c r="K713" s="126">
        <f t="shared" ca="1" si="196"/>
        <v>0</v>
      </c>
      <c r="L713" s="126">
        <f t="shared" ca="1" si="191"/>
        <v>0</v>
      </c>
      <c r="P713">
        <v>706</v>
      </c>
      <c r="Q713" s="6">
        <f t="shared" ca="1" si="197"/>
        <v>31291</v>
      </c>
      <c r="R713" s="7" t="e">
        <f t="shared" ref="R713:R776" ca="1" si="202">IF($Z$7=$E713,1,IF(MONTH($E713)=1,R714*(1+$F$5),R714))</f>
        <v>#REF!</v>
      </c>
      <c r="S713" s="125" t="e">
        <f t="shared" ref="S713:S776" ca="1" si="203">R713*$B$8/12</f>
        <v>#REF!</v>
      </c>
      <c r="T713" s="125" t="e">
        <f t="shared" ca="1" si="198"/>
        <v>#REF!</v>
      </c>
      <c r="U713" s="128" t="e">
        <f t="shared" ref="U713:U776" ca="1" si="204">(1+$V$5)^(P713/12)*(T713+IF(Q713=$Z$7,$Z$4,0))</f>
        <v>#REF!</v>
      </c>
      <c r="AC713">
        <v>706</v>
      </c>
      <c r="AD713" s="6">
        <f t="shared" ca="1" si="199"/>
        <v>31291</v>
      </c>
      <c r="AE713" s="7" t="e">
        <f t="shared" ref="AE713:AE776" ca="1" si="205">IF($AM$7=$E713,1,IF(MONTH($E713)=1,AE714*(1+$F$5),AE714))</f>
        <v>#REF!</v>
      </c>
      <c r="AF713" s="125" t="e">
        <f t="shared" ref="AF713:AF776" ca="1" si="206">AE713*$B$8/12</f>
        <v>#REF!</v>
      </c>
      <c r="AG713" s="125" t="e">
        <f t="shared" ca="1" si="200"/>
        <v>#REF!</v>
      </c>
      <c r="AH713" s="128" t="e">
        <f t="shared" ref="AH713:AH776" ca="1" si="207">(1+$AI$5)^(AC713/12)*(AG713+IF(AD713=$AM$7,$AM$4,0))</f>
        <v>#REF!</v>
      </c>
    </row>
    <row r="714" spans="4:34">
      <c r="D714">
        <v>707</v>
      </c>
      <c r="E714" s="6">
        <f t="shared" ca="1" si="192"/>
        <v>31260</v>
      </c>
      <c r="F714" s="7">
        <f t="shared" ca="1" si="201"/>
        <v>0</v>
      </c>
      <c r="G714" s="125">
        <f t="shared" ca="1" si="193"/>
        <v>0</v>
      </c>
      <c r="H714" s="125">
        <f ca="1">IF(F714=1,F714*$B$10/MIN(12,'Simulador - 3º Pilar'!$E$88),0)</f>
        <v>0</v>
      </c>
      <c r="I714" s="128">
        <f t="shared" ca="1" si="194"/>
        <v>0</v>
      </c>
      <c r="J714" s="494">
        <f t="shared" ca="1" si="195"/>
        <v>0</v>
      </c>
      <c r="K714" s="126">
        <f t="shared" ca="1" si="196"/>
        <v>0</v>
      </c>
      <c r="L714" s="126">
        <f t="shared" ca="1" si="191"/>
        <v>0</v>
      </c>
      <c r="P714">
        <v>707</v>
      </c>
      <c r="Q714" s="6">
        <f t="shared" ca="1" si="197"/>
        <v>31260</v>
      </c>
      <c r="R714" s="7" t="e">
        <f t="shared" ca="1" si="202"/>
        <v>#REF!</v>
      </c>
      <c r="S714" s="125" t="e">
        <f t="shared" ca="1" si="203"/>
        <v>#REF!</v>
      </c>
      <c r="T714" s="125" t="e">
        <f t="shared" ca="1" si="198"/>
        <v>#REF!</v>
      </c>
      <c r="U714" s="128" t="e">
        <f t="shared" ca="1" si="204"/>
        <v>#REF!</v>
      </c>
      <c r="AC714">
        <v>707</v>
      </c>
      <c r="AD714" s="6">
        <f t="shared" ca="1" si="199"/>
        <v>31260</v>
      </c>
      <c r="AE714" s="7" t="e">
        <f t="shared" ca="1" si="205"/>
        <v>#REF!</v>
      </c>
      <c r="AF714" s="125" t="e">
        <f t="shared" ca="1" si="206"/>
        <v>#REF!</v>
      </c>
      <c r="AG714" s="125" t="e">
        <f t="shared" ca="1" si="200"/>
        <v>#REF!</v>
      </c>
      <c r="AH714" s="128" t="e">
        <f t="shared" ca="1" si="207"/>
        <v>#REF!</v>
      </c>
    </row>
    <row r="715" spans="4:34">
      <c r="D715">
        <v>708</v>
      </c>
      <c r="E715" s="6">
        <f t="shared" ca="1" si="192"/>
        <v>31229</v>
      </c>
      <c r="F715" s="7">
        <f t="shared" ca="1" si="201"/>
        <v>0</v>
      </c>
      <c r="G715" s="125">
        <f t="shared" ca="1" si="193"/>
        <v>0</v>
      </c>
      <c r="H715" s="125">
        <f ca="1">IF(F715=1,F715*$B$10/MIN(12,'Simulador - 3º Pilar'!$E$88),0)</f>
        <v>0</v>
      </c>
      <c r="I715" s="128">
        <f t="shared" ca="1" si="194"/>
        <v>0</v>
      </c>
      <c r="J715" s="494">
        <f t="shared" ca="1" si="195"/>
        <v>0</v>
      </c>
      <c r="K715" s="126">
        <f t="shared" ca="1" si="196"/>
        <v>0</v>
      </c>
      <c r="L715" s="126">
        <f t="shared" ca="1" si="191"/>
        <v>0</v>
      </c>
      <c r="P715">
        <v>708</v>
      </c>
      <c r="Q715" s="6">
        <f t="shared" ca="1" si="197"/>
        <v>31229</v>
      </c>
      <c r="R715" s="7" t="e">
        <f t="shared" ca="1" si="202"/>
        <v>#REF!</v>
      </c>
      <c r="S715" s="125" t="e">
        <f t="shared" ca="1" si="203"/>
        <v>#REF!</v>
      </c>
      <c r="T715" s="125" t="e">
        <f t="shared" ca="1" si="198"/>
        <v>#REF!</v>
      </c>
      <c r="U715" s="128" t="e">
        <f t="shared" ca="1" si="204"/>
        <v>#REF!</v>
      </c>
      <c r="AC715">
        <v>708</v>
      </c>
      <c r="AD715" s="6">
        <f t="shared" ca="1" si="199"/>
        <v>31229</v>
      </c>
      <c r="AE715" s="7" t="e">
        <f t="shared" ca="1" si="205"/>
        <v>#REF!</v>
      </c>
      <c r="AF715" s="125" t="e">
        <f t="shared" ca="1" si="206"/>
        <v>#REF!</v>
      </c>
      <c r="AG715" s="125" t="e">
        <f t="shared" ca="1" si="200"/>
        <v>#REF!</v>
      </c>
      <c r="AH715" s="128" t="e">
        <f t="shared" ca="1" si="207"/>
        <v>#REF!</v>
      </c>
    </row>
    <row r="716" spans="4:34">
      <c r="D716">
        <v>709</v>
      </c>
      <c r="E716" s="6">
        <f t="shared" ca="1" si="192"/>
        <v>31199</v>
      </c>
      <c r="F716" s="7">
        <f t="shared" ca="1" si="201"/>
        <v>0</v>
      </c>
      <c r="G716" s="125">
        <f t="shared" ca="1" si="193"/>
        <v>0</v>
      </c>
      <c r="H716" s="125">
        <f ca="1">IF(F716=1,F716*$B$10/MIN(12,'Simulador - 3º Pilar'!$E$88),0)</f>
        <v>0</v>
      </c>
      <c r="I716" s="128">
        <f t="shared" ca="1" si="194"/>
        <v>0</v>
      </c>
      <c r="J716" s="494">
        <f t="shared" ca="1" si="195"/>
        <v>0</v>
      </c>
      <c r="K716" s="126">
        <f t="shared" ca="1" si="196"/>
        <v>0</v>
      </c>
      <c r="L716" s="126">
        <f t="shared" ca="1" si="191"/>
        <v>0</v>
      </c>
      <c r="P716">
        <v>709</v>
      </c>
      <c r="Q716" s="6">
        <f t="shared" ca="1" si="197"/>
        <v>31199</v>
      </c>
      <c r="R716" s="7" t="e">
        <f t="shared" ca="1" si="202"/>
        <v>#REF!</v>
      </c>
      <c r="S716" s="125" t="e">
        <f t="shared" ca="1" si="203"/>
        <v>#REF!</v>
      </c>
      <c r="T716" s="125" t="e">
        <f t="shared" ca="1" si="198"/>
        <v>#REF!</v>
      </c>
      <c r="U716" s="128" t="e">
        <f t="shared" ca="1" si="204"/>
        <v>#REF!</v>
      </c>
      <c r="AC716">
        <v>709</v>
      </c>
      <c r="AD716" s="6">
        <f t="shared" ca="1" si="199"/>
        <v>31199</v>
      </c>
      <c r="AE716" s="7" t="e">
        <f t="shared" ca="1" si="205"/>
        <v>#REF!</v>
      </c>
      <c r="AF716" s="125" t="e">
        <f t="shared" ca="1" si="206"/>
        <v>#REF!</v>
      </c>
      <c r="AG716" s="125" t="e">
        <f t="shared" ca="1" si="200"/>
        <v>#REF!</v>
      </c>
      <c r="AH716" s="128" t="e">
        <f t="shared" ca="1" si="207"/>
        <v>#REF!</v>
      </c>
    </row>
    <row r="717" spans="4:34">
      <c r="D717">
        <v>710</v>
      </c>
      <c r="E717" s="6">
        <f t="shared" ca="1" si="192"/>
        <v>31168</v>
      </c>
      <c r="F717" s="7">
        <f t="shared" ca="1" si="201"/>
        <v>0</v>
      </c>
      <c r="G717" s="125">
        <f t="shared" ca="1" si="193"/>
        <v>0</v>
      </c>
      <c r="H717" s="125">
        <f ca="1">IF(F717=1,F717*$B$10/MIN(12,'Simulador - 3º Pilar'!$E$88),0)</f>
        <v>0</v>
      </c>
      <c r="I717" s="128">
        <f t="shared" ca="1" si="194"/>
        <v>0</v>
      </c>
      <c r="J717" s="494">
        <f t="shared" ca="1" si="195"/>
        <v>0</v>
      </c>
      <c r="K717" s="126">
        <f t="shared" ca="1" si="196"/>
        <v>0</v>
      </c>
      <c r="L717" s="126">
        <f t="shared" ca="1" si="191"/>
        <v>0</v>
      </c>
      <c r="P717">
        <v>710</v>
      </c>
      <c r="Q717" s="6">
        <f t="shared" ca="1" si="197"/>
        <v>31168</v>
      </c>
      <c r="R717" s="7" t="e">
        <f t="shared" ca="1" si="202"/>
        <v>#REF!</v>
      </c>
      <c r="S717" s="125" t="e">
        <f t="shared" ca="1" si="203"/>
        <v>#REF!</v>
      </c>
      <c r="T717" s="125" t="e">
        <f t="shared" ca="1" si="198"/>
        <v>#REF!</v>
      </c>
      <c r="U717" s="128" t="e">
        <f t="shared" ca="1" si="204"/>
        <v>#REF!</v>
      </c>
      <c r="AC717">
        <v>710</v>
      </c>
      <c r="AD717" s="6">
        <f t="shared" ca="1" si="199"/>
        <v>31168</v>
      </c>
      <c r="AE717" s="7" t="e">
        <f t="shared" ca="1" si="205"/>
        <v>#REF!</v>
      </c>
      <c r="AF717" s="125" t="e">
        <f t="shared" ca="1" si="206"/>
        <v>#REF!</v>
      </c>
      <c r="AG717" s="125" t="e">
        <f t="shared" ca="1" si="200"/>
        <v>#REF!</v>
      </c>
      <c r="AH717" s="128" t="e">
        <f t="shared" ca="1" si="207"/>
        <v>#REF!</v>
      </c>
    </row>
    <row r="718" spans="4:34">
      <c r="D718">
        <v>711</v>
      </c>
      <c r="E718" s="6">
        <f t="shared" ca="1" si="192"/>
        <v>31138</v>
      </c>
      <c r="F718" s="7">
        <f t="shared" ca="1" si="201"/>
        <v>0</v>
      </c>
      <c r="G718" s="125">
        <f t="shared" ca="1" si="193"/>
        <v>0</v>
      </c>
      <c r="H718" s="125">
        <f ca="1">IF(F718=1,F718*$B$10/MIN(12,'Simulador - 3º Pilar'!$E$88),0)</f>
        <v>0</v>
      </c>
      <c r="I718" s="128">
        <f t="shared" ca="1" si="194"/>
        <v>0</v>
      </c>
      <c r="J718" s="494">
        <f t="shared" ca="1" si="195"/>
        <v>0</v>
      </c>
      <c r="K718" s="126">
        <f t="shared" ca="1" si="196"/>
        <v>0</v>
      </c>
      <c r="L718" s="126">
        <f t="shared" ca="1" si="191"/>
        <v>0</v>
      </c>
      <c r="P718">
        <v>711</v>
      </c>
      <c r="Q718" s="6">
        <f t="shared" ca="1" si="197"/>
        <v>31138</v>
      </c>
      <c r="R718" s="7" t="e">
        <f t="shared" ca="1" si="202"/>
        <v>#REF!</v>
      </c>
      <c r="S718" s="125" t="e">
        <f t="shared" ca="1" si="203"/>
        <v>#REF!</v>
      </c>
      <c r="T718" s="125" t="e">
        <f t="shared" ca="1" si="198"/>
        <v>#REF!</v>
      </c>
      <c r="U718" s="128" t="e">
        <f t="shared" ca="1" si="204"/>
        <v>#REF!</v>
      </c>
      <c r="AC718">
        <v>711</v>
      </c>
      <c r="AD718" s="6">
        <f t="shared" ca="1" si="199"/>
        <v>31138</v>
      </c>
      <c r="AE718" s="7" t="e">
        <f t="shared" ca="1" si="205"/>
        <v>#REF!</v>
      </c>
      <c r="AF718" s="125" t="e">
        <f t="shared" ca="1" si="206"/>
        <v>#REF!</v>
      </c>
      <c r="AG718" s="125" t="e">
        <f t="shared" ca="1" si="200"/>
        <v>#REF!</v>
      </c>
      <c r="AH718" s="128" t="e">
        <f t="shared" ca="1" si="207"/>
        <v>#REF!</v>
      </c>
    </row>
    <row r="719" spans="4:34">
      <c r="D719">
        <v>712</v>
      </c>
      <c r="E719" s="6">
        <f t="shared" ca="1" si="192"/>
        <v>31107</v>
      </c>
      <c r="F719" s="7">
        <f t="shared" ca="1" si="201"/>
        <v>0</v>
      </c>
      <c r="G719" s="125">
        <f t="shared" ca="1" si="193"/>
        <v>0</v>
      </c>
      <c r="H719" s="125">
        <f ca="1">IF(F719=1,F719*$B$10/MIN(12,'Simulador - 3º Pilar'!$E$88),0)</f>
        <v>0</v>
      </c>
      <c r="I719" s="128">
        <f t="shared" ca="1" si="194"/>
        <v>0</v>
      </c>
      <c r="J719" s="494">
        <f t="shared" ca="1" si="195"/>
        <v>0</v>
      </c>
      <c r="K719" s="126">
        <f t="shared" ca="1" si="196"/>
        <v>0</v>
      </c>
      <c r="L719" s="126">
        <f t="shared" ca="1" si="191"/>
        <v>0</v>
      </c>
      <c r="P719">
        <v>712</v>
      </c>
      <c r="Q719" s="6">
        <f t="shared" ca="1" si="197"/>
        <v>31107</v>
      </c>
      <c r="R719" s="7" t="e">
        <f t="shared" ca="1" si="202"/>
        <v>#REF!</v>
      </c>
      <c r="S719" s="125" t="e">
        <f t="shared" ca="1" si="203"/>
        <v>#REF!</v>
      </c>
      <c r="T719" s="125" t="e">
        <f t="shared" ca="1" si="198"/>
        <v>#REF!</v>
      </c>
      <c r="U719" s="128" t="e">
        <f t="shared" ca="1" si="204"/>
        <v>#REF!</v>
      </c>
      <c r="AC719">
        <v>712</v>
      </c>
      <c r="AD719" s="6">
        <f t="shared" ca="1" si="199"/>
        <v>31107</v>
      </c>
      <c r="AE719" s="7" t="e">
        <f t="shared" ca="1" si="205"/>
        <v>#REF!</v>
      </c>
      <c r="AF719" s="125" t="e">
        <f t="shared" ca="1" si="206"/>
        <v>#REF!</v>
      </c>
      <c r="AG719" s="125" t="e">
        <f t="shared" ca="1" si="200"/>
        <v>#REF!</v>
      </c>
      <c r="AH719" s="128" t="e">
        <f t="shared" ca="1" si="207"/>
        <v>#REF!</v>
      </c>
    </row>
    <row r="720" spans="4:34">
      <c r="D720">
        <v>713</v>
      </c>
      <c r="E720" s="6">
        <f t="shared" ca="1" si="192"/>
        <v>31079</v>
      </c>
      <c r="F720" s="7">
        <f t="shared" ca="1" si="201"/>
        <v>0</v>
      </c>
      <c r="G720" s="125">
        <f t="shared" ca="1" si="193"/>
        <v>0</v>
      </c>
      <c r="H720" s="125">
        <f ca="1">IF(F720=1,F720*$B$10/MIN(12,'Simulador - 3º Pilar'!$E$88),0)</f>
        <v>0</v>
      </c>
      <c r="I720" s="128">
        <f t="shared" ca="1" si="194"/>
        <v>0</v>
      </c>
      <c r="J720" s="494">
        <f t="shared" ca="1" si="195"/>
        <v>0</v>
      </c>
      <c r="K720" s="126">
        <f t="shared" ca="1" si="196"/>
        <v>0</v>
      </c>
      <c r="L720" s="126">
        <f t="shared" ca="1" si="191"/>
        <v>0</v>
      </c>
      <c r="P720">
        <v>713</v>
      </c>
      <c r="Q720" s="6">
        <f t="shared" ca="1" si="197"/>
        <v>31079</v>
      </c>
      <c r="R720" s="7" t="e">
        <f t="shared" ca="1" si="202"/>
        <v>#REF!</v>
      </c>
      <c r="S720" s="125" t="e">
        <f t="shared" ca="1" si="203"/>
        <v>#REF!</v>
      </c>
      <c r="T720" s="125" t="e">
        <f t="shared" ca="1" si="198"/>
        <v>#REF!</v>
      </c>
      <c r="U720" s="128" t="e">
        <f t="shared" ca="1" si="204"/>
        <v>#REF!</v>
      </c>
      <c r="AC720">
        <v>713</v>
      </c>
      <c r="AD720" s="6">
        <f t="shared" ca="1" si="199"/>
        <v>31079</v>
      </c>
      <c r="AE720" s="7" t="e">
        <f t="shared" ca="1" si="205"/>
        <v>#REF!</v>
      </c>
      <c r="AF720" s="125" t="e">
        <f t="shared" ca="1" si="206"/>
        <v>#REF!</v>
      </c>
      <c r="AG720" s="125" t="e">
        <f t="shared" ca="1" si="200"/>
        <v>#REF!</v>
      </c>
      <c r="AH720" s="128" t="e">
        <f t="shared" ca="1" si="207"/>
        <v>#REF!</v>
      </c>
    </row>
    <row r="721" spans="4:34">
      <c r="D721">
        <v>714</v>
      </c>
      <c r="E721" s="6">
        <f t="shared" ca="1" si="192"/>
        <v>31048</v>
      </c>
      <c r="F721" s="7">
        <f t="shared" ca="1" si="201"/>
        <v>0</v>
      </c>
      <c r="G721" s="125">
        <f t="shared" ca="1" si="193"/>
        <v>0</v>
      </c>
      <c r="H721" s="125">
        <f ca="1">IF(F721=1,F721*$B$10/MIN(12,'Simulador - 3º Pilar'!$E$88),0)</f>
        <v>0</v>
      </c>
      <c r="I721" s="128">
        <f t="shared" ca="1" si="194"/>
        <v>0</v>
      </c>
      <c r="J721" s="494">
        <f t="shared" ca="1" si="195"/>
        <v>0</v>
      </c>
      <c r="K721" s="126">
        <f t="shared" ca="1" si="196"/>
        <v>0</v>
      </c>
      <c r="L721" s="126">
        <f t="shared" ca="1" si="191"/>
        <v>0</v>
      </c>
      <c r="P721">
        <v>714</v>
      </c>
      <c r="Q721" s="6">
        <f t="shared" ca="1" si="197"/>
        <v>31048</v>
      </c>
      <c r="R721" s="7" t="e">
        <f t="shared" ca="1" si="202"/>
        <v>#REF!</v>
      </c>
      <c r="S721" s="125" t="e">
        <f t="shared" ca="1" si="203"/>
        <v>#REF!</v>
      </c>
      <c r="T721" s="125" t="e">
        <f t="shared" ca="1" si="198"/>
        <v>#REF!</v>
      </c>
      <c r="U721" s="128" t="e">
        <f t="shared" ca="1" si="204"/>
        <v>#REF!</v>
      </c>
      <c r="AC721">
        <v>714</v>
      </c>
      <c r="AD721" s="6">
        <f t="shared" ca="1" si="199"/>
        <v>31048</v>
      </c>
      <c r="AE721" s="7" t="e">
        <f t="shared" ca="1" si="205"/>
        <v>#REF!</v>
      </c>
      <c r="AF721" s="125" t="e">
        <f t="shared" ca="1" si="206"/>
        <v>#REF!</v>
      </c>
      <c r="AG721" s="125" t="e">
        <f t="shared" ca="1" si="200"/>
        <v>#REF!</v>
      </c>
      <c r="AH721" s="128" t="e">
        <f t="shared" ca="1" si="207"/>
        <v>#REF!</v>
      </c>
    </row>
    <row r="722" spans="4:34">
      <c r="D722">
        <v>715</v>
      </c>
      <c r="E722" s="6">
        <f t="shared" ca="1" si="192"/>
        <v>31017</v>
      </c>
      <c r="F722" s="7">
        <f t="shared" ca="1" si="201"/>
        <v>0</v>
      </c>
      <c r="G722" s="125">
        <f t="shared" ca="1" si="193"/>
        <v>0</v>
      </c>
      <c r="H722" s="125">
        <f ca="1">IF(F722=1,F722*$B$10/MIN(12,'Simulador - 3º Pilar'!$E$88),0)</f>
        <v>0</v>
      </c>
      <c r="I722" s="128">
        <f t="shared" ca="1" si="194"/>
        <v>0</v>
      </c>
      <c r="J722" s="494">
        <f t="shared" ca="1" si="195"/>
        <v>0</v>
      </c>
      <c r="K722" s="126">
        <f t="shared" ca="1" si="196"/>
        <v>0</v>
      </c>
      <c r="L722" s="126">
        <f t="shared" ca="1" si="191"/>
        <v>0</v>
      </c>
      <c r="P722">
        <v>715</v>
      </c>
      <c r="Q722" s="6">
        <f t="shared" ca="1" si="197"/>
        <v>31017</v>
      </c>
      <c r="R722" s="7" t="e">
        <f t="shared" ca="1" si="202"/>
        <v>#REF!</v>
      </c>
      <c r="S722" s="125" t="e">
        <f t="shared" ca="1" si="203"/>
        <v>#REF!</v>
      </c>
      <c r="T722" s="125" t="e">
        <f t="shared" ca="1" si="198"/>
        <v>#REF!</v>
      </c>
      <c r="U722" s="128" t="e">
        <f t="shared" ca="1" si="204"/>
        <v>#REF!</v>
      </c>
      <c r="AC722">
        <v>715</v>
      </c>
      <c r="AD722" s="6">
        <f t="shared" ca="1" si="199"/>
        <v>31017</v>
      </c>
      <c r="AE722" s="7" t="e">
        <f t="shared" ca="1" si="205"/>
        <v>#REF!</v>
      </c>
      <c r="AF722" s="125" t="e">
        <f t="shared" ca="1" si="206"/>
        <v>#REF!</v>
      </c>
      <c r="AG722" s="125" t="e">
        <f t="shared" ca="1" si="200"/>
        <v>#REF!</v>
      </c>
      <c r="AH722" s="128" t="e">
        <f t="shared" ca="1" si="207"/>
        <v>#REF!</v>
      </c>
    </row>
    <row r="723" spans="4:34">
      <c r="D723">
        <v>716</v>
      </c>
      <c r="E723" s="6">
        <f t="shared" ca="1" si="192"/>
        <v>30987</v>
      </c>
      <c r="F723" s="7">
        <f t="shared" ca="1" si="201"/>
        <v>0</v>
      </c>
      <c r="G723" s="125">
        <f t="shared" ca="1" si="193"/>
        <v>0</v>
      </c>
      <c r="H723" s="125">
        <f ca="1">IF(F723=1,F723*$B$10/MIN(12,'Simulador - 3º Pilar'!$E$88),0)</f>
        <v>0</v>
      </c>
      <c r="I723" s="128">
        <f t="shared" ca="1" si="194"/>
        <v>0</v>
      </c>
      <c r="J723" s="494">
        <f t="shared" ca="1" si="195"/>
        <v>0</v>
      </c>
      <c r="K723" s="126">
        <f t="shared" ca="1" si="196"/>
        <v>0</v>
      </c>
      <c r="L723" s="126">
        <f t="shared" ca="1" si="191"/>
        <v>0</v>
      </c>
      <c r="P723">
        <v>716</v>
      </c>
      <c r="Q723" s="6">
        <f t="shared" ca="1" si="197"/>
        <v>30987</v>
      </c>
      <c r="R723" s="7" t="e">
        <f t="shared" ca="1" si="202"/>
        <v>#REF!</v>
      </c>
      <c r="S723" s="125" t="e">
        <f t="shared" ca="1" si="203"/>
        <v>#REF!</v>
      </c>
      <c r="T723" s="125" t="e">
        <f t="shared" ca="1" si="198"/>
        <v>#REF!</v>
      </c>
      <c r="U723" s="128" t="e">
        <f t="shared" ca="1" si="204"/>
        <v>#REF!</v>
      </c>
      <c r="AC723">
        <v>716</v>
      </c>
      <c r="AD723" s="6">
        <f t="shared" ca="1" si="199"/>
        <v>30987</v>
      </c>
      <c r="AE723" s="7" t="e">
        <f t="shared" ca="1" si="205"/>
        <v>#REF!</v>
      </c>
      <c r="AF723" s="125" t="e">
        <f t="shared" ca="1" si="206"/>
        <v>#REF!</v>
      </c>
      <c r="AG723" s="125" t="e">
        <f t="shared" ca="1" si="200"/>
        <v>#REF!</v>
      </c>
      <c r="AH723" s="128" t="e">
        <f t="shared" ca="1" si="207"/>
        <v>#REF!</v>
      </c>
    </row>
    <row r="724" spans="4:34">
      <c r="D724">
        <v>717</v>
      </c>
      <c r="E724" s="6">
        <f t="shared" ca="1" si="192"/>
        <v>30956</v>
      </c>
      <c r="F724" s="7">
        <f t="shared" ca="1" si="201"/>
        <v>0</v>
      </c>
      <c r="G724" s="125">
        <f t="shared" ca="1" si="193"/>
        <v>0</v>
      </c>
      <c r="H724" s="125">
        <f ca="1">IF(F724=1,F724*$B$10/MIN(12,'Simulador - 3º Pilar'!$E$88),0)</f>
        <v>0</v>
      </c>
      <c r="I724" s="128">
        <f t="shared" ca="1" si="194"/>
        <v>0</v>
      </c>
      <c r="J724" s="494">
        <f t="shared" ca="1" si="195"/>
        <v>0</v>
      </c>
      <c r="K724" s="126">
        <f t="shared" ca="1" si="196"/>
        <v>0</v>
      </c>
      <c r="L724" s="126">
        <f t="shared" ca="1" si="191"/>
        <v>0</v>
      </c>
      <c r="P724">
        <v>717</v>
      </c>
      <c r="Q724" s="6">
        <f t="shared" ca="1" si="197"/>
        <v>30956</v>
      </c>
      <c r="R724" s="7" t="e">
        <f t="shared" ca="1" si="202"/>
        <v>#REF!</v>
      </c>
      <c r="S724" s="125" t="e">
        <f t="shared" ca="1" si="203"/>
        <v>#REF!</v>
      </c>
      <c r="T724" s="125" t="e">
        <f t="shared" ca="1" si="198"/>
        <v>#REF!</v>
      </c>
      <c r="U724" s="128" t="e">
        <f t="shared" ca="1" si="204"/>
        <v>#REF!</v>
      </c>
      <c r="AC724">
        <v>717</v>
      </c>
      <c r="AD724" s="6">
        <f t="shared" ca="1" si="199"/>
        <v>30956</v>
      </c>
      <c r="AE724" s="7" t="e">
        <f t="shared" ca="1" si="205"/>
        <v>#REF!</v>
      </c>
      <c r="AF724" s="125" t="e">
        <f t="shared" ca="1" si="206"/>
        <v>#REF!</v>
      </c>
      <c r="AG724" s="125" t="e">
        <f t="shared" ca="1" si="200"/>
        <v>#REF!</v>
      </c>
      <c r="AH724" s="128" t="e">
        <f t="shared" ca="1" si="207"/>
        <v>#REF!</v>
      </c>
    </row>
    <row r="725" spans="4:34">
      <c r="D725">
        <v>718</v>
      </c>
      <c r="E725" s="6">
        <f t="shared" ca="1" si="192"/>
        <v>30926</v>
      </c>
      <c r="F725" s="7">
        <f t="shared" ca="1" si="201"/>
        <v>0</v>
      </c>
      <c r="G725" s="125">
        <f t="shared" ca="1" si="193"/>
        <v>0</v>
      </c>
      <c r="H725" s="125">
        <f ca="1">IF(F725=1,F725*$B$10/MIN(12,'Simulador - 3º Pilar'!$E$88),0)</f>
        <v>0</v>
      </c>
      <c r="I725" s="128">
        <f t="shared" ca="1" si="194"/>
        <v>0</v>
      </c>
      <c r="J725" s="494">
        <f t="shared" ca="1" si="195"/>
        <v>0</v>
      </c>
      <c r="K725" s="126">
        <f t="shared" ca="1" si="196"/>
        <v>0</v>
      </c>
      <c r="L725" s="126">
        <f t="shared" ca="1" si="191"/>
        <v>0</v>
      </c>
      <c r="P725">
        <v>718</v>
      </c>
      <c r="Q725" s="6">
        <f t="shared" ca="1" si="197"/>
        <v>30926</v>
      </c>
      <c r="R725" s="7" t="e">
        <f t="shared" ca="1" si="202"/>
        <v>#REF!</v>
      </c>
      <c r="S725" s="125" t="e">
        <f t="shared" ca="1" si="203"/>
        <v>#REF!</v>
      </c>
      <c r="T725" s="125" t="e">
        <f t="shared" ca="1" si="198"/>
        <v>#REF!</v>
      </c>
      <c r="U725" s="128" t="e">
        <f t="shared" ca="1" si="204"/>
        <v>#REF!</v>
      </c>
      <c r="AC725">
        <v>718</v>
      </c>
      <c r="AD725" s="6">
        <f t="shared" ca="1" si="199"/>
        <v>30926</v>
      </c>
      <c r="AE725" s="7" t="e">
        <f t="shared" ca="1" si="205"/>
        <v>#REF!</v>
      </c>
      <c r="AF725" s="125" t="e">
        <f t="shared" ca="1" si="206"/>
        <v>#REF!</v>
      </c>
      <c r="AG725" s="125" t="e">
        <f t="shared" ca="1" si="200"/>
        <v>#REF!</v>
      </c>
      <c r="AH725" s="128" t="e">
        <f t="shared" ca="1" si="207"/>
        <v>#REF!</v>
      </c>
    </row>
    <row r="726" spans="4:34">
      <c r="D726">
        <v>719</v>
      </c>
      <c r="E726" s="6">
        <f t="shared" ca="1" si="192"/>
        <v>30895</v>
      </c>
      <c r="F726" s="7">
        <f t="shared" ca="1" si="201"/>
        <v>0</v>
      </c>
      <c r="G726" s="125">
        <f t="shared" ca="1" si="193"/>
        <v>0</v>
      </c>
      <c r="H726" s="125">
        <f ca="1">IF(F726=1,F726*$B$10/MIN(12,'Simulador - 3º Pilar'!$E$88),0)</f>
        <v>0</v>
      </c>
      <c r="I726" s="128">
        <f t="shared" ca="1" si="194"/>
        <v>0</v>
      </c>
      <c r="J726" s="494">
        <f t="shared" ca="1" si="195"/>
        <v>0</v>
      </c>
      <c r="K726" s="126">
        <f t="shared" ca="1" si="196"/>
        <v>0</v>
      </c>
      <c r="L726" s="126">
        <f t="shared" ca="1" si="191"/>
        <v>0</v>
      </c>
      <c r="P726">
        <v>719</v>
      </c>
      <c r="Q726" s="6">
        <f t="shared" ca="1" si="197"/>
        <v>30895</v>
      </c>
      <c r="R726" s="7" t="e">
        <f t="shared" ca="1" si="202"/>
        <v>#REF!</v>
      </c>
      <c r="S726" s="125" t="e">
        <f t="shared" ca="1" si="203"/>
        <v>#REF!</v>
      </c>
      <c r="T726" s="125" t="e">
        <f t="shared" ca="1" si="198"/>
        <v>#REF!</v>
      </c>
      <c r="U726" s="128" t="e">
        <f t="shared" ca="1" si="204"/>
        <v>#REF!</v>
      </c>
      <c r="AC726">
        <v>719</v>
      </c>
      <c r="AD726" s="6">
        <f t="shared" ca="1" si="199"/>
        <v>30895</v>
      </c>
      <c r="AE726" s="7" t="e">
        <f t="shared" ca="1" si="205"/>
        <v>#REF!</v>
      </c>
      <c r="AF726" s="125" t="e">
        <f t="shared" ca="1" si="206"/>
        <v>#REF!</v>
      </c>
      <c r="AG726" s="125" t="e">
        <f t="shared" ca="1" si="200"/>
        <v>#REF!</v>
      </c>
      <c r="AH726" s="128" t="e">
        <f t="shared" ca="1" si="207"/>
        <v>#REF!</v>
      </c>
    </row>
    <row r="727" spans="4:34">
      <c r="D727">
        <v>720</v>
      </c>
      <c r="E727" s="6">
        <f t="shared" ca="1" si="192"/>
        <v>30864</v>
      </c>
      <c r="F727" s="7">
        <f t="shared" ca="1" si="201"/>
        <v>0</v>
      </c>
      <c r="G727" s="125">
        <f t="shared" ca="1" si="193"/>
        <v>0</v>
      </c>
      <c r="H727" s="125">
        <f ca="1">IF(F727=1,F727*$B$10/MIN(12,'Simulador - 3º Pilar'!$E$88),0)</f>
        <v>0</v>
      </c>
      <c r="I727" s="128">
        <f t="shared" ca="1" si="194"/>
        <v>0</v>
      </c>
      <c r="J727" s="494">
        <f t="shared" ca="1" si="195"/>
        <v>0</v>
      </c>
      <c r="K727" s="126">
        <f t="shared" ca="1" si="196"/>
        <v>0</v>
      </c>
      <c r="L727" s="126">
        <f t="shared" ca="1" si="191"/>
        <v>0</v>
      </c>
      <c r="P727">
        <v>720</v>
      </c>
      <c r="Q727" s="6">
        <f t="shared" ca="1" si="197"/>
        <v>30864</v>
      </c>
      <c r="R727" s="7" t="e">
        <f t="shared" ca="1" si="202"/>
        <v>#REF!</v>
      </c>
      <c r="S727" s="125" t="e">
        <f t="shared" ca="1" si="203"/>
        <v>#REF!</v>
      </c>
      <c r="T727" s="125" t="e">
        <f t="shared" ca="1" si="198"/>
        <v>#REF!</v>
      </c>
      <c r="U727" s="128" t="e">
        <f t="shared" ca="1" si="204"/>
        <v>#REF!</v>
      </c>
      <c r="AC727">
        <v>720</v>
      </c>
      <c r="AD727" s="6">
        <f t="shared" ca="1" si="199"/>
        <v>30864</v>
      </c>
      <c r="AE727" s="7" t="e">
        <f t="shared" ca="1" si="205"/>
        <v>#REF!</v>
      </c>
      <c r="AF727" s="125" t="e">
        <f t="shared" ca="1" si="206"/>
        <v>#REF!</v>
      </c>
      <c r="AG727" s="125" t="e">
        <f t="shared" ca="1" si="200"/>
        <v>#REF!</v>
      </c>
      <c r="AH727" s="128" t="e">
        <f t="shared" ca="1" si="207"/>
        <v>#REF!</v>
      </c>
    </row>
    <row r="728" spans="4:34">
      <c r="D728">
        <v>721</v>
      </c>
      <c r="E728" s="6">
        <f t="shared" ca="1" si="192"/>
        <v>30834</v>
      </c>
      <c r="F728" s="7">
        <f t="shared" ca="1" si="201"/>
        <v>0</v>
      </c>
      <c r="G728" s="125">
        <f t="shared" ca="1" si="193"/>
        <v>0</v>
      </c>
      <c r="H728" s="125">
        <f ca="1">IF(F728=1,F728*$B$10/MIN(12,'Simulador - 3º Pilar'!$E$88),0)</f>
        <v>0</v>
      </c>
      <c r="I728" s="128">
        <f t="shared" ca="1" si="194"/>
        <v>0</v>
      </c>
      <c r="J728" s="494">
        <f t="shared" ca="1" si="195"/>
        <v>0</v>
      </c>
      <c r="K728" s="126">
        <f t="shared" ca="1" si="196"/>
        <v>0</v>
      </c>
      <c r="L728" s="126">
        <f t="shared" ca="1" si="191"/>
        <v>0</v>
      </c>
      <c r="P728">
        <v>721</v>
      </c>
      <c r="Q728" s="6">
        <f t="shared" ca="1" si="197"/>
        <v>30834</v>
      </c>
      <c r="R728" s="7" t="e">
        <f t="shared" ca="1" si="202"/>
        <v>#REF!</v>
      </c>
      <c r="S728" s="125" t="e">
        <f t="shared" ca="1" si="203"/>
        <v>#REF!</v>
      </c>
      <c r="T728" s="125" t="e">
        <f t="shared" ca="1" si="198"/>
        <v>#REF!</v>
      </c>
      <c r="U728" s="128" t="e">
        <f t="shared" ca="1" si="204"/>
        <v>#REF!</v>
      </c>
      <c r="AC728">
        <v>721</v>
      </c>
      <c r="AD728" s="6">
        <f t="shared" ca="1" si="199"/>
        <v>30834</v>
      </c>
      <c r="AE728" s="7" t="e">
        <f t="shared" ca="1" si="205"/>
        <v>#REF!</v>
      </c>
      <c r="AF728" s="125" t="e">
        <f t="shared" ca="1" si="206"/>
        <v>#REF!</v>
      </c>
      <c r="AG728" s="125" t="e">
        <f t="shared" ca="1" si="200"/>
        <v>#REF!</v>
      </c>
      <c r="AH728" s="128" t="e">
        <f t="shared" ca="1" si="207"/>
        <v>#REF!</v>
      </c>
    </row>
    <row r="729" spans="4:34">
      <c r="D729">
        <v>722</v>
      </c>
      <c r="E729" s="6">
        <f t="shared" ca="1" si="192"/>
        <v>30803</v>
      </c>
      <c r="F729" s="7">
        <f t="shared" ca="1" si="201"/>
        <v>0</v>
      </c>
      <c r="G729" s="125">
        <f t="shared" ca="1" si="193"/>
        <v>0</v>
      </c>
      <c r="H729" s="125">
        <f ca="1">IF(F729=1,F729*$B$10/MIN(12,'Simulador - 3º Pilar'!$E$88),0)</f>
        <v>0</v>
      </c>
      <c r="I729" s="128">
        <f t="shared" ca="1" si="194"/>
        <v>0</v>
      </c>
      <c r="J729" s="494">
        <f t="shared" ca="1" si="195"/>
        <v>0</v>
      </c>
      <c r="K729" s="126">
        <f t="shared" ca="1" si="196"/>
        <v>0</v>
      </c>
      <c r="L729" s="126">
        <f t="shared" ca="1" si="191"/>
        <v>0</v>
      </c>
      <c r="P729">
        <v>722</v>
      </c>
      <c r="Q729" s="6">
        <f t="shared" ca="1" si="197"/>
        <v>30803</v>
      </c>
      <c r="R729" s="7" t="e">
        <f t="shared" ca="1" si="202"/>
        <v>#REF!</v>
      </c>
      <c r="S729" s="125" t="e">
        <f t="shared" ca="1" si="203"/>
        <v>#REF!</v>
      </c>
      <c r="T729" s="125" t="e">
        <f t="shared" ca="1" si="198"/>
        <v>#REF!</v>
      </c>
      <c r="U729" s="128" t="e">
        <f t="shared" ca="1" si="204"/>
        <v>#REF!</v>
      </c>
      <c r="AC729">
        <v>722</v>
      </c>
      <c r="AD729" s="6">
        <f t="shared" ca="1" si="199"/>
        <v>30803</v>
      </c>
      <c r="AE729" s="7" t="e">
        <f t="shared" ca="1" si="205"/>
        <v>#REF!</v>
      </c>
      <c r="AF729" s="125" t="e">
        <f t="shared" ca="1" si="206"/>
        <v>#REF!</v>
      </c>
      <c r="AG729" s="125" t="e">
        <f t="shared" ca="1" si="200"/>
        <v>#REF!</v>
      </c>
      <c r="AH729" s="128" t="e">
        <f t="shared" ca="1" si="207"/>
        <v>#REF!</v>
      </c>
    </row>
    <row r="730" spans="4:34">
      <c r="D730">
        <v>723</v>
      </c>
      <c r="E730" s="6">
        <f t="shared" ca="1" si="192"/>
        <v>30773</v>
      </c>
      <c r="F730" s="7">
        <f t="shared" ca="1" si="201"/>
        <v>0</v>
      </c>
      <c r="G730" s="125">
        <f t="shared" ca="1" si="193"/>
        <v>0</v>
      </c>
      <c r="H730" s="125">
        <f ca="1">IF(F730=1,F730*$B$10/MIN(12,'Simulador - 3º Pilar'!$E$88),0)</f>
        <v>0</v>
      </c>
      <c r="I730" s="128">
        <f t="shared" ca="1" si="194"/>
        <v>0</v>
      </c>
      <c r="J730" s="494">
        <f t="shared" ca="1" si="195"/>
        <v>0</v>
      </c>
      <c r="K730" s="126">
        <f t="shared" ca="1" si="196"/>
        <v>0</v>
      </c>
      <c r="L730" s="126">
        <f t="shared" ca="1" si="191"/>
        <v>0</v>
      </c>
      <c r="P730">
        <v>723</v>
      </c>
      <c r="Q730" s="6">
        <f t="shared" ca="1" si="197"/>
        <v>30773</v>
      </c>
      <c r="R730" s="7" t="e">
        <f t="shared" ca="1" si="202"/>
        <v>#REF!</v>
      </c>
      <c r="S730" s="125" t="e">
        <f t="shared" ca="1" si="203"/>
        <v>#REF!</v>
      </c>
      <c r="T730" s="125" t="e">
        <f t="shared" ca="1" si="198"/>
        <v>#REF!</v>
      </c>
      <c r="U730" s="128" t="e">
        <f t="shared" ca="1" si="204"/>
        <v>#REF!</v>
      </c>
      <c r="AC730">
        <v>723</v>
      </c>
      <c r="AD730" s="6">
        <f t="shared" ca="1" si="199"/>
        <v>30773</v>
      </c>
      <c r="AE730" s="7" t="e">
        <f t="shared" ca="1" si="205"/>
        <v>#REF!</v>
      </c>
      <c r="AF730" s="125" t="e">
        <f t="shared" ca="1" si="206"/>
        <v>#REF!</v>
      </c>
      <c r="AG730" s="125" t="e">
        <f t="shared" ca="1" si="200"/>
        <v>#REF!</v>
      </c>
      <c r="AH730" s="128" t="e">
        <f t="shared" ca="1" si="207"/>
        <v>#REF!</v>
      </c>
    </row>
    <row r="731" spans="4:34">
      <c r="D731">
        <v>724</v>
      </c>
      <c r="E731" s="6">
        <f t="shared" ca="1" si="192"/>
        <v>30742</v>
      </c>
      <c r="F731" s="7">
        <f t="shared" ca="1" si="201"/>
        <v>0</v>
      </c>
      <c r="G731" s="125">
        <f t="shared" ca="1" si="193"/>
        <v>0</v>
      </c>
      <c r="H731" s="125">
        <f ca="1">IF(F731=1,F731*$B$10/MIN(12,'Simulador - 3º Pilar'!$E$88),0)</f>
        <v>0</v>
      </c>
      <c r="I731" s="128">
        <f t="shared" ca="1" si="194"/>
        <v>0</v>
      </c>
      <c r="J731" s="494">
        <f t="shared" ca="1" si="195"/>
        <v>0</v>
      </c>
      <c r="K731" s="126">
        <f t="shared" ca="1" si="196"/>
        <v>0</v>
      </c>
      <c r="L731" s="126">
        <f t="shared" ca="1" si="191"/>
        <v>0</v>
      </c>
      <c r="P731">
        <v>724</v>
      </c>
      <c r="Q731" s="6">
        <f t="shared" ca="1" si="197"/>
        <v>30742</v>
      </c>
      <c r="R731" s="7" t="e">
        <f t="shared" ca="1" si="202"/>
        <v>#REF!</v>
      </c>
      <c r="S731" s="125" t="e">
        <f t="shared" ca="1" si="203"/>
        <v>#REF!</v>
      </c>
      <c r="T731" s="125" t="e">
        <f t="shared" ca="1" si="198"/>
        <v>#REF!</v>
      </c>
      <c r="U731" s="128" t="e">
        <f t="shared" ca="1" si="204"/>
        <v>#REF!</v>
      </c>
      <c r="AC731">
        <v>724</v>
      </c>
      <c r="AD731" s="6">
        <f t="shared" ca="1" si="199"/>
        <v>30742</v>
      </c>
      <c r="AE731" s="7" t="e">
        <f t="shared" ca="1" si="205"/>
        <v>#REF!</v>
      </c>
      <c r="AF731" s="125" t="e">
        <f t="shared" ca="1" si="206"/>
        <v>#REF!</v>
      </c>
      <c r="AG731" s="125" t="e">
        <f t="shared" ca="1" si="200"/>
        <v>#REF!</v>
      </c>
      <c r="AH731" s="128" t="e">
        <f t="shared" ca="1" si="207"/>
        <v>#REF!</v>
      </c>
    </row>
    <row r="732" spans="4:34">
      <c r="D732">
        <v>725</v>
      </c>
      <c r="E732" s="6">
        <f t="shared" ca="1" si="192"/>
        <v>30713</v>
      </c>
      <c r="F732" s="7">
        <f t="shared" ca="1" si="201"/>
        <v>0</v>
      </c>
      <c r="G732" s="125">
        <f t="shared" ca="1" si="193"/>
        <v>0</v>
      </c>
      <c r="H732" s="125">
        <f ca="1">IF(F732=1,F732*$B$10/MIN(12,'Simulador - 3º Pilar'!$E$88),0)</f>
        <v>0</v>
      </c>
      <c r="I732" s="128">
        <f t="shared" ca="1" si="194"/>
        <v>0</v>
      </c>
      <c r="J732" s="494">
        <f t="shared" ca="1" si="195"/>
        <v>0</v>
      </c>
      <c r="K732" s="126">
        <f t="shared" ca="1" si="196"/>
        <v>0</v>
      </c>
      <c r="L732" s="126">
        <f t="shared" ca="1" si="191"/>
        <v>0</v>
      </c>
      <c r="P732">
        <v>725</v>
      </c>
      <c r="Q732" s="6">
        <f t="shared" ca="1" si="197"/>
        <v>30713</v>
      </c>
      <c r="R732" s="7" t="e">
        <f t="shared" ca="1" si="202"/>
        <v>#REF!</v>
      </c>
      <c r="S732" s="125" t="e">
        <f t="shared" ca="1" si="203"/>
        <v>#REF!</v>
      </c>
      <c r="T732" s="125" t="e">
        <f t="shared" ca="1" si="198"/>
        <v>#REF!</v>
      </c>
      <c r="U732" s="128" t="e">
        <f t="shared" ca="1" si="204"/>
        <v>#REF!</v>
      </c>
      <c r="AC732">
        <v>725</v>
      </c>
      <c r="AD732" s="6">
        <f t="shared" ca="1" si="199"/>
        <v>30713</v>
      </c>
      <c r="AE732" s="7" t="e">
        <f t="shared" ca="1" si="205"/>
        <v>#REF!</v>
      </c>
      <c r="AF732" s="125" t="e">
        <f t="shared" ca="1" si="206"/>
        <v>#REF!</v>
      </c>
      <c r="AG732" s="125" t="e">
        <f t="shared" ca="1" si="200"/>
        <v>#REF!</v>
      </c>
      <c r="AH732" s="128" t="e">
        <f t="shared" ca="1" si="207"/>
        <v>#REF!</v>
      </c>
    </row>
    <row r="733" spans="4:34">
      <c r="D733">
        <v>726</v>
      </c>
      <c r="E733" s="6">
        <f t="shared" ca="1" si="192"/>
        <v>30682</v>
      </c>
      <c r="F733" s="7">
        <f t="shared" ca="1" si="201"/>
        <v>0</v>
      </c>
      <c r="G733" s="125">
        <f t="shared" ca="1" si="193"/>
        <v>0</v>
      </c>
      <c r="H733" s="125">
        <f ca="1">IF(F733=1,F733*$B$10/MIN(12,'Simulador - 3º Pilar'!$E$88),0)</f>
        <v>0</v>
      </c>
      <c r="I733" s="128">
        <f t="shared" ca="1" si="194"/>
        <v>0</v>
      </c>
      <c r="J733" s="494">
        <f t="shared" ca="1" si="195"/>
        <v>0</v>
      </c>
      <c r="K733" s="126">
        <f t="shared" ca="1" si="196"/>
        <v>0</v>
      </c>
      <c r="L733" s="126">
        <f t="shared" ca="1" si="191"/>
        <v>0</v>
      </c>
      <c r="P733">
        <v>726</v>
      </c>
      <c r="Q733" s="6">
        <f t="shared" ca="1" si="197"/>
        <v>30682</v>
      </c>
      <c r="R733" s="7" t="e">
        <f t="shared" ca="1" si="202"/>
        <v>#REF!</v>
      </c>
      <c r="S733" s="125" t="e">
        <f t="shared" ca="1" si="203"/>
        <v>#REF!</v>
      </c>
      <c r="T733" s="125" t="e">
        <f t="shared" ca="1" si="198"/>
        <v>#REF!</v>
      </c>
      <c r="U733" s="128" t="e">
        <f t="shared" ca="1" si="204"/>
        <v>#REF!</v>
      </c>
      <c r="AC733">
        <v>726</v>
      </c>
      <c r="AD733" s="6">
        <f t="shared" ca="1" si="199"/>
        <v>30682</v>
      </c>
      <c r="AE733" s="7" t="e">
        <f t="shared" ca="1" si="205"/>
        <v>#REF!</v>
      </c>
      <c r="AF733" s="125" t="e">
        <f t="shared" ca="1" si="206"/>
        <v>#REF!</v>
      </c>
      <c r="AG733" s="125" t="e">
        <f t="shared" ca="1" si="200"/>
        <v>#REF!</v>
      </c>
      <c r="AH733" s="128" t="e">
        <f t="shared" ca="1" si="207"/>
        <v>#REF!</v>
      </c>
    </row>
    <row r="734" spans="4:34">
      <c r="D734">
        <v>727</v>
      </c>
      <c r="E734" s="6">
        <f t="shared" ca="1" si="192"/>
        <v>30651</v>
      </c>
      <c r="F734" s="7">
        <f t="shared" ca="1" si="201"/>
        <v>0</v>
      </c>
      <c r="G734" s="125">
        <f t="shared" ca="1" si="193"/>
        <v>0</v>
      </c>
      <c r="H734" s="125">
        <f ca="1">IF(F734=1,F734*$B$10/MIN(12,'Simulador - 3º Pilar'!$E$88),0)</f>
        <v>0</v>
      </c>
      <c r="I734" s="128">
        <f t="shared" ca="1" si="194"/>
        <v>0</v>
      </c>
      <c r="J734" s="494">
        <f t="shared" ca="1" si="195"/>
        <v>0</v>
      </c>
      <c r="K734" s="126">
        <f t="shared" ca="1" si="196"/>
        <v>0</v>
      </c>
      <c r="L734" s="126">
        <f t="shared" ca="1" si="191"/>
        <v>0</v>
      </c>
      <c r="P734">
        <v>727</v>
      </c>
      <c r="Q734" s="6">
        <f t="shared" ca="1" si="197"/>
        <v>30651</v>
      </c>
      <c r="R734" s="7" t="e">
        <f t="shared" ca="1" si="202"/>
        <v>#REF!</v>
      </c>
      <c r="S734" s="125" t="e">
        <f t="shared" ca="1" si="203"/>
        <v>#REF!</v>
      </c>
      <c r="T734" s="125" t="e">
        <f t="shared" ca="1" si="198"/>
        <v>#REF!</v>
      </c>
      <c r="U734" s="128" t="e">
        <f t="shared" ca="1" si="204"/>
        <v>#REF!</v>
      </c>
      <c r="AC734">
        <v>727</v>
      </c>
      <c r="AD734" s="6">
        <f t="shared" ca="1" si="199"/>
        <v>30651</v>
      </c>
      <c r="AE734" s="7" t="e">
        <f t="shared" ca="1" si="205"/>
        <v>#REF!</v>
      </c>
      <c r="AF734" s="125" t="e">
        <f t="shared" ca="1" si="206"/>
        <v>#REF!</v>
      </c>
      <c r="AG734" s="125" t="e">
        <f t="shared" ca="1" si="200"/>
        <v>#REF!</v>
      </c>
      <c r="AH734" s="128" t="e">
        <f t="shared" ca="1" si="207"/>
        <v>#REF!</v>
      </c>
    </row>
    <row r="735" spans="4:34">
      <c r="D735">
        <v>728</v>
      </c>
      <c r="E735" s="6">
        <f t="shared" ca="1" si="192"/>
        <v>30621</v>
      </c>
      <c r="F735" s="7">
        <f t="shared" ca="1" si="201"/>
        <v>0</v>
      </c>
      <c r="G735" s="125">
        <f t="shared" ca="1" si="193"/>
        <v>0</v>
      </c>
      <c r="H735" s="125">
        <f ca="1">IF(F735=1,F735*$B$10/MIN(12,'Simulador - 3º Pilar'!$E$88),0)</f>
        <v>0</v>
      </c>
      <c r="I735" s="128">
        <f t="shared" ca="1" si="194"/>
        <v>0</v>
      </c>
      <c r="J735" s="494">
        <f t="shared" ca="1" si="195"/>
        <v>0</v>
      </c>
      <c r="K735" s="126">
        <f t="shared" ca="1" si="196"/>
        <v>0</v>
      </c>
      <c r="L735" s="126">
        <f t="shared" ca="1" si="191"/>
        <v>0</v>
      </c>
      <c r="P735">
        <v>728</v>
      </c>
      <c r="Q735" s="6">
        <f t="shared" ca="1" si="197"/>
        <v>30621</v>
      </c>
      <c r="R735" s="7" t="e">
        <f t="shared" ca="1" si="202"/>
        <v>#REF!</v>
      </c>
      <c r="S735" s="125" t="e">
        <f t="shared" ca="1" si="203"/>
        <v>#REF!</v>
      </c>
      <c r="T735" s="125" t="e">
        <f t="shared" ca="1" si="198"/>
        <v>#REF!</v>
      </c>
      <c r="U735" s="128" t="e">
        <f t="shared" ca="1" si="204"/>
        <v>#REF!</v>
      </c>
      <c r="AC735">
        <v>728</v>
      </c>
      <c r="AD735" s="6">
        <f t="shared" ca="1" si="199"/>
        <v>30621</v>
      </c>
      <c r="AE735" s="7" t="e">
        <f t="shared" ca="1" si="205"/>
        <v>#REF!</v>
      </c>
      <c r="AF735" s="125" t="e">
        <f t="shared" ca="1" si="206"/>
        <v>#REF!</v>
      </c>
      <c r="AG735" s="125" t="e">
        <f t="shared" ca="1" si="200"/>
        <v>#REF!</v>
      </c>
      <c r="AH735" s="128" t="e">
        <f t="shared" ca="1" si="207"/>
        <v>#REF!</v>
      </c>
    </row>
    <row r="736" spans="4:34">
      <c r="D736">
        <v>729</v>
      </c>
      <c r="E736" s="6">
        <f t="shared" ca="1" si="192"/>
        <v>30590</v>
      </c>
      <c r="F736" s="7">
        <f t="shared" ca="1" si="201"/>
        <v>0</v>
      </c>
      <c r="G736" s="125">
        <f t="shared" ca="1" si="193"/>
        <v>0</v>
      </c>
      <c r="H736" s="125">
        <f ca="1">IF(F736=1,F736*$B$10/MIN(12,'Simulador - 3º Pilar'!$E$88),0)</f>
        <v>0</v>
      </c>
      <c r="I736" s="128">
        <f t="shared" ca="1" si="194"/>
        <v>0</v>
      </c>
      <c r="J736" s="494">
        <f t="shared" ca="1" si="195"/>
        <v>0</v>
      </c>
      <c r="K736" s="126">
        <f t="shared" ca="1" si="196"/>
        <v>0</v>
      </c>
      <c r="L736" s="126">
        <f t="shared" ca="1" si="191"/>
        <v>0</v>
      </c>
      <c r="P736">
        <v>729</v>
      </c>
      <c r="Q736" s="6">
        <f t="shared" ca="1" si="197"/>
        <v>30590</v>
      </c>
      <c r="R736" s="7" t="e">
        <f t="shared" ca="1" si="202"/>
        <v>#REF!</v>
      </c>
      <c r="S736" s="125" t="e">
        <f t="shared" ca="1" si="203"/>
        <v>#REF!</v>
      </c>
      <c r="T736" s="125" t="e">
        <f t="shared" ca="1" si="198"/>
        <v>#REF!</v>
      </c>
      <c r="U736" s="128" t="e">
        <f t="shared" ca="1" si="204"/>
        <v>#REF!</v>
      </c>
      <c r="AC736">
        <v>729</v>
      </c>
      <c r="AD736" s="6">
        <f t="shared" ca="1" si="199"/>
        <v>30590</v>
      </c>
      <c r="AE736" s="7" t="e">
        <f t="shared" ca="1" si="205"/>
        <v>#REF!</v>
      </c>
      <c r="AF736" s="125" t="e">
        <f t="shared" ca="1" si="206"/>
        <v>#REF!</v>
      </c>
      <c r="AG736" s="125" t="e">
        <f t="shared" ca="1" si="200"/>
        <v>#REF!</v>
      </c>
      <c r="AH736" s="128" t="e">
        <f t="shared" ca="1" si="207"/>
        <v>#REF!</v>
      </c>
    </row>
    <row r="737" spans="4:34">
      <c r="D737">
        <v>730</v>
      </c>
      <c r="E737" s="6">
        <f t="shared" ca="1" si="192"/>
        <v>30560</v>
      </c>
      <c r="F737" s="7">
        <f t="shared" ca="1" si="201"/>
        <v>0</v>
      </c>
      <c r="G737" s="125">
        <f t="shared" ca="1" si="193"/>
        <v>0</v>
      </c>
      <c r="H737" s="125">
        <f ca="1">IF(F737=1,F737*$B$10/MIN(12,'Simulador - 3º Pilar'!$E$88),0)</f>
        <v>0</v>
      </c>
      <c r="I737" s="128">
        <f t="shared" ca="1" si="194"/>
        <v>0</v>
      </c>
      <c r="J737" s="494">
        <f t="shared" ca="1" si="195"/>
        <v>0</v>
      </c>
      <c r="K737" s="126">
        <f t="shared" ca="1" si="196"/>
        <v>0</v>
      </c>
      <c r="L737" s="126">
        <f t="shared" ref="L737:L800" ca="1" si="208">(1+$G$5)^(D737/12)*(IF((E737)&gt;($B$6),H737,0)+IF(E737=$N$7,$N$4,0)+IF(E737=$C$6,0,0))</f>
        <v>0</v>
      </c>
      <c r="P737">
        <v>730</v>
      </c>
      <c r="Q737" s="6">
        <f t="shared" ca="1" si="197"/>
        <v>30560</v>
      </c>
      <c r="R737" s="7" t="e">
        <f t="shared" ca="1" si="202"/>
        <v>#REF!</v>
      </c>
      <c r="S737" s="125" t="e">
        <f t="shared" ca="1" si="203"/>
        <v>#REF!</v>
      </c>
      <c r="T737" s="125" t="e">
        <f t="shared" ca="1" si="198"/>
        <v>#REF!</v>
      </c>
      <c r="U737" s="128" t="e">
        <f t="shared" ca="1" si="204"/>
        <v>#REF!</v>
      </c>
      <c r="AC737">
        <v>730</v>
      </c>
      <c r="AD737" s="6">
        <f t="shared" ca="1" si="199"/>
        <v>30560</v>
      </c>
      <c r="AE737" s="7" t="e">
        <f t="shared" ca="1" si="205"/>
        <v>#REF!</v>
      </c>
      <c r="AF737" s="125" t="e">
        <f t="shared" ca="1" si="206"/>
        <v>#REF!</v>
      </c>
      <c r="AG737" s="125" t="e">
        <f t="shared" ca="1" si="200"/>
        <v>#REF!</v>
      </c>
      <c r="AH737" s="128" t="e">
        <f t="shared" ca="1" si="207"/>
        <v>#REF!</v>
      </c>
    </row>
    <row r="738" spans="4:34">
      <c r="D738">
        <v>731</v>
      </c>
      <c r="E738" s="6">
        <f t="shared" ca="1" si="192"/>
        <v>30529</v>
      </c>
      <c r="F738" s="7">
        <f t="shared" ca="1" si="201"/>
        <v>0</v>
      </c>
      <c r="G738" s="125">
        <f t="shared" ca="1" si="193"/>
        <v>0</v>
      </c>
      <c r="H738" s="125">
        <f ca="1">IF(F738=1,F738*$B$10/MIN(12,'Simulador - 3º Pilar'!$E$88),0)</f>
        <v>0</v>
      </c>
      <c r="I738" s="128">
        <f t="shared" ca="1" si="194"/>
        <v>0</v>
      </c>
      <c r="J738" s="494">
        <f t="shared" ca="1" si="195"/>
        <v>0</v>
      </c>
      <c r="K738" s="126">
        <f t="shared" ca="1" si="196"/>
        <v>0</v>
      </c>
      <c r="L738" s="126">
        <f t="shared" ca="1" si="208"/>
        <v>0</v>
      </c>
      <c r="P738">
        <v>731</v>
      </c>
      <c r="Q738" s="6">
        <f t="shared" ca="1" si="197"/>
        <v>30529</v>
      </c>
      <c r="R738" s="7" t="e">
        <f t="shared" ca="1" si="202"/>
        <v>#REF!</v>
      </c>
      <c r="S738" s="125" t="e">
        <f t="shared" ca="1" si="203"/>
        <v>#REF!</v>
      </c>
      <c r="T738" s="125" t="e">
        <f t="shared" ca="1" si="198"/>
        <v>#REF!</v>
      </c>
      <c r="U738" s="128" t="e">
        <f t="shared" ca="1" si="204"/>
        <v>#REF!</v>
      </c>
      <c r="AC738">
        <v>731</v>
      </c>
      <c r="AD738" s="6">
        <f t="shared" ca="1" si="199"/>
        <v>30529</v>
      </c>
      <c r="AE738" s="7" t="e">
        <f t="shared" ca="1" si="205"/>
        <v>#REF!</v>
      </c>
      <c r="AF738" s="125" t="e">
        <f t="shared" ca="1" si="206"/>
        <v>#REF!</v>
      </c>
      <c r="AG738" s="125" t="e">
        <f t="shared" ca="1" si="200"/>
        <v>#REF!</v>
      </c>
      <c r="AH738" s="128" t="e">
        <f t="shared" ca="1" si="207"/>
        <v>#REF!</v>
      </c>
    </row>
    <row r="739" spans="4:34">
      <c r="D739">
        <v>732</v>
      </c>
      <c r="E739" s="6">
        <f t="shared" ca="1" si="192"/>
        <v>30498</v>
      </c>
      <c r="F739" s="7">
        <f t="shared" ca="1" si="201"/>
        <v>0</v>
      </c>
      <c r="G739" s="125">
        <f t="shared" ca="1" si="193"/>
        <v>0</v>
      </c>
      <c r="H739" s="125">
        <f ca="1">IF(F739=1,F739*$B$10/MIN(12,'Simulador - 3º Pilar'!$E$88),0)</f>
        <v>0</v>
      </c>
      <c r="I739" s="128">
        <f t="shared" ca="1" si="194"/>
        <v>0</v>
      </c>
      <c r="J739" s="494">
        <f t="shared" ca="1" si="195"/>
        <v>0</v>
      </c>
      <c r="K739" s="126">
        <f t="shared" ca="1" si="196"/>
        <v>0</v>
      </c>
      <c r="L739" s="126">
        <f t="shared" ca="1" si="208"/>
        <v>0</v>
      </c>
      <c r="P739">
        <v>732</v>
      </c>
      <c r="Q739" s="6">
        <f t="shared" ca="1" si="197"/>
        <v>30498</v>
      </c>
      <c r="R739" s="7" t="e">
        <f t="shared" ca="1" si="202"/>
        <v>#REF!</v>
      </c>
      <c r="S739" s="125" t="e">
        <f t="shared" ca="1" si="203"/>
        <v>#REF!</v>
      </c>
      <c r="T739" s="125" t="e">
        <f t="shared" ca="1" si="198"/>
        <v>#REF!</v>
      </c>
      <c r="U739" s="128" t="e">
        <f t="shared" ca="1" si="204"/>
        <v>#REF!</v>
      </c>
      <c r="AC739">
        <v>732</v>
      </c>
      <c r="AD739" s="6">
        <f t="shared" ca="1" si="199"/>
        <v>30498</v>
      </c>
      <c r="AE739" s="7" t="e">
        <f t="shared" ca="1" si="205"/>
        <v>#REF!</v>
      </c>
      <c r="AF739" s="125" t="e">
        <f t="shared" ca="1" si="206"/>
        <v>#REF!</v>
      </c>
      <c r="AG739" s="125" t="e">
        <f t="shared" ca="1" si="200"/>
        <v>#REF!</v>
      </c>
      <c r="AH739" s="128" t="e">
        <f t="shared" ca="1" si="207"/>
        <v>#REF!</v>
      </c>
    </row>
    <row r="740" spans="4:34">
      <c r="D740">
        <v>733</v>
      </c>
      <c r="E740" s="6">
        <f t="shared" ca="1" si="192"/>
        <v>30468</v>
      </c>
      <c r="F740" s="7">
        <f t="shared" ca="1" si="201"/>
        <v>0</v>
      </c>
      <c r="G740" s="125">
        <f t="shared" ca="1" si="193"/>
        <v>0</v>
      </c>
      <c r="H740" s="125">
        <f ca="1">IF(F740=1,F740*$B$10/MIN(12,'Simulador - 3º Pilar'!$E$88),0)</f>
        <v>0</v>
      </c>
      <c r="I740" s="128">
        <f t="shared" ca="1" si="194"/>
        <v>0</v>
      </c>
      <c r="J740" s="494">
        <f t="shared" ca="1" si="195"/>
        <v>0</v>
      </c>
      <c r="K740" s="126">
        <f t="shared" ca="1" si="196"/>
        <v>0</v>
      </c>
      <c r="L740" s="126">
        <f t="shared" ca="1" si="208"/>
        <v>0</v>
      </c>
      <c r="P740">
        <v>733</v>
      </c>
      <c r="Q740" s="6">
        <f t="shared" ca="1" si="197"/>
        <v>30468</v>
      </c>
      <c r="R740" s="7" t="e">
        <f t="shared" ca="1" si="202"/>
        <v>#REF!</v>
      </c>
      <c r="S740" s="125" t="e">
        <f t="shared" ca="1" si="203"/>
        <v>#REF!</v>
      </c>
      <c r="T740" s="125" t="e">
        <f t="shared" ca="1" si="198"/>
        <v>#REF!</v>
      </c>
      <c r="U740" s="128" t="e">
        <f t="shared" ca="1" si="204"/>
        <v>#REF!</v>
      </c>
      <c r="AC740">
        <v>733</v>
      </c>
      <c r="AD740" s="6">
        <f t="shared" ca="1" si="199"/>
        <v>30468</v>
      </c>
      <c r="AE740" s="7" t="e">
        <f t="shared" ca="1" si="205"/>
        <v>#REF!</v>
      </c>
      <c r="AF740" s="125" t="e">
        <f t="shared" ca="1" si="206"/>
        <v>#REF!</v>
      </c>
      <c r="AG740" s="125" t="e">
        <f t="shared" ca="1" si="200"/>
        <v>#REF!</v>
      </c>
      <c r="AH740" s="128" t="e">
        <f t="shared" ca="1" si="207"/>
        <v>#REF!</v>
      </c>
    </row>
    <row r="741" spans="4:34">
      <c r="D741">
        <v>734</v>
      </c>
      <c r="E741" s="6">
        <f t="shared" ca="1" si="192"/>
        <v>30437</v>
      </c>
      <c r="F741" s="7">
        <f t="shared" ca="1" si="201"/>
        <v>0</v>
      </c>
      <c r="G741" s="125">
        <f t="shared" ca="1" si="193"/>
        <v>0</v>
      </c>
      <c r="H741" s="125">
        <f ca="1">IF(F741=1,F741*$B$10/MIN(12,'Simulador - 3º Pilar'!$E$88),0)</f>
        <v>0</v>
      </c>
      <c r="I741" s="128">
        <f t="shared" ca="1" si="194"/>
        <v>0</v>
      </c>
      <c r="J741" s="494">
        <f t="shared" ca="1" si="195"/>
        <v>0</v>
      </c>
      <c r="K741" s="126">
        <f t="shared" ca="1" si="196"/>
        <v>0</v>
      </c>
      <c r="L741" s="126">
        <f t="shared" ca="1" si="208"/>
        <v>0</v>
      </c>
      <c r="P741">
        <v>734</v>
      </c>
      <c r="Q741" s="6">
        <f t="shared" ca="1" si="197"/>
        <v>30437</v>
      </c>
      <c r="R741" s="7" t="e">
        <f t="shared" ca="1" si="202"/>
        <v>#REF!</v>
      </c>
      <c r="S741" s="125" t="e">
        <f t="shared" ca="1" si="203"/>
        <v>#REF!</v>
      </c>
      <c r="T741" s="125" t="e">
        <f t="shared" ca="1" si="198"/>
        <v>#REF!</v>
      </c>
      <c r="U741" s="128" t="e">
        <f t="shared" ca="1" si="204"/>
        <v>#REF!</v>
      </c>
      <c r="AC741">
        <v>734</v>
      </c>
      <c r="AD741" s="6">
        <f t="shared" ca="1" si="199"/>
        <v>30437</v>
      </c>
      <c r="AE741" s="7" t="e">
        <f t="shared" ca="1" si="205"/>
        <v>#REF!</v>
      </c>
      <c r="AF741" s="125" t="e">
        <f t="shared" ca="1" si="206"/>
        <v>#REF!</v>
      </c>
      <c r="AG741" s="125" t="e">
        <f t="shared" ca="1" si="200"/>
        <v>#REF!</v>
      </c>
      <c r="AH741" s="128" t="e">
        <f t="shared" ca="1" si="207"/>
        <v>#REF!</v>
      </c>
    </row>
    <row r="742" spans="4:34">
      <c r="D742">
        <v>735</v>
      </c>
      <c r="E742" s="6">
        <f t="shared" ca="1" si="192"/>
        <v>30407</v>
      </c>
      <c r="F742" s="7">
        <f t="shared" ca="1" si="201"/>
        <v>0</v>
      </c>
      <c r="G742" s="125">
        <f t="shared" ca="1" si="193"/>
        <v>0</v>
      </c>
      <c r="H742" s="125">
        <f ca="1">IF(F742=1,F742*$B$10/MIN(12,'Simulador - 3º Pilar'!$E$88),0)</f>
        <v>0</v>
      </c>
      <c r="I742" s="128">
        <f t="shared" ca="1" si="194"/>
        <v>0</v>
      </c>
      <c r="J742" s="494">
        <f t="shared" ca="1" si="195"/>
        <v>0</v>
      </c>
      <c r="K742" s="126">
        <f t="shared" ca="1" si="196"/>
        <v>0</v>
      </c>
      <c r="L742" s="126">
        <f t="shared" ca="1" si="208"/>
        <v>0</v>
      </c>
      <c r="P742">
        <v>735</v>
      </c>
      <c r="Q742" s="6">
        <f t="shared" ca="1" si="197"/>
        <v>30407</v>
      </c>
      <c r="R742" s="7" t="e">
        <f t="shared" ca="1" si="202"/>
        <v>#REF!</v>
      </c>
      <c r="S742" s="125" t="e">
        <f t="shared" ca="1" si="203"/>
        <v>#REF!</v>
      </c>
      <c r="T742" s="125" t="e">
        <f t="shared" ca="1" si="198"/>
        <v>#REF!</v>
      </c>
      <c r="U742" s="128" t="e">
        <f t="shared" ca="1" si="204"/>
        <v>#REF!</v>
      </c>
      <c r="AC742">
        <v>735</v>
      </c>
      <c r="AD742" s="6">
        <f t="shared" ca="1" si="199"/>
        <v>30407</v>
      </c>
      <c r="AE742" s="7" t="e">
        <f t="shared" ca="1" si="205"/>
        <v>#REF!</v>
      </c>
      <c r="AF742" s="125" t="e">
        <f t="shared" ca="1" si="206"/>
        <v>#REF!</v>
      </c>
      <c r="AG742" s="125" t="e">
        <f t="shared" ca="1" si="200"/>
        <v>#REF!</v>
      </c>
      <c r="AH742" s="128" t="e">
        <f t="shared" ca="1" si="207"/>
        <v>#REF!</v>
      </c>
    </row>
    <row r="743" spans="4:34">
      <c r="D743">
        <v>736</v>
      </c>
      <c r="E743" s="6">
        <f t="shared" ca="1" si="192"/>
        <v>30376</v>
      </c>
      <c r="F743" s="7">
        <f t="shared" ca="1" si="201"/>
        <v>0</v>
      </c>
      <c r="G743" s="125">
        <f t="shared" ca="1" si="193"/>
        <v>0</v>
      </c>
      <c r="H743" s="125">
        <f ca="1">IF(F743=1,F743*$B$10/MIN(12,'Simulador - 3º Pilar'!$E$88),0)</f>
        <v>0</v>
      </c>
      <c r="I743" s="128">
        <f t="shared" ca="1" si="194"/>
        <v>0</v>
      </c>
      <c r="J743" s="494">
        <f t="shared" ca="1" si="195"/>
        <v>0</v>
      </c>
      <c r="K743" s="126">
        <f t="shared" ca="1" si="196"/>
        <v>0</v>
      </c>
      <c r="L743" s="126">
        <f t="shared" ca="1" si="208"/>
        <v>0</v>
      </c>
      <c r="P743">
        <v>736</v>
      </c>
      <c r="Q743" s="6">
        <f t="shared" ca="1" si="197"/>
        <v>30376</v>
      </c>
      <c r="R743" s="7" t="e">
        <f t="shared" ca="1" si="202"/>
        <v>#REF!</v>
      </c>
      <c r="S743" s="125" t="e">
        <f t="shared" ca="1" si="203"/>
        <v>#REF!</v>
      </c>
      <c r="T743" s="125" t="e">
        <f t="shared" ca="1" si="198"/>
        <v>#REF!</v>
      </c>
      <c r="U743" s="128" t="e">
        <f t="shared" ca="1" si="204"/>
        <v>#REF!</v>
      </c>
      <c r="AC743">
        <v>736</v>
      </c>
      <c r="AD743" s="6">
        <f t="shared" ca="1" si="199"/>
        <v>30376</v>
      </c>
      <c r="AE743" s="7" t="e">
        <f t="shared" ca="1" si="205"/>
        <v>#REF!</v>
      </c>
      <c r="AF743" s="125" t="e">
        <f t="shared" ca="1" si="206"/>
        <v>#REF!</v>
      </c>
      <c r="AG743" s="125" t="e">
        <f t="shared" ca="1" si="200"/>
        <v>#REF!</v>
      </c>
      <c r="AH743" s="128" t="e">
        <f t="shared" ca="1" si="207"/>
        <v>#REF!</v>
      </c>
    </row>
    <row r="744" spans="4:34">
      <c r="D744">
        <v>737</v>
      </c>
      <c r="E744" s="6">
        <f t="shared" ca="1" si="192"/>
        <v>30348</v>
      </c>
      <c r="F744" s="7">
        <f t="shared" ca="1" si="201"/>
        <v>0</v>
      </c>
      <c r="G744" s="125">
        <f t="shared" ca="1" si="193"/>
        <v>0</v>
      </c>
      <c r="H744" s="125">
        <f ca="1">IF(F744=1,F744*$B$10/MIN(12,'Simulador - 3º Pilar'!$E$88),0)</f>
        <v>0</v>
      </c>
      <c r="I744" s="128">
        <f t="shared" ca="1" si="194"/>
        <v>0</v>
      </c>
      <c r="J744" s="494">
        <f t="shared" ca="1" si="195"/>
        <v>0</v>
      </c>
      <c r="K744" s="126">
        <f t="shared" ca="1" si="196"/>
        <v>0</v>
      </c>
      <c r="L744" s="126">
        <f t="shared" ca="1" si="208"/>
        <v>0</v>
      </c>
      <c r="P744">
        <v>737</v>
      </c>
      <c r="Q744" s="6">
        <f t="shared" ca="1" si="197"/>
        <v>30348</v>
      </c>
      <c r="R744" s="7" t="e">
        <f t="shared" ca="1" si="202"/>
        <v>#REF!</v>
      </c>
      <c r="S744" s="125" t="e">
        <f t="shared" ca="1" si="203"/>
        <v>#REF!</v>
      </c>
      <c r="T744" s="125" t="e">
        <f t="shared" ca="1" si="198"/>
        <v>#REF!</v>
      </c>
      <c r="U744" s="128" t="e">
        <f t="shared" ca="1" si="204"/>
        <v>#REF!</v>
      </c>
      <c r="AC744">
        <v>737</v>
      </c>
      <c r="AD744" s="6">
        <f t="shared" ca="1" si="199"/>
        <v>30348</v>
      </c>
      <c r="AE744" s="7" t="e">
        <f t="shared" ca="1" si="205"/>
        <v>#REF!</v>
      </c>
      <c r="AF744" s="125" t="e">
        <f t="shared" ca="1" si="206"/>
        <v>#REF!</v>
      </c>
      <c r="AG744" s="125" t="e">
        <f t="shared" ca="1" si="200"/>
        <v>#REF!</v>
      </c>
      <c r="AH744" s="128" t="e">
        <f t="shared" ca="1" si="207"/>
        <v>#REF!</v>
      </c>
    </row>
    <row r="745" spans="4:34">
      <c r="D745">
        <v>738</v>
      </c>
      <c r="E745" s="6">
        <f t="shared" ca="1" si="192"/>
        <v>30317</v>
      </c>
      <c r="F745" s="7">
        <f t="shared" ca="1" si="201"/>
        <v>0</v>
      </c>
      <c r="G745" s="125">
        <f t="shared" ca="1" si="193"/>
        <v>0</v>
      </c>
      <c r="H745" s="125">
        <f ca="1">IF(F745=1,F745*$B$10/MIN(12,'Simulador - 3º Pilar'!$E$88),0)</f>
        <v>0</v>
      </c>
      <c r="I745" s="128">
        <f t="shared" ca="1" si="194"/>
        <v>0</v>
      </c>
      <c r="J745" s="494">
        <f t="shared" ca="1" si="195"/>
        <v>0</v>
      </c>
      <c r="K745" s="126">
        <f t="shared" ca="1" si="196"/>
        <v>0</v>
      </c>
      <c r="L745" s="126">
        <f t="shared" ca="1" si="208"/>
        <v>0</v>
      </c>
      <c r="P745">
        <v>738</v>
      </c>
      <c r="Q745" s="6">
        <f t="shared" ca="1" si="197"/>
        <v>30317</v>
      </c>
      <c r="R745" s="7" t="e">
        <f t="shared" ca="1" si="202"/>
        <v>#REF!</v>
      </c>
      <c r="S745" s="125" t="e">
        <f t="shared" ca="1" si="203"/>
        <v>#REF!</v>
      </c>
      <c r="T745" s="125" t="e">
        <f t="shared" ca="1" si="198"/>
        <v>#REF!</v>
      </c>
      <c r="U745" s="128" t="e">
        <f t="shared" ca="1" si="204"/>
        <v>#REF!</v>
      </c>
      <c r="AC745">
        <v>738</v>
      </c>
      <c r="AD745" s="6">
        <f t="shared" ca="1" si="199"/>
        <v>30317</v>
      </c>
      <c r="AE745" s="7" t="e">
        <f t="shared" ca="1" si="205"/>
        <v>#REF!</v>
      </c>
      <c r="AF745" s="125" t="e">
        <f t="shared" ca="1" si="206"/>
        <v>#REF!</v>
      </c>
      <c r="AG745" s="125" t="e">
        <f t="shared" ca="1" si="200"/>
        <v>#REF!</v>
      </c>
      <c r="AH745" s="128" t="e">
        <f t="shared" ca="1" si="207"/>
        <v>#REF!</v>
      </c>
    </row>
    <row r="746" spans="4:34">
      <c r="D746">
        <v>739</v>
      </c>
      <c r="E746" s="6">
        <f t="shared" ca="1" si="192"/>
        <v>30286</v>
      </c>
      <c r="F746" s="7">
        <f t="shared" ca="1" si="201"/>
        <v>0</v>
      </c>
      <c r="G746" s="125">
        <f t="shared" ca="1" si="193"/>
        <v>0</v>
      </c>
      <c r="H746" s="125">
        <f ca="1">IF(F746=1,F746*$B$10/MIN(12,'Simulador - 3º Pilar'!$E$88),0)</f>
        <v>0</v>
      </c>
      <c r="I746" s="128">
        <f t="shared" ca="1" si="194"/>
        <v>0</v>
      </c>
      <c r="J746" s="494">
        <f t="shared" ca="1" si="195"/>
        <v>0</v>
      </c>
      <c r="K746" s="126">
        <f t="shared" ca="1" si="196"/>
        <v>0</v>
      </c>
      <c r="L746" s="126">
        <f t="shared" ca="1" si="208"/>
        <v>0</v>
      </c>
      <c r="P746">
        <v>739</v>
      </c>
      <c r="Q746" s="6">
        <f t="shared" ca="1" si="197"/>
        <v>30286</v>
      </c>
      <c r="R746" s="7" t="e">
        <f t="shared" ca="1" si="202"/>
        <v>#REF!</v>
      </c>
      <c r="S746" s="125" t="e">
        <f t="shared" ca="1" si="203"/>
        <v>#REF!</v>
      </c>
      <c r="T746" s="125" t="e">
        <f t="shared" ca="1" si="198"/>
        <v>#REF!</v>
      </c>
      <c r="U746" s="128" t="e">
        <f t="shared" ca="1" si="204"/>
        <v>#REF!</v>
      </c>
      <c r="AC746">
        <v>739</v>
      </c>
      <c r="AD746" s="6">
        <f t="shared" ca="1" si="199"/>
        <v>30286</v>
      </c>
      <c r="AE746" s="7" t="e">
        <f t="shared" ca="1" si="205"/>
        <v>#REF!</v>
      </c>
      <c r="AF746" s="125" t="e">
        <f t="shared" ca="1" si="206"/>
        <v>#REF!</v>
      </c>
      <c r="AG746" s="125" t="e">
        <f t="shared" ca="1" si="200"/>
        <v>#REF!</v>
      </c>
      <c r="AH746" s="128" t="e">
        <f t="shared" ca="1" si="207"/>
        <v>#REF!</v>
      </c>
    </row>
    <row r="747" spans="4:34">
      <c r="D747">
        <v>740</v>
      </c>
      <c r="E747" s="6">
        <f t="shared" ca="1" si="192"/>
        <v>30256</v>
      </c>
      <c r="F747" s="7">
        <f t="shared" ca="1" si="201"/>
        <v>0</v>
      </c>
      <c r="G747" s="125">
        <f t="shared" ca="1" si="193"/>
        <v>0</v>
      </c>
      <c r="H747" s="125">
        <f ca="1">IF(F747=1,F747*$B$10/MIN(12,'Simulador - 3º Pilar'!$E$88),0)</f>
        <v>0</v>
      </c>
      <c r="I747" s="128">
        <f t="shared" ca="1" si="194"/>
        <v>0</v>
      </c>
      <c r="J747" s="494">
        <f t="shared" ca="1" si="195"/>
        <v>0</v>
      </c>
      <c r="K747" s="126">
        <f t="shared" ca="1" si="196"/>
        <v>0</v>
      </c>
      <c r="L747" s="126">
        <f t="shared" ca="1" si="208"/>
        <v>0</v>
      </c>
      <c r="P747">
        <v>740</v>
      </c>
      <c r="Q747" s="6">
        <f t="shared" ca="1" si="197"/>
        <v>30256</v>
      </c>
      <c r="R747" s="7" t="e">
        <f t="shared" ca="1" si="202"/>
        <v>#REF!</v>
      </c>
      <c r="S747" s="125" t="e">
        <f t="shared" ca="1" si="203"/>
        <v>#REF!</v>
      </c>
      <c r="T747" s="125" t="e">
        <f t="shared" ca="1" si="198"/>
        <v>#REF!</v>
      </c>
      <c r="U747" s="128" t="e">
        <f t="shared" ca="1" si="204"/>
        <v>#REF!</v>
      </c>
      <c r="AC747">
        <v>740</v>
      </c>
      <c r="AD747" s="6">
        <f t="shared" ca="1" si="199"/>
        <v>30256</v>
      </c>
      <c r="AE747" s="7" t="e">
        <f t="shared" ca="1" si="205"/>
        <v>#REF!</v>
      </c>
      <c r="AF747" s="125" t="e">
        <f t="shared" ca="1" si="206"/>
        <v>#REF!</v>
      </c>
      <c r="AG747" s="125" t="e">
        <f t="shared" ca="1" si="200"/>
        <v>#REF!</v>
      </c>
      <c r="AH747" s="128" t="e">
        <f t="shared" ca="1" si="207"/>
        <v>#REF!</v>
      </c>
    </row>
    <row r="748" spans="4:34">
      <c r="D748">
        <v>741</v>
      </c>
      <c r="E748" s="6">
        <f t="shared" ca="1" si="192"/>
        <v>30225</v>
      </c>
      <c r="F748" s="7">
        <f t="shared" ca="1" si="201"/>
        <v>0</v>
      </c>
      <c r="G748" s="125">
        <f t="shared" ca="1" si="193"/>
        <v>0</v>
      </c>
      <c r="H748" s="125">
        <f ca="1">IF(F748=1,F748*$B$10/MIN(12,'Simulador - 3º Pilar'!$E$88),0)</f>
        <v>0</v>
      </c>
      <c r="I748" s="128">
        <f t="shared" ca="1" si="194"/>
        <v>0</v>
      </c>
      <c r="J748" s="494">
        <f t="shared" ca="1" si="195"/>
        <v>0</v>
      </c>
      <c r="K748" s="126">
        <f t="shared" ca="1" si="196"/>
        <v>0</v>
      </c>
      <c r="L748" s="126">
        <f t="shared" ca="1" si="208"/>
        <v>0</v>
      </c>
      <c r="P748">
        <v>741</v>
      </c>
      <c r="Q748" s="6">
        <f t="shared" ca="1" si="197"/>
        <v>30225</v>
      </c>
      <c r="R748" s="7" t="e">
        <f t="shared" ca="1" si="202"/>
        <v>#REF!</v>
      </c>
      <c r="S748" s="125" t="e">
        <f t="shared" ca="1" si="203"/>
        <v>#REF!</v>
      </c>
      <c r="T748" s="125" t="e">
        <f t="shared" ca="1" si="198"/>
        <v>#REF!</v>
      </c>
      <c r="U748" s="128" t="e">
        <f t="shared" ca="1" si="204"/>
        <v>#REF!</v>
      </c>
      <c r="AC748">
        <v>741</v>
      </c>
      <c r="AD748" s="6">
        <f t="shared" ca="1" si="199"/>
        <v>30225</v>
      </c>
      <c r="AE748" s="7" t="e">
        <f t="shared" ca="1" si="205"/>
        <v>#REF!</v>
      </c>
      <c r="AF748" s="125" t="e">
        <f t="shared" ca="1" si="206"/>
        <v>#REF!</v>
      </c>
      <c r="AG748" s="125" t="e">
        <f t="shared" ca="1" si="200"/>
        <v>#REF!</v>
      </c>
      <c r="AH748" s="128" t="e">
        <f t="shared" ca="1" si="207"/>
        <v>#REF!</v>
      </c>
    </row>
    <row r="749" spans="4:34">
      <c r="D749">
        <v>742</v>
      </c>
      <c r="E749" s="6">
        <f t="shared" ca="1" si="192"/>
        <v>30195</v>
      </c>
      <c r="F749" s="7">
        <f t="shared" ca="1" si="201"/>
        <v>0</v>
      </c>
      <c r="G749" s="125">
        <f t="shared" ca="1" si="193"/>
        <v>0</v>
      </c>
      <c r="H749" s="125">
        <f ca="1">IF(F749=1,F749*$B$10/MIN(12,'Simulador - 3º Pilar'!$E$88),0)</f>
        <v>0</v>
      </c>
      <c r="I749" s="128">
        <f t="shared" ca="1" si="194"/>
        <v>0</v>
      </c>
      <c r="J749" s="494">
        <f t="shared" ca="1" si="195"/>
        <v>0</v>
      </c>
      <c r="K749" s="126">
        <f t="shared" ca="1" si="196"/>
        <v>0</v>
      </c>
      <c r="L749" s="126">
        <f t="shared" ca="1" si="208"/>
        <v>0</v>
      </c>
      <c r="P749">
        <v>742</v>
      </c>
      <c r="Q749" s="6">
        <f t="shared" ca="1" si="197"/>
        <v>30195</v>
      </c>
      <c r="R749" s="7" t="e">
        <f t="shared" ca="1" si="202"/>
        <v>#REF!</v>
      </c>
      <c r="S749" s="125" t="e">
        <f t="shared" ca="1" si="203"/>
        <v>#REF!</v>
      </c>
      <c r="T749" s="125" t="e">
        <f t="shared" ca="1" si="198"/>
        <v>#REF!</v>
      </c>
      <c r="U749" s="128" t="e">
        <f t="shared" ca="1" si="204"/>
        <v>#REF!</v>
      </c>
      <c r="AC749">
        <v>742</v>
      </c>
      <c r="AD749" s="6">
        <f t="shared" ca="1" si="199"/>
        <v>30195</v>
      </c>
      <c r="AE749" s="7" t="e">
        <f t="shared" ca="1" si="205"/>
        <v>#REF!</v>
      </c>
      <c r="AF749" s="125" t="e">
        <f t="shared" ca="1" si="206"/>
        <v>#REF!</v>
      </c>
      <c r="AG749" s="125" t="e">
        <f t="shared" ca="1" si="200"/>
        <v>#REF!</v>
      </c>
      <c r="AH749" s="128" t="e">
        <f t="shared" ca="1" si="207"/>
        <v>#REF!</v>
      </c>
    </row>
    <row r="750" spans="4:34">
      <c r="D750">
        <v>743</v>
      </c>
      <c r="E750" s="6">
        <f t="shared" ca="1" si="192"/>
        <v>30164</v>
      </c>
      <c r="F750" s="7">
        <f t="shared" ca="1" si="201"/>
        <v>0</v>
      </c>
      <c r="G750" s="125">
        <f t="shared" ca="1" si="193"/>
        <v>0</v>
      </c>
      <c r="H750" s="125">
        <f ca="1">IF(F750=1,F750*$B$10/MIN(12,'Simulador - 3º Pilar'!$E$88),0)</f>
        <v>0</v>
      </c>
      <c r="I750" s="128">
        <f t="shared" ca="1" si="194"/>
        <v>0</v>
      </c>
      <c r="J750" s="494">
        <f t="shared" ca="1" si="195"/>
        <v>0</v>
      </c>
      <c r="K750" s="126">
        <f t="shared" ca="1" si="196"/>
        <v>0</v>
      </c>
      <c r="L750" s="126">
        <f t="shared" ca="1" si="208"/>
        <v>0</v>
      </c>
      <c r="P750">
        <v>743</v>
      </c>
      <c r="Q750" s="6">
        <f t="shared" ca="1" si="197"/>
        <v>30164</v>
      </c>
      <c r="R750" s="7" t="e">
        <f t="shared" ca="1" si="202"/>
        <v>#REF!</v>
      </c>
      <c r="S750" s="125" t="e">
        <f t="shared" ca="1" si="203"/>
        <v>#REF!</v>
      </c>
      <c r="T750" s="125" t="e">
        <f t="shared" ca="1" si="198"/>
        <v>#REF!</v>
      </c>
      <c r="U750" s="128" t="e">
        <f t="shared" ca="1" si="204"/>
        <v>#REF!</v>
      </c>
      <c r="AC750">
        <v>743</v>
      </c>
      <c r="AD750" s="6">
        <f t="shared" ca="1" si="199"/>
        <v>30164</v>
      </c>
      <c r="AE750" s="7" t="e">
        <f t="shared" ca="1" si="205"/>
        <v>#REF!</v>
      </c>
      <c r="AF750" s="125" t="e">
        <f t="shared" ca="1" si="206"/>
        <v>#REF!</v>
      </c>
      <c r="AG750" s="125" t="e">
        <f t="shared" ca="1" si="200"/>
        <v>#REF!</v>
      </c>
      <c r="AH750" s="128" t="e">
        <f t="shared" ca="1" si="207"/>
        <v>#REF!</v>
      </c>
    </row>
    <row r="751" spans="4:34">
      <c r="D751">
        <v>744</v>
      </c>
      <c r="E751" s="6">
        <f t="shared" ca="1" si="192"/>
        <v>30133</v>
      </c>
      <c r="F751" s="7">
        <f t="shared" ca="1" si="201"/>
        <v>0</v>
      </c>
      <c r="G751" s="125">
        <f t="shared" ca="1" si="193"/>
        <v>0</v>
      </c>
      <c r="H751" s="125">
        <f ca="1">IF(F751=1,F751*$B$10/MIN(12,'Simulador - 3º Pilar'!$E$88),0)</f>
        <v>0</v>
      </c>
      <c r="I751" s="128">
        <f t="shared" ca="1" si="194"/>
        <v>0</v>
      </c>
      <c r="J751" s="494">
        <f t="shared" ca="1" si="195"/>
        <v>0</v>
      </c>
      <c r="K751" s="126">
        <f t="shared" ca="1" si="196"/>
        <v>0</v>
      </c>
      <c r="L751" s="126">
        <f t="shared" ca="1" si="208"/>
        <v>0</v>
      </c>
      <c r="P751">
        <v>744</v>
      </c>
      <c r="Q751" s="6">
        <f t="shared" ca="1" si="197"/>
        <v>30133</v>
      </c>
      <c r="R751" s="7" t="e">
        <f t="shared" ca="1" si="202"/>
        <v>#REF!</v>
      </c>
      <c r="S751" s="125" t="e">
        <f t="shared" ca="1" si="203"/>
        <v>#REF!</v>
      </c>
      <c r="T751" s="125" t="e">
        <f t="shared" ca="1" si="198"/>
        <v>#REF!</v>
      </c>
      <c r="U751" s="128" t="e">
        <f t="shared" ca="1" si="204"/>
        <v>#REF!</v>
      </c>
      <c r="AC751">
        <v>744</v>
      </c>
      <c r="AD751" s="6">
        <f t="shared" ca="1" si="199"/>
        <v>30133</v>
      </c>
      <c r="AE751" s="7" t="e">
        <f t="shared" ca="1" si="205"/>
        <v>#REF!</v>
      </c>
      <c r="AF751" s="125" t="e">
        <f t="shared" ca="1" si="206"/>
        <v>#REF!</v>
      </c>
      <c r="AG751" s="125" t="e">
        <f t="shared" ca="1" si="200"/>
        <v>#REF!</v>
      </c>
      <c r="AH751" s="128" t="e">
        <f t="shared" ca="1" si="207"/>
        <v>#REF!</v>
      </c>
    </row>
    <row r="752" spans="4:34">
      <c r="D752">
        <v>745</v>
      </c>
      <c r="E752" s="6">
        <f t="shared" ca="1" si="192"/>
        <v>30103</v>
      </c>
      <c r="F752" s="7">
        <f t="shared" ca="1" si="201"/>
        <v>0</v>
      </c>
      <c r="G752" s="125">
        <f t="shared" ca="1" si="193"/>
        <v>0</v>
      </c>
      <c r="H752" s="125">
        <f ca="1">IF(F752=1,F752*$B$10/MIN(12,'Simulador - 3º Pilar'!$E$88),0)</f>
        <v>0</v>
      </c>
      <c r="I752" s="128">
        <f t="shared" ca="1" si="194"/>
        <v>0</v>
      </c>
      <c r="J752" s="494">
        <f t="shared" ca="1" si="195"/>
        <v>0</v>
      </c>
      <c r="K752" s="126">
        <f t="shared" ca="1" si="196"/>
        <v>0</v>
      </c>
      <c r="L752" s="126">
        <f t="shared" ca="1" si="208"/>
        <v>0</v>
      </c>
      <c r="P752">
        <v>745</v>
      </c>
      <c r="Q752" s="6">
        <f t="shared" ca="1" si="197"/>
        <v>30103</v>
      </c>
      <c r="R752" s="7" t="e">
        <f t="shared" ca="1" si="202"/>
        <v>#REF!</v>
      </c>
      <c r="S752" s="125" t="e">
        <f t="shared" ca="1" si="203"/>
        <v>#REF!</v>
      </c>
      <c r="T752" s="125" t="e">
        <f t="shared" ca="1" si="198"/>
        <v>#REF!</v>
      </c>
      <c r="U752" s="128" t="e">
        <f t="shared" ca="1" si="204"/>
        <v>#REF!</v>
      </c>
      <c r="AC752">
        <v>745</v>
      </c>
      <c r="AD752" s="6">
        <f t="shared" ca="1" si="199"/>
        <v>30103</v>
      </c>
      <c r="AE752" s="7" t="e">
        <f t="shared" ca="1" si="205"/>
        <v>#REF!</v>
      </c>
      <c r="AF752" s="125" t="e">
        <f t="shared" ca="1" si="206"/>
        <v>#REF!</v>
      </c>
      <c r="AG752" s="125" t="e">
        <f t="shared" ca="1" si="200"/>
        <v>#REF!</v>
      </c>
      <c r="AH752" s="128" t="e">
        <f t="shared" ca="1" si="207"/>
        <v>#REF!</v>
      </c>
    </row>
    <row r="753" spans="4:34">
      <c r="D753">
        <v>746</v>
      </c>
      <c r="E753" s="6">
        <f t="shared" ca="1" si="192"/>
        <v>30072</v>
      </c>
      <c r="F753" s="7">
        <f t="shared" ca="1" si="201"/>
        <v>0</v>
      </c>
      <c r="G753" s="125">
        <f t="shared" ca="1" si="193"/>
        <v>0</v>
      </c>
      <c r="H753" s="125">
        <f ca="1">IF(F753=1,F753*$B$10/MIN(12,'Simulador - 3º Pilar'!$E$88),0)</f>
        <v>0</v>
      </c>
      <c r="I753" s="128">
        <f t="shared" ca="1" si="194"/>
        <v>0</v>
      </c>
      <c r="J753" s="494">
        <f t="shared" ca="1" si="195"/>
        <v>0</v>
      </c>
      <c r="K753" s="126">
        <f t="shared" ca="1" si="196"/>
        <v>0</v>
      </c>
      <c r="L753" s="126">
        <f t="shared" ca="1" si="208"/>
        <v>0</v>
      </c>
      <c r="P753">
        <v>746</v>
      </c>
      <c r="Q753" s="6">
        <f t="shared" ca="1" si="197"/>
        <v>30072</v>
      </c>
      <c r="R753" s="7" t="e">
        <f t="shared" ca="1" si="202"/>
        <v>#REF!</v>
      </c>
      <c r="S753" s="125" t="e">
        <f t="shared" ca="1" si="203"/>
        <v>#REF!</v>
      </c>
      <c r="T753" s="125" t="e">
        <f t="shared" ca="1" si="198"/>
        <v>#REF!</v>
      </c>
      <c r="U753" s="128" t="e">
        <f t="shared" ca="1" si="204"/>
        <v>#REF!</v>
      </c>
      <c r="AC753">
        <v>746</v>
      </c>
      <c r="AD753" s="6">
        <f t="shared" ca="1" si="199"/>
        <v>30072</v>
      </c>
      <c r="AE753" s="7" t="e">
        <f t="shared" ca="1" si="205"/>
        <v>#REF!</v>
      </c>
      <c r="AF753" s="125" t="e">
        <f t="shared" ca="1" si="206"/>
        <v>#REF!</v>
      </c>
      <c r="AG753" s="125" t="e">
        <f t="shared" ca="1" si="200"/>
        <v>#REF!</v>
      </c>
      <c r="AH753" s="128" t="e">
        <f t="shared" ca="1" si="207"/>
        <v>#REF!</v>
      </c>
    </row>
    <row r="754" spans="4:34">
      <c r="D754">
        <v>747</v>
      </c>
      <c r="E754" s="6">
        <f t="shared" ca="1" si="192"/>
        <v>30042</v>
      </c>
      <c r="F754" s="7">
        <f t="shared" ca="1" si="201"/>
        <v>0</v>
      </c>
      <c r="G754" s="125">
        <f t="shared" ca="1" si="193"/>
        <v>0</v>
      </c>
      <c r="H754" s="125">
        <f ca="1">IF(F754=1,F754*$B$10/MIN(12,'Simulador - 3º Pilar'!$E$88),0)</f>
        <v>0</v>
      </c>
      <c r="I754" s="128">
        <f t="shared" ca="1" si="194"/>
        <v>0</v>
      </c>
      <c r="J754" s="494">
        <f t="shared" ca="1" si="195"/>
        <v>0</v>
      </c>
      <c r="K754" s="126">
        <f t="shared" ca="1" si="196"/>
        <v>0</v>
      </c>
      <c r="L754" s="126">
        <f t="shared" ca="1" si="208"/>
        <v>0</v>
      </c>
      <c r="P754">
        <v>747</v>
      </c>
      <c r="Q754" s="6">
        <f t="shared" ca="1" si="197"/>
        <v>30042</v>
      </c>
      <c r="R754" s="7" t="e">
        <f t="shared" ca="1" si="202"/>
        <v>#REF!</v>
      </c>
      <c r="S754" s="125" t="e">
        <f t="shared" ca="1" si="203"/>
        <v>#REF!</v>
      </c>
      <c r="T754" s="125" t="e">
        <f t="shared" ca="1" si="198"/>
        <v>#REF!</v>
      </c>
      <c r="U754" s="128" t="e">
        <f t="shared" ca="1" si="204"/>
        <v>#REF!</v>
      </c>
      <c r="AC754">
        <v>747</v>
      </c>
      <c r="AD754" s="6">
        <f t="shared" ca="1" si="199"/>
        <v>30042</v>
      </c>
      <c r="AE754" s="7" t="e">
        <f t="shared" ca="1" si="205"/>
        <v>#REF!</v>
      </c>
      <c r="AF754" s="125" t="e">
        <f t="shared" ca="1" si="206"/>
        <v>#REF!</v>
      </c>
      <c r="AG754" s="125" t="e">
        <f t="shared" ca="1" si="200"/>
        <v>#REF!</v>
      </c>
      <c r="AH754" s="128" t="e">
        <f t="shared" ca="1" si="207"/>
        <v>#REF!</v>
      </c>
    </row>
    <row r="755" spans="4:34">
      <c r="D755">
        <v>748</v>
      </c>
      <c r="E755" s="6">
        <f t="shared" ca="1" si="192"/>
        <v>30011</v>
      </c>
      <c r="F755" s="7">
        <f t="shared" ca="1" si="201"/>
        <v>0</v>
      </c>
      <c r="G755" s="125">
        <f t="shared" ca="1" si="193"/>
        <v>0</v>
      </c>
      <c r="H755" s="125">
        <f ca="1">IF(F755=1,F755*$B$10/MIN(12,'Simulador - 3º Pilar'!$E$88),0)</f>
        <v>0</v>
      </c>
      <c r="I755" s="128">
        <f t="shared" ca="1" si="194"/>
        <v>0</v>
      </c>
      <c r="J755" s="494">
        <f t="shared" ca="1" si="195"/>
        <v>0</v>
      </c>
      <c r="K755" s="126">
        <f t="shared" ca="1" si="196"/>
        <v>0</v>
      </c>
      <c r="L755" s="126">
        <f t="shared" ca="1" si="208"/>
        <v>0</v>
      </c>
      <c r="P755">
        <v>748</v>
      </c>
      <c r="Q755" s="6">
        <f t="shared" ca="1" si="197"/>
        <v>30011</v>
      </c>
      <c r="R755" s="7" t="e">
        <f t="shared" ca="1" si="202"/>
        <v>#REF!</v>
      </c>
      <c r="S755" s="125" t="e">
        <f t="shared" ca="1" si="203"/>
        <v>#REF!</v>
      </c>
      <c r="T755" s="125" t="e">
        <f t="shared" ca="1" si="198"/>
        <v>#REF!</v>
      </c>
      <c r="U755" s="128" t="e">
        <f t="shared" ca="1" si="204"/>
        <v>#REF!</v>
      </c>
      <c r="AC755">
        <v>748</v>
      </c>
      <c r="AD755" s="6">
        <f t="shared" ca="1" si="199"/>
        <v>30011</v>
      </c>
      <c r="AE755" s="7" t="e">
        <f t="shared" ca="1" si="205"/>
        <v>#REF!</v>
      </c>
      <c r="AF755" s="125" t="e">
        <f t="shared" ca="1" si="206"/>
        <v>#REF!</v>
      </c>
      <c r="AG755" s="125" t="e">
        <f t="shared" ca="1" si="200"/>
        <v>#REF!</v>
      </c>
      <c r="AH755" s="128" t="e">
        <f t="shared" ca="1" si="207"/>
        <v>#REF!</v>
      </c>
    </row>
    <row r="756" spans="4:34">
      <c r="D756">
        <v>749</v>
      </c>
      <c r="E756" s="6">
        <f t="shared" ca="1" si="192"/>
        <v>29983</v>
      </c>
      <c r="F756" s="7">
        <f t="shared" ca="1" si="201"/>
        <v>0</v>
      </c>
      <c r="G756" s="125">
        <f t="shared" ca="1" si="193"/>
        <v>0</v>
      </c>
      <c r="H756" s="125">
        <f ca="1">IF(F756=1,F756*$B$10/MIN(12,'Simulador - 3º Pilar'!$E$88),0)</f>
        <v>0</v>
      </c>
      <c r="I756" s="128">
        <f t="shared" ca="1" si="194"/>
        <v>0</v>
      </c>
      <c r="J756" s="494">
        <f t="shared" ca="1" si="195"/>
        <v>0</v>
      </c>
      <c r="K756" s="126">
        <f t="shared" ca="1" si="196"/>
        <v>0</v>
      </c>
      <c r="L756" s="126">
        <f t="shared" ca="1" si="208"/>
        <v>0</v>
      </c>
      <c r="P756">
        <v>749</v>
      </c>
      <c r="Q756" s="6">
        <f t="shared" ca="1" si="197"/>
        <v>29983</v>
      </c>
      <c r="R756" s="7" t="e">
        <f t="shared" ca="1" si="202"/>
        <v>#REF!</v>
      </c>
      <c r="S756" s="125" t="e">
        <f t="shared" ca="1" si="203"/>
        <v>#REF!</v>
      </c>
      <c r="T756" s="125" t="e">
        <f t="shared" ca="1" si="198"/>
        <v>#REF!</v>
      </c>
      <c r="U756" s="128" t="e">
        <f t="shared" ca="1" si="204"/>
        <v>#REF!</v>
      </c>
      <c r="AC756">
        <v>749</v>
      </c>
      <c r="AD756" s="6">
        <f t="shared" ca="1" si="199"/>
        <v>29983</v>
      </c>
      <c r="AE756" s="7" t="e">
        <f t="shared" ca="1" si="205"/>
        <v>#REF!</v>
      </c>
      <c r="AF756" s="125" t="e">
        <f t="shared" ca="1" si="206"/>
        <v>#REF!</v>
      </c>
      <c r="AG756" s="125" t="e">
        <f t="shared" ca="1" si="200"/>
        <v>#REF!</v>
      </c>
      <c r="AH756" s="128" t="e">
        <f t="shared" ca="1" si="207"/>
        <v>#REF!</v>
      </c>
    </row>
    <row r="757" spans="4:34">
      <c r="D757">
        <v>750</v>
      </c>
      <c r="E757" s="6">
        <f t="shared" ca="1" si="192"/>
        <v>29952</v>
      </c>
      <c r="F757" s="7">
        <f t="shared" ca="1" si="201"/>
        <v>0</v>
      </c>
      <c r="G757" s="125">
        <f t="shared" ca="1" si="193"/>
        <v>0</v>
      </c>
      <c r="H757" s="125">
        <f ca="1">IF(F757=1,F757*$B$10/MIN(12,'Simulador - 3º Pilar'!$E$88),0)</f>
        <v>0</v>
      </c>
      <c r="I757" s="128">
        <f t="shared" ca="1" si="194"/>
        <v>0</v>
      </c>
      <c r="J757" s="494">
        <f t="shared" ca="1" si="195"/>
        <v>0</v>
      </c>
      <c r="K757" s="126">
        <f t="shared" ca="1" si="196"/>
        <v>0</v>
      </c>
      <c r="L757" s="126">
        <f t="shared" ca="1" si="208"/>
        <v>0</v>
      </c>
      <c r="P757">
        <v>750</v>
      </c>
      <c r="Q757" s="6">
        <f t="shared" ca="1" si="197"/>
        <v>29952</v>
      </c>
      <c r="R757" s="7" t="e">
        <f t="shared" ca="1" si="202"/>
        <v>#REF!</v>
      </c>
      <c r="S757" s="125" t="e">
        <f t="shared" ca="1" si="203"/>
        <v>#REF!</v>
      </c>
      <c r="T757" s="125" t="e">
        <f t="shared" ca="1" si="198"/>
        <v>#REF!</v>
      </c>
      <c r="U757" s="128" t="e">
        <f t="shared" ca="1" si="204"/>
        <v>#REF!</v>
      </c>
      <c r="AC757">
        <v>750</v>
      </c>
      <c r="AD757" s="6">
        <f t="shared" ca="1" si="199"/>
        <v>29952</v>
      </c>
      <c r="AE757" s="7" t="e">
        <f t="shared" ca="1" si="205"/>
        <v>#REF!</v>
      </c>
      <c r="AF757" s="125" t="e">
        <f t="shared" ca="1" si="206"/>
        <v>#REF!</v>
      </c>
      <c r="AG757" s="125" t="e">
        <f t="shared" ca="1" si="200"/>
        <v>#REF!</v>
      </c>
      <c r="AH757" s="128" t="e">
        <f t="shared" ca="1" si="207"/>
        <v>#REF!</v>
      </c>
    </row>
    <row r="758" spans="4:34">
      <c r="D758">
        <v>751</v>
      </c>
      <c r="E758" s="6">
        <f t="shared" ca="1" si="192"/>
        <v>29921</v>
      </c>
      <c r="F758" s="7">
        <f t="shared" ca="1" si="201"/>
        <v>0</v>
      </c>
      <c r="G758" s="125">
        <f t="shared" ca="1" si="193"/>
        <v>0</v>
      </c>
      <c r="H758" s="125">
        <f ca="1">IF(F758=1,F758*$B$10/MIN(12,'Simulador - 3º Pilar'!$E$88),0)</f>
        <v>0</v>
      </c>
      <c r="I758" s="128">
        <f t="shared" ca="1" si="194"/>
        <v>0</v>
      </c>
      <c r="J758" s="494">
        <f t="shared" ca="1" si="195"/>
        <v>0</v>
      </c>
      <c r="K758" s="126">
        <f t="shared" ca="1" si="196"/>
        <v>0</v>
      </c>
      <c r="L758" s="126">
        <f t="shared" ca="1" si="208"/>
        <v>0</v>
      </c>
      <c r="P758">
        <v>751</v>
      </c>
      <c r="Q758" s="6">
        <f t="shared" ca="1" si="197"/>
        <v>29921</v>
      </c>
      <c r="R758" s="7" t="e">
        <f t="shared" ca="1" si="202"/>
        <v>#REF!</v>
      </c>
      <c r="S758" s="125" t="e">
        <f t="shared" ca="1" si="203"/>
        <v>#REF!</v>
      </c>
      <c r="T758" s="125" t="e">
        <f t="shared" ca="1" si="198"/>
        <v>#REF!</v>
      </c>
      <c r="U758" s="128" t="e">
        <f t="shared" ca="1" si="204"/>
        <v>#REF!</v>
      </c>
      <c r="AC758">
        <v>751</v>
      </c>
      <c r="AD758" s="6">
        <f t="shared" ca="1" si="199"/>
        <v>29921</v>
      </c>
      <c r="AE758" s="7" t="e">
        <f t="shared" ca="1" si="205"/>
        <v>#REF!</v>
      </c>
      <c r="AF758" s="125" t="e">
        <f t="shared" ca="1" si="206"/>
        <v>#REF!</v>
      </c>
      <c r="AG758" s="125" t="e">
        <f t="shared" ca="1" si="200"/>
        <v>#REF!</v>
      </c>
      <c r="AH758" s="128" t="e">
        <f t="shared" ca="1" si="207"/>
        <v>#REF!</v>
      </c>
    </row>
    <row r="759" spans="4:34">
      <c r="D759">
        <v>752</v>
      </c>
      <c r="E759" s="6">
        <f t="shared" ca="1" si="192"/>
        <v>29891</v>
      </c>
      <c r="F759" s="7">
        <f t="shared" ca="1" si="201"/>
        <v>0</v>
      </c>
      <c r="G759" s="125">
        <f t="shared" ca="1" si="193"/>
        <v>0</v>
      </c>
      <c r="H759" s="125">
        <f ca="1">IF(F759=1,F759*$B$10/MIN(12,'Simulador - 3º Pilar'!$E$88),0)</f>
        <v>0</v>
      </c>
      <c r="I759" s="128">
        <f t="shared" ca="1" si="194"/>
        <v>0</v>
      </c>
      <c r="J759" s="494">
        <f t="shared" ca="1" si="195"/>
        <v>0</v>
      </c>
      <c r="K759" s="126">
        <f t="shared" ca="1" si="196"/>
        <v>0</v>
      </c>
      <c r="L759" s="126">
        <f t="shared" ca="1" si="208"/>
        <v>0</v>
      </c>
      <c r="P759">
        <v>752</v>
      </c>
      <c r="Q759" s="6">
        <f t="shared" ca="1" si="197"/>
        <v>29891</v>
      </c>
      <c r="R759" s="7" t="e">
        <f t="shared" ca="1" si="202"/>
        <v>#REF!</v>
      </c>
      <c r="S759" s="125" t="e">
        <f t="shared" ca="1" si="203"/>
        <v>#REF!</v>
      </c>
      <c r="T759" s="125" t="e">
        <f t="shared" ca="1" si="198"/>
        <v>#REF!</v>
      </c>
      <c r="U759" s="128" t="e">
        <f t="shared" ca="1" si="204"/>
        <v>#REF!</v>
      </c>
      <c r="AC759">
        <v>752</v>
      </c>
      <c r="AD759" s="6">
        <f t="shared" ca="1" si="199"/>
        <v>29891</v>
      </c>
      <c r="AE759" s="7" t="e">
        <f t="shared" ca="1" si="205"/>
        <v>#REF!</v>
      </c>
      <c r="AF759" s="125" t="e">
        <f t="shared" ca="1" si="206"/>
        <v>#REF!</v>
      </c>
      <c r="AG759" s="125" t="e">
        <f t="shared" ca="1" si="200"/>
        <v>#REF!</v>
      </c>
      <c r="AH759" s="128" t="e">
        <f t="shared" ca="1" si="207"/>
        <v>#REF!</v>
      </c>
    </row>
    <row r="760" spans="4:34">
      <c r="D760">
        <v>753</v>
      </c>
      <c r="E760" s="6">
        <f t="shared" ca="1" si="192"/>
        <v>29860</v>
      </c>
      <c r="F760" s="7">
        <f t="shared" ca="1" si="201"/>
        <v>0</v>
      </c>
      <c r="G760" s="125">
        <f t="shared" ca="1" si="193"/>
        <v>0</v>
      </c>
      <c r="H760" s="125">
        <f ca="1">IF(F760=1,F760*$B$10/MIN(12,'Simulador - 3º Pilar'!$E$88),0)</f>
        <v>0</v>
      </c>
      <c r="I760" s="128">
        <f t="shared" ca="1" si="194"/>
        <v>0</v>
      </c>
      <c r="J760" s="494">
        <f t="shared" ca="1" si="195"/>
        <v>0</v>
      </c>
      <c r="K760" s="126">
        <f t="shared" ca="1" si="196"/>
        <v>0</v>
      </c>
      <c r="L760" s="126">
        <f t="shared" ca="1" si="208"/>
        <v>0</v>
      </c>
      <c r="P760">
        <v>753</v>
      </c>
      <c r="Q760" s="6">
        <f t="shared" ca="1" si="197"/>
        <v>29860</v>
      </c>
      <c r="R760" s="7" t="e">
        <f t="shared" ca="1" si="202"/>
        <v>#REF!</v>
      </c>
      <c r="S760" s="125" t="e">
        <f t="shared" ca="1" si="203"/>
        <v>#REF!</v>
      </c>
      <c r="T760" s="125" t="e">
        <f t="shared" ca="1" si="198"/>
        <v>#REF!</v>
      </c>
      <c r="U760" s="128" t="e">
        <f t="shared" ca="1" si="204"/>
        <v>#REF!</v>
      </c>
      <c r="AC760">
        <v>753</v>
      </c>
      <c r="AD760" s="6">
        <f t="shared" ca="1" si="199"/>
        <v>29860</v>
      </c>
      <c r="AE760" s="7" t="e">
        <f t="shared" ca="1" si="205"/>
        <v>#REF!</v>
      </c>
      <c r="AF760" s="125" t="e">
        <f t="shared" ca="1" si="206"/>
        <v>#REF!</v>
      </c>
      <c r="AG760" s="125" t="e">
        <f t="shared" ca="1" si="200"/>
        <v>#REF!</v>
      </c>
      <c r="AH760" s="128" t="e">
        <f t="shared" ca="1" si="207"/>
        <v>#REF!</v>
      </c>
    </row>
    <row r="761" spans="4:34">
      <c r="D761">
        <v>754</v>
      </c>
      <c r="E761" s="6">
        <f t="shared" ca="1" si="192"/>
        <v>29830</v>
      </c>
      <c r="F761" s="7">
        <f t="shared" ca="1" si="201"/>
        <v>0</v>
      </c>
      <c r="G761" s="125">
        <f t="shared" ca="1" si="193"/>
        <v>0</v>
      </c>
      <c r="H761" s="125">
        <f ca="1">IF(F761=1,F761*$B$10/MIN(12,'Simulador - 3º Pilar'!$E$88),0)</f>
        <v>0</v>
      </c>
      <c r="I761" s="128">
        <f t="shared" ca="1" si="194"/>
        <v>0</v>
      </c>
      <c r="J761" s="494">
        <f t="shared" ca="1" si="195"/>
        <v>0</v>
      </c>
      <c r="K761" s="126">
        <f t="shared" ca="1" si="196"/>
        <v>0</v>
      </c>
      <c r="L761" s="126">
        <f t="shared" ca="1" si="208"/>
        <v>0</v>
      </c>
      <c r="P761">
        <v>754</v>
      </c>
      <c r="Q761" s="6">
        <f t="shared" ca="1" si="197"/>
        <v>29830</v>
      </c>
      <c r="R761" s="7" t="e">
        <f t="shared" ca="1" si="202"/>
        <v>#REF!</v>
      </c>
      <c r="S761" s="125" t="e">
        <f t="shared" ca="1" si="203"/>
        <v>#REF!</v>
      </c>
      <c r="T761" s="125" t="e">
        <f t="shared" ca="1" si="198"/>
        <v>#REF!</v>
      </c>
      <c r="U761" s="128" t="e">
        <f t="shared" ca="1" si="204"/>
        <v>#REF!</v>
      </c>
      <c r="AC761">
        <v>754</v>
      </c>
      <c r="AD761" s="6">
        <f t="shared" ca="1" si="199"/>
        <v>29830</v>
      </c>
      <c r="AE761" s="7" t="e">
        <f t="shared" ca="1" si="205"/>
        <v>#REF!</v>
      </c>
      <c r="AF761" s="125" t="e">
        <f t="shared" ca="1" si="206"/>
        <v>#REF!</v>
      </c>
      <c r="AG761" s="125" t="e">
        <f t="shared" ca="1" si="200"/>
        <v>#REF!</v>
      </c>
      <c r="AH761" s="128" t="e">
        <f t="shared" ca="1" si="207"/>
        <v>#REF!</v>
      </c>
    </row>
    <row r="762" spans="4:34">
      <c r="D762">
        <v>755</v>
      </c>
      <c r="E762" s="6">
        <f t="shared" ca="1" si="192"/>
        <v>29799</v>
      </c>
      <c r="F762" s="7">
        <f t="shared" ca="1" si="201"/>
        <v>0</v>
      </c>
      <c r="G762" s="125">
        <f t="shared" ca="1" si="193"/>
        <v>0</v>
      </c>
      <c r="H762" s="125">
        <f ca="1">IF(F762=1,F762*$B$10/MIN(12,'Simulador - 3º Pilar'!$E$88),0)</f>
        <v>0</v>
      </c>
      <c r="I762" s="128">
        <f t="shared" ca="1" si="194"/>
        <v>0</v>
      </c>
      <c r="J762" s="494">
        <f t="shared" ca="1" si="195"/>
        <v>0</v>
      </c>
      <c r="K762" s="126">
        <f t="shared" ca="1" si="196"/>
        <v>0</v>
      </c>
      <c r="L762" s="126">
        <f t="shared" ca="1" si="208"/>
        <v>0</v>
      </c>
      <c r="P762">
        <v>755</v>
      </c>
      <c r="Q762" s="6">
        <f t="shared" ca="1" si="197"/>
        <v>29799</v>
      </c>
      <c r="R762" s="7" t="e">
        <f t="shared" ca="1" si="202"/>
        <v>#REF!</v>
      </c>
      <c r="S762" s="125" t="e">
        <f t="shared" ca="1" si="203"/>
        <v>#REF!</v>
      </c>
      <c r="T762" s="125" t="e">
        <f t="shared" ca="1" si="198"/>
        <v>#REF!</v>
      </c>
      <c r="U762" s="128" t="e">
        <f t="shared" ca="1" si="204"/>
        <v>#REF!</v>
      </c>
      <c r="AC762">
        <v>755</v>
      </c>
      <c r="AD762" s="6">
        <f t="shared" ca="1" si="199"/>
        <v>29799</v>
      </c>
      <c r="AE762" s="7" t="e">
        <f t="shared" ca="1" si="205"/>
        <v>#REF!</v>
      </c>
      <c r="AF762" s="125" t="e">
        <f t="shared" ca="1" si="206"/>
        <v>#REF!</v>
      </c>
      <c r="AG762" s="125" t="e">
        <f t="shared" ca="1" si="200"/>
        <v>#REF!</v>
      </c>
      <c r="AH762" s="128" t="e">
        <f t="shared" ca="1" si="207"/>
        <v>#REF!</v>
      </c>
    </row>
    <row r="763" spans="4:34">
      <c r="D763">
        <v>756</v>
      </c>
      <c r="E763" s="6">
        <f t="shared" ca="1" si="192"/>
        <v>29768</v>
      </c>
      <c r="F763" s="7">
        <f t="shared" ca="1" si="201"/>
        <v>0</v>
      </c>
      <c r="G763" s="125">
        <f t="shared" ca="1" si="193"/>
        <v>0</v>
      </c>
      <c r="H763" s="125">
        <f ca="1">IF(F763=1,F763*$B$10/MIN(12,'Simulador - 3º Pilar'!$E$88),0)</f>
        <v>0</v>
      </c>
      <c r="I763" s="128">
        <f t="shared" ca="1" si="194"/>
        <v>0</v>
      </c>
      <c r="J763" s="494">
        <f t="shared" ca="1" si="195"/>
        <v>0</v>
      </c>
      <c r="K763" s="126">
        <f t="shared" ca="1" si="196"/>
        <v>0</v>
      </c>
      <c r="L763" s="126">
        <f t="shared" ca="1" si="208"/>
        <v>0</v>
      </c>
      <c r="P763">
        <v>756</v>
      </c>
      <c r="Q763" s="6">
        <f t="shared" ca="1" si="197"/>
        <v>29768</v>
      </c>
      <c r="R763" s="7" t="e">
        <f t="shared" ca="1" si="202"/>
        <v>#REF!</v>
      </c>
      <c r="S763" s="125" t="e">
        <f t="shared" ca="1" si="203"/>
        <v>#REF!</v>
      </c>
      <c r="T763" s="125" t="e">
        <f t="shared" ca="1" si="198"/>
        <v>#REF!</v>
      </c>
      <c r="U763" s="128" t="e">
        <f t="shared" ca="1" si="204"/>
        <v>#REF!</v>
      </c>
      <c r="AC763">
        <v>756</v>
      </c>
      <c r="AD763" s="6">
        <f t="shared" ca="1" si="199"/>
        <v>29768</v>
      </c>
      <c r="AE763" s="7" t="e">
        <f t="shared" ca="1" si="205"/>
        <v>#REF!</v>
      </c>
      <c r="AF763" s="125" t="e">
        <f t="shared" ca="1" si="206"/>
        <v>#REF!</v>
      </c>
      <c r="AG763" s="125" t="e">
        <f t="shared" ca="1" si="200"/>
        <v>#REF!</v>
      </c>
      <c r="AH763" s="128" t="e">
        <f t="shared" ca="1" si="207"/>
        <v>#REF!</v>
      </c>
    </row>
    <row r="764" spans="4:34">
      <c r="D764">
        <v>757</v>
      </c>
      <c r="E764" s="6">
        <f t="shared" ca="1" si="192"/>
        <v>29738</v>
      </c>
      <c r="F764" s="7">
        <f t="shared" ca="1" si="201"/>
        <v>0</v>
      </c>
      <c r="G764" s="125">
        <f t="shared" ca="1" si="193"/>
        <v>0</v>
      </c>
      <c r="H764" s="125">
        <f ca="1">IF(F764=1,F764*$B$10/MIN(12,'Simulador - 3º Pilar'!$E$88),0)</f>
        <v>0</v>
      </c>
      <c r="I764" s="128">
        <f t="shared" ca="1" si="194"/>
        <v>0</v>
      </c>
      <c r="J764" s="494">
        <f t="shared" ca="1" si="195"/>
        <v>0</v>
      </c>
      <c r="K764" s="126">
        <f t="shared" ca="1" si="196"/>
        <v>0</v>
      </c>
      <c r="L764" s="126">
        <f t="shared" ca="1" si="208"/>
        <v>0</v>
      </c>
      <c r="P764">
        <v>757</v>
      </c>
      <c r="Q764" s="6">
        <f t="shared" ca="1" si="197"/>
        <v>29738</v>
      </c>
      <c r="R764" s="7" t="e">
        <f t="shared" ca="1" si="202"/>
        <v>#REF!</v>
      </c>
      <c r="S764" s="125" t="e">
        <f t="shared" ca="1" si="203"/>
        <v>#REF!</v>
      </c>
      <c r="T764" s="125" t="e">
        <f t="shared" ca="1" si="198"/>
        <v>#REF!</v>
      </c>
      <c r="U764" s="128" t="e">
        <f t="shared" ca="1" si="204"/>
        <v>#REF!</v>
      </c>
      <c r="AC764">
        <v>757</v>
      </c>
      <c r="AD764" s="6">
        <f t="shared" ca="1" si="199"/>
        <v>29738</v>
      </c>
      <c r="AE764" s="7" t="e">
        <f t="shared" ca="1" si="205"/>
        <v>#REF!</v>
      </c>
      <c r="AF764" s="125" t="e">
        <f t="shared" ca="1" si="206"/>
        <v>#REF!</v>
      </c>
      <c r="AG764" s="125" t="e">
        <f t="shared" ca="1" si="200"/>
        <v>#REF!</v>
      </c>
      <c r="AH764" s="128" t="e">
        <f t="shared" ca="1" si="207"/>
        <v>#REF!</v>
      </c>
    </row>
    <row r="765" spans="4:34">
      <c r="D765">
        <v>758</v>
      </c>
      <c r="E765" s="6">
        <f t="shared" ca="1" si="192"/>
        <v>29707</v>
      </c>
      <c r="F765" s="7">
        <f t="shared" ca="1" si="201"/>
        <v>0</v>
      </c>
      <c r="G765" s="125">
        <f t="shared" ca="1" si="193"/>
        <v>0</v>
      </c>
      <c r="H765" s="125">
        <f ca="1">IF(F765=1,F765*$B$10/MIN(12,'Simulador - 3º Pilar'!$E$88),0)</f>
        <v>0</v>
      </c>
      <c r="I765" s="128">
        <f t="shared" ca="1" si="194"/>
        <v>0</v>
      </c>
      <c r="J765" s="494">
        <f t="shared" ca="1" si="195"/>
        <v>0</v>
      </c>
      <c r="K765" s="126">
        <f t="shared" ca="1" si="196"/>
        <v>0</v>
      </c>
      <c r="L765" s="126">
        <f t="shared" ca="1" si="208"/>
        <v>0</v>
      </c>
      <c r="P765">
        <v>758</v>
      </c>
      <c r="Q765" s="6">
        <f t="shared" ca="1" si="197"/>
        <v>29707</v>
      </c>
      <c r="R765" s="7" t="e">
        <f t="shared" ca="1" si="202"/>
        <v>#REF!</v>
      </c>
      <c r="S765" s="125" t="e">
        <f t="shared" ca="1" si="203"/>
        <v>#REF!</v>
      </c>
      <c r="T765" s="125" t="e">
        <f t="shared" ca="1" si="198"/>
        <v>#REF!</v>
      </c>
      <c r="U765" s="128" t="e">
        <f t="shared" ca="1" si="204"/>
        <v>#REF!</v>
      </c>
      <c r="AC765">
        <v>758</v>
      </c>
      <c r="AD765" s="6">
        <f t="shared" ca="1" si="199"/>
        <v>29707</v>
      </c>
      <c r="AE765" s="7" t="e">
        <f t="shared" ca="1" si="205"/>
        <v>#REF!</v>
      </c>
      <c r="AF765" s="125" t="e">
        <f t="shared" ca="1" si="206"/>
        <v>#REF!</v>
      </c>
      <c r="AG765" s="125" t="e">
        <f t="shared" ca="1" si="200"/>
        <v>#REF!</v>
      </c>
      <c r="AH765" s="128" t="e">
        <f t="shared" ca="1" si="207"/>
        <v>#REF!</v>
      </c>
    </row>
    <row r="766" spans="4:34">
      <c r="D766">
        <v>759</v>
      </c>
      <c r="E766" s="6">
        <f t="shared" ca="1" si="192"/>
        <v>29677</v>
      </c>
      <c r="F766" s="7">
        <f t="shared" ca="1" si="201"/>
        <v>0</v>
      </c>
      <c r="G766" s="125">
        <f t="shared" ca="1" si="193"/>
        <v>0</v>
      </c>
      <c r="H766" s="125">
        <f ca="1">IF(F766=1,F766*$B$10/MIN(12,'Simulador - 3º Pilar'!$E$88),0)</f>
        <v>0</v>
      </c>
      <c r="I766" s="128">
        <f t="shared" ca="1" si="194"/>
        <v>0</v>
      </c>
      <c r="J766" s="494">
        <f t="shared" ca="1" si="195"/>
        <v>0</v>
      </c>
      <c r="K766" s="126">
        <f t="shared" ca="1" si="196"/>
        <v>0</v>
      </c>
      <c r="L766" s="126">
        <f t="shared" ca="1" si="208"/>
        <v>0</v>
      </c>
      <c r="P766">
        <v>759</v>
      </c>
      <c r="Q766" s="6">
        <f t="shared" ca="1" si="197"/>
        <v>29677</v>
      </c>
      <c r="R766" s="7" t="e">
        <f t="shared" ca="1" si="202"/>
        <v>#REF!</v>
      </c>
      <c r="S766" s="125" t="e">
        <f t="shared" ca="1" si="203"/>
        <v>#REF!</v>
      </c>
      <c r="T766" s="125" t="e">
        <f t="shared" ca="1" si="198"/>
        <v>#REF!</v>
      </c>
      <c r="U766" s="128" t="e">
        <f t="shared" ca="1" si="204"/>
        <v>#REF!</v>
      </c>
      <c r="AC766">
        <v>759</v>
      </c>
      <c r="AD766" s="6">
        <f t="shared" ca="1" si="199"/>
        <v>29677</v>
      </c>
      <c r="AE766" s="7" t="e">
        <f t="shared" ca="1" si="205"/>
        <v>#REF!</v>
      </c>
      <c r="AF766" s="125" t="e">
        <f t="shared" ca="1" si="206"/>
        <v>#REF!</v>
      </c>
      <c r="AG766" s="125" t="e">
        <f t="shared" ca="1" si="200"/>
        <v>#REF!</v>
      </c>
      <c r="AH766" s="128" t="e">
        <f t="shared" ca="1" si="207"/>
        <v>#REF!</v>
      </c>
    </row>
    <row r="767" spans="4:34">
      <c r="D767">
        <v>760</v>
      </c>
      <c r="E767" s="6">
        <f t="shared" ca="1" si="192"/>
        <v>29646</v>
      </c>
      <c r="F767" s="7">
        <f t="shared" ca="1" si="201"/>
        <v>0</v>
      </c>
      <c r="G767" s="125">
        <f t="shared" ca="1" si="193"/>
        <v>0</v>
      </c>
      <c r="H767" s="125">
        <f ca="1">IF(F767=1,F767*$B$10/MIN(12,'Simulador - 3º Pilar'!$E$88),0)</f>
        <v>0</v>
      </c>
      <c r="I767" s="128">
        <f t="shared" ca="1" si="194"/>
        <v>0</v>
      </c>
      <c r="J767" s="494">
        <f t="shared" ca="1" si="195"/>
        <v>0</v>
      </c>
      <c r="K767" s="126">
        <f t="shared" ca="1" si="196"/>
        <v>0</v>
      </c>
      <c r="L767" s="126">
        <f t="shared" ca="1" si="208"/>
        <v>0</v>
      </c>
      <c r="P767">
        <v>760</v>
      </c>
      <c r="Q767" s="6">
        <f t="shared" ca="1" si="197"/>
        <v>29646</v>
      </c>
      <c r="R767" s="7" t="e">
        <f t="shared" ca="1" si="202"/>
        <v>#REF!</v>
      </c>
      <c r="S767" s="125" t="e">
        <f t="shared" ca="1" si="203"/>
        <v>#REF!</v>
      </c>
      <c r="T767" s="125" t="e">
        <f t="shared" ca="1" si="198"/>
        <v>#REF!</v>
      </c>
      <c r="U767" s="128" t="e">
        <f t="shared" ca="1" si="204"/>
        <v>#REF!</v>
      </c>
      <c r="AC767">
        <v>760</v>
      </c>
      <c r="AD767" s="6">
        <f t="shared" ca="1" si="199"/>
        <v>29646</v>
      </c>
      <c r="AE767" s="7" t="e">
        <f t="shared" ca="1" si="205"/>
        <v>#REF!</v>
      </c>
      <c r="AF767" s="125" t="e">
        <f t="shared" ca="1" si="206"/>
        <v>#REF!</v>
      </c>
      <c r="AG767" s="125" t="e">
        <f t="shared" ca="1" si="200"/>
        <v>#REF!</v>
      </c>
      <c r="AH767" s="128" t="e">
        <f t="shared" ca="1" si="207"/>
        <v>#REF!</v>
      </c>
    </row>
    <row r="768" spans="4:34">
      <c r="D768">
        <v>761</v>
      </c>
      <c r="E768" s="6">
        <f t="shared" ca="1" si="192"/>
        <v>29618</v>
      </c>
      <c r="F768" s="7">
        <f t="shared" ca="1" si="201"/>
        <v>0</v>
      </c>
      <c r="G768" s="125">
        <f t="shared" ca="1" si="193"/>
        <v>0</v>
      </c>
      <c r="H768" s="125">
        <f ca="1">IF(F768=1,F768*$B$10/MIN(12,'Simulador - 3º Pilar'!$E$88),0)</f>
        <v>0</v>
      </c>
      <c r="I768" s="128">
        <f t="shared" ca="1" si="194"/>
        <v>0</v>
      </c>
      <c r="J768" s="494">
        <f t="shared" ca="1" si="195"/>
        <v>0</v>
      </c>
      <c r="K768" s="126">
        <f t="shared" ca="1" si="196"/>
        <v>0</v>
      </c>
      <c r="L768" s="126">
        <f t="shared" ca="1" si="208"/>
        <v>0</v>
      </c>
      <c r="P768">
        <v>761</v>
      </c>
      <c r="Q768" s="6">
        <f t="shared" ca="1" si="197"/>
        <v>29618</v>
      </c>
      <c r="R768" s="7" t="e">
        <f t="shared" ca="1" si="202"/>
        <v>#REF!</v>
      </c>
      <c r="S768" s="125" t="e">
        <f t="shared" ca="1" si="203"/>
        <v>#REF!</v>
      </c>
      <c r="T768" s="125" t="e">
        <f t="shared" ca="1" si="198"/>
        <v>#REF!</v>
      </c>
      <c r="U768" s="128" t="e">
        <f t="shared" ca="1" si="204"/>
        <v>#REF!</v>
      </c>
      <c r="AC768">
        <v>761</v>
      </c>
      <c r="AD768" s="6">
        <f t="shared" ca="1" si="199"/>
        <v>29618</v>
      </c>
      <c r="AE768" s="7" t="e">
        <f t="shared" ca="1" si="205"/>
        <v>#REF!</v>
      </c>
      <c r="AF768" s="125" t="e">
        <f t="shared" ca="1" si="206"/>
        <v>#REF!</v>
      </c>
      <c r="AG768" s="125" t="e">
        <f t="shared" ca="1" si="200"/>
        <v>#REF!</v>
      </c>
      <c r="AH768" s="128" t="e">
        <f t="shared" ca="1" si="207"/>
        <v>#REF!</v>
      </c>
    </row>
    <row r="769" spans="4:34">
      <c r="D769">
        <v>762</v>
      </c>
      <c r="E769" s="6">
        <f t="shared" ca="1" si="192"/>
        <v>29587</v>
      </c>
      <c r="F769" s="7">
        <f t="shared" ca="1" si="201"/>
        <v>0</v>
      </c>
      <c r="G769" s="125">
        <f t="shared" ca="1" si="193"/>
        <v>0</v>
      </c>
      <c r="H769" s="125">
        <f ca="1">IF(F769=1,F769*$B$10/MIN(12,'Simulador - 3º Pilar'!$E$88),0)</f>
        <v>0</v>
      </c>
      <c r="I769" s="128">
        <f t="shared" ca="1" si="194"/>
        <v>0</v>
      </c>
      <c r="J769" s="494">
        <f t="shared" ca="1" si="195"/>
        <v>0</v>
      </c>
      <c r="K769" s="126">
        <f t="shared" ca="1" si="196"/>
        <v>0</v>
      </c>
      <c r="L769" s="126">
        <f t="shared" ca="1" si="208"/>
        <v>0</v>
      </c>
      <c r="P769">
        <v>762</v>
      </c>
      <c r="Q769" s="6">
        <f t="shared" ca="1" si="197"/>
        <v>29587</v>
      </c>
      <c r="R769" s="7" t="e">
        <f t="shared" ca="1" si="202"/>
        <v>#REF!</v>
      </c>
      <c r="S769" s="125" t="e">
        <f t="shared" ca="1" si="203"/>
        <v>#REF!</v>
      </c>
      <c r="T769" s="125" t="e">
        <f t="shared" ca="1" si="198"/>
        <v>#REF!</v>
      </c>
      <c r="U769" s="128" t="e">
        <f t="shared" ca="1" si="204"/>
        <v>#REF!</v>
      </c>
      <c r="AC769">
        <v>762</v>
      </c>
      <c r="AD769" s="6">
        <f t="shared" ca="1" si="199"/>
        <v>29587</v>
      </c>
      <c r="AE769" s="7" t="e">
        <f t="shared" ca="1" si="205"/>
        <v>#REF!</v>
      </c>
      <c r="AF769" s="125" t="e">
        <f t="shared" ca="1" si="206"/>
        <v>#REF!</v>
      </c>
      <c r="AG769" s="125" t="e">
        <f t="shared" ca="1" si="200"/>
        <v>#REF!</v>
      </c>
      <c r="AH769" s="128" t="e">
        <f t="shared" ca="1" si="207"/>
        <v>#REF!</v>
      </c>
    </row>
    <row r="770" spans="4:34">
      <c r="D770">
        <v>763</v>
      </c>
      <c r="E770" s="6">
        <f t="shared" ca="1" si="192"/>
        <v>29556</v>
      </c>
      <c r="F770" s="7">
        <f t="shared" ca="1" si="201"/>
        <v>0</v>
      </c>
      <c r="G770" s="125">
        <f t="shared" ca="1" si="193"/>
        <v>0</v>
      </c>
      <c r="H770" s="125">
        <f ca="1">IF(F770=1,F770*$B$10/MIN(12,'Simulador - 3º Pilar'!$E$88),0)</f>
        <v>0</v>
      </c>
      <c r="I770" s="128">
        <f t="shared" ca="1" si="194"/>
        <v>0</v>
      </c>
      <c r="J770" s="494">
        <f t="shared" ca="1" si="195"/>
        <v>0</v>
      </c>
      <c r="K770" s="126">
        <f t="shared" ca="1" si="196"/>
        <v>0</v>
      </c>
      <c r="L770" s="126">
        <f t="shared" ca="1" si="208"/>
        <v>0</v>
      </c>
      <c r="P770">
        <v>763</v>
      </c>
      <c r="Q770" s="6">
        <f t="shared" ca="1" si="197"/>
        <v>29556</v>
      </c>
      <c r="R770" s="7" t="e">
        <f t="shared" ca="1" si="202"/>
        <v>#REF!</v>
      </c>
      <c r="S770" s="125" t="e">
        <f t="shared" ca="1" si="203"/>
        <v>#REF!</v>
      </c>
      <c r="T770" s="125" t="e">
        <f t="shared" ca="1" si="198"/>
        <v>#REF!</v>
      </c>
      <c r="U770" s="128" t="e">
        <f t="shared" ca="1" si="204"/>
        <v>#REF!</v>
      </c>
      <c r="AC770">
        <v>763</v>
      </c>
      <c r="AD770" s="6">
        <f t="shared" ca="1" si="199"/>
        <v>29556</v>
      </c>
      <c r="AE770" s="7" t="e">
        <f t="shared" ca="1" si="205"/>
        <v>#REF!</v>
      </c>
      <c r="AF770" s="125" t="e">
        <f t="shared" ca="1" si="206"/>
        <v>#REF!</v>
      </c>
      <c r="AG770" s="125" t="e">
        <f t="shared" ca="1" si="200"/>
        <v>#REF!</v>
      </c>
      <c r="AH770" s="128" t="e">
        <f t="shared" ca="1" si="207"/>
        <v>#REF!</v>
      </c>
    </row>
    <row r="771" spans="4:34">
      <c r="D771">
        <v>764</v>
      </c>
      <c r="E771" s="6">
        <f t="shared" ca="1" si="192"/>
        <v>29526</v>
      </c>
      <c r="F771" s="7">
        <f t="shared" ca="1" si="201"/>
        <v>0</v>
      </c>
      <c r="G771" s="125">
        <f t="shared" ca="1" si="193"/>
        <v>0</v>
      </c>
      <c r="H771" s="125">
        <f ca="1">IF(F771=1,F771*$B$10/MIN(12,'Simulador - 3º Pilar'!$E$88),0)</f>
        <v>0</v>
      </c>
      <c r="I771" s="128">
        <f t="shared" ca="1" si="194"/>
        <v>0</v>
      </c>
      <c r="J771" s="494">
        <f t="shared" ca="1" si="195"/>
        <v>0</v>
      </c>
      <c r="K771" s="126">
        <f t="shared" ca="1" si="196"/>
        <v>0</v>
      </c>
      <c r="L771" s="126">
        <f t="shared" ca="1" si="208"/>
        <v>0</v>
      </c>
      <c r="P771">
        <v>764</v>
      </c>
      <c r="Q771" s="6">
        <f t="shared" ca="1" si="197"/>
        <v>29526</v>
      </c>
      <c r="R771" s="7" t="e">
        <f t="shared" ca="1" si="202"/>
        <v>#REF!</v>
      </c>
      <c r="S771" s="125" t="e">
        <f t="shared" ca="1" si="203"/>
        <v>#REF!</v>
      </c>
      <c r="T771" s="125" t="e">
        <f t="shared" ca="1" si="198"/>
        <v>#REF!</v>
      </c>
      <c r="U771" s="128" t="e">
        <f t="shared" ca="1" si="204"/>
        <v>#REF!</v>
      </c>
      <c r="AC771">
        <v>764</v>
      </c>
      <c r="AD771" s="6">
        <f t="shared" ca="1" si="199"/>
        <v>29526</v>
      </c>
      <c r="AE771" s="7" t="e">
        <f t="shared" ca="1" si="205"/>
        <v>#REF!</v>
      </c>
      <c r="AF771" s="125" t="e">
        <f t="shared" ca="1" si="206"/>
        <v>#REF!</v>
      </c>
      <c r="AG771" s="125" t="e">
        <f t="shared" ca="1" si="200"/>
        <v>#REF!</v>
      </c>
      <c r="AH771" s="128" t="e">
        <f t="shared" ca="1" si="207"/>
        <v>#REF!</v>
      </c>
    </row>
    <row r="772" spans="4:34">
      <c r="D772">
        <v>765</v>
      </c>
      <c r="E772" s="6">
        <f t="shared" ca="1" si="192"/>
        <v>29495</v>
      </c>
      <c r="F772" s="7">
        <f t="shared" ca="1" si="201"/>
        <v>0</v>
      </c>
      <c r="G772" s="125">
        <f t="shared" ca="1" si="193"/>
        <v>0</v>
      </c>
      <c r="H772" s="125">
        <f ca="1">IF(F772=1,F772*$B$10/MIN(12,'Simulador - 3º Pilar'!$E$88),0)</f>
        <v>0</v>
      </c>
      <c r="I772" s="128">
        <f t="shared" ca="1" si="194"/>
        <v>0</v>
      </c>
      <c r="J772" s="494">
        <f t="shared" ca="1" si="195"/>
        <v>0</v>
      </c>
      <c r="K772" s="126">
        <f t="shared" ca="1" si="196"/>
        <v>0</v>
      </c>
      <c r="L772" s="126">
        <f t="shared" ca="1" si="208"/>
        <v>0</v>
      </c>
      <c r="P772">
        <v>765</v>
      </c>
      <c r="Q772" s="6">
        <f t="shared" ca="1" si="197"/>
        <v>29495</v>
      </c>
      <c r="R772" s="7" t="e">
        <f t="shared" ca="1" si="202"/>
        <v>#REF!</v>
      </c>
      <c r="S772" s="125" t="e">
        <f t="shared" ca="1" si="203"/>
        <v>#REF!</v>
      </c>
      <c r="T772" s="125" t="e">
        <f t="shared" ca="1" si="198"/>
        <v>#REF!</v>
      </c>
      <c r="U772" s="128" t="e">
        <f t="shared" ca="1" si="204"/>
        <v>#REF!</v>
      </c>
      <c r="AC772">
        <v>765</v>
      </c>
      <c r="AD772" s="6">
        <f t="shared" ca="1" si="199"/>
        <v>29495</v>
      </c>
      <c r="AE772" s="7" t="e">
        <f t="shared" ca="1" si="205"/>
        <v>#REF!</v>
      </c>
      <c r="AF772" s="125" t="e">
        <f t="shared" ca="1" si="206"/>
        <v>#REF!</v>
      </c>
      <c r="AG772" s="125" t="e">
        <f t="shared" ca="1" si="200"/>
        <v>#REF!</v>
      </c>
      <c r="AH772" s="128" t="e">
        <f t="shared" ca="1" si="207"/>
        <v>#REF!</v>
      </c>
    </row>
    <row r="773" spans="4:34">
      <c r="D773">
        <v>766</v>
      </c>
      <c r="E773" s="6">
        <f t="shared" ca="1" si="192"/>
        <v>29465</v>
      </c>
      <c r="F773" s="7">
        <f t="shared" ca="1" si="201"/>
        <v>0</v>
      </c>
      <c r="G773" s="125">
        <f t="shared" ca="1" si="193"/>
        <v>0</v>
      </c>
      <c r="H773" s="125">
        <f ca="1">IF(F773=1,F773*$B$10/MIN(12,'Simulador - 3º Pilar'!$E$88),0)</f>
        <v>0</v>
      </c>
      <c r="I773" s="128">
        <f t="shared" ca="1" si="194"/>
        <v>0</v>
      </c>
      <c r="J773" s="494">
        <f t="shared" ca="1" si="195"/>
        <v>0</v>
      </c>
      <c r="K773" s="126">
        <f t="shared" ca="1" si="196"/>
        <v>0</v>
      </c>
      <c r="L773" s="126">
        <f t="shared" ca="1" si="208"/>
        <v>0</v>
      </c>
      <c r="P773">
        <v>766</v>
      </c>
      <c r="Q773" s="6">
        <f t="shared" ca="1" si="197"/>
        <v>29465</v>
      </c>
      <c r="R773" s="7" t="e">
        <f t="shared" ca="1" si="202"/>
        <v>#REF!</v>
      </c>
      <c r="S773" s="125" t="e">
        <f t="shared" ca="1" si="203"/>
        <v>#REF!</v>
      </c>
      <c r="T773" s="125" t="e">
        <f t="shared" ca="1" si="198"/>
        <v>#REF!</v>
      </c>
      <c r="U773" s="128" t="e">
        <f t="shared" ca="1" si="204"/>
        <v>#REF!</v>
      </c>
      <c r="AC773">
        <v>766</v>
      </c>
      <c r="AD773" s="6">
        <f t="shared" ca="1" si="199"/>
        <v>29465</v>
      </c>
      <c r="AE773" s="7" t="e">
        <f t="shared" ca="1" si="205"/>
        <v>#REF!</v>
      </c>
      <c r="AF773" s="125" t="e">
        <f t="shared" ca="1" si="206"/>
        <v>#REF!</v>
      </c>
      <c r="AG773" s="125" t="e">
        <f t="shared" ca="1" si="200"/>
        <v>#REF!</v>
      </c>
      <c r="AH773" s="128" t="e">
        <f t="shared" ca="1" si="207"/>
        <v>#REF!</v>
      </c>
    </row>
    <row r="774" spans="4:34">
      <c r="D774">
        <v>767</v>
      </c>
      <c r="E774" s="6">
        <f t="shared" ca="1" si="192"/>
        <v>29434</v>
      </c>
      <c r="F774" s="7">
        <f t="shared" ca="1" si="201"/>
        <v>0</v>
      </c>
      <c r="G774" s="125">
        <f t="shared" ca="1" si="193"/>
        <v>0</v>
      </c>
      <c r="H774" s="125">
        <f ca="1">IF(F774=1,F774*$B$10/MIN(12,'Simulador - 3º Pilar'!$E$88),0)</f>
        <v>0</v>
      </c>
      <c r="I774" s="128">
        <f t="shared" ca="1" si="194"/>
        <v>0</v>
      </c>
      <c r="J774" s="494">
        <f t="shared" ca="1" si="195"/>
        <v>0</v>
      </c>
      <c r="K774" s="126">
        <f t="shared" ca="1" si="196"/>
        <v>0</v>
      </c>
      <c r="L774" s="126">
        <f t="shared" ca="1" si="208"/>
        <v>0</v>
      </c>
      <c r="P774">
        <v>767</v>
      </c>
      <c r="Q774" s="6">
        <f t="shared" ca="1" si="197"/>
        <v>29434</v>
      </c>
      <c r="R774" s="7" t="e">
        <f t="shared" ca="1" si="202"/>
        <v>#REF!</v>
      </c>
      <c r="S774" s="125" t="e">
        <f t="shared" ca="1" si="203"/>
        <v>#REF!</v>
      </c>
      <c r="T774" s="125" t="e">
        <f t="shared" ca="1" si="198"/>
        <v>#REF!</v>
      </c>
      <c r="U774" s="128" t="e">
        <f t="shared" ca="1" si="204"/>
        <v>#REF!</v>
      </c>
      <c r="AC774">
        <v>767</v>
      </c>
      <c r="AD774" s="6">
        <f t="shared" ca="1" si="199"/>
        <v>29434</v>
      </c>
      <c r="AE774" s="7" t="e">
        <f t="shared" ca="1" si="205"/>
        <v>#REF!</v>
      </c>
      <c r="AF774" s="125" t="e">
        <f t="shared" ca="1" si="206"/>
        <v>#REF!</v>
      </c>
      <c r="AG774" s="125" t="e">
        <f t="shared" ca="1" si="200"/>
        <v>#REF!</v>
      </c>
      <c r="AH774" s="128" t="e">
        <f t="shared" ca="1" si="207"/>
        <v>#REF!</v>
      </c>
    </row>
    <row r="775" spans="4:34">
      <c r="D775">
        <v>768</v>
      </c>
      <c r="E775" s="6">
        <f t="shared" ca="1" si="192"/>
        <v>29403</v>
      </c>
      <c r="F775" s="7">
        <f t="shared" ca="1" si="201"/>
        <v>0</v>
      </c>
      <c r="G775" s="125">
        <f t="shared" ca="1" si="193"/>
        <v>0</v>
      </c>
      <c r="H775" s="125">
        <f ca="1">IF(F775=1,F775*$B$10/MIN(12,'Simulador - 3º Pilar'!$E$88),0)</f>
        <v>0</v>
      </c>
      <c r="I775" s="128">
        <f t="shared" ca="1" si="194"/>
        <v>0</v>
      </c>
      <c r="J775" s="494">
        <f t="shared" ca="1" si="195"/>
        <v>0</v>
      </c>
      <c r="K775" s="126">
        <f t="shared" ca="1" si="196"/>
        <v>0</v>
      </c>
      <c r="L775" s="126">
        <f t="shared" ca="1" si="208"/>
        <v>0</v>
      </c>
      <c r="P775">
        <v>768</v>
      </c>
      <c r="Q775" s="6">
        <f t="shared" ca="1" si="197"/>
        <v>29403</v>
      </c>
      <c r="R775" s="7" t="e">
        <f t="shared" ca="1" si="202"/>
        <v>#REF!</v>
      </c>
      <c r="S775" s="125" t="e">
        <f t="shared" ca="1" si="203"/>
        <v>#REF!</v>
      </c>
      <c r="T775" s="125" t="e">
        <f t="shared" ca="1" si="198"/>
        <v>#REF!</v>
      </c>
      <c r="U775" s="128" t="e">
        <f t="shared" ca="1" si="204"/>
        <v>#REF!</v>
      </c>
      <c r="AC775">
        <v>768</v>
      </c>
      <c r="AD775" s="6">
        <f t="shared" ca="1" si="199"/>
        <v>29403</v>
      </c>
      <c r="AE775" s="7" t="e">
        <f t="shared" ca="1" si="205"/>
        <v>#REF!</v>
      </c>
      <c r="AF775" s="125" t="e">
        <f t="shared" ca="1" si="206"/>
        <v>#REF!</v>
      </c>
      <c r="AG775" s="125" t="e">
        <f t="shared" ca="1" si="200"/>
        <v>#REF!</v>
      </c>
      <c r="AH775" s="128" t="e">
        <f t="shared" ca="1" si="207"/>
        <v>#REF!</v>
      </c>
    </row>
    <row r="776" spans="4:34">
      <c r="D776">
        <v>769</v>
      </c>
      <c r="E776" s="6">
        <f t="shared" ref="E776:E839" ca="1" si="209">+DATE(YEAR(E775),MONTH(E775)-1,DAY(E775))</f>
        <v>29373</v>
      </c>
      <c r="F776" s="7">
        <f t="shared" ca="1" si="201"/>
        <v>0</v>
      </c>
      <c r="G776" s="125">
        <f t="shared" ref="G776:G839" ca="1" si="210">F776*$B$8/12</f>
        <v>0</v>
      </c>
      <c r="H776" s="125">
        <f ca="1">IF(F776=1,F776*$B$10/MIN(12,'Simulador - 3º Pilar'!$E$88),0)</f>
        <v>0</v>
      </c>
      <c r="I776" s="128">
        <f t="shared" ref="I776:I839" ca="1" si="211">(1+$G$5)^(D776/12)*(H776+IF(E776=$N$7,$N$4,0))</f>
        <v>0</v>
      </c>
      <c r="J776" s="494">
        <f t="shared" ref="J776:J839" ca="1" si="212">(1+$G$5)^(D776/12)*(H776*(12-IF(MONTH(E777)=12,0,MONTH(E777)))+IF(AND(F776=1,F777=0),$Q$4,0))*IF(AND(F776=1,F777=0),1,0)</f>
        <v>0</v>
      </c>
      <c r="K776" s="126">
        <f t="shared" ref="K776:K839" ca="1" si="213">(1+$G$5)^(D776/12)*(IF(E776=$N$7,$N$4,0)+IF(E776=$C$6,$B$10,0))</f>
        <v>0</v>
      </c>
      <c r="L776" s="126">
        <f t="shared" ca="1" si="208"/>
        <v>0</v>
      </c>
      <c r="P776">
        <v>769</v>
      </c>
      <c r="Q776" s="6">
        <f t="shared" ref="Q776:Q839" ca="1" si="214">+DATE(YEAR(Q775),MONTH(Q775)-1,DAY(Q775))</f>
        <v>29373</v>
      </c>
      <c r="R776" s="7" t="e">
        <f t="shared" ca="1" si="202"/>
        <v>#REF!</v>
      </c>
      <c r="S776" s="125" t="e">
        <f t="shared" ca="1" si="203"/>
        <v>#REF!</v>
      </c>
      <c r="T776" s="125" t="e">
        <f t="shared" ref="T776:T839" ca="1" si="215">R776*$B$11/12</f>
        <v>#REF!</v>
      </c>
      <c r="U776" s="128" t="e">
        <f t="shared" ca="1" si="204"/>
        <v>#REF!</v>
      </c>
      <c r="AC776">
        <v>769</v>
      </c>
      <c r="AD776" s="6">
        <f t="shared" ref="AD776:AD839" ca="1" si="216">+DATE(YEAR(AD775),MONTH(AD775)-1,DAY(AD775))</f>
        <v>29373</v>
      </c>
      <c r="AE776" s="7" t="e">
        <f t="shared" ca="1" si="205"/>
        <v>#REF!</v>
      </c>
      <c r="AF776" s="125" t="e">
        <f t="shared" ca="1" si="206"/>
        <v>#REF!</v>
      </c>
      <c r="AG776" s="125" t="e">
        <f t="shared" ref="AG776:AG839" ca="1" si="217">AE776*$B$12/12</f>
        <v>#REF!</v>
      </c>
      <c r="AH776" s="128" t="e">
        <f t="shared" ca="1" si="207"/>
        <v>#REF!</v>
      </c>
    </row>
    <row r="777" spans="4:34">
      <c r="D777">
        <v>770</v>
      </c>
      <c r="E777" s="6">
        <f t="shared" ca="1" si="209"/>
        <v>29342</v>
      </c>
      <c r="F777" s="7">
        <f t="shared" ref="F777:F840" ca="1" si="218">IF($C$6=$E777,1,IF(MONTH($E777)=1,F778*(1+$F$5),F778))</f>
        <v>0</v>
      </c>
      <c r="G777" s="125">
        <f t="shared" ca="1" si="210"/>
        <v>0</v>
      </c>
      <c r="H777" s="125">
        <f ca="1">IF(F777=1,F777*$B$10/MIN(12,'Simulador - 3º Pilar'!$E$88),0)</f>
        <v>0</v>
      </c>
      <c r="I777" s="128">
        <f t="shared" ca="1" si="211"/>
        <v>0</v>
      </c>
      <c r="J777" s="494">
        <f t="shared" ca="1" si="212"/>
        <v>0</v>
      </c>
      <c r="K777" s="126">
        <f t="shared" ca="1" si="213"/>
        <v>0</v>
      </c>
      <c r="L777" s="126">
        <f t="shared" ca="1" si="208"/>
        <v>0</v>
      </c>
      <c r="P777">
        <v>770</v>
      </c>
      <c r="Q777" s="6">
        <f t="shared" ca="1" si="214"/>
        <v>29342</v>
      </c>
      <c r="R777" s="7" t="e">
        <f t="shared" ref="R777:R840" ca="1" si="219">IF($Z$7=$E777,1,IF(MONTH($E777)=1,R778*(1+$F$5),R778))</f>
        <v>#REF!</v>
      </c>
      <c r="S777" s="125" t="e">
        <f t="shared" ref="S777:S840" ca="1" si="220">R777*$B$8/12</f>
        <v>#REF!</v>
      </c>
      <c r="T777" s="125" t="e">
        <f t="shared" ca="1" si="215"/>
        <v>#REF!</v>
      </c>
      <c r="U777" s="128" t="e">
        <f t="shared" ref="U777:U840" ca="1" si="221">(1+$V$5)^(P777/12)*(T777+IF(Q777=$Z$7,$Z$4,0))</f>
        <v>#REF!</v>
      </c>
      <c r="AC777">
        <v>770</v>
      </c>
      <c r="AD777" s="6">
        <f t="shared" ca="1" si="216"/>
        <v>29342</v>
      </c>
      <c r="AE777" s="7" t="e">
        <f t="shared" ref="AE777:AE840" ca="1" si="222">IF($AM$7=$E777,1,IF(MONTH($E777)=1,AE778*(1+$F$5),AE778))</f>
        <v>#REF!</v>
      </c>
      <c r="AF777" s="125" t="e">
        <f t="shared" ref="AF777:AF840" ca="1" si="223">AE777*$B$8/12</f>
        <v>#REF!</v>
      </c>
      <c r="AG777" s="125" t="e">
        <f t="shared" ca="1" si="217"/>
        <v>#REF!</v>
      </c>
      <c r="AH777" s="128" t="e">
        <f t="shared" ref="AH777:AH840" ca="1" si="224">(1+$AI$5)^(AC777/12)*(AG777+IF(AD777=$AM$7,$AM$4,0))</f>
        <v>#REF!</v>
      </c>
    </row>
    <row r="778" spans="4:34">
      <c r="D778">
        <v>771</v>
      </c>
      <c r="E778" s="6">
        <f t="shared" ca="1" si="209"/>
        <v>29312</v>
      </c>
      <c r="F778" s="7">
        <f t="shared" ca="1" si="218"/>
        <v>0</v>
      </c>
      <c r="G778" s="125">
        <f t="shared" ca="1" si="210"/>
        <v>0</v>
      </c>
      <c r="H778" s="125">
        <f ca="1">IF(F778=1,F778*$B$10/MIN(12,'Simulador - 3º Pilar'!$E$88),0)</f>
        <v>0</v>
      </c>
      <c r="I778" s="128">
        <f t="shared" ca="1" si="211"/>
        <v>0</v>
      </c>
      <c r="J778" s="494">
        <f t="shared" ca="1" si="212"/>
        <v>0</v>
      </c>
      <c r="K778" s="126">
        <f t="shared" ca="1" si="213"/>
        <v>0</v>
      </c>
      <c r="L778" s="126">
        <f t="shared" ca="1" si="208"/>
        <v>0</v>
      </c>
      <c r="P778">
        <v>771</v>
      </c>
      <c r="Q778" s="6">
        <f t="shared" ca="1" si="214"/>
        <v>29312</v>
      </c>
      <c r="R778" s="7" t="e">
        <f t="shared" ca="1" si="219"/>
        <v>#REF!</v>
      </c>
      <c r="S778" s="125" t="e">
        <f t="shared" ca="1" si="220"/>
        <v>#REF!</v>
      </c>
      <c r="T778" s="125" t="e">
        <f t="shared" ca="1" si="215"/>
        <v>#REF!</v>
      </c>
      <c r="U778" s="128" t="e">
        <f t="shared" ca="1" si="221"/>
        <v>#REF!</v>
      </c>
      <c r="AC778">
        <v>771</v>
      </c>
      <c r="AD778" s="6">
        <f t="shared" ca="1" si="216"/>
        <v>29312</v>
      </c>
      <c r="AE778" s="7" t="e">
        <f t="shared" ca="1" si="222"/>
        <v>#REF!</v>
      </c>
      <c r="AF778" s="125" t="e">
        <f t="shared" ca="1" si="223"/>
        <v>#REF!</v>
      </c>
      <c r="AG778" s="125" t="e">
        <f t="shared" ca="1" si="217"/>
        <v>#REF!</v>
      </c>
      <c r="AH778" s="128" t="e">
        <f t="shared" ca="1" si="224"/>
        <v>#REF!</v>
      </c>
    </row>
    <row r="779" spans="4:34">
      <c r="D779">
        <v>772</v>
      </c>
      <c r="E779" s="6">
        <f t="shared" ca="1" si="209"/>
        <v>29281</v>
      </c>
      <c r="F779" s="7">
        <f t="shared" ca="1" si="218"/>
        <v>0</v>
      </c>
      <c r="G779" s="125">
        <f t="shared" ca="1" si="210"/>
        <v>0</v>
      </c>
      <c r="H779" s="125">
        <f ca="1">IF(F779=1,F779*$B$10/MIN(12,'Simulador - 3º Pilar'!$E$88),0)</f>
        <v>0</v>
      </c>
      <c r="I779" s="128">
        <f t="shared" ca="1" si="211"/>
        <v>0</v>
      </c>
      <c r="J779" s="494">
        <f t="shared" ca="1" si="212"/>
        <v>0</v>
      </c>
      <c r="K779" s="126">
        <f t="shared" ca="1" si="213"/>
        <v>0</v>
      </c>
      <c r="L779" s="126">
        <f t="shared" ca="1" si="208"/>
        <v>0</v>
      </c>
      <c r="P779">
        <v>772</v>
      </c>
      <c r="Q779" s="6">
        <f t="shared" ca="1" si="214"/>
        <v>29281</v>
      </c>
      <c r="R779" s="7" t="e">
        <f t="shared" ca="1" si="219"/>
        <v>#REF!</v>
      </c>
      <c r="S779" s="125" t="e">
        <f t="shared" ca="1" si="220"/>
        <v>#REF!</v>
      </c>
      <c r="T779" s="125" t="e">
        <f t="shared" ca="1" si="215"/>
        <v>#REF!</v>
      </c>
      <c r="U779" s="128" t="e">
        <f t="shared" ca="1" si="221"/>
        <v>#REF!</v>
      </c>
      <c r="AC779">
        <v>772</v>
      </c>
      <c r="AD779" s="6">
        <f t="shared" ca="1" si="216"/>
        <v>29281</v>
      </c>
      <c r="AE779" s="7" t="e">
        <f t="shared" ca="1" si="222"/>
        <v>#REF!</v>
      </c>
      <c r="AF779" s="125" t="e">
        <f t="shared" ca="1" si="223"/>
        <v>#REF!</v>
      </c>
      <c r="AG779" s="125" t="e">
        <f t="shared" ca="1" si="217"/>
        <v>#REF!</v>
      </c>
      <c r="AH779" s="128" t="e">
        <f t="shared" ca="1" si="224"/>
        <v>#REF!</v>
      </c>
    </row>
    <row r="780" spans="4:34">
      <c r="D780">
        <v>773</v>
      </c>
      <c r="E780" s="6">
        <f t="shared" ca="1" si="209"/>
        <v>29252</v>
      </c>
      <c r="F780" s="7">
        <f t="shared" ca="1" si="218"/>
        <v>0</v>
      </c>
      <c r="G780" s="125">
        <f t="shared" ca="1" si="210"/>
        <v>0</v>
      </c>
      <c r="H780" s="125">
        <f ca="1">IF(F780=1,F780*$B$10/MIN(12,'Simulador - 3º Pilar'!$E$88),0)</f>
        <v>0</v>
      </c>
      <c r="I780" s="128">
        <f t="shared" ca="1" si="211"/>
        <v>0</v>
      </c>
      <c r="J780" s="494">
        <f t="shared" ca="1" si="212"/>
        <v>0</v>
      </c>
      <c r="K780" s="126">
        <f t="shared" ca="1" si="213"/>
        <v>0</v>
      </c>
      <c r="L780" s="126">
        <f t="shared" ca="1" si="208"/>
        <v>0</v>
      </c>
      <c r="P780">
        <v>773</v>
      </c>
      <c r="Q780" s="6">
        <f t="shared" ca="1" si="214"/>
        <v>29252</v>
      </c>
      <c r="R780" s="7" t="e">
        <f t="shared" ca="1" si="219"/>
        <v>#REF!</v>
      </c>
      <c r="S780" s="125" t="e">
        <f t="shared" ca="1" si="220"/>
        <v>#REF!</v>
      </c>
      <c r="T780" s="125" t="e">
        <f t="shared" ca="1" si="215"/>
        <v>#REF!</v>
      </c>
      <c r="U780" s="128" t="e">
        <f t="shared" ca="1" si="221"/>
        <v>#REF!</v>
      </c>
      <c r="AC780">
        <v>773</v>
      </c>
      <c r="AD780" s="6">
        <f t="shared" ca="1" si="216"/>
        <v>29252</v>
      </c>
      <c r="AE780" s="7" t="e">
        <f t="shared" ca="1" si="222"/>
        <v>#REF!</v>
      </c>
      <c r="AF780" s="125" t="e">
        <f t="shared" ca="1" si="223"/>
        <v>#REF!</v>
      </c>
      <c r="AG780" s="125" t="e">
        <f t="shared" ca="1" si="217"/>
        <v>#REF!</v>
      </c>
      <c r="AH780" s="128" t="e">
        <f t="shared" ca="1" si="224"/>
        <v>#REF!</v>
      </c>
    </row>
    <row r="781" spans="4:34">
      <c r="D781">
        <v>774</v>
      </c>
      <c r="E781" s="6">
        <f t="shared" ca="1" si="209"/>
        <v>29221</v>
      </c>
      <c r="F781" s="7">
        <f t="shared" ca="1" si="218"/>
        <v>0</v>
      </c>
      <c r="G781" s="125">
        <f t="shared" ca="1" si="210"/>
        <v>0</v>
      </c>
      <c r="H781" s="125">
        <f ca="1">IF(F781=1,F781*$B$10/MIN(12,'Simulador - 3º Pilar'!$E$88),0)</f>
        <v>0</v>
      </c>
      <c r="I781" s="128">
        <f t="shared" ca="1" si="211"/>
        <v>0</v>
      </c>
      <c r="J781" s="494">
        <f t="shared" ca="1" si="212"/>
        <v>0</v>
      </c>
      <c r="K781" s="126">
        <f t="shared" ca="1" si="213"/>
        <v>0</v>
      </c>
      <c r="L781" s="126">
        <f t="shared" ca="1" si="208"/>
        <v>0</v>
      </c>
      <c r="P781">
        <v>774</v>
      </c>
      <c r="Q781" s="6">
        <f t="shared" ca="1" si="214"/>
        <v>29221</v>
      </c>
      <c r="R781" s="7" t="e">
        <f t="shared" ca="1" si="219"/>
        <v>#REF!</v>
      </c>
      <c r="S781" s="125" t="e">
        <f t="shared" ca="1" si="220"/>
        <v>#REF!</v>
      </c>
      <c r="T781" s="125" t="e">
        <f t="shared" ca="1" si="215"/>
        <v>#REF!</v>
      </c>
      <c r="U781" s="128" t="e">
        <f t="shared" ca="1" si="221"/>
        <v>#REF!</v>
      </c>
      <c r="AC781">
        <v>774</v>
      </c>
      <c r="AD781" s="6">
        <f t="shared" ca="1" si="216"/>
        <v>29221</v>
      </c>
      <c r="AE781" s="7" t="e">
        <f t="shared" ca="1" si="222"/>
        <v>#REF!</v>
      </c>
      <c r="AF781" s="125" t="e">
        <f t="shared" ca="1" si="223"/>
        <v>#REF!</v>
      </c>
      <c r="AG781" s="125" t="e">
        <f t="shared" ca="1" si="217"/>
        <v>#REF!</v>
      </c>
      <c r="AH781" s="128" t="e">
        <f t="shared" ca="1" si="224"/>
        <v>#REF!</v>
      </c>
    </row>
    <row r="782" spans="4:34">
      <c r="D782">
        <v>775</v>
      </c>
      <c r="E782" s="6">
        <f t="shared" ca="1" si="209"/>
        <v>29190</v>
      </c>
      <c r="F782" s="7">
        <f t="shared" ca="1" si="218"/>
        <v>0</v>
      </c>
      <c r="G782" s="125">
        <f t="shared" ca="1" si="210"/>
        <v>0</v>
      </c>
      <c r="H782" s="125">
        <f ca="1">IF(F782=1,F782*$B$10/MIN(12,'Simulador - 3º Pilar'!$E$88),0)</f>
        <v>0</v>
      </c>
      <c r="I782" s="128">
        <f t="shared" ca="1" si="211"/>
        <v>0</v>
      </c>
      <c r="J782" s="494">
        <f t="shared" ca="1" si="212"/>
        <v>0</v>
      </c>
      <c r="K782" s="126">
        <f t="shared" ca="1" si="213"/>
        <v>0</v>
      </c>
      <c r="L782" s="126">
        <f t="shared" ca="1" si="208"/>
        <v>0</v>
      </c>
      <c r="P782">
        <v>775</v>
      </c>
      <c r="Q782" s="6">
        <f t="shared" ca="1" si="214"/>
        <v>29190</v>
      </c>
      <c r="R782" s="7" t="e">
        <f t="shared" ca="1" si="219"/>
        <v>#REF!</v>
      </c>
      <c r="S782" s="125" t="e">
        <f t="shared" ca="1" si="220"/>
        <v>#REF!</v>
      </c>
      <c r="T782" s="125" t="e">
        <f t="shared" ca="1" si="215"/>
        <v>#REF!</v>
      </c>
      <c r="U782" s="128" t="e">
        <f t="shared" ca="1" si="221"/>
        <v>#REF!</v>
      </c>
      <c r="AC782">
        <v>775</v>
      </c>
      <c r="AD782" s="6">
        <f t="shared" ca="1" si="216"/>
        <v>29190</v>
      </c>
      <c r="AE782" s="7" t="e">
        <f t="shared" ca="1" si="222"/>
        <v>#REF!</v>
      </c>
      <c r="AF782" s="125" t="e">
        <f t="shared" ca="1" si="223"/>
        <v>#REF!</v>
      </c>
      <c r="AG782" s="125" t="e">
        <f t="shared" ca="1" si="217"/>
        <v>#REF!</v>
      </c>
      <c r="AH782" s="128" t="e">
        <f t="shared" ca="1" si="224"/>
        <v>#REF!</v>
      </c>
    </row>
    <row r="783" spans="4:34">
      <c r="D783">
        <v>776</v>
      </c>
      <c r="E783" s="6">
        <f t="shared" ca="1" si="209"/>
        <v>29160</v>
      </c>
      <c r="F783" s="7">
        <f t="shared" ca="1" si="218"/>
        <v>0</v>
      </c>
      <c r="G783" s="125">
        <f t="shared" ca="1" si="210"/>
        <v>0</v>
      </c>
      <c r="H783" s="125">
        <f ca="1">IF(F783=1,F783*$B$10/MIN(12,'Simulador - 3º Pilar'!$E$88),0)</f>
        <v>0</v>
      </c>
      <c r="I783" s="128">
        <f t="shared" ca="1" si="211"/>
        <v>0</v>
      </c>
      <c r="J783" s="494">
        <f t="shared" ca="1" si="212"/>
        <v>0</v>
      </c>
      <c r="K783" s="126">
        <f t="shared" ca="1" si="213"/>
        <v>0</v>
      </c>
      <c r="L783" s="126">
        <f t="shared" ca="1" si="208"/>
        <v>0</v>
      </c>
      <c r="P783">
        <v>776</v>
      </c>
      <c r="Q783" s="6">
        <f t="shared" ca="1" si="214"/>
        <v>29160</v>
      </c>
      <c r="R783" s="7" t="e">
        <f t="shared" ca="1" si="219"/>
        <v>#REF!</v>
      </c>
      <c r="S783" s="125" t="e">
        <f t="shared" ca="1" si="220"/>
        <v>#REF!</v>
      </c>
      <c r="T783" s="125" t="e">
        <f t="shared" ca="1" si="215"/>
        <v>#REF!</v>
      </c>
      <c r="U783" s="128" t="e">
        <f t="shared" ca="1" si="221"/>
        <v>#REF!</v>
      </c>
      <c r="AC783">
        <v>776</v>
      </c>
      <c r="AD783" s="6">
        <f t="shared" ca="1" si="216"/>
        <v>29160</v>
      </c>
      <c r="AE783" s="7" t="e">
        <f t="shared" ca="1" si="222"/>
        <v>#REF!</v>
      </c>
      <c r="AF783" s="125" t="e">
        <f t="shared" ca="1" si="223"/>
        <v>#REF!</v>
      </c>
      <c r="AG783" s="125" t="e">
        <f t="shared" ca="1" si="217"/>
        <v>#REF!</v>
      </c>
      <c r="AH783" s="128" t="e">
        <f t="shared" ca="1" si="224"/>
        <v>#REF!</v>
      </c>
    </row>
    <row r="784" spans="4:34">
      <c r="D784">
        <v>777</v>
      </c>
      <c r="E784" s="6">
        <f t="shared" ca="1" si="209"/>
        <v>29129</v>
      </c>
      <c r="F784" s="7">
        <f t="shared" ca="1" si="218"/>
        <v>0</v>
      </c>
      <c r="G784" s="125">
        <f t="shared" ca="1" si="210"/>
        <v>0</v>
      </c>
      <c r="H784" s="125">
        <f ca="1">IF(F784=1,F784*$B$10/MIN(12,'Simulador - 3º Pilar'!$E$88),0)</f>
        <v>0</v>
      </c>
      <c r="I784" s="128">
        <f t="shared" ca="1" si="211"/>
        <v>0</v>
      </c>
      <c r="J784" s="494">
        <f t="shared" ca="1" si="212"/>
        <v>0</v>
      </c>
      <c r="K784" s="126">
        <f t="shared" ca="1" si="213"/>
        <v>0</v>
      </c>
      <c r="L784" s="126">
        <f t="shared" ca="1" si="208"/>
        <v>0</v>
      </c>
      <c r="P784">
        <v>777</v>
      </c>
      <c r="Q784" s="6">
        <f t="shared" ca="1" si="214"/>
        <v>29129</v>
      </c>
      <c r="R784" s="7" t="e">
        <f t="shared" ca="1" si="219"/>
        <v>#REF!</v>
      </c>
      <c r="S784" s="125" t="e">
        <f t="shared" ca="1" si="220"/>
        <v>#REF!</v>
      </c>
      <c r="T784" s="125" t="e">
        <f t="shared" ca="1" si="215"/>
        <v>#REF!</v>
      </c>
      <c r="U784" s="128" t="e">
        <f t="shared" ca="1" si="221"/>
        <v>#REF!</v>
      </c>
      <c r="AC784">
        <v>777</v>
      </c>
      <c r="AD784" s="6">
        <f t="shared" ca="1" si="216"/>
        <v>29129</v>
      </c>
      <c r="AE784" s="7" t="e">
        <f t="shared" ca="1" si="222"/>
        <v>#REF!</v>
      </c>
      <c r="AF784" s="125" t="e">
        <f t="shared" ca="1" si="223"/>
        <v>#REF!</v>
      </c>
      <c r="AG784" s="125" t="e">
        <f t="shared" ca="1" si="217"/>
        <v>#REF!</v>
      </c>
      <c r="AH784" s="128" t="e">
        <f t="shared" ca="1" si="224"/>
        <v>#REF!</v>
      </c>
    </row>
    <row r="785" spans="4:34">
      <c r="D785">
        <v>778</v>
      </c>
      <c r="E785" s="6">
        <f t="shared" ca="1" si="209"/>
        <v>29099</v>
      </c>
      <c r="F785" s="7">
        <f t="shared" ca="1" si="218"/>
        <v>0</v>
      </c>
      <c r="G785" s="125">
        <f t="shared" ca="1" si="210"/>
        <v>0</v>
      </c>
      <c r="H785" s="125">
        <f ca="1">IF(F785=1,F785*$B$10/MIN(12,'Simulador - 3º Pilar'!$E$88),0)</f>
        <v>0</v>
      </c>
      <c r="I785" s="128">
        <f t="shared" ca="1" si="211"/>
        <v>0</v>
      </c>
      <c r="J785" s="494">
        <f t="shared" ca="1" si="212"/>
        <v>0</v>
      </c>
      <c r="K785" s="126">
        <f t="shared" ca="1" si="213"/>
        <v>0</v>
      </c>
      <c r="L785" s="126">
        <f t="shared" ca="1" si="208"/>
        <v>0</v>
      </c>
      <c r="P785">
        <v>778</v>
      </c>
      <c r="Q785" s="6">
        <f t="shared" ca="1" si="214"/>
        <v>29099</v>
      </c>
      <c r="R785" s="7" t="e">
        <f t="shared" ca="1" si="219"/>
        <v>#REF!</v>
      </c>
      <c r="S785" s="125" t="e">
        <f t="shared" ca="1" si="220"/>
        <v>#REF!</v>
      </c>
      <c r="T785" s="125" t="e">
        <f t="shared" ca="1" si="215"/>
        <v>#REF!</v>
      </c>
      <c r="U785" s="128" t="e">
        <f t="shared" ca="1" si="221"/>
        <v>#REF!</v>
      </c>
      <c r="AC785">
        <v>778</v>
      </c>
      <c r="AD785" s="6">
        <f t="shared" ca="1" si="216"/>
        <v>29099</v>
      </c>
      <c r="AE785" s="7" t="e">
        <f t="shared" ca="1" si="222"/>
        <v>#REF!</v>
      </c>
      <c r="AF785" s="125" t="e">
        <f t="shared" ca="1" si="223"/>
        <v>#REF!</v>
      </c>
      <c r="AG785" s="125" t="e">
        <f t="shared" ca="1" si="217"/>
        <v>#REF!</v>
      </c>
      <c r="AH785" s="128" t="e">
        <f t="shared" ca="1" si="224"/>
        <v>#REF!</v>
      </c>
    </row>
    <row r="786" spans="4:34">
      <c r="D786">
        <v>779</v>
      </c>
      <c r="E786" s="6">
        <f t="shared" ca="1" si="209"/>
        <v>29068</v>
      </c>
      <c r="F786" s="7">
        <f t="shared" ca="1" si="218"/>
        <v>0</v>
      </c>
      <c r="G786" s="125">
        <f t="shared" ca="1" si="210"/>
        <v>0</v>
      </c>
      <c r="H786" s="125">
        <f ca="1">IF(F786=1,F786*$B$10/MIN(12,'Simulador - 3º Pilar'!$E$88),0)</f>
        <v>0</v>
      </c>
      <c r="I786" s="128">
        <f t="shared" ca="1" si="211"/>
        <v>0</v>
      </c>
      <c r="J786" s="494">
        <f t="shared" ca="1" si="212"/>
        <v>0</v>
      </c>
      <c r="K786" s="126">
        <f t="shared" ca="1" si="213"/>
        <v>0</v>
      </c>
      <c r="L786" s="126">
        <f t="shared" ca="1" si="208"/>
        <v>0</v>
      </c>
      <c r="P786">
        <v>779</v>
      </c>
      <c r="Q786" s="6">
        <f t="shared" ca="1" si="214"/>
        <v>29068</v>
      </c>
      <c r="R786" s="7" t="e">
        <f t="shared" ca="1" si="219"/>
        <v>#REF!</v>
      </c>
      <c r="S786" s="125" t="e">
        <f t="shared" ca="1" si="220"/>
        <v>#REF!</v>
      </c>
      <c r="T786" s="125" t="e">
        <f t="shared" ca="1" si="215"/>
        <v>#REF!</v>
      </c>
      <c r="U786" s="128" t="e">
        <f t="shared" ca="1" si="221"/>
        <v>#REF!</v>
      </c>
      <c r="AC786">
        <v>779</v>
      </c>
      <c r="AD786" s="6">
        <f t="shared" ca="1" si="216"/>
        <v>29068</v>
      </c>
      <c r="AE786" s="7" t="e">
        <f t="shared" ca="1" si="222"/>
        <v>#REF!</v>
      </c>
      <c r="AF786" s="125" t="e">
        <f t="shared" ca="1" si="223"/>
        <v>#REF!</v>
      </c>
      <c r="AG786" s="125" t="e">
        <f t="shared" ca="1" si="217"/>
        <v>#REF!</v>
      </c>
      <c r="AH786" s="128" t="e">
        <f t="shared" ca="1" si="224"/>
        <v>#REF!</v>
      </c>
    </row>
    <row r="787" spans="4:34">
      <c r="D787">
        <v>780</v>
      </c>
      <c r="E787" s="6">
        <f t="shared" ca="1" si="209"/>
        <v>29037</v>
      </c>
      <c r="F787" s="7">
        <f t="shared" ca="1" si="218"/>
        <v>0</v>
      </c>
      <c r="G787" s="125">
        <f t="shared" ca="1" si="210"/>
        <v>0</v>
      </c>
      <c r="H787" s="125">
        <f ca="1">IF(F787=1,F787*$B$10/MIN(12,'Simulador - 3º Pilar'!$E$88),0)</f>
        <v>0</v>
      </c>
      <c r="I787" s="128">
        <f t="shared" ca="1" si="211"/>
        <v>0</v>
      </c>
      <c r="J787" s="494">
        <f t="shared" ca="1" si="212"/>
        <v>0</v>
      </c>
      <c r="K787" s="126">
        <f t="shared" ca="1" si="213"/>
        <v>0</v>
      </c>
      <c r="L787" s="126">
        <f t="shared" ca="1" si="208"/>
        <v>0</v>
      </c>
      <c r="P787">
        <v>780</v>
      </c>
      <c r="Q787" s="6">
        <f t="shared" ca="1" si="214"/>
        <v>29037</v>
      </c>
      <c r="R787" s="7" t="e">
        <f t="shared" ca="1" si="219"/>
        <v>#REF!</v>
      </c>
      <c r="S787" s="125" t="e">
        <f t="shared" ca="1" si="220"/>
        <v>#REF!</v>
      </c>
      <c r="T787" s="125" t="e">
        <f t="shared" ca="1" si="215"/>
        <v>#REF!</v>
      </c>
      <c r="U787" s="128" t="e">
        <f t="shared" ca="1" si="221"/>
        <v>#REF!</v>
      </c>
      <c r="AC787">
        <v>780</v>
      </c>
      <c r="AD787" s="6">
        <f t="shared" ca="1" si="216"/>
        <v>29037</v>
      </c>
      <c r="AE787" s="7" t="e">
        <f t="shared" ca="1" si="222"/>
        <v>#REF!</v>
      </c>
      <c r="AF787" s="125" t="e">
        <f t="shared" ca="1" si="223"/>
        <v>#REF!</v>
      </c>
      <c r="AG787" s="125" t="e">
        <f t="shared" ca="1" si="217"/>
        <v>#REF!</v>
      </c>
      <c r="AH787" s="128" t="e">
        <f t="shared" ca="1" si="224"/>
        <v>#REF!</v>
      </c>
    </row>
    <row r="788" spans="4:34">
      <c r="D788">
        <v>781</v>
      </c>
      <c r="E788" s="6">
        <f t="shared" ca="1" si="209"/>
        <v>29007</v>
      </c>
      <c r="F788" s="7">
        <f t="shared" ca="1" si="218"/>
        <v>0</v>
      </c>
      <c r="G788" s="125">
        <f t="shared" ca="1" si="210"/>
        <v>0</v>
      </c>
      <c r="H788" s="125">
        <f ca="1">IF(F788=1,F788*$B$10/MIN(12,'Simulador - 3º Pilar'!$E$88),0)</f>
        <v>0</v>
      </c>
      <c r="I788" s="128">
        <f t="shared" ca="1" si="211"/>
        <v>0</v>
      </c>
      <c r="J788" s="494">
        <f t="shared" ca="1" si="212"/>
        <v>0</v>
      </c>
      <c r="K788" s="126">
        <f t="shared" ca="1" si="213"/>
        <v>0</v>
      </c>
      <c r="L788" s="126">
        <f t="shared" ca="1" si="208"/>
        <v>0</v>
      </c>
      <c r="P788">
        <v>781</v>
      </c>
      <c r="Q788" s="6">
        <f t="shared" ca="1" si="214"/>
        <v>29007</v>
      </c>
      <c r="R788" s="7" t="e">
        <f t="shared" ca="1" si="219"/>
        <v>#REF!</v>
      </c>
      <c r="S788" s="125" t="e">
        <f t="shared" ca="1" si="220"/>
        <v>#REF!</v>
      </c>
      <c r="T788" s="125" t="e">
        <f t="shared" ca="1" si="215"/>
        <v>#REF!</v>
      </c>
      <c r="U788" s="128" t="e">
        <f t="shared" ca="1" si="221"/>
        <v>#REF!</v>
      </c>
      <c r="AC788">
        <v>781</v>
      </c>
      <c r="AD788" s="6">
        <f t="shared" ca="1" si="216"/>
        <v>29007</v>
      </c>
      <c r="AE788" s="7" t="e">
        <f t="shared" ca="1" si="222"/>
        <v>#REF!</v>
      </c>
      <c r="AF788" s="125" t="e">
        <f t="shared" ca="1" si="223"/>
        <v>#REF!</v>
      </c>
      <c r="AG788" s="125" t="e">
        <f t="shared" ca="1" si="217"/>
        <v>#REF!</v>
      </c>
      <c r="AH788" s="128" t="e">
        <f t="shared" ca="1" si="224"/>
        <v>#REF!</v>
      </c>
    </row>
    <row r="789" spans="4:34">
      <c r="D789">
        <v>782</v>
      </c>
      <c r="E789" s="6">
        <f t="shared" ca="1" si="209"/>
        <v>28976</v>
      </c>
      <c r="F789" s="7">
        <f t="shared" ca="1" si="218"/>
        <v>0</v>
      </c>
      <c r="G789" s="125">
        <f t="shared" ca="1" si="210"/>
        <v>0</v>
      </c>
      <c r="H789" s="125">
        <f ca="1">IF(F789=1,F789*$B$10/MIN(12,'Simulador - 3º Pilar'!$E$88),0)</f>
        <v>0</v>
      </c>
      <c r="I789" s="128">
        <f t="shared" ca="1" si="211"/>
        <v>0</v>
      </c>
      <c r="J789" s="494">
        <f t="shared" ca="1" si="212"/>
        <v>0</v>
      </c>
      <c r="K789" s="126">
        <f t="shared" ca="1" si="213"/>
        <v>0</v>
      </c>
      <c r="L789" s="126">
        <f t="shared" ca="1" si="208"/>
        <v>0</v>
      </c>
      <c r="P789">
        <v>782</v>
      </c>
      <c r="Q789" s="6">
        <f t="shared" ca="1" si="214"/>
        <v>28976</v>
      </c>
      <c r="R789" s="7" t="e">
        <f t="shared" ca="1" si="219"/>
        <v>#REF!</v>
      </c>
      <c r="S789" s="125" t="e">
        <f t="shared" ca="1" si="220"/>
        <v>#REF!</v>
      </c>
      <c r="T789" s="125" t="e">
        <f t="shared" ca="1" si="215"/>
        <v>#REF!</v>
      </c>
      <c r="U789" s="128" t="e">
        <f t="shared" ca="1" si="221"/>
        <v>#REF!</v>
      </c>
      <c r="AC789">
        <v>782</v>
      </c>
      <c r="AD789" s="6">
        <f t="shared" ca="1" si="216"/>
        <v>28976</v>
      </c>
      <c r="AE789" s="7" t="e">
        <f t="shared" ca="1" si="222"/>
        <v>#REF!</v>
      </c>
      <c r="AF789" s="125" t="e">
        <f t="shared" ca="1" si="223"/>
        <v>#REF!</v>
      </c>
      <c r="AG789" s="125" t="e">
        <f t="shared" ca="1" si="217"/>
        <v>#REF!</v>
      </c>
      <c r="AH789" s="128" t="e">
        <f t="shared" ca="1" si="224"/>
        <v>#REF!</v>
      </c>
    </row>
    <row r="790" spans="4:34">
      <c r="D790">
        <v>783</v>
      </c>
      <c r="E790" s="6">
        <f t="shared" ca="1" si="209"/>
        <v>28946</v>
      </c>
      <c r="F790" s="7">
        <f t="shared" ca="1" si="218"/>
        <v>0</v>
      </c>
      <c r="G790" s="125">
        <f t="shared" ca="1" si="210"/>
        <v>0</v>
      </c>
      <c r="H790" s="125">
        <f ca="1">IF(F790=1,F790*$B$10/MIN(12,'Simulador - 3º Pilar'!$E$88),0)</f>
        <v>0</v>
      </c>
      <c r="I790" s="128">
        <f t="shared" ca="1" si="211"/>
        <v>0</v>
      </c>
      <c r="J790" s="494">
        <f t="shared" ca="1" si="212"/>
        <v>0</v>
      </c>
      <c r="K790" s="126">
        <f t="shared" ca="1" si="213"/>
        <v>0</v>
      </c>
      <c r="L790" s="126">
        <f t="shared" ca="1" si="208"/>
        <v>0</v>
      </c>
      <c r="P790">
        <v>783</v>
      </c>
      <c r="Q790" s="6">
        <f t="shared" ca="1" si="214"/>
        <v>28946</v>
      </c>
      <c r="R790" s="7" t="e">
        <f t="shared" ca="1" si="219"/>
        <v>#REF!</v>
      </c>
      <c r="S790" s="125" t="e">
        <f t="shared" ca="1" si="220"/>
        <v>#REF!</v>
      </c>
      <c r="T790" s="125" t="e">
        <f t="shared" ca="1" si="215"/>
        <v>#REF!</v>
      </c>
      <c r="U790" s="128" t="e">
        <f t="shared" ca="1" si="221"/>
        <v>#REF!</v>
      </c>
      <c r="AC790">
        <v>783</v>
      </c>
      <c r="AD790" s="6">
        <f t="shared" ca="1" si="216"/>
        <v>28946</v>
      </c>
      <c r="AE790" s="7" t="e">
        <f t="shared" ca="1" si="222"/>
        <v>#REF!</v>
      </c>
      <c r="AF790" s="125" t="e">
        <f t="shared" ca="1" si="223"/>
        <v>#REF!</v>
      </c>
      <c r="AG790" s="125" t="e">
        <f t="shared" ca="1" si="217"/>
        <v>#REF!</v>
      </c>
      <c r="AH790" s="128" t="e">
        <f t="shared" ca="1" si="224"/>
        <v>#REF!</v>
      </c>
    </row>
    <row r="791" spans="4:34">
      <c r="D791">
        <v>784</v>
      </c>
      <c r="E791" s="6">
        <f t="shared" ca="1" si="209"/>
        <v>28915</v>
      </c>
      <c r="F791" s="7">
        <f t="shared" ca="1" si="218"/>
        <v>0</v>
      </c>
      <c r="G791" s="125">
        <f t="shared" ca="1" si="210"/>
        <v>0</v>
      </c>
      <c r="H791" s="125">
        <f ca="1">IF(F791=1,F791*$B$10/MIN(12,'Simulador - 3º Pilar'!$E$88),0)</f>
        <v>0</v>
      </c>
      <c r="I791" s="128">
        <f t="shared" ca="1" si="211"/>
        <v>0</v>
      </c>
      <c r="J791" s="494">
        <f t="shared" ca="1" si="212"/>
        <v>0</v>
      </c>
      <c r="K791" s="126">
        <f t="shared" ca="1" si="213"/>
        <v>0</v>
      </c>
      <c r="L791" s="126">
        <f t="shared" ca="1" si="208"/>
        <v>0</v>
      </c>
      <c r="P791">
        <v>784</v>
      </c>
      <c r="Q791" s="6">
        <f t="shared" ca="1" si="214"/>
        <v>28915</v>
      </c>
      <c r="R791" s="7" t="e">
        <f t="shared" ca="1" si="219"/>
        <v>#REF!</v>
      </c>
      <c r="S791" s="125" t="e">
        <f t="shared" ca="1" si="220"/>
        <v>#REF!</v>
      </c>
      <c r="T791" s="125" t="e">
        <f t="shared" ca="1" si="215"/>
        <v>#REF!</v>
      </c>
      <c r="U791" s="128" t="e">
        <f t="shared" ca="1" si="221"/>
        <v>#REF!</v>
      </c>
      <c r="AC791">
        <v>784</v>
      </c>
      <c r="AD791" s="6">
        <f t="shared" ca="1" si="216"/>
        <v>28915</v>
      </c>
      <c r="AE791" s="7" t="e">
        <f t="shared" ca="1" si="222"/>
        <v>#REF!</v>
      </c>
      <c r="AF791" s="125" t="e">
        <f t="shared" ca="1" si="223"/>
        <v>#REF!</v>
      </c>
      <c r="AG791" s="125" t="e">
        <f t="shared" ca="1" si="217"/>
        <v>#REF!</v>
      </c>
      <c r="AH791" s="128" t="e">
        <f t="shared" ca="1" si="224"/>
        <v>#REF!</v>
      </c>
    </row>
    <row r="792" spans="4:34">
      <c r="D792">
        <v>785</v>
      </c>
      <c r="E792" s="6">
        <f t="shared" ca="1" si="209"/>
        <v>28887</v>
      </c>
      <c r="F792" s="7">
        <f t="shared" ca="1" si="218"/>
        <v>0</v>
      </c>
      <c r="G792" s="125">
        <f t="shared" ca="1" si="210"/>
        <v>0</v>
      </c>
      <c r="H792" s="125">
        <f ca="1">IF(F792=1,F792*$B$10/MIN(12,'Simulador - 3º Pilar'!$E$88),0)</f>
        <v>0</v>
      </c>
      <c r="I792" s="128">
        <f t="shared" ca="1" si="211"/>
        <v>0</v>
      </c>
      <c r="J792" s="494">
        <f t="shared" ca="1" si="212"/>
        <v>0</v>
      </c>
      <c r="K792" s="126">
        <f t="shared" ca="1" si="213"/>
        <v>0</v>
      </c>
      <c r="L792" s="126">
        <f t="shared" ca="1" si="208"/>
        <v>0</v>
      </c>
      <c r="P792">
        <v>785</v>
      </c>
      <c r="Q792" s="6">
        <f t="shared" ca="1" si="214"/>
        <v>28887</v>
      </c>
      <c r="R792" s="7" t="e">
        <f t="shared" ca="1" si="219"/>
        <v>#REF!</v>
      </c>
      <c r="S792" s="125" t="e">
        <f t="shared" ca="1" si="220"/>
        <v>#REF!</v>
      </c>
      <c r="T792" s="125" t="e">
        <f t="shared" ca="1" si="215"/>
        <v>#REF!</v>
      </c>
      <c r="U792" s="128" t="e">
        <f t="shared" ca="1" si="221"/>
        <v>#REF!</v>
      </c>
      <c r="AC792">
        <v>785</v>
      </c>
      <c r="AD792" s="6">
        <f t="shared" ca="1" si="216"/>
        <v>28887</v>
      </c>
      <c r="AE792" s="7" t="e">
        <f t="shared" ca="1" si="222"/>
        <v>#REF!</v>
      </c>
      <c r="AF792" s="125" t="e">
        <f t="shared" ca="1" si="223"/>
        <v>#REF!</v>
      </c>
      <c r="AG792" s="125" t="e">
        <f t="shared" ca="1" si="217"/>
        <v>#REF!</v>
      </c>
      <c r="AH792" s="128" t="e">
        <f t="shared" ca="1" si="224"/>
        <v>#REF!</v>
      </c>
    </row>
    <row r="793" spans="4:34">
      <c r="D793">
        <v>786</v>
      </c>
      <c r="E793" s="6">
        <f t="shared" ca="1" si="209"/>
        <v>28856</v>
      </c>
      <c r="F793" s="7">
        <f t="shared" ca="1" si="218"/>
        <v>0</v>
      </c>
      <c r="G793" s="125">
        <f t="shared" ca="1" si="210"/>
        <v>0</v>
      </c>
      <c r="H793" s="125">
        <f ca="1">IF(F793=1,F793*$B$10/MIN(12,'Simulador - 3º Pilar'!$E$88),0)</f>
        <v>0</v>
      </c>
      <c r="I793" s="128">
        <f t="shared" ca="1" si="211"/>
        <v>0</v>
      </c>
      <c r="J793" s="494">
        <f t="shared" ca="1" si="212"/>
        <v>0</v>
      </c>
      <c r="K793" s="126">
        <f t="shared" ca="1" si="213"/>
        <v>0</v>
      </c>
      <c r="L793" s="126">
        <f t="shared" ca="1" si="208"/>
        <v>0</v>
      </c>
      <c r="P793">
        <v>786</v>
      </c>
      <c r="Q793" s="6">
        <f t="shared" ca="1" si="214"/>
        <v>28856</v>
      </c>
      <c r="R793" s="7" t="e">
        <f t="shared" ca="1" si="219"/>
        <v>#REF!</v>
      </c>
      <c r="S793" s="125" t="e">
        <f t="shared" ca="1" si="220"/>
        <v>#REF!</v>
      </c>
      <c r="T793" s="125" t="e">
        <f t="shared" ca="1" si="215"/>
        <v>#REF!</v>
      </c>
      <c r="U793" s="128" t="e">
        <f t="shared" ca="1" si="221"/>
        <v>#REF!</v>
      </c>
      <c r="AC793">
        <v>786</v>
      </c>
      <c r="AD793" s="6">
        <f t="shared" ca="1" si="216"/>
        <v>28856</v>
      </c>
      <c r="AE793" s="7" t="e">
        <f t="shared" ca="1" si="222"/>
        <v>#REF!</v>
      </c>
      <c r="AF793" s="125" t="e">
        <f t="shared" ca="1" si="223"/>
        <v>#REF!</v>
      </c>
      <c r="AG793" s="125" t="e">
        <f t="shared" ca="1" si="217"/>
        <v>#REF!</v>
      </c>
      <c r="AH793" s="128" t="e">
        <f t="shared" ca="1" si="224"/>
        <v>#REF!</v>
      </c>
    </row>
    <row r="794" spans="4:34">
      <c r="D794">
        <v>787</v>
      </c>
      <c r="E794" s="6">
        <f t="shared" ca="1" si="209"/>
        <v>28825</v>
      </c>
      <c r="F794" s="7">
        <f t="shared" ca="1" si="218"/>
        <v>0</v>
      </c>
      <c r="G794" s="125">
        <f t="shared" ca="1" si="210"/>
        <v>0</v>
      </c>
      <c r="H794" s="125">
        <f ca="1">IF(F794=1,F794*$B$10/MIN(12,'Simulador - 3º Pilar'!$E$88),0)</f>
        <v>0</v>
      </c>
      <c r="I794" s="128">
        <f t="shared" ca="1" si="211"/>
        <v>0</v>
      </c>
      <c r="J794" s="494">
        <f t="shared" ca="1" si="212"/>
        <v>0</v>
      </c>
      <c r="K794" s="126">
        <f t="shared" ca="1" si="213"/>
        <v>0</v>
      </c>
      <c r="L794" s="126">
        <f t="shared" ca="1" si="208"/>
        <v>0</v>
      </c>
      <c r="P794">
        <v>787</v>
      </c>
      <c r="Q794" s="6">
        <f t="shared" ca="1" si="214"/>
        <v>28825</v>
      </c>
      <c r="R794" s="7" t="e">
        <f t="shared" ca="1" si="219"/>
        <v>#REF!</v>
      </c>
      <c r="S794" s="125" t="e">
        <f t="shared" ca="1" si="220"/>
        <v>#REF!</v>
      </c>
      <c r="T794" s="125" t="e">
        <f t="shared" ca="1" si="215"/>
        <v>#REF!</v>
      </c>
      <c r="U794" s="128" t="e">
        <f t="shared" ca="1" si="221"/>
        <v>#REF!</v>
      </c>
      <c r="AC794">
        <v>787</v>
      </c>
      <c r="AD794" s="6">
        <f t="shared" ca="1" si="216"/>
        <v>28825</v>
      </c>
      <c r="AE794" s="7" t="e">
        <f t="shared" ca="1" si="222"/>
        <v>#REF!</v>
      </c>
      <c r="AF794" s="125" t="e">
        <f t="shared" ca="1" si="223"/>
        <v>#REF!</v>
      </c>
      <c r="AG794" s="125" t="e">
        <f t="shared" ca="1" si="217"/>
        <v>#REF!</v>
      </c>
      <c r="AH794" s="128" t="e">
        <f t="shared" ca="1" si="224"/>
        <v>#REF!</v>
      </c>
    </row>
    <row r="795" spans="4:34">
      <c r="D795">
        <v>788</v>
      </c>
      <c r="E795" s="6">
        <f t="shared" ca="1" si="209"/>
        <v>28795</v>
      </c>
      <c r="F795" s="7">
        <f t="shared" ca="1" si="218"/>
        <v>0</v>
      </c>
      <c r="G795" s="125">
        <f t="shared" ca="1" si="210"/>
        <v>0</v>
      </c>
      <c r="H795" s="125">
        <f ca="1">IF(F795=1,F795*$B$10/MIN(12,'Simulador - 3º Pilar'!$E$88),0)</f>
        <v>0</v>
      </c>
      <c r="I795" s="128">
        <f t="shared" ca="1" si="211"/>
        <v>0</v>
      </c>
      <c r="J795" s="494">
        <f t="shared" ca="1" si="212"/>
        <v>0</v>
      </c>
      <c r="K795" s="126">
        <f t="shared" ca="1" si="213"/>
        <v>0</v>
      </c>
      <c r="L795" s="126">
        <f t="shared" ca="1" si="208"/>
        <v>0</v>
      </c>
      <c r="P795">
        <v>788</v>
      </c>
      <c r="Q795" s="6">
        <f t="shared" ca="1" si="214"/>
        <v>28795</v>
      </c>
      <c r="R795" s="7" t="e">
        <f t="shared" ca="1" si="219"/>
        <v>#REF!</v>
      </c>
      <c r="S795" s="125" t="e">
        <f t="shared" ca="1" si="220"/>
        <v>#REF!</v>
      </c>
      <c r="T795" s="125" t="e">
        <f t="shared" ca="1" si="215"/>
        <v>#REF!</v>
      </c>
      <c r="U795" s="128" t="e">
        <f t="shared" ca="1" si="221"/>
        <v>#REF!</v>
      </c>
      <c r="AC795">
        <v>788</v>
      </c>
      <c r="AD795" s="6">
        <f t="shared" ca="1" si="216"/>
        <v>28795</v>
      </c>
      <c r="AE795" s="7" t="e">
        <f t="shared" ca="1" si="222"/>
        <v>#REF!</v>
      </c>
      <c r="AF795" s="125" t="e">
        <f t="shared" ca="1" si="223"/>
        <v>#REF!</v>
      </c>
      <c r="AG795" s="125" t="e">
        <f t="shared" ca="1" si="217"/>
        <v>#REF!</v>
      </c>
      <c r="AH795" s="128" t="e">
        <f t="shared" ca="1" si="224"/>
        <v>#REF!</v>
      </c>
    </row>
    <row r="796" spans="4:34">
      <c r="D796">
        <v>789</v>
      </c>
      <c r="E796" s="6">
        <f t="shared" ca="1" si="209"/>
        <v>28764</v>
      </c>
      <c r="F796" s="7">
        <f t="shared" ca="1" si="218"/>
        <v>0</v>
      </c>
      <c r="G796" s="125">
        <f t="shared" ca="1" si="210"/>
        <v>0</v>
      </c>
      <c r="H796" s="125">
        <f ca="1">IF(F796=1,F796*$B$10/MIN(12,'Simulador - 3º Pilar'!$E$88),0)</f>
        <v>0</v>
      </c>
      <c r="I796" s="128">
        <f t="shared" ca="1" si="211"/>
        <v>0</v>
      </c>
      <c r="J796" s="494">
        <f t="shared" ca="1" si="212"/>
        <v>0</v>
      </c>
      <c r="K796" s="126">
        <f t="shared" ca="1" si="213"/>
        <v>0</v>
      </c>
      <c r="L796" s="126">
        <f t="shared" ca="1" si="208"/>
        <v>0</v>
      </c>
      <c r="P796">
        <v>789</v>
      </c>
      <c r="Q796" s="6">
        <f t="shared" ca="1" si="214"/>
        <v>28764</v>
      </c>
      <c r="R796" s="7" t="e">
        <f t="shared" ca="1" si="219"/>
        <v>#REF!</v>
      </c>
      <c r="S796" s="125" t="e">
        <f t="shared" ca="1" si="220"/>
        <v>#REF!</v>
      </c>
      <c r="T796" s="125" t="e">
        <f t="shared" ca="1" si="215"/>
        <v>#REF!</v>
      </c>
      <c r="U796" s="128" t="e">
        <f t="shared" ca="1" si="221"/>
        <v>#REF!</v>
      </c>
      <c r="AC796">
        <v>789</v>
      </c>
      <c r="AD796" s="6">
        <f t="shared" ca="1" si="216"/>
        <v>28764</v>
      </c>
      <c r="AE796" s="7" t="e">
        <f t="shared" ca="1" si="222"/>
        <v>#REF!</v>
      </c>
      <c r="AF796" s="125" t="e">
        <f t="shared" ca="1" si="223"/>
        <v>#REF!</v>
      </c>
      <c r="AG796" s="125" t="e">
        <f t="shared" ca="1" si="217"/>
        <v>#REF!</v>
      </c>
      <c r="AH796" s="128" t="e">
        <f t="shared" ca="1" si="224"/>
        <v>#REF!</v>
      </c>
    </row>
    <row r="797" spans="4:34">
      <c r="D797">
        <v>790</v>
      </c>
      <c r="E797" s="6">
        <f t="shared" ca="1" si="209"/>
        <v>28734</v>
      </c>
      <c r="F797" s="7">
        <f t="shared" ca="1" si="218"/>
        <v>0</v>
      </c>
      <c r="G797" s="125">
        <f t="shared" ca="1" si="210"/>
        <v>0</v>
      </c>
      <c r="H797" s="125">
        <f ca="1">IF(F797=1,F797*$B$10/MIN(12,'Simulador - 3º Pilar'!$E$88),0)</f>
        <v>0</v>
      </c>
      <c r="I797" s="128">
        <f t="shared" ca="1" si="211"/>
        <v>0</v>
      </c>
      <c r="J797" s="494">
        <f t="shared" ca="1" si="212"/>
        <v>0</v>
      </c>
      <c r="K797" s="126">
        <f t="shared" ca="1" si="213"/>
        <v>0</v>
      </c>
      <c r="L797" s="126">
        <f t="shared" ca="1" si="208"/>
        <v>0</v>
      </c>
      <c r="P797">
        <v>790</v>
      </c>
      <c r="Q797" s="6">
        <f t="shared" ca="1" si="214"/>
        <v>28734</v>
      </c>
      <c r="R797" s="7" t="e">
        <f t="shared" ca="1" si="219"/>
        <v>#REF!</v>
      </c>
      <c r="S797" s="125" t="e">
        <f t="shared" ca="1" si="220"/>
        <v>#REF!</v>
      </c>
      <c r="T797" s="125" t="e">
        <f t="shared" ca="1" si="215"/>
        <v>#REF!</v>
      </c>
      <c r="U797" s="128" t="e">
        <f t="shared" ca="1" si="221"/>
        <v>#REF!</v>
      </c>
      <c r="AC797">
        <v>790</v>
      </c>
      <c r="AD797" s="6">
        <f t="shared" ca="1" si="216"/>
        <v>28734</v>
      </c>
      <c r="AE797" s="7" t="e">
        <f t="shared" ca="1" si="222"/>
        <v>#REF!</v>
      </c>
      <c r="AF797" s="125" t="e">
        <f t="shared" ca="1" si="223"/>
        <v>#REF!</v>
      </c>
      <c r="AG797" s="125" t="e">
        <f t="shared" ca="1" si="217"/>
        <v>#REF!</v>
      </c>
      <c r="AH797" s="128" t="e">
        <f t="shared" ca="1" si="224"/>
        <v>#REF!</v>
      </c>
    </row>
    <row r="798" spans="4:34">
      <c r="D798">
        <v>791</v>
      </c>
      <c r="E798" s="6">
        <f t="shared" ca="1" si="209"/>
        <v>28703</v>
      </c>
      <c r="F798" s="7">
        <f t="shared" ca="1" si="218"/>
        <v>0</v>
      </c>
      <c r="G798" s="125">
        <f t="shared" ca="1" si="210"/>
        <v>0</v>
      </c>
      <c r="H798" s="125">
        <f ca="1">IF(F798=1,F798*$B$10/MIN(12,'Simulador - 3º Pilar'!$E$88),0)</f>
        <v>0</v>
      </c>
      <c r="I798" s="128">
        <f t="shared" ca="1" si="211"/>
        <v>0</v>
      </c>
      <c r="J798" s="494">
        <f t="shared" ca="1" si="212"/>
        <v>0</v>
      </c>
      <c r="K798" s="126">
        <f t="shared" ca="1" si="213"/>
        <v>0</v>
      </c>
      <c r="L798" s="126">
        <f t="shared" ca="1" si="208"/>
        <v>0</v>
      </c>
      <c r="P798">
        <v>791</v>
      </c>
      <c r="Q798" s="6">
        <f t="shared" ca="1" si="214"/>
        <v>28703</v>
      </c>
      <c r="R798" s="7" t="e">
        <f t="shared" ca="1" si="219"/>
        <v>#REF!</v>
      </c>
      <c r="S798" s="125" t="e">
        <f t="shared" ca="1" si="220"/>
        <v>#REF!</v>
      </c>
      <c r="T798" s="125" t="e">
        <f t="shared" ca="1" si="215"/>
        <v>#REF!</v>
      </c>
      <c r="U798" s="128" t="e">
        <f t="shared" ca="1" si="221"/>
        <v>#REF!</v>
      </c>
      <c r="AC798">
        <v>791</v>
      </c>
      <c r="AD798" s="6">
        <f t="shared" ca="1" si="216"/>
        <v>28703</v>
      </c>
      <c r="AE798" s="7" t="e">
        <f t="shared" ca="1" si="222"/>
        <v>#REF!</v>
      </c>
      <c r="AF798" s="125" t="e">
        <f t="shared" ca="1" si="223"/>
        <v>#REF!</v>
      </c>
      <c r="AG798" s="125" t="e">
        <f t="shared" ca="1" si="217"/>
        <v>#REF!</v>
      </c>
      <c r="AH798" s="128" t="e">
        <f t="shared" ca="1" si="224"/>
        <v>#REF!</v>
      </c>
    </row>
    <row r="799" spans="4:34">
      <c r="D799">
        <v>792</v>
      </c>
      <c r="E799" s="6">
        <f t="shared" ca="1" si="209"/>
        <v>28672</v>
      </c>
      <c r="F799" s="7">
        <f t="shared" ca="1" si="218"/>
        <v>0</v>
      </c>
      <c r="G799" s="125">
        <f t="shared" ca="1" si="210"/>
        <v>0</v>
      </c>
      <c r="H799" s="125">
        <f ca="1">IF(F799=1,F799*$B$10/MIN(12,'Simulador - 3º Pilar'!$E$88),0)</f>
        <v>0</v>
      </c>
      <c r="I799" s="128">
        <f t="shared" ca="1" si="211"/>
        <v>0</v>
      </c>
      <c r="J799" s="494">
        <f t="shared" ca="1" si="212"/>
        <v>0</v>
      </c>
      <c r="K799" s="126">
        <f t="shared" ca="1" si="213"/>
        <v>0</v>
      </c>
      <c r="L799" s="126">
        <f t="shared" ca="1" si="208"/>
        <v>0</v>
      </c>
      <c r="P799">
        <v>792</v>
      </c>
      <c r="Q799" s="6">
        <f t="shared" ca="1" si="214"/>
        <v>28672</v>
      </c>
      <c r="R799" s="7" t="e">
        <f t="shared" ca="1" si="219"/>
        <v>#REF!</v>
      </c>
      <c r="S799" s="125" t="e">
        <f t="shared" ca="1" si="220"/>
        <v>#REF!</v>
      </c>
      <c r="T799" s="125" t="e">
        <f t="shared" ca="1" si="215"/>
        <v>#REF!</v>
      </c>
      <c r="U799" s="128" t="e">
        <f t="shared" ca="1" si="221"/>
        <v>#REF!</v>
      </c>
      <c r="AC799">
        <v>792</v>
      </c>
      <c r="AD799" s="6">
        <f t="shared" ca="1" si="216"/>
        <v>28672</v>
      </c>
      <c r="AE799" s="7" t="e">
        <f t="shared" ca="1" si="222"/>
        <v>#REF!</v>
      </c>
      <c r="AF799" s="125" t="e">
        <f t="shared" ca="1" si="223"/>
        <v>#REF!</v>
      </c>
      <c r="AG799" s="125" t="e">
        <f t="shared" ca="1" si="217"/>
        <v>#REF!</v>
      </c>
      <c r="AH799" s="128" t="e">
        <f t="shared" ca="1" si="224"/>
        <v>#REF!</v>
      </c>
    </row>
    <row r="800" spans="4:34">
      <c r="D800">
        <v>793</v>
      </c>
      <c r="E800" s="6">
        <f t="shared" ca="1" si="209"/>
        <v>28642</v>
      </c>
      <c r="F800" s="7">
        <f t="shared" ca="1" si="218"/>
        <v>0</v>
      </c>
      <c r="G800" s="125">
        <f t="shared" ca="1" si="210"/>
        <v>0</v>
      </c>
      <c r="H800" s="125">
        <f ca="1">IF(F800=1,F800*$B$10/MIN(12,'Simulador - 3º Pilar'!$E$88),0)</f>
        <v>0</v>
      </c>
      <c r="I800" s="128">
        <f t="shared" ca="1" si="211"/>
        <v>0</v>
      </c>
      <c r="J800" s="494">
        <f t="shared" ca="1" si="212"/>
        <v>0</v>
      </c>
      <c r="K800" s="126">
        <f t="shared" ca="1" si="213"/>
        <v>0</v>
      </c>
      <c r="L800" s="126">
        <f t="shared" ca="1" si="208"/>
        <v>0</v>
      </c>
      <c r="P800">
        <v>793</v>
      </c>
      <c r="Q800" s="6">
        <f t="shared" ca="1" si="214"/>
        <v>28642</v>
      </c>
      <c r="R800" s="7" t="e">
        <f t="shared" ca="1" si="219"/>
        <v>#REF!</v>
      </c>
      <c r="S800" s="125" t="e">
        <f t="shared" ca="1" si="220"/>
        <v>#REF!</v>
      </c>
      <c r="T800" s="125" t="e">
        <f t="shared" ca="1" si="215"/>
        <v>#REF!</v>
      </c>
      <c r="U800" s="128" t="e">
        <f t="shared" ca="1" si="221"/>
        <v>#REF!</v>
      </c>
      <c r="AC800">
        <v>793</v>
      </c>
      <c r="AD800" s="6">
        <f t="shared" ca="1" si="216"/>
        <v>28642</v>
      </c>
      <c r="AE800" s="7" t="e">
        <f t="shared" ca="1" si="222"/>
        <v>#REF!</v>
      </c>
      <c r="AF800" s="125" t="e">
        <f t="shared" ca="1" si="223"/>
        <v>#REF!</v>
      </c>
      <c r="AG800" s="125" t="e">
        <f t="shared" ca="1" si="217"/>
        <v>#REF!</v>
      </c>
      <c r="AH800" s="128" t="e">
        <f t="shared" ca="1" si="224"/>
        <v>#REF!</v>
      </c>
    </row>
    <row r="801" spans="4:34">
      <c r="D801">
        <v>794</v>
      </c>
      <c r="E801" s="6">
        <f t="shared" ca="1" si="209"/>
        <v>28611</v>
      </c>
      <c r="F801" s="7">
        <f t="shared" ca="1" si="218"/>
        <v>0</v>
      </c>
      <c r="G801" s="125">
        <f t="shared" ca="1" si="210"/>
        <v>0</v>
      </c>
      <c r="H801" s="125">
        <f ca="1">IF(F801=1,F801*$B$10/MIN(12,'Simulador - 3º Pilar'!$E$88),0)</f>
        <v>0</v>
      </c>
      <c r="I801" s="128">
        <f t="shared" ca="1" si="211"/>
        <v>0</v>
      </c>
      <c r="J801" s="494">
        <f t="shared" ca="1" si="212"/>
        <v>0</v>
      </c>
      <c r="K801" s="126">
        <f t="shared" ca="1" si="213"/>
        <v>0</v>
      </c>
      <c r="L801" s="126">
        <f t="shared" ref="L801:L864" ca="1" si="225">(1+$G$5)^(D801/12)*(IF((E801)&gt;($B$6),H801,0)+IF(E801=$N$7,$N$4,0)+IF(E801=$C$6,0,0))</f>
        <v>0</v>
      </c>
      <c r="P801">
        <v>794</v>
      </c>
      <c r="Q801" s="6">
        <f t="shared" ca="1" si="214"/>
        <v>28611</v>
      </c>
      <c r="R801" s="7" t="e">
        <f t="shared" ca="1" si="219"/>
        <v>#REF!</v>
      </c>
      <c r="S801" s="125" t="e">
        <f t="shared" ca="1" si="220"/>
        <v>#REF!</v>
      </c>
      <c r="T801" s="125" t="e">
        <f t="shared" ca="1" si="215"/>
        <v>#REF!</v>
      </c>
      <c r="U801" s="128" t="e">
        <f t="shared" ca="1" si="221"/>
        <v>#REF!</v>
      </c>
      <c r="AC801">
        <v>794</v>
      </c>
      <c r="AD801" s="6">
        <f t="shared" ca="1" si="216"/>
        <v>28611</v>
      </c>
      <c r="AE801" s="7" t="e">
        <f t="shared" ca="1" si="222"/>
        <v>#REF!</v>
      </c>
      <c r="AF801" s="125" t="e">
        <f t="shared" ca="1" si="223"/>
        <v>#REF!</v>
      </c>
      <c r="AG801" s="125" t="e">
        <f t="shared" ca="1" si="217"/>
        <v>#REF!</v>
      </c>
      <c r="AH801" s="128" t="e">
        <f t="shared" ca="1" si="224"/>
        <v>#REF!</v>
      </c>
    </row>
    <row r="802" spans="4:34">
      <c r="D802">
        <v>795</v>
      </c>
      <c r="E802" s="6">
        <f t="shared" ca="1" si="209"/>
        <v>28581</v>
      </c>
      <c r="F802" s="7">
        <f t="shared" ca="1" si="218"/>
        <v>0</v>
      </c>
      <c r="G802" s="125">
        <f t="shared" ca="1" si="210"/>
        <v>0</v>
      </c>
      <c r="H802" s="125">
        <f ca="1">IF(F802=1,F802*$B$10/MIN(12,'Simulador - 3º Pilar'!$E$88),0)</f>
        <v>0</v>
      </c>
      <c r="I802" s="128">
        <f t="shared" ca="1" si="211"/>
        <v>0</v>
      </c>
      <c r="J802" s="494">
        <f t="shared" ca="1" si="212"/>
        <v>0</v>
      </c>
      <c r="K802" s="126">
        <f t="shared" ca="1" si="213"/>
        <v>0</v>
      </c>
      <c r="L802" s="126">
        <f t="shared" ca="1" si="225"/>
        <v>0</v>
      </c>
      <c r="P802">
        <v>795</v>
      </c>
      <c r="Q802" s="6">
        <f t="shared" ca="1" si="214"/>
        <v>28581</v>
      </c>
      <c r="R802" s="7" t="e">
        <f t="shared" ca="1" si="219"/>
        <v>#REF!</v>
      </c>
      <c r="S802" s="125" t="e">
        <f t="shared" ca="1" si="220"/>
        <v>#REF!</v>
      </c>
      <c r="T802" s="125" t="e">
        <f t="shared" ca="1" si="215"/>
        <v>#REF!</v>
      </c>
      <c r="U802" s="128" t="e">
        <f t="shared" ca="1" si="221"/>
        <v>#REF!</v>
      </c>
      <c r="AC802">
        <v>795</v>
      </c>
      <c r="AD802" s="6">
        <f t="shared" ca="1" si="216"/>
        <v>28581</v>
      </c>
      <c r="AE802" s="7" t="e">
        <f t="shared" ca="1" si="222"/>
        <v>#REF!</v>
      </c>
      <c r="AF802" s="125" t="e">
        <f t="shared" ca="1" si="223"/>
        <v>#REF!</v>
      </c>
      <c r="AG802" s="125" t="e">
        <f t="shared" ca="1" si="217"/>
        <v>#REF!</v>
      </c>
      <c r="AH802" s="128" t="e">
        <f t="shared" ca="1" si="224"/>
        <v>#REF!</v>
      </c>
    </row>
    <row r="803" spans="4:34">
      <c r="D803">
        <v>796</v>
      </c>
      <c r="E803" s="6">
        <f t="shared" ca="1" si="209"/>
        <v>28550</v>
      </c>
      <c r="F803" s="7">
        <f t="shared" ca="1" si="218"/>
        <v>0</v>
      </c>
      <c r="G803" s="125">
        <f t="shared" ca="1" si="210"/>
        <v>0</v>
      </c>
      <c r="H803" s="125">
        <f ca="1">IF(F803=1,F803*$B$10/MIN(12,'Simulador - 3º Pilar'!$E$88),0)</f>
        <v>0</v>
      </c>
      <c r="I803" s="128">
        <f t="shared" ca="1" si="211"/>
        <v>0</v>
      </c>
      <c r="J803" s="494">
        <f t="shared" ca="1" si="212"/>
        <v>0</v>
      </c>
      <c r="K803" s="126">
        <f t="shared" ca="1" si="213"/>
        <v>0</v>
      </c>
      <c r="L803" s="126">
        <f t="shared" ca="1" si="225"/>
        <v>0</v>
      </c>
      <c r="P803">
        <v>796</v>
      </c>
      <c r="Q803" s="6">
        <f t="shared" ca="1" si="214"/>
        <v>28550</v>
      </c>
      <c r="R803" s="7" t="e">
        <f t="shared" ca="1" si="219"/>
        <v>#REF!</v>
      </c>
      <c r="S803" s="125" t="e">
        <f t="shared" ca="1" si="220"/>
        <v>#REF!</v>
      </c>
      <c r="T803" s="125" t="e">
        <f t="shared" ca="1" si="215"/>
        <v>#REF!</v>
      </c>
      <c r="U803" s="128" t="e">
        <f t="shared" ca="1" si="221"/>
        <v>#REF!</v>
      </c>
      <c r="AC803">
        <v>796</v>
      </c>
      <c r="AD803" s="6">
        <f t="shared" ca="1" si="216"/>
        <v>28550</v>
      </c>
      <c r="AE803" s="7" t="e">
        <f t="shared" ca="1" si="222"/>
        <v>#REF!</v>
      </c>
      <c r="AF803" s="125" t="e">
        <f t="shared" ca="1" si="223"/>
        <v>#REF!</v>
      </c>
      <c r="AG803" s="125" t="e">
        <f t="shared" ca="1" si="217"/>
        <v>#REF!</v>
      </c>
      <c r="AH803" s="128" t="e">
        <f t="shared" ca="1" si="224"/>
        <v>#REF!</v>
      </c>
    </row>
    <row r="804" spans="4:34">
      <c r="D804">
        <v>797</v>
      </c>
      <c r="E804" s="6">
        <f t="shared" ca="1" si="209"/>
        <v>28522</v>
      </c>
      <c r="F804" s="7">
        <f t="shared" ca="1" si="218"/>
        <v>0</v>
      </c>
      <c r="G804" s="125">
        <f t="shared" ca="1" si="210"/>
        <v>0</v>
      </c>
      <c r="H804" s="125">
        <f ca="1">IF(F804=1,F804*$B$10/MIN(12,'Simulador - 3º Pilar'!$E$88),0)</f>
        <v>0</v>
      </c>
      <c r="I804" s="128">
        <f t="shared" ca="1" si="211"/>
        <v>0</v>
      </c>
      <c r="J804" s="494">
        <f t="shared" ca="1" si="212"/>
        <v>0</v>
      </c>
      <c r="K804" s="126">
        <f t="shared" ca="1" si="213"/>
        <v>0</v>
      </c>
      <c r="L804" s="126">
        <f t="shared" ca="1" si="225"/>
        <v>0</v>
      </c>
      <c r="P804">
        <v>797</v>
      </c>
      <c r="Q804" s="6">
        <f t="shared" ca="1" si="214"/>
        <v>28522</v>
      </c>
      <c r="R804" s="7" t="e">
        <f t="shared" ca="1" si="219"/>
        <v>#REF!</v>
      </c>
      <c r="S804" s="125" t="e">
        <f t="shared" ca="1" si="220"/>
        <v>#REF!</v>
      </c>
      <c r="T804" s="125" t="e">
        <f t="shared" ca="1" si="215"/>
        <v>#REF!</v>
      </c>
      <c r="U804" s="128" t="e">
        <f t="shared" ca="1" si="221"/>
        <v>#REF!</v>
      </c>
      <c r="AC804">
        <v>797</v>
      </c>
      <c r="AD804" s="6">
        <f t="shared" ca="1" si="216"/>
        <v>28522</v>
      </c>
      <c r="AE804" s="7" t="e">
        <f t="shared" ca="1" si="222"/>
        <v>#REF!</v>
      </c>
      <c r="AF804" s="125" t="e">
        <f t="shared" ca="1" si="223"/>
        <v>#REF!</v>
      </c>
      <c r="AG804" s="125" t="e">
        <f t="shared" ca="1" si="217"/>
        <v>#REF!</v>
      </c>
      <c r="AH804" s="128" t="e">
        <f t="shared" ca="1" si="224"/>
        <v>#REF!</v>
      </c>
    </row>
    <row r="805" spans="4:34">
      <c r="D805">
        <v>798</v>
      </c>
      <c r="E805" s="6">
        <f t="shared" ca="1" si="209"/>
        <v>28491</v>
      </c>
      <c r="F805" s="7">
        <f t="shared" ca="1" si="218"/>
        <v>0</v>
      </c>
      <c r="G805" s="125">
        <f t="shared" ca="1" si="210"/>
        <v>0</v>
      </c>
      <c r="H805" s="125">
        <f ca="1">IF(F805=1,F805*$B$10/MIN(12,'Simulador - 3º Pilar'!$E$88),0)</f>
        <v>0</v>
      </c>
      <c r="I805" s="128">
        <f t="shared" ca="1" si="211"/>
        <v>0</v>
      </c>
      <c r="J805" s="494">
        <f t="shared" ca="1" si="212"/>
        <v>0</v>
      </c>
      <c r="K805" s="126">
        <f t="shared" ca="1" si="213"/>
        <v>0</v>
      </c>
      <c r="L805" s="126">
        <f t="shared" ca="1" si="225"/>
        <v>0</v>
      </c>
      <c r="P805">
        <v>798</v>
      </c>
      <c r="Q805" s="6">
        <f t="shared" ca="1" si="214"/>
        <v>28491</v>
      </c>
      <c r="R805" s="7" t="e">
        <f t="shared" ca="1" si="219"/>
        <v>#REF!</v>
      </c>
      <c r="S805" s="125" t="e">
        <f t="shared" ca="1" si="220"/>
        <v>#REF!</v>
      </c>
      <c r="T805" s="125" t="e">
        <f t="shared" ca="1" si="215"/>
        <v>#REF!</v>
      </c>
      <c r="U805" s="128" t="e">
        <f t="shared" ca="1" si="221"/>
        <v>#REF!</v>
      </c>
      <c r="AC805">
        <v>798</v>
      </c>
      <c r="AD805" s="6">
        <f t="shared" ca="1" si="216"/>
        <v>28491</v>
      </c>
      <c r="AE805" s="7" t="e">
        <f t="shared" ca="1" si="222"/>
        <v>#REF!</v>
      </c>
      <c r="AF805" s="125" t="e">
        <f t="shared" ca="1" si="223"/>
        <v>#REF!</v>
      </c>
      <c r="AG805" s="125" t="e">
        <f t="shared" ca="1" si="217"/>
        <v>#REF!</v>
      </c>
      <c r="AH805" s="128" t="e">
        <f t="shared" ca="1" si="224"/>
        <v>#REF!</v>
      </c>
    </row>
    <row r="806" spans="4:34">
      <c r="D806">
        <v>799</v>
      </c>
      <c r="E806" s="6">
        <f t="shared" ca="1" si="209"/>
        <v>28460</v>
      </c>
      <c r="F806" s="7">
        <f t="shared" ca="1" si="218"/>
        <v>0</v>
      </c>
      <c r="G806" s="125">
        <f t="shared" ca="1" si="210"/>
        <v>0</v>
      </c>
      <c r="H806" s="125">
        <f ca="1">IF(F806=1,F806*$B$10/MIN(12,'Simulador - 3º Pilar'!$E$88),0)</f>
        <v>0</v>
      </c>
      <c r="I806" s="128">
        <f t="shared" ca="1" si="211"/>
        <v>0</v>
      </c>
      <c r="J806" s="494">
        <f t="shared" ca="1" si="212"/>
        <v>0</v>
      </c>
      <c r="K806" s="126">
        <f t="shared" ca="1" si="213"/>
        <v>0</v>
      </c>
      <c r="L806" s="126">
        <f t="shared" ca="1" si="225"/>
        <v>0</v>
      </c>
      <c r="P806">
        <v>799</v>
      </c>
      <c r="Q806" s="6">
        <f t="shared" ca="1" si="214"/>
        <v>28460</v>
      </c>
      <c r="R806" s="7" t="e">
        <f t="shared" ca="1" si="219"/>
        <v>#REF!</v>
      </c>
      <c r="S806" s="125" t="e">
        <f t="shared" ca="1" si="220"/>
        <v>#REF!</v>
      </c>
      <c r="T806" s="125" t="e">
        <f t="shared" ca="1" si="215"/>
        <v>#REF!</v>
      </c>
      <c r="U806" s="128" t="e">
        <f t="shared" ca="1" si="221"/>
        <v>#REF!</v>
      </c>
      <c r="AC806">
        <v>799</v>
      </c>
      <c r="AD806" s="6">
        <f t="shared" ca="1" si="216"/>
        <v>28460</v>
      </c>
      <c r="AE806" s="7" t="e">
        <f t="shared" ca="1" si="222"/>
        <v>#REF!</v>
      </c>
      <c r="AF806" s="125" t="e">
        <f t="shared" ca="1" si="223"/>
        <v>#REF!</v>
      </c>
      <c r="AG806" s="125" t="e">
        <f t="shared" ca="1" si="217"/>
        <v>#REF!</v>
      </c>
      <c r="AH806" s="128" t="e">
        <f t="shared" ca="1" si="224"/>
        <v>#REF!</v>
      </c>
    </row>
    <row r="807" spans="4:34">
      <c r="D807">
        <v>800</v>
      </c>
      <c r="E807" s="6">
        <f t="shared" ca="1" si="209"/>
        <v>28430</v>
      </c>
      <c r="F807" s="7">
        <f t="shared" ca="1" si="218"/>
        <v>0</v>
      </c>
      <c r="G807" s="125">
        <f t="shared" ca="1" si="210"/>
        <v>0</v>
      </c>
      <c r="H807" s="125">
        <f ca="1">IF(F807=1,F807*$B$10/MIN(12,'Simulador - 3º Pilar'!$E$88),0)</f>
        <v>0</v>
      </c>
      <c r="I807" s="128">
        <f t="shared" ca="1" si="211"/>
        <v>0</v>
      </c>
      <c r="J807" s="494">
        <f t="shared" ca="1" si="212"/>
        <v>0</v>
      </c>
      <c r="K807" s="126">
        <f t="shared" ca="1" si="213"/>
        <v>0</v>
      </c>
      <c r="L807" s="126">
        <f t="shared" ca="1" si="225"/>
        <v>0</v>
      </c>
      <c r="P807">
        <v>800</v>
      </c>
      <c r="Q807" s="6">
        <f t="shared" ca="1" si="214"/>
        <v>28430</v>
      </c>
      <c r="R807" s="7" t="e">
        <f t="shared" ca="1" si="219"/>
        <v>#REF!</v>
      </c>
      <c r="S807" s="125" t="e">
        <f t="shared" ca="1" si="220"/>
        <v>#REF!</v>
      </c>
      <c r="T807" s="125" t="e">
        <f t="shared" ca="1" si="215"/>
        <v>#REF!</v>
      </c>
      <c r="U807" s="128" t="e">
        <f t="shared" ca="1" si="221"/>
        <v>#REF!</v>
      </c>
      <c r="AC807">
        <v>800</v>
      </c>
      <c r="AD807" s="6">
        <f t="shared" ca="1" si="216"/>
        <v>28430</v>
      </c>
      <c r="AE807" s="7" t="e">
        <f t="shared" ca="1" si="222"/>
        <v>#REF!</v>
      </c>
      <c r="AF807" s="125" t="e">
        <f t="shared" ca="1" si="223"/>
        <v>#REF!</v>
      </c>
      <c r="AG807" s="125" t="e">
        <f t="shared" ca="1" si="217"/>
        <v>#REF!</v>
      </c>
      <c r="AH807" s="128" t="e">
        <f t="shared" ca="1" si="224"/>
        <v>#REF!</v>
      </c>
    </row>
    <row r="808" spans="4:34">
      <c r="D808">
        <v>801</v>
      </c>
      <c r="E808" s="6">
        <f t="shared" ca="1" si="209"/>
        <v>28399</v>
      </c>
      <c r="F808" s="7">
        <f t="shared" ca="1" si="218"/>
        <v>0</v>
      </c>
      <c r="G808" s="125">
        <f t="shared" ca="1" si="210"/>
        <v>0</v>
      </c>
      <c r="H808" s="125">
        <f ca="1">IF(F808=1,F808*$B$10/MIN(12,'Simulador - 3º Pilar'!$E$88),0)</f>
        <v>0</v>
      </c>
      <c r="I808" s="128">
        <f t="shared" ca="1" si="211"/>
        <v>0</v>
      </c>
      <c r="J808" s="494">
        <f t="shared" ca="1" si="212"/>
        <v>0</v>
      </c>
      <c r="K808" s="126">
        <f t="shared" ca="1" si="213"/>
        <v>0</v>
      </c>
      <c r="L808" s="126">
        <f t="shared" ca="1" si="225"/>
        <v>0</v>
      </c>
      <c r="P808">
        <v>801</v>
      </c>
      <c r="Q808" s="6">
        <f t="shared" ca="1" si="214"/>
        <v>28399</v>
      </c>
      <c r="R808" s="7" t="e">
        <f t="shared" ca="1" si="219"/>
        <v>#REF!</v>
      </c>
      <c r="S808" s="125" t="e">
        <f t="shared" ca="1" si="220"/>
        <v>#REF!</v>
      </c>
      <c r="T808" s="125" t="e">
        <f t="shared" ca="1" si="215"/>
        <v>#REF!</v>
      </c>
      <c r="U808" s="128" t="e">
        <f t="shared" ca="1" si="221"/>
        <v>#REF!</v>
      </c>
      <c r="AC808">
        <v>801</v>
      </c>
      <c r="AD808" s="6">
        <f t="shared" ca="1" si="216"/>
        <v>28399</v>
      </c>
      <c r="AE808" s="7" t="e">
        <f t="shared" ca="1" si="222"/>
        <v>#REF!</v>
      </c>
      <c r="AF808" s="125" t="e">
        <f t="shared" ca="1" si="223"/>
        <v>#REF!</v>
      </c>
      <c r="AG808" s="125" t="e">
        <f t="shared" ca="1" si="217"/>
        <v>#REF!</v>
      </c>
      <c r="AH808" s="128" t="e">
        <f t="shared" ca="1" si="224"/>
        <v>#REF!</v>
      </c>
    </row>
    <row r="809" spans="4:34">
      <c r="D809">
        <v>802</v>
      </c>
      <c r="E809" s="6">
        <f t="shared" ca="1" si="209"/>
        <v>28369</v>
      </c>
      <c r="F809" s="7">
        <f t="shared" ca="1" si="218"/>
        <v>0</v>
      </c>
      <c r="G809" s="125">
        <f t="shared" ca="1" si="210"/>
        <v>0</v>
      </c>
      <c r="H809" s="125">
        <f ca="1">IF(F809=1,F809*$B$10/MIN(12,'Simulador - 3º Pilar'!$E$88),0)</f>
        <v>0</v>
      </c>
      <c r="I809" s="128">
        <f t="shared" ca="1" si="211"/>
        <v>0</v>
      </c>
      <c r="J809" s="494">
        <f t="shared" ca="1" si="212"/>
        <v>0</v>
      </c>
      <c r="K809" s="126">
        <f t="shared" ca="1" si="213"/>
        <v>0</v>
      </c>
      <c r="L809" s="126">
        <f t="shared" ca="1" si="225"/>
        <v>0</v>
      </c>
      <c r="P809">
        <v>802</v>
      </c>
      <c r="Q809" s="6">
        <f t="shared" ca="1" si="214"/>
        <v>28369</v>
      </c>
      <c r="R809" s="7" t="e">
        <f t="shared" ca="1" si="219"/>
        <v>#REF!</v>
      </c>
      <c r="S809" s="125" t="e">
        <f t="shared" ca="1" si="220"/>
        <v>#REF!</v>
      </c>
      <c r="T809" s="125" t="e">
        <f t="shared" ca="1" si="215"/>
        <v>#REF!</v>
      </c>
      <c r="U809" s="128" t="e">
        <f t="shared" ca="1" si="221"/>
        <v>#REF!</v>
      </c>
      <c r="AC809">
        <v>802</v>
      </c>
      <c r="AD809" s="6">
        <f t="shared" ca="1" si="216"/>
        <v>28369</v>
      </c>
      <c r="AE809" s="7" t="e">
        <f t="shared" ca="1" si="222"/>
        <v>#REF!</v>
      </c>
      <c r="AF809" s="125" t="e">
        <f t="shared" ca="1" si="223"/>
        <v>#REF!</v>
      </c>
      <c r="AG809" s="125" t="e">
        <f t="shared" ca="1" si="217"/>
        <v>#REF!</v>
      </c>
      <c r="AH809" s="128" t="e">
        <f t="shared" ca="1" si="224"/>
        <v>#REF!</v>
      </c>
    </row>
    <row r="810" spans="4:34">
      <c r="D810">
        <v>803</v>
      </c>
      <c r="E810" s="6">
        <f t="shared" ca="1" si="209"/>
        <v>28338</v>
      </c>
      <c r="F810" s="7">
        <f t="shared" ca="1" si="218"/>
        <v>0</v>
      </c>
      <c r="G810" s="125">
        <f t="shared" ca="1" si="210"/>
        <v>0</v>
      </c>
      <c r="H810" s="125">
        <f ca="1">IF(F810=1,F810*$B$10/MIN(12,'Simulador - 3º Pilar'!$E$88),0)</f>
        <v>0</v>
      </c>
      <c r="I810" s="128">
        <f t="shared" ca="1" si="211"/>
        <v>0</v>
      </c>
      <c r="J810" s="494">
        <f t="shared" ca="1" si="212"/>
        <v>0</v>
      </c>
      <c r="K810" s="126">
        <f t="shared" ca="1" si="213"/>
        <v>0</v>
      </c>
      <c r="L810" s="126">
        <f t="shared" ca="1" si="225"/>
        <v>0</v>
      </c>
      <c r="P810">
        <v>803</v>
      </c>
      <c r="Q810" s="6">
        <f t="shared" ca="1" si="214"/>
        <v>28338</v>
      </c>
      <c r="R810" s="7" t="e">
        <f t="shared" ca="1" si="219"/>
        <v>#REF!</v>
      </c>
      <c r="S810" s="125" t="e">
        <f t="shared" ca="1" si="220"/>
        <v>#REF!</v>
      </c>
      <c r="T810" s="125" t="e">
        <f t="shared" ca="1" si="215"/>
        <v>#REF!</v>
      </c>
      <c r="U810" s="128" t="e">
        <f t="shared" ca="1" si="221"/>
        <v>#REF!</v>
      </c>
      <c r="AC810">
        <v>803</v>
      </c>
      <c r="AD810" s="6">
        <f t="shared" ca="1" si="216"/>
        <v>28338</v>
      </c>
      <c r="AE810" s="7" t="e">
        <f t="shared" ca="1" si="222"/>
        <v>#REF!</v>
      </c>
      <c r="AF810" s="125" t="e">
        <f t="shared" ca="1" si="223"/>
        <v>#REF!</v>
      </c>
      <c r="AG810" s="125" t="e">
        <f t="shared" ca="1" si="217"/>
        <v>#REF!</v>
      </c>
      <c r="AH810" s="128" t="e">
        <f t="shared" ca="1" si="224"/>
        <v>#REF!</v>
      </c>
    </row>
    <row r="811" spans="4:34">
      <c r="D811">
        <v>804</v>
      </c>
      <c r="E811" s="6">
        <f t="shared" ca="1" si="209"/>
        <v>28307</v>
      </c>
      <c r="F811" s="7">
        <f t="shared" ca="1" si="218"/>
        <v>0</v>
      </c>
      <c r="G811" s="125">
        <f t="shared" ca="1" si="210"/>
        <v>0</v>
      </c>
      <c r="H811" s="125">
        <f ca="1">IF(F811=1,F811*$B$10/MIN(12,'Simulador - 3º Pilar'!$E$88),0)</f>
        <v>0</v>
      </c>
      <c r="I811" s="128">
        <f t="shared" ca="1" si="211"/>
        <v>0</v>
      </c>
      <c r="J811" s="494">
        <f t="shared" ca="1" si="212"/>
        <v>0</v>
      </c>
      <c r="K811" s="126">
        <f t="shared" ca="1" si="213"/>
        <v>0</v>
      </c>
      <c r="L811" s="126">
        <f t="shared" ca="1" si="225"/>
        <v>0</v>
      </c>
      <c r="P811">
        <v>804</v>
      </c>
      <c r="Q811" s="6">
        <f t="shared" ca="1" si="214"/>
        <v>28307</v>
      </c>
      <c r="R811" s="7" t="e">
        <f t="shared" ca="1" si="219"/>
        <v>#REF!</v>
      </c>
      <c r="S811" s="125" t="e">
        <f t="shared" ca="1" si="220"/>
        <v>#REF!</v>
      </c>
      <c r="T811" s="125" t="e">
        <f t="shared" ca="1" si="215"/>
        <v>#REF!</v>
      </c>
      <c r="U811" s="128" t="e">
        <f t="shared" ca="1" si="221"/>
        <v>#REF!</v>
      </c>
      <c r="AC811">
        <v>804</v>
      </c>
      <c r="AD811" s="6">
        <f t="shared" ca="1" si="216"/>
        <v>28307</v>
      </c>
      <c r="AE811" s="7" t="e">
        <f t="shared" ca="1" si="222"/>
        <v>#REF!</v>
      </c>
      <c r="AF811" s="125" t="e">
        <f t="shared" ca="1" si="223"/>
        <v>#REF!</v>
      </c>
      <c r="AG811" s="125" t="e">
        <f t="shared" ca="1" si="217"/>
        <v>#REF!</v>
      </c>
      <c r="AH811" s="128" t="e">
        <f t="shared" ca="1" si="224"/>
        <v>#REF!</v>
      </c>
    </row>
    <row r="812" spans="4:34">
      <c r="D812">
        <v>805</v>
      </c>
      <c r="E812" s="6">
        <f t="shared" ca="1" si="209"/>
        <v>28277</v>
      </c>
      <c r="F812" s="7">
        <f t="shared" ca="1" si="218"/>
        <v>0</v>
      </c>
      <c r="G812" s="125">
        <f t="shared" ca="1" si="210"/>
        <v>0</v>
      </c>
      <c r="H812" s="125">
        <f ca="1">IF(F812=1,F812*$B$10/MIN(12,'Simulador - 3º Pilar'!$E$88),0)</f>
        <v>0</v>
      </c>
      <c r="I812" s="128">
        <f t="shared" ca="1" si="211"/>
        <v>0</v>
      </c>
      <c r="J812" s="494">
        <f t="shared" ca="1" si="212"/>
        <v>0</v>
      </c>
      <c r="K812" s="126">
        <f t="shared" ca="1" si="213"/>
        <v>0</v>
      </c>
      <c r="L812" s="126">
        <f t="shared" ca="1" si="225"/>
        <v>0</v>
      </c>
      <c r="P812">
        <v>805</v>
      </c>
      <c r="Q812" s="6">
        <f t="shared" ca="1" si="214"/>
        <v>28277</v>
      </c>
      <c r="R812" s="7" t="e">
        <f t="shared" ca="1" si="219"/>
        <v>#REF!</v>
      </c>
      <c r="S812" s="125" t="e">
        <f t="shared" ca="1" si="220"/>
        <v>#REF!</v>
      </c>
      <c r="T812" s="125" t="e">
        <f t="shared" ca="1" si="215"/>
        <v>#REF!</v>
      </c>
      <c r="U812" s="128" t="e">
        <f t="shared" ca="1" si="221"/>
        <v>#REF!</v>
      </c>
      <c r="AC812">
        <v>805</v>
      </c>
      <c r="AD812" s="6">
        <f t="shared" ca="1" si="216"/>
        <v>28277</v>
      </c>
      <c r="AE812" s="7" t="e">
        <f t="shared" ca="1" si="222"/>
        <v>#REF!</v>
      </c>
      <c r="AF812" s="125" t="e">
        <f t="shared" ca="1" si="223"/>
        <v>#REF!</v>
      </c>
      <c r="AG812" s="125" t="e">
        <f t="shared" ca="1" si="217"/>
        <v>#REF!</v>
      </c>
      <c r="AH812" s="128" t="e">
        <f t="shared" ca="1" si="224"/>
        <v>#REF!</v>
      </c>
    </row>
    <row r="813" spans="4:34">
      <c r="D813">
        <v>806</v>
      </c>
      <c r="E813" s="6">
        <f t="shared" ca="1" si="209"/>
        <v>28246</v>
      </c>
      <c r="F813" s="7">
        <f t="shared" ca="1" si="218"/>
        <v>0</v>
      </c>
      <c r="G813" s="125">
        <f t="shared" ca="1" si="210"/>
        <v>0</v>
      </c>
      <c r="H813" s="125">
        <f ca="1">IF(F813=1,F813*$B$10/MIN(12,'Simulador - 3º Pilar'!$E$88),0)</f>
        <v>0</v>
      </c>
      <c r="I813" s="128">
        <f t="shared" ca="1" si="211"/>
        <v>0</v>
      </c>
      <c r="J813" s="494">
        <f t="shared" ca="1" si="212"/>
        <v>0</v>
      </c>
      <c r="K813" s="126">
        <f t="shared" ca="1" si="213"/>
        <v>0</v>
      </c>
      <c r="L813" s="126">
        <f t="shared" ca="1" si="225"/>
        <v>0</v>
      </c>
      <c r="P813">
        <v>806</v>
      </c>
      <c r="Q813" s="6">
        <f t="shared" ca="1" si="214"/>
        <v>28246</v>
      </c>
      <c r="R813" s="7" t="e">
        <f t="shared" ca="1" si="219"/>
        <v>#REF!</v>
      </c>
      <c r="S813" s="125" t="e">
        <f t="shared" ca="1" si="220"/>
        <v>#REF!</v>
      </c>
      <c r="T813" s="125" t="e">
        <f t="shared" ca="1" si="215"/>
        <v>#REF!</v>
      </c>
      <c r="U813" s="128" t="e">
        <f t="shared" ca="1" si="221"/>
        <v>#REF!</v>
      </c>
      <c r="AC813">
        <v>806</v>
      </c>
      <c r="AD813" s="6">
        <f t="shared" ca="1" si="216"/>
        <v>28246</v>
      </c>
      <c r="AE813" s="7" t="e">
        <f t="shared" ca="1" si="222"/>
        <v>#REF!</v>
      </c>
      <c r="AF813" s="125" t="e">
        <f t="shared" ca="1" si="223"/>
        <v>#REF!</v>
      </c>
      <c r="AG813" s="125" t="e">
        <f t="shared" ca="1" si="217"/>
        <v>#REF!</v>
      </c>
      <c r="AH813" s="128" t="e">
        <f t="shared" ca="1" si="224"/>
        <v>#REF!</v>
      </c>
    </row>
    <row r="814" spans="4:34">
      <c r="D814">
        <v>807</v>
      </c>
      <c r="E814" s="6">
        <f t="shared" ca="1" si="209"/>
        <v>28216</v>
      </c>
      <c r="F814" s="7">
        <f t="shared" ca="1" si="218"/>
        <v>0</v>
      </c>
      <c r="G814" s="125">
        <f t="shared" ca="1" si="210"/>
        <v>0</v>
      </c>
      <c r="H814" s="125">
        <f ca="1">IF(F814=1,F814*$B$10/MIN(12,'Simulador - 3º Pilar'!$E$88),0)</f>
        <v>0</v>
      </c>
      <c r="I814" s="128">
        <f t="shared" ca="1" si="211"/>
        <v>0</v>
      </c>
      <c r="J814" s="494">
        <f t="shared" ca="1" si="212"/>
        <v>0</v>
      </c>
      <c r="K814" s="126">
        <f t="shared" ca="1" si="213"/>
        <v>0</v>
      </c>
      <c r="L814" s="126">
        <f t="shared" ca="1" si="225"/>
        <v>0</v>
      </c>
      <c r="P814">
        <v>807</v>
      </c>
      <c r="Q814" s="6">
        <f t="shared" ca="1" si="214"/>
        <v>28216</v>
      </c>
      <c r="R814" s="7" t="e">
        <f t="shared" ca="1" si="219"/>
        <v>#REF!</v>
      </c>
      <c r="S814" s="125" t="e">
        <f t="shared" ca="1" si="220"/>
        <v>#REF!</v>
      </c>
      <c r="T814" s="125" t="e">
        <f t="shared" ca="1" si="215"/>
        <v>#REF!</v>
      </c>
      <c r="U814" s="128" t="e">
        <f t="shared" ca="1" si="221"/>
        <v>#REF!</v>
      </c>
      <c r="AC814">
        <v>807</v>
      </c>
      <c r="AD814" s="6">
        <f t="shared" ca="1" si="216"/>
        <v>28216</v>
      </c>
      <c r="AE814" s="7" t="e">
        <f t="shared" ca="1" si="222"/>
        <v>#REF!</v>
      </c>
      <c r="AF814" s="125" t="e">
        <f t="shared" ca="1" si="223"/>
        <v>#REF!</v>
      </c>
      <c r="AG814" s="125" t="e">
        <f t="shared" ca="1" si="217"/>
        <v>#REF!</v>
      </c>
      <c r="AH814" s="128" t="e">
        <f t="shared" ca="1" si="224"/>
        <v>#REF!</v>
      </c>
    </row>
    <row r="815" spans="4:34">
      <c r="D815">
        <v>808</v>
      </c>
      <c r="E815" s="6">
        <f t="shared" ca="1" si="209"/>
        <v>28185</v>
      </c>
      <c r="F815" s="7">
        <f t="shared" ca="1" si="218"/>
        <v>0</v>
      </c>
      <c r="G815" s="125">
        <f t="shared" ca="1" si="210"/>
        <v>0</v>
      </c>
      <c r="H815" s="125">
        <f ca="1">IF(F815=1,F815*$B$10/MIN(12,'Simulador - 3º Pilar'!$E$88),0)</f>
        <v>0</v>
      </c>
      <c r="I815" s="128">
        <f t="shared" ca="1" si="211"/>
        <v>0</v>
      </c>
      <c r="J815" s="494">
        <f t="shared" ca="1" si="212"/>
        <v>0</v>
      </c>
      <c r="K815" s="126">
        <f t="shared" ca="1" si="213"/>
        <v>0</v>
      </c>
      <c r="L815" s="126">
        <f t="shared" ca="1" si="225"/>
        <v>0</v>
      </c>
      <c r="P815">
        <v>808</v>
      </c>
      <c r="Q815" s="6">
        <f t="shared" ca="1" si="214"/>
        <v>28185</v>
      </c>
      <c r="R815" s="7" t="e">
        <f t="shared" ca="1" si="219"/>
        <v>#REF!</v>
      </c>
      <c r="S815" s="125" t="e">
        <f t="shared" ca="1" si="220"/>
        <v>#REF!</v>
      </c>
      <c r="T815" s="125" t="e">
        <f t="shared" ca="1" si="215"/>
        <v>#REF!</v>
      </c>
      <c r="U815" s="128" t="e">
        <f t="shared" ca="1" si="221"/>
        <v>#REF!</v>
      </c>
      <c r="AC815">
        <v>808</v>
      </c>
      <c r="AD815" s="6">
        <f t="shared" ca="1" si="216"/>
        <v>28185</v>
      </c>
      <c r="AE815" s="7" t="e">
        <f t="shared" ca="1" si="222"/>
        <v>#REF!</v>
      </c>
      <c r="AF815" s="125" t="e">
        <f t="shared" ca="1" si="223"/>
        <v>#REF!</v>
      </c>
      <c r="AG815" s="125" t="e">
        <f t="shared" ca="1" si="217"/>
        <v>#REF!</v>
      </c>
      <c r="AH815" s="128" t="e">
        <f t="shared" ca="1" si="224"/>
        <v>#REF!</v>
      </c>
    </row>
    <row r="816" spans="4:34">
      <c r="D816">
        <v>809</v>
      </c>
      <c r="E816" s="6">
        <f t="shared" ca="1" si="209"/>
        <v>28157</v>
      </c>
      <c r="F816" s="7">
        <f t="shared" ca="1" si="218"/>
        <v>0</v>
      </c>
      <c r="G816" s="125">
        <f t="shared" ca="1" si="210"/>
        <v>0</v>
      </c>
      <c r="H816" s="125">
        <f ca="1">IF(F816=1,F816*$B$10/MIN(12,'Simulador - 3º Pilar'!$E$88),0)</f>
        <v>0</v>
      </c>
      <c r="I816" s="128">
        <f t="shared" ca="1" si="211"/>
        <v>0</v>
      </c>
      <c r="J816" s="494">
        <f t="shared" ca="1" si="212"/>
        <v>0</v>
      </c>
      <c r="K816" s="126">
        <f t="shared" ca="1" si="213"/>
        <v>0</v>
      </c>
      <c r="L816" s="126">
        <f t="shared" ca="1" si="225"/>
        <v>0</v>
      </c>
      <c r="P816">
        <v>809</v>
      </c>
      <c r="Q816" s="6">
        <f t="shared" ca="1" si="214"/>
        <v>28157</v>
      </c>
      <c r="R816" s="7" t="e">
        <f t="shared" ca="1" si="219"/>
        <v>#REF!</v>
      </c>
      <c r="S816" s="125" t="e">
        <f t="shared" ca="1" si="220"/>
        <v>#REF!</v>
      </c>
      <c r="T816" s="125" t="e">
        <f t="shared" ca="1" si="215"/>
        <v>#REF!</v>
      </c>
      <c r="U816" s="128" t="e">
        <f t="shared" ca="1" si="221"/>
        <v>#REF!</v>
      </c>
      <c r="AC816">
        <v>809</v>
      </c>
      <c r="AD816" s="6">
        <f t="shared" ca="1" si="216"/>
        <v>28157</v>
      </c>
      <c r="AE816" s="7" t="e">
        <f t="shared" ca="1" si="222"/>
        <v>#REF!</v>
      </c>
      <c r="AF816" s="125" t="e">
        <f t="shared" ca="1" si="223"/>
        <v>#REF!</v>
      </c>
      <c r="AG816" s="125" t="e">
        <f t="shared" ca="1" si="217"/>
        <v>#REF!</v>
      </c>
      <c r="AH816" s="128" t="e">
        <f t="shared" ca="1" si="224"/>
        <v>#REF!</v>
      </c>
    </row>
    <row r="817" spans="4:34">
      <c r="D817">
        <v>810</v>
      </c>
      <c r="E817" s="6">
        <f t="shared" ca="1" si="209"/>
        <v>28126</v>
      </c>
      <c r="F817" s="7">
        <f t="shared" ca="1" si="218"/>
        <v>0</v>
      </c>
      <c r="G817" s="125">
        <f t="shared" ca="1" si="210"/>
        <v>0</v>
      </c>
      <c r="H817" s="125">
        <f ca="1">IF(F817=1,F817*$B$10/MIN(12,'Simulador - 3º Pilar'!$E$88),0)</f>
        <v>0</v>
      </c>
      <c r="I817" s="128">
        <f t="shared" ca="1" si="211"/>
        <v>0</v>
      </c>
      <c r="J817" s="494">
        <f t="shared" ca="1" si="212"/>
        <v>0</v>
      </c>
      <c r="K817" s="126">
        <f t="shared" ca="1" si="213"/>
        <v>0</v>
      </c>
      <c r="L817" s="126">
        <f t="shared" ca="1" si="225"/>
        <v>0</v>
      </c>
      <c r="P817">
        <v>810</v>
      </c>
      <c r="Q817" s="6">
        <f t="shared" ca="1" si="214"/>
        <v>28126</v>
      </c>
      <c r="R817" s="7" t="e">
        <f t="shared" ca="1" si="219"/>
        <v>#REF!</v>
      </c>
      <c r="S817" s="125" t="e">
        <f t="shared" ca="1" si="220"/>
        <v>#REF!</v>
      </c>
      <c r="T817" s="125" t="e">
        <f t="shared" ca="1" si="215"/>
        <v>#REF!</v>
      </c>
      <c r="U817" s="128" t="e">
        <f t="shared" ca="1" si="221"/>
        <v>#REF!</v>
      </c>
      <c r="AC817">
        <v>810</v>
      </c>
      <c r="AD817" s="6">
        <f t="shared" ca="1" si="216"/>
        <v>28126</v>
      </c>
      <c r="AE817" s="7" t="e">
        <f t="shared" ca="1" si="222"/>
        <v>#REF!</v>
      </c>
      <c r="AF817" s="125" t="e">
        <f t="shared" ca="1" si="223"/>
        <v>#REF!</v>
      </c>
      <c r="AG817" s="125" t="e">
        <f t="shared" ca="1" si="217"/>
        <v>#REF!</v>
      </c>
      <c r="AH817" s="128" t="e">
        <f t="shared" ca="1" si="224"/>
        <v>#REF!</v>
      </c>
    </row>
    <row r="818" spans="4:34">
      <c r="D818">
        <v>811</v>
      </c>
      <c r="E818" s="6">
        <f t="shared" ca="1" si="209"/>
        <v>28095</v>
      </c>
      <c r="F818" s="7">
        <f t="shared" ca="1" si="218"/>
        <v>0</v>
      </c>
      <c r="G818" s="125">
        <f t="shared" ca="1" si="210"/>
        <v>0</v>
      </c>
      <c r="H818" s="125">
        <f ca="1">IF(F818=1,F818*$B$10/MIN(12,'Simulador - 3º Pilar'!$E$88),0)</f>
        <v>0</v>
      </c>
      <c r="I818" s="128">
        <f t="shared" ca="1" si="211"/>
        <v>0</v>
      </c>
      <c r="J818" s="494">
        <f t="shared" ca="1" si="212"/>
        <v>0</v>
      </c>
      <c r="K818" s="126">
        <f t="shared" ca="1" si="213"/>
        <v>0</v>
      </c>
      <c r="L818" s="126">
        <f t="shared" ca="1" si="225"/>
        <v>0</v>
      </c>
      <c r="P818">
        <v>811</v>
      </c>
      <c r="Q818" s="6">
        <f t="shared" ca="1" si="214"/>
        <v>28095</v>
      </c>
      <c r="R818" s="7" t="e">
        <f t="shared" ca="1" si="219"/>
        <v>#REF!</v>
      </c>
      <c r="S818" s="125" t="e">
        <f t="shared" ca="1" si="220"/>
        <v>#REF!</v>
      </c>
      <c r="T818" s="125" t="e">
        <f t="shared" ca="1" si="215"/>
        <v>#REF!</v>
      </c>
      <c r="U818" s="128" t="e">
        <f t="shared" ca="1" si="221"/>
        <v>#REF!</v>
      </c>
      <c r="AC818">
        <v>811</v>
      </c>
      <c r="AD818" s="6">
        <f t="shared" ca="1" si="216"/>
        <v>28095</v>
      </c>
      <c r="AE818" s="7" t="e">
        <f t="shared" ca="1" si="222"/>
        <v>#REF!</v>
      </c>
      <c r="AF818" s="125" t="e">
        <f t="shared" ca="1" si="223"/>
        <v>#REF!</v>
      </c>
      <c r="AG818" s="125" t="e">
        <f t="shared" ca="1" si="217"/>
        <v>#REF!</v>
      </c>
      <c r="AH818" s="128" t="e">
        <f t="shared" ca="1" si="224"/>
        <v>#REF!</v>
      </c>
    </row>
    <row r="819" spans="4:34">
      <c r="D819">
        <v>812</v>
      </c>
      <c r="E819" s="6">
        <f t="shared" ca="1" si="209"/>
        <v>28065</v>
      </c>
      <c r="F819" s="7">
        <f t="shared" ca="1" si="218"/>
        <v>0</v>
      </c>
      <c r="G819" s="125">
        <f t="shared" ca="1" si="210"/>
        <v>0</v>
      </c>
      <c r="H819" s="125">
        <f ca="1">IF(F819=1,F819*$B$10/MIN(12,'Simulador - 3º Pilar'!$E$88),0)</f>
        <v>0</v>
      </c>
      <c r="I819" s="128">
        <f t="shared" ca="1" si="211"/>
        <v>0</v>
      </c>
      <c r="J819" s="494">
        <f t="shared" ca="1" si="212"/>
        <v>0</v>
      </c>
      <c r="K819" s="126">
        <f t="shared" ca="1" si="213"/>
        <v>0</v>
      </c>
      <c r="L819" s="126">
        <f t="shared" ca="1" si="225"/>
        <v>0</v>
      </c>
      <c r="P819">
        <v>812</v>
      </c>
      <c r="Q819" s="6">
        <f t="shared" ca="1" si="214"/>
        <v>28065</v>
      </c>
      <c r="R819" s="7" t="e">
        <f t="shared" ca="1" si="219"/>
        <v>#REF!</v>
      </c>
      <c r="S819" s="125" t="e">
        <f t="shared" ca="1" si="220"/>
        <v>#REF!</v>
      </c>
      <c r="T819" s="125" t="e">
        <f t="shared" ca="1" si="215"/>
        <v>#REF!</v>
      </c>
      <c r="U819" s="128" t="e">
        <f t="shared" ca="1" si="221"/>
        <v>#REF!</v>
      </c>
      <c r="AC819">
        <v>812</v>
      </c>
      <c r="AD819" s="6">
        <f t="shared" ca="1" si="216"/>
        <v>28065</v>
      </c>
      <c r="AE819" s="7" t="e">
        <f t="shared" ca="1" si="222"/>
        <v>#REF!</v>
      </c>
      <c r="AF819" s="125" t="e">
        <f t="shared" ca="1" si="223"/>
        <v>#REF!</v>
      </c>
      <c r="AG819" s="125" t="e">
        <f t="shared" ca="1" si="217"/>
        <v>#REF!</v>
      </c>
      <c r="AH819" s="128" t="e">
        <f t="shared" ca="1" si="224"/>
        <v>#REF!</v>
      </c>
    </row>
    <row r="820" spans="4:34">
      <c r="D820">
        <v>813</v>
      </c>
      <c r="E820" s="6">
        <f t="shared" ca="1" si="209"/>
        <v>28034</v>
      </c>
      <c r="F820" s="7">
        <f t="shared" ca="1" si="218"/>
        <v>0</v>
      </c>
      <c r="G820" s="125">
        <f t="shared" ca="1" si="210"/>
        <v>0</v>
      </c>
      <c r="H820" s="125">
        <f ca="1">IF(F820=1,F820*$B$10/MIN(12,'Simulador - 3º Pilar'!$E$88),0)</f>
        <v>0</v>
      </c>
      <c r="I820" s="128">
        <f t="shared" ca="1" si="211"/>
        <v>0</v>
      </c>
      <c r="J820" s="494">
        <f t="shared" ca="1" si="212"/>
        <v>0</v>
      </c>
      <c r="K820" s="126">
        <f t="shared" ca="1" si="213"/>
        <v>0</v>
      </c>
      <c r="L820" s="126">
        <f t="shared" ca="1" si="225"/>
        <v>0</v>
      </c>
      <c r="P820">
        <v>813</v>
      </c>
      <c r="Q820" s="6">
        <f t="shared" ca="1" si="214"/>
        <v>28034</v>
      </c>
      <c r="R820" s="7" t="e">
        <f t="shared" ca="1" si="219"/>
        <v>#REF!</v>
      </c>
      <c r="S820" s="125" t="e">
        <f t="shared" ca="1" si="220"/>
        <v>#REF!</v>
      </c>
      <c r="T820" s="125" t="e">
        <f t="shared" ca="1" si="215"/>
        <v>#REF!</v>
      </c>
      <c r="U820" s="128" t="e">
        <f t="shared" ca="1" si="221"/>
        <v>#REF!</v>
      </c>
      <c r="AC820">
        <v>813</v>
      </c>
      <c r="AD820" s="6">
        <f t="shared" ca="1" si="216"/>
        <v>28034</v>
      </c>
      <c r="AE820" s="7" t="e">
        <f t="shared" ca="1" si="222"/>
        <v>#REF!</v>
      </c>
      <c r="AF820" s="125" t="e">
        <f t="shared" ca="1" si="223"/>
        <v>#REF!</v>
      </c>
      <c r="AG820" s="125" t="e">
        <f t="shared" ca="1" si="217"/>
        <v>#REF!</v>
      </c>
      <c r="AH820" s="128" t="e">
        <f t="shared" ca="1" si="224"/>
        <v>#REF!</v>
      </c>
    </row>
    <row r="821" spans="4:34">
      <c r="D821">
        <v>814</v>
      </c>
      <c r="E821" s="6">
        <f t="shared" ca="1" si="209"/>
        <v>28004</v>
      </c>
      <c r="F821" s="7">
        <f t="shared" ca="1" si="218"/>
        <v>0</v>
      </c>
      <c r="G821" s="125">
        <f t="shared" ca="1" si="210"/>
        <v>0</v>
      </c>
      <c r="H821" s="125">
        <f ca="1">IF(F821=1,F821*$B$10/MIN(12,'Simulador - 3º Pilar'!$E$88),0)</f>
        <v>0</v>
      </c>
      <c r="I821" s="128">
        <f t="shared" ca="1" si="211"/>
        <v>0</v>
      </c>
      <c r="J821" s="494">
        <f t="shared" ca="1" si="212"/>
        <v>0</v>
      </c>
      <c r="K821" s="126">
        <f t="shared" ca="1" si="213"/>
        <v>0</v>
      </c>
      <c r="L821" s="126">
        <f t="shared" ca="1" si="225"/>
        <v>0</v>
      </c>
      <c r="P821">
        <v>814</v>
      </c>
      <c r="Q821" s="6">
        <f t="shared" ca="1" si="214"/>
        <v>28004</v>
      </c>
      <c r="R821" s="7" t="e">
        <f t="shared" ca="1" si="219"/>
        <v>#REF!</v>
      </c>
      <c r="S821" s="125" t="e">
        <f t="shared" ca="1" si="220"/>
        <v>#REF!</v>
      </c>
      <c r="T821" s="125" t="e">
        <f t="shared" ca="1" si="215"/>
        <v>#REF!</v>
      </c>
      <c r="U821" s="128" t="e">
        <f t="shared" ca="1" si="221"/>
        <v>#REF!</v>
      </c>
      <c r="AC821">
        <v>814</v>
      </c>
      <c r="AD821" s="6">
        <f t="shared" ca="1" si="216"/>
        <v>28004</v>
      </c>
      <c r="AE821" s="7" t="e">
        <f t="shared" ca="1" si="222"/>
        <v>#REF!</v>
      </c>
      <c r="AF821" s="125" t="e">
        <f t="shared" ca="1" si="223"/>
        <v>#REF!</v>
      </c>
      <c r="AG821" s="125" t="e">
        <f t="shared" ca="1" si="217"/>
        <v>#REF!</v>
      </c>
      <c r="AH821" s="128" t="e">
        <f t="shared" ca="1" si="224"/>
        <v>#REF!</v>
      </c>
    </row>
    <row r="822" spans="4:34">
      <c r="D822">
        <v>815</v>
      </c>
      <c r="E822" s="6">
        <f t="shared" ca="1" si="209"/>
        <v>27973</v>
      </c>
      <c r="F822" s="7">
        <f t="shared" ca="1" si="218"/>
        <v>0</v>
      </c>
      <c r="G822" s="125">
        <f t="shared" ca="1" si="210"/>
        <v>0</v>
      </c>
      <c r="H822" s="125">
        <f ca="1">IF(F822=1,F822*$B$10/MIN(12,'Simulador - 3º Pilar'!$E$88),0)</f>
        <v>0</v>
      </c>
      <c r="I822" s="128">
        <f t="shared" ca="1" si="211"/>
        <v>0</v>
      </c>
      <c r="J822" s="494">
        <f t="shared" ca="1" si="212"/>
        <v>0</v>
      </c>
      <c r="K822" s="126">
        <f t="shared" ca="1" si="213"/>
        <v>0</v>
      </c>
      <c r="L822" s="126">
        <f t="shared" ca="1" si="225"/>
        <v>0</v>
      </c>
      <c r="P822">
        <v>815</v>
      </c>
      <c r="Q822" s="6">
        <f t="shared" ca="1" si="214"/>
        <v>27973</v>
      </c>
      <c r="R822" s="7" t="e">
        <f t="shared" ca="1" si="219"/>
        <v>#REF!</v>
      </c>
      <c r="S822" s="125" t="e">
        <f t="shared" ca="1" si="220"/>
        <v>#REF!</v>
      </c>
      <c r="T822" s="125" t="e">
        <f t="shared" ca="1" si="215"/>
        <v>#REF!</v>
      </c>
      <c r="U822" s="128" t="e">
        <f t="shared" ca="1" si="221"/>
        <v>#REF!</v>
      </c>
      <c r="AC822">
        <v>815</v>
      </c>
      <c r="AD822" s="6">
        <f t="shared" ca="1" si="216"/>
        <v>27973</v>
      </c>
      <c r="AE822" s="7" t="e">
        <f t="shared" ca="1" si="222"/>
        <v>#REF!</v>
      </c>
      <c r="AF822" s="125" t="e">
        <f t="shared" ca="1" si="223"/>
        <v>#REF!</v>
      </c>
      <c r="AG822" s="125" t="e">
        <f t="shared" ca="1" si="217"/>
        <v>#REF!</v>
      </c>
      <c r="AH822" s="128" t="e">
        <f t="shared" ca="1" si="224"/>
        <v>#REF!</v>
      </c>
    </row>
    <row r="823" spans="4:34">
      <c r="D823">
        <v>816</v>
      </c>
      <c r="E823" s="6">
        <f t="shared" ca="1" si="209"/>
        <v>27942</v>
      </c>
      <c r="F823" s="7">
        <f t="shared" ca="1" si="218"/>
        <v>0</v>
      </c>
      <c r="G823" s="125">
        <f t="shared" ca="1" si="210"/>
        <v>0</v>
      </c>
      <c r="H823" s="125">
        <f ca="1">IF(F823=1,F823*$B$10/MIN(12,'Simulador - 3º Pilar'!$E$88),0)</f>
        <v>0</v>
      </c>
      <c r="I823" s="128">
        <f t="shared" ca="1" si="211"/>
        <v>0</v>
      </c>
      <c r="J823" s="494">
        <f t="shared" ca="1" si="212"/>
        <v>0</v>
      </c>
      <c r="K823" s="126">
        <f t="shared" ca="1" si="213"/>
        <v>0</v>
      </c>
      <c r="L823" s="126">
        <f t="shared" ca="1" si="225"/>
        <v>0</v>
      </c>
      <c r="P823">
        <v>816</v>
      </c>
      <c r="Q823" s="6">
        <f t="shared" ca="1" si="214"/>
        <v>27942</v>
      </c>
      <c r="R823" s="7" t="e">
        <f t="shared" ca="1" si="219"/>
        <v>#REF!</v>
      </c>
      <c r="S823" s="125" t="e">
        <f t="shared" ca="1" si="220"/>
        <v>#REF!</v>
      </c>
      <c r="T823" s="125" t="e">
        <f t="shared" ca="1" si="215"/>
        <v>#REF!</v>
      </c>
      <c r="U823" s="128" t="e">
        <f t="shared" ca="1" si="221"/>
        <v>#REF!</v>
      </c>
      <c r="AC823">
        <v>816</v>
      </c>
      <c r="AD823" s="6">
        <f t="shared" ca="1" si="216"/>
        <v>27942</v>
      </c>
      <c r="AE823" s="7" t="e">
        <f t="shared" ca="1" si="222"/>
        <v>#REF!</v>
      </c>
      <c r="AF823" s="125" t="e">
        <f t="shared" ca="1" si="223"/>
        <v>#REF!</v>
      </c>
      <c r="AG823" s="125" t="e">
        <f t="shared" ca="1" si="217"/>
        <v>#REF!</v>
      </c>
      <c r="AH823" s="128" t="e">
        <f t="shared" ca="1" si="224"/>
        <v>#REF!</v>
      </c>
    </row>
    <row r="824" spans="4:34">
      <c r="D824">
        <v>817</v>
      </c>
      <c r="E824" s="6">
        <f t="shared" ca="1" si="209"/>
        <v>27912</v>
      </c>
      <c r="F824" s="7">
        <f t="shared" ca="1" si="218"/>
        <v>0</v>
      </c>
      <c r="G824" s="125">
        <f t="shared" ca="1" si="210"/>
        <v>0</v>
      </c>
      <c r="H824" s="125">
        <f ca="1">IF(F824=1,F824*$B$10/MIN(12,'Simulador - 3º Pilar'!$E$88),0)</f>
        <v>0</v>
      </c>
      <c r="I824" s="128">
        <f t="shared" ca="1" si="211"/>
        <v>0</v>
      </c>
      <c r="J824" s="494">
        <f t="shared" ca="1" si="212"/>
        <v>0</v>
      </c>
      <c r="K824" s="126">
        <f t="shared" ca="1" si="213"/>
        <v>0</v>
      </c>
      <c r="L824" s="126">
        <f t="shared" ca="1" si="225"/>
        <v>0</v>
      </c>
      <c r="P824">
        <v>817</v>
      </c>
      <c r="Q824" s="6">
        <f t="shared" ca="1" si="214"/>
        <v>27912</v>
      </c>
      <c r="R824" s="7" t="e">
        <f t="shared" ca="1" si="219"/>
        <v>#REF!</v>
      </c>
      <c r="S824" s="125" t="e">
        <f t="shared" ca="1" si="220"/>
        <v>#REF!</v>
      </c>
      <c r="T824" s="125" t="e">
        <f t="shared" ca="1" si="215"/>
        <v>#REF!</v>
      </c>
      <c r="U824" s="128" t="e">
        <f t="shared" ca="1" si="221"/>
        <v>#REF!</v>
      </c>
      <c r="AC824">
        <v>817</v>
      </c>
      <c r="AD824" s="6">
        <f t="shared" ca="1" si="216"/>
        <v>27912</v>
      </c>
      <c r="AE824" s="7" t="e">
        <f t="shared" ca="1" si="222"/>
        <v>#REF!</v>
      </c>
      <c r="AF824" s="125" t="e">
        <f t="shared" ca="1" si="223"/>
        <v>#REF!</v>
      </c>
      <c r="AG824" s="125" t="e">
        <f t="shared" ca="1" si="217"/>
        <v>#REF!</v>
      </c>
      <c r="AH824" s="128" t="e">
        <f t="shared" ca="1" si="224"/>
        <v>#REF!</v>
      </c>
    </row>
    <row r="825" spans="4:34">
      <c r="D825">
        <v>818</v>
      </c>
      <c r="E825" s="6">
        <f t="shared" ca="1" si="209"/>
        <v>27881</v>
      </c>
      <c r="F825" s="7">
        <f t="shared" ca="1" si="218"/>
        <v>0</v>
      </c>
      <c r="G825" s="125">
        <f t="shared" ca="1" si="210"/>
        <v>0</v>
      </c>
      <c r="H825" s="125">
        <f ca="1">IF(F825=1,F825*$B$10/MIN(12,'Simulador - 3º Pilar'!$E$88),0)</f>
        <v>0</v>
      </c>
      <c r="I825" s="128">
        <f t="shared" ca="1" si="211"/>
        <v>0</v>
      </c>
      <c r="J825" s="494">
        <f t="shared" ca="1" si="212"/>
        <v>0</v>
      </c>
      <c r="K825" s="126">
        <f t="shared" ca="1" si="213"/>
        <v>0</v>
      </c>
      <c r="L825" s="126">
        <f t="shared" ca="1" si="225"/>
        <v>0</v>
      </c>
      <c r="P825">
        <v>818</v>
      </c>
      <c r="Q825" s="6">
        <f t="shared" ca="1" si="214"/>
        <v>27881</v>
      </c>
      <c r="R825" s="7" t="e">
        <f t="shared" ca="1" si="219"/>
        <v>#REF!</v>
      </c>
      <c r="S825" s="125" t="e">
        <f t="shared" ca="1" si="220"/>
        <v>#REF!</v>
      </c>
      <c r="T825" s="125" t="e">
        <f t="shared" ca="1" si="215"/>
        <v>#REF!</v>
      </c>
      <c r="U825" s="128" t="e">
        <f t="shared" ca="1" si="221"/>
        <v>#REF!</v>
      </c>
      <c r="AC825">
        <v>818</v>
      </c>
      <c r="AD825" s="6">
        <f t="shared" ca="1" si="216"/>
        <v>27881</v>
      </c>
      <c r="AE825" s="7" t="e">
        <f t="shared" ca="1" si="222"/>
        <v>#REF!</v>
      </c>
      <c r="AF825" s="125" t="e">
        <f t="shared" ca="1" si="223"/>
        <v>#REF!</v>
      </c>
      <c r="AG825" s="125" t="e">
        <f t="shared" ca="1" si="217"/>
        <v>#REF!</v>
      </c>
      <c r="AH825" s="128" t="e">
        <f t="shared" ca="1" si="224"/>
        <v>#REF!</v>
      </c>
    </row>
    <row r="826" spans="4:34">
      <c r="D826">
        <v>819</v>
      </c>
      <c r="E826" s="6">
        <f t="shared" ca="1" si="209"/>
        <v>27851</v>
      </c>
      <c r="F826" s="7">
        <f t="shared" ca="1" si="218"/>
        <v>0</v>
      </c>
      <c r="G826" s="125">
        <f t="shared" ca="1" si="210"/>
        <v>0</v>
      </c>
      <c r="H826" s="125">
        <f ca="1">IF(F826=1,F826*$B$10/MIN(12,'Simulador - 3º Pilar'!$E$88),0)</f>
        <v>0</v>
      </c>
      <c r="I826" s="128">
        <f t="shared" ca="1" si="211"/>
        <v>0</v>
      </c>
      <c r="J826" s="494">
        <f t="shared" ca="1" si="212"/>
        <v>0</v>
      </c>
      <c r="K826" s="126">
        <f t="shared" ca="1" si="213"/>
        <v>0</v>
      </c>
      <c r="L826" s="126">
        <f t="shared" ca="1" si="225"/>
        <v>0</v>
      </c>
      <c r="P826">
        <v>819</v>
      </c>
      <c r="Q826" s="6">
        <f t="shared" ca="1" si="214"/>
        <v>27851</v>
      </c>
      <c r="R826" s="7" t="e">
        <f t="shared" ca="1" si="219"/>
        <v>#REF!</v>
      </c>
      <c r="S826" s="125" t="e">
        <f t="shared" ca="1" si="220"/>
        <v>#REF!</v>
      </c>
      <c r="T826" s="125" t="e">
        <f t="shared" ca="1" si="215"/>
        <v>#REF!</v>
      </c>
      <c r="U826" s="128" t="e">
        <f t="shared" ca="1" si="221"/>
        <v>#REF!</v>
      </c>
      <c r="AC826">
        <v>819</v>
      </c>
      <c r="AD826" s="6">
        <f t="shared" ca="1" si="216"/>
        <v>27851</v>
      </c>
      <c r="AE826" s="7" t="e">
        <f t="shared" ca="1" si="222"/>
        <v>#REF!</v>
      </c>
      <c r="AF826" s="125" t="e">
        <f t="shared" ca="1" si="223"/>
        <v>#REF!</v>
      </c>
      <c r="AG826" s="125" t="e">
        <f t="shared" ca="1" si="217"/>
        <v>#REF!</v>
      </c>
      <c r="AH826" s="128" t="e">
        <f t="shared" ca="1" si="224"/>
        <v>#REF!</v>
      </c>
    </row>
    <row r="827" spans="4:34">
      <c r="D827">
        <v>820</v>
      </c>
      <c r="E827" s="6">
        <f t="shared" ca="1" si="209"/>
        <v>27820</v>
      </c>
      <c r="F827" s="7">
        <f t="shared" ca="1" si="218"/>
        <v>0</v>
      </c>
      <c r="G827" s="125">
        <f t="shared" ca="1" si="210"/>
        <v>0</v>
      </c>
      <c r="H827" s="125">
        <f ca="1">IF(F827=1,F827*$B$10/MIN(12,'Simulador - 3º Pilar'!$E$88),0)</f>
        <v>0</v>
      </c>
      <c r="I827" s="128">
        <f t="shared" ca="1" si="211"/>
        <v>0</v>
      </c>
      <c r="J827" s="494">
        <f t="shared" ca="1" si="212"/>
        <v>0</v>
      </c>
      <c r="K827" s="126">
        <f t="shared" ca="1" si="213"/>
        <v>0</v>
      </c>
      <c r="L827" s="126">
        <f t="shared" ca="1" si="225"/>
        <v>0</v>
      </c>
      <c r="P827">
        <v>820</v>
      </c>
      <c r="Q827" s="6">
        <f t="shared" ca="1" si="214"/>
        <v>27820</v>
      </c>
      <c r="R827" s="7" t="e">
        <f t="shared" ca="1" si="219"/>
        <v>#REF!</v>
      </c>
      <c r="S827" s="125" t="e">
        <f t="shared" ca="1" si="220"/>
        <v>#REF!</v>
      </c>
      <c r="T827" s="125" t="e">
        <f t="shared" ca="1" si="215"/>
        <v>#REF!</v>
      </c>
      <c r="U827" s="128" t="e">
        <f t="shared" ca="1" si="221"/>
        <v>#REF!</v>
      </c>
      <c r="AC827">
        <v>820</v>
      </c>
      <c r="AD827" s="6">
        <f t="shared" ca="1" si="216"/>
        <v>27820</v>
      </c>
      <c r="AE827" s="7" t="e">
        <f t="shared" ca="1" si="222"/>
        <v>#REF!</v>
      </c>
      <c r="AF827" s="125" t="e">
        <f t="shared" ca="1" si="223"/>
        <v>#REF!</v>
      </c>
      <c r="AG827" s="125" t="e">
        <f t="shared" ca="1" si="217"/>
        <v>#REF!</v>
      </c>
      <c r="AH827" s="128" t="e">
        <f t="shared" ca="1" si="224"/>
        <v>#REF!</v>
      </c>
    </row>
    <row r="828" spans="4:34">
      <c r="D828">
        <v>821</v>
      </c>
      <c r="E828" s="6">
        <f t="shared" ca="1" si="209"/>
        <v>27791</v>
      </c>
      <c r="F828" s="7">
        <f t="shared" ca="1" si="218"/>
        <v>0</v>
      </c>
      <c r="G828" s="125">
        <f t="shared" ca="1" si="210"/>
        <v>0</v>
      </c>
      <c r="H828" s="125">
        <f ca="1">IF(F828=1,F828*$B$10/MIN(12,'Simulador - 3º Pilar'!$E$88),0)</f>
        <v>0</v>
      </c>
      <c r="I828" s="128">
        <f t="shared" ca="1" si="211"/>
        <v>0</v>
      </c>
      <c r="J828" s="494">
        <f t="shared" ca="1" si="212"/>
        <v>0</v>
      </c>
      <c r="K828" s="126">
        <f t="shared" ca="1" si="213"/>
        <v>0</v>
      </c>
      <c r="L828" s="126">
        <f t="shared" ca="1" si="225"/>
        <v>0</v>
      </c>
      <c r="P828">
        <v>821</v>
      </c>
      <c r="Q828" s="6">
        <f t="shared" ca="1" si="214"/>
        <v>27791</v>
      </c>
      <c r="R828" s="7" t="e">
        <f t="shared" ca="1" si="219"/>
        <v>#REF!</v>
      </c>
      <c r="S828" s="125" t="e">
        <f t="shared" ca="1" si="220"/>
        <v>#REF!</v>
      </c>
      <c r="T828" s="125" t="e">
        <f t="shared" ca="1" si="215"/>
        <v>#REF!</v>
      </c>
      <c r="U828" s="128" t="e">
        <f t="shared" ca="1" si="221"/>
        <v>#REF!</v>
      </c>
      <c r="AC828">
        <v>821</v>
      </c>
      <c r="AD828" s="6">
        <f t="shared" ca="1" si="216"/>
        <v>27791</v>
      </c>
      <c r="AE828" s="7" t="e">
        <f t="shared" ca="1" si="222"/>
        <v>#REF!</v>
      </c>
      <c r="AF828" s="125" t="e">
        <f t="shared" ca="1" si="223"/>
        <v>#REF!</v>
      </c>
      <c r="AG828" s="125" t="e">
        <f t="shared" ca="1" si="217"/>
        <v>#REF!</v>
      </c>
      <c r="AH828" s="128" t="e">
        <f t="shared" ca="1" si="224"/>
        <v>#REF!</v>
      </c>
    </row>
    <row r="829" spans="4:34">
      <c r="D829">
        <v>822</v>
      </c>
      <c r="E829" s="6">
        <f t="shared" ca="1" si="209"/>
        <v>27760</v>
      </c>
      <c r="F829" s="7">
        <f t="shared" ca="1" si="218"/>
        <v>0</v>
      </c>
      <c r="G829" s="125">
        <f t="shared" ca="1" si="210"/>
        <v>0</v>
      </c>
      <c r="H829" s="125">
        <f ca="1">IF(F829=1,F829*$B$10/MIN(12,'Simulador - 3º Pilar'!$E$88),0)</f>
        <v>0</v>
      </c>
      <c r="I829" s="128">
        <f t="shared" ca="1" si="211"/>
        <v>0</v>
      </c>
      <c r="J829" s="494">
        <f t="shared" ca="1" si="212"/>
        <v>0</v>
      </c>
      <c r="K829" s="126">
        <f t="shared" ca="1" si="213"/>
        <v>0</v>
      </c>
      <c r="L829" s="126">
        <f t="shared" ca="1" si="225"/>
        <v>0</v>
      </c>
      <c r="P829">
        <v>822</v>
      </c>
      <c r="Q829" s="6">
        <f t="shared" ca="1" si="214"/>
        <v>27760</v>
      </c>
      <c r="R829" s="7" t="e">
        <f t="shared" ca="1" si="219"/>
        <v>#REF!</v>
      </c>
      <c r="S829" s="125" t="e">
        <f t="shared" ca="1" si="220"/>
        <v>#REF!</v>
      </c>
      <c r="T829" s="125" t="e">
        <f t="shared" ca="1" si="215"/>
        <v>#REF!</v>
      </c>
      <c r="U829" s="128" t="e">
        <f t="shared" ca="1" si="221"/>
        <v>#REF!</v>
      </c>
      <c r="AC829">
        <v>822</v>
      </c>
      <c r="AD829" s="6">
        <f t="shared" ca="1" si="216"/>
        <v>27760</v>
      </c>
      <c r="AE829" s="7" t="e">
        <f t="shared" ca="1" si="222"/>
        <v>#REF!</v>
      </c>
      <c r="AF829" s="125" t="e">
        <f t="shared" ca="1" si="223"/>
        <v>#REF!</v>
      </c>
      <c r="AG829" s="125" t="e">
        <f t="shared" ca="1" si="217"/>
        <v>#REF!</v>
      </c>
      <c r="AH829" s="128" t="e">
        <f t="shared" ca="1" si="224"/>
        <v>#REF!</v>
      </c>
    </row>
    <row r="830" spans="4:34">
      <c r="D830">
        <v>823</v>
      </c>
      <c r="E830" s="6">
        <f t="shared" ca="1" si="209"/>
        <v>27729</v>
      </c>
      <c r="F830" s="7">
        <f t="shared" ca="1" si="218"/>
        <v>0</v>
      </c>
      <c r="G830" s="125">
        <f t="shared" ca="1" si="210"/>
        <v>0</v>
      </c>
      <c r="H830" s="125">
        <f ca="1">IF(F830=1,F830*$B$10/MIN(12,'Simulador - 3º Pilar'!$E$88),0)</f>
        <v>0</v>
      </c>
      <c r="I830" s="128">
        <f t="shared" ca="1" si="211"/>
        <v>0</v>
      </c>
      <c r="J830" s="494">
        <f t="shared" ca="1" si="212"/>
        <v>0</v>
      </c>
      <c r="K830" s="126">
        <f t="shared" ca="1" si="213"/>
        <v>0</v>
      </c>
      <c r="L830" s="126">
        <f t="shared" ca="1" si="225"/>
        <v>0</v>
      </c>
      <c r="P830">
        <v>823</v>
      </c>
      <c r="Q830" s="6">
        <f t="shared" ca="1" si="214"/>
        <v>27729</v>
      </c>
      <c r="R830" s="7" t="e">
        <f t="shared" ca="1" si="219"/>
        <v>#REF!</v>
      </c>
      <c r="S830" s="125" t="e">
        <f t="shared" ca="1" si="220"/>
        <v>#REF!</v>
      </c>
      <c r="T830" s="125" t="e">
        <f t="shared" ca="1" si="215"/>
        <v>#REF!</v>
      </c>
      <c r="U830" s="128" t="e">
        <f t="shared" ca="1" si="221"/>
        <v>#REF!</v>
      </c>
      <c r="AC830">
        <v>823</v>
      </c>
      <c r="AD830" s="6">
        <f t="shared" ca="1" si="216"/>
        <v>27729</v>
      </c>
      <c r="AE830" s="7" t="e">
        <f t="shared" ca="1" si="222"/>
        <v>#REF!</v>
      </c>
      <c r="AF830" s="125" t="e">
        <f t="shared" ca="1" si="223"/>
        <v>#REF!</v>
      </c>
      <c r="AG830" s="125" t="e">
        <f t="shared" ca="1" si="217"/>
        <v>#REF!</v>
      </c>
      <c r="AH830" s="128" t="e">
        <f t="shared" ca="1" si="224"/>
        <v>#REF!</v>
      </c>
    </row>
    <row r="831" spans="4:34">
      <c r="D831">
        <v>824</v>
      </c>
      <c r="E831" s="6">
        <f t="shared" ca="1" si="209"/>
        <v>27699</v>
      </c>
      <c r="F831" s="7">
        <f t="shared" ca="1" si="218"/>
        <v>0</v>
      </c>
      <c r="G831" s="125">
        <f t="shared" ca="1" si="210"/>
        <v>0</v>
      </c>
      <c r="H831" s="125">
        <f ca="1">IF(F831=1,F831*$B$10/MIN(12,'Simulador - 3º Pilar'!$E$88),0)</f>
        <v>0</v>
      </c>
      <c r="I831" s="128">
        <f t="shared" ca="1" si="211"/>
        <v>0</v>
      </c>
      <c r="J831" s="494">
        <f t="shared" ca="1" si="212"/>
        <v>0</v>
      </c>
      <c r="K831" s="126">
        <f t="shared" ca="1" si="213"/>
        <v>0</v>
      </c>
      <c r="L831" s="126">
        <f t="shared" ca="1" si="225"/>
        <v>0</v>
      </c>
      <c r="P831">
        <v>824</v>
      </c>
      <c r="Q831" s="6">
        <f t="shared" ca="1" si="214"/>
        <v>27699</v>
      </c>
      <c r="R831" s="7" t="e">
        <f t="shared" ca="1" si="219"/>
        <v>#REF!</v>
      </c>
      <c r="S831" s="125" t="e">
        <f t="shared" ca="1" si="220"/>
        <v>#REF!</v>
      </c>
      <c r="T831" s="125" t="e">
        <f t="shared" ca="1" si="215"/>
        <v>#REF!</v>
      </c>
      <c r="U831" s="128" t="e">
        <f t="shared" ca="1" si="221"/>
        <v>#REF!</v>
      </c>
      <c r="AC831">
        <v>824</v>
      </c>
      <c r="AD831" s="6">
        <f t="shared" ca="1" si="216"/>
        <v>27699</v>
      </c>
      <c r="AE831" s="7" t="e">
        <f t="shared" ca="1" si="222"/>
        <v>#REF!</v>
      </c>
      <c r="AF831" s="125" t="e">
        <f t="shared" ca="1" si="223"/>
        <v>#REF!</v>
      </c>
      <c r="AG831" s="125" t="e">
        <f t="shared" ca="1" si="217"/>
        <v>#REF!</v>
      </c>
      <c r="AH831" s="128" t="e">
        <f t="shared" ca="1" si="224"/>
        <v>#REF!</v>
      </c>
    </row>
    <row r="832" spans="4:34">
      <c r="D832">
        <v>825</v>
      </c>
      <c r="E832" s="6">
        <f t="shared" ca="1" si="209"/>
        <v>27668</v>
      </c>
      <c r="F832" s="7">
        <f t="shared" ca="1" si="218"/>
        <v>0</v>
      </c>
      <c r="G832" s="125">
        <f t="shared" ca="1" si="210"/>
        <v>0</v>
      </c>
      <c r="H832" s="125">
        <f ca="1">IF(F832=1,F832*$B$10/MIN(12,'Simulador - 3º Pilar'!$E$88),0)</f>
        <v>0</v>
      </c>
      <c r="I832" s="128">
        <f t="shared" ca="1" si="211"/>
        <v>0</v>
      </c>
      <c r="J832" s="494">
        <f t="shared" ca="1" si="212"/>
        <v>0</v>
      </c>
      <c r="K832" s="126">
        <f t="shared" ca="1" si="213"/>
        <v>0</v>
      </c>
      <c r="L832" s="126">
        <f t="shared" ca="1" si="225"/>
        <v>0</v>
      </c>
      <c r="P832">
        <v>825</v>
      </c>
      <c r="Q832" s="6">
        <f t="shared" ca="1" si="214"/>
        <v>27668</v>
      </c>
      <c r="R832" s="7" t="e">
        <f t="shared" ca="1" si="219"/>
        <v>#REF!</v>
      </c>
      <c r="S832" s="125" t="e">
        <f t="shared" ca="1" si="220"/>
        <v>#REF!</v>
      </c>
      <c r="T832" s="125" t="e">
        <f t="shared" ca="1" si="215"/>
        <v>#REF!</v>
      </c>
      <c r="U832" s="128" t="e">
        <f t="shared" ca="1" si="221"/>
        <v>#REF!</v>
      </c>
      <c r="AC832">
        <v>825</v>
      </c>
      <c r="AD832" s="6">
        <f t="shared" ca="1" si="216"/>
        <v>27668</v>
      </c>
      <c r="AE832" s="7" t="e">
        <f t="shared" ca="1" si="222"/>
        <v>#REF!</v>
      </c>
      <c r="AF832" s="125" t="e">
        <f t="shared" ca="1" si="223"/>
        <v>#REF!</v>
      </c>
      <c r="AG832" s="125" t="e">
        <f t="shared" ca="1" si="217"/>
        <v>#REF!</v>
      </c>
      <c r="AH832" s="128" t="e">
        <f t="shared" ca="1" si="224"/>
        <v>#REF!</v>
      </c>
    </row>
    <row r="833" spans="4:34">
      <c r="D833">
        <v>826</v>
      </c>
      <c r="E833" s="6">
        <f t="shared" ca="1" si="209"/>
        <v>27638</v>
      </c>
      <c r="F833" s="7">
        <f t="shared" ca="1" si="218"/>
        <v>0</v>
      </c>
      <c r="G833" s="125">
        <f t="shared" ca="1" si="210"/>
        <v>0</v>
      </c>
      <c r="H833" s="125">
        <f ca="1">IF(F833=1,F833*$B$10/MIN(12,'Simulador - 3º Pilar'!$E$88),0)</f>
        <v>0</v>
      </c>
      <c r="I833" s="128">
        <f t="shared" ca="1" si="211"/>
        <v>0</v>
      </c>
      <c r="J833" s="494">
        <f t="shared" ca="1" si="212"/>
        <v>0</v>
      </c>
      <c r="K833" s="126">
        <f t="shared" ca="1" si="213"/>
        <v>0</v>
      </c>
      <c r="L833" s="126">
        <f t="shared" ca="1" si="225"/>
        <v>0</v>
      </c>
      <c r="P833">
        <v>826</v>
      </c>
      <c r="Q833" s="6">
        <f t="shared" ca="1" si="214"/>
        <v>27638</v>
      </c>
      <c r="R833" s="7" t="e">
        <f t="shared" ca="1" si="219"/>
        <v>#REF!</v>
      </c>
      <c r="S833" s="125" t="e">
        <f t="shared" ca="1" si="220"/>
        <v>#REF!</v>
      </c>
      <c r="T833" s="125" t="e">
        <f t="shared" ca="1" si="215"/>
        <v>#REF!</v>
      </c>
      <c r="U833" s="128" t="e">
        <f t="shared" ca="1" si="221"/>
        <v>#REF!</v>
      </c>
      <c r="AC833">
        <v>826</v>
      </c>
      <c r="AD833" s="6">
        <f t="shared" ca="1" si="216"/>
        <v>27638</v>
      </c>
      <c r="AE833" s="7" t="e">
        <f t="shared" ca="1" si="222"/>
        <v>#REF!</v>
      </c>
      <c r="AF833" s="125" t="e">
        <f t="shared" ca="1" si="223"/>
        <v>#REF!</v>
      </c>
      <c r="AG833" s="125" t="e">
        <f t="shared" ca="1" si="217"/>
        <v>#REF!</v>
      </c>
      <c r="AH833" s="128" t="e">
        <f t="shared" ca="1" si="224"/>
        <v>#REF!</v>
      </c>
    </row>
    <row r="834" spans="4:34">
      <c r="D834">
        <v>827</v>
      </c>
      <c r="E834" s="6">
        <f t="shared" ca="1" si="209"/>
        <v>27607</v>
      </c>
      <c r="F834" s="7">
        <f t="shared" ca="1" si="218"/>
        <v>0</v>
      </c>
      <c r="G834" s="125">
        <f t="shared" ca="1" si="210"/>
        <v>0</v>
      </c>
      <c r="H834" s="125">
        <f ca="1">IF(F834=1,F834*$B$10/MIN(12,'Simulador - 3º Pilar'!$E$88),0)</f>
        <v>0</v>
      </c>
      <c r="I834" s="128">
        <f t="shared" ca="1" si="211"/>
        <v>0</v>
      </c>
      <c r="J834" s="494">
        <f t="shared" ca="1" si="212"/>
        <v>0</v>
      </c>
      <c r="K834" s="126">
        <f t="shared" ca="1" si="213"/>
        <v>0</v>
      </c>
      <c r="L834" s="126">
        <f t="shared" ca="1" si="225"/>
        <v>0</v>
      </c>
      <c r="P834">
        <v>827</v>
      </c>
      <c r="Q834" s="6">
        <f t="shared" ca="1" si="214"/>
        <v>27607</v>
      </c>
      <c r="R834" s="7" t="e">
        <f t="shared" ca="1" si="219"/>
        <v>#REF!</v>
      </c>
      <c r="S834" s="125" t="e">
        <f t="shared" ca="1" si="220"/>
        <v>#REF!</v>
      </c>
      <c r="T834" s="125" t="e">
        <f t="shared" ca="1" si="215"/>
        <v>#REF!</v>
      </c>
      <c r="U834" s="128" t="e">
        <f t="shared" ca="1" si="221"/>
        <v>#REF!</v>
      </c>
      <c r="AC834">
        <v>827</v>
      </c>
      <c r="AD834" s="6">
        <f t="shared" ca="1" si="216"/>
        <v>27607</v>
      </c>
      <c r="AE834" s="7" t="e">
        <f t="shared" ca="1" si="222"/>
        <v>#REF!</v>
      </c>
      <c r="AF834" s="125" t="e">
        <f t="shared" ca="1" si="223"/>
        <v>#REF!</v>
      </c>
      <c r="AG834" s="125" t="e">
        <f t="shared" ca="1" si="217"/>
        <v>#REF!</v>
      </c>
      <c r="AH834" s="128" t="e">
        <f t="shared" ca="1" si="224"/>
        <v>#REF!</v>
      </c>
    </row>
    <row r="835" spans="4:34">
      <c r="D835">
        <v>828</v>
      </c>
      <c r="E835" s="6">
        <f t="shared" ca="1" si="209"/>
        <v>27576</v>
      </c>
      <c r="F835" s="7">
        <f t="shared" ca="1" si="218"/>
        <v>0</v>
      </c>
      <c r="G835" s="125">
        <f t="shared" ca="1" si="210"/>
        <v>0</v>
      </c>
      <c r="H835" s="125">
        <f ca="1">IF(F835=1,F835*$B$10/MIN(12,'Simulador - 3º Pilar'!$E$88),0)</f>
        <v>0</v>
      </c>
      <c r="I835" s="128">
        <f t="shared" ca="1" si="211"/>
        <v>0</v>
      </c>
      <c r="J835" s="494">
        <f t="shared" ca="1" si="212"/>
        <v>0</v>
      </c>
      <c r="K835" s="126">
        <f t="shared" ca="1" si="213"/>
        <v>0</v>
      </c>
      <c r="L835" s="126">
        <f t="shared" ca="1" si="225"/>
        <v>0</v>
      </c>
      <c r="P835">
        <v>828</v>
      </c>
      <c r="Q835" s="6">
        <f t="shared" ca="1" si="214"/>
        <v>27576</v>
      </c>
      <c r="R835" s="7" t="e">
        <f t="shared" ca="1" si="219"/>
        <v>#REF!</v>
      </c>
      <c r="S835" s="125" t="e">
        <f t="shared" ca="1" si="220"/>
        <v>#REF!</v>
      </c>
      <c r="T835" s="125" t="e">
        <f t="shared" ca="1" si="215"/>
        <v>#REF!</v>
      </c>
      <c r="U835" s="128" t="e">
        <f t="shared" ca="1" si="221"/>
        <v>#REF!</v>
      </c>
      <c r="AC835">
        <v>828</v>
      </c>
      <c r="AD835" s="6">
        <f t="shared" ca="1" si="216"/>
        <v>27576</v>
      </c>
      <c r="AE835" s="7" t="e">
        <f t="shared" ca="1" si="222"/>
        <v>#REF!</v>
      </c>
      <c r="AF835" s="125" t="e">
        <f t="shared" ca="1" si="223"/>
        <v>#REF!</v>
      </c>
      <c r="AG835" s="125" t="e">
        <f t="shared" ca="1" si="217"/>
        <v>#REF!</v>
      </c>
      <c r="AH835" s="128" t="e">
        <f t="shared" ca="1" si="224"/>
        <v>#REF!</v>
      </c>
    </row>
    <row r="836" spans="4:34">
      <c r="D836">
        <v>829</v>
      </c>
      <c r="E836" s="6">
        <f t="shared" ca="1" si="209"/>
        <v>27546</v>
      </c>
      <c r="F836" s="7">
        <f t="shared" ca="1" si="218"/>
        <v>0</v>
      </c>
      <c r="G836" s="125">
        <f t="shared" ca="1" si="210"/>
        <v>0</v>
      </c>
      <c r="H836" s="125">
        <f ca="1">IF(F836=1,F836*$B$10/MIN(12,'Simulador - 3º Pilar'!$E$88),0)</f>
        <v>0</v>
      </c>
      <c r="I836" s="128">
        <f t="shared" ca="1" si="211"/>
        <v>0</v>
      </c>
      <c r="J836" s="494">
        <f t="shared" ca="1" si="212"/>
        <v>0</v>
      </c>
      <c r="K836" s="126">
        <f t="shared" ca="1" si="213"/>
        <v>0</v>
      </c>
      <c r="L836" s="126">
        <f t="shared" ca="1" si="225"/>
        <v>0</v>
      </c>
      <c r="P836">
        <v>829</v>
      </c>
      <c r="Q836" s="6">
        <f t="shared" ca="1" si="214"/>
        <v>27546</v>
      </c>
      <c r="R836" s="7" t="e">
        <f t="shared" ca="1" si="219"/>
        <v>#REF!</v>
      </c>
      <c r="S836" s="125" t="e">
        <f t="shared" ca="1" si="220"/>
        <v>#REF!</v>
      </c>
      <c r="T836" s="125" t="e">
        <f t="shared" ca="1" si="215"/>
        <v>#REF!</v>
      </c>
      <c r="U836" s="128" t="e">
        <f t="shared" ca="1" si="221"/>
        <v>#REF!</v>
      </c>
      <c r="AC836">
        <v>829</v>
      </c>
      <c r="AD836" s="6">
        <f t="shared" ca="1" si="216"/>
        <v>27546</v>
      </c>
      <c r="AE836" s="7" t="e">
        <f t="shared" ca="1" si="222"/>
        <v>#REF!</v>
      </c>
      <c r="AF836" s="125" t="e">
        <f t="shared" ca="1" si="223"/>
        <v>#REF!</v>
      </c>
      <c r="AG836" s="125" t="e">
        <f t="shared" ca="1" si="217"/>
        <v>#REF!</v>
      </c>
      <c r="AH836" s="128" t="e">
        <f t="shared" ca="1" si="224"/>
        <v>#REF!</v>
      </c>
    </row>
    <row r="837" spans="4:34">
      <c r="D837">
        <v>830</v>
      </c>
      <c r="E837" s="6">
        <f t="shared" ca="1" si="209"/>
        <v>27515</v>
      </c>
      <c r="F837" s="7">
        <f t="shared" ca="1" si="218"/>
        <v>0</v>
      </c>
      <c r="G837" s="125">
        <f t="shared" ca="1" si="210"/>
        <v>0</v>
      </c>
      <c r="H837" s="125">
        <f ca="1">IF(F837=1,F837*$B$10/MIN(12,'Simulador - 3º Pilar'!$E$88),0)</f>
        <v>0</v>
      </c>
      <c r="I837" s="128">
        <f t="shared" ca="1" si="211"/>
        <v>0</v>
      </c>
      <c r="J837" s="494">
        <f t="shared" ca="1" si="212"/>
        <v>0</v>
      </c>
      <c r="K837" s="126">
        <f t="shared" ca="1" si="213"/>
        <v>0</v>
      </c>
      <c r="L837" s="126">
        <f t="shared" ca="1" si="225"/>
        <v>0</v>
      </c>
      <c r="P837">
        <v>830</v>
      </c>
      <c r="Q837" s="6">
        <f t="shared" ca="1" si="214"/>
        <v>27515</v>
      </c>
      <c r="R837" s="7" t="e">
        <f t="shared" ca="1" si="219"/>
        <v>#REF!</v>
      </c>
      <c r="S837" s="125" t="e">
        <f t="shared" ca="1" si="220"/>
        <v>#REF!</v>
      </c>
      <c r="T837" s="125" t="e">
        <f t="shared" ca="1" si="215"/>
        <v>#REF!</v>
      </c>
      <c r="U837" s="128" t="e">
        <f t="shared" ca="1" si="221"/>
        <v>#REF!</v>
      </c>
      <c r="AC837">
        <v>830</v>
      </c>
      <c r="AD837" s="6">
        <f t="shared" ca="1" si="216"/>
        <v>27515</v>
      </c>
      <c r="AE837" s="7" t="e">
        <f t="shared" ca="1" si="222"/>
        <v>#REF!</v>
      </c>
      <c r="AF837" s="125" t="e">
        <f t="shared" ca="1" si="223"/>
        <v>#REF!</v>
      </c>
      <c r="AG837" s="125" t="e">
        <f t="shared" ca="1" si="217"/>
        <v>#REF!</v>
      </c>
      <c r="AH837" s="128" t="e">
        <f t="shared" ca="1" si="224"/>
        <v>#REF!</v>
      </c>
    </row>
    <row r="838" spans="4:34">
      <c r="D838">
        <v>831</v>
      </c>
      <c r="E838" s="6">
        <f t="shared" ca="1" si="209"/>
        <v>27485</v>
      </c>
      <c r="F838" s="7">
        <f t="shared" ca="1" si="218"/>
        <v>0</v>
      </c>
      <c r="G838" s="125">
        <f t="shared" ca="1" si="210"/>
        <v>0</v>
      </c>
      <c r="H838" s="125">
        <f ca="1">IF(F838=1,F838*$B$10/MIN(12,'Simulador - 3º Pilar'!$E$88),0)</f>
        <v>0</v>
      </c>
      <c r="I838" s="128">
        <f t="shared" ca="1" si="211"/>
        <v>0</v>
      </c>
      <c r="J838" s="494">
        <f t="shared" ca="1" si="212"/>
        <v>0</v>
      </c>
      <c r="K838" s="126">
        <f t="shared" ca="1" si="213"/>
        <v>0</v>
      </c>
      <c r="L838" s="126">
        <f t="shared" ca="1" si="225"/>
        <v>0</v>
      </c>
      <c r="P838">
        <v>831</v>
      </c>
      <c r="Q838" s="6">
        <f t="shared" ca="1" si="214"/>
        <v>27485</v>
      </c>
      <c r="R838" s="7" t="e">
        <f t="shared" ca="1" si="219"/>
        <v>#REF!</v>
      </c>
      <c r="S838" s="125" t="e">
        <f t="shared" ca="1" si="220"/>
        <v>#REF!</v>
      </c>
      <c r="T838" s="125" t="e">
        <f t="shared" ca="1" si="215"/>
        <v>#REF!</v>
      </c>
      <c r="U838" s="128" t="e">
        <f t="shared" ca="1" si="221"/>
        <v>#REF!</v>
      </c>
      <c r="AC838">
        <v>831</v>
      </c>
      <c r="AD838" s="6">
        <f t="shared" ca="1" si="216"/>
        <v>27485</v>
      </c>
      <c r="AE838" s="7" t="e">
        <f t="shared" ca="1" si="222"/>
        <v>#REF!</v>
      </c>
      <c r="AF838" s="125" t="e">
        <f t="shared" ca="1" si="223"/>
        <v>#REF!</v>
      </c>
      <c r="AG838" s="125" t="e">
        <f t="shared" ca="1" si="217"/>
        <v>#REF!</v>
      </c>
      <c r="AH838" s="128" t="e">
        <f t="shared" ca="1" si="224"/>
        <v>#REF!</v>
      </c>
    </row>
    <row r="839" spans="4:34">
      <c r="D839">
        <v>832</v>
      </c>
      <c r="E839" s="6">
        <f t="shared" ca="1" si="209"/>
        <v>27454</v>
      </c>
      <c r="F839" s="7">
        <f t="shared" ca="1" si="218"/>
        <v>0</v>
      </c>
      <c r="G839" s="125">
        <f t="shared" ca="1" si="210"/>
        <v>0</v>
      </c>
      <c r="H839" s="125">
        <f ca="1">IF(F839=1,F839*$B$10/MIN(12,'Simulador - 3º Pilar'!$E$88),0)</f>
        <v>0</v>
      </c>
      <c r="I839" s="128">
        <f t="shared" ca="1" si="211"/>
        <v>0</v>
      </c>
      <c r="J839" s="494">
        <f t="shared" ca="1" si="212"/>
        <v>0</v>
      </c>
      <c r="K839" s="126">
        <f t="shared" ca="1" si="213"/>
        <v>0</v>
      </c>
      <c r="L839" s="126">
        <f t="shared" ca="1" si="225"/>
        <v>0</v>
      </c>
      <c r="P839">
        <v>832</v>
      </c>
      <c r="Q839" s="6">
        <f t="shared" ca="1" si="214"/>
        <v>27454</v>
      </c>
      <c r="R839" s="7" t="e">
        <f t="shared" ca="1" si="219"/>
        <v>#REF!</v>
      </c>
      <c r="S839" s="125" t="e">
        <f t="shared" ca="1" si="220"/>
        <v>#REF!</v>
      </c>
      <c r="T839" s="125" t="e">
        <f t="shared" ca="1" si="215"/>
        <v>#REF!</v>
      </c>
      <c r="U839" s="128" t="e">
        <f t="shared" ca="1" si="221"/>
        <v>#REF!</v>
      </c>
      <c r="AC839">
        <v>832</v>
      </c>
      <c r="AD839" s="6">
        <f t="shared" ca="1" si="216"/>
        <v>27454</v>
      </c>
      <c r="AE839" s="7" t="e">
        <f t="shared" ca="1" si="222"/>
        <v>#REF!</v>
      </c>
      <c r="AF839" s="125" t="e">
        <f t="shared" ca="1" si="223"/>
        <v>#REF!</v>
      </c>
      <c r="AG839" s="125" t="e">
        <f t="shared" ca="1" si="217"/>
        <v>#REF!</v>
      </c>
      <c r="AH839" s="128" t="e">
        <f t="shared" ca="1" si="224"/>
        <v>#REF!</v>
      </c>
    </row>
    <row r="840" spans="4:34">
      <c r="D840">
        <v>833</v>
      </c>
      <c r="E840" s="6">
        <f t="shared" ref="E840:E903" ca="1" si="226">+DATE(YEAR(E839),MONTH(E839)-1,DAY(E839))</f>
        <v>27426</v>
      </c>
      <c r="F840" s="7">
        <f t="shared" ca="1" si="218"/>
        <v>0</v>
      </c>
      <c r="G840" s="125">
        <f t="shared" ref="G840:G903" ca="1" si="227">F840*$B$8/12</f>
        <v>0</v>
      </c>
      <c r="H840" s="125">
        <f ca="1">IF(F840=1,F840*$B$10/MIN(12,'Simulador - 3º Pilar'!$E$88),0)</f>
        <v>0</v>
      </c>
      <c r="I840" s="128">
        <f t="shared" ref="I840:I903" ca="1" si="228">(1+$G$5)^(D840/12)*(H840+IF(E840=$N$7,$N$4,0))</f>
        <v>0</v>
      </c>
      <c r="J840" s="494">
        <f t="shared" ref="J840:J903" ca="1" si="229">(1+$G$5)^(D840/12)*(H840*(12-IF(MONTH(E841)=12,0,MONTH(E841)))+IF(AND(F840=1,F841=0),$Q$4,0))*IF(AND(F840=1,F841=0),1,0)</f>
        <v>0</v>
      </c>
      <c r="K840" s="126">
        <f t="shared" ref="K840:K903" ca="1" si="230">(1+$G$5)^(D840/12)*(IF(E840=$N$7,$N$4,0)+IF(E840=$C$6,$B$10,0))</f>
        <v>0</v>
      </c>
      <c r="L840" s="126">
        <f t="shared" ca="1" si="225"/>
        <v>0</v>
      </c>
      <c r="P840">
        <v>833</v>
      </c>
      <c r="Q840" s="6">
        <f t="shared" ref="Q840:Q903" ca="1" si="231">+DATE(YEAR(Q839),MONTH(Q839)-1,DAY(Q839))</f>
        <v>27426</v>
      </c>
      <c r="R840" s="7" t="e">
        <f t="shared" ca="1" si="219"/>
        <v>#REF!</v>
      </c>
      <c r="S840" s="125" t="e">
        <f t="shared" ca="1" si="220"/>
        <v>#REF!</v>
      </c>
      <c r="T840" s="125" t="e">
        <f t="shared" ref="T840:T903" ca="1" si="232">R840*$B$11/12</f>
        <v>#REF!</v>
      </c>
      <c r="U840" s="128" t="e">
        <f t="shared" ca="1" si="221"/>
        <v>#REF!</v>
      </c>
      <c r="AC840">
        <v>833</v>
      </c>
      <c r="AD840" s="6">
        <f t="shared" ref="AD840:AD903" ca="1" si="233">+DATE(YEAR(AD839),MONTH(AD839)-1,DAY(AD839))</f>
        <v>27426</v>
      </c>
      <c r="AE840" s="7" t="e">
        <f t="shared" ca="1" si="222"/>
        <v>#REF!</v>
      </c>
      <c r="AF840" s="125" t="e">
        <f t="shared" ca="1" si="223"/>
        <v>#REF!</v>
      </c>
      <c r="AG840" s="125" t="e">
        <f t="shared" ref="AG840:AG903" ca="1" si="234">AE840*$B$12/12</f>
        <v>#REF!</v>
      </c>
      <c r="AH840" s="128" t="e">
        <f t="shared" ca="1" si="224"/>
        <v>#REF!</v>
      </c>
    </row>
    <row r="841" spans="4:34">
      <c r="D841">
        <v>834</v>
      </c>
      <c r="E841" s="6">
        <f t="shared" ca="1" si="226"/>
        <v>27395</v>
      </c>
      <c r="F841" s="7">
        <f t="shared" ref="F841:F904" ca="1" si="235">IF($C$6=$E841,1,IF(MONTH($E841)=1,F842*(1+$F$5),F842))</f>
        <v>0</v>
      </c>
      <c r="G841" s="125">
        <f t="shared" ca="1" si="227"/>
        <v>0</v>
      </c>
      <c r="H841" s="125">
        <f ca="1">IF(F841=1,F841*$B$10/MIN(12,'Simulador - 3º Pilar'!$E$88),0)</f>
        <v>0</v>
      </c>
      <c r="I841" s="128">
        <f t="shared" ca="1" si="228"/>
        <v>0</v>
      </c>
      <c r="J841" s="494">
        <f t="shared" ca="1" si="229"/>
        <v>0</v>
      </c>
      <c r="K841" s="126">
        <f t="shared" ca="1" si="230"/>
        <v>0</v>
      </c>
      <c r="L841" s="126">
        <f t="shared" ca="1" si="225"/>
        <v>0</v>
      </c>
      <c r="P841">
        <v>834</v>
      </c>
      <c r="Q841" s="6">
        <f t="shared" ca="1" si="231"/>
        <v>27395</v>
      </c>
      <c r="R841" s="7" t="e">
        <f t="shared" ref="R841:R904" ca="1" si="236">IF($Z$7=$E841,1,IF(MONTH($E841)=1,R842*(1+$F$5),R842))</f>
        <v>#REF!</v>
      </c>
      <c r="S841" s="125" t="e">
        <f t="shared" ref="S841:S904" ca="1" si="237">R841*$B$8/12</f>
        <v>#REF!</v>
      </c>
      <c r="T841" s="125" t="e">
        <f t="shared" ca="1" si="232"/>
        <v>#REF!</v>
      </c>
      <c r="U841" s="128" t="e">
        <f t="shared" ref="U841:U904" ca="1" si="238">(1+$V$5)^(P841/12)*(T841+IF(Q841=$Z$7,$Z$4,0))</f>
        <v>#REF!</v>
      </c>
      <c r="AC841">
        <v>834</v>
      </c>
      <c r="AD841" s="6">
        <f t="shared" ca="1" si="233"/>
        <v>27395</v>
      </c>
      <c r="AE841" s="7" t="e">
        <f t="shared" ref="AE841:AE904" ca="1" si="239">IF($AM$7=$E841,1,IF(MONTH($E841)=1,AE842*(1+$F$5),AE842))</f>
        <v>#REF!</v>
      </c>
      <c r="AF841" s="125" t="e">
        <f t="shared" ref="AF841:AF904" ca="1" si="240">AE841*$B$8/12</f>
        <v>#REF!</v>
      </c>
      <c r="AG841" s="125" t="e">
        <f t="shared" ca="1" si="234"/>
        <v>#REF!</v>
      </c>
      <c r="AH841" s="128" t="e">
        <f t="shared" ref="AH841:AH904" ca="1" si="241">(1+$AI$5)^(AC841/12)*(AG841+IF(AD841=$AM$7,$AM$4,0))</f>
        <v>#REF!</v>
      </c>
    </row>
    <row r="842" spans="4:34">
      <c r="D842">
        <v>835</v>
      </c>
      <c r="E842" s="6">
        <f t="shared" ca="1" si="226"/>
        <v>27364</v>
      </c>
      <c r="F842" s="7">
        <f t="shared" ca="1" si="235"/>
        <v>0</v>
      </c>
      <c r="G842" s="125">
        <f t="shared" ca="1" si="227"/>
        <v>0</v>
      </c>
      <c r="H842" s="125">
        <f ca="1">IF(F842=1,F842*$B$10/MIN(12,'Simulador - 3º Pilar'!$E$88),0)</f>
        <v>0</v>
      </c>
      <c r="I842" s="128">
        <f t="shared" ca="1" si="228"/>
        <v>0</v>
      </c>
      <c r="J842" s="494">
        <f t="shared" ca="1" si="229"/>
        <v>0</v>
      </c>
      <c r="K842" s="126">
        <f t="shared" ca="1" si="230"/>
        <v>0</v>
      </c>
      <c r="L842" s="126">
        <f t="shared" ca="1" si="225"/>
        <v>0</v>
      </c>
      <c r="P842">
        <v>835</v>
      </c>
      <c r="Q842" s="6">
        <f t="shared" ca="1" si="231"/>
        <v>27364</v>
      </c>
      <c r="R842" s="7" t="e">
        <f t="shared" ca="1" si="236"/>
        <v>#REF!</v>
      </c>
      <c r="S842" s="125" t="e">
        <f t="shared" ca="1" si="237"/>
        <v>#REF!</v>
      </c>
      <c r="T842" s="125" t="e">
        <f t="shared" ca="1" si="232"/>
        <v>#REF!</v>
      </c>
      <c r="U842" s="128" t="e">
        <f t="shared" ca="1" si="238"/>
        <v>#REF!</v>
      </c>
      <c r="AC842">
        <v>835</v>
      </c>
      <c r="AD842" s="6">
        <f t="shared" ca="1" si="233"/>
        <v>27364</v>
      </c>
      <c r="AE842" s="7" t="e">
        <f t="shared" ca="1" si="239"/>
        <v>#REF!</v>
      </c>
      <c r="AF842" s="125" t="e">
        <f t="shared" ca="1" si="240"/>
        <v>#REF!</v>
      </c>
      <c r="AG842" s="125" t="e">
        <f t="shared" ca="1" si="234"/>
        <v>#REF!</v>
      </c>
      <c r="AH842" s="128" t="e">
        <f t="shared" ca="1" si="241"/>
        <v>#REF!</v>
      </c>
    </row>
    <row r="843" spans="4:34">
      <c r="D843">
        <v>836</v>
      </c>
      <c r="E843" s="6">
        <f t="shared" ca="1" si="226"/>
        <v>27334</v>
      </c>
      <c r="F843" s="7">
        <f t="shared" ca="1" si="235"/>
        <v>0</v>
      </c>
      <c r="G843" s="125">
        <f t="shared" ca="1" si="227"/>
        <v>0</v>
      </c>
      <c r="H843" s="125">
        <f ca="1">IF(F843=1,F843*$B$10/MIN(12,'Simulador - 3º Pilar'!$E$88),0)</f>
        <v>0</v>
      </c>
      <c r="I843" s="128">
        <f t="shared" ca="1" si="228"/>
        <v>0</v>
      </c>
      <c r="J843" s="494">
        <f t="shared" ca="1" si="229"/>
        <v>0</v>
      </c>
      <c r="K843" s="126">
        <f t="shared" ca="1" si="230"/>
        <v>0</v>
      </c>
      <c r="L843" s="126">
        <f t="shared" ca="1" si="225"/>
        <v>0</v>
      </c>
      <c r="P843">
        <v>836</v>
      </c>
      <c r="Q843" s="6">
        <f t="shared" ca="1" si="231"/>
        <v>27334</v>
      </c>
      <c r="R843" s="7" t="e">
        <f t="shared" ca="1" si="236"/>
        <v>#REF!</v>
      </c>
      <c r="S843" s="125" t="e">
        <f t="shared" ca="1" si="237"/>
        <v>#REF!</v>
      </c>
      <c r="T843" s="125" t="e">
        <f t="shared" ca="1" si="232"/>
        <v>#REF!</v>
      </c>
      <c r="U843" s="128" t="e">
        <f t="shared" ca="1" si="238"/>
        <v>#REF!</v>
      </c>
      <c r="AC843">
        <v>836</v>
      </c>
      <c r="AD843" s="6">
        <f t="shared" ca="1" si="233"/>
        <v>27334</v>
      </c>
      <c r="AE843" s="7" t="e">
        <f t="shared" ca="1" si="239"/>
        <v>#REF!</v>
      </c>
      <c r="AF843" s="125" t="e">
        <f t="shared" ca="1" si="240"/>
        <v>#REF!</v>
      </c>
      <c r="AG843" s="125" t="e">
        <f t="shared" ca="1" si="234"/>
        <v>#REF!</v>
      </c>
      <c r="AH843" s="128" t="e">
        <f t="shared" ca="1" si="241"/>
        <v>#REF!</v>
      </c>
    </row>
    <row r="844" spans="4:34">
      <c r="D844">
        <v>837</v>
      </c>
      <c r="E844" s="6">
        <f t="shared" ca="1" si="226"/>
        <v>27303</v>
      </c>
      <c r="F844" s="7">
        <f t="shared" ca="1" si="235"/>
        <v>0</v>
      </c>
      <c r="G844" s="125">
        <f t="shared" ca="1" si="227"/>
        <v>0</v>
      </c>
      <c r="H844" s="125">
        <f ca="1">IF(F844=1,F844*$B$10/MIN(12,'Simulador - 3º Pilar'!$E$88),0)</f>
        <v>0</v>
      </c>
      <c r="I844" s="128">
        <f t="shared" ca="1" si="228"/>
        <v>0</v>
      </c>
      <c r="J844" s="494">
        <f t="shared" ca="1" si="229"/>
        <v>0</v>
      </c>
      <c r="K844" s="126">
        <f t="shared" ca="1" si="230"/>
        <v>0</v>
      </c>
      <c r="L844" s="126">
        <f t="shared" ca="1" si="225"/>
        <v>0</v>
      </c>
      <c r="P844">
        <v>837</v>
      </c>
      <c r="Q844" s="6">
        <f t="shared" ca="1" si="231"/>
        <v>27303</v>
      </c>
      <c r="R844" s="7" t="e">
        <f t="shared" ca="1" si="236"/>
        <v>#REF!</v>
      </c>
      <c r="S844" s="125" t="e">
        <f t="shared" ca="1" si="237"/>
        <v>#REF!</v>
      </c>
      <c r="T844" s="125" t="e">
        <f t="shared" ca="1" si="232"/>
        <v>#REF!</v>
      </c>
      <c r="U844" s="128" t="e">
        <f t="shared" ca="1" si="238"/>
        <v>#REF!</v>
      </c>
      <c r="AC844">
        <v>837</v>
      </c>
      <c r="AD844" s="6">
        <f t="shared" ca="1" si="233"/>
        <v>27303</v>
      </c>
      <c r="AE844" s="7" t="e">
        <f t="shared" ca="1" si="239"/>
        <v>#REF!</v>
      </c>
      <c r="AF844" s="125" t="e">
        <f t="shared" ca="1" si="240"/>
        <v>#REF!</v>
      </c>
      <c r="AG844" s="125" t="e">
        <f t="shared" ca="1" si="234"/>
        <v>#REF!</v>
      </c>
      <c r="AH844" s="128" t="e">
        <f t="shared" ca="1" si="241"/>
        <v>#REF!</v>
      </c>
    </row>
    <row r="845" spans="4:34">
      <c r="D845">
        <v>838</v>
      </c>
      <c r="E845" s="6">
        <f t="shared" ca="1" si="226"/>
        <v>27273</v>
      </c>
      <c r="F845" s="7">
        <f t="shared" ca="1" si="235"/>
        <v>0</v>
      </c>
      <c r="G845" s="125">
        <f t="shared" ca="1" si="227"/>
        <v>0</v>
      </c>
      <c r="H845" s="125">
        <f ca="1">IF(F845=1,F845*$B$10/MIN(12,'Simulador - 3º Pilar'!$E$88),0)</f>
        <v>0</v>
      </c>
      <c r="I845" s="128">
        <f t="shared" ca="1" si="228"/>
        <v>0</v>
      </c>
      <c r="J845" s="494">
        <f t="shared" ca="1" si="229"/>
        <v>0</v>
      </c>
      <c r="K845" s="126">
        <f t="shared" ca="1" si="230"/>
        <v>0</v>
      </c>
      <c r="L845" s="126">
        <f t="shared" ca="1" si="225"/>
        <v>0</v>
      </c>
      <c r="P845">
        <v>838</v>
      </c>
      <c r="Q845" s="6">
        <f t="shared" ca="1" si="231"/>
        <v>27273</v>
      </c>
      <c r="R845" s="7" t="e">
        <f t="shared" ca="1" si="236"/>
        <v>#REF!</v>
      </c>
      <c r="S845" s="125" t="e">
        <f t="shared" ca="1" si="237"/>
        <v>#REF!</v>
      </c>
      <c r="T845" s="125" t="e">
        <f t="shared" ca="1" si="232"/>
        <v>#REF!</v>
      </c>
      <c r="U845" s="128" t="e">
        <f t="shared" ca="1" si="238"/>
        <v>#REF!</v>
      </c>
      <c r="AC845">
        <v>838</v>
      </c>
      <c r="AD845" s="6">
        <f t="shared" ca="1" si="233"/>
        <v>27273</v>
      </c>
      <c r="AE845" s="7" t="e">
        <f t="shared" ca="1" si="239"/>
        <v>#REF!</v>
      </c>
      <c r="AF845" s="125" t="e">
        <f t="shared" ca="1" si="240"/>
        <v>#REF!</v>
      </c>
      <c r="AG845" s="125" t="e">
        <f t="shared" ca="1" si="234"/>
        <v>#REF!</v>
      </c>
      <c r="AH845" s="128" t="e">
        <f t="shared" ca="1" si="241"/>
        <v>#REF!</v>
      </c>
    </row>
    <row r="846" spans="4:34">
      <c r="D846">
        <v>839</v>
      </c>
      <c r="E846" s="6">
        <f t="shared" ca="1" si="226"/>
        <v>27242</v>
      </c>
      <c r="F846" s="7">
        <f t="shared" ca="1" si="235"/>
        <v>0</v>
      </c>
      <c r="G846" s="125">
        <f t="shared" ca="1" si="227"/>
        <v>0</v>
      </c>
      <c r="H846" s="125">
        <f ca="1">IF(F846=1,F846*$B$10/MIN(12,'Simulador - 3º Pilar'!$E$88),0)</f>
        <v>0</v>
      </c>
      <c r="I846" s="128">
        <f t="shared" ca="1" si="228"/>
        <v>0</v>
      </c>
      <c r="J846" s="494">
        <f t="shared" ca="1" si="229"/>
        <v>0</v>
      </c>
      <c r="K846" s="126">
        <f t="shared" ca="1" si="230"/>
        <v>0</v>
      </c>
      <c r="L846" s="126">
        <f t="shared" ca="1" si="225"/>
        <v>0</v>
      </c>
      <c r="P846">
        <v>839</v>
      </c>
      <c r="Q846" s="6">
        <f t="shared" ca="1" si="231"/>
        <v>27242</v>
      </c>
      <c r="R846" s="7" t="e">
        <f t="shared" ca="1" si="236"/>
        <v>#REF!</v>
      </c>
      <c r="S846" s="125" t="e">
        <f t="shared" ca="1" si="237"/>
        <v>#REF!</v>
      </c>
      <c r="T846" s="125" t="e">
        <f t="shared" ca="1" si="232"/>
        <v>#REF!</v>
      </c>
      <c r="U846" s="128" t="e">
        <f t="shared" ca="1" si="238"/>
        <v>#REF!</v>
      </c>
      <c r="AC846">
        <v>839</v>
      </c>
      <c r="AD846" s="6">
        <f t="shared" ca="1" si="233"/>
        <v>27242</v>
      </c>
      <c r="AE846" s="7" t="e">
        <f t="shared" ca="1" si="239"/>
        <v>#REF!</v>
      </c>
      <c r="AF846" s="125" t="e">
        <f t="shared" ca="1" si="240"/>
        <v>#REF!</v>
      </c>
      <c r="AG846" s="125" t="e">
        <f t="shared" ca="1" si="234"/>
        <v>#REF!</v>
      </c>
      <c r="AH846" s="128" t="e">
        <f t="shared" ca="1" si="241"/>
        <v>#REF!</v>
      </c>
    </row>
    <row r="847" spans="4:34">
      <c r="D847">
        <v>840</v>
      </c>
      <c r="E847" s="6">
        <f t="shared" ca="1" si="226"/>
        <v>27211</v>
      </c>
      <c r="F847" s="7">
        <f t="shared" ca="1" si="235"/>
        <v>0</v>
      </c>
      <c r="G847" s="125">
        <f t="shared" ca="1" si="227"/>
        <v>0</v>
      </c>
      <c r="H847" s="125">
        <f ca="1">IF(F847=1,F847*$B$10/MIN(12,'Simulador - 3º Pilar'!$E$88),0)</f>
        <v>0</v>
      </c>
      <c r="I847" s="128">
        <f t="shared" ca="1" si="228"/>
        <v>0</v>
      </c>
      <c r="J847" s="494">
        <f t="shared" ca="1" si="229"/>
        <v>0</v>
      </c>
      <c r="K847" s="126">
        <f t="shared" ca="1" si="230"/>
        <v>0</v>
      </c>
      <c r="L847" s="126">
        <f t="shared" ca="1" si="225"/>
        <v>0</v>
      </c>
      <c r="P847">
        <v>840</v>
      </c>
      <c r="Q847" s="6">
        <f t="shared" ca="1" si="231"/>
        <v>27211</v>
      </c>
      <c r="R847" s="7" t="e">
        <f t="shared" ca="1" si="236"/>
        <v>#REF!</v>
      </c>
      <c r="S847" s="125" t="e">
        <f t="shared" ca="1" si="237"/>
        <v>#REF!</v>
      </c>
      <c r="T847" s="125" t="e">
        <f t="shared" ca="1" si="232"/>
        <v>#REF!</v>
      </c>
      <c r="U847" s="128" t="e">
        <f t="shared" ca="1" si="238"/>
        <v>#REF!</v>
      </c>
      <c r="AC847">
        <v>840</v>
      </c>
      <c r="AD847" s="6">
        <f t="shared" ca="1" si="233"/>
        <v>27211</v>
      </c>
      <c r="AE847" s="7" t="e">
        <f t="shared" ca="1" si="239"/>
        <v>#REF!</v>
      </c>
      <c r="AF847" s="125" t="e">
        <f t="shared" ca="1" si="240"/>
        <v>#REF!</v>
      </c>
      <c r="AG847" s="125" t="e">
        <f t="shared" ca="1" si="234"/>
        <v>#REF!</v>
      </c>
      <c r="AH847" s="128" t="e">
        <f t="shared" ca="1" si="241"/>
        <v>#REF!</v>
      </c>
    </row>
    <row r="848" spans="4:34">
      <c r="D848">
        <v>841</v>
      </c>
      <c r="E848" s="6">
        <f t="shared" ca="1" si="226"/>
        <v>27181</v>
      </c>
      <c r="F848" s="7">
        <f t="shared" ca="1" si="235"/>
        <v>0</v>
      </c>
      <c r="G848" s="125">
        <f t="shared" ca="1" si="227"/>
        <v>0</v>
      </c>
      <c r="H848" s="125">
        <f ca="1">IF(F848=1,F848*$B$10/MIN(12,'Simulador - 3º Pilar'!$E$88),0)</f>
        <v>0</v>
      </c>
      <c r="I848" s="128">
        <f t="shared" ca="1" si="228"/>
        <v>0</v>
      </c>
      <c r="J848" s="494">
        <f t="shared" ca="1" si="229"/>
        <v>0</v>
      </c>
      <c r="K848" s="126">
        <f t="shared" ca="1" si="230"/>
        <v>0</v>
      </c>
      <c r="L848" s="126">
        <f t="shared" ca="1" si="225"/>
        <v>0</v>
      </c>
      <c r="P848">
        <v>841</v>
      </c>
      <c r="Q848" s="6">
        <f t="shared" ca="1" si="231"/>
        <v>27181</v>
      </c>
      <c r="R848" s="7" t="e">
        <f t="shared" ca="1" si="236"/>
        <v>#REF!</v>
      </c>
      <c r="S848" s="125" t="e">
        <f t="shared" ca="1" si="237"/>
        <v>#REF!</v>
      </c>
      <c r="T848" s="125" t="e">
        <f t="shared" ca="1" si="232"/>
        <v>#REF!</v>
      </c>
      <c r="U848" s="128" t="e">
        <f t="shared" ca="1" si="238"/>
        <v>#REF!</v>
      </c>
      <c r="AC848">
        <v>841</v>
      </c>
      <c r="AD848" s="6">
        <f t="shared" ca="1" si="233"/>
        <v>27181</v>
      </c>
      <c r="AE848" s="7" t="e">
        <f t="shared" ca="1" si="239"/>
        <v>#REF!</v>
      </c>
      <c r="AF848" s="125" t="e">
        <f t="shared" ca="1" si="240"/>
        <v>#REF!</v>
      </c>
      <c r="AG848" s="125" t="e">
        <f t="shared" ca="1" si="234"/>
        <v>#REF!</v>
      </c>
      <c r="AH848" s="128" t="e">
        <f t="shared" ca="1" si="241"/>
        <v>#REF!</v>
      </c>
    </row>
    <row r="849" spans="4:34">
      <c r="D849">
        <v>842</v>
      </c>
      <c r="E849" s="6">
        <f t="shared" ca="1" si="226"/>
        <v>27150</v>
      </c>
      <c r="F849" s="7">
        <f t="shared" ca="1" si="235"/>
        <v>0</v>
      </c>
      <c r="G849" s="125">
        <f t="shared" ca="1" si="227"/>
        <v>0</v>
      </c>
      <c r="H849" s="125">
        <f ca="1">IF(F849=1,F849*$B$10/MIN(12,'Simulador - 3º Pilar'!$E$88),0)</f>
        <v>0</v>
      </c>
      <c r="I849" s="128">
        <f t="shared" ca="1" si="228"/>
        <v>0</v>
      </c>
      <c r="J849" s="494">
        <f t="shared" ca="1" si="229"/>
        <v>0</v>
      </c>
      <c r="K849" s="126">
        <f t="shared" ca="1" si="230"/>
        <v>0</v>
      </c>
      <c r="L849" s="126">
        <f t="shared" ca="1" si="225"/>
        <v>0</v>
      </c>
      <c r="P849">
        <v>842</v>
      </c>
      <c r="Q849" s="6">
        <f t="shared" ca="1" si="231"/>
        <v>27150</v>
      </c>
      <c r="R849" s="7" t="e">
        <f t="shared" ca="1" si="236"/>
        <v>#REF!</v>
      </c>
      <c r="S849" s="125" t="e">
        <f t="shared" ca="1" si="237"/>
        <v>#REF!</v>
      </c>
      <c r="T849" s="125" t="e">
        <f t="shared" ca="1" si="232"/>
        <v>#REF!</v>
      </c>
      <c r="U849" s="128" t="e">
        <f t="shared" ca="1" si="238"/>
        <v>#REF!</v>
      </c>
      <c r="AC849">
        <v>842</v>
      </c>
      <c r="AD849" s="6">
        <f t="shared" ca="1" si="233"/>
        <v>27150</v>
      </c>
      <c r="AE849" s="7" t="e">
        <f t="shared" ca="1" si="239"/>
        <v>#REF!</v>
      </c>
      <c r="AF849" s="125" t="e">
        <f t="shared" ca="1" si="240"/>
        <v>#REF!</v>
      </c>
      <c r="AG849" s="125" t="e">
        <f t="shared" ca="1" si="234"/>
        <v>#REF!</v>
      </c>
      <c r="AH849" s="128" t="e">
        <f t="shared" ca="1" si="241"/>
        <v>#REF!</v>
      </c>
    </row>
    <row r="850" spans="4:34">
      <c r="D850">
        <v>843</v>
      </c>
      <c r="E850" s="6">
        <f t="shared" ca="1" si="226"/>
        <v>27120</v>
      </c>
      <c r="F850" s="7">
        <f t="shared" ca="1" si="235"/>
        <v>0</v>
      </c>
      <c r="G850" s="125">
        <f t="shared" ca="1" si="227"/>
        <v>0</v>
      </c>
      <c r="H850" s="125">
        <f ca="1">IF(F850=1,F850*$B$10/MIN(12,'Simulador - 3º Pilar'!$E$88),0)</f>
        <v>0</v>
      </c>
      <c r="I850" s="128">
        <f t="shared" ca="1" si="228"/>
        <v>0</v>
      </c>
      <c r="J850" s="494">
        <f t="shared" ca="1" si="229"/>
        <v>0</v>
      </c>
      <c r="K850" s="126">
        <f t="shared" ca="1" si="230"/>
        <v>0</v>
      </c>
      <c r="L850" s="126">
        <f t="shared" ca="1" si="225"/>
        <v>0</v>
      </c>
      <c r="P850">
        <v>843</v>
      </c>
      <c r="Q850" s="6">
        <f t="shared" ca="1" si="231"/>
        <v>27120</v>
      </c>
      <c r="R850" s="7" t="e">
        <f t="shared" ca="1" si="236"/>
        <v>#REF!</v>
      </c>
      <c r="S850" s="125" t="e">
        <f t="shared" ca="1" si="237"/>
        <v>#REF!</v>
      </c>
      <c r="T850" s="125" t="e">
        <f t="shared" ca="1" si="232"/>
        <v>#REF!</v>
      </c>
      <c r="U850" s="128" t="e">
        <f t="shared" ca="1" si="238"/>
        <v>#REF!</v>
      </c>
      <c r="AC850">
        <v>843</v>
      </c>
      <c r="AD850" s="6">
        <f t="shared" ca="1" si="233"/>
        <v>27120</v>
      </c>
      <c r="AE850" s="7" t="e">
        <f t="shared" ca="1" si="239"/>
        <v>#REF!</v>
      </c>
      <c r="AF850" s="125" t="e">
        <f t="shared" ca="1" si="240"/>
        <v>#REF!</v>
      </c>
      <c r="AG850" s="125" t="e">
        <f t="shared" ca="1" si="234"/>
        <v>#REF!</v>
      </c>
      <c r="AH850" s="128" t="e">
        <f t="shared" ca="1" si="241"/>
        <v>#REF!</v>
      </c>
    </row>
    <row r="851" spans="4:34">
      <c r="D851">
        <v>844</v>
      </c>
      <c r="E851" s="6">
        <f t="shared" ca="1" si="226"/>
        <v>27089</v>
      </c>
      <c r="F851" s="7">
        <f t="shared" ca="1" si="235"/>
        <v>0</v>
      </c>
      <c r="G851" s="125">
        <f t="shared" ca="1" si="227"/>
        <v>0</v>
      </c>
      <c r="H851" s="125">
        <f ca="1">IF(F851=1,F851*$B$10/MIN(12,'Simulador - 3º Pilar'!$E$88),0)</f>
        <v>0</v>
      </c>
      <c r="I851" s="128">
        <f t="shared" ca="1" si="228"/>
        <v>0</v>
      </c>
      <c r="J851" s="494">
        <f t="shared" ca="1" si="229"/>
        <v>0</v>
      </c>
      <c r="K851" s="126">
        <f t="shared" ca="1" si="230"/>
        <v>0</v>
      </c>
      <c r="L851" s="126">
        <f t="shared" ca="1" si="225"/>
        <v>0</v>
      </c>
      <c r="P851">
        <v>844</v>
      </c>
      <c r="Q851" s="6">
        <f t="shared" ca="1" si="231"/>
        <v>27089</v>
      </c>
      <c r="R851" s="7" t="e">
        <f t="shared" ca="1" si="236"/>
        <v>#REF!</v>
      </c>
      <c r="S851" s="125" t="e">
        <f t="shared" ca="1" si="237"/>
        <v>#REF!</v>
      </c>
      <c r="T851" s="125" t="e">
        <f t="shared" ca="1" si="232"/>
        <v>#REF!</v>
      </c>
      <c r="U851" s="128" t="e">
        <f t="shared" ca="1" si="238"/>
        <v>#REF!</v>
      </c>
      <c r="AC851">
        <v>844</v>
      </c>
      <c r="AD851" s="6">
        <f t="shared" ca="1" si="233"/>
        <v>27089</v>
      </c>
      <c r="AE851" s="7" t="e">
        <f t="shared" ca="1" si="239"/>
        <v>#REF!</v>
      </c>
      <c r="AF851" s="125" t="e">
        <f t="shared" ca="1" si="240"/>
        <v>#REF!</v>
      </c>
      <c r="AG851" s="125" t="e">
        <f t="shared" ca="1" si="234"/>
        <v>#REF!</v>
      </c>
      <c r="AH851" s="128" t="e">
        <f t="shared" ca="1" si="241"/>
        <v>#REF!</v>
      </c>
    </row>
    <row r="852" spans="4:34">
      <c r="D852">
        <v>845</v>
      </c>
      <c r="E852" s="6">
        <f t="shared" ca="1" si="226"/>
        <v>27061</v>
      </c>
      <c r="F852" s="7">
        <f t="shared" ca="1" si="235"/>
        <v>0</v>
      </c>
      <c r="G852" s="125">
        <f t="shared" ca="1" si="227"/>
        <v>0</v>
      </c>
      <c r="H852" s="125">
        <f ca="1">IF(F852=1,F852*$B$10/MIN(12,'Simulador - 3º Pilar'!$E$88),0)</f>
        <v>0</v>
      </c>
      <c r="I852" s="128">
        <f t="shared" ca="1" si="228"/>
        <v>0</v>
      </c>
      <c r="J852" s="494">
        <f t="shared" ca="1" si="229"/>
        <v>0</v>
      </c>
      <c r="K852" s="126">
        <f t="shared" ca="1" si="230"/>
        <v>0</v>
      </c>
      <c r="L852" s="126">
        <f t="shared" ca="1" si="225"/>
        <v>0</v>
      </c>
      <c r="P852">
        <v>845</v>
      </c>
      <c r="Q852" s="6">
        <f t="shared" ca="1" si="231"/>
        <v>27061</v>
      </c>
      <c r="R852" s="7" t="e">
        <f t="shared" ca="1" si="236"/>
        <v>#REF!</v>
      </c>
      <c r="S852" s="125" t="e">
        <f t="shared" ca="1" si="237"/>
        <v>#REF!</v>
      </c>
      <c r="T852" s="125" t="e">
        <f t="shared" ca="1" si="232"/>
        <v>#REF!</v>
      </c>
      <c r="U852" s="128" t="e">
        <f t="shared" ca="1" si="238"/>
        <v>#REF!</v>
      </c>
      <c r="AC852">
        <v>845</v>
      </c>
      <c r="AD852" s="6">
        <f t="shared" ca="1" si="233"/>
        <v>27061</v>
      </c>
      <c r="AE852" s="7" t="e">
        <f t="shared" ca="1" si="239"/>
        <v>#REF!</v>
      </c>
      <c r="AF852" s="125" t="e">
        <f t="shared" ca="1" si="240"/>
        <v>#REF!</v>
      </c>
      <c r="AG852" s="125" t="e">
        <f t="shared" ca="1" si="234"/>
        <v>#REF!</v>
      </c>
      <c r="AH852" s="128" t="e">
        <f t="shared" ca="1" si="241"/>
        <v>#REF!</v>
      </c>
    </row>
    <row r="853" spans="4:34">
      <c r="D853">
        <v>846</v>
      </c>
      <c r="E853" s="6">
        <f t="shared" ca="1" si="226"/>
        <v>27030</v>
      </c>
      <c r="F853" s="7">
        <f t="shared" ca="1" si="235"/>
        <v>0</v>
      </c>
      <c r="G853" s="125">
        <f t="shared" ca="1" si="227"/>
        <v>0</v>
      </c>
      <c r="H853" s="125">
        <f ca="1">IF(F853=1,F853*$B$10/MIN(12,'Simulador - 3º Pilar'!$E$88),0)</f>
        <v>0</v>
      </c>
      <c r="I853" s="128">
        <f t="shared" ca="1" si="228"/>
        <v>0</v>
      </c>
      <c r="J853" s="494">
        <f t="shared" ca="1" si="229"/>
        <v>0</v>
      </c>
      <c r="K853" s="126">
        <f t="shared" ca="1" si="230"/>
        <v>0</v>
      </c>
      <c r="L853" s="126">
        <f t="shared" ca="1" si="225"/>
        <v>0</v>
      </c>
      <c r="P853">
        <v>846</v>
      </c>
      <c r="Q853" s="6">
        <f t="shared" ca="1" si="231"/>
        <v>27030</v>
      </c>
      <c r="R853" s="7" t="e">
        <f t="shared" ca="1" si="236"/>
        <v>#REF!</v>
      </c>
      <c r="S853" s="125" t="e">
        <f t="shared" ca="1" si="237"/>
        <v>#REF!</v>
      </c>
      <c r="T853" s="125" t="e">
        <f t="shared" ca="1" si="232"/>
        <v>#REF!</v>
      </c>
      <c r="U853" s="128" t="e">
        <f t="shared" ca="1" si="238"/>
        <v>#REF!</v>
      </c>
      <c r="AC853">
        <v>846</v>
      </c>
      <c r="AD853" s="6">
        <f t="shared" ca="1" si="233"/>
        <v>27030</v>
      </c>
      <c r="AE853" s="7" t="e">
        <f t="shared" ca="1" si="239"/>
        <v>#REF!</v>
      </c>
      <c r="AF853" s="125" t="e">
        <f t="shared" ca="1" si="240"/>
        <v>#REF!</v>
      </c>
      <c r="AG853" s="125" t="e">
        <f t="shared" ca="1" si="234"/>
        <v>#REF!</v>
      </c>
      <c r="AH853" s="128" t="e">
        <f t="shared" ca="1" si="241"/>
        <v>#REF!</v>
      </c>
    </row>
    <row r="854" spans="4:34">
      <c r="D854">
        <v>847</v>
      </c>
      <c r="E854" s="6">
        <f t="shared" ca="1" si="226"/>
        <v>26999</v>
      </c>
      <c r="F854" s="7">
        <f t="shared" ca="1" si="235"/>
        <v>0</v>
      </c>
      <c r="G854" s="125">
        <f t="shared" ca="1" si="227"/>
        <v>0</v>
      </c>
      <c r="H854" s="125">
        <f ca="1">IF(F854=1,F854*$B$10/MIN(12,'Simulador - 3º Pilar'!$E$88),0)</f>
        <v>0</v>
      </c>
      <c r="I854" s="128">
        <f t="shared" ca="1" si="228"/>
        <v>0</v>
      </c>
      <c r="J854" s="494">
        <f t="shared" ca="1" si="229"/>
        <v>0</v>
      </c>
      <c r="K854" s="126">
        <f t="shared" ca="1" si="230"/>
        <v>0</v>
      </c>
      <c r="L854" s="126">
        <f t="shared" ca="1" si="225"/>
        <v>0</v>
      </c>
      <c r="P854">
        <v>847</v>
      </c>
      <c r="Q854" s="6">
        <f t="shared" ca="1" si="231"/>
        <v>26999</v>
      </c>
      <c r="R854" s="7" t="e">
        <f t="shared" ca="1" si="236"/>
        <v>#REF!</v>
      </c>
      <c r="S854" s="125" t="e">
        <f t="shared" ca="1" si="237"/>
        <v>#REF!</v>
      </c>
      <c r="T854" s="125" t="e">
        <f t="shared" ca="1" si="232"/>
        <v>#REF!</v>
      </c>
      <c r="U854" s="128" t="e">
        <f t="shared" ca="1" si="238"/>
        <v>#REF!</v>
      </c>
      <c r="AC854">
        <v>847</v>
      </c>
      <c r="AD854" s="6">
        <f t="shared" ca="1" si="233"/>
        <v>26999</v>
      </c>
      <c r="AE854" s="7" t="e">
        <f t="shared" ca="1" si="239"/>
        <v>#REF!</v>
      </c>
      <c r="AF854" s="125" t="e">
        <f t="shared" ca="1" si="240"/>
        <v>#REF!</v>
      </c>
      <c r="AG854" s="125" t="e">
        <f t="shared" ca="1" si="234"/>
        <v>#REF!</v>
      </c>
      <c r="AH854" s="128" t="e">
        <f t="shared" ca="1" si="241"/>
        <v>#REF!</v>
      </c>
    </row>
    <row r="855" spans="4:34">
      <c r="D855">
        <v>848</v>
      </c>
      <c r="E855" s="6">
        <f t="shared" ca="1" si="226"/>
        <v>26969</v>
      </c>
      <c r="F855" s="7">
        <f t="shared" ca="1" si="235"/>
        <v>0</v>
      </c>
      <c r="G855" s="125">
        <f t="shared" ca="1" si="227"/>
        <v>0</v>
      </c>
      <c r="H855" s="125">
        <f ca="1">IF(F855=1,F855*$B$10/MIN(12,'Simulador - 3º Pilar'!$E$88),0)</f>
        <v>0</v>
      </c>
      <c r="I855" s="128">
        <f t="shared" ca="1" si="228"/>
        <v>0</v>
      </c>
      <c r="J855" s="494">
        <f t="shared" ca="1" si="229"/>
        <v>0</v>
      </c>
      <c r="K855" s="126">
        <f t="shared" ca="1" si="230"/>
        <v>0</v>
      </c>
      <c r="L855" s="126">
        <f t="shared" ca="1" si="225"/>
        <v>0</v>
      </c>
      <c r="P855">
        <v>848</v>
      </c>
      <c r="Q855" s="6">
        <f t="shared" ca="1" si="231"/>
        <v>26969</v>
      </c>
      <c r="R855" s="7" t="e">
        <f t="shared" ca="1" si="236"/>
        <v>#REF!</v>
      </c>
      <c r="S855" s="125" t="e">
        <f t="shared" ca="1" si="237"/>
        <v>#REF!</v>
      </c>
      <c r="T855" s="125" t="e">
        <f t="shared" ca="1" si="232"/>
        <v>#REF!</v>
      </c>
      <c r="U855" s="128" t="e">
        <f t="shared" ca="1" si="238"/>
        <v>#REF!</v>
      </c>
      <c r="AC855">
        <v>848</v>
      </c>
      <c r="AD855" s="6">
        <f t="shared" ca="1" si="233"/>
        <v>26969</v>
      </c>
      <c r="AE855" s="7" t="e">
        <f t="shared" ca="1" si="239"/>
        <v>#REF!</v>
      </c>
      <c r="AF855" s="125" t="e">
        <f t="shared" ca="1" si="240"/>
        <v>#REF!</v>
      </c>
      <c r="AG855" s="125" t="e">
        <f t="shared" ca="1" si="234"/>
        <v>#REF!</v>
      </c>
      <c r="AH855" s="128" t="e">
        <f t="shared" ca="1" si="241"/>
        <v>#REF!</v>
      </c>
    </row>
    <row r="856" spans="4:34">
      <c r="D856">
        <v>849</v>
      </c>
      <c r="E856" s="6">
        <f t="shared" ca="1" si="226"/>
        <v>26938</v>
      </c>
      <c r="F856" s="7">
        <f t="shared" ca="1" si="235"/>
        <v>0</v>
      </c>
      <c r="G856" s="125">
        <f t="shared" ca="1" si="227"/>
        <v>0</v>
      </c>
      <c r="H856" s="125">
        <f ca="1">IF(F856=1,F856*$B$10/MIN(12,'Simulador - 3º Pilar'!$E$88),0)</f>
        <v>0</v>
      </c>
      <c r="I856" s="128">
        <f t="shared" ca="1" si="228"/>
        <v>0</v>
      </c>
      <c r="J856" s="494">
        <f t="shared" ca="1" si="229"/>
        <v>0</v>
      </c>
      <c r="K856" s="126">
        <f t="shared" ca="1" si="230"/>
        <v>0</v>
      </c>
      <c r="L856" s="126">
        <f t="shared" ca="1" si="225"/>
        <v>0</v>
      </c>
      <c r="P856">
        <v>849</v>
      </c>
      <c r="Q856" s="6">
        <f t="shared" ca="1" si="231"/>
        <v>26938</v>
      </c>
      <c r="R856" s="7" t="e">
        <f t="shared" ca="1" si="236"/>
        <v>#REF!</v>
      </c>
      <c r="S856" s="125" t="e">
        <f t="shared" ca="1" si="237"/>
        <v>#REF!</v>
      </c>
      <c r="T856" s="125" t="e">
        <f t="shared" ca="1" si="232"/>
        <v>#REF!</v>
      </c>
      <c r="U856" s="128" t="e">
        <f t="shared" ca="1" si="238"/>
        <v>#REF!</v>
      </c>
      <c r="AC856">
        <v>849</v>
      </c>
      <c r="AD856" s="6">
        <f t="shared" ca="1" si="233"/>
        <v>26938</v>
      </c>
      <c r="AE856" s="7" t="e">
        <f t="shared" ca="1" si="239"/>
        <v>#REF!</v>
      </c>
      <c r="AF856" s="125" t="e">
        <f t="shared" ca="1" si="240"/>
        <v>#REF!</v>
      </c>
      <c r="AG856" s="125" t="e">
        <f t="shared" ca="1" si="234"/>
        <v>#REF!</v>
      </c>
      <c r="AH856" s="128" t="e">
        <f t="shared" ca="1" si="241"/>
        <v>#REF!</v>
      </c>
    </row>
    <row r="857" spans="4:34">
      <c r="D857">
        <v>850</v>
      </c>
      <c r="E857" s="6">
        <f t="shared" ca="1" si="226"/>
        <v>26908</v>
      </c>
      <c r="F857" s="7">
        <f t="shared" ca="1" si="235"/>
        <v>0</v>
      </c>
      <c r="G857" s="125">
        <f t="shared" ca="1" si="227"/>
        <v>0</v>
      </c>
      <c r="H857" s="125">
        <f ca="1">IF(F857=1,F857*$B$10/MIN(12,'Simulador - 3º Pilar'!$E$88),0)</f>
        <v>0</v>
      </c>
      <c r="I857" s="128">
        <f t="shared" ca="1" si="228"/>
        <v>0</v>
      </c>
      <c r="J857" s="494">
        <f t="shared" ca="1" si="229"/>
        <v>0</v>
      </c>
      <c r="K857" s="126">
        <f t="shared" ca="1" si="230"/>
        <v>0</v>
      </c>
      <c r="L857" s="126">
        <f t="shared" ca="1" si="225"/>
        <v>0</v>
      </c>
      <c r="P857">
        <v>850</v>
      </c>
      <c r="Q857" s="6">
        <f t="shared" ca="1" si="231"/>
        <v>26908</v>
      </c>
      <c r="R857" s="7" t="e">
        <f t="shared" ca="1" si="236"/>
        <v>#REF!</v>
      </c>
      <c r="S857" s="125" t="e">
        <f t="shared" ca="1" si="237"/>
        <v>#REF!</v>
      </c>
      <c r="T857" s="125" t="e">
        <f t="shared" ca="1" si="232"/>
        <v>#REF!</v>
      </c>
      <c r="U857" s="128" t="e">
        <f t="shared" ca="1" si="238"/>
        <v>#REF!</v>
      </c>
      <c r="AC857">
        <v>850</v>
      </c>
      <c r="AD857" s="6">
        <f t="shared" ca="1" si="233"/>
        <v>26908</v>
      </c>
      <c r="AE857" s="7" t="e">
        <f t="shared" ca="1" si="239"/>
        <v>#REF!</v>
      </c>
      <c r="AF857" s="125" t="e">
        <f t="shared" ca="1" si="240"/>
        <v>#REF!</v>
      </c>
      <c r="AG857" s="125" t="e">
        <f t="shared" ca="1" si="234"/>
        <v>#REF!</v>
      </c>
      <c r="AH857" s="128" t="e">
        <f t="shared" ca="1" si="241"/>
        <v>#REF!</v>
      </c>
    </row>
    <row r="858" spans="4:34">
      <c r="D858">
        <v>851</v>
      </c>
      <c r="E858" s="6">
        <f t="shared" ca="1" si="226"/>
        <v>26877</v>
      </c>
      <c r="F858" s="7">
        <f t="shared" ca="1" si="235"/>
        <v>0</v>
      </c>
      <c r="G858" s="125">
        <f t="shared" ca="1" si="227"/>
        <v>0</v>
      </c>
      <c r="H858" s="125">
        <f ca="1">IF(F858=1,F858*$B$10/MIN(12,'Simulador - 3º Pilar'!$E$88),0)</f>
        <v>0</v>
      </c>
      <c r="I858" s="128">
        <f t="shared" ca="1" si="228"/>
        <v>0</v>
      </c>
      <c r="J858" s="494">
        <f t="shared" ca="1" si="229"/>
        <v>0</v>
      </c>
      <c r="K858" s="126">
        <f t="shared" ca="1" si="230"/>
        <v>0</v>
      </c>
      <c r="L858" s="126">
        <f t="shared" ca="1" si="225"/>
        <v>0</v>
      </c>
      <c r="P858">
        <v>851</v>
      </c>
      <c r="Q858" s="6">
        <f t="shared" ca="1" si="231"/>
        <v>26877</v>
      </c>
      <c r="R858" s="7" t="e">
        <f t="shared" ca="1" si="236"/>
        <v>#REF!</v>
      </c>
      <c r="S858" s="125" t="e">
        <f t="shared" ca="1" si="237"/>
        <v>#REF!</v>
      </c>
      <c r="T858" s="125" t="e">
        <f t="shared" ca="1" si="232"/>
        <v>#REF!</v>
      </c>
      <c r="U858" s="128" t="e">
        <f t="shared" ca="1" si="238"/>
        <v>#REF!</v>
      </c>
      <c r="AC858">
        <v>851</v>
      </c>
      <c r="AD858" s="6">
        <f t="shared" ca="1" si="233"/>
        <v>26877</v>
      </c>
      <c r="AE858" s="7" t="e">
        <f t="shared" ca="1" si="239"/>
        <v>#REF!</v>
      </c>
      <c r="AF858" s="125" t="e">
        <f t="shared" ca="1" si="240"/>
        <v>#REF!</v>
      </c>
      <c r="AG858" s="125" t="e">
        <f t="shared" ca="1" si="234"/>
        <v>#REF!</v>
      </c>
      <c r="AH858" s="128" t="e">
        <f t="shared" ca="1" si="241"/>
        <v>#REF!</v>
      </c>
    </row>
    <row r="859" spans="4:34">
      <c r="D859">
        <v>852</v>
      </c>
      <c r="E859" s="6">
        <f t="shared" ca="1" si="226"/>
        <v>26846</v>
      </c>
      <c r="F859" s="7">
        <f t="shared" ca="1" si="235"/>
        <v>0</v>
      </c>
      <c r="G859" s="125">
        <f t="shared" ca="1" si="227"/>
        <v>0</v>
      </c>
      <c r="H859" s="125">
        <f ca="1">IF(F859=1,F859*$B$10/MIN(12,'Simulador - 3º Pilar'!$E$88),0)</f>
        <v>0</v>
      </c>
      <c r="I859" s="128">
        <f t="shared" ca="1" si="228"/>
        <v>0</v>
      </c>
      <c r="J859" s="494">
        <f t="shared" ca="1" si="229"/>
        <v>0</v>
      </c>
      <c r="K859" s="126">
        <f t="shared" ca="1" si="230"/>
        <v>0</v>
      </c>
      <c r="L859" s="126">
        <f t="shared" ca="1" si="225"/>
        <v>0</v>
      </c>
      <c r="P859">
        <v>852</v>
      </c>
      <c r="Q859" s="6">
        <f t="shared" ca="1" si="231"/>
        <v>26846</v>
      </c>
      <c r="R859" s="7" t="e">
        <f t="shared" ca="1" si="236"/>
        <v>#REF!</v>
      </c>
      <c r="S859" s="125" t="e">
        <f t="shared" ca="1" si="237"/>
        <v>#REF!</v>
      </c>
      <c r="T859" s="125" t="e">
        <f t="shared" ca="1" si="232"/>
        <v>#REF!</v>
      </c>
      <c r="U859" s="128" t="e">
        <f t="shared" ca="1" si="238"/>
        <v>#REF!</v>
      </c>
      <c r="AC859">
        <v>852</v>
      </c>
      <c r="AD859" s="6">
        <f t="shared" ca="1" si="233"/>
        <v>26846</v>
      </c>
      <c r="AE859" s="7" t="e">
        <f t="shared" ca="1" si="239"/>
        <v>#REF!</v>
      </c>
      <c r="AF859" s="125" t="e">
        <f t="shared" ca="1" si="240"/>
        <v>#REF!</v>
      </c>
      <c r="AG859" s="125" t="e">
        <f t="shared" ca="1" si="234"/>
        <v>#REF!</v>
      </c>
      <c r="AH859" s="128" t="e">
        <f t="shared" ca="1" si="241"/>
        <v>#REF!</v>
      </c>
    </row>
    <row r="860" spans="4:34">
      <c r="D860">
        <v>853</v>
      </c>
      <c r="E860" s="6">
        <f t="shared" ca="1" si="226"/>
        <v>26816</v>
      </c>
      <c r="F860" s="7">
        <f t="shared" ca="1" si="235"/>
        <v>0</v>
      </c>
      <c r="G860" s="125">
        <f t="shared" ca="1" si="227"/>
        <v>0</v>
      </c>
      <c r="H860" s="125">
        <f ca="1">IF(F860=1,F860*$B$10/MIN(12,'Simulador - 3º Pilar'!$E$88),0)</f>
        <v>0</v>
      </c>
      <c r="I860" s="128">
        <f t="shared" ca="1" si="228"/>
        <v>0</v>
      </c>
      <c r="J860" s="494">
        <f t="shared" ca="1" si="229"/>
        <v>0</v>
      </c>
      <c r="K860" s="126">
        <f t="shared" ca="1" si="230"/>
        <v>0</v>
      </c>
      <c r="L860" s="126">
        <f t="shared" ca="1" si="225"/>
        <v>0</v>
      </c>
      <c r="P860">
        <v>853</v>
      </c>
      <c r="Q860" s="6">
        <f t="shared" ca="1" si="231"/>
        <v>26816</v>
      </c>
      <c r="R860" s="7" t="e">
        <f t="shared" ca="1" si="236"/>
        <v>#REF!</v>
      </c>
      <c r="S860" s="125" t="e">
        <f t="shared" ca="1" si="237"/>
        <v>#REF!</v>
      </c>
      <c r="T860" s="125" t="e">
        <f t="shared" ca="1" si="232"/>
        <v>#REF!</v>
      </c>
      <c r="U860" s="128" t="e">
        <f t="shared" ca="1" si="238"/>
        <v>#REF!</v>
      </c>
      <c r="AC860">
        <v>853</v>
      </c>
      <c r="AD860" s="6">
        <f t="shared" ca="1" si="233"/>
        <v>26816</v>
      </c>
      <c r="AE860" s="7" t="e">
        <f t="shared" ca="1" si="239"/>
        <v>#REF!</v>
      </c>
      <c r="AF860" s="125" t="e">
        <f t="shared" ca="1" si="240"/>
        <v>#REF!</v>
      </c>
      <c r="AG860" s="125" t="e">
        <f t="shared" ca="1" si="234"/>
        <v>#REF!</v>
      </c>
      <c r="AH860" s="128" t="e">
        <f t="shared" ca="1" si="241"/>
        <v>#REF!</v>
      </c>
    </row>
    <row r="861" spans="4:34">
      <c r="D861">
        <v>854</v>
      </c>
      <c r="E861" s="6">
        <f t="shared" ca="1" si="226"/>
        <v>26785</v>
      </c>
      <c r="F861" s="7">
        <f t="shared" ca="1" si="235"/>
        <v>0</v>
      </c>
      <c r="G861" s="125">
        <f t="shared" ca="1" si="227"/>
        <v>0</v>
      </c>
      <c r="H861" s="125">
        <f ca="1">IF(F861=1,F861*$B$10/MIN(12,'Simulador - 3º Pilar'!$E$88),0)</f>
        <v>0</v>
      </c>
      <c r="I861" s="128">
        <f t="shared" ca="1" si="228"/>
        <v>0</v>
      </c>
      <c r="J861" s="494">
        <f t="shared" ca="1" si="229"/>
        <v>0</v>
      </c>
      <c r="K861" s="126">
        <f t="shared" ca="1" si="230"/>
        <v>0</v>
      </c>
      <c r="L861" s="126">
        <f t="shared" ca="1" si="225"/>
        <v>0</v>
      </c>
      <c r="P861">
        <v>854</v>
      </c>
      <c r="Q861" s="6">
        <f t="shared" ca="1" si="231"/>
        <v>26785</v>
      </c>
      <c r="R861" s="7" t="e">
        <f t="shared" ca="1" si="236"/>
        <v>#REF!</v>
      </c>
      <c r="S861" s="125" t="e">
        <f t="shared" ca="1" si="237"/>
        <v>#REF!</v>
      </c>
      <c r="T861" s="125" t="e">
        <f t="shared" ca="1" si="232"/>
        <v>#REF!</v>
      </c>
      <c r="U861" s="128" t="e">
        <f t="shared" ca="1" si="238"/>
        <v>#REF!</v>
      </c>
      <c r="AC861">
        <v>854</v>
      </c>
      <c r="AD861" s="6">
        <f t="shared" ca="1" si="233"/>
        <v>26785</v>
      </c>
      <c r="AE861" s="7" t="e">
        <f t="shared" ca="1" si="239"/>
        <v>#REF!</v>
      </c>
      <c r="AF861" s="125" t="e">
        <f t="shared" ca="1" si="240"/>
        <v>#REF!</v>
      </c>
      <c r="AG861" s="125" t="e">
        <f t="shared" ca="1" si="234"/>
        <v>#REF!</v>
      </c>
      <c r="AH861" s="128" t="e">
        <f t="shared" ca="1" si="241"/>
        <v>#REF!</v>
      </c>
    </row>
    <row r="862" spans="4:34">
      <c r="D862">
        <v>855</v>
      </c>
      <c r="E862" s="6">
        <f t="shared" ca="1" si="226"/>
        <v>26755</v>
      </c>
      <c r="F862" s="7">
        <f t="shared" ca="1" si="235"/>
        <v>0</v>
      </c>
      <c r="G862" s="125">
        <f t="shared" ca="1" si="227"/>
        <v>0</v>
      </c>
      <c r="H862" s="125">
        <f ca="1">IF(F862=1,F862*$B$10/MIN(12,'Simulador - 3º Pilar'!$E$88),0)</f>
        <v>0</v>
      </c>
      <c r="I862" s="128">
        <f t="shared" ca="1" si="228"/>
        <v>0</v>
      </c>
      <c r="J862" s="494">
        <f t="shared" ca="1" si="229"/>
        <v>0</v>
      </c>
      <c r="K862" s="126">
        <f t="shared" ca="1" si="230"/>
        <v>0</v>
      </c>
      <c r="L862" s="126">
        <f t="shared" ca="1" si="225"/>
        <v>0</v>
      </c>
      <c r="P862">
        <v>855</v>
      </c>
      <c r="Q862" s="6">
        <f t="shared" ca="1" si="231"/>
        <v>26755</v>
      </c>
      <c r="R862" s="7" t="e">
        <f t="shared" ca="1" si="236"/>
        <v>#REF!</v>
      </c>
      <c r="S862" s="125" t="e">
        <f t="shared" ca="1" si="237"/>
        <v>#REF!</v>
      </c>
      <c r="T862" s="125" t="e">
        <f t="shared" ca="1" si="232"/>
        <v>#REF!</v>
      </c>
      <c r="U862" s="128" t="e">
        <f t="shared" ca="1" si="238"/>
        <v>#REF!</v>
      </c>
      <c r="AC862">
        <v>855</v>
      </c>
      <c r="AD862" s="6">
        <f t="shared" ca="1" si="233"/>
        <v>26755</v>
      </c>
      <c r="AE862" s="7" t="e">
        <f t="shared" ca="1" si="239"/>
        <v>#REF!</v>
      </c>
      <c r="AF862" s="125" t="e">
        <f t="shared" ca="1" si="240"/>
        <v>#REF!</v>
      </c>
      <c r="AG862" s="125" t="e">
        <f t="shared" ca="1" si="234"/>
        <v>#REF!</v>
      </c>
      <c r="AH862" s="128" t="e">
        <f t="shared" ca="1" si="241"/>
        <v>#REF!</v>
      </c>
    </row>
    <row r="863" spans="4:34">
      <c r="D863">
        <v>856</v>
      </c>
      <c r="E863" s="6">
        <f t="shared" ca="1" si="226"/>
        <v>26724</v>
      </c>
      <c r="F863" s="7">
        <f t="shared" ca="1" si="235"/>
        <v>0</v>
      </c>
      <c r="G863" s="125">
        <f t="shared" ca="1" si="227"/>
        <v>0</v>
      </c>
      <c r="H863" s="125">
        <f ca="1">IF(F863=1,F863*$B$10/MIN(12,'Simulador - 3º Pilar'!$E$88),0)</f>
        <v>0</v>
      </c>
      <c r="I863" s="128">
        <f t="shared" ca="1" si="228"/>
        <v>0</v>
      </c>
      <c r="J863" s="494">
        <f t="shared" ca="1" si="229"/>
        <v>0</v>
      </c>
      <c r="K863" s="126">
        <f t="shared" ca="1" si="230"/>
        <v>0</v>
      </c>
      <c r="L863" s="126">
        <f t="shared" ca="1" si="225"/>
        <v>0</v>
      </c>
      <c r="P863">
        <v>856</v>
      </c>
      <c r="Q863" s="6">
        <f t="shared" ca="1" si="231"/>
        <v>26724</v>
      </c>
      <c r="R863" s="7" t="e">
        <f t="shared" ca="1" si="236"/>
        <v>#REF!</v>
      </c>
      <c r="S863" s="125" t="e">
        <f t="shared" ca="1" si="237"/>
        <v>#REF!</v>
      </c>
      <c r="T863" s="125" t="e">
        <f t="shared" ca="1" si="232"/>
        <v>#REF!</v>
      </c>
      <c r="U863" s="128" t="e">
        <f t="shared" ca="1" si="238"/>
        <v>#REF!</v>
      </c>
      <c r="AC863">
        <v>856</v>
      </c>
      <c r="AD863" s="6">
        <f t="shared" ca="1" si="233"/>
        <v>26724</v>
      </c>
      <c r="AE863" s="7" t="e">
        <f t="shared" ca="1" si="239"/>
        <v>#REF!</v>
      </c>
      <c r="AF863" s="125" t="e">
        <f t="shared" ca="1" si="240"/>
        <v>#REF!</v>
      </c>
      <c r="AG863" s="125" t="e">
        <f t="shared" ca="1" si="234"/>
        <v>#REF!</v>
      </c>
      <c r="AH863" s="128" t="e">
        <f t="shared" ca="1" si="241"/>
        <v>#REF!</v>
      </c>
    </row>
    <row r="864" spans="4:34">
      <c r="D864">
        <v>857</v>
      </c>
      <c r="E864" s="6">
        <f t="shared" ca="1" si="226"/>
        <v>26696</v>
      </c>
      <c r="F864" s="7">
        <f t="shared" ca="1" si="235"/>
        <v>0</v>
      </c>
      <c r="G864" s="125">
        <f t="shared" ca="1" si="227"/>
        <v>0</v>
      </c>
      <c r="H864" s="125">
        <f ca="1">IF(F864=1,F864*$B$10/MIN(12,'Simulador - 3º Pilar'!$E$88),0)</f>
        <v>0</v>
      </c>
      <c r="I864" s="128">
        <f t="shared" ca="1" si="228"/>
        <v>0</v>
      </c>
      <c r="J864" s="494">
        <f t="shared" ca="1" si="229"/>
        <v>0</v>
      </c>
      <c r="K864" s="126">
        <f t="shared" ca="1" si="230"/>
        <v>0</v>
      </c>
      <c r="L864" s="126">
        <f t="shared" ca="1" si="225"/>
        <v>0</v>
      </c>
      <c r="P864">
        <v>857</v>
      </c>
      <c r="Q864" s="6">
        <f t="shared" ca="1" si="231"/>
        <v>26696</v>
      </c>
      <c r="R864" s="7" t="e">
        <f t="shared" ca="1" si="236"/>
        <v>#REF!</v>
      </c>
      <c r="S864" s="125" t="e">
        <f t="shared" ca="1" si="237"/>
        <v>#REF!</v>
      </c>
      <c r="T864" s="125" t="e">
        <f t="shared" ca="1" si="232"/>
        <v>#REF!</v>
      </c>
      <c r="U864" s="128" t="e">
        <f t="shared" ca="1" si="238"/>
        <v>#REF!</v>
      </c>
      <c r="AC864">
        <v>857</v>
      </c>
      <c r="AD864" s="6">
        <f t="shared" ca="1" si="233"/>
        <v>26696</v>
      </c>
      <c r="AE864" s="7" t="e">
        <f t="shared" ca="1" si="239"/>
        <v>#REF!</v>
      </c>
      <c r="AF864" s="125" t="e">
        <f t="shared" ca="1" si="240"/>
        <v>#REF!</v>
      </c>
      <c r="AG864" s="125" t="e">
        <f t="shared" ca="1" si="234"/>
        <v>#REF!</v>
      </c>
      <c r="AH864" s="128" t="e">
        <f t="shared" ca="1" si="241"/>
        <v>#REF!</v>
      </c>
    </row>
    <row r="865" spans="4:34">
      <c r="D865">
        <v>858</v>
      </c>
      <c r="E865" s="6">
        <f t="shared" ca="1" si="226"/>
        <v>26665</v>
      </c>
      <c r="F865" s="7">
        <f t="shared" ca="1" si="235"/>
        <v>0</v>
      </c>
      <c r="G865" s="125">
        <f t="shared" ca="1" si="227"/>
        <v>0</v>
      </c>
      <c r="H865" s="125">
        <f ca="1">IF(F865=1,F865*$B$10/MIN(12,'Simulador - 3º Pilar'!$E$88),0)</f>
        <v>0</v>
      </c>
      <c r="I865" s="128">
        <f t="shared" ca="1" si="228"/>
        <v>0</v>
      </c>
      <c r="J865" s="494">
        <f t="shared" ca="1" si="229"/>
        <v>0</v>
      </c>
      <c r="K865" s="126">
        <f t="shared" ca="1" si="230"/>
        <v>0</v>
      </c>
      <c r="L865" s="126">
        <f t="shared" ref="L865:L928" ca="1" si="242">(1+$G$5)^(D865/12)*(IF((E865)&gt;($B$6),H865,0)+IF(E865=$N$7,$N$4,0)+IF(E865=$C$6,0,0))</f>
        <v>0</v>
      </c>
      <c r="P865">
        <v>858</v>
      </c>
      <c r="Q865" s="6">
        <f t="shared" ca="1" si="231"/>
        <v>26665</v>
      </c>
      <c r="R865" s="7" t="e">
        <f t="shared" ca="1" si="236"/>
        <v>#REF!</v>
      </c>
      <c r="S865" s="125" t="e">
        <f t="shared" ca="1" si="237"/>
        <v>#REF!</v>
      </c>
      <c r="T865" s="125" t="e">
        <f t="shared" ca="1" si="232"/>
        <v>#REF!</v>
      </c>
      <c r="U865" s="128" t="e">
        <f t="shared" ca="1" si="238"/>
        <v>#REF!</v>
      </c>
      <c r="AC865">
        <v>858</v>
      </c>
      <c r="AD865" s="6">
        <f t="shared" ca="1" si="233"/>
        <v>26665</v>
      </c>
      <c r="AE865" s="7" t="e">
        <f t="shared" ca="1" si="239"/>
        <v>#REF!</v>
      </c>
      <c r="AF865" s="125" t="e">
        <f t="shared" ca="1" si="240"/>
        <v>#REF!</v>
      </c>
      <c r="AG865" s="125" t="e">
        <f t="shared" ca="1" si="234"/>
        <v>#REF!</v>
      </c>
      <c r="AH865" s="128" t="e">
        <f t="shared" ca="1" si="241"/>
        <v>#REF!</v>
      </c>
    </row>
    <row r="866" spans="4:34">
      <c r="D866">
        <v>859</v>
      </c>
      <c r="E866" s="6">
        <f t="shared" ca="1" si="226"/>
        <v>26634</v>
      </c>
      <c r="F866" s="7">
        <f t="shared" ca="1" si="235"/>
        <v>0</v>
      </c>
      <c r="G866" s="125">
        <f t="shared" ca="1" si="227"/>
        <v>0</v>
      </c>
      <c r="H866" s="125">
        <f ca="1">IF(F866=1,F866*$B$10/MIN(12,'Simulador - 3º Pilar'!$E$88),0)</f>
        <v>0</v>
      </c>
      <c r="I866" s="128">
        <f t="shared" ca="1" si="228"/>
        <v>0</v>
      </c>
      <c r="J866" s="494">
        <f t="shared" ca="1" si="229"/>
        <v>0</v>
      </c>
      <c r="K866" s="126">
        <f t="shared" ca="1" si="230"/>
        <v>0</v>
      </c>
      <c r="L866" s="126">
        <f t="shared" ca="1" si="242"/>
        <v>0</v>
      </c>
      <c r="P866">
        <v>859</v>
      </c>
      <c r="Q866" s="6">
        <f t="shared" ca="1" si="231"/>
        <v>26634</v>
      </c>
      <c r="R866" s="7" t="e">
        <f t="shared" ca="1" si="236"/>
        <v>#REF!</v>
      </c>
      <c r="S866" s="125" t="e">
        <f t="shared" ca="1" si="237"/>
        <v>#REF!</v>
      </c>
      <c r="T866" s="125" t="e">
        <f t="shared" ca="1" si="232"/>
        <v>#REF!</v>
      </c>
      <c r="U866" s="128" t="e">
        <f t="shared" ca="1" si="238"/>
        <v>#REF!</v>
      </c>
      <c r="AC866">
        <v>859</v>
      </c>
      <c r="AD866" s="6">
        <f t="shared" ca="1" si="233"/>
        <v>26634</v>
      </c>
      <c r="AE866" s="7" t="e">
        <f t="shared" ca="1" si="239"/>
        <v>#REF!</v>
      </c>
      <c r="AF866" s="125" t="e">
        <f t="shared" ca="1" si="240"/>
        <v>#REF!</v>
      </c>
      <c r="AG866" s="125" t="e">
        <f t="shared" ca="1" si="234"/>
        <v>#REF!</v>
      </c>
      <c r="AH866" s="128" t="e">
        <f t="shared" ca="1" si="241"/>
        <v>#REF!</v>
      </c>
    </row>
    <row r="867" spans="4:34">
      <c r="D867">
        <v>860</v>
      </c>
      <c r="E867" s="6">
        <f t="shared" ca="1" si="226"/>
        <v>26604</v>
      </c>
      <c r="F867" s="7">
        <f t="shared" ca="1" si="235"/>
        <v>0</v>
      </c>
      <c r="G867" s="125">
        <f t="shared" ca="1" si="227"/>
        <v>0</v>
      </c>
      <c r="H867" s="125">
        <f ca="1">IF(F867=1,F867*$B$10/MIN(12,'Simulador - 3º Pilar'!$E$88),0)</f>
        <v>0</v>
      </c>
      <c r="I867" s="128">
        <f t="shared" ca="1" si="228"/>
        <v>0</v>
      </c>
      <c r="J867" s="494">
        <f t="shared" ca="1" si="229"/>
        <v>0</v>
      </c>
      <c r="K867" s="126">
        <f t="shared" ca="1" si="230"/>
        <v>0</v>
      </c>
      <c r="L867" s="126">
        <f t="shared" ca="1" si="242"/>
        <v>0</v>
      </c>
      <c r="P867">
        <v>860</v>
      </c>
      <c r="Q867" s="6">
        <f t="shared" ca="1" si="231"/>
        <v>26604</v>
      </c>
      <c r="R867" s="7" t="e">
        <f t="shared" ca="1" si="236"/>
        <v>#REF!</v>
      </c>
      <c r="S867" s="125" t="e">
        <f t="shared" ca="1" si="237"/>
        <v>#REF!</v>
      </c>
      <c r="T867" s="125" t="e">
        <f t="shared" ca="1" si="232"/>
        <v>#REF!</v>
      </c>
      <c r="U867" s="128" t="e">
        <f t="shared" ca="1" si="238"/>
        <v>#REF!</v>
      </c>
      <c r="AC867">
        <v>860</v>
      </c>
      <c r="AD867" s="6">
        <f t="shared" ca="1" si="233"/>
        <v>26604</v>
      </c>
      <c r="AE867" s="7" t="e">
        <f t="shared" ca="1" si="239"/>
        <v>#REF!</v>
      </c>
      <c r="AF867" s="125" t="e">
        <f t="shared" ca="1" si="240"/>
        <v>#REF!</v>
      </c>
      <c r="AG867" s="125" t="e">
        <f t="shared" ca="1" si="234"/>
        <v>#REF!</v>
      </c>
      <c r="AH867" s="128" t="e">
        <f t="shared" ca="1" si="241"/>
        <v>#REF!</v>
      </c>
    </row>
    <row r="868" spans="4:34">
      <c r="D868">
        <v>861</v>
      </c>
      <c r="E868" s="6">
        <f t="shared" ca="1" si="226"/>
        <v>26573</v>
      </c>
      <c r="F868" s="7">
        <f t="shared" ca="1" si="235"/>
        <v>0</v>
      </c>
      <c r="G868" s="125">
        <f t="shared" ca="1" si="227"/>
        <v>0</v>
      </c>
      <c r="H868" s="125">
        <f ca="1">IF(F868=1,F868*$B$10/MIN(12,'Simulador - 3º Pilar'!$E$88),0)</f>
        <v>0</v>
      </c>
      <c r="I868" s="128">
        <f t="shared" ca="1" si="228"/>
        <v>0</v>
      </c>
      <c r="J868" s="494">
        <f t="shared" ca="1" si="229"/>
        <v>0</v>
      </c>
      <c r="K868" s="126">
        <f t="shared" ca="1" si="230"/>
        <v>0</v>
      </c>
      <c r="L868" s="126">
        <f t="shared" ca="1" si="242"/>
        <v>0</v>
      </c>
      <c r="P868">
        <v>861</v>
      </c>
      <c r="Q868" s="6">
        <f t="shared" ca="1" si="231"/>
        <v>26573</v>
      </c>
      <c r="R868" s="7" t="e">
        <f t="shared" ca="1" si="236"/>
        <v>#REF!</v>
      </c>
      <c r="S868" s="125" t="e">
        <f t="shared" ca="1" si="237"/>
        <v>#REF!</v>
      </c>
      <c r="T868" s="125" t="e">
        <f t="shared" ca="1" si="232"/>
        <v>#REF!</v>
      </c>
      <c r="U868" s="128" t="e">
        <f t="shared" ca="1" si="238"/>
        <v>#REF!</v>
      </c>
      <c r="AC868">
        <v>861</v>
      </c>
      <c r="AD868" s="6">
        <f t="shared" ca="1" si="233"/>
        <v>26573</v>
      </c>
      <c r="AE868" s="7" t="e">
        <f t="shared" ca="1" si="239"/>
        <v>#REF!</v>
      </c>
      <c r="AF868" s="125" t="e">
        <f t="shared" ca="1" si="240"/>
        <v>#REF!</v>
      </c>
      <c r="AG868" s="125" t="e">
        <f t="shared" ca="1" si="234"/>
        <v>#REF!</v>
      </c>
      <c r="AH868" s="128" t="e">
        <f t="shared" ca="1" si="241"/>
        <v>#REF!</v>
      </c>
    </row>
    <row r="869" spans="4:34">
      <c r="D869">
        <v>862</v>
      </c>
      <c r="E869" s="6">
        <f t="shared" ca="1" si="226"/>
        <v>26543</v>
      </c>
      <c r="F869" s="7">
        <f t="shared" ca="1" si="235"/>
        <v>0</v>
      </c>
      <c r="G869" s="125">
        <f t="shared" ca="1" si="227"/>
        <v>0</v>
      </c>
      <c r="H869" s="125">
        <f ca="1">IF(F869=1,F869*$B$10/MIN(12,'Simulador - 3º Pilar'!$E$88),0)</f>
        <v>0</v>
      </c>
      <c r="I869" s="128">
        <f t="shared" ca="1" si="228"/>
        <v>0</v>
      </c>
      <c r="J869" s="494">
        <f t="shared" ca="1" si="229"/>
        <v>0</v>
      </c>
      <c r="K869" s="126">
        <f t="shared" ca="1" si="230"/>
        <v>0</v>
      </c>
      <c r="L869" s="126">
        <f t="shared" ca="1" si="242"/>
        <v>0</v>
      </c>
      <c r="P869">
        <v>862</v>
      </c>
      <c r="Q869" s="6">
        <f t="shared" ca="1" si="231"/>
        <v>26543</v>
      </c>
      <c r="R869" s="7" t="e">
        <f t="shared" ca="1" si="236"/>
        <v>#REF!</v>
      </c>
      <c r="S869" s="125" t="e">
        <f t="shared" ca="1" si="237"/>
        <v>#REF!</v>
      </c>
      <c r="T869" s="125" t="e">
        <f t="shared" ca="1" si="232"/>
        <v>#REF!</v>
      </c>
      <c r="U869" s="128" t="e">
        <f t="shared" ca="1" si="238"/>
        <v>#REF!</v>
      </c>
      <c r="AC869">
        <v>862</v>
      </c>
      <c r="AD869" s="6">
        <f t="shared" ca="1" si="233"/>
        <v>26543</v>
      </c>
      <c r="AE869" s="7" t="e">
        <f t="shared" ca="1" si="239"/>
        <v>#REF!</v>
      </c>
      <c r="AF869" s="125" t="e">
        <f t="shared" ca="1" si="240"/>
        <v>#REF!</v>
      </c>
      <c r="AG869" s="125" t="e">
        <f t="shared" ca="1" si="234"/>
        <v>#REF!</v>
      </c>
      <c r="AH869" s="128" t="e">
        <f t="shared" ca="1" si="241"/>
        <v>#REF!</v>
      </c>
    </row>
    <row r="870" spans="4:34">
      <c r="D870">
        <v>863</v>
      </c>
      <c r="E870" s="6">
        <f t="shared" ca="1" si="226"/>
        <v>26512</v>
      </c>
      <c r="F870" s="7">
        <f t="shared" ca="1" si="235"/>
        <v>0</v>
      </c>
      <c r="G870" s="125">
        <f t="shared" ca="1" si="227"/>
        <v>0</v>
      </c>
      <c r="H870" s="125">
        <f ca="1">IF(F870=1,F870*$B$10/MIN(12,'Simulador - 3º Pilar'!$E$88),0)</f>
        <v>0</v>
      </c>
      <c r="I870" s="128">
        <f t="shared" ca="1" si="228"/>
        <v>0</v>
      </c>
      <c r="J870" s="494">
        <f t="shared" ca="1" si="229"/>
        <v>0</v>
      </c>
      <c r="K870" s="126">
        <f t="shared" ca="1" si="230"/>
        <v>0</v>
      </c>
      <c r="L870" s="126">
        <f t="shared" ca="1" si="242"/>
        <v>0</v>
      </c>
      <c r="P870">
        <v>863</v>
      </c>
      <c r="Q870" s="6">
        <f t="shared" ca="1" si="231"/>
        <v>26512</v>
      </c>
      <c r="R870" s="7" t="e">
        <f t="shared" ca="1" si="236"/>
        <v>#REF!</v>
      </c>
      <c r="S870" s="125" t="e">
        <f t="shared" ca="1" si="237"/>
        <v>#REF!</v>
      </c>
      <c r="T870" s="125" t="e">
        <f t="shared" ca="1" si="232"/>
        <v>#REF!</v>
      </c>
      <c r="U870" s="128" t="e">
        <f t="shared" ca="1" si="238"/>
        <v>#REF!</v>
      </c>
      <c r="AC870">
        <v>863</v>
      </c>
      <c r="AD870" s="6">
        <f t="shared" ca="1" si="233"/>
        <v>26512</v>
      </c>
      <c r="AE870" s="7" t="e">
        <f t="shared" ca="1" si="239"/>
        <v>#REF!</v>
      </c>
      <c r="AF870" s="125" t="e">
        <f t="shared" ca="1" si="240"/>
        <v>#REF!</v>
      </c>
      <c r="AG870" s="125" t="e">
        <f t="shared" ca="1" si="234"/>
        <v>#REF!</v>
      </c>
      <c r="AH870" s="128" t="e">
        <f t="shared" ca="1" si="241"/>
        <v>#REF!</v>
      </c>
    </row>
    <row r="871" spans="4:34">
      <c r="D871">
        <v>864</v>
      </c>
      <c r="E871" s="6">
        <f t="shared" ca="1" si="226"/>
        <v>26481</v>
      </c>
      <c r="F871" s="7">
        <f t="shared" ca="1" si="235"/>
        <v>0</v>
      </c>
      <c r="G871" s="125">
        <f t="shared" ca="1" si="227"/>
        <v>0</v>
      </c>
      <c r="H871" s="125">
        <f ca="1">IF(F871=1,F871*$B$10/MIN(12,'Simulador - 3º Pilar'!$E$88),0)</f>
        <v>0</v>
      </c>
      <c r="I871" s="128">
        <f t="shared" ca="1" si="228"/>
        <v>0</v>
      </c>
      <c r="J871" s="494">
        <f t="shared" ca="1" si="229"/>
        <v>0</v>
      </c>
      <c r="K871" s="126">
        <f t="shared" ca="1" si="230"/>
        <v>0</v>
      </c>
      <c r="L871" s="126">
        <f t="shared" ca="1" si="242"/>
        <v>0</v>
      </c>
      <c r="P871">
        <v>864</v>
      </c>
      <c r="Q871" s="6">
        <f t="shared" ca="1" si="231"/>
        <v>26481</v>
      </c>
      <c r="R871" s="7" t="e">
        <f t="shared" ca="1" si="236"/>
        <v>#REF!</v>
      </c>
      <c r="S871" s="125" t="e">
        <f t="shared" ca="1" si="237"/>
        <v>#REF!</v>
      </c>
      <c r="T871" s="125" t="e">
        <f t="shared" ca="1" si="232"/>
        <v>#REF!</v>
      </c>
      <c r="U871" s="128" t="e">
        <f t="shared" ca="1" si="238"/>
        <v>#REF!</v>
      </c>
      <c r="AC871">
        <v>864</v>
      </c>
      <c r="AD871" s="6">
        <f t="shared" ca="1" si="233"/>
        <v>26481</v>
      </c>
      <c r="AE871" s="7" t="e">
        <f t="shared" ca="1" si="239"/>
        <v>#REF!</v>
      </c>
      <c r="AF871" s="125" t="e">
        <f t="shared" ca="1" si="240"/>
        <v>#REF!</v>
      </c>
      <c r="AG871" s="125" t="e">
        <f t="shared" ca="1" si="234"/>
        <v>#REF!</v>
      </c>
      <c r="AH871" s="128" t="e">
        <f t="shared" ca="1" si="241"/>
        <v>#REF!</v>
      </c>
    </row>
    <row r="872" spans="4:34">
      <c r="D872">
        <v>865</v>
      </c>
      <c r="E872" s="6">
        <f t="shared" ca="1" si="226"/>
        <v>26451</v>
      </c>
      <c r="F872" s="7">
        <f t="shared" ca="1" si="235"/>
        <v>0</v>
      </c>
      <c r="G872" s="125">
        <f t="shared" ca="1" si="227"/>
        <v>0</v>
      </c>
      <c r="H872" s="125">
        <f ca="1">IF(F872=1,F872*$B$10/MIN(12,'Simulador - 3º Pilar'!$E$88),0)</f>
        <v>0</v>
      </c>
      <c r="I872" s="128">
        <f t="shared" ca="1" si="228"/>
        <v>0</v>
      </c>
      <c r="J872" s="494">
        <f t="shared" ca="1" si="229"/>
        <v>0</v>
      </c>
      <c r="K872" s="126">
        <f t="shared" ca="1" si="230"/>
        <v>0</v>
      </c>
      <c r="L872" s="126">
        <f t="shared" ca="1" si="242"/>
        <v>0</v>
      </c>
      <c r="P872">
        <v>865</v>
      </c>
      <c r="Q872" s="6">
        <f t="shared" ca="1" si="231"/>
        <v>26451</v>
      </c>
      <c r="R872" s="7" t="e">
        <f t="shared" ca="1" si="236"/>
        <v>#REF!</v>
      </c>
      <c r="S872" s="125" t="e">
        <f t="shared" ca="1" si="237"/>
        <v>#REF!</v>
      </c>
      <c r="T872" s="125" t="e">
        <f t="shared" ca="1" si="232"/>
        <v>#REF!</v>
      </c>
      <c r="U872" s="128" t="e">
        <f t="shared" ca="1" si="238"/>
        <v>#REF!</v>
      </c>
      <c r="AC872">
        <v>865</v>
      </c>
      <c r="AD872" s="6">
        <f t="shared" ca="1" si="233"/>
        <v>26451</v>
      </c>
      <c r="AE872" s="7" t="e">
        <f t="shared" ca="1" si="239"/>
        <v>#REF!</v>
      </c>
      <c r="AF872" s="125" t="e">
        <f t="shared" ca="1" si="240"/>
        <v>#REF!</v>
      </c>
      <c r="AG872" s="125" t="e">
        <f t="shared" ca="1" si="234"/>
        <v>#REF!</v>
      </c>
      <c r="AH872" s="128" t="e">
        <f t="shared" ca="1" si="241"/>
        <v>#REF!</v>
      </c>
    </row>
    <row r="873" spans="4:34">
      <c r="D873">
        <v>866</v>
      </c>
      <c r="E873" s="6">
        <f t="shared" ca="1" si="226"/>
        <v>26420</v>
      </c>
      <c r="F873" s="7">
        <f t="shared" ca="1" si="235"/>
        <v>0</v>
      </c>
      <c r="G873" s="125">
        <f t="shared" ca="1" si="227"/>
        <v>0</v>
      </c>
      <c r="H873" s="125">
        <f ca="1">IF(F873=1,F873*$B$10/MIN(12,'Simulador - 3º Pilar'!$E$88),0)</f>
        <v>0</v>
      </c>
      <c r="I873" s="128">
        <f t="shared" ca="1" si="228"/>
        <v>0</v>
      </c>
      <c r="J873" s="494">
        <f t="shared" ca="1" si="229"/>
        <v>0</v>
      </c>
      <c r="K873" s="126">
        <f t="shared" ca="1" si="230"/>
        <v>0</v>
      </c>
      <c r="L873" s="126">
        <f t="shared" ca="1" si="242"/>
        <v>0</v>
      </c>
      <c r="P873">
        <v>866</v>
      </c>
      <c r="Q873" s="6">
        <f t="shared" ca="1" si="231"/>
        <v>26420</v>
      </c>
      <c r="R873" s="7" t="e">
        <f t="shared" ca="1" si="236"/>
        <v>#REF!</v>
      </c>
      <c r="S873" s="125" t="e">
        <f t="shared" ca="1" si="237"/>
        <v>#REF!</v>
      </c>
      <c r="T873" s="125" t="e">
        <f t="shared" ca="1" si="232"/>
        <v>#REF!</v>
      </c>
      <c r="U873" s="128" t="e">
        <f t="shared" ca="1" si="238"/>
        <v>#REF!</v>
      </c>
      <c r="AC873">
        <v>866</v>
      </c>
      <c r="AD873" s="6">
        <f t="shared" ca="1" si="233"/>
        <v>26420</v>
      </c>
      <c r="AE873" s="7" t="e">
        <f t="shared" ca="1" si="239"/>
        <v>#REF!</v>
      </c>
      <c r="AF873" s="125" t="e">
        <f t="shared" ca="1" si="240"/>
        <v>#REF!</v>
      </c>
      <c r="AG873" s="125" t="e">
        <f t="shared" ca="1" si="234"/>
        <v>#REF!</v>
      </c>
      <c r="AH873" s="128" t="e">
        <f t="shared" ca="1" si="241"/>
        <v>#REF!</v>
      </c>
    </row>
    <row r="874" spans="4:34">
      <c r="D874">
        <v>867</v>
      </c>
      <c r="E874" s="6">
        <f t="shared" ca="1" si="226"/>
        <v>26390</v>
      </c>
      <c r="F874" s="7">
        <f t="shared" ca="1" si="235"/>
        <v>0</v>
      </c>
      <c r="G874" s="125">
        <f t="shared" ca="1" si="227"/>
        <v>0</v>
      </c>
      <c r="H874" s="125">
        <f ca="1">IF(F874=1,F874*$B$10/MIN(12,'Simulador - 3º Pilar'!$E$88),0)</f>
        <v>0</v>
      </c>
      <c r="I874" s="128">
        <f t="shared" ca="1" si="228"/>
        <v>0</v>
      </c>
      <c r="J874" s="494">
        <f t="shared" ca="1" si="229"/>
        <v>0</v>
      </c>
      <c r="K874" s="126">
        <f t="shared" ca="1" si="230"/>
        <v>0</v>
      </c>
      <c r="L874" s="126">
        <f t="shared" ca="1" si="242"/>
        <v>0</v>
      </c>
      <c r="P874">
        <v>867</v>
      </c>
      <c r="Q874" s="6">
        <f t="shared" ca="1" si="231"/>
        <v>26390</v>
      </c>
      <c r="R874" s="7" t="e">
        <f t="shared" ca="1" si="236"/>
        <v>#REF!</v>
      </c>
      <c r="S874" s="125" t="e">
        <f t="shared" ca="1" si="237"/>
        <v>#REF!</v>
      </c>
      <c r="T874" s="125" t="e">
        <f t="shared" ca="1" si="232"/>
        <v>#REF!</v>
      </c>
      <c r="U874" s="128" t="e">
        <f t="shared" ca="1" si="238"/>
        <v>#REF!</v>
      </c>
      <c r="AC874">
        <v>867</v>
      </c>
      <c r="AD874" s="6">
        <f t="shared" ca="1" si="233"/>
        <v>26390</v>
      </c>
      <c r="AE874" s="7" t="e">
        <f t="shared" ca="1" si="239"/>
        <v>#REF!</v>
      </c>
      <c r="AF874" s="125" t="e">
        <f t="shared" ca="1" si="240"/>
        <v>#REF!</v>
      </c>
      <c r="AG874" s="125" t="e">
        <f t="shared" ca="1" si="234"/>
        <v>#REF!</v>
      </c>
      <c r="AH874" s="128" t="e">
        <f t="shared" ca="1" si="241"/>
        <v>#REF!</v>
      </c>
    </row>
    <row r="875" spans="4:34">
      <c r="D875">
        <v>868</v>
      </c>
      <c r="E875" s="6">
        <f t="shared" ca="1" si="226"/>
        <v>26359</v>
      </c>
      <c r="F875" s="7">
        <f t="shared" ca="1" si="235"/>
        <v>0</v>
      </c>
      <c r="G875" s="125">
        <f t="shared" ca="1" si="227"/>
        <v>0</v>
      </c>
      <c r="H875" s="125">
        <f ca="1">IF(F875=1,F875*$B$10/MIN(12,'Simulador - 3º Pilar'!$E$88),0)</f>
        <v>0</v>
      </c>
      <c r="I875" s="128">
        <f t="shared" ca="1" si="228"/>
        <v>0</v>
      </c>
      <c r="J875" s="494">
        <f t="shared" ca="1" si="229"/>
        <v>0</v>
      </c>
      <c r="K875" s="126">
        <f t="shared" ca="1" si="230"/>
        <v>0</v>
      </c>
      <c r="L875" s="126">
        <f t="shared" ca="1" si="242"/>
        <v>0</v>
      </c>
      <c r="P875">
        <v>868</v>
      </c>
      <c r="Q875" s="6">
        <f t="shared" ca="1" si="231"/>
        <v>26359</v>
      </c>
      <c r="R875" s="7" t="e">
        <f t="shared" ca="1" si="236"/>
        <v>#REF!</v>
      </c>
      <c r="S875" s="125" t="e">
        <f t="shared" ca="1" si="237"/>
        <v>#REF!</v>
      </c>
      <c r="T875" s="125" t="e">
        <f t="shared" ca="1" si="232"/>
        <v>#REF!</v>
      </c>
      <c r="U875" s="128" t="e">
        <f t="shared" ca="1" si="238"/>
        <v>#REF!</v>
      </c>
      <c r="AC875">
        <v>868</v>
      </c>
      <c r="AD875" s="6">
        <f t="shared" ca="1" si="233"/>
        <v>26359</v>
      </c>
      <c r="AE875" s="7" t="e">
        <f t="shared" ca="1" si="239"/>
        <v>#REF!</v>
      </c>
      <c r="AF875" s="125" t="e">
        <f t="shared" ca="1" si="240"/>
        <v>#REF!</v>
      </c>
      <c r="AG875" s="125" t="e">
        <f t="shared" ca="1" si="234"/>
        <v>#REF!</v>
      </c>
      <c r="AH875" s="128" t="e">
        <f t="shared" ca="1" si="241"/>
        <v>#REF!</v>
      </c>
    </row>
    <row r="876" spans="4:34">
      <c r="D876">
        <v>869</v>
      </c>
      <c r="E876" s="6">
        <f t="shared" ca="1" si="226"/>
        <v>26330</v>
      </c>
      <c r="F876" s="7">
        <f t="shared" ca="1" si="235"/>
        <v>0</v>
      </c>
      <c r="G876" s="125">
        <f t="shared" ca="1" si="227"/>
        <v>0</v>
      </c>
      <c r="H876" s="125">
        <f ca="1">IF(F876=1,F876*$B$10/MIN(12,'Simulador - 3º Pilar'!$E$88),0)</f>
        <v>0</v>
      </c>
      <c r="I876" s="128">
        <f t="shared" ca="1" si="228"/>
        <v>0</v>
      </c>
      <c r="J876" s="494">
        <f t="shared" ca="1" si="229"/>
        <v>0</v>
      </c>
      <c r="K876" s="126">
        <f t="shared" ca="1" si="230"/>
        <v>0</v>
      </c>
      <c r="L876" s="126">
        <f t="shared" ca="1" si="242"/>
        <v>0</v>
      </c>
      <c r="P876">
        <v>869</v>
      </c>
      <c r="Q876" s="6">
        <f t="shared" ca="1" si="231"/>
        <v>26330</v>
      </c>
      <c r="R876" s="7" t="e">
        <f t="shared" ca="1" si="236"/>
        <v>#REF!</v>
      </c>
      <c r="S876" s="125" t="e">
        <f t="shared" ca="1" si="237"/>
        <v>#REF!</v>
      </c>
      <c r="T876" s="125" t="e">
        <f t="shared" ca="1" si="232"/>
        <v>#REF!</v>
      </c>
      <c r="U876" s="128" t="e">
        <f t="shared" ca="1" si="238"/>
        <v>#REF!</v>
      </c>
      <c r="AC876">
        <v>869</v>
      </c>
      <c r="AD876" s="6">
        <f t="shared" ca="1" si="233"/>
        <v>26330</v>
      </c>
      <c r="AE876" s="7" t="e">
        <f t="shared" ca="1" si="239"/>
        <v>#REF!</v>
      </c>
      <c r="AF876" s="125" t="e">
        <f t="shared" ca="1" si="240"/>
        <v>#REF!</v>
      </c>
      <c r="AG876" s="125" t="e">
        <f t="shared" ca="1" si="234"/>
        <v>#REF!</v>
      </c>
      <c r="AH876" s="128" t="e">
        <f t="shared" ca="1" si="241"/>
        <v>#REF!</v>
      </c>
    </row>
    <row r="877" spans="4:34">
      <c r="D877">
        <v>870</v>
      </c>
      <c r="E877" s="6">
        <f t="shared" ca="1" si="226"/>
        <v>26299</v>
      </c>
      <c r="F877" s="7">
        <f t="shared" ca="1" si="235"/>
        <v>0</v>
      </c>
      <c r="G877" s="125">
        <f t="shared" ca="1" si="227"/>
        <v>0</v>
      </c>
      <c r="H877" s="125">
        <f ca="1">IF(F877=1,F877*$B$10/MIN(12,'Simulador - 3º Pilar'!$E$88),0)</f>
        <v>0</v>
      </c>
      <c r="I877" s="128">
        <f t="shared" ca="1" si="228"/>
        <v>0</v>
      </c>
      <c r="J877" s="494">
        <f t="shared" ca="1" si="229"/>
        <v>0</v>
      </c>
      <c r="K877" s="126">
        <f t="shared" ca="1" si="230"/>
        <v>0</v>
      </c>
      <c r="L877" s="126">
        <f t="shared" ca="1" si="242"/>
        <v>0</v>
      </c>
      <c r="P877">
        <v>870</v>
      </c>
      <c r="Q877" s="6">
        <f t="shared" ca="1" si="231"/>
        <v>26299</v>
      </c>
      <c r="R877" s="7" t="e">
        <f t="shared" ca="1" si="236"/>
        <v>#REF!</v>
      </c>
      <c r="S877" s="125" t="e">
        <f t="shared" ca="1" si="237"/>
        <v>#REF!</v>
      </c>
      <c r="T877" s="125" t="e">
        <f t="shared" ca="1" si="232"/>
        <v>#REF!</v>
      </c>
      <c r="U877" s="128" t="e">
        <f t="shared" ca="1" si="238"/>
        <v>#REF!</v>
      </c>
      <c r="AC877">
        <v>870</v>
      </c>
      <c r="AD877" s="6">
        <f t="shared" ca="1" si="233"/>
        <v>26299</v>
      </c>
      <c r="AE877" s="7" t="e">
        <f t="shared" ca="1" si="239"/>
        <v>#REF!</v>
      </c>
      <c r="AF877" s="125" t="e">
        <f t="shared" ca="1" si="240"/>
        <v>#REF!</v>
      </c>
      <c r="AG877" s="125" t="e">
        <f t="shared" ca="1" si="234"/>
        <v>#REF!</v>
      </c>
      <c r="AH877" s="128" t="e">
        <f t="shared" ca="1" si="241"/>
        <v>#REF!</v>
      </c>
    </row>
    <row r="878" spans="4:34">
      <c r="D878">
        <v>871</v>
      </c>
      <c r="E878" s="6">
        <f t="shared" ca="1" si="226"/>
        <v>26268</v>
      </c>
      <c r="F878" s="7">
        <f t="shared" ca="1" si="235"/>
        <v>0</v>
      </c>
      <c r="G878" s="125">
        <f t="shared" ca="1" si="227"/>
        <v>0</v>
      </c>
      <c r="H878" s="125">
        <f ca="1">IF(F878=1,F878*$B$10/MIN(12,'Simulador - 3º Pilar'!$E$88),0)</f>
        <v>0</v>
      </c>
      <c r="I878" s="128">
        <f t="shared" ca="1" si="228"/>
        <v>0</v>
      </c>
      <c r="J878" s="494">
        <f t="shared" ca="1" si="229"/>
        <v>0</v>
      </c>
      <c r="K878" s="126">
        <f t="shared" ca="1" si="230"/>
        <v>0</v>
      </c>
      <c r="L878" s="126">
        <f t="shared" ca="1" si="242"/>
        <v>0</v>
      </c>
      <c r="P878">
        <v>871</v>
      </c>
      <c r="Q878" s="6">
        <f t="shared" ca="1" si="231"/>
        <v>26268</v>
      </c>
      <c r="R878" s="7" t="e">
        <f t="shared" ca="1" si="236"/>
        <v>#REF!</v>
      </c>
      <c r="S878" s="125" t="e">
        <f t="shared" ca="1" si="237"/>
        <v>#REF!</v>
      </c>
      <c r="T878" s="125" t="e">
        <f t="shared" ca="1" si="232"/>
        <v>#REF!</v>
      </c>
      <c r="U878" s="128" t="e">
        <f t="shared" ca="1" si="238"/>
        <v>#REF!</v>
      </c>
      <c r="AC878">
        <v>871</v>
      </c>
      <c r="AD878" s="6">
        <f t="shared" ca="1" si="233"/>
        <v>26268</v>
      </c>
      <c r="AE878" s="7" t="e">
        <f t="shared" ca="1" si="239"/>
        <v>#REF!</v>
      </c>
      <c r="AF878" s="125" t="e">
        <f t="shared" ca="1" si="240"/>
        <v>#REF!</v>
      </c>
      <c r="AG878" s="125" t="e">
        <f t="shared" ca="1" si="234"/>
        <v>#REF!</v>
      </c>
      <c r="AH878" s="128" t="e">
        <f t="shared" ca="1" si="241"/>
        <v>#REF!</v>
      </c>
    </row>
    <row r="879" spans="4:34">
      <c r="D879">
        <v>872</v>
      </c>
      <c r="E879" s="6">
        <f t="shared" ca="1" si="226"/>
        <v>26238</v>
      </c>
      <c r="F879" s="7">
        <f t="shared" ca="1" si="235"/>
        <v>0</v>
      </c>
      <c r="G879" s="125">
        <f t="shared" ca="1" si="227"/>
        <v>0</v>
      </c>
      <c r="H879" s="125">
        <f ca="1">IF(F879=1,F879*$B$10/MIN(12,'Simulador - 3º Pilar'!$E$88),0)</f>
        <v>0</v>
      </c>
      <c r="I879" s="128">
        <f t="shared" ca="1" si="228"/>
        <v>0</v>
      </c>
      <c r="J879" s="494">
        <f t="shared" ca="1" si="229"/>
        <v>0</v>
      </c>
      <c r="K879" s="126">
        <f t="shared" ca="1" si="230"/>
        <v>0</v>
      </c>
      <c r="L879" s="126">
        <f t="shared" ca="1" si="242"/>
        <v>0</v>
      </c>
      <c r="P879">
        <v>872</v>
      </c>
      <c r="Q879" s="6">
        <f t="shared" ca="1" si="231"/>
        <v>26238</v>
      </c>
      <c r="R879" s="7" t="e">
        <f t="shared" ca="1" si="236"/>
        <v>#REF!</v>
      </c>
      <c r="S879" s="125" t="e">
        <f t="shared" ca="1" si="237"/>
        <v>#REF!</v>
      </c>
      <c r="T879" s="125" t="e">
        <f t="shared" ca="1" si="232"/>
        <v>#REF!</v>
      </c>
      <c r="U879" s="128" t="e">
        <f t="shared" ca="1" si="238"/>
        <v>#REF!</v>
      </c>
      <c r="AC879">
        <v>872</v>
      </c>
      <c r="AD879" s="6">
        <f t="shared" ca="1" si="233"/>
        <v>26238</v>
      </c>
      <c r="AE879" s="7" t="e">
        <f t="shared" ca="1" si="239"/>
        <v>#REF!</v>
      </c>
      <c r="AF879" s="125" t="e">
        <f t="shared" ca="1" si="240"/>
        <v>#REF!</v>
      </c>
      <c r="AG879" s="125" t="e">
        <f t="shared" ca="1" si="234"/>
        <v>#REF!</v>
      </c>
      <c r="AH879" s="128" t="e">
        <f t="shared" ca="1" si="241"/>
        <v>#REF!</v>
      </c>
    </row>
    <row r="880" spans="4:34">
      <c r="D880">
        <v>873</v>
      </c>
      <c r="E880" s="6">
        <f t="shared" ca="1" si="226"/>
        <v>26207</v>
      </c>
      <c r="F880" s="7">
        <f t="shared" ca="1" si="235"/>
        <v>0</v>
      </c>
      <c r="G880" s="125">
        <f t="shared" ca="1" si="227"/>
        <v>0</v>
      </c>
      <c r="H880" s="125">
        <f ca="1">IF(F880=1,F880*$B$10/MIN(12,'Simulador - 3º Pilar'!$E$88),0)</f>
        <v>0</v>
      </c>
      <c r="I880" s="128">
        <f t="shared" ca="1" si="228"/>
        <v>0</v>
      </c>
      <c r="J880" s="494">
        <f t="shared" ca="1" si="229"/>
        <v>0</v>
      </c>
      <c r="K880" s="126">
        <f t="shared" ca="1" si="230"/>
        <v>0</v>
      </c>
      <c r="L880" s="126">
        <f t="shared" ca="1" si="242"/>
        <v>0</v>
      </c>
      <c r="P880">
        <v>873</v>
      </c>
      <c r="Q880" s="6">
        <f t="shared" ca="1" si="231"/>
        <v>26207</v>
      </c>
      <c r="R880" s="7" t="e">
        <f t="shared" ca="1" si="236"/>
        <v>#REF!</v>
      </c>
      <c r="S880" s="125" t="e">
        <f t="shared" ca="1" si="237"/>
        <v>#REF!</v>
      </c>
      <c r="T880" s="125" t="e">
        <f t="shared" ca="1" si="232"/>
        <v>#REF!</v>
      </c>
      <c r="U880" s="128" t="e">
        <f t="shared" ca="1" si="238"/>
        <v>#REF!</v>
      </c>
      <c r="AC880">
        <v>873</v>
      </c>
      <c r="AD880" s="6">
        <f t="shared" ca="1" si="233"/>
        <v>26207</v>
      </c>
      <c r="AE880" s="7" t="e">
        <f t="shared" ca="1" si="239"/>
        <v>#REF!</v>
      </c>
      <c r="AF880" s="125" t="e">
        <f t="shared" ca="1" si="240"/>
        <v>#REF!</v>
      </c>
      <c r="AG880" s="125" t="e">
        <f t="shared" ca="1" si="234"/>
        <v>#REF!</v>
      </c>
      <c r="AH880" s="128" t="e">
        <f t="shared" ca="1" si="241"/>
        <v>#REF!</v>
      </c>
    </row>
    <row r="881" spans="4:34">
      <c r="D881">
        <v>874</v>
      </c>
      <c r="E881" s="6">
        <f t="shared" ca="1" si="226"/>
        <v>26177</v>
      </c>
      <c r="F881" s="7">
        <f t="shared" ca="1" si="235"/>
        <v>0</v>
      </c>
      <c r="G881" s="125">
        <f t="shared" ca="1" si="227"/>
        <v>0</v>
      </c>
      <c r="H881" s="125">
        <f ca="1">IF(F881=1,F881*$B$10/MIN(12,'Simulador - 3º Pilar'!$E$88),0)</f>
        <v>0</v>
      </c>
      <c r="I881" s="128">
        <f t="shared" ca="1" si="228"/>
        <v>0</v>
      </c>
      <c r="J881" s="494">
        <f t="shared" ca="1" si="229"/>
        <v>0</v>
      </c>
      <c r="K881" s="126">
        <f t="shared" ca="1" si="230"/>
        <v>0</v>
      </c>
      <c r="L881" s="126">
        <f t="shared" ca="1" si="242"/>
        <v>0</v>
      </c>
      <c r="P881">
        <v>874</v>
      </c>
      <c r="Q881" s="6">
        <f t="shared" ca="1" si="231"/>
        <v>26177</v>
      </c>
      <c r="R881" s="7" t="e">
        <f t="shared" ca="1" si="236"/>
        <v>#REF!</v>
      </c>
      <c r="S881" s="125" t="e">
        <f t="shared" ca="1" si="237"/>
        <v>#REF!</v>
      </c>
      <c r="T881" s="125" t="e">
        <f t="shared" ca="1" si="232"/>
        <v>#REF!</v>
      </c>
      <c r="U881" s="128" t="e">
        <f t="shared" ca="1" si="238"/>
        <v>#REF!</v>
      </c>
      <c r="AC881">
        <v>874</v>
      </c>
      <c r="AD881" s="6">
        <f t="shared" ca="1" si="233"/>
        <v>26177</v>
      </c>
      <c r="AE881" s="7" t="e">
        <f t="shared" ca="1" si="239"/>
        <v>#REF!</v>
      </c>
      <c r="AF881" s="125" t="e">
        <f t="shared" ca="1" si="240"/>
        <v>#REF!</v>
      </c>
      <c r="AG881" s="125" t="e">
        <f t="shared" ca="1" si="234"/>
        <v>#REF!</v>
      </c>
      <c r="AH881" s="128" t="e">
        <f t="shared" ca="1" si="241"/>
        <v>#REF!</v>
      </c>
    </row>
    <row r="882" spans="4:34">
      <c r="D882">
        <v>875</v>
      </c>
      <c r="E882" s="6">
        <f t="shared" ca="1" si="226"/>
        <v>26146</v>
      </c>
      <c r="F882" s="7">
        <f t="shared" ca="1" si="235"/>
        <v>0</v>
      </c>
      <c r="G882" s="125">
        <f t="shared" ca="1" si="227"/>
        <v>0</v>
      </c>
      <c r="H882" s="125">
        <f ca="1">IF(F882=1,F882*$B$10/MIN(12,'Simulador - 3º Pilar'!$E$88),0)</f>
        <v>0</v>
      </c>
      <c r="I882" s="128">
        <f t="shared" ca="1" si="228"/>
        <v>0</v>
      </c>
      <c r="J882" s="494">
        <f t="shared" ca="1" si="229"/>
        <v>0</v>
      </c>
      <c r="K882" s="126">
        <f t="shared" ca="1" si="230"/>
        <v>0</v>
      </c>
      <c r="L882" s="126">
        <f t="shared" ca="1" si="242"/>
        <v>0</v>
      </c>
      <c r="P882">
        <v>875</v>
      </c>
      <c r="Q882" s="6">
        <f t="shared" ca="1" si="231"/>
        <v>26146</v>
      </c>
      <c r="R882" s="7" t="e">
        <f t="shared" ca="1" si="236"/>
        <v>#REF!</v>
      </c>
      <c r="S882" s="125" t="e">
        <f t="shared" ca="1" si="237"/>
        <v>#REF!</v>
      </c>
      <c r="T882" s="125" t="e">
        <f t="shared" ca="1" si="232"/>
        <v>#REF!</v>
      </c>
      <c r="U882" s="128" t="e">
        <f t="shared" ca="1" si="238"/>
        <v>#REF!</v>
      </c>
      <c r="AC882">
        <v>875</v>
      </c>
      <c r="AD882" s="6">
        <f t="shared" ca="1" si="233"/>
        <v>26146</v>
      </c>
      <c r="AE882" s="7" t="e">
        <f t="shared" ca="1" si="239"/>
        <v>#REF!</v>
      </c>
      <c r="AF882" s="125" t="e">
        <f t="shared" ca="1" si="240"/>
        <v>#REF!</v>
      </c>
      <c r="AG882" s="125" t="e">
        <f t="shared" ca="1" si="234"/>
        <v>#REF!</v>
      </c>
      <c r="AH882" s="128" t="e">
        <f t="shared" ca="1" si="241"/>
        <v>#REF!</v>
      </c>
    </row>
    <row r="883" spans="4:34">
      <c r="D883">
        <v>876</v>
      </c>
      <c r="E883" s="6">
        <f t="shared" ca="1" si="226"/>
        <v>26115</v>
      </c>
      <c r="F883" s="7">
        <f t="shared" ca="1" si="235"/>
        <v>0</v>
      </c>
      <c r="G883" s="125">
        <f t="shared" ca="1" si="227"/>
        <v>0</v>
      </c>
      <c r="H883" s="125">
        <f ca="1">IF(F883=1,F883*$B$10/MIN(12,'Simulador - 3º Pilar'!$E$88),0)</f>
        <v>0</v>
      </c>
      <c r="I883" s="128">
        <f t="shared" ca="1" si="228"/>
        <v>0</v>
      </c>
      <c r="J883" s="494">
        <f t="shared" ca="1" si="229"/>
        <v>0</v>
      </c>
      <c r="K883" s="126">
        <f t="shared" ca="1" si="230"/>
        <v>0</v>
      </c>
      <c r="L883" s="126">
        <f t="shared" ca="1" si="242"/>
        <v>0</v>
      </c>
      <c r="P883">
        <v>876</v>
      </c>
      <c r="Q883" s="6">
        <f t="shared" ca="1" si="231"/>
        <v>26115</v>
      </c>
      <c r="R883" s="7" t="e">
        <f t="shared" ca="1" si="236"/>
        <v>#REF!</v>
      </c>
      <c r="S883" s="125" t="e">
        <f t="shared" ca="1" si="237"/>
        <v>#REF!</v>
      </c>
      <c r="T883" s="125" t="e">
        <f t="shared" ca="1" si="232"/>
        <v>#REF!</v>
      </c>
      <c r="U883" s="128" t="e">
        <f t="shared" ca="1" si="238"/>
        <v>#REF!</v>
      </c>
      <c r="AC883">
        <v>876</v>
      </c>
      <c r="AD883" s="6">
        <f t="shared" ca="1" si="233"/>
        <v>26115</v>
      </c>
      <c r="AE883" s="7" t="e">
        <f t="shared" ca="1" si="239"/>
        <v>#REF!</v>
      </c>
      <c r="AF883" s="125" t="e">
        <f t="shared" ca="1" si="240"/>
        <v>#REF!</v>
      </c>
      <c r="AG883" s="125" t="e">
        <f t="shared" ca="1" si="234"/>
        <v>#REF!</v>
      </c>
      <c r="AH883" s="128" t="e">
        <f t="shared" ca="1" si="241"/>
        <v>#REF!</v>
      </c>
    </row>
    <row r="884" spans="4:34">
      <c r="D884">
        <v>877</v>
      </c>
      <c r="E884" s="6">
        <f t="shared" ca="1" si="226"/>
        <v>26085</v>
      </c>
      <c r="F884" s="7">
        <f t="shared" ca="1" si="235"/>
        <v>0</v>
      </c>
      <c r="G884" s="125">
        <f t="shared" ca="1" si="227"/>
        <v>0</v>
      </c>
      <c r="H884" s="125">
        <f ca="1">IF(F884=1,F884*$B$10/MIN(12,'Simulador - 3º Pilar'!$E$88),0)</f>
        <v>0</v>
      </c>
      <c r="I884" s="128">
        <f t="shared" ca="1" si="228"/>
        <v>0</v>
      </c>
      <c r="J884" s="494">
        <f t="shared" ca="1" si="229"/>
        <v>0</v>
      </c>
      <c r="K884" s="126">
        <f t="shared" ca="1" si="230"/>
        <v>0</v>
      </c>
      <c r="L884" s="126">
        <f t="shared" ca="1" si="242"/>
        <v>0</v>
      </c>
      <c r="P884">
        <v>877</v>
      </c>
      <c r="Q884" s="6">
        <f t="shared" ca="1" si="231"/>
        <v>26085</v>
      </c>
      <c r="R884" s="7" t="e">
        <f t="shared" ca="1" si="236"/>
        <v>#REF!</v>
      </c>
      <c r="S884" s="125" t="e">
        <f t="shared" ca="1" si="237"/>
        <v>#REF!</v>
      </c>
      <c r="T884" s="125" t="e">
        <f t="shared" ca="1" si="232"/>
        <v>#REF!</v>
      </c>
      <c r="U884" s="128" t="e">
        <f t="shared" ca="1" si="238"/>
        <v>#REF!</v>
      </c>
      <c r="AC884">
        <v>877</v>
      </c>
      <c r="AD884" s="6">
        <f t="shared" ca="1" si="233"/>
        <v>26085</v>
      </c>
      <c r="AE884" s="7" t="e">
        <f t="shared" ca="1" si="239"/>
        <v>#REF!</v>
      </c>
      <c r="AF884" s="125" t="e">
        <f t="shared" ca="1" si="240"/>
        <v>#REF!</v>
      </c>
      <c r="AG884" s="125" t="e">
        <f t="shared" ca="1" si="234"/>
        <v>#REF!</v>
      </c>
      <c r="AH884" s="128" t="e">
        <f t="shared" ca="1" si="241"/>
        <v>#REF!</v>
      </c>
    </row>
    <row r="885" spans="4:34">
      <c r="D885">
        <v>878</v>
      </c>
      <c r="E885" s="6">
        <f t="shared" ca="1" si="226"/>
        <v>26054</v>
      </c>
      <c r="F885" s="7">
        <f t="shared" ca="1" si="235"/>
        <v>0</v>
      </c>
      <c r="G885" s="125">
        <f t="shared" ca="1" si="227"/>
        <v>0</v>
      </c>
      <c r="H885" s="125">
        <f ca="1">IF(F885=1,F885*$B$10/MIN(12,'Simulador - 3º Pilar'!$E$88),0)</f>
        <v>0</v>
      </c>
      <c r="I885" s="128">
        <f t="shared" ca="1" si="228"/>
        <v>0</v>
      </c>
      <c r="J885" s="494">
        <f t="shared" ca="1" si="229"/>
        <v>0</v>
      </c>
      <c r="K885" s="126">
        <f t="shared" ca="1" si="230"/>
        <v>0</v>
      </c>
      <c r="L885" s="126">
        <f t="shared" ca="1" si="242"/>
        <v>0</v>
      </c>
      <c r="P885">
        <v>878</v>
      </c>
      <c r="Q885" s="6">
        <f t="shared" ca="1" si="231"/>
        <v>26054</v>
      </c>
      <c r="R885" s="7" t="e">
        <f t="shared" ca="1" si="236"/>
        <v>#REF!</v>
      </c>
      <c r="S885" s="125" t="e">
        <f t="shared" ca="1" si="237"/>
        <v>#REF!</v>
      </c>
      <c r="T885" s="125" t="e">
        <f t="shared" ca="1" si="232"/>
        <v>#REF!</v>
      </c>
      <c r="U885" s="128" t="e">
        <f t="shared" ca="1" si="238"/>
        <v>#REF!</v>
      </c>
      <c r="AC885">
        <v>878</v>
      </c>
      <c r="AD885" s="6">
        <f t="shared" ca="1" si="233"/>
        <v>26054</v>
      </c>
      <c r="AE885" s="7" t="e">
        <f t="shared" ca="1" si="239"/>
        <v>#REF!</v>
      </c>
      <c r="AF885" s="125" t="e">
        <f t="shared" ca="1" si="240"/>
        <v>#REF!</v>
      </c>
      <c r="AG885" s="125" t="e">
        <f t="shared" ca="1" si="234"/>
        <v>#REF!</v>
      </c>
      <c r="AH885" s="128" t="e">
        <f t="shared" ca="1" si="241"/>
        <v>#REF!</v>
      </c>
    </row>
    <row r="886" spans="4:34">
      <c r="D886">
        <v>879</v>
      </c>
      <c r="E886" s="6">
        <f t="shared" ca="1" si="226"/>
        <v>26024</v>
      </c>
      <c r="F886" s="7">
        <f t="shared" ca="1" si="235"/>
        <v>0</v>
      </c>
      <c r="G886" s="125">
        <f t="shared" ca="1" si="227"/>
        <v>0</v>
      </c>
      <c r="H886" s="125">
        <f ca="1">IF(F886=1,F886*$B$10/MIN(12,'Simulador - 3º Pilar'!$E$88),0)</f>
        <v>0</v>
      </c>
      <c r="I886" s="128">
        <f t="shared" ca="1" si="228"/>
        <v>0</v>
      </c>
      <c r="J886" s="494">
        <f t="shared" ca="1" si="229"/>
        <v>0</v>
      </c>
      <c r="K886" s="126">
        <f t="shared" ca="1" si="230"/>
        <v>0</v>
      </c>
      <c r="L886" s="126">
        <f t="shared" ca="1" si="242"/>
        <v>0</v>
      </c>
      <c r="P886">
        <v>879</v>
      </c>
      <c r="Q886" s="6">
        <f t="shared" ca="1" si="231"/>
        <v>26024</v>
      </c>
      <c r="R886" s="7" t="e">
        <f t="shared" ca="1" si="236"/>
        <v>#REF!</v>
      </c>
      <c r="S886" s="125" t="e">
        <f t="shared" ca="1" si="237"/>
        <v>#REF!</v>
      </c>
      <c r="T886" s="125" t="e">
        <f t="shared" ca="1" si="232"/>
        <v>#REF!</v>
      </c>
      <c r="U886" s="128" t="e">
        <f t="shared" ca="1" si="238"/>
        <v>#REF!</v>
      </c>
      <c r="AC886">
        <v>879</v>
      </c>
      <c r="AD886" s="6">
        <f t="shared" ca="1" si="233"/>
        <v>26024</v>
      </c>
      <c r="AE886" s="7" t="e">
        <f t="shared" ca="1" si="239"/>
        <v>#REF!</v>
      </c>
      <c r="AF886" s="125" t="e">
        <f t="shared" ca="1" si="240"/>
        <v>#REF!</v>
      </c>
      <c r="AG886" s="125" t="e">
        <f t="shared" ca="1" si="234"/>
        <v>#REF!</v>
      </c>
      <c r="AH886" s="128" t="e">
        <f t="shared" ca="1" si="241"/>
        <v>#REF!</v>
      </c>
    </row>
    <row r="887" spans="4:34">
      <c r="D887">
        <v>880</v>
      </c>
      <c r="E887" s="6">
        <f t="shared" ca="1" si="226"/>
        <v>25993</v>
      </c>
      <c r="F887" s="7">
        <f t="shared" ca="1" si="235"/>
        <v>0</v>
      </c>
      <c r="G887" s="125">
        <f t="shared" ca="1" si="227"/>
        <v>0</v>
      </c>
      <c r="H887" s="125">
        <f ca="1">IF(F887=1,F887*$B$10/MIN(12,'Simulador - 3º Pilar'!$E$88),0)</f>
        <v>0</v>
      </c>
      <c r="I887" s="128">
        <f t="shared" ca="1" si="228"/>
        <v>0</v>
      </c>
      <c r="J887" s="494">
        <f t="shared" ca="1" si="229"/>
        <v>0</v>
      </c>
      <c r="K887" s="126">
        <f t="shared" ca="1" si="230"/>
        <v>0</v>
      </c>
      <c r="L887" s="126">
        <f t="shared" ca="1" si="242"/>
        <v>0</v>
      </c>
      <c r="P887">
        <v>880</v>
      </c>
      <c r="Q887" s="6">
        <f t="shared" ca="1" si="231"/>
        <v>25993</v>
      </c>
      <c r="R887" s="7" t="e">
        <f t="shared" ca="1" si="236"/>
        <v>#REF!</v>
      </c>
      <c r="S887" s="125" t="e">
        <f t="shared" ca="1" si="237"/>
        <v>#REF!</v>
      </c>
      <c r="T887" s="125" t="e">
        <f t="shared" ca="1" si="232"/>
        <v>#REF!</v>
      </c>
      <c r="U887" s="128" t="e">
        <f t="shared" ca="1" si="238"/>
        <v>#REF!</v>
      </c>
      <c r="AC887">
        <v>880</v>
      </c>
      <c r="AD887" s="6">
        <f t="shared" ca="1" si="233"/>
        <v>25993</v>
      </c>
      <c r="AE887" s="7" t="e">
        <f t="shared" ca="1" si="239"/>
        <v>#REF!</v>
      </c>
      <c r="AF887" s="125" t="e">
        <f t="shared" ca="1" si="240"/>
        <v>#REF!</v>
      </c>
      <c r="AG887" s="125" t="e">
        <f t="shared" ca="1" si="234"/>
        <v>#REF!</v>
      </c>
      <c r="AH887" s="128" t="e">
        <f t="shared" ca="1" si="241"/>
        <v>#REF!</v>
      </c>
    </row>
    <row r="888" spans="4:34">
      <c r="D888">
        <v>881</v>
      </c>
      <c r="E888" s="6">
        <f t="shared" ca="1" si="226"/>
        <v>25965</v>
      </c>
      <c r="F888" s="7">
        <f t="shared" ca="1" si="235"/>
        <v>0</v>
      </c>
      <c r="G888" s="125">
        <f t="shared" ca="1" si="227"/>
        <v>0</v>
      </c>
      <c r="H888" s="125">
        <f ca="1">IF(F888=1,F888*$B$10/MIN(12,'Simulador - 3º Pilar'!$E$88),0)</f>
        <v>0</v>
      </c>
      <c r="I888" s="128">
        <f t="shared" ca="1" si="228"/>
        <v>0</v>
      </c>
      <c r="J888" s="494">
        <f t="shared" ca="1" si="229"/>
        <v>0</v>
      </c>
      <c r="K888" s="126">
        <f t="shared" ca="1" si="230"/>
        <v>0</v>
      </c>
      <c r="L888" s="126">
        <f t="shared" ca="1" si="242"/>
        <v>0</v>
      </c>
      <c r="P888">
        <v>881</v>
      </c>
      <c r="Q888" s="6">
        <f t="shared" ca="1" si="231"/>
        <v>25965</v>
      </c>
      <c r="R888" s="7" t="e">
        <f t="shared" ca="1" si="236"/>
        <v>#REF!</v>
      </c>
      <c r="S888" s="125" t="e">
        <f t="shared" ca="1" si="237"/>
        <v>#REF!</v>
      </c>
      <c r="T888" s="125" t="e">
        <f t="shared" ca="1" si="232"/>
        <v>#REF!</v>
      </c>
      <c r="U888" s="128" t="e">
        <f t="shared" ca="1" si="238"/>
        <v>#REF!</v>
      </c>
      <c r="AC888">
        <v>881</v>
      </c>
      <c r="AD888" s="6">
        <f t="shared" ca="1" si="233"/>
        <v>25965</v>
      </c>
      <c r="AE888" s="7" t="e">
        <f t="shared" ca="1" si="239"/>
        <v>#REF!</v>
      </c>
      <c r="AF888" s="125" t="e">
        <f t="shared" ca="1" si="240"/>
        <v>#REF!</v>
      </c>
      <c r="AG888" s="125" t="e">
        <f t="shared" ca="1" si="234"/>
        <v>#REF!</v>
      </c>
      <c r="AH888" s="128" t="e">
        <f t="shared" ca="1" si="241"/>
        <v>#REF!</v>
      </c>
    </row>
    <row r="889" spans="4:34">
      <c r="D889">
        <v>882</v>
      </c>
      <c r="E889" s="6">
        <f t="shared" ca="1" si="226"/>
        <v>25934</v>
      </c>
      <c r="F889" s="7">
        <f t="shared" ca="1" si="235"/>
        <v>0</v>
      </c>
      <c r="G889" s="125">
        <f t="shared" ca="1" si="227"/>
        <v>0</v>
      </c>
      <c r="H889" s="125">
        <f ca="1">IF(F889=1,F889*$B$10/MIN(12,'Simulador - 3º Pilar'!$E$88),0)</f>
        <v>0</v>
      </c>
      <c r="I889" s="128">
        <f t="shared" ca="1" si="228"/>
        <v>0</v>
      </c>
      <c r="J889" s="494">
        <f t="shared" ca="1" si="229"/>
        <v>0</v>
      </c>
      <c r="K889" s="126">
        <f t="shared" ca="1" si="230"/>
        <v>0</v>
      </c>
      <c r="L889" s="126">
        <f t="shared" ca="1" si="242"/>
        <v>0</v>
      </c>
      <c r="P889">
        <v>882</v>
      </c>
      <c r="Q889" s="6">
        <f t="shared" ca="1" si="231"/>
        <v>25934</v>
      </c>
      <c r="R889" s="7" t="e">
        <f t="shared" ca="1" si="236"/>
        <v>#REF!</v>
      </c>
      <c r="S889" s="125" t="e">
        <f t="shared" ca="1" si="237"/>
        <v>#REF!</v>
      </c>
      <c r="T889" s="125" t="e">
        <f t="shared" ca="1" si="232"/>
        <v>#REF!</v>
      </c>
      <c r="U889" s="128" t="e">
        <f t="shared" ca="1" si="238"/>
        <v>#REF!</v>
      </c>
      <c r="AC889">
        <v>882</v>
      </c>
      <c r="AD889" s="6">
        <f t="shared" ca="1" si="233"/>
        <v>25934</v>
      </c>
      <c r="AE889" s="7" t="e">
        <f t="shared" ca="1" si="239"/>
        <v>#REF!</v>
      </c>
      <c r="AF889" s="125" t="e">
        <f t="shared" ca="1" si="240"/>
        <v>#REF!</v>
      </c>
      <c r="AG889" s="125" t="e">
        <f t="shared" ca="1" si="234"/>
        <v>#REF!</v>
      </c>
      <c r="AH889" s="128" t="e">
        <f t="shared" ca="1" si="241"/>
        <v>#REF!</v>
      </c>
    </row>
    <row r="890" spans="4:34">
      <c r="D890">
        <v>883</v>
      </c>
      <c r="E890" s="6">
        <f t="shared" ca="1" si="226"/>
        <v>25903</v>
      </c>
      <c r="F890" s="7">
        <f t="shared" ca="1" si="235"/>
        <v>0</v>
      </c>
      <c r="G890" s="125">
        <f t="shared" ca="1" si="227"/>
        <v>0</v>
      </c>
      <c r="H890" s="125">
        <f ca="1">IF(F890=1,F890*$B$10/MIN(12,'Simulador - 3º Pilar'!$E$88),0)</f>
        <v>0</v>
      </c>
      <c r="I890" s="128">
        <f t="shared" ca="1" si="228"/>
        <v>0</v>
      </c>
      <c r="J890" s="494">
        <f t="shared" ca="1" si="229"/>
        <v>0</v>
      </c>
      <c r="K890" s="126">
        <f t="shared" ca="1" si="230"/>
        <v>0</v>
      </c>
      <c r="L890" s="126">
        <f t="shared" ca="1" si="242"/>
        <v>0</v>
      </c>
      <c r="P890">
        <v>883</v>
      </c>
      <c r="Q890" s="6">
        <f t="shared" ca="1" si="231"/>
        <v>25903</v>
      </c>
      <c r="R890" s="7" t="e">
        <f t="shared" ca="1" si="236"/>
        <v>#REF!</v>
      </c>
      <c r="S890" s="125" t="e">
        <f t="shared" ca="1" si="237"/>
        <v>#REF!</v>
      </c>
      <c r="T890" s="125" t="e">
        <f t="shared" ca="1" si="232"/>
        <v>#REF!</v>
      </c>
      <c r="U890" s="128" t="e">
        <f t="shared" ca="1" si="238"/>
        <v>#REF!</v>
      </c>
      <c r="AC890">
        <v>883</v>
      </c>
      <c r="AD890" s="6">
        <f t="shared" ca="1" si="233"/>
        <v>25903</v>
      </c>
      <c r="AE890" s="7" t="e">
        <f t="shared" ca="1" si="239"/>
        <v>#REF!</v>
      </c>
      <c r="AF890" s="125" t="e">
        <f t="shared" ca="1" si="240"/>
        <v>#REF!</v>
      </c>
      <c r="AG890" s="125" t="e">
        <f t="shared" ca="1" si="234"/>
        <v>#REF!</v>
      </c>
      <c r="AH890" s="128" t="e">
        <f t="shared" ca="1" si="241"/>
        <v>#REF!</v>
      </c>
    </row>
    <row r="891" spans="4:34">
      <c r="D891">
        <v>884</v>
      </c>
      <c r="E891" s="6">
        <f t="shared" ca="1" si="226"/>
        <v>25873</v>
      </c>
      <c r="F891" s="7">
        <f t="shared" ca="1" si="235"/>
        <v>0</v>
      </c>
      <c r="G891" s="125">
        <f t="shared" ca="1" si="227"/>
        <v>0</v>
      </c>
      <c r="H891" s="125">
        <f ca="1">IF(F891=1,F891*$B$10/MIN(12,'Simulador - 3º Pilar'!$E$88),0)</f>
        <v>0</v>
      </c>
      <c r="I891" s="128">
        <f t="shared" ca="1" si="228"/>
        <v>0</v>
      </c>
      <c r="J891" s="494">
        <f t="shared" ca="1" si="229"/>
        <v>0</v>
      </c>
      <c r="K891" s="126">
        <f t="shared" ca="1" si="230"/>
        <v>0</v>
      </c>
      <c r="L891" s="126">
        <f t="shared" ca="1" si="242"/>
        <v>0</v>
      </c>
      <c r="P891">
        <v>884</v>
      </c>
      <c r="Q891" s="6">
        <f t="shared" ca="1" si="231"/>
        <v>25873</v>
      </c>
      <c r="R891" s="7" t="e">
        <f t="shared" ca="1" si="236"/>
        <v>#REF!</v>
      </c>
      <c r="S891" s="125" t="e">
        <f t="shared" ca="1" si="237"/>
        <v>#REF!</v>
      </c>
      <c r="T891" s="125" t="e">
        <f t="shared" ca="1" si="232"/>
        <v>#REF!</v>
      </c>
      <c r="U891" s="128" t="e">
        <f t="shared" ca="1" si="238"/>
        <v>#REF!</v>
      </c>
      <c r="AC891">
        <v>884</v>
      </c>
      <c r="AD891" s="6">
        <f t="shared" ca="1" si="233"/>
        <v>25873</v>
      </c>
      <c r="AE891" s="7" t="e">
        <f t="shared" ca="1" si="239"/>
        <v>#REF!</v>
      </c>
      <c r="AF891" s="125" t="e">
        <f t="shared" ca="1" si="240"/>
        <v>#REF!</v>
      </c>
      <c r="AG891" s="125" t="e">
        <f t="shared" ca="1" si="234"/>
        <v>#REF!</v>
      </c>
      <c r="AH891" s="128" t="e">
        <f t="shared" ca="1" si="241"/>
        <v>#REF!</v>
      </c>
    </row>
    <row r="892" spans="4:34">
      <c r="D892">
        <v>885</v>
      </c>
      <c r="E892" s="6">
        <f t="shared" ca="1" si="226"/>
        <v>25842</v>
      </c>
      <c r="F892" s="7">
        <f t="shared" ca="1" si="235"/>
        <v>0</v>
      </c>
      <c r="G892" s="125">
        <f t="shared" ca="1" si="227"/>
        <v>0</v>
      </c>
      <c r="H892" s="125">
        <f ca="1">IF(F892=1,F892*$B$10/MIN(12,'Simulador - 3º Pilar'!$E$88),0)</f>
        <v>0</v>
      </c>
      <c r="I892" s="128">
        <f t="shared" ca="1" si="228"/>
        <v>0</v>
      </c>
      <c r="J892" s="494">
        <f t="shared" ca="1" si="229"/>
        <v>0</v>
      </c>
      <c r="K892" s="126">
        <f t="shared" ca="1" si="230"/>
        <v>0</v>
      </c>
      <c r="L892" s="126">
        <f t="shared" ca="1" si="242"/>
        <v>0</v>
      </c>
      <c r="P892">
        <v>885</v>
      </c>
      <c r="Q892" s="6">
        <f t="shared" ca="1" si="231"/>
        <v>25842</v>
      </c>
      <c r="R892" s="7" t="e">
        <f t="shared" ca="1" si="236"/>
        <v>#REF!</v>
      </c>
      <c r="S892" s="125" t="e">
        <f t="shared" ca="1" si="237"/>
        <v>#REF!</v>
      </c>
      <c r="T892" s="125" t="e">
        <f t="shared" ca="1" si="232"/>
        <v>#REF!</v>
      </c>
      <c r="U892" s="128" t="e">
        <f t="shared" ca="1" si="238"/>
        <v>#REF!</v>
      </c>
      <c r="AC892">
        <v>885</v>
      </c>
      <c r="AD892" s="6">
        <f t="shared" ca="1" si="233"/>
        <v>25842</v>
      </c>
      <c r="AE892" s="7" t="e">
        <f t="shared" ca="1" si="239"/>
        <v>#REF!</v>
      </c>
      <c r="AF892" s="125" t="e">
        <f t="shared" ca="1" si="240"/>
        <v>#REF!</v>
      </c>
      <c r="AG892" s="125" t="e">
        <f t="shared" ca="1" si="234"/>
        <v>#REF!</v>
      </c>
      <c r="AH892" s="128" t="e">
        <f t="shared" ca="1" si="241"/>
        <v>#REF!</v>
      </c>
    </row>
    <row r="893" spans="4:34">
      <c r="D893">
        <v>886</v>
      </c>
      <c r="E893" s="6">
        <f t="shared" ca="1" si="226"/>
        <v>25812</v>
      </c>
      <c r="F893" s="7">
        <f t="shared" ca="1" si="235"/>
        <v>0</v>
      </c>
      <c r="G893" s="125">
        <f t="shared" ca="1" si="227"/>
        <v>0</v>
      </c>
      <c r="H893" s="125">
        <f ca="1">IF(F893=1,F893*$B$10/MIN(12,'Simulador - 3º Pilar'!$E$88),0)</f>
        <v>0</v>
      </c>
      <c r="I893" s="128">
        <f t="shared" ca="1" si="228"/>
        <v>0</v>
      </c>
      <c r="J893" s="494">
        <f t="shared" ca="1" si="229"/>
        <v>0</v>
      </c>
      <c r="K893" s="126">
        <f t="shared" ca="1" si="230"/>
        <v>0</v>
      </c>
      <c r="L893" s="126">
        <f t="shared" ca="1" si="242"/>
        <v>0</v>
      </c>
      <c r="P893">
        <v>886</v>
      </c>
      <c r="Q893" s="6">
        <f t="shared" ca="1" si="231"/>
        <v>25812</v>
      </c>
      <c r="R893" s="7" t="e">
        <f t="shared" ca="1" si="236"/>
        <v>#REF!</v>
      </c>
      <c r="S893" s="125" t="e">
        <f t="shared" ca="1" si="237"/>
        <v>#REF!</v>
      </c>
      <c r="T893" s="125" t="e">
        <f t="shared" ca="1" si="232"/>
        <v>#REF!</v>
      </c>
      <c r="U893" s="128" t="e">
        <f t="shared" ca="1" si="238"/>
        <v>#REF!</v>
      </c>
      <c r="AC893">
        <v>886</v>
      </c>
      <c r="AD893" s="6">
        <f t="shared" ca="1" si="233"/>
        <v>25812</v>
      </c>
      <c r="AE893" s="7" t="e">
        <f t="shared" ca="1" si="239"/>
        <v>#REF!</v>
      </c>
      <c r="AF893" s="125" t="e">
        <f t="shared" ca="1" si="240"/>
        <v>#REF!</v>
      </c>
      <c r="AG893" s="125" t="e">
        <f t="shared" ca="1" si="234"/>
        <v>#REF!</v>
      </c>
      <c r="AH893" s="128" t="e">
        <f t="shared" ca="1" si="241"/>
        <v>#REF!</v>
      </c>
    </row>
    <row r="894" spans="4:34">
      <c r="D894">
        <v>887</v>
      </c>
      <c r="E894" s="6">
        <f t="shared" ca="1" si="226"/>
        <v>25781</v>
      </c>
      <c r="F894" s="7">
        <f t="shared" ca="1" si="235"/>
        <v>0</v>
      </c>
      <c r="G894" s="125">
        <f t="shared" ca="1" si="227"/>
        <v>0</v>
      </c>
      <c r="H894" s="125">
        <f ca="1">IF(F894=1,F894*$B$10/MIN(12,'Simulador - 3º Pilar'!$E$88),0)</f>
        <v>0</v>
      </c>
      <c r="I894" s="128">
        <f t="shared" ca="1" si="228"/>
        <v>0</v>
      </c>
      <c r="J894" s="494">
        <f t="shared" ca="1" si="229"/>
        <v>0</v>
      </c>
      <c r="K894" s="126">
        <f t="shared" ca="1" si="230"/>
        <v>0</v>
      </c>
      <c r="L894" s="126">
        <f t="shared" ca="1" si="242"/>
        <v>0</v>
      </c>
      <c r="P894">
        <v>887</v>
      </c>
      <c r="Q894" s="6">
        <f t="shared" ca="1" si="231"/>
        <v>25781</v>
      </c>
      <c r="R894" s="7" t="e">
        <f t="shared" ca="1" si="236"/>
        <v>#REF!</v>
      </c>
      <c r="S894" s="125" t="e">
        <f t="shared" ca="1" si="237"/>
        <v>#REF!</v>
      </c>
      <c r="T894" s="125" t="e">
        <f t="shared" ca="1" si="232"/>
        <v>#REF!</v>
      </c>
      <c r="U894" s="128" t="e">
        <f t="shared" ca="1" si="238"/>
        <v>#REF!</v>
      </c>
      <c r="AC894">
        <v>887</v>
      </c>
      <c r="AD894" s="6">
        <f t="shared" ca="1" si="233"/>
        <v>25781</v>
      </c>
      <c r="AE894" s="7" t="e">
        <f t="shared" ca="1" si="239"/>
        <v>#REF!</v>
      </c>
      <c r="AF894" s="125" t="e">
        <f t="shared" ca="1" si="240"/>
        <v>#REF!</v>
      </c>
      <c r="AG894" s="125" t="e">
        <f t="shared" ca="1" si="234"/>
        <v>#REF!</v>
      </c>
      <c r="AH894" s="128" t="e">
        <f t="shared" ca="1" si="241"/>
        <v>#REF!</v>
      </c>
    </row>
    <row r="895" spans="4:34">
      <c r="D895">
        <v>888</v>
      </c>
      <c r="E895" s="6">
        <f t="shared" ca="1" si="226"/>
        <v>25750</v>
      </c>
      <c r="F895" s="7">
        <f t="shared" ca="1" si="235"/>
        <v>0</v>
      </c>
      <c r="G895" s="125">
        <f t="shared" ca="1" si="227"/>
        <v>0</v>
      </c>
      <c r="H895" s="125">
        <f ca="1">IF(F895=1,F895*$B$10/MIN(12,'Simulador - 3º Pilar'!$E$88),0)</f>
        <v>0</v>
      </c>
      <c r="I895" s="128">
        <f t="shared" ca="1" si="228"/>
        <v>0</v>
      </c>
      <c r="J895" s="494">
        <f t="shared" ca="1" si="229"/>
        <v>0</v>
      </c>
      <c r="K895" s="126">
        <f t="shared" ca="1" si="230"/>
        <v>0</v>
      </c>
      <c r="L895" s="126">
        <f t="shared" ca="1" si="242"/>
        <v>0</v>
      </c>
      <c r="P895">
        <v>888</v>
      </c>
      <c r="Q895" s="6">
        <f t="shared" ca="1" si="231"/>
        <v>25750</v>
      </c>
      <c r="R895" s="7" t="e">
        <f t="shared" ca="1" si="236"/>
        <v>#REF!</v>
      </c>
      <c r="S895" s="125" t="e">
        <f t="shared" ca="1" si="237"/>
        <v>#REF!</v>
      </c>
      <c r="T895" s="125" t="e">
        <f t="shared" ca="1" si="232"/>
        <v>#REF!</v>
      </c>
      <c r="U895" s="128" t="e">
        <f t="shared" ca="1" si="238"/>
        <v>#REF!</v>
      </c>
      <c r="AC895">
        <v>888</v>
      </c>
      <c r="AD895" s="6">
        <f t="shared" ca="1" si="233"/>
        <v>25750</v>
      </c>
      <c r="AE895" s="7" t="e">
        <f t="shared" ca="1" si="239"/>
        <v>#REF!</v>
      </c>
      <c r="AF895" s="125" t="e">
        <f t="shared" ca="1" si="240"/>
        <v>#REF!</v>
      </c>
      <c r="AG895" s="125" t="e">
        <f t="shared" ca="1" si="234"/>
        <v>#REF!</v>
      </c>
      <c r="AH895" s="128" t="e">
        <f t="shared" ca="1" si="241"/>
        <v>#REF!</v>
      </c>
    </row>
    <row r="896" spans="4:34">
      <c r="D896">
        <v>889</v>
      </c>
      <c r="E896" s="6">
        <f t="shared" ca="1" si="226"/>
        <v>25720</v>
      </c>
      <c r="F896" s="7">
        <f t="shared" ca="1" si="235"/>
        <v>0</v>
      </c>
      <c r="G896" s="125">
        <f t="shared" ca="1" si="227"/>
        <v>0</v>
      </c>
      <c r="H896" s="125">
        <f ca="1">IF(F896=1,F896*$B$10/MIN(12,'Simulador - 3º Pilar'!$E$88),0)</f>
        <v>0</v>
      </c>
      <c r="I896" s="128">
        <f t="shared" ca="1" si="228"/>
        <v>0</v>
      </c>
      <c r="J896" s="494">
        <f t="shared" ca="1" si="229"/>
        <v>0</v>
      </c>
      <c r="K896" s="126">
        <f t="shared" ca="1" si="230"/>
        <v>0</v>
      </c>
      <c r="L896" s="126">
        <f t="shared" ca="1" si="242"/>
        <v>0</v>
      </c>
      <c r="P896">
        <v>889</v>
      </c>
      <c r="Q896" s="6">
        <f t="shared" ca="1" si="231"/>
        <v>25720</v>
      </c>
      <c r="R896" s="7" t="e">
        <f t="shared" ca="1" si="236"/>
        <v>#REF!</v>
      </c>
      <c r="S896" s="125" t="e">
        <f t="shared" ca="1" si="237"/>
        <v>#REF!</v>
      </c>
      <c r="T896" s="125" t="e">
        <f t="shared" ca="1" si="232"/>
        <v>#REF!</v>
      </c>
      <c r="U896" s="128" t="e">
        <f t="shared" ca="1" si="238"/>
        <v>#REF!</v>
      </c>
      <c r="AC896">
        <v>889</v>
      </c>
      <c r="AD896" s="6">
        <f t="shared" ca="1" si="233"/>
        <v>25720</v>
      </c>
      <c r="AE896" s="7" t="e">
        <f t="shared" ca="1" si="239"/>
        <v>#REF!</v>
      </c>
      <c r="AF896" s="125" t="e">
        <f t="shared" ca="1" si="240"/>
        <v>#REF!</v>
      </c>
      <c r="AG896" s="125" t="e">
        <f t="shared" ca="1" si="234"/>
        <v>#REF!</v>
      </c>
      <c r="AH896" s="128" t="e">
        <f t="shared" ca="1" si="241"/>
        <v>#REF!</v>
      </c>
    </row>
    <row r="897" spans="4:34">
      <c r="D897">
        <v>890</v>
      </c>
      <c r="E897" s="6">
        <f t="shared" ca="1" si="226"/>
        <v>25689</v>
      </c>
      <c r="F897" s="7">
        <f t="shared" ca="1" si="235"/>
        <v>0</v>
      </c>
      <c r="G897" s="125">
        <f t="shared" ca="1" si="227"/>
        <v>0</v>
      </c>
      <c r="H897" s="125">
        <f ca="1">IF(F897=1,F897*$B$10/MIN(12,'Simulador - 3º Pilar'!$E$88),0)</f>
        <v>0</v>
      </c>
      <c r="I897" s="128">
        <f t="shared" ca="1" si="228"/>
        <v>0</v>
      </c>
      <c r="J897" s="494">
        <f t="shared" ca="1" si="229"/>
        <v>0</v>
      </c>
      <c r="K897" s="126">
        <f t="shared" ca="1" si="230"/>
        <v>0</v>
      </c>
      <c r="L897" s="126">
        <f t="shared" ca="1" si="242"/>
        <v>0</v>
      </c>
      <c r="P897">
        <v>890</v>
      </c>
      <c r="Q897" s="6">
        <f t="shared" ca="1" si="231"/>
        <v>25689</v>
      </c>
      <c r="R897" s="7" t="e">
        <f t="shared" ca="1" si="236"/>
        <v>#REF!</v>
      </c>
      <c r="S897" s="125" t="e">
        <f t="shared" ca="1" si="237"/>
        <v>#REF!</v>
      </c>
      <c r="T897" s="125" t="e">
        <f t="shared" ca="1" si="232"/>
        <v>#REF!</v>
      </c>
      <c r="U897" s="128" t="e">
        <f t="shared" ca="1" si="238"/>
        <v>#REF!</v>
      </c>
      <c r="AC897">
        <v>890</v>
      </c>
      <c r="AD897" s="6">
        <f t="shared" ca="1" si="233"/>
        <v>25689</v>
      </c>
      <c r="AE897" s="7" t="e">
        <f t="shared" ca="1" si="239"/>
        <v>#REF!</v>
      </c>
      <c r="AF897" s="125" t="e">
        <f t="shared" ca="1" si="240"/>
        <v>#REF!</v>
      </c>
      <c r="AG897" s="125" t="e">
        <f t="shared" ca="1" si="234"/>
        <v>#REF!</v>
      </c>
      <c r="AH897" s="128" t="e">
        <f t="shared" ca="1" si="241"/>
        <v>#REF!</v>
      </c>
    </row>
    <row r="898" spans="4:34">
      <c r="D898">
        <v>891</v>
      </c>
      <c r="E898" s="6">
        <f t="shared" ca="1" si="226"/>
        <v>25659</v>
      </c>
      <c r="F898" s="7">
        <f t="shared" ca="1" si="235"/>
        <v>0</v>
      </c>
      <c r="G898" s="125">
        <f t="shared" ca="1" si="227"/>
        <v>0</v>
      </c>
      <c r="H898" s="125">
        <f ca="1">IF(F898=1,F898*$B$10/MIN(12,'Simulador - 3º Pilar'!$E$88),0)</f>
        <v>0</v>
      </c>
      <c r="I898" s="128">
        <f t="shared" ca="1" si="228"/>
        <v>0</v>
      </c>
      <c r="J898" s="494">
        <f t="shared" ca="1" si="229"/>
        <v>0</v>
      </c>
      <c r="K898" s="126">
        <f t="shared" ca="1" si="230"/>
        <v>0</v>
      </c>
      <c r="L898" s="126">
        <f t="shared" ca="1" si="242"/>
        <v>0</v>
      </c>
      <c r="P898">
        <v>891</v>
      </c>
      <c r="Q898" s="6">
        <f t="shared" ca="1" si="231"/>
        <v>25659</v>
      </c>
      <c r="R898" s="7" t="e">
        <f t="shared" ca="1" si="236"/>
        <v>#REF!</v>
      </c>
      <c r="S898" s="125" t="e">
        <f t="shared" ca="1" si="237"/>
        <v>#REF!</v>
      </c>
      <c r="T898" s="125" t="e">
        <f t="shared" ca="1" si="232"/>
        <v>#REF!</v>
      </c>
      <c r="U898" s="128" t="e">
        <f t="shared" ca="1" si="238"/>
        <v>#REF!</v>
      </c>
      <c r="AC898">
        <v>891</v>
      </c>
      <c r="AD898" s="6">
        <f t="shared" ca="1" si="233"/>
        <v>25659</v>
      </c>
      <c r="AE898" s="7" t="e">
        <f t="shared" ca="1" si="239"/>
        <v>#REF!</v>
      </c>
      <c r="AF898" s="125" t="e">
        <f t="shared" ca="1" si="240"/>
        <v>#REF!</v>
      </c>
      <c r="AG898" s="125" t="e">
        <f t="shared" ca="1" si="234"/>
        <v>#REF!</v>
      </c>
      <c r="AH898" s="128" t="e">
        <f t="shared" ca="1" si="241"/>
        <v>#REF!</v>
      </c>
    </row>
    <row r="899" spans="4:34">
      <c r="D899">
        <v>892</v>
      </c>
      <c r="E899" s="6">
        <f t="shared" ca="1" si="226"/>
        <v>25628</v>
      </c>
      <c r="F899" s="7">
        <f t="shared" ca="1" si="235"/>
        <v>0</v>
      </c>
      <c r="G899" s="125">
        <f t="shared" ca="1" si="227"/>
        <v>0</v>
      </c>
      <c r="H899" s="125">
        <f ca="1">IF(F899=1,F899*$B$10/MIN(12,'Simulador - 3º Pilar'!$E$88),0)</f>
        <v>0</v>
      </c>
      <c r="I899" s="128">
        <f t="shared" ca="1" si="228"/>
        <v>0</v>
      </c>
      <c r="J899" s="494">
        <f t="shared" ca="1" si="229"/>
        <v>0</v>
      </c>
      <c r="K899" s="126">
        <f t="shared" ca="1" si="230"/>
        <v>0</v>
      </c>
      <c r="L899" s="126">
        <f t="shared" ca="1" si="242"/>
        <v>0</v>
      </c>
      <c r="P899">
        <v>892</v>
      </c>
      <c r="Q899" s="6">
        <f t="shared" ca="1" si="231"/>
        <v>25628</v>
      </c>
      <c r="R899" s="7" t="e">
        <f t="shared" ca="1" si="236"/>
        <v>#REF!</v>
      </c>
      <c r="S899" s="125" t="e">
        <f t="shared" ca="1" si="237"/>
        <v>#REF!</v>
      </c>
      <c r="T899" s="125" t="e">
        <f t="shared" ca="1" si="232"/>
        <v>#REF!</v>
      </c>
      <c r="U899" s="128" t="e">
        <f t="shared" ca="1" si="238"/>
        <v>#REF!</v>
      </c>
      <c r="AC899">
        <v>892</v>
      </c>
      <c r="AD899" s="6">
        <f t="shared" ca="1" si="233"/>
        <v>25628</v>
      </c>
      <c r="AE899" s="7" t="e">
        <f t="shared" ca="1" si="239"/>
        <v>#REF!</v>
      </c>
      <c r="AF899" s="125" t="e">
        <f t="shared" ca="1" si="240"/>
        <v>#REF!</v>
      </c>
      <c r="AG899" s="125" t="e">
        <f t="shared" ca="1" si="234"/>
        <v>#REF!</v>
      </c>
      <c r="AH899" s="128" t="e">
        <f t="shared" ca="1" si="241"/>
        <v>#REF!</v>
      </c>
    </row>
    <row r="900" spans="4:34">
      <c r="D900">
        <v>893</v>
      </c>
      <c r="E900" s="6">
        <f t="shared" ca="1" si="226"/>
        <v>25600</v>
      </c>
      <c r="F900" s="7">
        <f t="shared" ca="1" si="235"/>
        <v>0</v>
      </c>
      <c r="G900" s="125">
        <f t="shared" ca="1" si="227"/>
        <v>0</v>
      </c>
      <c r="H900" s="125">
        <f ca="1">IF(F900=1,F900*$B$10/MIN(12,'Simulador - 3º Pilar'!$E$88),0)</f>
        <v>0</v>
      </c>
      <c r="I900" s="128">
        <f t="shared" ca="1" si="228"/>
        <v>0</v>
      </c>
      <c r="J900" s="494">
        <f t="shared" ca="1" si="229"/>
        <v>0</v>
      </c>
      <c r="K900" s="126">
        <f t="shared" ca="1" si="230"/>
        <v>0</v>
      </c>
      <c r="L900" s="126">
        <f t="shared" ca="1" si="242"/>
        <v>0</v>
      </c>
      <c r="P900">
        <v>893</v>
      </c>
      <c r="Q900" s="6">
        <f t="shared" ca="1" si="231"/>
        <v>25600</v>
      </c>
      <c r="R900" s="7" t="e">
        <f t="shared" ca="1" si="236"/>
        <v>#REF!</v>
      </c>
      <c r="S900" s="125" t="e">
        <f t="shared" ca="1" si="237"/>
        <v>#REF!</v>
      </c>
      <c r="T900" s="125" t="e">
        <f t="shared" ca="1" si="232"/>
        <v>#REF!</v>
      </c>
      <c r="U900" s="128" t="e">
        <f t="shared" ca="1" si="238"/>
        <v>#REF!</v>
      </c>
      <c r="AC900">
        <v>893</v>
      </c>
      <c r="AD900" s="6">
        <f t="shared" ca="1" si="233"/>
        <v>25600</v>
      </c>
      <c r="AE900" s="7" t="e">
        <f t="shared" ca="1" si="239"/>
        <v>#REF!</v>
      </c>
      <c r="AF900" s="125" t="e">
        <f t="shared" ca="1" si="240"/>
        <v>#REF!</v>
      </c>
      <c r="AG900" s="125" t="e">
        <f t="shared" ca="1" si="234"/>
        <v>#REF!</v>
      </c>
      <c r="AH900" s="128" t="e">
        <f t="shared" ca="1" si="241"/>
        <v>#REF!</v>
      </c>
    </row>
    <row r="901" spans="4:34">
      <c r="D901">
        <v>894</v>
      </c>
      <c r="E901" s="6">
        <f t="shared" ca="1" si="226"/>
        <v>25569</v>
      </c>
      <c r="F901" s="7">
        <f t="shared" ca="1" si="235"/>
        <v>0</v>
      </c>
      <c r="G901" s="125">
        <f t="shared" ca="1" si="227"/>
        <v>0</v>
      </c>
      <c r="H901" s="125">
        <f ca="1">IF(F901=1,F901*$B$10/MIN(12,'Simulador - 3º Pilar'!$E$88),0)</f>
        <v>0</v>
      </c>
      <c r="I901" s="128">
        <f t="shared" ca="1" si="228"/>
        <v>0</v>
      </c>
      <c r="J901" s="494">
        <f t="shared" ca="1" si="229"/>
        <v>0</v>
      </c>
      <c r="K901" s="126">
        <f t="shared" ca="1" si="230"/>
        <v>0</v>
      </c>
      <c r="L901" s="126">
        <f t="shared" ca="1" si="242"/>
        <v>0</v>
      </c>
      <c r="P901">
        <v>894</v>
      </c>
      <c r="Q901" s="6">
        <f t="shared" ca="1" si="231"/>
        <v>25569</v>
      </c>
      <c r="R901" s="7" t="e">
        <f t="shared" ca="1" si="236"/>
        <v>#REF!</v>
      </c>
      <c r="S901" s="125" t="e">
        <f t="shared" ca="1" si="237"/>
        <v>#REF!</v>
      </c>
      <c r="T901" s="125" t="e">
        <f t="shared" ca="1" si="232"/>
        <v>#REF!</v>
      </c>
      <c r="U901" s="128" t="e">
        <f t="shared" ca="1" si="238"/>
        <v>#REF!</v>
      </c>
      <c r="AC901">
        <v>894</v>
      </c>
      <c r="AD901" s="6">
        <f t="shared" ca="1" si="233"/>
        <v>25569</v>
      </c>
      <c r="AE901" s="7" t="e">
        <f t="shared" ca="1" si="239"/>
        <v>#REF!</v>
      </c>
      <c r="AF901" s="125" t="e">
        <f t="shared" ca="1" si="240"/>
        <v>#REF!</v>
      </c>
      <c r="AG901" s="125" t="e">
        <f t="shared" ca="1" si="234"/>
        <v>#REF!</v>
      </c>
      <c r="AH901" s="128" t="e">
        <f t="shared" ca="1" si="241"/>
        <v>#REF!</v>
      </c>
    </row>
    <row r="902" spans="4:34">
      <c r="D902">
        <v>895</v>
      </c>
      <c r="E902" s="6">
        <f t="shared" ca="1" si="226"/>
        <v>25538</v>
      </c>
      <c r="F902" s="7">
        <f t="shared" ca="1" si="235"/>
        <v>0</v>
      </c>
      <c r="G902" s="125">
        <f t="shared" ca="1" si="227"/>
        <v>0</v>
      </c>
      <c r="H902" s="125">
        <f ca="1">IF(F902=1,F902*$B$10/MIN(12,'Simulador - 3º Pilar'!$E$88),0)</f>
        <v>0</v>
      </c>
      <c r="I902" s="128">
        <f t="shared" ca="1" si="228"/>
        <v>0</v>
      </c>
      <c r="J902" s="494">
        <f t="shared" ca="1" si="229"/>
        <v>0</v>
      </c>
      <c r="K902" s="126">
        <f t="shared" ca="1" si="230"/>
        <v>0</v>
      </c>
      <c r="L902" s="126">
        <f t="shared" ca="1" si="242"/>
        <v>0</v>
      </c>
      <c r="P902">
        <v>895</v>
      </c>
      <c r="Q902" s="6">
        <f t="shared" ca="1" si="231"/>
        <v>25538</v>
      </c>
      <c r="R902" s="7" t="e">
        <f t="shared" ca="1" si="236"/>
        <v>#REF!</v>
      </c>
      <c r="S902" s="125" t="e">
        <f t="shared" ca="1" si="237"/>
        <v>#REF!</v>
      </c>
      <c r="T902" s="125" t="e">
        <f t="shared" ca="1" si="232"/>
        <v>#REF!</v>
      </c>
      <c r="U902" s="128" t="e">
        <f t="shared" ca="1" si="238"/>
        <v>#REF!</v>
      </c>
      <c r="AC902">
        <v>895</v>
      </c>
      <c r="AD902" s="6">
        <f t="shared" ca="1" si="233"/>
        <v>25538</v>
      </c>
      <c r="AE902" s="7" t="e">
        <f t="shared" ca="1" si="239"/>
        <v>#REF!</v>
      </c>
      <c r="AF902" s="125" t="e">
        <f t="shared" ca="1" si="240"/>
        <v>#REF!</v>
      </c>
      <c r="AG902" s="125" t="e">
        <f t="shared" ca="1" si="234"/>
        <v>#REF!</v>
      </c>
      <c r="AH902" s="128" t="e">
        <f t="shared" ca="1" si="241"/>
        <v>#REF!</v>
      </c>
    </row>
    <row r="903" spans="4:34">
      <c r="D903">
        <v>896</v>
      </c>
      <c r="E903" s="6">
        <f t="shared" ca="1" si="226"/>
        <v>25508</v>
      </c>
      <c r="F903" s="7">
        <f t="shared" ca="1" si="235"/>
        <v>0</v>
      </c>
      <c r="G903" s="125">
        <f t="shared" ca="1" si="227"/>
        <v>0</v>
      </c>
      <c r="H903" s="125">
        <f ca="1">IF(F903=1,F903*$B$10/MIN(12,'Simulador - 3º Pilar'!$E$88),0)</f>
        <v>0</v>
      </c>
      <c r="I903" s="128">
        <f t="shared" ca="1" si="228"/>
        <v>0</v>
      </c>
      <c r="J903" s="494">
        <f t="shared" ca="1" si="229"/>
        <v>0</v>
      </c>
      <c r="K903" s="126">
        <f t="shared" ca="1" si="230"/>
        <v>0</v>
      </c>
      <c r="L903" s="126">
        <f t="shared" ca="1" si="242"/>
        <v>0</v>
      </c>
      <c r="P903">
        <v>896</v>
      </c>
      <c r="Q903" s="6">
        <f t="shared" ca="1" si="231"/>
        <v>25508</v>
      </c>
      <c r="R903" s="7" t="e">
        <f t="shared" ca="1" si="236"/>
        <v>#REF!</v>
      </c>
      <c r="S903" s="125" t="e">
        <f t="shared" ca="1" si="237"/>
        <v>#REF!</v>
      </c>
      <c r="T903" s="125" t="e">
        <f t="shared" ca="1" si="232"/>
        <v>#REF!</v>
      </c>
      <c r="U903" s="128" t="e">
        <f t="shared" ca="1" si="238"/>
        <v>#REF!</v>
      </c>
      <c r="AC903">
        <v>896</v>
      </c>
      <c r="AD903" s="6">
        <f t="shared" ca="1" si="233"/>
        <v>25508</v>
      </c>
      <c r="AE903" s="7" t="e">
        <f t="shared" ca="1" si="239"/>
        <v>#REF!</v>
      </c>
      <c r="AF903" s="125" t="e">
        <f t="shared" ca="1" si="240"/>
        <v>#REF!</v>
      </c>
      <c r="AG903" s="125" t="e">
        <f t="shared" ca="1" si="234"/>
        <v>#REF!</v>
      </c>
      <c r="AH903" s="128" t="e">
        <f t="shared" ca="1" si="241"/>
        <v>#REF!</v>
      </c>
    </row>
    <row r="904" spans="4:34">
      <c r="D904">
        <v>897</v>
      </c>
      <c r="E904" s="6">
        <f t="shared" ref="E904:E967" ca="1" si="243">+DATE(YEAR(E903),MONTH(E903)-1,DAY(E903))</f>
        <v>25477</v>
      </c>
      <c r="F904" s="7">
        <f t="shared" ca="1" si="235"/>
        <v>0</v>
      </c>
      <c r="G904" s="125">
        <f t="shared" ref="G904:G967" ca="1" si="244">F904*$B$8/12</f>
        <v>0</v>
      </c>
      <c r="H904" s="125">
        <f ca="1">IF(F904=1,F904*$B$10/MIN(12,'Simulador - 3º Pilar'!$E$88),0)</f>
        <v>0</v>
      </c>
      <c r="I904" s="128">
        <f t="shared" ref="I904:I967" ca="1" si="245">(1+$G$5)^(D904/12)*(H904+IF(E904=$N$7,$N$4,0))</f>
        <v>0</v>
      </c>
      <c r="J904" s="494">
        <f t="shared" ref="J904:J967" ca="1" si="246">(1+$G$5)^(D904/12)*(H904*(12-IF(MONTH(E905)=12,0,MONTH(E905)))+IF(AND(F904=1,F905=0),$Q$4,0))*IF(AND(F904=1,F905=0),1,0)</f>
        <v>0</v>
      </c>
      <c r="K904" s="126">
        <f t="shared" ref="K904:K967" ca="1" si="247">(1+$G$5)^(D904/12)*(IF(E904=$N$7,$N$4,0)+IF(E904=$C$6,$B$10,0))</f>
        <v>0</v>
      </c>
      <c r="L904" s="126">
        <f t="shared" ca="1" si="242"/>
        <v>0</v>
      </c>
      <c r="P904">
        <v>897</v>
      </c>
      <c r="Q904" s="6">
        <f t="shared" ref="Q904:Q967" ca="1" si="248">+DATE(YEAR(Q903),MONTH(Q903)-1,DAY(Q903))</f>
        <v>25477</v>
      </c>
      <c r="R904" s="7" t="e">
        <f t="shared" ca="1" si="236"/>
        <v>#REF!</v>
      </c>
      <c r="S904" s="125" t="e">
        <f t="shared" ca="1" si="237"/>
        <v>#REF!</v>
      </c>
      <c r="T904" s="125" t="e">
        <f t="shared" ref="T904:T967" ca="1" si="249">R904*$B$11/12</f>
        <v>#REF!</v>
      </c>
      <c r="U904" s="128" t="e">
        <f t="shared" ca="1" si="238"/>
        <v>#REF!</v>
      </c>
      <c r="AC904">
        <v>897</v>
      </c>
      <c r="AD904" s="6">
        <f t="shared" ref="AD904:AD967" ca="1" si="250">+DATE(YEAR(AD903),MONTH(AD903)-1,DAY(AD903))</f>
        <v>25477</v>
      </c>
      <c r="AE904" s="7" t="e">
        <f t="shared" ca="1" si="239"/>
        <v>#REF!</v>
      </c>
      <c r="AF904" s="125" t="e">
        <f t="shared" ca="1" si="240"/>
        <v>#REF!</v>
      </c>
      <c r="AG904" s="125" t="e">
        <f t="shared" ref="AG904:AG967" ca="1" si="251">AE904*$B$12/12</f>
        <v>#REF!</v>
      </c>
      <c r="AH904" s="128" t="e">
        <f t="shared" ca="1" si="241"/>
        <v>#REF!</v>
      </c>
    </row>
    <row r="905" spans="4:34">
      <c r="D905">
        <v>898</v>
      </c>
      <c r="E905" s="6">
        <f t="shared" ca="1" si="243"/>
        <v>25447</v>
      </c>
      <c r="F905" s="7">
        <f t="shared" ref="F905:F968" ca="1" si="252">IF($C$6=$E905,1,IF(MONTH($E905)=1,F906*(1+$F$5),F906))</f>
        <v>0</v>
      </c>
      <c r="G905" s="125">
        <f t="shared" ca="1" si="244"/>
        <v>0</v>
      </c>
      <c r="H905" s="125">
        <f ca="1">IF(F905=1,F905*$B$10/MIN(12,'Simulador - 3º Pilar'!$E$88),0)</f>
        <v>0</v>
      </c>
      <c r="I905" s="128">
        <f t="shared" ca="1" si="245"/>
        <v>0</v>
      </c>
      <c r="J905" s="494">
        <f t="shared" ca="1" si="246"/>
        <v>0</v>
      </c>
      <c r="K905" s="126">
        <f t="shared" ca="1" si="247"/>
        <v>0</v>
      </c>
      <c r="L905" s="126">
        <f t="shared" ca="1" si="242"/>
        <v>0</v>
      </c>
      <c r="P905">
        <v>898</v>
      </c>
      <c r="Q905" s="6">
        <f t="shared" ca="1" si="248"/>
        <v>25447</v>
      </c>
      <c r="R905" s="7" t="e">
        <f t="shared" ref="R905:R968" ca="1" si="253">IF($Z$7=$E905,1,IF(MONTH($E905)=1,R906*(1+$F$5),R906))</f>
        <v>#REF!</v>
      </c>
      <c r="S905" s="125" t="e">
        <f t="shared" ref="S905:S968" ca="1" si="254">R905*$B$8/12</f>
        <v>#REF!</v>
      </c>
      <c r="T905" s="125" t="e">
        <f t="shared" ca="1" si="249"/>
        <v>#REF!</v>
      </c>
      <c r="U905" s="128" t="e">
        <f t="shared" ref="U905:U968" ca="1" si="255">(1+$V$5)^(P905/12)*(T905+IF(Q905=$Z$7,$Z$4,0))</f>
        <v>#REF!</v>
      </c>
      <c r="AC905">
        <v>898</v>
      </c>
      <c r="AD905" s="6">
        <f t="shared" ca="1" si="250"/>
        <v>25447</v>
      </c>
      <c r="AE905" s="7" t="e">
        <f t="shared" ref="AE905:AE968" ca="1" si="256">IF($AM$7=$E905,1,IF(MONTH($E905)=1,AE906*(1+$F$5),AE906))</f>
        <v>#REF!</v>
      </c>
      <c r="AF905" s="125" t="e">
        <f t="shared" ref="AF905:AF968" ca="1" si="257">AE905*$B$8/12</f>
        <v>#REF!</v>
      </c>
      <c r="AG905" s="125" t="e">
        <f t="shared" ca="1" si="251"/>
        <v>#REF!</v>
      </c>
      <c r="AH905" s="128" t="e">
        <f t="shared" ref="AH905:AH968" ca="1" si="258">(1+$AI$5)^(AC905/12)*(AG905+IF(AD905=$AM$7,$AM$4,0))</f>
        <v>#REF!</v>
      </c>
    </row>
    <row r="906" spans="4:34">
      <c r="D906">
        <v>899</v>
      </c>
      <c r="E906" s="6">
        <f t="shared" ca="1" si="243"/>
        <v>25416</v>
      </c>
      <c r="F906" s="7">
        <f t="shared" ca="1" si="252"/>
        <v>0</v>
      </c>
      <c r="G906" s="125">
        <f t="shared" ca="1" si="244"/>
        <v>0</v>
      </c>
      <c r="H906" s="125">
        <f ca="1">IF(F906=1,F906*$B$10/MIN(12,'Simulador - 3º Pilar'!$E$88),0)</f>
        <v>0</v>
      </c>
      <c r="I906" s="128">
        <f t="shared" ca="1" si="245"/>
        <v>0</v>
      </c>
      <c r="J906" s="494">
        <f t="shared" ca="1" si="246"/>
        <v>0</v>
      </c>
      <c r="K906" s="126">
        <f t="shared" ca="1" si="247"/>
        <v>0</v>
      </c>
      <c r="L906" s="126">
        <f t="shared" ca="1" si="242"/>
        <v>0</v>
      </c>
      <c r="P906">
        <v>899</v>
      </c>
      <c r="Q906" s="6">
        <f t="shared" ca="1" si="248"/>
        <v>25416</v>
      </c>
      <c r="R906" s="7" t="e">
        <f t="shared" ca="1" si="253"/>
        <v>#REF!</v>
      </c>
      <c r="S906" s="125" t="e">
        <f t="shared" ca="1" si="254"/>
        <v>#REF!</v>
      </c>
      <c r="T906" s="125" t="e">
        <f t="shared" ca="1" si="249"/>
        <v>#REF!</v>
      </c>
      <c r="U906" s="128" t="e">
        <f t="shared" ca="1" si="255"/>
        <v>#REF!</v>
      </c>
      <c r="AC906">
        <v>899</v>
      </c>
      <c r="AD906" s="6">
        <f t="shared" ca="1" si="250"/>
        <v>25416</v>
      </c>
      <c r="AE906" s="7" t="e">
        <f t="shared" ca="1" si="256"/>
        <v>#REF!</v>
      </c>
      <c r="AF906" s="125" t="e">
        <f t="shared" ca="1" si="257"/>
        <v>#REF!</v>
      </c>
      <c r="AG906" s="125" t="e">
        <f t="shared" ca="1" si="251"/>
        <v>#REF!</v>
      </c>
      <c r="AH906" s="128" t="e">
        <f t="shared" ca="1" si="258"/>
        <v>#REF!</v>
      </c>
    </row>
    <row r="907" spans="4:34">
      <c r="D907">
        <v>900</v>
      </c>
      <c r="E907" s="6">
        <f t="shared" ca="1" si="243"/>
        <v>25385</v>
      </c>
      <c r="F907" s="7">
        <f t="shared" ca="1" si="252"/>
        <v>0</v>
      </c>
      <c r="G907" s="125">
        <f t="shared" ca="1" si="244"/>
        <v>0</v>
      </c>
      <c r="H907" s="125">
        <f ca="1">IF(F907=1,F907*$B$10/MIN(12,'Simulador - 3º Pilar'!$E$88),0)</f>
        <v>0</v>
      </c>
      <c r="I907" s="128">
        <f t="shared" ca="1" si="245"/>
        <v>0</v>
      </c>
      <c r="J907" s="494">
        <f t="shared" ca="1" si="246"/>
        <v>0</v>
      </c>
      <c r="K907" s="126">
        <f t="shared" ca="1" si="247"/>
        <v>0</v>
      </c>
      <c r="L907" s="126">
        <f t="shared" ca="1" si="242"/>
        <v>0</v>
      </c>
      <c r="P907">
        <v>900</v>
      </c>
      <c r="Q907" s="6">
        <f t="shared" ca="1" si="248"/>
        <v>25385</v>
      </c>
      <c r="R907" s="7" t="e">
        <f t="shared" ca="1" si="253"/>
        <v>#REF!</v>
      </c>
      <c r="S907" s="125" t="e">
        <f t="shared" ca="1" si="254"/>
        <v>#REF!</v>
      </c>
      <c r="T907" s="125" t="e">
        <f t="shared" ca="1" si="249"/>
        <v>#REF!</v>
      </c>
      <c r="U907" s="128" t="e">
        <f t="shared" ca="1" si="255"/>
        <v>#REF!</v>
      </c>
      <c r="AC907">
        <v>900</v>
      </c>
      <c r="AD907" s="6">
        <f t="shared" ca="1" si="250"/>
        <v>25385</v>
      </c>
      <c r="AE907" s="7" t="e">
        <f t="shared" ca="1" si="256"/>
        <v>#REF!</v>
      </c>
      <c r="AF907" s="125" t="e">
        <f t="shared" ca="1" si="257"/>
        <v>#REF!</v>
      </c>
      <c r="AG907" s="125" t="e">
        <f t="shared" ca="1" si="251"/>
        <v>#REF!</v>
      </c>
      <c r="AH907" s="128" t="e">
        <f t="shared" ca="1" si="258"/>
        <v>#REF!</v>
      </c>
    </row>
    <row r="908" spans="4:34">
      <c r="D908">
        <v>901</v>
      </c>
      <c r="E908" s="6">
        <f t="shared" ca="1" si="243"/>
        <v>25355</v>
      </c>
      <c r="F908" s="7">
        <f t="shared" ca="1" si="252"/>
        <v>0</v>
      </c>
      <c r="G908" s="125">
        <f t="shared" ca="1" si="244"/>
        <v>0</v>
      </c>
      <c r="H908" s="125">
        <f ca="1">IF(F908=1,F908*$B$10/MIN(12,'Simulador - 3º Pilar'!$E$88),0)</f>
        <v>0</v>
      </c>
      <c r="I908" s="128">
        <f t="shared" ca="1" si="245"/>
        <v>0</v>
      </c>
      <c r="J908" s="494">
        <f t="shared" ca="1" si="246"/>
        <v>0</v>
      </c>
      <c r="K908" s="126">
        <f t="shared" ca="1" si="247"/>
        <v>0</v>
      </c>
      <c r="L908" s="126">
        <f t="shared" ca="1" si="242"/>
        <v>0</v>
      </c>
      <c r="P908">
        <v>901</v>
      </c>
      <c r="Q908" s="6">
        <f t="shared" ca="1" si="248"/>
        <v>25355</v>
      </c>
      <c r="R908" s="7" t="e">
        <f t="shared" ca="1" si="253"/>
        <v>#REF!</v>
      </c>
      <c r="S908" s="125" t="e">
        <f t="shared" ca="1" si="254"/>
        <v>#REF!</v>
      </c>
      <c r="T908" s="125" t="e">
        <f t="shared" ca="1" si="249"/>
        <v>#REF!</v>
      </c>
      <c r="U908" s="128" t="e">
        <f t="shared" ca="1" si="255"/>
        <v>#REF!</v>
      </c>
      <c r="AC908">
        <v>901</v>
      </c>
      <c r="AD908" s="6">
        <f t="shared" ca="1" si="250"/>
        <v>25355</v>
      </c>
      <c r="AE908" s="7" t="e">
        <f t="shared" ca="1" si="256"/>
        <v>#REF!</v>
      </c>
      <c r="AF908" s="125" t="e">
        <f t="shared" ca="1" si="257"/>
        <v>#REF!</v>
      </c>
      <c r="AG908" s="125" t="e">
        <f t="shared" ca="1" si="251"/>
        <v>#REF!</v>
      </c>
      <c r="AH908" s="128" t="e">
        <f t="shared" ca="1" si="258"/>
        <v>#REF!</v>
      </c>
    </row>
    <row r="909" spans="4:34">
      <c r="D909">
        <v>902</v>
      </c>
      <c r="E909" s="6">
        <f t="shared" ca="1" si="243"/>
        <v>25324</v>
      </c>
      <c r="F909" s="7">
        <f t="shared" ca="1" si="252"/>
        <v>0</v>
      </c>
      <c r="G909" s="125">
        <f t="shared" ca="1" si="244"/>
        <v>0</v>
      </c>
      <c r="H909" s="125">
        <f ca="1">IF(F909=1,F909*$B$10/MIN(12,'Simulador - 3º Pilar'!$E$88),0)</f>
        <v>0</v>
      </c>
      <c r="I909" s="128">
        <f t="shared" ca="1" si="245"/>
        <v>0</v>
      </c>
      <c r="J909" s="494">
        <f t="shared" ca="1" si="246"/>
        <v>0</v>
      </c>
      <c r="K909" s="126">
        <f t="shared" ca="1" si="247"/>
        <v>0</v>
      </c>
      <c r="L909" s="126">
        <f t="shared" ca="1" si="242"/>
        <v>0</v>
      </c>
      <c r="P909">
        <v>902</v>
      </c>
      <c r="Q909" s="6">
        <f t="shared" ca="1" si="248"/>
        <v>25324</v>
      </c>
      <c r="R909" s="7" t="e">
        <f t="shared" ca="1" si="253"/>
        <v>#REF!</v>
      </c>
      <c r="S909" s="125" t="e">
        <f t="shared" ca="1" si="254"/>
        <v>#REF!</v>
      </c>
      <c r="T909" s="125" t="e">
        <f t="shared" ca="1" si="249"/>
        <v>#REF!</v>
      </c>
      <c r="U909" s="128" t="e">
        <f t="shared" ca="1" si="255"/>
        <v>#REF!</v>
      </c>
      <c r="AC909">
        <v>902</v>
      </c>
      <c r="AD909" s="6">
        <f t="shared" ca="1" si="250"/>
        <v>25324</v>
      </c>
      <c r="AE909" s="7" t="e">
        <f t="shared" ca="1" si="256"/>
        <v>#REF!</v>
      </c>
      <c r="AF909" s="125" t="e">
        <f t="shared" ca="1" si="257"/>
        <v>#REF!</v>
      </c>
      <c r="AG909" s="125" t="e">
        <f t="shared" ca="1" si="251"/>
        <v>#REF!</v>
      </c>
      <c r="AH909" s="128" t="e">
        <f t="shared" ca="1" si="258"/>
        <v>#REF!</v>
      </c>
    </row>
    <row r="910" spans="4:34">
      <c r="D910">
        <v>903</v>
      </c>
      <c r="E910" s="6">
        <f t="shared" ca="1" si="243"/>
        <v>25294</v>
      </c>
      <c r="F910" s="7">
        <f t="shared" ca="1" si="252"/>
        <v>0</v>
      </c>
      <c r="G910" s="125">
        <f t="shared" ca="1" si="244"/>
        <v>0</v>
      </c>
      <c r="H910" s="125">
        <f ca="1">IF(F910=1,F910*$B$10/MIN(12,'Simulador - 3º Pilar'!$E$88),0)</f>
        <v>0</v>
      </c>
      <c r="I910" s="128">
        <f t="shared" ca="1" si="245"/>
        <v>0</v>
      </c>
      <c r="J910" s="494">
        <f t="shared" ca="1" si="246"/>
        <v>0</v>
      </c>
      <c r="K910" s="126">
        <f t="shared" ca="1" si="247"/>
        <v>0</v>
      </c>
      <c r="L910" s="126">
        <f t="shared" ca="1" si="242"/>
        <v>0</v>
      </c>
      <c r="P910">
        <v>903</v>
      </c>
      <c r="Q910" s="6">
        <f t="shared" ca="1" si="248"/>
        <v>25294</v>
      </c>
      <c r="R910" s="7" t="e">
        <f t="shared" ca="1" si="253"/>
        <v>#REF!</v>
      </c>
      <c r="S910" s="125" t="e">
        <f t="shared" ca="1" si="254"/>
        <v>#REF!</v>
      </c>
      <c r="T910" s="125" t="e">
        <f t="shared" ca="1" si="249"/>
        <v>#REF!</v>
      </c>
      <c r="U910" s="128" t="e">
        <f t="shared" ca="1" si="255"/>
        <v>#REF!</v>
      </c>
      <c r="AC910">
        <v>903</v>
      </c>
      <c r="AD910" s="6">
        <f t="shared" ca="1" si="250"/>
        <v>25294</v>
      </c>
      <c r="AE910" s="7" t="e">
        <f t="shared" ca="1" si="256"/>
        <v>#REF!</v>
      </c>
      <c r="AF910" s="125" t="e">
        <f t="shared" ca="1" si="257"/>
        <v>#REF!</v>
      </c>
      <c r="AG910" s="125" t="e">
        <f t="shared" ca="1" si="251"/>
        <v>#REF!</v>
      </c>
      <c r="AH910" s="128" t="e">
        <f t="shared" ca="1" si="258"/>
        <v>#REF!</v>
      </c>
    </row>
    <row r="911" spans="4:34">
      <c r="D911">
        <v>904</v>
      </c>
      <c r="E911" s="6">
        <f t="shared" ca="1" si="243"/>
        <v>25263</v>
      </c>
      <c r="F911" s="7">
        <f t="shared" ca="1" si="252"/>
        <v>0</v>
      </c>
      <c r="G911" s="125">
        <f t="shared" ca="1" si="244"/>
        <v>0</v>
      </c>
      <c r="H911" s="125">
        <f ca="1">IF(F911=1,F911*$B$10/MIN(12,'Simulador - 3º Pilar'!$E$88),0)</f>
        <v>0</v>
      </c>
      <c r="I911" s="128">
        <f t="shared" ca="1" si="245"/>
        <v>0</v>
      </c>
      <c r="J911" s="494">
        <f t="shared" ca="1" si="246"/>
        <v>0</v>
      </c>
      <c r="K911" s="126">
        <f t="shared" ca="1" si="247"/>
        <v>0</v>
      </c>
      <c r="L911" s="126">
        <f t="shared" ca="1" si="242"/>
        <v>0</v>
      </c>
      <c r="P911">
        <v>904</v>
      </c>
      <c r="Q911" s="6">
        <f t="shared" ca="1" si="248"/>
        <v>25263</v>
      </c>
      <c r="R911" s="7" t="e">
        <f t="shared" ca="1" si="253"/>
        <v>#REF!</v>
      </c>
      <c r="S911" s="125" t="e">
        <f t="shared" ca="1" si="254"/>
        <v>#REF!</v>
      </c>
      <c r="T911" s="125" t="e">
        <f t="shared" ca="1" si="249"/>
        <v>#REF!</v>
      </c>
      <c r="U911" s="128" t="e">
        <f t="shared" ca="1" si="255"/>
        <v>#REF!</v>
      </c>
      <c r="AC911">
        <v>904</v>
      </c>
      <c r="AD911" s="6">
        <f t="shared" ca="1" si="250"/>
        <v>25263</v>
      </c>
      <c r="AE911" s="7" t="e">
        <f t="shared" ca="1" si="256"/>
        <v>#REF!</v>
      </c>
      <c r="AF911" s="125" t="e">
        <f t="shared" ca="1" si="257"/>
        <v>#REF!</v>
      </c>
      <c r="AG911" s="125" t="e">
        <f t="shared" ca="1" si="251"/>
        <v>#REF!</v>
      </c>
      <c r="AH911" s="128" t="e">
        <f t="shared" ca="1" si="258"/>
        <v>#REF!</v>
      </c>
    </row>
    <row r="912" spans="4:34">
      <c r="D912">
        <v>905</v>
      </c>
      <c r="E912" s="6">
        <f t="shared" ca="1" si="243"/>
        <v>25235</v>
      </c>
      <c r="F912" s="7">
        <f t="shared" ca="1" si="252"/>
        <v>0</v>
      </c>
      <c r="G912" s="125">
        <f t="shared" ca="1" si="244"/>
        <v>0</v>
      </c>
      <c r="H912" s="125">
        <f ca="1">IF(F912=1,F912*$B$10/MIN(12,'Simulador - 3º Pilar'!$E$88),0)</f>
        <v>0</v>
      </c>
      <c r="I912" s="128">
        <f t="shared" ca="1" si="245"/>
        <v>0</v>
      </c>
      <c r="J912" s="494">
        <f t="shared" ca="1" si="246"/>
        <v>0</v>
      </c>
      <c r="K912" s="126">
        <f t="shared" ca="1" si="247"/>
        <v>0</v>
      </c>
      <c r="L912" s="126">
        <f t="shared" ca="1" si="242"/>
        <v>0</v>
      </c>
      <c r="P912">
        <v>905</v>
      </c>
      <c r="Q912" s="6">
        <f t="shared" ca="1" si="248"/>
        <v>25235</v>
      </c>
      <c r="R912" s="7" t="e">
        <f t="shared" ca="1" si="253"/>
        <v>#REF!</v>
      </c>
      <c r="S912" s="125" t="e">
        <f t="shared" ca="1" si="254"/>
        <v>#REF!</v>
      </c>
      <c r="T912" s="125" t="e">
        <f t="shared" ca="1" si="249"/>
        <v>#REF!</v>
      </c>
      <c r="U912" s="128" t="e">
        <f t="shared" ca="1" si="255"/>
        <v>#REF!</v>
      </c>
      <c r="AC912">
        <v>905</v>
      </c>
      <c r="AD912" s="6">
        <f t="shared" ca="1" si="250"/>
        <v>25235</v>
      </c>
      <c r="AE912" s="7" t="e">
        <f t="shared" ca="1" si="256"/>
        <v>#REF!</v>
      </c>
      <c r="AF912" s="125" t="e">
        <f t="shared" ca="1" si="257"/>
        <v>#REF!</v>
      </c>
      <c r="AG912" s="125" t="e">
        <f t="shared" ca="1" si="251"/>
        <v>#REF!</v>
      </c>
      <c r="AH912" s="128" t="e">
        <f t="shared" ca="1" si="258"/>
        <v>#REF!</v>
      </c>
    </row>
    <row r="913" spans="4:34">
      <c r="D913">
        <v>906</v>
      </c>
      <c r="E913" s="6">
        <f t="shared" ca="1" si="243"/>
        <v>25204</v>
      </c>
      <c r="F913" s="7">
        <f t="shared" ca="1" si="252"/>
        <v>0</v>
      </c>
      <c r="G913" s="125">
        <f t="shared" ca="1" si="244"/>
        <v>0</v>
      </c>
      <c r="H913" s="125">
        <f ca="1">IF(F913=1,F913*$B$10/MIN(12,'Simulador - 3º Pilar'!$E$88),0)</f>
        <v>0</v>
      </c>
      <c r="I913" s="128">
        <f t="shared" ca="1" si="245"/>
        <v>0</v>
      </c>
      <c r="J913" s="494">
        <f t="shared" ca="1" si="246"/>
        <v>0</v>
      </c>
      <c r="K913" s="126">
        <f t="shared" ca="1" si="247"/>
        <v>0</v>
      </c>
      <c r="L913" s="126">
        <f t="shared" ca="1" si="242"/>
        <v>0</v>
      </c>
      <c r="P913">
        <v>906</v>
      </c>
      <c r="Q913" s="6">
        <f t="shared" ca="1" si="248"/>
        <v>25204</v>
      </c>
      <c r="R913" s="7" t="e">
        <f t="shared" ca="1" si="253"/>
        <v>#REF!</v>
      </c>
      <c r="S913" s="125" t="e">
        <f t="shared" ca="1" si="254"/>
        <v>#REF!</v>
      </c>
      <c r="T913" s="125" t="e">
        <f t="shared" ca="1" si="249"/>
        <v>#REF!</v>
      </c>
      <c r="U913" s="128" t="e">
        <f t="shared" ca="1" si="255"/>
        <v>#REF!</v>
      </c>
      <c r="AC913">
        <v>906</v>
      </c>
      <c r="AD913" s="6">
        <f t="shared" ca="1" si="250"/>
        <v>25204</v>
      </c>
      <c r="AE913" s="7" t="e">
        <f t="shared" ca="1" si="256"/>
        <v>#REF!</v>
      </c>
      <c r="AF913" s="125" t="e">
        <f t="shared" ca="1" si="257"/>
        <v>#REF!</v>
      </c>
      <c r="AG913" s="125" t="e">
        <f t="shared" ca="1" si="251"/>
        <v>#REF!</v>
      </c>
      <c r="AH913" s="128" t="e">
        <f t="shared" ca="1" si="258"/>
        <v>#REF!</v>
      </c>
    </row>
    <row r="914" spans="4:34">
      <c r="D914">
        <v>907</v>
      </c>
      <c r="E914" s="6">
        <f t="shared" ca="1" si="243"/>
        <v>25173</v>
      </c>
      <c r="F914" s="7">
        <f t="shared" ca="1" si="252"/>
        <v>0</v>
      </c>
      <c r="G914" s="125">
        <f t="shared" ca="1" si="244"/>
        <v>0</v>
      </c>
      <c r="H914" s="125">
        <f ca="1">IF(F914=1,F914*$B$10/MIN(12,'Simulador - 3º Pilar'!$E$88),0)</f>
        <v>0</v>
      </c>
      <c r="I914" s="128">
        <f t="shared" ca="1" si="245"/>
        <v>0</v>
      </c>
      <c r="J914" s="494">
        <f t="shared" ca="1" si="246"/>
        <v>0</v>
      </c>
      <c r="K914" s="126">
        <f t="shared" ca="1" si="247"/>
        <v>0</v>
      </c>
      <c r="L914" s="126">
        <f t="shared" ca="1" si="242"/>
        <v>0</v>
      </c>
      <c r="P914">
        <v>907</v>
      </c>
      <c r="Q914" s="6">
        <f t="shared" ca="1" si="248"/>
        <v>25173</v>
      </c>
      <c r="R914" s="7" t="e">
        <f t="shared" ca="1" si="253"/>
        <v>#REF!</v>
      </c>
      <c r="S914" s="125" t="e">
        <f t="shared" ca="1" si="254"/>
        <v>#REF!</v>
      </c>
      <c r="T914" s="125" t="e">
        <f t="shared" ca="1" si="249"/>
        <v>#REF!</v>
      </c>
      <c r="U914" s="128" t="e">
        <f t="shared" ca="1" si="255"/>
        <v>#REF!</v>
      </c>
      <c r="AC914">
        <v>907</v>
      </c>
      <c r="AD914" s="6">
        <f t="shared" ca="1" si="250"/>
        <v>25173</v>
      </c>
      <c r="AE914" s="7" t="e">
        <f t="shared" ca="1" si="256"/>
        <v>#REF!</v>
      </c>
      <c r="AF914" s="125" t="e">
        <f t="shared" ca="1" si="257"/>
        <v>#REF!</v>
      </c>
      <c r="AG914" s="125" t="e">
        <f t="shared" ca="1" si="251"/>
        <v>#REF!</v>
      </c>
      <c r="AH914" s="128" t="e">
        <f t="shared" ca="1" si="258"/>
        <v>#REF!</v>
      </c>
    </row>
    <row r="915" spans="4:34">
      <c r="D915">
        <v>908</v>
      </c>
      <c r="E915" s="6">
        <f t="shared" ca="1" si="243"/>
        <v>25143</v>
      </c>
      <c r="F915" s="7">
        <f t="shared" ca="1" si="252"/>
        <v>0</v>
      </c>
      <c r="G915" s="125">
        <f t="shared" ca="1" si="244"/>
        <v>0</v>
      </c>
      <c r="H915" s="125">
        <f ca="1">IF(F915=1,F915*$B$10/MIN(12,'Simulador - 3º Pilar'!$E$88),0)</f>
        <v>0</v>
      </c>
      <c r="I915" s="128">
        <f t="shared" ca="1" si="245"/>
        <v>0</v>
      </c>
      <c r="J915" s="494">
        <f t="shared" ca="1" si="246"/>
        <v>0</v>
      </c>
      <c r="K915" s="126">
        <f t="shared" ca="1" si="247"/>
        <v>0</v>
      </c>
      <c r="L915" s="126">
        <f t="shared" ca="1" si="242"/>
        <v>0</v>
      </c>
      <c r="P915">
        <v>908</v>
      </c>
      <c r="Q915" s="6">
        <f t="shared" ca="1" si="248"/>
        <v>25143</v>
      </c>
      <c r="R915" s="7" t="e">
        <f t="shared" ca="1" si="253"/>
        <v>#REF!</v>
      </c>
      <c r="S915" s="125" t="e">
        <f t="shared" ca="1" si="254"/>
        <v>#REF!</v>
      </c>
      <c r="T915" s="125" t="e">
        <f t="shared" ca="1" si="249"/>
        <v>#REF!</v>
      </c>
      <c r="U915" s="128" t="e">
        <f t="shared" ca="1" si="255"/>
        <v>#REF!</v>
      </c>
      <c r="AC915">
        <v>908</v>
      </c>
      <c r="AD915" s="6">
        <f t="shared" ca="1" si="250"/>
        <v>25143</v>
      </c>
      <c r="AE915" s="7" t="e">
        <f t="shared" ca="1" si="256"/>
        <v>#REF!</v>
      </c>
      <c r="AF915" s="125" t="e">
        <f t="shared" ca="1" si="257"/>
        <v>#REF!</v>
      </c>
      <c r="AG915" s="125" t="e">
        <f t="shared" ca="1" si="251"/>
        <v>#REF!</v>
      </c>
      <c r="AH915" s="128" t="e">
        <f t="shared" ca="1" si="258"/>
        <v>#REF!</v>
      </c>
    </row>
    <row r="916" spans="4:34">
      <c r="D916">
        <v>909</v>
      </c>
      <c r="E916" s="6">
        <f t="shared" ca="1" si="243"/>
        <v>25112</v>
      </c>
      <c r="F916" s="7">
        <f t="shared" ca="1" si="252"/>
        <v>0</v>
      </c>
      <c r="G916" s="125">
        <f t="shared" ca="1" si="244"/>
        <v>0</v>
      </c>
      <c r="H916" s="125">
        <f ca="1">IF(F916=1,F916*$B$10/MIN(12,'Simulador - 3º Pilar'!$E$88),0)</f>
        <v>0</v>
      </c>
      <c r="I916" s="128">
        <f t="shared" ca="1" si="245"/>
        <v>0</v>
      </c>
      <c r="J916" s="494">
        <f t="shared" ca="1" si="246"/>
        <v>0</v>
      </c>
      <c r="K916" s="126">
        <f t="shared" ca="1" si="247"/>
        <v>0</v>
      </c>
      <c r="L916" s="126">
        <f t="shared" ca="1" si="242"/>
        <v>0</v>
      </c>
      <c r="P916">
        <v>909</v>
      </c>
      <c r="Q916" s="6">
        <f t="shared" ca="1" si="248"/>
        <v>25112</v>
      </c>
      <c r="R916" s="7" t="e">
        <f t="shared" ca="1" si="253"/>
        <v>#REF!</v>
      </c>
      <c r="S916" s="125" t="e">
        <f t="shared" ca="1" si="254"/>
        <v>#REF!</v>
      </c>
      <c r="T916" s="125" t="e">
        <f t="shared" ca="1" si="249"/>
        <v>#REF!</v>
      </c>
      <c r="U916" s="128" t="e">
        <f t="shared" ca="1" si="255"/>
        <v>#REF!</v>
      </c>
      <c r="AC916">
        <v>909</v>
      </c>
      <c r="AD916" s="6">
        <f t="shared" ca="1" si="250"/>
        <v>25112</v>
      </c>
      <c r="AE916" s="7" t="e">
        <f t="shared" ca="1" si="256"/>
        <v>#REF!</v>
      </c>
      <c r="AF916" s="125" t="e">
        <f t="shared" ca="1" si="257"/>
        <v>#REF!</v>
      </c>
      <c r="AG916" s="125" t="e">
        <f t="shared" ca="1" si="251"/>
        <v>#REF!</v>
      </c>
      <c r="AH916" s="128" t="e">
        <f t="shared" ca="1" si="258"/>
        <v>#REF!</v>
      </c>
    </row>
    <row r="917" spans="4:34">
      <c r="D917">
        <v>910</v>
      </c>
      <c r="E917" s="6">
        <f t="shared" ca="1" si="243"/>
        <v>25082</v>
      </c>
      <c r="F917" s="7">
        <f t="shared" ca="1" si="252"/>
        <v>0</v>
      </c>
      <c r="G917" s="125">
        <f t="shared" ca="1" si="244"/>
        <v>0</v>
      </c>
      <c r="H917" s="125">
        <f ca="1">IF(F917=1,F917*$B$10/MIN(12,'Simulador - 3º Pilar'!$E$88),0)</f>
        <v>0</v>
      </c>
      <c r="I917" s="128">
        <f t="shared" ca="1" si="245"/>
        <v>0</v>
      </c>
      <c r="J917" s="494">
        <f t="shared" ca="1" si="246"/>
        <v>0</v>
      </c>
      <c r="K917" s="126">
        <f t="shared" ca="1" si="247"/>
        <v>0</v>
      </c>
      <c r="L917" s="126">
        <f t="shared" ca="1" si="242"/>
        <v>0</v>
      </c>
      <c r="P917">
        <v>910</v>
      </c>
      <c r="Q917" s="6">
        <f t="shared" ca="1" si="248"/>
        <v>25082</v>
      </c>
      <c r="R917" s="7" t="e">
        <f t="shared" ca="1" si="253"/>
        <v>#REF!</v>
      </c>
      <c r="S917" s="125" t="e">
        <f t="shared" ca="1" si="254"/>
        <v>#REF!</v>
      </c>
      <c r="T917" s="125" t="e">
        <f t="shared" ca="1" si="249"/>
        <v>#REF!</v>
      </c>
      <c r="U917" s="128" t="e">
        <f t="shared" ca="1" si="255"/>
        <v>#REF!</v>
      </c>
      <c r="AC917">
        <v>910</v>
      </c>
      <c r="AD917" s="6">
        <f t="shared" ca="1" si="250"/>
        <v>25082</v>
      </c>
      <c r="AE917" s="7" t="e">
        <f t="shared" ca="1" si="256"/>
        <v>#REF!</v>
      </c>
      <c r="AF917" s="125" t="e">
        <f t="shared" ca="1" si="257"/>
        <v>#REF!</v>
      </c>
      <c r="AG917" s="125" t="e">
        <f t="shared" ca="1" si="251"/>
        <v>#REF!</v>
      </c>
      <c r="AH917" s="128" t="e">
        <f t="shared" ca="1" si="258"/>
        <v>#REF!</v>
      </c>
    </row>
    <row r="918" spans="4:34">
      <c r="D918">
        <v>911</v>
      </c>
      <c r="E918" s="6">
        <f t="shared" ca="1" si="243"/>
        <v>25051</v>
      </c>
      <c r="F918" s="7">
        <f t="shared" ca="1" si="252"/>
        <v>0</v>
      </c>
      <c r="G918" s="125">
        <f t="shared" ca="1" si="244"/>
        <v>0</v>
      </c>
      <c r="H918" s="125">
        <f ca="1">IF(F918=1,F918*$B$10/MIN(12,'Simulador - 3º Pilar'!$E$88),0)</f>
        <v>0</v>
      </c>
      <c r="I918" s="128">
        <f t="shared" ca="1" si="245"/>
        <v>0</v>
      </c>
      <c r="J918" s="494">
        <f t="shared" ca="1" si="246"/>
        <v>0</v>
      </c>
      <c r="K918" s="126">
        <f t="shared" ca="1" si="247"/>
        <v>0</v>
      </c>
      <c r="L918" s="126">
        <f t="shared" ca="1" si="242"/>
        <v>0</v>
      </c>
      <c r="P918">
        <v>911</v>
      </c>
      <c r="Q918" s="6">
        <f t="shared" ca="1" si="248"/>
        <v>25051</v>
      </c>
      <c r="R918" s="7" t="e">
        <f t="shared" ca="1" si="253"/>
        <v>#REF!</v>
      </c>
      <c r="S918" s="125" t="e">
        <f t="shared" ca="1" si="254"/>
        <v>#REF!</v>
      </c>
      <c r="T918" s="125" t="e">
        <f t="shared" ca="1" si="249"/>
        <v>#REF!</v>
      </c>
      <c r="U918" s="128" t="e">
        <f t="shared" ca="1" si="255"/>
        <v>#REF!</v>
      </c>
      <c r="AC918">
        <v>911</v>
      </c>
      <c r="AD918" s="6">
        <f t="shared" ca="1" si="250"/>
        <v>25051</v>
      </c>
      <c r="AE918" s="7" t="e">
        <f t="shared" ca="1" si="256"/>
        <v>#REF!</v>
      </c>
      <c r="AF918" s="125" t="e">
        <f t="shared" ca="1" si="257"/>
        <v>#REF!</v>
      </c>
      <c r="AG918" s="125" t="e">
        <f t="shared" ca="1" si="251"/>
        <v>#REF!</v>
      </c>
      <c r="AH918" s="128" t="e">
        <f t="shared" ca="1" si="258"/>
        <v>#REF!</v>
      </c>
    </row>
    <row r="919" spans="4:34">
      <c r="D919">
        <v>912</v>
      </c>
      <c r="E919" s="6">
        <f t="shared" ca="1" si="243"/>
        <v>25020</v>
      </c>
      <c r="F919" s="7">
        <f t="shared" ca="1" si="252"/>
        <v>0</v>
      </c>
      <c r="G919" s="125">
        <f t="shared" ca="1" si="244"/>
        <v>0</v>
      </c>
      <c r="H919" s="125">
        <f ca="1">IF(F919=1,F919*$B$10/MIN(12,'Simulador - 3º Pilar'!$E$88),0)</f>
        <v>0</v>
      </c>
      <c r="I919" s="128">
        <f t="shared" ca="1" si="245"/>
        <v>0</v>
      </c>
      <c r="J919" s="494">
        <f t="shared" ca="1" si="246"/>
        <v>0</v>
      </c>
      <c r="K919" s="126">
        <f t="shared" ca="1" si="247"/>
        <v>0</v>
      </c>
      <c r="L919" s="126">
        <f t="shared" ca="1" si="242"/>
        <v>0</v>
      </c>
      <c r="P919">
        <v>912</v>
      </c>
      <c r="Q919" s="6">
        <f t="shared" ca="1" si="248"/>
        <v>25020</v>
      </c>
      <c r="R919" s="7" t="e">
        <f t="shared" ca="1" si="253"/>
        <v>#REF!</v>
      </c>
      <c r="S919" s="125" t="e">
        <f t="shared" ca="1" si="254"/>
        <v>#REF!</v>
      </c>
      <c r="T919" s="125" t="e">
        <f t="shared" ca="1" si="249"/>
        <v>#REF!</v>
      </c>
      <c r="U919" s="128" t="e">
        <f t="shared" ca="1" si="255"/>
        <v>#REF!</v>
      </c>
      <c r="AC919">
        <v>912</v>
      </c>
      <c r="AD919" s="6">
        <f t="shared" ca="1" si="250"/>
        <v>25020</v>
      </c>
      <c r="AE919" s="7" t="e">
        <f t="shared" ca="1" si="256"/>
        <v>#REF!</v>
      </c>
      <c r="AF919" s="125" t="e">
        <f t="shared" ca="1" si="257"/>
        <v>#REF!</v>
      </c>
      <c r="AG919" s="125" t="e">
        <f t="shared" ca="1" si="251"/>
        <v>#REF!</v>
      </c>
      <c r="AH919" s="128" t="e">
        <f t="shared" ca="1" si="258"/>
        <v>#REF!</v>
      </c>
    </row>
    <row r="920" spans="4:34">
      <c r="D920">
        <v>913</v>
      </c>
      <c r="E920" s="6">
        <f t="shared" ca="1" si="243"/>
        <v>24990</v>
      </c>
      <c r="F920" s="7">
        <f t="shared" ca="1" si="252"/>
        <v>0</v>
      </c>
      <c r="G920" s="125">
        <f t="shared" ca="1" si="244"/>
        <v>0</v>
      </c>
      <c r="H920" s="125">
        <f ca="1">IF(F920=1,F920*$B$10/MIN(12,'Simulador - 3º Pilar'!$E$88),0)</f>
        <v>0</v>
      </c>
      <c r="I920" s="128">
        <f t="shared" ca="1" si="245"/>
        <v>0</v>
      </c>
      <c r="J920" s="494">
        <f t="shared" ca="1" si="246"/>
        <v>0</v>
      </c>
      <c r="K920" s="126">
        <f t="shared" ca="1" si="247"/>
        <v>0</v>
      </c>
      <c r="L920" s="126">
        <f t="shared" ca="1" si="242"/>
        <v>0</v>
      </c>
      <c r="P920">
        <v>913</v>
      </c>
      <c r="Q920" s="6">
        <f t="shared" ca="1" si="248"/>
        <v>24990</v>
      </c>
      <c r="R920" s="7" t="e">
        <f t="shared" ca="1" si="253"/>
        <v>#REF!</v>
      </c>
      <c r="S920" s="125" t="e">
        <f t="shared" ca="1" si="254"/>
        <v>#REF!</v>
      </c>
      <c r="T920" s="125" t="e">
        <f t="shared" ca="1" si="249"/>
        <v>#REF!</v>
      </c>
      <c r="U920" s="128" t="e">
        <f t="shared" ca="1" si="255"/>
        <v>#REF!</v>
      </c>
      <c r="AC920">
        <v>913</v>
      </c>
      <c r="AD920" s="6">
        <f t="shared" ca="1" si="250"/>
        <v>24990</v>
      </c>
      <c r="AE920" s="7" t="e">
        <f t="shared" ca="1" si="256"/>
        <v>#REF!</v>
      </c>
      <c r="AF920" s="125" t="e">
        <f t="shared" ca="1" si="257"/>
        <v>#REF!</v>
      </c>
      <c r="AG920" s="125" t="e">
        <f t="shared" ca="1" si="251"/>
        <v>#REF!</v>
      </c>
      <c r="AH920" s="128" t="e">
        <f t="shared" ca="1" si="258"/>
        <v>#REF!</v>
      </c>
    </row>
    <row r="921" spans="4:34">
      <c r="D921">
        <v>914</v>
      </c>
      <c r="E921" s="6">
        <f t="shared" ca="1" si="243"/>
        <v>24959</v>
      </c>
      <c r="F921" s="7">
        <f t="shared" ca="1" si="252"/>
        <v>0</v>
      </c>
      <c r="G921" s="125">
        <f t="shared" ca="1" si="244"/>
        <v>0</v>
      </c>
      <c r="H921" s="125">
        <f ca="1">IF(F921=1,F921*$B$10/MIN(12,'Simulador - 3º Pilar'!$E$88),0)</f>
        <v>0</v>
      </c>
      <c r="I921" s="128">
        <f t="shared" ca="1" si="245"/>
        <v>0</v>
      </c>
      <c r="J921" s="494">
        <f t="shared" ca="1" si="246"/>
        <v>0</v>
      </c>
      <c r="K921" s="126">
        <f t="shared" ca="1" si="247"/>
        <v>0</v>
      </c>
      <c r="L921" s="126">
        <f t="shared" ca="1" si="242"/>
        <v>0</v>
      </c>
      <c r="P921">
        <v>914</v>
      </c>
      <c r="Q921" s="6">
        <f t="shared" ca="1" si="248"/>
        <v>24959</v>
      </c>
      <c r="R921" s="7" t="e">
        <f t="shared" ca="1" si="253"/>
        <v>#REF!</v>
      </c>
      <c r="S921" s="125" t="e">
        <f t="shared" ca="1" si="254"/>
        <v>#REF!</v>
      </c>
      <c r="T921" s="125" t="e">
        <f t="shared" ca="1" si="249"/>
        <v>#REF!</v>
      </c>
      <c r="U921" s="128" t="e">
        <f t="shared" ca="1" si="255"/>
        <v>#REF!</v>
      </c>
      <c r="AC921">
        <v>914</v>
      </c>
      <c r="AD921" s="6">
        <f t="shared" ca="1" si="250"/>
        <v>24959</v>
      </c>
      <c r="AE921" s="7" t="e">
        <f t="shared" ca="1" si="256"/>
        <v>#REF!</v>
      </c>
      <c r="AF921" s="125" t="e">
        <f t="shared" ca="1" si="257"/>
        <v>#REF!</v>
      </c>
      <c r="AG921" s="125" t="e">
        <f t="shared" ca="1" si="251"/>
        <v>#REF!</v>
      </c>
      <c r="AH921" s="128" t="e">
        <f t="shared" ca="1" si="258"/>
        <v>#REF!</v>
      </c>
    </row>
    <row r="922" spans="4:34">
      <c r="D922">
        <v>915</v>
      </c>
      <c r="E922" s="6">
        <f t="shared" ca="1" si="243"/>
        <v>24929</v>
      </c>
      <c r="F922" s="7">
        <f t="shared" ca="1" si="252"/>
        <v>0</v>
      </c>
      <c r="G922" s="125">
        <f t="shared" ca="1" si="244"/>
        <v>0</v>
      </c>
      <c r="H922" s="125">
        <f ca="1">IF(F922=1,F922*$B$10/MIN(12,'Simulador - 3º Pilar'!$E$88),0)</f>
        <v>0</v>
      </c>
      <c r="I922" s="128">
        <f t="shared" ca="1" si="245"/>
        <v>0</v>
      </c>
      <c r="J922" s="494">
        <f t="shared" ca="1" si="246"/>
        <v>0</v>
      </c>
      <c r="K922" s="126">
        <f t="shared" ca="1" si="247"/>
        <v>0</v>
      </c>
      <c r="L922" s="126">
        <f t="shared" ca="1" si="242"/>
        <v>0</v>
      </c>
      <c r="P922">
        <v>915</v>
      </c>
      <c r="Q922" s="6">
        <f t="shared" ca="1" si="248"/>
        <v>24929</v>
      </c>
      <c r="R922" s="7" t="e">
        <f t="shared" ca="1" si="253"/>
        <v>#REF!</v>
      </c>
      <c r="S922" s="125" t="e">
        <f t="shared" ca="1" si="254"/>
        <v>#REF!</v>
      </c>
      <c r="T922" s="125" t="e">
        <f t="shared" ca="1" si="249"/>
        <v>#REF!</v>
      </c>
      <c r="U922" s="128" t="e">
        <f t="shared" ca="1" si="255"/>
        <v>#REF!</v>
      </c>
      <c r="AC922">
        <v>915</v>
      </c>
      <c r="AD922" s="6">
        <f t="shared" ca="1" si="250"/>
        <v>24929</v>
      </c>
      <c r="AE922" s="7" t="e">
        <f t="shared" ca="1" si="256"/>
        <v>#REF!</v>
      </c>
      <c r="AF922" s="125" t="e">
        <f t="shared" ca="1" si="257"/>
        <v>#REF!</v>
      </c>
      <c r="AG922" s="125" t="e">
        <f t="shared" ca="1" si="251"/>
        <v>#REF!</v>
      </c>
      <c r="AH922" s="128" t="e">
        <f t="shared" ca="1" si="258"/>
        <v>#REF!</v>
      </c>
    </row>
    <row r="923" spans="4:34">
      <c r="D923">
        <v>916</v>
      </c>
      <c r="E923" s="6">
        <f t="shared" ca="1" si="243"/>
        <v>24898</v>
      </c>
      <c r="F923" s="7">
        <f t="shared" ca="1" si="252"/>
        <v>0</v>
      </c>
      <c r="G923" s="125">
        <f t="shared" ca="1" si="244"/>
        <v>0</v>
      </c>
      <c r="H923" s="125">
        <f ca="1">IF(F923=1,F923*$B$10/MIN(12,'Simulador - 3º Pilar'!$E$88),0)</f>
        <v>0</v>
      </c>
      <c r="I923" s="128">
        <f t="shared" ca="1" si="245"/>
        <v>0</v>
      </c>
      <c r="J923" s="494">
        <f t="shared" ca="1" si="246"/>
        <v>0</v>
      </c>
      <c r="K923" s="126">
        <f t="shared" ca="1" si="247"/>
        <v>0</v>
      </c>
      <c r="L923" s="126">
        <f t="shared" ca="1" si="242"/>
        <v>0</v>
      </c>
      <c r="P923">
        <v>916</v>
      </c>
      <c r="Q923" s="6">
        <f t="shared" ca="1" si="248"/>
        <v>24898</v>
      </c>
      <c r="R923" s="7" t="e">
        <f t="shared" ca="1" si="253"/>
        <v>#REF!</v>
      </c>
      <c r="S923" s="125" t="e">
        <f t="shared" ca="1" si="254"/>
        <v>#REF!</v>
      </c>
      <c r="T923" s="125" t="e">
        <f t="shared" ca="1" si="249"/>
        <v>#REF!</v>
      </c>
      <c r="U923" s="128" t="e">
        <f t="shared" ca="1" si="255"/>
        <v>#REF!</v>
      </c>
      <c r="AC923">
        <v>916</v>
      </c>
      <c r="AD923" s="6">
        <f t="shared" ca="1" si="250"/>
        <v>24898</v>
      </c>
      <c r="AE923" s="7" t="e">
        <f t="shared" ca="1" si="256"/>
        <v>#REF!</v>
      </c>
      <c r="AF923" s="125" t="e">
        <f t="shared" ca="1" si="257"/>
        <v>#REF!</v>
      </c>
      <c r="AG923" s="125" t="e">
        <f t="shared" ca="1" si="251"/>
        <v>#REF!</v>
      </c>
      <c r="AH923" s="128" t="e">
        <f t="shared" ca="1" si="258"/>
        <v>#REF!</v>
      </c>
    </row>
    <row r="924" spans="4:34">
      <c r="D924">
        <v>917</v>
      </c>
      <c r="E924" s="6">
        <f t="shared" ca="1" si="243"/>
        <v>24869</v>
      </c>
      <c r="F924" s="7">
        <f t="shared" ca="1" si="252"/>
        <v>0</v>
      </c>
      <c r="G924" s="125">
        <f t="shared" ca="1" si="244"/>
        <v>0</v>
      </c>
      <c r="H924" s="125">
        <f ca="1">IF(F924=1,F924*$B$10/MIN(12,'Simulador - 3º Pilar'!$E$88),0)</f>
        <v>0</v>
      </c>
      <c r="I924" s="128">
        <f t="shared" ca="1" si="245"/>
        <v>0</v>
      </c>
      <c r="J924" s="494">
        <f t="shared" ca="1" si="246"/>
        <v>0</v>
      </c>
      <c r="K924" s="126">
        <f t="shared" ca="1" si="247"/>
        <v>0</v>
      </c>
      <c r="L924" s="126">
        <f t="shared" ca="1" si="242"/>
        <v>0</v>
      </c>
      <c r="P924">
        <v>917</v>
      </c>
      <c r="Q924" s="6">
        <f t="shared" ca="1" si="248"/>
        <v>24869</v>
      </c>
      <c r="R924" s="7" t="e">
        <f t="shared" ca="1" si="253"/>
        <v>#REF!</v>
      </c>
      <c r="S924" s="125" t="e">
        <f t="shared" ca="1" si="254"/>
        <v>#REF!</v>
      </c>
      <c r="T924" s="125" t="e">
        <f t="shared" ca="1" si="249"/>
        <v>#REF!</v>
      </c>
      <c r="U924" s="128" t="e">
        <f t="shared" ca="1" si="255"/>
        <v>#REF!</v>
      </c>
      <c r="AC924">
        <v>917</v>
      </c>
      <c r="AD924" s="6">
        <f t="shared" ca="1" si="250"/>
        <v>24869</v>
      </c>
      <c r="AE924" s="7" t="e">
        <f t="shared" ca="1" si="256"/>
        <v>#REF!</v>
      </c>
      <c r="AF924" s="125" t="e">
        <f t="shared" ca="1" si="257"/>
        <v>#REF!</v>
      </c>
      <c r="AG924" s="125" t="e">
        <f t="shared" ca="1" si="251"/>
        <v>#REF!</v>
      </c>
      <c r="AH924" s="128" t="e">
        <f t="shared" ca="1" si="258"/>
        <v>#REF!</v>
      </c>
    </row>
    <row r="925" spans="4:34">
      <c r="D925">
        <v>918</v>
      </c>
      <c r="E925" s="6">
        <f t="shared" ca="1" si="243"/>
        <v>24838</v>
      </c>
      <c r="F925" s="7">
        <f t="shared" ca="1" si="252"/>
        <v>0</v>
      </c>
      <c r="G925" s="125">
        <f t="shared" ca="1" si="244"/>
        <v>0</v>
      </c>
      <c r="H925" s="125">
        <f ca="1">IF(F925=1,F925*$B$10/MIN(12,'Simulador - 3º Pilar'!$E$88),0)</f>
        <v>0</v>
      </c>
      <c r="I925" s="128">
        <f t="shared" ca="1" si="245"/>
        <v>0</v>
      </c>
      <c r="J925" s="494">
        <f t="shared" ca="1" si="246"/>
        <v>0</v>
      </c>
      <c r="K925" s="126">
        <f t="shared" ca="1" si="247"/>
        <v>0</v>
      </c>
      <c r="L925" s="126">
        <f t="shared" ca="1" si="242"/>
        <v>0</v>
      </c>
      <c r="P925">
        <v>918</v>
      </c>
      <c r="Q925" s="6">
        <f t="shared" ca="1" si="248"/>
        <v>24838</v>
      </c>
      <c r="R925" s="7" t="e">
        <f t="shared" ca="1" si="253"/>
        <v>#REF!</v>
      </c>
      <c r="S925" s="125" t="e">
        <f t="shared" ca="1" si="254"/>
        <v>#REF!</v>
      </c>
      <c r="T925" s="125" t="e">
        <f t="shared" ca="1" si="249"/>
        <v>#REF!</v>
      </c>
      <c r="U925" s="128" t="e">
        <f t="shared" ca="1" si="255"/>
        <v>#REF!</v>
      </c>
      <c r="AC925">
        <v>918</v>
      </c>
      <c r="AD925" s="6">
        <f t="shared" ca="1" si="250"/>
        <v>24838</v>
      </c>
      <c r="AE925" s="7" t="e">
        <f t="shared" ca="1" si="256"/>
        <v>#REF!</v>
      </c>
      <c r="AF925" s="125" t="e">
        <f t="shared" ca="1" si="257"/>
        <v>#REF!</v>
      </c>
      <c r="AG925" s="125" t="e">
        <f t="shared" ca="1" si="251"/>
        <v>#REF!</v>
      </c>
      <c r="AH925" s="128" t="e">
        <f t="shared" ca="1" si="258"/>
        <v>#REF!</v>
      </c>
    </row>
    <row r="926" spans="4:34">
      <c r="D926">
        <v>919</v>
      </c>
      <c r="E926" s="6">
        <f t="shared" ca="1" si="243"/>
        <v>24807</v>
      </c>
      <c r="F926" s="7">
        <f t="shared" ca="1" si="252"/>
        <v>0</v>
      </c>
      <c r="G926" s="125">
        <f t="shared" ca="1" si="244"/>
        <v>0</v>
      </c>
      <c r="H926" s="125">
        <f ca="1">IF(F926=1,F926*$B$10/MIN(12,'Simulador - 3º Pilar'!$E$88),0)</f>
        <v>0</v>
      </c>
      <c r="I926" s="128">
        <f t="shared" ca="1" si="245"/>
        <v>0</v>
      </c>
      <c r="J926" s="494">
        <f t="shared" ca="1" si="246"/>
        <v>0</v>
      </c>
      <c r="K926" s="126">
        <f t="shared" ca="1" si="247"/>
        <v>0</v>
      </c>
      <c r="L926" s="126">
        <f t="shared" ca="1" si="242"/>
        <v>0</v>
      </c>
      <c r="P926">
        <v>919</v>
      </c>
      <c r="Q926" s="6">
        <f t="shared" ca="1" si="248"/>
        <v>24807</v>
      </c>
      <c r="R926" s="7" t="e">
        <f t="shared" ca="1" si="253"/>
        <v>#REF!</v>
      </c>
      <c r="S926" s="125" t="e">
        <f t="shared" ca="1" si="254"/>
        <v>#REF!</v>
      </c>
      <c r="T926" s="125" t="e">
        <f t="shared" ca="1" si="249"/>
        <v>#REF!</v>
      </c>
      <c r="U926" s="128" t="e">
        <f t="shared" ca="1" si="255"/>
        <v>#REF!</v>
      </c>
      <c r="AC926">
        <v>919</v>
      </c>
      <c r="AD926" s="6">
        <f t="shared" ca="1" si="250"/>
        <v>24807</v>
      </c>
      <c r="AE926" s="7" t="e">
        <f t="shared" ca="1" si="256"/>
        <v>#REF!</v>
      </c>
      <c r="AF926" s="125" t="e">
        <f t="shared" ca="1" si="257"/>
        <v>#REF!</v>
      </c>
      <c r="AG926" s="125" t="e">
        <f t="shared" ca="1" si="251"/>
        <v>#REF!</v>
      </c>
      <c r="AH926" s="128" t="e">
        <f t="shared" ca="1" si="258"/>
        <v>#REF!</v>
      </c>
    </row>
    <row r="927" spans="4:34">
      <c r="D927">
        <v>920</v>
      </c>
      <c r="E927" s="6">
        <f t="shared" ca="1" si="243"/>
        <v>24777</v>
      </c>
      <c r="F927" s="7">
        <f t="shared" ca="1" si="252"/>
        <v>0</v>
      </c>
      <c r="G927" s="125">
        <f t="shared" ca="1" si="244"/>
        <v>0</v>
      </c>
      <c r="H927" s="125">
        <f ca="1">IF(F927=1,F927*$B$10/MIN(12,'Simulador - 3º Pilar'!$E$88),0)</f>
        <v>0</v>
      </c>
      <c r="I927" s="128">
        <f t="shared" ca="1" si="245"/>
        <v>0</v>
      </c>
      <c r="J927" s="494">
        <f t="shared" ca="1" si="246"/>
        <v>0</v>
      </c>
      <c r="K927" s="126">
        <f t="shared" ca="1" si="247"/>
        <v>0</v>
      </c>
      <c r="L927" s="126">
        <f t="shared" ca="1" si="242"/>
        <v>0</v>
      </c>
      <c r="P927">
        <v>920</v>
      </c>
      <c r="Q927" s="6">
        <f t="shared" ca="1" si="248"/>
        <v>24777</v>
      </c>
      <c r="R927" s="7" t="e">
        <f t="shared" ca="1" si="253"/>
        <v>#REF!</v>
      </c>
      <c r="S927" s="125" t="e">
        <f t="shared" ca="1" si="254"/>
        <v>#REF!</v>
      </c>
      <c r="T927" s="125" t="e">
        <f t="shared" ca="1" si="249"/>
        <v>#REF!</v>
      </c>
      <c r="U927" s="128" t="e">
        <f t="shared" ca="1" si="255"/>
        <v>#REF!</v>
      </c>
      <c r="AC927">
        <v>920</v>
      </c>
      <c r="AD927" s="6">
        <f t="shared" ca="1" si="250"/>
        <v>24777</v>
      </c>
      <c r="AE927" s="7" t="e">
        <f t="shared" ca="1" si="256"/>
        <v>#REF!</v>
      </c>
      <c r="AF927" s="125" t="e">
        <f t="shared" ca="1" si="257"/>
        <v>#REF!</v>
      </c>
      <c r="AG927" s="125" t="e">
        <f t="shared" ca="1" si="251"/>
        <v>#REF!</v>
      </c>
      <c r="AH927" s="128" t="e">
        <f t="shared" ca="1" si="258"/>
        <v>#REF!</v>
      </c>
    </row>
    <row r="928" spans="4:34">
      <c r="D928">
        <v>921</v>
      </c>
      <c r="E928" s="6">
        <f t="shared" ca="1" si="243"/>
        <v>24746</v>
      </c>
      <c r="F928" s="7">
        <f t="shared" ca="1" si="252"/>
        <v>0</v>
      </c>
      <c r="G928" s="125">
        <f t="shared" ca="1" si="244"/>
        <v>0</v>
      </c>
      <c r="H928" s="125">
        <f ca="1">IF(F928=1,F928*$B$10/MIN(12,'Simulador - 3º Pilar'!$E$88),0)</f>
        <v>0</v>
      </c>
      <c r="I928" s="128">
        <f t="shared" ca="1" si="245"/>
        <v>0</v>
      </c>
      <c r="J928" s="494">
        <f t="shared" ca="1" si="246"/>
        <v>0</v>
      </c>
      <c r="K928" s="126">
        <f t="shared" ca="1" si="247"/>
        <v>0</v>
      </c>
      <c r="L928" s="126">
        <f t="shared" ca="1" si="242"/>
        <v>0</v>
      </c>
      <c r="P928">
        <v>921</v>
      </c>
      <c r="Q928" s="6">
        <f t="shared" ca="1" si="248"/>
        <v>24746</v>
      </c>
      <c r="R928" s="7" t="e">
        <f t="shared" ca="1" si="253"/>
        <v>#REF!</v>
      </c>
      <c r="S928" s="125" t="e">
        <f t="shared" ca="1" si="254"/>
        <v>#REF!</v>
      </c>
      <c r="T928" s="125" t="e">
        <f t="shared" ca="1" si="249"/>
        <v>#REF!</v>
      </c>
      <c r="U928" s="128" t="e">
        <f t="shared" ca="1" si="255"/>
        <v>#REF!</v>
      </c>
      <c r="AC928">
        <v>921</v>
      </c>
      <c r="AD928" s="6">
        <f t="shared" ca="1" si="250"/>
        <v>24746</v>
      </c>
      <c r="AE928" s="7" t="e">
        <f t="shared" ca="1" si="256"/>
        <v>#REF!</v>
      </c>
      <c r="AF928" s="125" t="e">
        <f t="shared" ca="1" si="257"/>
        <v>#REF!</v>
      </c>
      <c r="AG928" s="125" t="e">
        <f t="shared" ca="1" si="251"/>
        <v>#REF!</v>
      </c>
      <c r="AH928" s="128" t="e">
        <f t="shared" ca="1" si="258"/>
        <v>#REF!</v>
      </c>
    </row>
    <row r="929" spans="4:34">
      <c r="D929">
        <v>922</v>
      </c>
      <c r="E929" s="6">
        <f t="shared" ca="1" si="243"/>
        <v>24716</v>
      </c>
      <c r="F929" s="7">
        <f t="shared" ca="1" si="252"/>
        <v>0</v>
      </c>
      <c r="G929" s="125">
        <f t="shared" ca="1" si="244"/>
        <v>0</v>
      </c>
      <c r="H929" s="125">
        <f ca="1">IF(F929=1,F929*$B$10/MIN(12,'Simulador - 3º Pilar'!$E$88),0)</f>
        <v>0</v>
      </c>
      <c r="I929" s="128">
        <f t="shared" ca="1" si="245"/>
        <v>0</v>
      </c>
      <c r="J929" s="494">
        <f t="shared" ca="1" si="246"/>
        <v>0</v>
      </c>
      <c r="K929" s="126">
        <f t="shared" ca="1" si="247"/>
        <v>0</v>
      </c>
      <c r="L929" s="126">
        <f t="shared" ref="L929:L992" ca="1" si="259">(1+$G$5)^(D929/12)*(IF((E929)&gt;($B$6),H929,0)+IF(E929=$N$7,$N$4,0)+IF(E929=$C$6,0,0))</f>
        <v>0</v>
      </c>
      <c r="P929">
        <v>922</v>
      </c>
      <c r="Q929" s="6">
        <f t="shared" ca="1" si="248"/>
        <v>24716</v>
      </c>
      <c r="R929" s="7" t="e">
        <f t="shared" ca="1" si="253"/>
        <v>#REF!</v>
      </c>
      <c r="S929" s="125" t="e">
        <f t="shared" ca="1" si="254"/>
        <v>#REF!</v>
      </c>
      <c r="T929" s="125" t="e">
        <f t="shared" ca="1" si="249"/>
        <v>#REF!</v>
      </c>
      <c r="U929" s="128" t="e">
        <f t="shared" ca="1" si="255"/>
        <v>#REF!</v>
      </c>
      <c r="AC929">
        <v>922</v>
      </c>
      <c r="AD929" s="6">
        <f t="shared" ca="1" si="250"/>
        <v>24716</v>
      </c>
      <c r="AE929" s="7" t="e">
        <f t="shared" ca="1" si="256"/>
        <v>#REF!</v>
      </c>
      <c r="AF929" s="125" t="e">
        <f t="shared" ca="1" si="257"/>
        <v>#REF!</v>
      </c>
      <c r="AG929" s="125" t="e">
        <f t="shared" ca="1" si="251"/>
        <v>#REF!</v>
      </c>
      <c r="AH929" s="128" t="e">
        <f t="shared" ca="1" si="258"/>
        <v>#REF!</v>
      </c>
    </row>
    <row r="930" spans="4:34">
      <c r="D930">
        <v>923</v>
      </c>
      <c r="E930" s="6">
        <f t="shared" ca="1" si="243"/>
        <v>24685</v>
      </c>
      <c r="F930" s="7">
        <f t="shared" ca="1" si="252"/>
        <v>0</v>
      </c>
      <c r="G930" s="125">
        <f t="shared" ca="1" si="244"/>
        <v>0</v>
      </c>
      <c r="H930" s="125">
        <f ca="1">IF(F930=1,F930*$B$10/MIN(12,'Simulador - 3º Pilar'!$E$88),0)</f>
        <v>0</v>
      </c>
      <c r="I930" s="128">
        <f t="shared" ca="1" si="245"/>
        <v>0</v>
      </c>
      <c r="J930" s="494">
        <f t="shared" ca="1" si="246"/>
        <v>0</v>
      </c>
      <c r="K930" s="126">
        <f t="shared" ca="1" si="247"/>
        <v>0</v>
      </c>
      <c r="L930" s="126">
        <f t="shared" ca="1" si="259"/>
        <v>0</v>
      </c>
      <c r="P930">
        <v>923</v>
      </c>
      <c r="Q930" s="6">
        <f t="shared" ca="1" si="248"/>
        <v>24685</v>
      </c>
      <c r="R930" s="7" t="e">
        <f t="shared" ca="1" si="253"/>
        <v>#REF!</v>
      </c>
      <c r="S930" s="125" t="e">
        <f t="shared" ca="1" si="254"/>
        <v>#REF!</v>
      </c>
      <c r="T930" s="125" t="e">
        <f t="shared" ca="1" si="249"/>
        <v>#REF!</v>
      </c>
      <c r="U930" s="128" t="e">
        <f t="shared" ca="1" si="255"/>
        <v>#REF!</v>
      </c>
      <c r="AC930">
        <v>923</v>
      </c>
      <c r="AD930" s="6">
        <f t="shared" ca="1" si="250"/>
        <v>24685</v>
      </c>
      <c r="AE930" s="7" t="e">
        <f t="shared" ca="1" si="256"/>
        <v>#REF!</v>
      </c>
      <c r="AF930" s="125" t="e">
        <f t="shared" ca="1" si="257"/>
        <v>#REF!</v>
      </c>
      <c r="AG930" s="125" t="e">
        <f t="shared" ca="1" si="251"/>
        <v>#REF!</v>
      </c>
      <c r="AH930" s="128" t="e">
        <f t="shared" ca="1" si="258"/>
        <v>#REF!</v>
      </c>
    </row>
    <row r="931" spans="4:34">
      <c r="D931">
        <v>924</v>
      </c>
      <c r="E931" s="6">
        <f t="shared" ca="1" si="243"/>
        <v>24654</v>
      </c>
      <c r="F931" s="7">
        <f t="shared" ca="1" si="252"/>
        <v>0</v>
      </c>
      <c r="G931" s="125">
        <f t="shared" ca="1" si="244"/>
        <v>0</v>
      </c>
      <c r="H931" s="125">
        <f ca="1">IF(F931=1,F931*$B$10/MIN(12,'Simulador - 3º Pilar'!$E$88),0)</f>
        <v>0</v>
      </c>
      <c r="I931" s="128">
        <f t="shared" ca="1" si="245"/>
        <v>0</v>
      </c>
      <c r="J931" s="494">
        <f t="shared" ca="1" si="246"/>
        <v>0</v>
      </c>
      <c r="K931" s="126">
        <f t="shared" ca="1" si="247"/>
        <v>0</v>
      </c>
      <c r="L931" s="126">
        <f t="shared" ca="1" si="259"/>
        <v>0</v>
      </c>
      <c r="P931">
        <v>924</v>
      </c>
      <c r="Q931" s="6">
        <f t="shared" ca="1" si="248"/>
        <v>24654</v>
      </c>
      <c r="R931" s="7" t="e">
        <f t="shared" ca="1" si="253"/>
        <v>#REF!</v>
      </c>
      <c r="S931" s="125" t="e">
        <f t="shared" ca="1" si="254"/>
        <v>#REF!</v>
      </c>
      <c r="T931" s="125" t="e">
        <f t="shared" ca="1" si="249"/>
        <v>#REF!</v>
      </c>
      <c r="U931" s="128" t="e">
        <f t="shared" ca="1" si="255"/>
        <v>#REF!</v>
      </c>
      <c r="AC931">
        <v>924</v>
      </c>
      <c r="AD931" s="6">
        <f t="shared" ca="1" si="250"/>
        <v>24654</v>
      </c>
      <c r="AE931" s="7" t="e">
        <f t="shared" ca="1" si="256"/>
        <v>#REF!</v>
      </c>
      <c r="AF931" s="125" t="e">
        <f t="shared" ca="1" si="257"/>
        <v>#REF!</v>
      </c>
      <c r="AG931" s="125" t="e">
        <f t="shared" ca="1" si="251"/>
        <v>#REF!</v>
      </c>
      <c r="AH931" s="128" t="e">
        <f t="shared" ca="1" si="258"/>
        <v>#REF!</v>
      </c>
    </row>
    <row r="932" spans="4:34">
      <c r="D932">
        <v>925</v>
      </c>
      <c r="E932" s="6">
        <f t="shared" ca="1" si="243"/>
        <v>24624</v>
      </c>
      <c r="F932" s="7">
        <f t="shared" ca="1" si="252"/>
        <v>0</v>
      </c>
      <c r="G932" s="125">
        <f t="shared" ca="1" si="244"/>
        <v>0</v>
      </c>
      <c r="H932" s="125">
        <f ca="1">IF(F932=1,F932*$B$10/MIN(12,'Simulador - 3º Pilar'!$E$88),0)</f>
        <v>0</v>
      </c>
      <c r="I932" s="128">
        <f t="shared" ca="1" si="245"/>
        <v>0</v>
      </c>
      <c r="J932" s="494">
        <f t="shared" ca="1" si="246"/>
        <v>0</v>
      </c>
      <c r="K932" s="126">
        <f t="shared" ca="1" si="247"/>
        <v>0</v>
      </c>
      <c r="L932" s="126">
        <f t="shared" ca="1" si="259"/>
        <v>0</v>
      </c>
      <c r="P932">
        <v>925</v>
      </c>
      <c r="Q932" s="6">
        <f t="shared" ca="1" si="248"/>
        <v>24624</v>
      </c>
      <c r="R932" s="7" t="e">
        <f t="shared" ca="1" si="253"/>
        <v>#REF!</v>
      </c>
      <c r="S932" s="125" t="e">
        <f t="shared" ca="1" si="254"/>
        <v>#REF!</v>
      </c>
      <c r="T932" s="125" t="e">
        <f t="shared" ca="1" si="249"/>
        <v>#REF!</v>
      </c>
      <c r="U932" s="128" t="e">
        <f t="shared" ca="1" si="255"/>
        <v>#REF!</v>
      </c>
      <c r="AC932">
        <v>925</v>
      </c>
      <c r="AD932" s="6">
        <f t="shared" ca="1" si="250"/>
        <v>24624</v>
      </c>
      <c r="AE932" s="7" t="e">
        <f t="shared" ca="1" si="256"/>
        <v>#REF!</v>
      </c>
      <c r="AF932" s="125" t="e">
        <f t="shared" ca="1" si="257"/>
        <v>#REF!</v>
      </c>
      <c r="AG932" s="125" t="e">
        <f t="shared" ca="1" si="251"/>
        <v>#REF!</v>
      </c>
      <c r="AH932" s="128" t="e">
        <f t="shared" ca="1" si="258"/>
        <v>#REF!</v>
      </c>
    </row>
    <row r="933" spans="4:34">
      <c r="D933">
        <v>926</v>
      </c>
      <c r="E933" s="6">
        <f t="shared" ca="1" si="243"/>
        <v>24593</v>
      </c>
      <c r="F933" s="7">
        <f t="shared" ca="1" si="252"/>
        <v>0</v>
      </c>
      <c r="G933" s="125">
        <f t="shared" ca="1" si="244"/>
        <v>0</v>
      </c>
      <c r="H933" s="125">
        <f ca="1">IF(F933=1,F933*$B$10/MIN(12,'Simulador - 3º Pilar'!$E$88),0)</f>
        <v>0</v>
      </c>
      <c r="I933" s="128">
        <f t="shared" ca="1" si="245"/>
        <v>0</v>
      </c>
      <c r="J933" s="494">
        <f t="shared" ca="1" si="246"/>
        <v>0</v>
      </c>
      <c r="K933" s="126">
        <f t="shared" ca="1" si="247"/>
        <v>0</v>
      </c>
      <c r="L933" s="126">
        <f t="shared" ca="1" si="259"/>
        <v>0</v>
      </c>
      <c r="P933">
        <v>926</v>
      </c>
      <c r="Q933" s="6">
        <f t="shared" ca="1" si="248"/>
        <v>24593</v>
      </c>
      <c r="R933" s="7" t="e">
        <f t="shared" ca="1" si="253"/>
        <v>#REF!</v>
      </c>
      <c r="S933" s="125" t="e">
        <f t="shared" ca="1" si="254"/>
        <v>#REF!</v>
      </c>
      <c r="T933" s="125" t="e">
        <f t="shared" ca="1" si="249"/>
        <v>#REF!</v>
      </c>
      <c r="U933" s="128" t="e">
        <f t="shared" ca="1" si="255"/>
        <v>#REF!</v>
      </c>
      <c r="AC933">
        <v>926</v>
      </c>
      <c r="AD933" s="6">
        <f t="shared" ca="1" si="250"/>
        <v>24593</v>
      </c>
      <c r="AE933" s="7" t="e">
        <f t="shared" ca="1" si="256"/>
        <v>#REF!</v>
      </c>
      <c r="AF933" s="125" t="e">
        <f t="shared" ca="1" si="257"/>
        <v>#REF!</v>
      </c>
      <c r="AG933" s="125" t="e">
        <f t="shared" ca="1" si="251"/>
        <v>#REF!</v>
      </c>
      <c r="AH933" s="128" t="e">
        <f t="shared" ca="1" si="258"/>
        <v>#REF!</v>
      </c>
    </row>
    <row r="934" spans="4:34">
      <c r="D934">
        <v>927</v>
      </c>
      <c r="E934" s="6">
        <f t="shared" ca="1" si="243"/>
        <v>24563</v>
      </c>
      <c r="F934" s="7">
        <f t="shared" ca="1" si="252"/>
        <v>0</v>
      </c>
      <c r="G934" s="125">
        <f t="shared" ca="1" si="244"/>
        <v>0</v>
      </c>
      <c r="H934" s="125">
        <f ca="1">IF(F934=1,F934*$B$10/MIN(12,'Simulador - 3º Pilar'!$E$88),0)</f>
        <v>0</v>
      </c>
      <c r="I934" s="128">
        <f t="shared" ca="1" si="245"/>
        <v>0</v>
      </c>
      <c r="J934" s="494">
        <f t="shared" ca="1" si="246"/>
        <v>0</v>
      </c>
      <c r="K934" s="126">
        <f t="shared" ca="1" si="247"/>
        <v>0</v>
      </c>
      <c r="L934" s="126">
        <f t="shared" ca="1" si="259"/>
        <v>0</v>
      </c>
      <c r="P934">
        <v>927</v>
      </c>
      <c r="Q934" s="6">
        <f t="shared" ca="1" si="248"/>
        <v>24563</v>
      </c>
      <c r="R934" s="7" t="e">
        <f t="shared" ca="1" si="253"/>
        <v>#REF!</v>
      </c>
      <c r="S934" s="125" t="e">
        <f t="shared" ca="1" si="254"/>
        <v>#REF!</v>
      </c>
      <c r="T934" s="125" t="e">
        <f t="shared" ca="1" si="249"/>
        <v>#REF!</v>
      </c>
      <c r="U934" s="128" t="e">
        <f t="shared" ca="1" si="255"/>
        <v>#REF!</v>
      </c>
      <c r="AC934">
        <v>927</v>
      </c>
      <c r="AD934" s="6">
        <f t="shared" ca="1" si="250"/>
        <v>24563</v>
      </c>
      <c r="AE934" s="7" t="e">
        <f t="shared" ca="1" si="256"/>
        <v>#REF!</v>
      </c>
      <c r="AF934" s="125" t="e">
        <f t="shared" ca="1" si="257"/>
        <v>#REF!</v>
      </c>
      <c r="AG934" s="125" t="e">
        <f t="shared" ca="1" si="251"/>
        <v>#REF!</v>
      </c>
      <c r="AH934" s="128" t="e">
        <f t="shared" ca="1" si="258"/>
        <v>#REF!</v>
      </c>
    </row>
    <row r="935" spans="4:34">
      <c r="D935">
        <v>928</v>
      </c>
      <c r="E935" s="6">
        <f t="shared" ca="1" si="243"/>
        <v>24532</v>
      </c>
      <c r="F935" s="7">
        <f t="shared" ca="1" si="252"/>
        <v>0</v>
      </c>
      <c r="G935" s="125">
        <f t="shared" ca="1" si="244"/>
        <v>0</v>
      </c>
      <c r="H935" s="125">
        <f ca="1">IF(F935=1,F935*$B$10/MIN(12,'Simulador - 3º Pilar'!$E$88),0)</f>
        <v>0</v>
      </c>
      <c r="I935" s="128">
        <f t="shared" ca="1" si="245"/>
        <v>0</v>
      </c>
      <c r="J935" s="494">
        <f t="shared" ca="1" si="246"/>
        <v>0</v>
      </c>
      <c r="K935" s="126">
        <f t="shared" ca="1" si="247"/>
        <v>0</v>
      </c>
      <c r="L935" s="126">
        <f t="shared" ca="1" si="259"/>
        <v>0</v>
      </c>
      <c r="P935">
        <v>928</v>
      </c>
      <c r="Q935" s="6">
        <f t="shared" ca="1" si="248"/>
        <v>24532</v>
      </c>
      <c r="R935" s="7" t="e">
        <f t="shared" ca="1" si="253"/>
        <v>#REF!</v>
      </c>
      <c r="S935" s="125" t="e">
        <f t="shared" ca="1" si="254"/>
        <v>#REF!</v>
      </c>
      <c r="T935" s="125" t="e">
        <f t="shared" ca="1" si="249"/>
        <v>#REF!</v>
      </c>
      <c r="U935" s="128" t="e">
        <f t="shared" ca="1" si="255"/>
        <v>#REF!</v>
      </c>
      <c r="AC935">
        <v>928</v>
      </c>
      <c r="AD935" s="6">
        <f t="shared" ca="1" si="250"/>
        <v>24532</v>
      </c>
      <c r="AE935" s="7" t="e">
        <f t="shared" ca="1" si="256"/>
        <v>#REF!</v>
      </c>
      <c r="AF935" s="125" t="e">
        <f t="shared" ca="1" si="257"/>
        <v>#REF!</v>
      </c>
      <c r="AG935" s="125" t="e">
        <f t="shared" ca="1" si="251"/>
        <v>#REF!</v>
      </c>
      <c r="AH935" s="128" t="e">
        <f t="shared" ca="1" si="258"/>
        <v>#REF!</v>
      </c>
    </row>
    <row r="936" spans="4:34">
      <c r="D936">
        <v>929</v>
      </c>
      <c r="E936" s="6">
        <f t="shared" ca="1" si="243"/>
        <v>24504</v>
      </c>
      <c r="F936" s="7">
        <f t="shared" ca="1" si="252"/>
        <v>0</v>
      </c>
      <c r="G936" s="125">
        <f t="shared" ca="1" si="244"/>
        <v>0</v>
      </c>
      <c r="H936" s="125">
        <f ca="1">IF(F936=1,F936*$B$10/MIN(12,'Simulador - 3º Pilar'!$E$88),0)</f>
        <v>0</v>
      </c>
      <c r="I936" s="128">
        <f t="shared" ca="1" si="245"/>
        <v>0</v>
      </c>
      <c r="J936" s="494">
        <f t="shared" ca="1" si="246"/>
        <v>0</v>
      </c>
      <c r="K936" s="126">
        <f t="shared" ca="1" si="247"/>
        <v>0</v>
      </c>
      <c r="L936" s="126">
        <f t="shared" ca="1" si="259"/>
        <v>0</v>
      </c>
      <c r="P936">
        <v>929</v>
      </c>
      <c r="Q936" s="6">
        <f t="shared" ca="1" si="248"/>
        <v>24504</v>
      </c>
      <c r="R936" s="7" t="e">
        <f t="shared" ca="1" si="253"/>
        <v>#REF!</v>
      </c>
      <c r="S936" s="125" t="e">
        <f t="shared" ca="1" si="254"/>
        <v>#REF!</v>
      </c>
      <c r="T936" s="125" t="e">
        <f t="shared" ca="1" si="249"/>
        <v>#REF!</v>
      </c>
      <c r="U936" s="128" t="e">
        <f t="shared" ca="1" si="255"/>
        <v>#REF!</v>
      </c>
      <c r="AC936">
        <v>929</v>
      </c>
      <c r="AD936" s="6">
        <f t="shared" ca="1" si="250"/>
        <v>24504</v>
      </c>
      <c r="AE936" s="7" t="e">
        <f t="shared" ca="1" si="256"/>
        <v>#REF!</v>
      </c>
      <c r="AF936" s="125" t="e">
        <f t="shared" ca="1" si="257"/>
        <v>#REF!</v>
      </c>
      <c r="AG936" s="125" t="e">
        <f t="shared" ca="1" si="251"/>
        <v>#REF!</v>
      </c>
      <c r="AH936" s="128" t="e">
        <f t="shared" ca="1" si="258"/>
        <v>#REF!</v>
      </c>
    </row>
    <row r="937" spans="4:34">
      <c r="D937">
        <v>930</v>
      </c>
      <c r="E937" s="6">
        <f t="shared" ca="1" si="243"/>
        <v>24473</v>
      </c>
      <c r="F937" s="7">
        <f t="shared" ca="1" si="252"/>
        <v>0</v>
      </c>
      <c r="G937" s="125">
        <f t="shared" ca="1" si="244"/>
        <v>0</v>
      </c>
      <c r="H937" s="125">
        <f ca="1">IF(F937=1,F937*$B$10/MIN(12,'Simulador - 3º Pilar'!$E$88),0)</f>
        <v>0</v>
      </c>
      <c r="I937" s="128">
        <f t="shared" ca="1" si="245"/>
        <v>0</v>
      </c>
      <c r="J937" s="494">
        <f t="shared" ca="1" si="246"/>
        <v>0</v>
      </c>
      <c r="K937" s="126">
        <f t="shared" ca="1" si="247"/>
        <v>0</v>
      </c>
      <c r="L937" s="126">
        <f t="shared" ca="1" si="259"/>
        <v>0</v>
      </c>
      <c r="P937">
        <v>930</v>
      </c>
      <c r="Q937" s="6">
        <f t="shared" ca="1" si="248"/>
        <v>24473</v>
      </c>
      <c r="R937" s="7" t="e">
        <f t="shared" ca="1" si="253"/>
        <v>#REF!</v>
      </c>
      <c r="S937" s="125" t="e">
        <f t="shared" ca="1" si="254"/>
        <v>#REF!</v>
      </c>
      <c r="T937" s="125" t="e">
        <f t="shared" ca="1" si="249"/>
        <v>#REF!</v>
      </c>
      <c r="U937" s="128" t="e">
        <f t="shared" ca="1" si="255"/>
        <v>#REF!</v>
      </c>
      <c r="AC937">
        <v>930</v>
      </c>
      <c r="AD937" s="6">
        <f t="shared" ca="1" si="250"/>
        <v>24473</v>
      </c>
      <c r="AE937" s="7" t="e">
        <f t="shared" ca="1" si="256"/>
        <v>#REF!</v>
      </c>
      <c r="AF937" s="125" t="e">
        <f t="shared" ca="1" si="257"/>
        <v>#REF!</v>
      </c>
      <c r="AG937" s="125" t="e">
        <f t="shared" ca="1" si="251"/>
        <v>#REF!</v>
      </c>
      <c r="AH937" s="128" t="e">
        <f t="shared" ca="1" si="258"/>
        <v>#REF!</v>
      </c>
    </row>
    <row r="938" spans="4:34">
      <c r="D938">
        <v>931</v>
      </c>
      <c r="E938" s="6">
        <f t="shared" ca="1" si="243"/>
        <v>24442</v>
      </c>
      <c r="F938" s="7">
        <f t="shared" ca="1" si="252"/>
        <v>0</v>
      </c>
      <c r="G938" s="125">
        <f t="shared" ca="1" si="244"/>
        <v>0</v>
      </c>
      <c r="H938" s="125">
        <f ca="1">IF(F938=1,F938*$B$10/MIN(12,'Simulador - 3º Pilar'!$E$88),0)</f>
        <v>0</v>
      </c>
      <c r="I938" s="128">
        <f t="shared" ca="1" si="245"/>
        <v>0</v>
      </c>
      <c r="J938" s="494">
        <f t="shared" ca="1" si="246"/>
        <v>0</v>
      </c>
      <c r="K938" s="126">
        <f t="shared" ca="1" si="247"/>
        <v>0</v>
      </c>
      <c r="L938" s="126">
        <f t="shared" ca="1" si="259"/>
        <v>0</v>
      </c>
      <c r="P938">
        <v>931</v>
      </c>
      <c r="Q938" s="6">
        <f t="shared" ca="1" si="248"/>
        <v>24442</v>
      </c>
      <c r="R938" s="7" t="e">
        <f t="shared" ca="1" si="253"/>
        <v>#REF!</v>
      </c>
      <c r="S938" s="125" t="e">
        <f t="shared" ca="1" si="254"/>
        <v>#REF!</v>
      </c>
      <c r="T938" s="125" t="e">
        <f t="shared" ca="1" si="249"/>
        <v>#REF!</v>
      </c>
      <c r="U938" s="128" t="e">
        <f t="shared" ca="1" si="255"/>
        <v>#REF!</v>
      </c>
      <c r="AC938">
        <v>931</v>
      </c>
      <c r="AD938" s="6">
        <f t="shared" ca="1" si="250"/>
        <v>24442</v>
      </c>
      <c r="AE938" s="7" t="e">
        <f t="shared" ca="1" si="256"/>
        <v>#REF!</v>
      </c>
      <c r="AF938" s="125" t="e">
        <f t="shared" ca="1" si="257"/>
        <v>#REF!</v>
      </c>
      <c r="AG938" s="125" t="e">
        <f t="shared" ca="1" si="251"/>
        <v>#REF!</v>
      </c>
      <c r="AH938" s="128" t="e">
        <f t="shared" ca="1" si="258"/>
        <v>#REF!</v>
      </c>
    </row>
    <row r="939" spans="4:34">
      <c r="D939">
        <v>932</v>
      </c>
      <c r="E939" s="6">
        <f t="shared" ca="1" si="243"/>
        <v>24412</v>
      </c>
      <c r="F939" s="7">
        <f t="shared" ca="1" si="252"/>
        <v>0</v>
      </c>
      <c r="G939" s="125">
        <f t="shared" ca="1" si="244"/>
        <v>0</v>
      </c>
      <c r="H939" s="125">
        <f ca="1">IF(F939=1,F939*$B$10/MIN(12,'Simulador - 3º Pilar'!$E$88),0)</f>
        <v>0</v>
      </c>
      <c r="I939" s="128">
        <f t="shared" ca="1" si="245"/>
        <v>0</v>
      </c>
      <c r="J939" s="494">
        <f t="shared" ca="1" si="246"/>
        <v>0</v>
      </c>
      <c r="K939" s="126">
        <f t="shared" ca="1" si="247"/>
        <v>0</v>
      </c>
      <c r="L939" s="126">
        <f t="shared" ca="1" si="259"/>
        <v>0</v>
      </c>
      <c r="P939">
        <v>932</v>
      </c>
      <c r="Q939" s="6">
        <f t="shared" ca="1" si="248"/>
        <v>24412</v>
      </c>
      <c r="R939" s="7" t="e">
        <f t="shared" ca="1" si="253"/>
        <v>#REF!</v>
      </c>
      <c r="S939" s="125" t="e">
        <f t="shared" ca="1" si="254"/>
        <v>#REF!</v>
      </c>
      <c r="T939" s="125" t="e">
        <f t="shared" ca="1" si="249"/>
        <v>#REF!</v>
      </c>
      <c r="U939" s="128" t="e">
        <f t="shared" ca="1" si="255"/>
        <v>#REF!</v>
      </c>
      <c r="AC939">
        <v>932</v>
      </c>
      <c r="AD939" s="6">
        <f t="shared" ca="1" si="250"/>
        <v>24412</v>
      </c>
      <c r="AE939" s="7" t="e">
        <f t="shared" ca="1" si="256"/>
        <v>#REF!</v>
      </c>
      <c r="AF939" s="125" t="e">
        <f t="shared" ca="1" si="257"/>
        <v>#REF!</v>
      </c>
      <c r="AG939" s="125" t="e">
        <f t="shared" ca="1" si="251"/>
        <v>#REF!</v>
      </c>
      <c r="AH939" s="128" t="e">
        <f t="shared" ca="1" si="258"/>
        <v>#REF!</v>
      </c>
    </row>
    <row r="940" spans="4:34">
      <c r="D940">
        <v>933</v>
      </c>
      <c r="E940" s="6">
        <f t="shared" ca="1" si="243"/>
        <v>24381</v>
      </c>
      <c r="F940" s="7">
        <f t="shared" ca="1" si="252"/>
        <v>0</v>
      </c>
      <c r="G940" s="125">
        <f t="shared" ca="1" si="244"/>
        <v>0</v>
      </c>
      <c r="H940" s="125">
        <f ca="1">IF(F940=1,F940*$B$10/MIN(12,'Simulador - 3º Pilar'!$E$88),0)</f>
        <v>0</v>
      </c>
      <c r="I940" s="128">
        <f t="shared" ca="1" si="245"/>
        <v>0</v>
      </c>
      <c r="J940" s="494">
        <f t="shared" ca="1" si="246"/>
        <v>0</v>
      </c>
      <c r="K940" s="126">
        <f t="shared" ca="1" si="247"/>
        <v>0</v>
      </c>
      <c r="L940" s="126">
        <f t="shared" ca="1" si="259"/>
        <v>0</v>
      </c>
      <c r="P940">
        <v>933</v>
      </c>
      <c r="Q940" s="6">
        <f t="shared" ca="1" si="248"/>
        <v>24381</v>
      </c>
      <c r="R940" s="7" t="e">
        <f t="shared" ca="1" si="253"/>
        <v>#REF!</v>
      </c>
      <c r="S940" s="125" t="e">
        <f t="shared" ca="1" si="254"/>
        <v>#REF!</v>
      </c>
      <c r="T940" s="125" t="e">
        <f t="shared" ca="1" si="249"/>
        <v>#REF!</v>
      </c>
      <c r="U940" s="128" t="e">
        <f t="shared" ca="1" si="255"/>
        <v>#REF!</v>
      </c>
      <c r="AC940">
        <v>933</v>
      </c>
      <c r="AD940" s="6">
        <f t="shared" ca="1" si="250"/>
        <v>24381</v>
      </c>
      <c r="AE940" s="7" t="e">
        <f t="shared" ca="1" si="256"/>
        <v>#REF!</v>
      </c>
      <c r="AF940" s="125" t="e">
        <f t="shared" ca="1" si="257"/>
        <v>#REF!</v>
      </c>
      <c r="AG940" s="125" t="e">
        <f t="shared" ca="1" si="251"/>
        <v>#REF!</v>
      </c>
      <c r="AH940" s="128" t="e">
        <f t="shared" ca="1" si="258"/>
        <v>#REF!</v>
      </c>
    </row>
    <row r="941" spans="4:34">
      <c r="D941">
        <v>934</v>
      </c>
      <c r="E941" s="6">
        <f t="shared" ca="1" si="243"/>
        <v>24351</v>
      </c>
      <c r="F941" s="7">
        <f t="shared" ca="1" si="252"/>
        <v>0</v>
      </c>
      <c r="G941" s="125">
        <f t="shared" ca="1" si="244"/>
        <v>0</v>
      </c>
      <c r="H941" s="125">
        <f ca="1">IF(F941=1,F941*$B$10/MIN(12,'Simulador - 3º Pilar'!$E$88),0)</f>
        <v>0</v>
      </c>
      <c r="I941" s="128">
        <f t="shared" ca="1" si="245"/>
        <v>0</v>
      </c>
      <c r="J941" s="494">
        <f t="shared" ca="1" si="246"/>
        <v>0</v>
      </c>
      <c r="K941" s="126">
        <f t="shared" ca="1" si="247"/>
        <v>0</v>
      </c>
      <c r="L941" s="126">
        <f t="shared" ca="1" si="259"/>
        <v>0</v>
      </c>
      <c r="P941">
        <v>934</v>
      </c>
      <c r="Q941" s="6">
        <f t="shared" ca="1" si="248"/>
        <v>24351</v>
      </c>
      <c r="R941" s="7" t="e">
        <f t="shared" ca="1" si="253"/>
        <v>#REF!</v>
      </c>
      <c r="S941" s="125" t="e">
        <f t="shared" ca="1" si="254"/>
        <v>#REF!</v>
      </c>
      <c r="T941" s="125" t="e">
        <f t="shared" ca="1" si="249"/>
        <v>#REF!</v>
      </c>
      <c r="U941" s="128" t="e">
        <f t="shared" ca="1" si="255"/>
        <v>#REF!</v>
      </c>
      <c r="AC941">
        <v>934</v>
      </c>
      <c r="AD941" s="6">
        <f t="shared" ca="1" si="250"/>
        <v>24351</v>
      </c>
      <c r="AE941" s="7" t="e">
        <f t="shared" ca="1" si="256"/>
        <v>#REF!</v>
      </c>
      <c r="AF941" s="125" t="e">
        <f t="shared" ca="1" si="257"/>
        <v>#REF!</v>
      </c>
      <c r="AG941" s="125" t="e">
        <f t="shared" ca="1" si="251"/>
        <v>#REF!</v>
      </c>
      <c r="AH941" s="128" t="e">
        <f t="shared" ca="1" si="258"/>
        <v>#REF!</v>
      </c>
    </row>
    <row r="942" spans="4:34">
      <c r="D942">
        <v>935</v>
      </c>
      <c r="E942" s="6">
        <f t="shared" ca="1" si="243"/>
        <v>24320</v>
      </c>
      <c r="F942" s="7">
        <f t="shared" ca="1" si="252"/>
        <v>0</v>
      </c>
      <c r="G942" s="125">
        <f t="shared" ca="1" si="244"/>
        <v>0</v>
      </c>
      <c r="H942" s="125">
        <f ca="1">IF(F942=1,F942*$B$10/MIN(12,'Simulador - 3º Pilar'!$E$88),0)</f>
        <v>0</v>
      </c>
      <c r="I942" s="128">
        <f t="shared" ca="1" si="245"/>
        <v>0</v>
      </c>
      <c r="J942" s="494">
        <f t="shared" ca="1" si="246"/>
        <v>0</v>
      </c>
      <c r="K942" s="126">
        <f t="shared" ca="1" si="247"/>
        <v>0</v>
      </c>
      <c r="L942" s="126">
        <f t="shared" ca="1" si="259"/>
        <v>0</v>
      </c>
      <c r="P942">
        <v>935</v>
      </c>
      <c r="Q942" s="6">
        <f t="shared" ca="1" si="248"/>
        <v>24320</v>
      </c>
      <c r="R942" s="7" t="e">
        <f t="shared" ca="1" si="253"/>
        <v>#REF!</v>
      </c>
      <c r="S942" s="125" t="e">
        <f t="shared" ca="1" si="254"/>
        <v>#REF!</v>
      </c>
      <c r="T942" s="125" t="e">
        <f t="shared" ca="1" si="249"/>
        <v>#REF!</v>
      </c>
      <c r="U942" s="128" t="e">
        <f t="shared" ca="1" si="255"/>
        <v>#REF!</v>
      </c>
      <c r="AC942">
        <v>935</v>
      </c>
      <c r="AD942" s="6">
        <f t="shared" ca="1" si="250"/>
        <v>24320</v>
      </c>
      <c r="AE942" s="7" t="e">
        <f t="shared" ca="1" si="256"/>
        <v>#REF!</v>
      </c>
      <c r="AF942" s="125" t="e">
        <f t="shared" ca="1" si="257"/>
        <v>#REF!</v>
      </c>
      <c r="AG942" s="125" t="e">
        <f t="shared" ca="1" si="251"/>
        <v>#REF!</v>
      </c>
      <c r="AH942" s="128" t="e">
        <f t="shared" ca="1" si="258"/>
        <v>#REF!</v>
      </c>
    </row>
    <row r="943" spans="4:34">
      <c r="D943">
        <v>936</v>
      </c>
      <c r="E943" s="6">
        <f t="shared" ca="1" si="243"/>
        <v>24289</v>
      </c>
      <c r="F943" s="7">
        <f t="shared" ca="1" si="252"/>
        <v>0</v>
      </c>
      <c r="G943" s="125">
        <f t="shared" ca="1" si="244"/>
        <v>0</v>
      </c>
      <c r="H943" s="125">
        <f ca="1">IF(F943=1,F943*$B$10/MIN(12,'Simulador - 3º Pilar'!$E$88),0)</f>
        <v>0</v>
      </c>
      <c r="I943" s="128">
        <f t="shared" ca="1" si="245"/>
        <v>0</v>
      </c>
      <c r="J943" s="494">
        <f t="shared" ca="1" si="246"/>
        <v>0</v>
      </c>
      <c r="K943" s="126">
        <f t="shared" ca="1" si="247"/>
        <v>0</v>
      </c>
      <c r="L943" s="126">
        <f t="shared" ca="1" si="259"/>
        <v>0</v>
      </c>
      <c r="P943">
        <v>936</v>
      </c>
      <c r="Q943" s="6">
        <f t="shared" ca="1" si="248"/>
        <v>24289</v>
      </c>
      <c r="R943" s="7" t="e">
        <f t="shared" ca="1" si="253"/>
        <v>#REF!</v>
      </c>
      <c r="S943" s="125" t="e">
        <f t="shared" ca="1" si="254"/>
        <v>#REF!</v>
      </c>
      <c r="T943" s="125" t="e">
        <f t="shared" ca="1" si="249"/>
        <v>#REF!</v>
      </c>
      <c r="U943" s="128" t="e">
        <f t="shared" ca="1" si="255"/>
        <v>#REF!</v>
      </c>
      <c r="AC943">
        <v>936</v>
      </c>
      <c r="AD943" s="6">
        <f t="shared" ca="1" si="250"/>
        <v>24289</v>
      </c>
      <c r="AE943" s="7" t="e">
        <f t="shared" ca="1" si="256"/>
        <v>#REF!</v>
      </c>
      <c r="AF943" s="125" t="e">
        <f t="shared" ca="1" si="257"/>
        <v>#REF!</v>
      </c>
      <c r="AG943" s="125" t="e">
        <f t="shared" ca="1" si="251"/>
        <v>#REF!</v>
      </c>
      <c r="AH943" s="128" t="e">
        <f t="shared" ca="1" si="258"/>
        <v>#REF!</v>
      </c>
    </row>
    <row r="944" spans="4:34">
      <c r="D944">
        <v>937</v>
      </c>
      <c r="E944" s="6">
        <f t="shared" ca="1" si="243"/>
        <v>24259</v>
      </c>
      <c r="F944" s="7">
        <f t="shared" ca="1" si="252"/>
        <v>0</v>
      </c>
      <c r="G944" s="125">
        <f t="shared" ca="1" si="244"/>
        <v>0</v>
      </c>
      <c r="H944" s="125">
        <f ca="1">IF(F944=1,F944*$B$10/MIN(12,'Simulador - 3º Pilar'!$E$88),0)</f>
        <v>0</v>
      </c>
      <c r="I944" s="128">
        <f t="shared" ca="1" si="245"/>
        <v>0</v>
      </c>
      <c r="J944" s="494">
        <f t="shared" ca="1" si="246"/>
        <v>0</v>
      </c>
      <c r="K944" s="126">
        <f t="shared" ca="1" si="247"/>
        <v>0</v>
      </c>
      <c r="L944" s="126">
        <f t="shared" ca="1" si="259"/>
        <v>0</v>
      </c>
      <c r="P944">
        <v>937</v>
      </c>
      <c r="Q944" s="6">
        <f t="shared" ca="1" si="248"/>
        <v>24259</v>
      </c>
      <c r="R944" s="7" t="e">
        <f t="shared" ca="1" si="253"/>
        <v>#REF!</v>
      </c>
      <c r="S944" s="125" t="e">
        <f t="shared" ca="1" si="254"/>
        <v>#REF!</v>
      </c>
      <c r="T944" s="125" t="e">
        <f t="shared" ca="1" si="249"/>
        <v>#REF!</v>
      </c>
      <c r="U944" s="128" t="e">
        <f t="shared" ca="1" si="255"/>
        <v>#REF!</v>
      </c>
      <c r="AC944">
        <v>937</v>
      </c>
      <c r="AD944" s="6">
        <f t="shared" ca="1" si="250"/>
        <v>24259</v>
      </c>
      <c r="AE944" s="7" t="e">
        <f t="shared" ca="1" si="256"/>
        <v>#REF!</v>
      </c>
      <c r="AF944" s="125" t="e">
        <f t="shared" ca="1" si="257"/>
        <v>#REF!</v>
      </c>
      <c r="AG944" s="125" t="e">
        <f t="shared" ca="1" si="251"/>
        <v>#REF!</v>
      </c>
      <c r="AH944" s="128" t="e">
        <f t="shared" ca="1" si="258"/>
        <v>#REF!</v>
      </c>
    </row>
    <row r="945" spans="4:34">
      <c r="D945">
        <v>938</v>
      </c>
      <c r="E945" s="6">
        <f t="shared" ca="1" si="243"/>
        <v>24228</v>
      </c>
      <c r="F945" s="7">
        <f t="shared" ca="1" si="252"/>
        <v>0</v>
      </c>
      <c r="G945" s="125">
        <f t="shared" ca="1" si="244"/>
        <v>0</v>
      </c>
      <c r="H945" s="125">
        <f ca="1">IF(F945=1,F945*$B$10/MIN(12,'Simulador - 3º Pilar'!$E$88),0)</f>
        <v>0</v>
      </c>
      <c r="I945" s="128">
        <f t="shared" ca="1" si="245"/>
        <v>0</v>
      </c>
      <c r="J945" s="494">
        <f t="shared" ca="1" si="246"/>
        <v>0</v>
      </c>
      <c r="K945" s="126">
        <f t="shared" ca="1" si="247"/>
        <v>0</v>
      </c>
      <c r="L945" s="126">
        <f t="shared" ca="1" si="259"/>
        <v>0</v>
      </c>
      <c r="P945">
        <v>938</v>
      </c>
      <c r="Q945" s="6">
        <f t="shared" ca="1" si="248"/>
        <v>24228</v>
      </c>
      <c r="R945" s="7" t="e">
        <f t="shared" ca="1" si="253"/>
        <v>#REF!</v>
      </c>
      <c r="S945" s="125" t="e">
        <f t="shared" ca="1" si="254"/>
        <v>#REF!</v>
      </c>
      <c r="T945" s="125" t="e">
        <f t="shared" ca="1" si="249"/>
        <v>#REF!</v>
      </c>
      <c r="U945" s="128" t="e">
        <f t="shared" ca="1" si="255"/>
        <v>#REF!</v>
      </c>
      <c r="AC945">
        <v>938</v>
      </c>
      <c r="AD945" s="6">
        <f t="shared" ca="1" si="250"/>
        <v>24228</v>
      </c>
      <c r="AE945" s="7" t="e">
        <f t="shared" ca="1" si="256"/>
        <v>#REF!</v>
      </c>
      <c r="AF945" s="125" t="e">
        <f t="shared" ca="1" si="257"/>
        <v>#REF!</v>
      </c>
      <c r="AG945" s="125" t="e">
        <f t="shared" ca="1" si="251"/>
        <v>#REF!</v>
      </c>
      <c r="AH945" s="128" t="e">
        <f t="shared" ca="1" si="258"/>
        <v>#REF!</v>
      </c>
    </row>
    <row r="946" spans="4:34">
      <c r="D946">
        <v>939</v>
      </c>
      <c r="E946" s="6">
        <f t="shared" ca="1" si="243"/>
        <v>24198</v>
      </c>
      <c r="F946" s="7">
        <f t="shared" ca="1" si="252"/>
        <v>0</v>
      </c>
      <c r="G946" s="125">
        <f t="shared" ca="1" si="244"/>
        <v>0</v>
      </c>
      <c r="H946" s="125">
        <f ca="1">IF(F946=1,F946*$B$10/MIN(12,'Simulador - 3º Pilar'!$E$88),0)</f>
        <v>0</v>
      </c>
      <c r="I946" s="128">
        <f t="shared" ca="1" si="245"/>
        <v>0</v>
      </c>
      <c r="J946" s="494">
        <f t="shared" ca="1" si="246"/>
        <v>0</v>
      </c>
      <c r="K946" s="126">
        <f t="shared" ca="1" si="247"/>
        <v>0</v>
      </c>
      <c r="L946" s="126">
        <f t="shared" ca="1" si="259"/>
        <v>0</v>
      </c>
      <c r="P946">
        <v>939</v>
      </c>
      <c r="Q946" s="6">
        <f t="shared" ca="1" si="248"/>
        <v>24198</v>
      </c>
      <c r="R946" s="7" t="e">
        <f t="shared" ca="1" si="253"/>
        <v>#REF!</v>
      </c>
      <c r="S946" s="125" t="e">
        <f t="shared" ca="1" si="254"/>
        <v>#REF!</v>
      </c>
      <c r="T946" s="125" t="e">
        <f t="shared" ca="1" si="249"/>
        <v>#REF!</v>
      </c>
      <c r="U946" s="128" t="e">
        <f t="shared" ca="1" si="255"/>
        <v>#REF!</v>
      </c>
      <c r="AC946">
        <v>939</v>
      </c>
      <c r="AD946" s="6">
        <f t="shared" ca="1" si="250"/>
        <v>24198</v>
      </c>
      <c r="AE946" s="7" t="e">
        <f t="shared" ca="1" si="256"/>
        <v>#REF!</v>
      </c>
      <c r="AF946" s="125" t="e">
        <f t="shared" ca="1" si="257"/>
        <v>#REF!</v>
      </c>
      <c r="AG946" s="125" t="e">
        <f t="shared" ca="1" si="251"/>
        <v>#REF!</v>
      </c>
      <c r="AH946" s="128" t="e">
        <f t="shared" ca="1" si="258"/>
        <v>#REF!</v>
      </c>
    </row>
    <row r="947" spans="4:34">
      <c r="D947">
        <v>940</v>
      </c>
      <c r="E947" s="6">
        <f t="shared" ca="1" si="243"/>
        <v>24167</v>
      </c>
      <c r="F947" s="7">
        <f t="shared" ca="1" si="252"/>
        <v>0</v>
      </c>
      <c r="G947" s="125">
        <f t="shared" ca="1" si="244"/>
        <v>0</v>
      </c>
      <c r="H947" s="125">
        <f ca="1">IF(F947=1,F947*$B$10/MIN(12,'Simulador - 3º Pilar'!$E$88),0)</f>
        <v>0</v>
      </c>
      <c r="I947" s="128">
        <f t="shared" ca="1" si="245"/>
        <v>0</v>
      </c>
      <c r="J947" s="494">
        <f t="shared" ca="1" si="246"/>
        <v>0</v>
      </c>
      <c r="K947" s="126">
        <f t="shared" ca="1" si="247"/>
        <v>0</v>
      </c>
      <c r="L947" s="126">
        <f t="shared" ca="1" si="259"/>
        <v>0</v>
      </c>
      <c r="P947">
        <v>940</v>
      </c>
      <c r="Q947" s="6">
        <f t="shared" ca="1" si="248"/>
        <v>24167</v>
      </c>
      <c r="R947" s="7" t="e">
        <f t="shared" ca="1" si="253"/>
        <v>#REF!</v>
      </c>
      <c r="S947" s="125" t="e">
        <f t="shared" ca="1" si="254"/>
        <v>#REF!</v>
      </c>
      <c r="T947" s="125" t="e">
        <f t="shared" ca="1" si="249"/>
        <v>#REF!</v>
      </c>
      <c r="U947" s="128" t="e">
        <f t="shared" ca="1" si="255"/>
        <v>#REF!</v>
      </c>
      <c r="AC947">
        <v>940</v>
      </c>
      <c r="AD947" s="6">
        <f t="shared" ca="1" si="250"/>
        <v>24167</v>
      </c>
      <c r="AE947" s="7" t="e">
        <f t="shared" ca="1" si="256"/>
        <v>#REF!</v>
      </c>
      <c r="AF947" s="125" t="e">
        <f t="shared" ca="1" si="257"/>
        <v>#REF!</v>
      </c>
      <c r="AG947" s="125" t="e">
        <f t="shared" ca="1" si="251"/>
        <v>#REF!</v>
      </c>
      <c r="AH947" s="128" t="e">
        <f t="shared" ca="1" si="258"/>
        <v>#REF!</v>
      </c>
    </row>
    <row r="948" spans="4:34">
      <c r="D948">
        <v>941</v>
      </c>
      <c r="E948" s="6">
        <f t="shared" ca="1" si="243"/>
        <v>24139</v>
      </c>
      <c r="F948" s="7">
        <f t="shared" ca="1" si="252"/>
        <v>0</v>
      </c>
      <c r="G948" s="125">
        <f t="shared" ca="1" si="244"/>
        <v>0</v>
      </c>
      <c r="H948" s="125">
        <f ca="1">IF(F948=1,F948*$B$10/MIN(12,'Simulador - 3º Pilar'!$E$88),0)</f>
        <v>0</v>
      </c>
      <c r="I948" s="128">
        <f t="shared" ca="1" si="245"/>
        <v>0</v>
      </c>
      <c r="J948" s="494">
        <f t="shared" ca="1" si="246"/>
        <v>0</v>
      </c>
      <c r="K948" s="126">
        <f t="shared" ca="1" si="247"/>
        <v>0</v>
      </c>
      <c r="L948" s="126">
        <f t="shared" ca="1" si="259"/>
        <v>0</v>
      </c>
      <c r="P948">
        <v>941</v>
      </c>
      <c r="Q948" s="6">
        <f t="shared" ca="1" si="248"/>
        <v>24139</v>
      </c>
      <c r="R948" s="7" t="e">
        <f t="shared" ca="1" si="253"/>
        <v>#REF!</v>
      </c>
      <c r="S948" s="125" t="e">
        <f t="shared" ca="1" si="254"/>
        <v>#REF!</v>
      </c>
      <c r="T948" s="125" t="e">
        <f t="shared" ca="1" si="249"/>
        <v>#REF!</v>
      </c>
      <c r="U948" s="128" t="e">
        <f t="shared" ca="1" si="255"/>
        <v>#REF!</v>
      </c>
      <c r="AC948">
        <v>941</v>
      </c>
      <c r="AD948" s="6">
        <f t="shared" ca="1" si="250"/>
        <v>24139</v>
      </c>
      <c r="AE948" s="7" t="e">
        <f t="shared" ca="1" si="256"/>
        <v>#REF!</v>
      </c>
      <c r="AF948" s="125" t="e">
        <f t="shared" ca="1" si="257"/>
        <v>#REF!</v>
      </c>
      <c r="AG948" s="125" t="e">
        <f t="shared" ca="1" si="251"/>
        <v>#REF!</v>
      </c>
      <c r="AH948" s="128" t="e">
        <f t="shared" ca="1" si="258"/>
        <v>#REF!</v>
      </c>
    </row>
    <row r="949" spans="4:34">
      <c r="D949">
        <v>942</v>
      </c>
      <c r="E949" s="6">
        <f t="shared" ca="1" si="243"/>
        <v>24108</v>
      </c>
      <c r="F949" s="7">
        <f t="shared" ca="1" si="252"/>
        <v>0</v>
      </c>
      <c r="G949" s="125">
        <f t="shared" ca="1" si="244"/>
        <v>0</v>
      </c>
      <c r="H949" s="125">
        <f ca="1">IF(F949=1,F949*$B$10/MIN(12,'Simulador - 3º Pilar'!$E$88),0)</f>
        <v>0</v>
      </c>
      <c r="I949" s="128">
        <f t="shared" ca="1" si="245"/>
        <v>0</v>
      </c>
      <c r="J949" s="494">
        <f t="shared" ca="1" si="246"/>
        <v>0</v>
      </c>
      <c r="K949" s="126">
        <f t="shared" ca="1" si="247"/>
        <v>0</v>
      </c>
      <c r="L949" s="126">
        <f t="shared" ca="1" si="259"/>
        <v>0</v>
      </c>
      <c r="P949">
        <v>942</v>
      </c>
      <c r="Q949" s="6">
        <f t="shared" ca="1" si="248"/>
        <v>24108</v>
      </c>
      <c r="R949" s="7" t="e">
        <f t="shared" ca="1" si="253"/>
        <v>#REF!</v>
      </c>
      <c r="S949" s="125" t="e">
        <f t="shared" ca="1" si="254"/>
        <v>#REF!</v>
      </c>
      <c r="T949" s="125" t="e">
        <f t="shared" ca="1" si="249"/>
        <v>#REF!</v>
      </c>
      <c r="U949" s="128" t="e">
        <f t="shared" ca="1" si="255"/>
        <v>#REF!</v>
      </c>
      <c r="AC949">
        <v>942</v>
      </c>
      <c r="AD949" s="6">
        <f t="shared" ca="1" si="250"/>
        <v>24108</v>
      </c>
      <c r="AE949" s="7" t="e">
        <f t="shared" ca="1" si="256"/>
        <v>#REF!</v>
      </c>
      <c r="AF949" s="125" t="e">
        <f t="shared" ca="1" si="257"/>
        <v>#REF!</v>
      </c>
      <c r="AG949" s="125" t="e">
        <f t="shared" ca="1" si="251"/>
        <v>#REF!</v>
      </c>
      <c r="AH949" s="128" t="e">
        <f t="shared" ca="1" si="258"/>
        <v>#REF!</v>
      </c>
    </row>
    <row r="950" spans="4:34">
      <c r="D950">
        <v>943</v>
      </c>
      <c r="E950" s="6">
        <f t="shared" ca="1" si="243"/>
        <v>24077</v>
      </c>
      <c r="F950" s="7">
        <f t="shared" ca="1" si="252"/>
        <v>0</v>
      </c>
      <c r="G950" s="125">
        <f t="shared" ca="1" si="244"/>
        <v>0</v>
      </c>
      <c r="H950" s="125">
        <f ca="1">IF(F950=1,F950*$B$10/MIN(12,'Simulador - 3º Pilar'!$E$88),0)</f>
        <v>0</v>
      </c>
      <c r="I950" s="128">
        <f t="shared" ca="1" si="245"/>
        <v>0</v>
      </c>
      <c r="J950" s="494">
        <f t="shared" ca="1" si="246"/>
        <v>0</v>
      </c>
      <c r="K950" s="126">
        <f t="shared" ca="1" si="247"/>
        <v>0</v>
      </c>
      <c r="L950" s="126">
        <f t="shared" ca="1" si="259"/>
        <v>0</v>
      </c>
      <c r="P950">
        <v>943</v>
      </c>
      <c r="Q950" s="6">
        <f t="shared" ca="1" si="248"/>
        <v>24077</v>
      </c>
      <c r="R950" s="7" t="e">
        <f t="shared" ca="1" si="253"/>
        <v>#REF!</v>
      </c>
      <c r="S950" s="125" t="e">
        <f t="shared" ca="1" si="254"/>
        <v>#REF!</v>
      </c>
      <c r="T950" s="125" t="e">
        <f t="shared" ca="1" si="249"/>
        <v>#REF!</v>
      </c>
      <c r="U950" s="128" t="e">
        <f t="shared" ca="1" si="255"/>
        <v>#REF!</v>
      </c>
      <c r="AC950">
        <v>943</v>
      </c>
      <c r="AD950" s="6">
        <f t="shared" ca="1" si="250"/>
        <v>24077</v>
      </c>
      <c r="AE950" s="7" t="e">
        <f t="shared" ca="1" si="256"/>
        <v>#REF!</v>
      </c>
      <c r="AF950" s="125" t="e">
        <f t="shared" ca="1" si="257"/>
        <v>#REF!</v>
      </c>
      <c r="AG950" s="125" t="e">
        <f t="shared" ca="1" si="251"/>
        <v>#REF!</v>
      </c>
      <c r="AH950" s="128" t="e">
        <f t="shared" ca="1" si="258"/>
        <v>#REF!</v>
      </c>
    </row>
    <row r="951" spans="4:34">
      <c r="D951">
        <v>944</v>
      </c>
      <c r="E951" s="6">
        <f t="shared" ca="1" si="243"/>
        <v>24047</v>
      </c>
      <c r="F951" s="7">
        <f t="shared" ca="1" si="252"/>
        <v>0</v>
      </c>
      <c r="G951" s="125">
        <f t="shared" ca="1" si="244"/>
        <v>0</v>
      </c>
      <c r="H951" s="125">
        <f ca="1">IF(F951=1,F951*$B$10/MIN(12,'Simulador - 3º Pilar'!$E$88),0)</f>
        <v>0</v>
      </c>
      <c r="I951" s="128">
        <f t="shared" ca="1" si="245"/>
        <v>0</v>
      </c>
      <c r="J951" s="494">
        <f t="shared" ca="1" si="246"/>
        <v>0</v>
      </c>
      <c r="K951" s="126">
        <f t="shared" ca="1" si="247"/>
        <v>0</v>
      </c>
      <c r="L951" s="126">
        <f t="shared" ca="1" si="259"/>
        <v>0</v>
      </c>
      <c r="P951">
        <v>944</v>
      </c>
      <c r="Q951" s="6">
        <f t="shared" ca="1" si="248"/>
        <v>24047</v>
      </c>
      <c r="R951" s="7" t="e">
        <f t="shared" ca="1" si="253"/>
        <v>#REF!</v>
      </c>
      <c r="S951" s="125" t="e">
        <f t="shared" ca="1" si="254"/>
        <v>#REF!</v>
      </c>
      <c r="T951" s="125" t="e">
        <f t="shared" ca="1" si="249"/>
        <v>#REF!</v>
      </c>
      <c r="U951" s="128" t="e">
        <f t="shared" ca="1" si="255"/>
        <v>#REF!</v>
      </c>
      <c r="AC951">
        <v>944</v>
      </c>
      <c r="AD951" s="6">
        <f t="shared" ca="1" si="250"/>
        <v>24047</v>
      </c>
      <c r="AE951" s="7" t="e">
        <f t="shared" ca="1" si="256"/>
        <v>#REF!</v>
      </c>
      <c r="AF951" s="125" t="e">
        <f t="shared" ca="1" si="257"/>
        <v>#REF!</v>
      </c>
      <c r="AG951" s="125" t="e">
        <f t="shared" ca="1" si="251"/>
        <v>#REF!</v>
      </c>
      <c r="AH951" s="128" t="e">
        <f t="shared" ca="1" si="258"/>
        <v>#REF!</v>
      </c>
    </row>
    <row r="952" spans="4:34">
      <c r="D952">
        <v>945</v>
      </c>
      <c r="E952" s="6">
        <f t="shared" ca="1" si="243"/>
        <v>24016</v>
      </c>
      <c r="F952" s="7">
        <f t="shared" ca="1" si="252"/>
        <v>0</v>
      </c>
      <c r="G952" s="125">
        <f t="shared" ca="1" si="244"/>
        <v>0</v>
      </c>
      <c r="H952" s="125">
        <f ca="1">IF(F952=1,F952*$B$10/MIN(12,'Simulador - 3º Pilar'!$E$88),0)</f>
        <v>0</v>
      </c>
      <c r="I952" s="128">
        <f t="shared" ca="1" si="245"/>
        <v>0</v>
      </c>
      <c r="J952" s="494">
        <f t="shared" ca="1" si="246"/>
        <v>0</v>
      </c>
      <c r="K952" s="126">
        <f t="shared" ca="1" si="247"/>
        <v>0</v>
      </c>
      <c r="L952" s="126">
        <f t="shared" ca="1" si="259"/>
        <v>0</v>
      </c>
      <c r="P952">
        <v>945</v>
      </c>
      <c r="Q952" s="6">
        <f t="shared" ca="1" si="248"/>
        <v>24016</v>
      </c>
      <c r="R952" s="7" t="e">
        <f t="shared" ca="1" si="253"/>
        <v>#REF!</v>
      </c>
      <c r="S952" s="125" t="e">
        <f t="shared" ca="1" si="254"/>
        <v>#REF!</v>
      </c>
      <c r="T952" s="125" t="e">
        <f t="shared" ca="1" si="249"/>
        <v>#REF!</v>
      </c>
      <c r="U952" s="128" t="e">
        <f t="shared" ca="1" si="255"/>
        <v>#REF!</v>
      </c>
      <c r="AC952">
        <v>945</v>
      </c>
      <c r="AD952" s="6">
        <f t="shared" ca="1" si="250"/>
        <v>24016</v>
      </c>
      <c r="AE952" s="7" t="e">
        <f t="shared" ca="1" si="256"/>
        <v>#REF!</v>
      </c>
      <c r="AF952" s="125" t="e">
        <f t="shared" ca="1" si="257"/>
        <v>#REF!</v>
      </c>
      <c r="AG952" s="125" t="e">
        <f t="shared" ca="1" si="251"/>
        <v>#REF!</v>
      </c>
      <c r="AH952" s="128" t="e">
        <f t="shared" ca="1" si="258"/>
        <v>#REF!</v>
      </c>
    </row>
    <row r="953" spans="4:34">
      <c r="D953">
        <v>946</v>
      </c>
      <c r="E953" s="6">
        <f t="shared" ca="1" si="243"/>
        <v>23986</v>
      </c>
      <c r="F953" s="7">
        <f t="shared" ca="1" si="252"/>
        <v>0</v>
      </c>
      <c r="G953" s="125">
        <f t="shared" ca="1" si="244"/>
        <v>0</v>
      </c>
      <c r="H953" s="125">
        <f ca="1">IF(F953=1,F953*$B$10/MIN(12,'Simulador - 3º Pilar'!$E$88),0)</f>
        <v>0</v>
      </c>
      <c r="I953" s="128">
        <f t="shared" ca="1" si="245"/>
        <v>0</v>
      </c>
      <c r="J953" s="494">
        <f t="shared" ca="1" si="246"/>
        <v>0</v>
      </c>
      <c r="K953" s="126">
        <f t="shared" ca="1" si="247"/>
        <v>0</v>
      </c>
      <c r="L953" s="126">
        <f t="shared" ca="1" si="259"/>
        <v>0</v>
      </c>
      <c r="P953">
        <v>946</v>
      </c>
      <c r="Q953" s="6">
        <f t="shared" ca="1" si="248"/>
        <v>23986</v>
      </c>
      <c r="R953" s="7" t="e">
        <f t="shared" ca="1" si="253"/>
        <v>#REF!</v>
      </c>
      <c r="S953" s="125" t="e">
        <f t="shared" ca="1" si="254"/>
        <v>#REF!</v>
      </c>
      <c r="T953" s="125" t="e">
        <f t="shared" ca="1" si="249"/>
        <v>#REF!</v>
      </c>
      <c r="U953" s="128" t="e">
        <f t="shared" ca="1" si="255"/>
        <v>#REF!</v>
      </c>
      <c r="AC953">
        <v>946</v>
      </c>
      <c r="AD953" s="6">
        <f t="shared" ca="1" si="250"/>
        <v>23986</v>
      </c>
      <c r="AE953" s="7" t="e">
        <f t="shared" ca="1" si="256"/>
        <v>#REF!</v>
      </c>
      <c r="AF953" s="125" t="e">
        <f t="shared" ca="1" si="257"/>
        <v>#REF!</v>
      </c>
      <c r="AG953" s="125" t="e">
        <f t="shared" ca="1" si="251"/>
        <v>#REF!</v>
      </c>
      <c r="AH953" s="128" t="e">
        <f t="shared" ca="1" si="258"/>
        <v>#REF!</v>
      </c>
    </row>
    <row r="954" spans="4:34">
      <c r="D954">
        <v>947</v>
      </c>
      <c r="E954" s="6">
        <f t="shared" ca="1" si="243"/>
        <v>23955</v>
      </c>
      <c r="F954" s="7">
        <f t="shared" ca="1" si="252"/>
        <v>0</v>
      </c>
      <c r="G954" s="125">
        <f t="shared" ca="1" si="244"/>
        <v>0</v>
      </c>
      <c r="H954" s="125">
        <f ca="1">IF(F954=1,F954*$B$10/MIN(12,'Simulador - 3º Pilar'!$E$88),0)</f>
        <v>0</v>
      </c>
      <c r="I954" s="128">
        <f t="shared" ca="1" si="245"/>
        <v>0</v>
      </c>
      <c r="J954" s="494">
        <f t="shared" ca="1" si="246"/>
        <v>0</v>
      </c>
      <c r="K954" s="126">
        <f t="shared" ca="1" si="247"/>
        <v>0</v>
      </c>
      <c r="L954" s="126">
        <f t="shared" ca="1" si="259"/>
        <v>0</v>
      </c>
      <c r="P954">
        <v>947</v>
      </c>
      <c r="Q954" s="6">
        <f t="shared" ca="1" si="248"/>
        <v>23955</v>
      </c>
      <c r="R954" s="7" t="e">
        <f t="shared" ca="1" si="253"/>
        <v>#REF!</v>
      </c>
      <c r="S954" s="125" t="e">
        <f t="shared" ca="1" si="254"/>
        <v>#REF!</v>
      </c>
      <c r="T954" s="125" t="e">
        <f t="shared" ca="1" si="249"/>
        <v>#REF!</v>
      </c>
      <c r="U954" s="128" t="e">
        <f t="shared" ca="1" si="255"/>
        <v>#REF!</v>
      </c>
      <c r="AC954">
        <v>947</v>
      </c>
      <c r="AD954" s="6">
        <f t="shared" ca="1" si="250"/>
        <v>23955</v>
      </c>
      <c r="AE954" s="7" t="e">
        <f t="shared" ca="1" si="256"/>
        <v>#REF!</v>
      </c>
      <c r="AF954" s="125" t="e">
        <f t="shared" ca="1" si="257"/>
        <v>#REF!</v>
      </c>
      <c r="AG954" s="125" t="e">
        <f t="shared" ca="1" si="251"/>
        <v>#REF!</v>
      </c>
      <c r="AH954" s="128" t="e">
        <f t="shared" ca="1" si="258"/>
        <v>#REF!</v>
      </c>
    </row>
    <row r="955" spans="4:34">
      <c r="D955">
        <v>948</v>
      </c>
      <c r="E955" s="6">
        <f t="shared" ca="1" si="243"/>
        <v>23924</v>
      </c>
      <c r="F955" s="7">
        <f t="shared" ca="1" si="252"/>
        <v>0</v>
      </c>
      <c r="G955" s="125">
        <f t="shared" ca="1" si="244"/>
        <v>0</v>
      </c>
      <c r="H955" s="125">
        <f ca="1">IF(F955=1,F955*$B$10/MIN(12,'Simulador - 3º Pilar'!$E$88),0)</f>
        <v>0</v>
      </c>
      <c r="I955" s="128">
        <f t="shared" ca="1" si="245"/>
        <v>0</v>
      </c>
      <c r="J955" s="494">
        <f t="shared" ca="1" si="246"/>
        <v>0</v>
      </c>
      <c r="K955" s="126">
        <f t="shared" ca="1" si="247"/>
        <v>0</v>
      </c>
      <c r="L955" s="126">
        <f t="shared" ca="1" si="259"/>
        <v>0</v>
      </c>
      <c r="P955">
        <v>948</v>
      </c>
      <c r="Q955" s="6">
        <f t="shared" ca="1" si="248"/>
        <v>23924</v>
      </c>
      <c r="R955" s="7" t="e">
        <f t="shared" ca="1" si="253"/>
        <v>#REF!</v>
      </c>
      <c r="S955" s="125" t="e">
        <f t="shared" ca="1" si="254"/>
        <v>#REF!</v>
      </c>
      <c r="T955" s="125" t="e">
        <f t="shared" ca="1" si="249"/>
        <v>#REF!</v>
      </c>
      <c r="U955" s="128" t="e">
        <f t="shared" ca="1" si="255"/>
        <v>#REF!</v>
      </c>
      <c r="AC955">
        <v>948</v>
      </c>
      <c r="AD955" s="6">
        <f t="shared" ca="1" si="250"/>
        <v>23924</v>
      </c>
      <c r="AE955" s="7" t="e">
        <f t="shared" ca="1" si="256"/>
        <v>#REF!</v>
      </c>
      <c r="AF955" s="125" t="e">
        <f t="shared" ca="1" si="257"/>
        <v>#REF!</v>
      </c>
      <c r="AG955" s="125" t="e">
        <f t="shared" ca="1" si="251"/>
        <v>#REF!</v>
      </c>
      <c r="AH955" s="128" t="e">
        <f t="shared" ca="1" si="258"/>
        <v>#REF!</v>
      </c>
    </row>
    <row r="956" spans="4:34">
      <c r="D956">
        <v>949</v>
      </c>
      <c r="E956" s="6">
        <f t="shared" ca="1" si="243"/>
        <v>23894</v>
      </c>
      <c r="F956" s="7">
        <f t="shared" ca="1" si="252"/>
        <v>0</v>
      </c>
      <c r="G956" s="125">
        <f t="shared" ca="1" si="244"/>
        <v>0</v>
      </c>
      <c r="H956" s="125">
        <f ca="1">IF(F956=1,F956*$B$10/MIN(12,'Simulador - 3º Pilar'!$E$88),0)</f>
        <v>0</v>
      </c>
      <c r="I956" s="128">
        <f t="shared" ca="1" si="245"/>
        <v>0</v>
      </c>
      <c r="J956" s="494">
        <f t="shared" ca="1" si="246"/>
        <v>0</v>
      </c>
      <c r="K956" s="126">
        <f t="shared" ca="1" si="247"/>
        <v>0</v>
      </c>
      <c r="L956" s="126">
        <f t="shared" ca="1" si="259"/>
        <v>0</v>
      </c>
      <c r="P956">
        <v>949</v>
      </c>
      <c r="Q956" s="6">
        <f t="shared" ca="1" si="248"/>
        <v>23894</v>
      </c>
      <c r="R956" s="7" t="e">
        <f t="shared" ca="1" si="253"/>
        <v>#REF!</v>
      </c>
      <c r="S956" s="125" t="e">
        <f t="shared" ca="1" si="254"/>
        <v>#REF!</v>
      </c>
      <c r="T956" s="125" t="e">
        <f t="shared" ca="1" si="249"/>
        <v>#REF!</v>
      </c>
      <c r="U956" s="128" t="e">
        <f t="shared" ca="1" si="255"/>
        <v>#REF!</v>
      </c>
      <c r="AC956">
        <v>949</v>
      </c>
      <c r="AD956" s="6">
        <f t="shared" ca="1" si="250"/>
        <v>23894</v>
      </c>
      <c r="AE956" s="7" t="e">
        <f t="shared" ca="1" si="256"/>
        <v>#REF!</v>
      </c>
      <c r="AF956" s="125" t="e">
        <f t="shared" ca="1" si="257"/>
        <v>#REF!</v>
      </c>
      <c r="AG956" s="125" t="e">
        <f t="shared" ca="1" si="251"/>
        <v>#REF!</v>
      </c>
      <c r="AH956" s="128" t="e">
        <f t="shared" ca="1" si="258"/>
        <v>#REF!</v>
      </c>
    </row>
    <row r="957" spans="4:34">
      <c r="D957">
        <v>950</v>
      </c>
      <c r="E957" s="6">
        <f t="shared" ca="1" si="243"/>
        <v>23863</v>
      </c>
      <c r="F957" s="7">
        <f t="shared" ca="1" si="252"/>
        <v>0</v>
      </c>
      <c r="G957" s="125">
        <f t="shared" ca="1" si="244"/>
        <v>0</v>
      </c>
      <c r="H957" s="125">
        <f ca="1">IF(F957=1,F957*$B$10/MIN(12,'Simulador - 3º Pilar'!$E$88),0)</f>
        <v>0</v>
      </c>
      <c r="I957" s="128">
        <f t="shared" ca="1" si="245"/>
        <v>0</v>
      </c>
      <c r="J957" s="494">
        <f t="shared" ca="1" si="246"/>
        <v>0</v>
      </c>
      <c r="K957" s="126">
        <f t="shared" ca="1" si="247"/>
        <v>0</v>
      </c>
      <c r="L957" s="126">
        <f t="shared" ca="1" si="259"/>
        <v>0</v>
      </c>
      <c r="P957">
        <v>950</v>
      </c>
      <c r="Q957" s="6">
        <f t="shared" ca="1" si="248"/>
        <v>23863</v>
      </c>
      <c r="R957" s="7" t="e">
        <f t="shared" ca="1" si="253"/>
        <v>#REF!</v>
      </c>
      <c r="S957" s="125" t="e">
        <f t="shared" ca="1" si="254"/>
        <v>#REF!</v>
      </c>
      <c r="T957" s="125" t="e">
        <f t="shared" ca="1" si="249"/>
        <v>#REF!</v>
      </c>
      <c r="U957" s="128" t="e">
        <f t="shared" ca="1" si="255"/>
        <v>#REF!</v>
      </c>
      <c r="AC957">
        <v>950</v>
      </c>
      <c r="AD957" s="6">
        <f t="shared" ca="1" si="250"/>
        <v>23863</v>
      </c>
      <c r="AE957" s="7" t="e">
        <f t="shared" ca="1" si="256"/>
        <v>#REF!</v>
      </c>
      <c r="AF957" s="125" t="e">
        <f t="shared" ca="1" si="257"/>
        <v>#REF!</v>
      </c>
      <c r="AG957" s="125" t="e">
        <f t="shared" ca="1" si="251"/>
        <v>#REF!</v>
      </c>
      <c r="AH957" s="128" t="e">
        <f t="shared" ca="1" si="258"/>
        <v>#REF!</v>
      </c>
    </row>
    <row r="958" spans="4:34">
      <c r="D958">
        <v>951</v>
      </c>
      <c r="E958" s="6">
        <f t="shared" ca="1" si="243"/>
        <v>23833</v>
      </c>
      <c r="F958" s="7">
        <f t="shared" ca="1" si="252"/>
        <v>0</v>
      </c>
      <c r="G958" s="125">
        <f t="shared" ca="1" si="244"/>
        <v>0</v>
      </c>
      <c r="H958" s="125">
        <f ca="1">IF(F958=1,F958*$B$10/MIN(12,'Simulador - 3º Pilar'!$E$88),0)</f>
        <v>0</v>
      </c>
      <c r="I958" s="128">
        <f t="shared" ca="1" si="245"/>
        <v>0</v>
      </c>
      <c r="J958" s="494">
        <f t="shared" ca="1" si="246"/>
        <v>0</v>
      </c>
      <c r="K958" s="126">
        <f t="shared" ca="1" si="247"/>
        <v>0</v>
      </c>
      <c r="L958" s="126">
        <f t="shared" ca="1" si="259"/>
        <v>0</v>
      </c>
      <c r="P958">
        <v>951</v>
      </c>
      <c r="Q958" s="6">
        <f t="shared" ca="1" si="248"/>
        <v>23833</v>
      </c>
      <c r="R958" s="7" t="e">
        <f t="shared" ca="1" si="253"/>
        <v>#REF!</v>
      </c>
      <c r="S958" s="125" t="e">
        <f t="shared" ca="1" si="254"/>
        <v>#REF!</v>
      </c>
      <c r="T958" s="125" t="e">
        <f t="shared" ca="1" si="249"/>
        <v>#REF!</v>
      </c>
      <c r="U958" s="128" t="e">
        <f t="shared" ca="1" si="255"/>
        <v>#REF!</v>
      </c>
      <c r="AC958">
        <v>951</v>
      </c>
      <c r="AD958" s="6">
        <f t="shared" ca="1" si="250"/>
        <v>23833</v>
      </c>
      <c r="AE958" s="7" t="e">
        <f t="shared" ca="1" si="256"/>
        <v>#REF!</v>
      </c>
      <c r="AF958" s="125" t="e">
        <f t="shared" ca="1" si="257"/>
        <v>#REF!</v>
      </c>
      <c r="AG958" s="125" t="e">
        <f t="shared" ca="1" si="251"/>
        <v>#REF!</v>
      </c>
      <c r="AH958" s="128" t="e">
        <f t="shared" ca="1" si="258"/>
        <v>#REF!</v>
      </c>
    </row>
    <row r="959" spans="4:34">
      <c r="D959">
        <v>952</v>
      </c>
      <c r="E959" s="6">
        <f t="shared" ca="1" si="243"/>
        <v>23802</v>
      </c>
      <c r="F959" s="7">
        <f t="shared" ca="1" si="252"/>
        <v>0</v>
      </c>
      <c r="G959" s="125">
        <f t="shared" ca="1" si="244"/>
        <v>0</v>
      </c>
      <c r="H959" s="125">
        <f ca="1">IF(F959=1,F959*$B$10/MIN(12,'Simulador - 3º Pilar'!$E$88),0)</f>
        <v>0</v>
      </c>
      <c r="I959" s="128">
        <f t="shared" ca="1" si="245"/>
        <v>0</v>
      </c>
      <c r="J959" s="494">
        <f t="shared" ca="1" si="246"/>
        <v>0</v>
      </c>
      <c r="K959" s="126">
        <f t="shared" ca="1" si="247"/>
        <v>0</v>
      </c>
      <c r="L959" s="126">
        <f t="shared" ca="1" si="259"/>
        <v>0</v>
      </c>
      <c r="P959">
        <v>952</v>
      </c>
      <c r="Q959" s="6">
        <f t="shared" ca="1" si="248"/>
        <v>23802</v>
      </c>
      <c r="R959" s="7" t="e">
        <f t="shared" ca="1" si="253"/>
        <v>#REF!</v>
      </c>
      <c r="S959" s="125" t="e">
        <f t="shared" ca="1" si="254"/>
        <v>#REF!</v>
      </c>
      <c r="T959" s="125" t="e">
        <f t="shared" ca="1" si="249"/>
        <v>#REF!</v>
      </c>
      <c r="U959" s="128" t="e">
        <f t="shared" ca="1" si="255"/>
        <v>#REF!</v>
      </c>
      <c r="AC959">
        <v>952</v>
      </c>
      <c r="AD959" s="6">
        <f t="shared" ca="1" si="250"/>
        <v>23802</v>
      </c>
      <c r="AE959" s="7" t="e">
        <f t="shared" ca="1" si="256"/>
        <v>#REF!</v>
      </c>
      <c r="AF959" s="125" t="e">
        <f t="shared" ca="1" si="257"/>
        <v>#REF!</v>
      </c>
      <c r="AG959" s="125" t="e">
        <f t="shared" ca="1" si="251"/>
        <v>#REF!</v>
      </c>
      <c r="AH959" s="128" t="e">
        <f t="shared" ca="1" si="258"/>
        <v>#REF!</v>
      </c>
    </row>
    <row r="960" spans="4:34">
      <c r="D960">
        <v>953</v>
      </c>
      <c r="E960" s="6">
        <f t="shared" ca="1" si="243"/>
        <v>23774</v>
      </c>
      <c r="F960" s="7">
        <f t="shared" ca="1" si="252"/>
        <v>0</v>
      </c>
      <c r="G960" s="125">
        <f t="shared" ca="1" si="244"/>
        <v>0</v>
      </c>
      <c r="H960" s="125">
        <f ca="1">IF(F960=1,F960*$B$10/MIN(12,'Simulador - 3º Pilar'!$E$88),0)</f>
        <v>0</v>
      </c>
      <c r="I960" s="128">
        <f t="shared" ca="1" si="245"/>
        <v>0</v>
      </c>
      <c r="J960" s="494">
        <f t="shared" ca="1" si="246"/>
        <v>0</v>
      </c>
      <c r="K960" s="126">
        <f t="shared" ca="1" si="247"/>
        <v>0</v>
      </c>
      <c r="L960" s="126">
        <f t="shared" ca="1" si="259"/>
        <v>0</v>
      </c>
      <c r="P960">
        <v>953</v>
      </c>
      <c r="Q960" s="6">
        <f t="shared" ca="1" si="248"/>
        <v>23774</v>
      </c>
      <c r="R960" s="7" t="e">
        <f t="shared" ca="1" si="253"/>
        <v>#REF!</v>
      </c>
      <c r="S960" s="125" t="e">
        <f t="shared" ca="1" si="254"/>
        <v>#REF!</v>
      </c>
      <c r="T960" s="125" t="e">
        <f t="shared" ca="1" si="249"/>
        <v>#REF!</v>
      </c>
      <c r="U960" s="128" t="e">
        <f t="shared" ca="1" si="255"/>
        <v>#REF!</v>
      </c>
      <c r="AC960">
        <v>953</v>
      </c>
      <c r="AD960" s="6">
        <f t="shared" ca="1" si="250"/>
        <v>23774</v>
      </c>
      <c r="AE960" s="7" t="e">
        <f t="shared" ca="1" si="256"/>
        <v>#REF!</v>
      </c>
      <c r="AF960" s="125" t="e">
        <f t="shared" ca="1" si="257"/>
        <v>#REF!</v>
      </c>
      <c r="AG960" s="125" t="e">
        <f t="shared" ca="1" si="251"/>
        <v>#REF!</v>
      </c>
      <c r="AH960" s="128" t="e">
        <f t="shared" ca="1" si="258"/>
        <v>#REF!</v>
      </c>
    </row>
    <row r="961" spans="4:34">
      <c r="D961">
        <v>954</v>
      </c>
      <c r="E961" s="6">
        <f t="shared" ca="1" si="243"/>
        <v>23743</v>
      </c>
      <c r="F961" s="7">
        <f t="shared" ca="1" si="252"/>
        <v>0</v>
      </c>
      <c r="G961" s="125">
        <f t="shared" ca="1" si="244"/>
        <v>0</v>
      </c>
      <c r="H961" s="125">
        <f ca="1">IF(F961=1,F961*$B$10/MIN(12,'Simulador - 3º Pilar'!$E$88),0)</f>
        <v>0</v>
      </c>
      <c r="I961" s="128">
        <f t="shared" ca="1" si="245"/>
        <v>0</v>
      </c>
      <c r="J961" s="494">
        <f t="shared" ca="1" si="246"/>
        <v>0</v>
      </c>
      <c r="K961" s="126">
        <f t="shared" ca="1" si="247"/>
        <v>0</v>
      </c>
      <c r="L961" s="126">
        <f t="shared" ca="1" si="259"/>
        <v>0</v>
      </c>
      <c r="P961">
        <v>954</v>
      </c>
      <c r="Q961" s="6">
        <f t="shared" ca="1" si="248"/>
        <v>23743</v>
      </c>
      <c r="R961" s="7" t="e">
        <f t="shared" ca="1" si="253"/>
        <v>#REF!</v>
      </c>
      <c r="S961" s="125" t="e">
        <f t="shared" ca="1" si="254"/>
        <v>#REF!</v>
      </c>
      <c r="T961" s="125" t="e">
        <f t="shared" ca="1" si="249"/>
        <v>#REF!</v>
      </c>
      <c r="U961" s="128" t="e">
        <f t="shared" ca="1" si="255"/>
        <v>#REF!</v>
      </c>
      <c r="AC961">
        <v>954</v>
      </c>
      <c r="AD961" s="6">
        <f t="shared" ca="1" si="250"/>
        <v>23743</v>
      </c>
      <c r="AE961" s="7" t="e">
        <f t="shared" ca="1" si="256"/>
        <v>#REF!</v>
      </c>
      <c r="AF961" s="125" t="e">
        <f t="shared" ca="1" si="257"/>
        <v>#REF!</v>
      </c>
      <c r="AG961" s="125" t="e">
        <f t="shared" ca="1" si="251"/>
        <v>#REF!</v>
      </c>
      <c r="AH961" s="128" t="e">
        <f t="shared" ca="1" si="258"/>
        <v>#REF!</v>
      </c>
    </row>
    <row r="962" spans="4:34">
      <c r="D962">
        <v>955</v>
      </c>
      <c r="E962" s="6">
        <f t="shared" ca="1" si="243"/>
        <v>23712</v>
      </c>
      <c r="F962" s="7">
        <f t="shared" ca="1" si="252"/>
        <v>0</v>
      </c>
      <c r="G962" s="125">
        <f t="shared" ca="1" si="244"/>
        <v>0</v>
      </c>
      <c r="H962" s="125">
        <f ca="1">IF(F962=1,F962*$B$10/MIN(12,'Simulador - 3º Pilar'!$E$88),0)</f>
        <v>0</v>
      </c>
      <c r="I962" s="128">
        <f t="shared" ca="1" si="245"/>
        <v>0</v>
      </c>
      <c r="J962" s="494">
        <f t="shared" ca="1" si="246"/>
        <v>0</v>
      </c>
      <c r="K962" s="126">
        <f t="shared" ca="1" si="247"/>
        <v>0</v>
      </c>
      <c r="L962" s="126">
        <f t="shared" ca="1" si="259"/>
        <v>0</v>
      </c>
      <c r="P962">
        <v>955</v>
      </c>
      <c r="Q962" s="6">
        <f t="shared" ca="1" si="248"/>
        <v>23712</v>
      </c>
      <c r="R962" s="7" t="e">
        <f t="shared" ca="1" si="253"/>
        <v>#REF!</v>
      </c>
      <c r="S962" s="125" t="e">
        <f t="shared" ca="1" si="254"/>
        <v>#REF!</v>
      </c>
      <c r="T962" s="125" t="e">
        <f t="shared" ca="1" si="249"/>
        <v>#REF!</v>
      </c>
      <c r="U962" s="128" t="e">
        <f t="shared" ca="1" si="255"/>
        <v>#REF!</v>
      </c>
      <c r="AC962">
        <v>955</v>
      </c>
      <c r="AD962" s="6">
        <f t="shared" ca="1" si="250"/>
        <v>23712</v>
      </c>
      <c r="AE962" s="7" t="e">
        <f t="shared" ca="1" si="256"/>
        <v>#REF!</v>
      </c>
      <c r="AF962" s="125" t="e">
        <f t="shared" ca="1" si="257"/>
        <v>#REF!</v>
      </c>
      <c r="AG962" s="125" t="e">
        <f t="shared" ca="1" si="251"/>
        <v>#REF!</v>
      </c>
      <c r="AH962" s="128" t="e">
        <f t="shared" ca="1" si="258"/>
        <v>#REF!</v>
      </c>
    </row>
    <row r="963" spans="4:34">
      <c r="D963">
        <v>956</v>
      </c>
      <c r="E963" s="6">
        <f t="shared" ca="1" si="243"/>
        <v>23682</v>
      </c>
      <c r="F963" s="7">
        <f t="shared" ca="1" si="252"/>
        <v>0</v>
      </c>
      <c r="G963" s="125">
        <f t="shared" ca="1" si="244"/>
        <v>0</v>
      </c>
      <c r="H963" s="125">
        <f ca="1">IF(F963=1,F963*$B$10/MIN(12,'Simulador - 3º Pilar'!$E$88),0)</f>
        <v>0</v>
      </c>
      <c r="I963" s="128">
        <f t="shared" ca="1" si="245"/>
        <v>0</v>
      </c>
      <c r="J963" s="494">
        <f t="shared" ca="1" si="246"/>
        <v>0</v>
      </c>
      <c r="K963" s="126">
        <f t="shared" ca="1" si="247"/>
        <v>0</v>
      </c>
      <c r="L963" s="126">
        <f t="shared" ca="1" si="259"/>
        <v>0</v>
      </c>
      <c r="P963">
        <v>956</v>
      </c>
      <c r="Q963" s="6">
        <f t="shared" ca="1" si="248"/>
        <v>23682</v>
      </c>
      <c r="R963" s="7" t="e">
        <f t="shared" ca="1" si="253"/>
        <v>#REF!</v>
      </c>
      <c r="S963" s="125" t="e">
        <f t="shared" ca="1" si="254"/>
        <v>#REF!</v>
      </c>
      <c r="T963" s="125" t="e">
        <f t="shared" ca="1" si="249"/>
        <v>#REF!</v>
      </c>
      <c r="U963" s="128" t="e">
        <f t="shared" ca="1" si="255"/>
        <v>#REF!</v>
      </c>
      <c r="AC963">
        <v>956</v>
      </c>
      <c r="AD963" s="6">
        <f t="shared" ca="1" si="250"/>
        <v>23682</v>
      </c>
      <c r="AE963" s="7" t="e">
        <f t="shared" ca="1" si="256"/>
        <v>#REF!</v>
      </c>
      <c r="AF963" s="125" t="e">
        <f t="shared" ca="1" si="257"/>
        <v>#REF!</v>
      </c>
      <c r="AG963" s="125" t="e">
        <f t="shared" ca="1" si="251"/>
        <v>#REF!</v>
      </c>
      <c r="AH963" s="128" t="e">
        <f t="shared" ca="1" si="258"/>
        <v>#REF!</v>
      </c>
    </row>
    <row r="964" spans="4:34">
      <c r="D964">
        <v>957</v>
      </c>
      <c r="E964" s="6">
        <f t="shared" ca="1" si="243"/>
        <v>23651</v>
      </c>
      <c r="F964" s="7">
        <f t="shared" ca="1" si="252"/>
        <v>0</v>
      </c>
      <c r="G964" s="125">
        <f t="shared" ca="1" si="244"/>
        <v>0</v>
      </c>
      <c r="H964" s="125">
        <f ca="1">IF(F964=1,F964*$B$10/MIN(12,'Simulador - 3º Pilar'!$E$88),0)</f>
        <v>0</v>
      </c>
      <c r="I964" s="128">
        <f t="shared" ca="1" si="245"/>
        <v>0</v>
      </c>
      <c r="J964" s="494">
        <f t="shared" ca="1" si="246"/>
        <v>0</v>
      </c>
      <c r="K964" s="126">
        <f t="shared" ca="1" si="247"/>
        <v>0</v>
      </c>
      <c r="L964" s="126">
        <f t="shared" ca="1" si="259"/>
        <v>0</v>
      </c>
      <c r="P964">
        <v>957</v>
      </c>
      <c r="Q964" s="6">
        <f t="shared" ca="1" si="248"/>
        <v>23651</v>
      </c>
      <c r="R964" s="7" t="e">
        <f t="shared" ca="1" si="253"/>
        <v>#REF!</v>
      </c>
      <c r="S964" s="125" t="e">
        <f t="shared" ca="1" si="254"/>
        <v>#REF!</v>
      </c>
      <c r="T964" s="125" t="e">
        <f t="shared" ca="1" si="249"/>
        <v>#REF!</v>
      </c>
      <c r="U964" s="128" t="e">
        <f t="shared" ca="1" si="255"/>
        <v>#REF!</v>
      </c>
      <c r="AC964">
        <v>957</v>
      </c>
      <c r="AD964" s="6">
        <f t="shared" ca="1" si="250"/>
        <v>23651</v>
      </c>
      <c r="AE964" s="7" t="e">
        <f t="shared" ca="1" si="256"/>
        <v>#REF!</v>
      </c>
      <c r="AF964" s="125" t="e">
        <f t="shared" ca="1" si="257"/>
        <v>#REF!</v>
      </c>
      <c r="AG964" s="125" t="e">
        <f t="shared" ca="1" si="251"/>
        <v>#REF!</v>
      </c>
      <c r="AH964" s="128" t="e">
        <f t="shared" ca="1" si="258"/>
        <v>#REF!</v>
      </c>
    </row>
    <row r="965" spans="4:34">
      <c r="D965">
        <v>958</v>
      </c>
      <c r="E965" s="6">
        <f t="shared" ca="1" si="243"/>
        <v>23621</v>
      </c>
      <c r="F965" s="7">
        <f t="shared" ca="1" si="252"/>
        <v>0</v>
      </c>
      <c r="G965" s="125">
        <f t="shared" ca="1" si="244"/>
        <v>0</v>
      </c>
      <c r="H965" s="125">
        <f ca="1">IF(F965=1,F965*$B$10/MIN(12,'Simulador - 3º Pilar'!$E$88),0)</f>
        <v>0</v>
      </c>
      <c r="I965" s="128">
        <f t="shared" ca="1" si="245"/>
        <v>0</v>
      </c>
      <c r="J965" s="494">
        <f t="shared" ca="1" si="246"/>
        <v>0</v>
      </c>
      <c r="K965" s="126">
        <f t="shared" ca="1" si="247"/>
        <v>0</v>
      </c>
      <c r="L965" s="126">
        <f t="shared" ca="1" si="259"/>
        <v>0</v>
      </c>
      <c r="P965">
        <v>958</v>
      </c>
      <c r="Q965" s="6">
        <f t="shared" ca="1" si="248"/>
        <v>23621</v>
      </c>
      <c r="R965" s="7" t="e">
        <f t="shared" ca="1" si="253"/>
        <v>#REF!</v>
      </c>
      <c r="S965" s="125" t="e">
        <f t="shared" ca="1" si="254"/>
        <v>#REF!</v>
      </c>
      <c r="T965" s="125" t="e">
        <f t="shared" ca="1" si="249"/>
        <v>#REF!</v>
      </c>
      <c r="U965" s="128" t="e">
        <f t="shared" ca="1" si="255"/>
        <v>#REF!</v>
      </c>
      <c r="AC965">
        <v>958</v>
      </c>
      <c r="AD965" s="6">
        <f t="shared" ca="1" si="250"/>
        <v>23621</v>
      </c>
      <c r="AE965" s="7" t="e">
        <f t="shared" ca="1" si="256"/>
        <v>#REF!</v>
      </c>
      <c r="AF965" s="125" t="e">
        <f t="shared" ca="1" si="257"/>
        <v>#REF!</v>
      </c>
      <c r="AG965" s="125" t="e">
        <f t="shared" ca="1" si="251"/>
        <v>#REF!</v>
      </c>
      <c r="AH965" s="128" t="e">
        <f t="shared" ca="1" si="258"/>
        <v>#REF!</v>
      </c>
    </row>
    <row r="966" spans="4:34">
      <c r="D966">
        <v>959</v>
      </c>
      <c r="E966" s="6">
        <f t="shared" ca="1" si="243"/>
        <v>23590</v>
      </c>
      <c r="F966" s="7">
        <f t="shared" ca="1" si="252"/>
        <v>0</v>
      </c>
      <c r="G966" s="125">
        <f t="shared" ca="1" si="244"/>
        <v>0</v>
      </c>
      <c r="H966" s="125">
        <f ca="1">IF(F966=1,F966*$B$10/MIN(12,'Simulador - 3º Pilar'!$E$88),0)</f>
        <v>0</v>
      </c>
      <c r="I966" s="128">
        <f t="shared" ca="1" si="245"/>
        <v>0</v>
      </c>
      <c r="J966" s="494">
        <f t="shared" ca="1" si="246"/>
        <v>0</v>
      </c>
      <c r="K966" s="126">
        <f t="shared" ca="1" si="247"/>
        <v>0</v>
      </c>
      <c r="L966" s="126">
        <f t="shared" ca="1" si="259"/>
        <v>0</v>
      </c>
      <c r="P966">
        <v>959</v>
      </c>
      <c r="Q966" s="6">
        <f t="shared" ca="1" si="248"/>
        <v>23590</v>
      </c>
      <c r="R966" s="7" t="e">
        <f t="shared" ca="1" si="253"/>
        <v>#REF!</v>
      </c>
      <c r="S966" s="125" t="e">
        <f t="shared" ca="1" si="254"/>
        <v>#REF!</v>
      </c>
      <c r="T966" s="125" t="e">
        <f t="shared" ca="1" si="249"/>
        <v>#REF!</v>
      </c>
      <c r="U966" s="128" t="e">
        <f t="shared" ca="1" si="255"/>
        <v>#REF!</v>
      </c>
      <c r="AC966">
        <v>959</v>
      </c>
      <c r="AD966" s="6">
        <f t="shared" ca="1" si="250"/>
        <v>23590</v>
      </c>
      <c r="AE966" s="7" t="e">
        <f t="shared" ca="1" si="256"/>
        <v>#REF!</v>
      </c>
      <c r="AF966" s="125" t="e">
        <f t="shared" ca="1" si="257"/>
        <v>#REF!</v>
      </c>
      <c r="AG966" s="125" t="e">
        <f t="shared" ca="1" si="251"/>
        <v>#REF!</v>
      </c>
      <c r="AH966" s="128" t="e">
        <f t="shared" ca="1" si="258"/>
        <v>#REF!</v>
      </c>
    </row>
    <row r="967" spans="4:34">
      <c r="D967">
        <v>960</v>
      </c>
      <c r="E967" s="6">
        <f t="shared" ca="1" si="243"/>
        <v>23559</v>
      </c>
      <c r="F967" s="7">
        <f t="shared" ca="1" si="252"/>
        <v>0</v>
      </c>
      <c r="G967" s="125">
        <f t="shared" ca="1" si="244"/>
        <v>0</v>
      </c>
      <c r="H967" s="125">
        <f ca="1">IF(F967=1,F967*$B$10/MIN(12,'Simulador - 3º Pilar'!$E$88),0)</f>
        <v>0</v>
      </c>
      <c r="I967" s="128">
        <f t="shared" ca="1" si="245"/>
        <v>0</v>
      </c>
      <c r="J967" s="494">
        <f t="shared" ca="1" si="246"/>
        <v>0</v>
      </c>
      <c r="K967" s="126">
        <f t="shared" ca="1" si="247"/>
        <v>0</v>
      </c>
      <c r="L967" s="126">
        <f t="shared" ca="1" si="259"/>
        <v>0</v>
      </c>
      <c r="P967">
        <v>960</v>
      </c>
      <c r="Q967" s="6">
        <f t="shared" ca="1" si="248"/>
        <v>23559</v>
      </c>
      <c r="R967" s="7" t="e">
        <f t="shared" ca="1" si="253"/>
        <v>#REF!</v>
      </c>
      <c r="S967" s="125" t="e">
        <f t="shared" ca="1" si="254"/>
        <v>#REF!</v>
      </c>
      <c r="T967" s="125" t="e">
        <f t="shared" ca="1" si="249"/>
        <v>#REF!</v>
      </c>
      <c r="U967" s="128" t="e">
        <f t="shared" ca="1" si="255"/>
        <v>#REF!</v>
      </c>
      <c r="AC967">
        <v>960</v>
      </c>
      <c r="AD967" s="6">
        <f t="shared" ca="1" si="250"/>
        <v>23559</v>
      </c>
      <c r="AE967" s="7" t="e">
        <f t="shared" ca="1" si="256"/>
        <v>#REF!</v>
      </c>
      <c r="AF967" s="125" t="e">
        <f t="shared" ca="1" si="257"/>
        <v>#REF!</v>
      </c>
      <c r="AG967" s="125" t="e">
        <f t="shared" ca="1" si="251"/>
        <v>#REF!</v>
      </c>
      <c r="AH967" s="128" t="e">
        <f t="shared" ca="1" si="258"/>
        <v>#REF!</v>
      </c>
    </row>
    <row r="968" spans="4:34">
      <c r="D968">
        <v>961</v>
      </c>
      <c r="E968" s="6">
        <f t="shared" ref="E968:E1031" ca="1" si="260">+DATE(YEAR(E967),MONTH(E967)-1,DAY(E967))</f>
        <v>23529</v>
      </c>
      <c r="F968" s="7">
        <f t="shared" ca="1" si="252"/>
        <v>0</v>
      </c>
      <c r="G968" s="125">
        <f t="shared" ref="G968:G1031" ca="1" si="261">F968*$B$8/12</f>
        <v>0</v>
      </c>
      <c r="H968" s="125">
        <f ca="1">IF(F968=1,F968*$B$10/MIN(12,'Simulador - 3º Pilar'!$E$88),0)</f>
        <v>0</v>
      </c>
      <c r="I968" s="128">
        <f t="shared" ref="I968:I1031" ca="1" si="262">(1+$G$5)^(D968/12)*(H968+IF(E968=$N$7,$N$4,0))</f>
        <v>0</v>
      </c>
      <c r="J968" s="494">
        <f t="shared" ref="J968:J1031" ca="1" si="263">(1+$G$5)^(D968/12)*(H968*(12-IF(MONTH(E969)=12,0,MONTH(E969)))+IF(AND(F968=1,F969=0),$Q$4,0))*IF(AND(F968=1,F969=0),1,0)</f>
        <v>0</v>
      </c>
      <c r="K968" s="126">
        <f t="shared" ref="K968:K1031" ca="1" si="264">(1+$G$5)^(D968/12)*(IF(E968=$N$7,$N$4,0)+IF(E968=$C$6,$B$10,0))</f>
        <v>0</v>
      </c>
      <c r="L968" s="126">
        <f t="shared" ca="1" si="259"/>
        <v>0</v>
      </c>
      <c r="P968">
        <v>961</v>
      </c>
      <c r="Q968" s="6">
        <f t="shared" ref="Q968:Q1031" ca="1" si="265">+DATE(YEAR(Q967),MONTH(Q967)-1,DAY(Q967))</f>
        <v>23529</v>
      </c>
      <c r="R968" s="7" t="e">
        <f t="shared" ca="1" si="253"/>
        <v>#REF!</v>
      </c>
      <c r="S968" s="125" t="e">
        <f t="shared" ca="1" si="254"/>
        <v>#REF!</v>
      </c>
      <c r="T968" s="125" t="e">
        <f t="shared" ref="T968:T1031" ca="1" si="266">R968*$B$11/12</f>
        <v>#REF!</v>
      </c>
      <c r="U968" s="128" t="e">
        <f t="shared" ca="1" si="255"/>
        <v>#REF!</v>
      </c>
      <c r="AC968">
        <v>961</v>
      </c>
      <c r="AD968" s="6">
        <f t="shared" ref="AD968:AD1031" ca="1" si="267">+DATE(YEAR(AD967),MONTH(AD967)-1,DAY(AD967))</f>
        <v>23529</v>
      </c>
      <c r="AE968" s="7" t="e">
        <f t="shared" ca="1" si="256"/>
        <v>#REF!</v>
      </c>
      <c r="AF968" s="125" t="e">
        <f t="shared" ca="1" si="257"/>
        <v>#REF!</v>
      </c>
      <c r="AG968" s="125" t="e">
        <f t="shared" ref="AG968:AG1031" ca="1" si="268">AE968*$B$12/12</f>
        <v>#REF!</v>
      </c>
      <c r="AH968" s="128" t="e">
        <f t="shared" ca="1" si="258"/>
        <v>#REF!</v>
      </c>
    </row>
    <row r="969" spans="4:34">
      <c r="D969">
        <v>962</v>
      </c>
      <c r="E969" s="6">
        <f t="shared" ca="1" si="260"/>
        <v>23498</v>
      </c>
      <c r="F969" s="7">
        <f t="shared" ref="F969:F1032" ca="1" si="269">IF($C$6=$E969,1,IF(MONTH($E969)=1,F970*(1+$F$5),F970))</f>
        <v>0</v>
      </c>
      <c r="G969" s="125">
        <f t="shared" ca="1" si="261"/>
        <v>0</v>
      </c>
      <c r="H969" s="125">
        <f ca="1">IF(F969=1,F969*$B$10/MIN(12,'Simulador - 3º Pilar'!$E$88),0)</f>
        <v>0</v>
      </c>
      <c r="I969" s="128">
        <f t="shared" ca="1" si="262"/>
        <v>0</v>
      </c>
      <c r="J969" s="494">
        <f t="shared" ca="1" si="263"/>
        <v>0</v>
      </c>
      <c r="K969" s="126">
        <f t="shared" ca="1" si="264"/>
        <v>0</v>
      </c>
      <c r="L969" s="126">
        <f t="shared" ca="1" si="259"/>
        <v>0</v>
      </c>
      <c r="P969">
        <v>962</v>
      </c>
      <c r="Q969" s="6">
        <f t="shared" ca="1" si="265"/>
        <v>23498</v>
      </c>
      <c r="R969" s="7" t="e">
        <f t="shared" ref="R969:R1032" ca="1" si="270">IF($Z$7=$E969,1,IF(MONTH($E969)=1,R970*(1+$F$5),R970))</f>
        <v>#REF!</v>
      </c>
      <c r="S969" s="125" t="e">
        <f t="shared" ref="S969:S1032" ca="1" si="271">R969*$B$8/12</f>
        <v>#REF!</v>
      </c>
      <c r="T969" s="125" t="e">
        <f t="shared" ca="1" si="266"/>
        <v>#REF!</v>
      </c>
      <c r="U969" s="128" t="e">
        <f t="shared" ref="U969:U1032" ca="1" si="272">(1+$V$5)^(P969/12)*(T969+IF(Q969=$Z$7,$Z$4,0))</f>
        <v>#REF!</v>
      </c>
      <c r="AC969">
        <v>962</v>
      </c>
      <c r="AD969" s="6">
        <f t="shared" ca="1" si="267"/>
        <v>23498</v>
      </c>
      <c r="AE969" s="7" t="e">
        <f t="shared" ref="AE969:AE1032" ca="1" si="273">IF($AM$7=$E969,1,IF(MONTH($E969)=1,AE970*(1+$F$5),AE970))</f>
        <v>#REF!</v>
      </c>
      <c r="AF969" s="125" t="e">
        <f t="shared" ref="AF969:AF1032" ca="1" si="274">AE969*$B$8/12</f>
        <v>#REF!</v>
      </c>
      <c r="AG969" s="125" t="e">
        <f t="shared" ca="1" si="268"/>
        <v>#REF!</v>
      </c>
      <c r="AH969" s="128" t="e">
        <f t="shared" ref="AH969:AH1032" ca="1" si="275">(1+$AI$5)^(AC969/12)*(AG969+IF(AD969=$AM$7,$AM$4,0))</f>
        <v>#REF!</v>
      </c>
    </row>
    <row r="970" spans="4:34">
      <c r="D970">
        <v>963</v>
      </c>
      <c r="E970" s="6">
        <f t="shared" ca="1" si="260"/>
        <v>23468</v>
      </c>
      <c r="F970" s="7">
        <f t="shared" ca="1" si="269"/>
        <v>0</v>
      </c>
      <c r="G970" s="125">
        <f t="shared" ca="1" si="261"/>
        <v>0</v>
      </c>
      <c r="H970" s="125">
        <f ca="1">IF(F970=1,F970*$B$10/MIN(12,'Simulador - 3º Pilar'!$E$88),0)</f>
        <v>0</v>
      </c>
      <c r="I970" s="128">
        <f t="shared" ca="1" si="262"/>
        <v>0</v>
      </c>
      <c r="J970" s="494">
        <f t="shared" ca="1" si="263"/>
        <v>0</v>
      </c>
      <c r="K970" s="126">
        <f t="shared" ca="1" si="264"/>
        <v>0</v>
      </c>
      <c r="L970" s="126">
        <f t="shared" ca="1" si="259"/>
        <v>0</v>
      </c>
      <c r="P970">
        <v>963</v>
      </c>
      <c r="Q970" s="6">
        <f t="shared" ca="1" si="265"/>
        <v>23468</v>
      </c>
      <c r="R970" s="7" t="e">
        <f t="shared" ca="1" si="270"/>
        <v>#REF!</v>
      </c>
      <c r="S970" s="125" t="e">
        <f t="shared" ca="1" si="271"/>
        <v>#REF!</v>
      </c>
      <c r="T970" s="125" t="e">
        <f t="shared" ca="1" si="266"/>
        <v>#REF!</v>
      </c>
      <c r="U970" s="128" t="e">
        <f t="shared" ca="1" si="272"/>
        <v>#REF!</v>
      </c>
      <c r="AC970">
        <v>963</v>
      </c>
      <c r="AD970" s="6">
        <f t="shared" ca="1" si="267"/>
        <v>23468</v>
      </c>
      <c r="AE970" s="7" t="e">
        <f t="shared" ca="1" si="273"/>
        <v>#REF!</v>
      </c>
      <c r="AF970" s="125" t="e">
        <f t="shared" ca="1" si="274"/>
        <v>#REF!</v>
      </c>
      <c r="AG970" s="125" t="e">
        <f t="shared" ca="1" si="268"/>
        <v>#REF!</v>
      </c>
      <c r="AH970" s="128" t="e">
        <f t="shared" ca="1" si="275"/>
        <v>#REF!</v>
      </c>
    </row>
    <row r="971" spans="4:34">
      <c r="D971">
        <v>964</v>
      </c>
      <c r="E971" s="6">
        <f t="shared" ca="1" si="260"/>
        <v>23437</v>
      </c>
      <c r="F971" s="7">
        <f t="shared" ca="1" si="269"/>
        <v>0</v>
      </c>
      <c r="G971" s="125">
        <f t="shared" ca="1" si="261"/>
        <v>0</v>
      </c>
      <c r="H971" s="125">
        <f ca="1">IF(F971=1,F971*$B$10/MIN(12,'Simulador - 3º Pilar'!$E$88),0)</f>
        <v>0</v>
      </c>
      <c r="I971" s="128">
        <f t="shared" ca="1" si="262"/>
        <v>0</v>
      </c>
      <c r="J971" s="494">
        <f t="shared" ca="1" si="263"/>
        <v>0</v>
      </c>
      <c r="K971" s="126">
        <f t="shared" ca="1" si="264"/>
        <v>0</v>
      </c>
      <c r="L971" s="126">
        <f t="shared" ca="1" si="259"/>
        <v>0</v>
      </c>
      <c r="P971">
        <v>964</v>
      </c>
      <c r="Q971" s="6">
        <f t="shared" ca="1" si="265"/>
        <v>23437</v>
      </c>
      <c r="R971" s="7" t="e">
        <f t="shared" ca="1" si="270"/>
        <v>#REF!</v>
      </c>
      <c r="S971" s="125" t="e">
        <f t="shared" ca="1" si="271"/>
        <v>#REF!</v>
      </c>
      <c r="T971" s="125" t="e">
        <f t="shared" ca="1" si="266"/>
        <v>#REF!</v>
      </c>
      <c r="U971" s="128" t="e">
        <f t="shared" ca="1" si="272"/>
        <v>#REF!</v>
      </c>
      <c r="AC971">
        <v>964</v>
      </c>
      <c r="AD971" s="6">
        <f t="shared" ca="1" si="267"/>
        <v>23437</v>
      </c>
      <c r="AE971" s="7" t="e">
        <f t="shared" ca="1" si="273"/>
        <v>#REF!</v>
      </c>
      <c r="AF971" s="125" t="e">
        <f t="shared" ca="1" si="274"/>
        <v>#REF!</v>
      </c>
      <c r="AG971" s="125" t="e">
        <f t="shared" ca="1" si="268"/>
        <v>#REF!</v>
      </c>
      <c r="AH971" s="128" t="e">
        <f t="shared" ca="1" si="275"/>
        <v>#REF!</v>
      </c>
    </row>
    <row r="972" spans="4:34">
      <c r="D972">
        <v>965</v>
      </c>
      <c r="E972" s="6">
        <f t="shared" ca="1" si="260"/>
        <v>23408</v>
      </c>
      <c r="F972" s="7">
        <f t="shared" ca="1" si="269"/>
        <v>0</v>
      </c>
      <c r="G972" s="125">
        <f t="shared" ca="1" si="261"/>
        <v>0</v>
      </c>
      <c r="H972" s="125">
        <f ca="1">IF(F972=1,F972*$B$10/MIN(12,'Simulador - 3º Pilar'!$E$88),0)</f>
        <v>0</v>
      </c>
      <c r="I972" s="128">
        <f t="shared" ca="1" si="262"/>
        <v>0</v>
      </c>
      <c r="J972" s="494">
        <f t="shared" ca="1" si="263"/>
        <v>0</v>
      </c>
      <c r="K972" s="126">
        <f t="shared" ca="1" si="264"/>
        <v>0</v>
      </c>
      <c r="L972" s="126">
        <f t="shared" ca="1" si="259"/>
        <v>0</v>
      </c>
      <c r="P972">
        <v>965</v>
      </c>
      <c r="Q972" s="6">
        <f t="shared" ca="1" si="265"/>
        <v>23408</v>
      </c>
      <c r="R972" s="7" t="e">
        <f t="shared" ca="1" si="270"/>
        <v>#REF!</v>
      </c>
      <c r="S972" s="125" t="e">
        <f t="shared" ca="1" si="271"/>
        <v>#REF!</v>
      </c>
      <c r="T972" s="125" t="e">
        <f t="shared" ca="1" si="266"/>
        <v>#REF!</v>
      </c>
      <c r="U972" s="128" t="e">
        <f t="shared" ca="1" si="272"/>
        <v>#REF!</v>
      </c>
      <c r="AC972">
        <v>965</v>
      </c>
      <c r="AD972" s="6">
        <f t="shared" ca="1" si="267"/>
        <v>23408</v>
      </c>
      <c r="AE972" s="7" t="e">
        <f t="shared" ca="1" si="273"/>
        <v>#REF!</v>
      </c>
      <c r="AF972" s="125" t="e">
        <f t="shared" ca="1" si="274"/>
        <v>#REF!</v>
      </c>
      <c r="AG972" s="125" t="e">
        <f t="shared" ca="1" si="268"/>
        <v>#REF!</v>
      </c>
      <c r="AH972" s="128" t="e">
        <f t="shared" ca="1" si="275"/>
        <v>#REF!</v>
      </c>
    </row>
    <row r="973" spans="4:34">
      <c r="D973">
        <v>966</v>
      </c>
      <c r="E973" s="6">
        <f t="shared" ca="1" si="260"/>
        <v>23377</v>
      </c>
      <c r="F973" s="7">
        <f t="shared" ca="1" si="269"/>
        <v>0</v>
      </c>
      <c r="G973" s="125">
        <f t="shared" ca="1" si="261"/>
        <v>0</v>
      </c>
      <c r="H973" s="125">
        <f ca="1">IF(F973=1,F973*$B$10/MIN(12,'Simulador - 3º Pilar'!$E$88),0)</f>
        <v>0</v>
      </c>
      <c r="I973" s="128">
        <f t="shared" ca="1" si="262"/>
        <v>0</v>
      </c>
      <c r="J973" s="494">
        <f t="shared" ca="1" si="263"/>
        <v>0</v>
      </c>
      <c r="K973" s="126">
        <f t="shared" ca="1" si="264"/>
        <v>0</v>
      </c>
      <c r="L973" s="126">
        <f t="shared" ca="1" si="259"/>
        <v>0</v>
      </c>
      <c r="P973">
        <v>966</v>
      </c>
      <c r="Q973" s="6">
        <f t="shared" ca="1" si="265"/>
        <v>23377</v>
      </c>
      <c r="R973" s="7" t="e">
        <f t="shared" ca="1" si="270"/>
        <v>#REF!</v>
      </c>
      <c r="S973" s="125" t="e">
        <f t="shared" ca="1" si="271"/>
        <v>#REF!</v>
      </c>
      <c r="T973" s="125" t="e">
        <f t="shared" ca="1" si="266"/>
        <v>#REF!</v>
      </c>
      <c r="U973" s="128" t="e">
        <f t="shared" ca="1" si="272"/>
        <v>#REF!</v>
      </c>
      <c r="AC973">
        <v>966</v>
      </c>
      <c r="AD973" s="6">
        <f t="shared" ca="1" si="267"/>
        <v>23377</v>
      </c>
      <c r="AE973" s="7" t="e">
        <f t="shared" ca="1" si="273"/>
        <v>#REF!</v>
      </c>
      <c r="AF973" s="125" t="e">
        <f t="shared" ca="1" si="274"/>
        <v>#REF!</v>
      </c>
      <c r="AG973" s="125" t="e">
        <f t="shared" ca="1" si="268"/>
        <v>#REF!</v>
      </c>
      <c r="AH973" s="128" t="e">
        <f t="shared" ca="1" si="275"/>
        <v>#REF!</v>
      </c>
    </row>
    <row r="974" spans="4:34">
      <c r="D974">
        <v>967</v>
      </c>
      <c r="E974" s="6">
        <f t="shared" ca="1" si="260"/>
        <v>23346</v>
      </c>
      <c r="F974" s="7">
        <f t="shared" ca="1" si="269"/>
        <v>0</v>
      </c>
      <c r="G974" s="125">
        <f t="shared" ca="1" si="261"/>
        <v>0</v>
      </c>
      <c r="H974" s="125">
        <f ca="1">IF(F974=1,F974*$B$10/MIN(12,'Simulador - 3º Pilar'!$E$88),0)</f>
        <v>0</v>
      </c>
      <c r="I974" s="128">
        <f t="shared" ca="1" si="262"/>
        <v>0</v>
      </c>
      <c r="J974" s="494">
        <f t="shared" ca="1" si="263"/>
        <v>0</v>
      </c>
      <c r="K974" s="126">
        <f t="shared" ca="1" si="264"/>
        <v>0</v>
      </c>
      <c r="L974" s="126">
        <f t="shared" ca="1" si="259"/>
        <v>0</v>
      </c>
      <c r="P974">
        <v>967</v>
      </c>
      <c r="Q974" s="6">
        <f t="shared" ca="1" si="265"/>
        <v>23346</v>
      </c>
      <c r="R974" s="7" t="e">
        <f t="shared" ca="1" si="270"/>
        <v>#REF!</v>
      </c>
      <c r="S974" s="125" t="e">
        <f t="shared" ca="1" si="271"/>
        <v>#REF!</v>
      </c>
      <c r="T974" s="125" t="e">
        <f t="shared" ca="1" si="266"/>
        <v>#REF!</v>
      </c>
      <c r="U974" s="128" t="e">
        <f t="shared" ca="1" si="272"/>
        <v>#REF!</v>
      </c>
      <c r="AC974">
        <v>967</v>
      </c>
      <c r="AD974" s="6">
        <f t="shared" ca="1" si="267"/>
        <v>23346</v>
      </c>
      <c r="AE974" s="7" t="e">
        <f t="shared" ca="1" si="273"/>
        <v>#REF!</v>
      </c>
      <c r="AF974" s="125" t="e">
        <f t="shared" ca="1" si="274"/>
        <v>#REF!</v>
      </c>
      <c r="AG974" s="125" t="e">
        <f t="shared" ca="1" si="268"/>
        <v>#REF!</v>
      </c>
      <c r="AH974" s="128" t="e">
        <f t="shared" ca="1" si="275"/>
        <v>#REF!</v>
      </c>
    </row>
    <row r="975" spans="4:34">
      <c r="D975">
        <v>968</v>
      </c>
      <c r="E975" s="6">
        <f t="shared" ca="1" si="260"/>
        <v>23316</v>
      </c>
      <c r="F975" s="7">
        <f t="shared" ca="1" si="269"/>
        <v>0</v>
      </c>
      <c r="G975" s="125">
        <f t="shared" ca="1" si="261"/>
        <v>0</v>
      </c>
      <c r="H975" s="125">
        <f ca="1">IF(F975=1,F975*$B$10/MIN(12,'Simulador - 3º Pilar'!$E$88),0)</f>
        <v>0</v>
      </c>
      <c r="I975" s="128">
        <f t="shared" ca="1" si="262"/>
        <v>0</v>
      </c>
      <c r="J975" s="494">
        <f t="shared" ca="1" si="263"/>
        <v>0</v>
      </c>
      <c r="K975" s="126">
        <f t="shared" ca="1" si="264"/>
        <v>0</v>
      </c>
      <c r="L975" s="126">
        <f t="shared" ca="1" si="259"/>
        <v>0</v>
      </c>
      <c r="P975">
        <v>968</v>
      </c>
      <c r="Q975" s="6">
        <f t="shared" ca="1" si="265"/>
        <v>23316</v>
      </c>
      <c r="R975" s="7" t="e">
        <f t="shared" ca="1" si="270"/>
        <v>#REF!</v>
      </c>
      <c r="S975" s="125" t="e">
        <f t="shared" ca="1" si="271"/>
        <v>#REF!</v>
      </c>
      <c r="T975" s="125" t="e">
        <f t="shared" ca="1" si="266"/>
        <v>#REF!</v>
      </c>
      <c r="U975" s="128" t="e">
        <f t="shared" ca="1" si="272"/>
        <v>#REF!</v>
      </c>
      <c r="AC975">
        <v>968</v>
      </c>
      <c r="AD975" s="6">
        <f t="shared" ca="1" si="267"/>
        <v>23316</v>
      </c>
      <c r="AE975" s="7" t="e">
        <f t="shared" ca="1" si="273"/>
        <v>#REF!</v>
      </c>
      <c r="AF975" s="125" t="e">
        <f t="shared" ca="1" si="274"/>
        <v>#REF!</v>
      </c>
      <c r="AG975" s="125" t="e">
        <f t="shared" ca="1" si="268"/>
        <v>#REF!</v>
      </c>
      <c r="AH975" s="128" t="e">
        <f t="shared" ca="1" si="275"/>
        <v>#REF!</v>
      </c>
    </row>
    <row r="976" spans="4:34">
      <c r="D976">
        <v>969</v>
      </c>
      <c r="E976" s="6">
        <f t="shared" ca="1" si="260"/>
        <v>23285</v>
      </c>
      <c r="F976" s="7">
        <f t="shared" ca="1" si="269"/>
        <v>0</v>
      </c>
      <c r="G976" s="125">
        <f t="shared" ca="1" si="261"/>
        <v>0</v>
      </c>
      <c r="H976" s="125">
        <f ca="1">IF(F976=1,F976*$B$10/MIN(12,'Simulador - 3º Pilar'!$E$88),0)</f>
        <v>0</v>
      </c>
      <c r="I976" s="128">
        <f t="shared" ca="1" si="262"/>
        <v>0</v>
      </c>
      <c r="J976" s="494">
        <f t="shared" ca="1" si="263"/>
        <v>0</v>
      </c>
      <c r="K976" s="126">
        <f t="shared" ca="1" si="264"/>
        <v>0</v>
      </c>
      <c r="L976" s="126">
        <f t="shared" ca="1" si="259"/>
        <v>0</v>
      </c>
      <c r="P976">
        <v>969</v>
      </c>
      <c r="Q976" s="6">
        <f t="shared" ca="1" si="265"/>
        <v>23285</v>
      </c>
      <c r="R976" s="7" t="e">
        <f t="shared" ca="1" si="270"/>
        <v>#REF!</v>
      </c>
      <c r="S976" s="125" t="e">
        <f t="shared" ca="1" si="271"/>
        <v>#REF!</v>
      </c>
      <c r="T976" s="125" t="e">
        <f t="shared" ca="1" si="266"/>
        <v>#REF!</v>
      </c>
      <c r="U976" s="128" t="e">
        <f t="shared" ca="1" si="272"/>
        <v>#REF!</v>
      </c>
      <c r="AC976">
        <v>969</v>
      </c>
      <c r="AD976" s="6">
        <f t="shared" ca="1" si="267"/>
        <v>23285</v>
      </c>
      <c r="AE976" s="7" t="e">
        <f t="shared" ca="1" si="273"/>
        <v>#REF!</v>
      </c>
      <c r="AF976" s="125" t="e">
        <f t="shared" ca="1" si="274"/>
        <v>#REF!</v>
      </c>
      <c r="AG976" s="125" t="e">
        <f t="shared" ca="1" si="268"/>
        <v>#REF!</v>
      </c>
      <c r="AH976" s="128" t="e">
        <f t="shared" ca="1" si="275"/>
        <v>#REF!</v>
      </c>
    </row>
    <row r="977" spans="4:34">
      <c r="D977">
        <v>970</v>
      </c>
      <c r="E977" s="6">
        <f t="shared" ca="1" si="260"/>
        <v>23255</v>
      </c>
      <c r="F977" s="7">
        <f t="shared" ca="1" si="269"/>
        <v>0</v>
      </c>
      <c r="G977" s="125">
        <f t="shared" ca="1" si="261"/>
        <v>0</v>
      </c>
      <c r="H977" s="125">
        <f ca="1">IF(F977=1,F977*$B$10/MIN(12,'Simulador - 3º Pilar'!$E$88),0)</f>
        <v>0</v>
      </c>
      <c r="I977" s="128">
        <f t="shared" ca="1" si="262"/>
        <v>0</v>
      </c>
      <c r="J977" s="494">
        <f t="shared" ca="1" si="263"/>
        <v>0</v>
      </c>
      <c r="K977" s="126">
        <f t="shared" ca="1" si="264"/>
        <v>0</v>
      </c>
      <c r="L977" s="126">
        <f t="shared" ca="1" si="259"/>
        <v>0</v>
      </c>
      <c r="P977">
        <v>970</v>
      </c>
      <c r="Q977" s="6">
        <f t="shared" ca="1" si="265"/>
        <v>23255</v>
      </c>
      <c r="R977" s="7" t="e">
        <f t="shared" ca="1" si="270"/>
        <v>#REF!</v>
      </c>
      <c r="S977" s="125" t="e">
        <f t="shared" ca="1" si="271"/>
        <v>#REF!</v>
      </c>
      <c r="T977" s="125" t="e">
        <f t="shared" ca="1" si="266"/>
        <v>#REF!</v>
      </c>
      <c r="U977" s="128" t="e">
        <f t="shared" ca="1" si="272"/>
        <v>#REF!</v>
      </c>
      <c r="AC977">
        <v>970</v>
      </c>
      <c r="AD977" s="6">
        <f t="shared" ca="1" si="267"/>
        <v>23255</v>
      </c>
      <c r="AE977" s="7" t="e">
        <f t="shared" ca="1" si="273"/>
        <v>#REF!</v>
      </c>
      <c r="AF977" s="125" t="e">
        <f t="shared" ca="1" si="274"/>
        <v>#REF!</v>
      </c>
      <c r="AG977" s="125" t="e">
        <f t="shared" ca="1" si="268"/>
        <v>#REF!</v>
      </c>
      <c r="AH977" s="128" t="e">
        <f t="shared" ca="1" si="275"/>
        <v>#REF!</v>
      </c>
    </row>
    <row r="978" spans="4:34">
      <c r="D978">
        <v>971</v>
      </c>
      <c r="E978" s="6">
        <f t="shared" ca="1" si="260"/>
        <v>23224</v>
      </c>
      <c r="F978" s="7">
        <f t="shared" ca="1" si="269"/>
        <v>0</v>
      </c>
      <c r="G978" s="125">
        <f t="shared" ca="1" si="261"/>
        <v>0</v>
      </c>
      <c r="H978" s="125">
        <f ca="1">IF(F978=1,F978*$B$10/MIN(12,'Simulador - 3º Pilar'!$E$88),0)</f>
        <v>0</v>
      </c>
      <c r="I978" s="128">
        <f t="shared" ca="1" si="262"/>
        <v>0</v>
      </c>
      <c r="J978" s="494">
        <f t="shared" ca="1" si="263"/>
        <v>0</v>
      </c>
      <c r="K978" s="126">
        <f t="shared" ca="1" si="264"/>
        <v>0</v>
      </c>
      <c r="L978" s="126">
        <f t="shared" ca="1" si="259"/>
        <v>0</v>
      </c>
      <c r="P978">
        <v>971</v>
      </c>
      <c r="Q978" s="6">
        <f t="shared" ca="1" si="265"/>
        <v>23224</v>
      </c>
      <c r="R978" s="7" t="e">
        <f t="shared" ca="1" si="270"/>
        <v>#REF!</v>
      </c>
      <c r="S978" s="125" t="e">
        <f t="shared" ca="1" si="271"/>
        <v>#REF!</v>
      </c>
      <c r="T978" s="125" t="e">
        <f t="shared" ca="1" si="266"/>
        <v>#REF!</v>
      </c>
      <c r="U978" s="128" t="e">
        <f t="shared" ca="1" si="272"/>
        <v>#REF!</v>
      </c>
      <c r="AC978">
        <v>971</v>
      </c>
      <c r="AD978" s="6">
        <f t="shared" ca="1" si="267"/>
        <v>23224</v>
      </c>
      <c r="AE978" s="7" t="e">
        <f t="shared" ca="1" si="273"/>
        <v>#REF!</v>
      </c>
      <c r="AF978" s="125" t="e">
        <f t="shared" ca="1" si="274"/>
        <v>#REF!</v>
      </c>
      <c r="AG978" s="125" t="e">
        <f t="shared" ca="1" si="268"/>
        <v>#REF!</v>
      </c>
      <c r="AH978" s="128" t="e">
        <f t="shared" ca="1" si="275"/>
        <v>#REF!</v>
      </c>
    </row>
    <row r="979" spans="4:34">
      <c r="D979">
        <v>972</v>
      </c>
      <c r="E979" s="6">
        <f t="shared" ca="1" si="260"/>
        <v>23193</v>
      </c>
      <c r="F979" s="7">
        <f t="shared" ca="1" si="269"/>
        <v>0</v>
      </c>
      <c r="G979" s="125">
        <f t="shared" ca="1" si="261"/>
        <v>0</v>
      </c>
      <c r="H979" s="125">
        <f ca="1">IF(F979=1,F979*$B$10/MIN(12,'Simulador - 3º Pilar'!$E$88),0)</f>
        <v>0</v>
      </c>
      <c r="I979" s="128">
        <f t="shared" ca="1" si="262"/>
        <v>0</v>
      </c>
      <c r="J979" s="494">
        <f t="shared" ca="1" si="263"/>
        <v>0</v>
      </c>
      <c r="K979" s="126">
        <f t="shared" ca="1" si="264"/>
        <v>0</v>
      </c>
      <c r="L979" s="126">
        <f t="shared" ca="1" si="259"/>
        <v>0</v>
      </c>
      <c r="P979">
        <v>972</v>
      </c>
      <c r="Q979" s="6">
        <f t="shared" ca="1" si="265"/>
        <v>23193</v>
      </c>
      <c r="R979" s="7" t="e">
        <f t="shared" ca="1" si="270"/>
        <v>#REF!</v>
      </c>
      <c r="S979" s="125" t="e">
        <f t="shared" ca="1" si="271"/>
        <v>#REF!</v>
      </c>
      <c r="T979" s="125" t="e">
        <f t="shared" ca="1" si="266"/>
        <v>#REF!</v>
      </c>
      <c r="U979" s="128" t="e">
        <f t="shared" ca="1" si="272"/>
        <v>#REF!</v>
      </c>
      <c r="AC979">
        <v>972</v>
      </c>
      <c r="AD979" s="6">
        <f t="shared" ca="1" si="267"/>
        <v>23193</v>
      </c>
      <c r="AE979" s="7" t="e">
        <f t="shared" ca="1" si="273"/>
        <v>#REF!</v>
      </c>
      <c r="AF979" s="125" t="e">
        <f t="shared" ca="1" si="274"/>
        <v>#REF!</v>
      </c>
      <c r="AG979" s="125" t="e">
        <f t="shared" ca="1" si="268"/>
        <v>#REF!</v>
      </c>
      <c r="AH979" s="128" t="e">
        <f t="shared" ca="1" si="275"/>
        <v>#REF!</v>
      </c>
    </row>
    <row r="980" spans="4:34">
      <c r="D980">
        <v>973</v>
      </c>
      <c r="E980" s="6">
        <f t="shared" ca="1" si="260"/>
        <v>23163</v>
      </c>
      <c r="F980" s="7">
        <f t="shared" ca="1" si="269"/>
        <v>0</v>
      </c>
      <c r="G980" s="125">
        <f t="shared" ca="1" si="261"/>
        <v>0</v>
      </c>
      <c r="H980" s="125">
        <f ca="1">IF(F980=1,F980*$B$10/MIN(12,'Simulador - 3º Pilar'!$E$88),0)</f>
        <v>0</v>
      </c>
      <c r="I980" s="128">
        <f t="shared" ca="1" si="262"/>
        <v>0</v>
      </c>
      <c r="J980" s="494">
        <f t="shared" ca="1" si="263"/>
        <v>0</v>
      </c>
      <c r="K980" s="126">
        <f t="shared" ca="1" si="264"/>
        <v>0</v>
      </c>
      <c r="L980" s="126">
        <f t="shared" ca="1" si="259"/>
        <v>0</v>
      </c>
      <c r="P980">
        <v>973</v>
      </c>
      <c r="Q980" s="6">
        <f t="shared" ca="1" si="265"/>
        <v>23163</v>
      </c>
      <c r="R980" s="7" t="e">
        <f t="shared" ca="1" si="270"/>
        <v>#REF!</v>
      </c>
      <c r="S980" s="125" t="e">
        <f t="shared" ca="1" si="271"/>
        <v>#REF!</v>
      </c>
      <c r="T980" s="125" t="e">
        <f t="shared" ca="1" si="266"/>
        <v>#REF!</v>
      </c>
      <c r="U980" s="128" t="e">
        <f t="shared" ca="1" si="272"/>
        <v>#REF!</v>
      </c>
      <c r="AC980">
        <v>973</v>
      </c>
      <c r="AD980" s="6">
        <f t="shared" ca="1" si="267"/>
        <v>23163</v>
      </c>
      <c r="AE980" s="7" t="e">
        <f t="shared" ca="1" si="273"/>
        <v>#REF!</v>
      </c>
      <c r="AF980" s="125" t="e">
        <f t="shared" ca="1" si="274"/>
        <v>#REF!</v>
      </c>
      <c r="AG980" s="125" t="e">
        <f t="shared" ca="1" si="268"/>
        <v>#REF!</v>
      </c>
      <c r="AH980" s="128" t="e">
        <f t="shared" ca="1" si="275"/>
        <v>#REF!</v>
      </c>
    </row>
    <row r="981" spans="4:34">
      <c r="D981">
        <v>974</v>
      </c>
      <c r="E981" s="6">
        <f t="shared" ca="1" si="260"/>
        <v>23132</v>
      </c>
      <c r="F981" s="7">
        <f t="shared" ca="1" si="269"/>
        <v>0</v>
      </c>
      <c r="G981" s="125">
        <f t="shared" ca="1" si="261"/>
        <v>0</v>
      </c>
      <c r="H981" s="125">
        <f ca="1">IF(F981=1,F981*$B$10/MIN(12,'Simulador - 3º Pilar'!$E$88),0)</f>
        <v>0</v>
      </c>
      <c r="I981" s="128">
        <f t="shared" ca="1" si="262"/>
        <v>0</v>
      </c>
      <c r="J981" s="494">
        <f t="shared" ca="1" si="263"/>
        <v>0</v>
      </c>
      <c r="K981" s="126">
        <f t="shared" ca="1" si="264"/>
        <v>0</v>
      </c>
      <c r="L981" s="126">
        <f t="shared" ca="1" si="259"/>
        <v>0</v>
      </c>
      <c r="P981">
        <v>974</v>
      </c>
      <c r="Q981" s="6">
        <f t="shared" ca="1" si="265"/>
        <v>23132</v>
      </c>
      <c r="R981" s="7" t="e">
        <f t="shared" ca="1" si="270"/>
        <v>#REF!</v>
      </c>
      <c r="S981" s="125" t="e">
        <f t="shared" ca="1" si="271"/>
        <v>#REF!</v>
      </c>
      <c r="T981" s="125" t="e">
        <f t="shared" ca="1" si="266"/>
        <v>#REF!</v>
      </c>
      <c r="U981" s="128" t="e">
        <f t="shared" ca="1" si="272"/>
        <v>#REF!</v>
      </c>
      <c r="AC981">
        <v>974</v>
      </c>
      <c r="AD981" s="6">
        <f t="shared" ca="1" si="267"/>
        <v>23132</v>
      </c>
      <c r="AE981" s="7" t="e">
        <f t="shared" ca="1" si="273"/>
        <v>#REF!</v>
      </c>
      <c r="AF981" s="125" t="e">
        <f t="shared" ca="1" si="274"/>
        <v>#REF!</v>
      </c>
      <c r="AG981" s="125" t="e">
        <f t="shared" ca="1" si="268"/>
        <v>#REF!</v>
      </c>
      <c r="AH981" s="128" t="e">
        <f t="shared" ca="1" si="275"/>
        <v>#REF!</v>
      </c>
    </row>
    <row r="982" spans="4:34">
      <c r="D982">
        <v>975</v>
      </c>
      <c r="E982" s="6">
        <f t="shared" ca="1" si="260"/>
        <v>23102</v>
      </c>
      <c r="F982" s="7">
        <f t="shared" ca="1" si="269"/>
        <v>0</v>
      </c>
      <c r="G982" s="125">
        <f t="shared" ca="1" si="261"/>
        <v>0</v>
      </c>
      <c r="H982" s="125">
        <f ca="1">IF(F982=1,F982*$B$10/MIN(12,'Simulador - 3º Pilar'!$E$88),0)</f>
        <v>0</v>
      </c>
      <c r="I982" s="128">
        <f t="shared" ca="1" si="262"/>
        <v>0</v>
      </c>
      <c r="J982" s="494">
        <f t="shared" ca="1" si="263"/>
        <v>0</v>
      </c>
      <c r="K982" s="126">
        <f t="shared" ca="1" si="264"/>
        <v>0</v>
      </c>
      <c r="L982" s="126">
        <f t="shared" ca="1" si="259"/>
        <v>0</v>
      </c>
      <c r="P982">
        <v>975</v>
      </c>
      <c r="Q982" s="6">
        <f t="shared" ca="1" si="265"/>
        <v>23102</v>
      </c>
      <c r="R982" s="7" t="e">
        <f t="shared" ca="1" si="270"/>
        <v>#REF!</v>
      </c>
      <c r="S982" s="125" t="e">
        <f t="shared" ca="1" si="271"/>
        <v>#REF!</v>
      </c>
      <c r="T982" s="125" t="e">
        <f t="shared" ca="1" si="266"/>
        <v>#REF!</v>
      </c>
      <c r="U982" s="128" t="e">
        <f t="shared" ca="1" si="272"/>
        <v>#REF!</v>
      </c>
      <c r="AC982">
        <v>975</v>
      </c>
      <c r="AD982" s="6">
        <f t="shared" ca="1" si="267"/>
        <v>23102</v>
      </c>
      <c r="AE982" s="7" t="e">
        <f t="shared" ca="1" si="273"/>
        <v>#REF!</v>
      </c>
      <c r="AF982" s="125" t="e">
        <f t="shared" ca="1" si="274"/>
        <v>#REF!</v>
      </c>
      <c r="AG982" s="125" t="e">
        <f t="shared" ca="1" si="268"/>
        <v>#REF!</v>
      </c>
      <c r="AH982" s="128" t="e">
        <f t="shared" ca="1" si="275"/>
        <v>#REF!</v>
      </c>
    </row>
    <row r="983" spans="4:34">
      <c r="D983">
        <v>976</v>
      </c>
      <c r="E983" s="6">
        <f t="shared" ca="1" si="260"/>
        <v>23071</v>
      </c>
      <c r="F983" s="7">
        <f t="shared" ca="1" si="269"/>
        <v>0</v>
      </c>
      <c r="G983" s="125">
        <f t="shared" ca="1" si="261"/>
        <v>0</v>
      </c>
      <c r="H983" s="125">
        <f ca="1">IF(F983=1,F983*$B$10/MIN(12,'Simulador - 3º Pilar'!$E$88),0)</f>
        <v>0</v>
      </c>
      <c r="I983" s="128">
        <f t="shared" ca="1" si="262"/>
        <v>0</v>
      </c>
      <c r="J983" s="494">
        <f t="shared" ca="1" si="263"/>
        <v>0</v>
      </c>
      <c r="K983" s="126">
        <f t="shared" ca="1" si="264"/>
        <v>0</v>
      </c>
      <c r="L983" s="126">
        <f t="shared" ca="1" si="259"/>
        <v>0</v>
      </c>
      <c r="P983">
        <v>976</v>
      </c>
      <c r="Q983" s="6">
        <f t="shared" ca="1" si="265"/>
        <v>23071</v>
      </c>
      <c r="R983" s="7" t="e">
        <f t="shared" ca="1" si="270"/>
        <v>#REF!</v>
      </c>
      <c r="S983" s="125" t="e">
        <f t="shared" ca="1" si="271"/>
        <v>#REF!</v>
      </c>
      <c r="T983" s="125" t="e">
        <f t="shared" ca="1" si="266"/>
        <v>#REF!</v>
      </c>
      <c r="U983" s="128" t="e">
        <f t="shared" ca="1" si="272"/>
        <v>#REF!</v>
      </c>
      <c r="AC983">
        <v>976</v>
      </c>
      <c r="AD983" s="6">
        <f t="shared" ca="1" si="267"/>
        <v>23071</v>
      </c>
      <c r="AE983" s="7" t="e">
        <f t="shared" ca="1" si="273"/>
        <v>#REF!</v>
      </c>
      <c r="AF983" s="125" t="e">
        <f t="shared" ca="1" si="274"/>
        <v>#REF!</v>
      </c>
      <c r="AG983" s="125" t="e">
        <f t="shared" ca="1" si="268"/>
        <v>#REF!</v>
      </c>
      <c r="AH983" s="128" t="e">
        <f t="shared" ca="1" si="275"/>
        <v>#REF!</v>
      </c>
    </row>
    <row r="984" spans="4:34">
      <c r="D984">
        <v>977</v>
      </c>
      <c r="E984" s="6">
        <f t="shared" ca="1" si="260"/>
        <v>23043</v>
      </c>
      <c r="F984" s="7">
        <f t="shared" ca="1" si="269"/>
        <v>0</v>
      </c>
      <c r="G984" s="125">
        <f t="shared" ca="1" si="261"/>
        <v>0</v>
      </c>
      <c r="H984" s="125">
        <f ca="1">IF(F984=1,F984*$B$10/MIN(12,'Simulador - 3º Pilar'!$E$88),0)</f>
        <v>0</v>
      </c>
      <c r="I984" s="128">
        <f t="shared" ca="1" si="262"/>
        <v>0</v>
      </c>
      <c r="J984" s="494">
        <f t="shared" ca="1" si="263"/>
        <v>0</v>
      </c>
      <c r="K984" s="126">
        <f t="shared" ca="1" si="264"/>
        <v>0</v>
      </c>
      <c r="L984" s="126">
        <f t="shared" ca="1" si="259"/>
        <v>0</v>
      </c>
      <c r="P984">
        <v>977</v>
      </c>
      <c r="Q984" s="6">
        <f t="shared" ca="1" si="265"/>
        <v>23043</v>
      </c>
      <c r="R984" s="7" t="e">
        <f t="shared" ca="1" si="270"/>
        <v>#REF!</v>
      </c>
      <c r="S984" s="125" t="e">
        <f t="shared" ca="1" si="271"/>
        <v>#REF!</v>
      </c>
      <c r="T984" s="125" t="e">
        <f t="shared" ca="1" si="266"/>
        <v>#REF!</v>
      </c>
      <c r="U984" s="128" t="e">
        <f t="shared" ca="1" si="272"/>
        <v>#REF!</v>
      </c>
      <c r="AC984">
        <v>977</v>
      </c>
      <c r="AD984" s="6">
        <f t="shared" ca="1" si="267"/>
        <v>23043</v>
      </c>
      <c r="AE984" s="7" t="e">
        <f t="shared" ca="1" si="273"/>
        <v>#REF!</v>
      </c>
      <c r="AF984" s="125" t="e">
        <f t="shared" ca="1" si="274"/>
        <v>#REF!</v>
      </c>
      <c r="AG984" s="125" t="e">
        <f t="shared" ca="1" si="268"/>
        <v>#REF!</v>
      </c>
      <c r="AH984" s="128" t="e">
        <f t="shared" ca="1" si="275"/>
        <v>#REF!</v>
      </c>
    </row>
    <row r="985" spans="4:34">
      <c r="D985">
        <v>978</v>
      </c>
      <c r="E985" s="6">
        <f t="shared" ca="1" si="260"/>
        <v>23012</v>
      </c>
      <c r="F985" s="7">
        <f t="shared" ca="1" si="269"/>
        <v>0</v>
      </c>
      <c r="G985" s="125">
        <f t="shared" ca="1" si="261"/>
        <v>0</v>
      </c>
      <c r="H985" s="125">
        <f ca="1">IF(F985=1,F985*$B$10/MIN(12,'Simulador - 3º Pilar'!$E$88),0)</f>
        <v>0</v>
      </c>
      <c r="I985" s="128">
        <f t="shared" ca="1" si="262"/>
        <v>0</v>
      </c>
      <c r="J985" s="494">
        <f t="shared" ca="1" si="263"/>
        <v>0</v>
      </c>
      <c r="K985" s="126">
        <f t="shared" ca="1" si="264"/>
        <v>0</v>
      </c>
      <c r="L985" s="126">
        <f t="shared" ca="1" si="259"/>
        <v>0</v>
      </c>
      <c r="P985">
        <v>978</v>
      </c>
      <c r="Q985" s="6">
        <f t="shared" ca="1" si="265"/>
        <v>23012</v>
      </c>
      <c r="R985" s="7" t="e">
        <f t="shared" ca="1" si="270"/>
        <v>#REF!</v>
      </c>
      <c r="S985" s="125" t="e">
        <f t="shared" ca="1" si="271"/>
        <v>#REF!</v>
      </c>
      <c r="T985" s="125" t="e">
        <f t="shared" ca="1" si="266"/>
        <v>#REF!</v>
      </c>
      <c r="U985" s="128" t="e">
        <f t="shared" ca="1" si="272"/>
        <v>#REF!</v>
      </c>
      <c r="AC985">
        <v>978</v>
      </c>
      <c r="AD985" s="6">
        <f t="shared" ca="1" si="267"/>
        <v>23012</v>
      </c>
      <c r="AE985" s="7" t="e">
        <f t="shared" ca="1" si="273"/>
        <v>#REF!</v>
      </c>
      <c r="AF985" s="125" t="e">
        <f t="shared" ca="1" si="274"/>
        <v>#REF!</v>
      </c>
      <c r="AG985" s="125" t="e">
        <f t="shared" ca="1" si="268"/>
        <v>#REF!</v>
      </c>
      <c r="AH985" s="128" t="e">
        <f t="shared" ca="1" si="275"/>
        <v>#REF!</v>
      </c>
    </row>
    <row r="986" spans="4:34">
      <c r="D986">
        <v>979</v>
      </c>
      <c r="E986" s="6">
        <f t="shared" ca="1" si="260"/>
        <v>22981</v>
      </c>
      <c r="F986" s="7">
        <f t="shared" ca="1" si="269"/>
        <v>0</v>
      </c>
      <c r="G986" s="125">
        <f t="shared" ca="1" si="261"/>
        <v>0</v>
      </c>
      <c r="H986" s="125">
        <f ca="1">IF(F986=1,F986*$B$10/MIN(12,'Simulador - 3º Pilar'!$E$88),0)</f>
        <v>0</v>
      </c>
      <c r="I986" s="128">
        <f t="shared" ca="1" si="262"/>
        <v>0</v>
      </c>
      <c r="J986" s="494">
        <f t="shared" ca="1" si="263"/>
        <v>0</v>
      </c>
      <c r="K986" s="126">
        <f t="shared" ca="1" si="264"/>
        <v>0</v>
      </c>
      <c r="L986" s="126">
        <f t="shared" ca="1" si="259"/>
        <v>0</v>
      </c>
      <c r="P986">
        <v>979</v>
      </c>
      <c r="Q986" s="6">
        <f t="shared" ca="1" si="265"/>
        <v>22981</v>
      </c>
      <c r="R986" s="7" t="e">
        <f t="shared" ca="1" si="270"/>
        <v>#REF!</v>
      </c>
      <c r="S986" s="125" t="e">
        <f t="shared" ca="1" si="271"/>
        <v>#REF!</v>
      </c>
      <c r="T986" s="125" t="e">
        <f t="shared" ca="1" si="266"/>
        <v>#REF!</v>
      </c>
      <c r="U986" s="128" t="e">
        <f t="shared" ca="1" si="272"/>
        <v>#REF!</v>
      </c>
      <c r="AC986">
        <v>979</v>
      </c>
      <c r="AD986" s="6">
        <f t="shared" ca="1" si="267"/>
        <v>22981</v>
      </c>
      <c r="AE986" s="7" t="e">
        <f t="shared" ca="1" si="273"/>
        <v>#REF!</v>
      </c>
      <c r="AF986" s="125" t="e">
        <f t="shared" ca="1" si="274"/>
        <v>#REF!</v>
      </c>
      <c r="AG986" s="125" t="e">
        <f t="shared" ca="1" si="268"/>
        <v>#REF!</v>
      </c>
      <c r="AH986" s="128" t="e">
        <f t="shared" ca="1" si="275"/>
        <v>#REF!</v>
      </c>
    </row>
    <row r="987" spans="4:34">
      <c r="D987">
        <v>980</v>
      </c>
      <c r="E987" s="6">
        <f t="shared" ca="1" si="260"/>
        <v>22951</v>
      </c>
      <c r="F987" s="7">
        <f t="shared" ca="1" si="269"/>
        <v>0</v>
      </c>
      <c r="G987" s="125">
        <f t="shared" ca="1" si="261"/>
        <v>0</v>
      </c>
      <c r="H987" s="125">
        <f ca="1">IF(F987=1,F987*$B$10/MIN(12,'Simulador - 3º Pilar'!$E$88),0)</f>
        <v>0</v>
      </c>
      <c r="I987" s="128">
        <f t="shared" ca="1" si="262"/>
        <v>0</v>
      </c>
      <c r="J987" s="494">
        <f t="shared" ca="1" si="263"/>
        <v>0</v>
      </c>
      <c r="K987" s="126">
        <f t="shared" ca="1" si="264"/>
        <v>0</v>
      </c>
      <c r="L987" s="126">
        <f t="shared" ca="1" si="259"/>
        <v>0</v>
      </c>
      <c r="P987">
        <v>980</v>
      </c>
      <c r="Q987" s="6">
        <f t="shared" ca="1" si="265"/>
        <v>22951</v>
      </c>
      <c r="R987" s="7" t="e">
        <f t="shared" ca="1" si="270"/>
        <v>#REF!</v>
      </c>
      <c r="S987" s="125" t="e">
        <f t="shared" ca="1" si="271"/>
        <v>#REF!</v>
      </c>
      <c r="T987" s="125" t="e">
        <f t="shared" ca="1" si="266"/>
        <v>#REF!</v>
      </c>
      <c r="U987" s="128" t="e">
        <f t="shared" ca="1" si="272"/>
        <v>#REF!</v>
      </c>
      <c r="AC987">
        <v>980</v>
      </c>
      <c r="AD987" s="6">
        <f t="shared" ca="1" si="267"/>
        <v>22951</v>
      </c>
      <c r="AE987" s="7" t="e">
        <f t="shared" ca="1" si="273"/>
        <v>#REF!</v>
      </c>
      <c r="AF987" s="125" t="e">
        <f t="shared" ca="1" si="274"/>
        <v>#REF!</v>
      </c>
      <c r="AG987" s="125" t="e">
        <f t="shared" ca="1" si="268"/>
        <v>#REF!</v>
      </c>
      <c r="AH987" s="128" t="e">
        <f t="shared" ca="1" si="275"/>
        <v>#REF!</v>
      </c>
    </row>
    <row r="988" spans="4:34">
      <c r="D988">
        <v>981</v>
      </c>
      <c r="E988" s="6">
        <f t="shared" ca="1" si="260"/>
        <v>22920</v>
      </c>
      <c r="F988" s="7">
        <f t="shared" ca="1" si="269"/>
        <v>0</v>
      </c>
      <c r="G988" s="125">
        <f t="shared" ca="1" si="261"/>
        <v>0</v>
      </c>
      <c r="H988" s="125">
        <f ca="1">IF(F988=1,F988*$B$10/MIN(12,'Simulador - 3º Pilar'!$E$88),0)</f>
        <v>0</v>
      </c>
      <c r="I988" s="128">
        <f t="shared" ca="1" si="262"/>
        <v>0</v>
      </c>
      <c r="J988" s="494">
        <f t="shared" ca="1" si="263"/>
        <v>0</v>
      </c>
      <c r="K988" s="126">
        <f t="shared" ca="1" si="264"/>
        <v>0</v>
      </c>
      <c r="L988" s="126">
        <f t="shared" ca="1" si="259"/>
        <v>0</v>
      </c>
      <c r="P988">
        <v>981</v>
      </c>
      <c r="Q988" s="6">
        <f t="shared" ca="1" si="265"/>
        <v>22920</v>
      </c>
      <c r="R988" s="7" t="e">
        <f t="shared" ca="1" si="270"/>
        <v>#REF!</v>
      </c>
      <c r="S988" s="125" t="e">
        <f t="shared" ca="1" si="271"/>
        <v>#REF!</v>
      </c>
      <c r="T988" s="125" t="e">
        <f t="shared" ca="1" si="266"/>
        <v>#REF!</v>
      </c>
      <c r="U988" s="128" t="e">
        <f t="shared" ca="1" si="272"/>
        <v>#REF!</v>
      </c>
      <c r="AC988">
        <v>981</v>
      </c>
      <c r="AD988" s="6">
        <f t="shared" ca="1" si="267"/>
        <v>22920</v>
      </c>
      <c r="AE988" s="7" t="e">
        <f t="shared" ca="1" si="273"/>
        <v>#REF!</v>
      </c>
      <c r="AF988" s="125" t="e">
        <f t="shared" ca="1" si="274"/>
        <v>#REF!</v>
      </c>
      <c r="AG988" s="125" t="e">
        <f t="shared" ca="1" si="268"/>
        <v>#REF!</v>
      </c>
      <c r="AH988" s="128" t="e">
        <f t="shared" ca="1" si="275"/>
        <v>#REF!</v>
      </c>
    </row>
    <row r="989" spans="4:34">
      <c r="D989">
        <v>982</v>
      </c>
      <c r="E989" s="6">
        <f t="shared" ca="1" si="260"/>
        <v>22890</v>
      </c>
      <c r="F989" s="7">
        <f t="shared" ca="1" si="269"/>
        <v>0</v>
      </c>
      <c r="G989" s="125">
        <f t="shared" ca="1" si="261"/>
        <v>0</v>
      </c>
      <c r="H989" s="125">
        <f ca="1">IF(F989=1,F989*$B$10/MIN(12,'Simulador - 3º Pilar'!$E$88),0)</f>
        <v>0</v>
      </c>
      <c r="I989" s="128">
        <f t="shared" ca="1" si="262"/>
        <v>0</v>
      </c>
      <c r="J989" s="494">
        <f t="shared" ca="1" si="263"/>
        <v>0</v>
      </c>
      <c r="K989" s="126">
        <f t="shared" ca="1" si="264"/>
        <v>0</v>
      </c>
      <c r="L989" s="126">
        <f t="shared" ca="1" si="259"/>
        <v>0</v>
      </c>
      <c r="P989">
        <v>982</v>
      </c>
      <c r="Q989" s="6">
        <f t="shared" ca="1" si="265"/>
        <v>22890</v>
      </c>
      <c r="R989" s="7" t="e">
        <f t="shared" ca="1" si="270"/>
        <v>#REF!</v>
      </c>
      <c r="S989" s="125" t="e">
        <f t="shared" ca="1" si="271"/>
        <v>#REF!</v>
      </c>
      <c r="T989" s="125" t="e">
        <f t="shared" ca="1" si="266"/>
        <v>#REF!</v>
      </c>
      <c r="U989" s="128" t="e">
        <f t="shared" ca="1" si="272"/>
        <v>#REF!</v>
      </c>
      <c r="AC989">
        <v>982</v>
      </c>
      <c r="AD989" s="6">
        <f t="shared" ca="1" si="267"/>
        <v>22890</v>
      </c>
      <c r="AE989" s="7" t="e">
        <f t="shared" ca="1" si="273"/>
        <v>#REF!</v>
      </c>
      <c r="AF989" s="125" t="e">
        <f t="shared" ca="1" si="274"/>
        <v>#REF!</v>
      </c>
      <c r="AG989" s="125" t="e">
        <f t="shared" ca="1" si="268"/>
        <v>#REF!</v>
      </c>
      <c r="AH989" s="128" t="e">
        <f t="shared" ca="1" si="275"/>
        <v>#REF!</v>
      </c>
    </row>
    <row r="990" spans="4:34">
      <c r="D990">
        <v>983</v>
      </c>
      <c r="E990" s="6">
        <f t="shared" ca="1" si="260"/>
        <v>22859</v>
      </c>
      <c r="F990" s="7">
        <f t="shared" ca="1" si="269"/>
        <v>0</v>
      </c>
      <c r="G990" s="125">
        <f t="shared" ca="1" si="261"/>
        <v>0</v>
      </c>
      <c r="H990" s="125">
        <f ca="1">IF(F990=1,F990*$B$10/MIN(12,'Simulador - 3º Pilar'!$E$88),0)</f>
        <v>0</v>
      </c>
      <c r="I990" s="128">
        <f t="shared" ca="1" si="262"/>
        <v>0</v>
      </c>
      <c r="J990" s="494">
        <f t="shared" ca="1" si="263"/>
        <v>0</v>
      </c>
      <c r="K990" s="126">
        <f t="shared" ca="1" si="264"/>
        <v>0</v>
      </c>
      <c r="L990" s="126">
        <f t="shared" ca="1" si="259"/>
        <v>0</v>
      </c>
      <c r="P990">
        <v>983</v>
      </c>
      <c r="Q990" s="6">
        <f t="shared" ca="1" si="265"/>
        <v>22859</v>
      </c>
      <c r="R990" s="7" t="e">
        <f t="shared" ca="1" si="270"/>
        <v>#REF!</v>
      </c>
      <c r="S990" s="125" t="e">
        <f t="shared" ca="1" si="271"/>
        <v>#REF!</v>
      </c>
      <c r="T990" s="125" t="e">
        <f t="shared" ca="1" si="266"/>
        <v>#REF!</v>
      </c>
      <c r="U990" s="128" t="e">
        <f t="shared" ca="1" si="272"/>
        <v>#REF!</v>
      </c>
      <c r="AC990">
        <v>983</v>
      </c>
      <c r="AD990" s="6">
        <f t="shared" ca="1" si="267"/>
        <v>22859</v>
      </c>
      <c r="AE990" s="7" t="e">
        <f t="shared" ca="1" si="273"/>
        <v>#REF!</v>
      </c>
      <c r="AF990" s="125" t="e">
        <f t="shared" ca="1" si="274"/>
        <v>#REF!</v>
      </c>
      <c r="AG990" s="125" t="e">
        <f t="shared" ca="1" si="268"/>
        <v>#REF!</v>
      </c>
      <c r="AH990" s="128" t="e">
        <f t="shared" ca="1" si="275"/>
        <v>#REF!</v>
      </c>
    </row>
    <row r="991" spans="4:34">
      <c r="D991">
        <v>984</v>
      </c>
      <c r="E991" s="6">
        <f t="shared" ca="1" si="260"/>
        <v>22828</v>
      </c>
      <c r="F991" s="7">
        <f t="shared" ca="1" si="269"/>
        <v>0</v>
      </c>
      <c r="G991" s="125">
        <f t="shared" ca="1" si="261"/>
        <v>0</v>
      </c>
      <c r="H991" s="125">
        <f ca="1">IF(F991=1,F991*$B$10/MIN(12,'Simulador - 3º Pilar'!$E$88),0)</f>
        <v>0</v>
      </c>
      <c r="I991" s="128">
        <f t="shared" ca="1" si="262"/>
        <v>0</v>
      </c>
      <c r="J991" s="494">
        <f t="shared" ca="1" si="263"/>
        <v>0</v>
      </c>
      <c r="K991" s="126">
        <f t="shared" ca="1" si="264"/>
        <v>0</v>
      </c>
      <c r="L991" s="126">
        <f t="shared" ca="1" si="259"/>
        <v>0</v>
      </c>
      <c r="P991">
        <v>984</v>
      </c>
      <c r="Q991" s="6">
        <f t="shared" ca="1" si="265"/>
        <v>22828</v>
      </c>
      <c r="R991" s="7" t="e">
        <f t="shared" ca="1" si="270"/>
        <v>#REF!</v>
      </c>
      <c r="S991" s="125" t="e">
        <f t="shared" ca="1" si="271"/>
        <v>#REF!</v>
      </c>
      <c r="T991" s="125" t="e">
        <f t="shared" ca="1" si="266"/>
        <v>#REF!</v>
      </c>
      <c r="U991" s="128" t="e">
        <f t="shared" ca="1" si="272"/>
        <v>#REF!</v>
      </c>
      <c r="AC991">
        <v>984</v>
      </c>
      <c r="AD991" s="6">
        <f t="shared" ca="1" si="267"/>
        <v>22828</v>
      </c>
      <c r="AE991" s="7" t="e">
        <f t="shared" ca="1" si="273"/>
        <v>#REF!</v>
      </c>
      <c r="AF991" s="125" t="e">
        <f t="shared" ca="1" si="274"/>
        <v>#REF!</v>
      </c>
      <c r="AG991" s="125" t="e">
        <f t="shared" ca="1" si="268"/>
        <v>#REF!</v>
      </c>
      <c r="AH991" s="128" t="e">
        <f t="shared" ca="1" si="275"/>
        <v>#REF!</v>
      </c>
    </row>
    <row r="992" spans="4:34">
      <c r="D992">
        <v>985</v>
      </c>
      <c r="E992" s="6">
        <f t="shared" ca="1" si="260"/>
        <v>22798</v>
      </c>
      <c r="F992" s="7">
        <f t="shared" ca="1" si="269"/>
        <v>0</v>
      </c>
      <c r="G992" s="125">
        <f t="shared" ca="1" si="261"/>
        <v>0</v>
      </c>
      <c r="H992" s="125">
        <f ca="1">IF(F992=1,F992*$B$10/MIN(12,'Simulador - 3º Pilar'!$E$88),0)</f>
        <v>0</v>
      </c>
      <c r="I992" s="128">
        <f t="shared" ca="1" si="262"/>
        <v>0</v>
      </c>
      <c r="J992" s="494">
        <f t="shared" ca="1" si="263"/>
        <v>0</v>
      </c>
      <c r="K992" s="126">
        <f t="shared" ca="1" si="264"/>
        <v>0</v>
      </c>
      <c r="L992" s="126">
        <f t="shared" ca="1" si="259"/>
        <v>0</v>
      </c>
      <c r="P992">
        <v>985</v>
      </c>
      <c r="Q992" s="6">
        <f t="shared" ca="1" si="265"/>
        <v>22798</v>
      </c>
      <c r="R992" s="7" t="e">
        <f t="shared" ca="1" si="270"/>
        <v>#REF!</v>
      </c>
      <c r="S992" s="125" t="e">
        <f t="shared" ca="1" si="271"/>
        <v>#REF!</v>
      </c>
      <c r="T992" s="125" t="e">
        <f t="shared" ca="1" si="266"/>
        <v>#REF!</v>
      </c>
      <c r="U992" s="128" t="e">
        <f t="shared" ca="1" si="272"/>
        <v>#REF!</v>
      </c>
      <c r="AC992">
        <v>985</v>
      </c>
      <c r="AD992" s="6">
        <f t="shared" ca="1" si="267"/>
        <v>22798</v>
      </c>
      <c r="AE992" s="7" t="e">
        <f t="shared" ca="1" si="273"/>
        <v>#REF!</v>
      </c>
      <c r="AF992" s="125" t="e">
        <f t="shared" ca="1" si="274"/>
        <v>#REF!</v>
      </c>
      <c r="AG992" s="125" t="e">
        <f t="shared" ca="1" si="268"/>
        <v>#REF!</v>
      </c>
      <c r="AH992" s="128" t="e">
        <f t="shared" ca="1" si="275"/>
        <v>#REF!</v>
      </c>
    </row>
    <row r="993" spans="4:34">
      <c r="D993">
        <v>986</v>
      </c>
      <c r="E993" s="6">
        <f t="shared" ca="1" si="260"/>
        <v>22767</v>
      </c>
      <c r="F993" s="7">
        <f t="shared" ca="1" si="269"/>
        <v>0</v>
      </c>
      <c r="G993" s="125">
        <f t="shared" ca="1" si="261"/>
        <v>0</v>
      </c>
      <c r="H993" s="125">
        <f ca="1">IF(F993=1,F993*$B$10/MIN(12,'Simulador - 3º Pilar'!$E$88),0)</f>
        <v>0</v>
      </c>
      <c r="I993" s="128">
        <f t="shared" ca="1" si="262"/>
        <v>0</v>
      </c>
      <c r="J993" s="494">
        <f t="shared" ca="1" si="263"/>
        <v>0</v>
      </c>
      <c r="K993" s="126">
        <f t="shared" ca="1" si="264"/>
        <v>0</v>
      </c>
      <c r="L993" s="126">
        <f t="shared" ref="L993:L1056" ca="1" si="276">(1+$G$5)^(D993/12)*(IF((E993)&gt;($B$6),H993,0)+IF(E993=$N$7,$N$4,0)+IF(E993=$C$6,0,0))</f>
        <v>0</v>
      </c>
      <c r="P993">
        <v>986</v>
      </c>
      <c r="Q993" s="6">
        <f t="shared" ca="1" si="265"/>
        <v>22767</v>
      </c>
      <c r="R993" s="7" t="e">
        <f t="shared" ca="1" si="270"/>
        <v>#REF!</v>
      </c>
      <c r="S993" s="125" t="e">
        <f t="shared" ca="1" si="271"/>
        <v>#REF!</v>
      </c>
      <c r="T993" s="125" t="e">
        <f t="shared" ca="1" si="266"/>
        <v>#REF!</v>
      </c>
      <c r="U993" s="128" t="e">
        <f t="shared" ca="1" si="272"/>
        <v>#REF!</v>
      </c>
      <c r="AC993">
        <v>986</v>
      </c>
      <c r="AD993" s="6">
        <f t="shared" ca="1" si="267"/>
        <v>22767</v>
      </c>
      <c r="AE993" s="7" t="e">
        <f t="shared" ca="1" si="273"/>
        <v>#REF!</v>
      </c>
      <c r="AF993" s="125" t="e">
        <f t="shared" ca="1" si="274"/>
        <v>#REF!</v>
      </c>
      <c r="AG993" s="125" t="e">
        <f t="shared" ca="1" si="268"/>
        <v>#REF!</v>
      </c>
      <c r="AH993" s="128" t="e">
        <f t="shared" ca="1" si="275"/>
        <v>#REF!</v>
      </c>
    </row>
    <row r="994" spans="4:34">
      <c r="D994">
        <v>987</v>
      </c>
      <c r="E994" s="6">
        <f t="shared" ca="1" si="260"/>
        <v>22737</v>
      </c>
      <c r="F994" s="7">
        <f t="shared" ca="1" si="269"/>
        <v>0</v>
      </c>
      <c r="G994" s="125">
        <f t="shared" ca="1" si="261"/>
        <v>0</v>
      </c>
      <c r="H994" s="125">
        <f ca="1">IF(F994=1,F994*$B$10/MIN(12,'Simulador - 3º Pilar'!$E$88),0)</f>
        <v>0</v>
      </c>
      <c r="I994" s="128">
        <f t="shared" ca="1" si="262"/>
        <v>0</v>
      </c>
      <c r="J994" s="494">
        <f t="shared" ca="1" si="263"/>
        <v>0</v>
      </c>
      <c r="K994" s="126">
        <f t="shared" ca="1" si="264"/>
        <v>0</v>
      </c>
      <c r="L994" s="126">
        <f t="shared" ca="1" si="276"/>
        <v>0</v>
      </c>
      <c r="P994">
        <v>987</v>
      </c>
      <c r="Q994" s="6">
        <f t="shared" ca="1" si="265"/>
        <v>22737</v>
      </c>
      <c r="R994" s="7" t="e">
        <f t="shared" ca="1" si="270"/>
        <v>#REF!</v>
      </c>
      <c r="S994" s="125" t="e">
        <f t="shared" ca="1" si="271"/>
        <v>#REF!</v>
      </c>
      <c r="T994" s="125" t="e">
        <f t="shared" ca="1" si="266"/>
        <v>#REF!</v>
      </c>
      <c r="U994" s="128" t="e">
        <f t="shared" ca="1" si="272"/>
        <v>#REF!</v>
      </c>
      <c r="AC994">
        <v>987</v>
      </c>
      <c r="AD994" s="6">
        <f t="shared" ca="1" si="267"/>
        <v>22737</v>
      </c>
      <c r="AE994" s="7" t="e">
        <f t="shared" ca="1" si="273"/>
        <v>#REF!</v>
      </c>
      <c r="AF994" s="125" t="e">
        <f t="shared" ca="1" si="274"/>
        <v>#REF!</v>
      </c>
      <c r="AG994" s="125" t="e">
        <f t="shared" ca="1" si="268"/>
        <v>#REF!</v>
      </c>
      <c r="AH994" s="128" t="e">
        <f t="shared" ca="1" si="275"/>
        <v>#REF!</v>
      </c>
    </row>
    <row r="995" spans="4:34">
      <c r="D995">
        <v>988</v>
      </c>
      <c r="E995" s="6">
        <f t="shared" ca="1" si="260"/>
        <v>22706</v>
      </c>
      <c r="F995" s="7">
        <f t="shared" ca="1" si="269"/>
        <v>0</v>
      </c>
      <c r="G995" s="125">
        <f t="shared" ca="1" si="261"/>
        <v>0</v>
      </c>
      <c r="H995" s="125">
        <f ca="1">IF(F995=1,F995*$B$10/MIN(12,'Simulador - 3º Pilar'!$E$88),0)</f>
        <v>0</v>
      </c>
      <c r="I995" s="128">
        <f t="shared" ca="1" si="262"/>
        <v>0</v>
      </c>
      <c r="J995" s="494">
        <f t="shared" ca="1" si="263"/>
        <v>0</v>
      </c>
      <c r="K995" s="126">
        <f t="shared" ca="1" si="264"/>
        <v>0</v>
      </c>
      <c r="L995" s="126">
        <f t="shared" ca="1" si="276"/>
        <v>0</v>
      </c>
      <c r="P995">
        <v>988</v>
      </c>
      <c r="Q995" s="6">
        <f t="shared" ca="1" si="265"/>
        <v>22706</v>
      </c>
      <c r="R995" s="7" t="e">
        <f t="shared" ca="1" si="270"/>
        <v>#REF!</v>
      </c>
      <c r="S995" s="125" t="e">
        <f t="shared" ca="1" si="271"/>
        <v>#REF!</v>
      </c>
      <c r="T995" s="125" t="e">
        <f t="shared" ca="1" si="266"/>
        <v>#REF!</v>
      </c>
      <c r="U995" s="128" t="e">
        <f t="shared" ca="1" si="272"/>
        <v>#REF!</v>
      </c>
      <c r="AC995">
        <v>988</v>
      </c>
      <c r="AD995" s="6">
        <f t="shared" ca="1" si="267"/>
        <v>22706</v>
      </c>
      <c r="AE995" s="7" t="e">
        <f t="shared" ca="1" si="273"/>
        <v>#REF!</v>
      </c>
      <c r="AF995" s="125" t="e">
        <f t="shared" ca="1" si="274"/>
        <v>#REF!</v>
      </c>
      <c r="AG995" s="125" t="e">
        <f t="shared" ca="1" si="268"/>
        <v>#REF!</v>
      </c>
      <c r="AH995" s="128" t="e">
        <f t="shared" ca="1" si="275"/>
        <v>#REF!</v>
      </c>
    </row>
    <row r="996" spans="4:34">
      <c r="D996">
        <v>989</v>
      </c>
      <c r="E996" s="6">
        <f t="shared" ca="1" si="260"/>
        <v>22678</v>
      </c>
      <c r="F996" s="7">
        <f t="shared" ca="1" si="269"/>
        <v>0</v>
      </c>
      <c r="G996" s="125">
        <f t="shared" ca="1" si="261"/>
        <v>0</v>
      </c>
      <c r="H996" s="125">
        <f ca="1">IF(F996=1,F996*$B$10/MIN(12,'Simulador - 3º Pilar'!$E$88),0)</f>
        <v>0</v>
      </c>
      <c r="I996" s="128">
        <f t="shared" ca="1" si="262"/>
        <v>0</v>
      </c>
      <c r="J996" s="494">
        <f t="shared" ca="1" si="263"/>
        <v>0</v>
      </c>
      <c r="K996" s="126">
        <f t="shared" ca="1" si="264"/>
        <v>0</v>
      </c>
      <c r="L996" s="126">
        <f t="shared" ca="1" si="276"/>
        <v>0</v>
      </c>
      <c r="P996">
        <v>989</v>
      </c>
      <c r="Q996" s="6">
        <f t="shared" ca="1" si="265"/>
        <v>22678</v>
      </c>
      <c r="R996" s="7" t="e">
        <f t="shared" ca="1" si="270"/>
        <v>#REF!</v>
      </c>
      <c r="S996" s="125" t="e">
        <f t="shared" ca="1" si="271"/>
        <v>#REF!</v>
      </c>
      <c r="T996" s="125" t="e">
        <f t="shared" ca="1" si="266"/>
        <v>#REF!</v>
      </c>
      <c r="U996" s="128" t="e">
        <f t="shared" ca="1" si="272"/>
        <v>#REF!</v>
      </c>
      <c r="AC996">
        <v>989</v>
      </c>
      <c r="AD996" s="6">
        <f t="shared" ca="1" si="267"/>
        <v>22678</v>
      </c>
      <c r="AE996" s="7" t="e">
        <f t="shared" ca="1" si="273"/>
        <v>#REF!</v>
      </c>
      <c r="AF996" s="125" t="e">
        <f t="shared" ca="1" si="274"/>
        <v>#REF!</v>
      </c>
      <c r="AG996" s="125" t="e">
        <f t="shared" ca="1" si="268"/>
        <v>#REF!</v>
      </c>
      <c r="AH996" s="128" t="e">
        <f t="shared" ca="1" si="275"/>
        <v>#REF!</v>
      </c>
    </row>
    <row r="997" spans="4:34">
      <c r="D997">
        <v>990</v>
      </c>
      <c r="E997" s="6">
        <f t="shared" ca="1" si="260"/>
        <v>22647</v>
      </c>
      <c r="F997" s="7">
        <f t="shared" ca="1" si="269"/>
        <v>0</v>
      </c>
      <c r="G997" s="125">
        <f t="shared" ca="1" si="261"/>
        <v>0</v>
      </c>
      <c r="H997" s="125">
        <f ca="1">IF(F997=1,F997*$B$10/MIN(12,'Simulador - 3º Pilar'!$E$88),0)</f>
        <v>0</v>
      </c>
      <c r="I997" s="128">
        <f t="shared" ca="1" si="262"/>
        <v>0</v>
      </c>
      <c r="J997" s="494">
        <f t="shared" ca="1" si="263"/>
        <v>0</v>
      </c>
      <c r="K997" s="126">
        <f t="shared" ca="1" si="264"/>
        <v>0</v>
      </c>
      <c r="L997" s="126">
        <f t="shared" ca="1" si="276"/>
        <v>0</v>
      </c>
      <c r="P997">
        <v>990</v>
      </c>
      <c r="Q997" s="6">
        <f t="shared" ca="1" si="265"/>
        <v>22647</v>
      </c>
      <c r="R997" s="7" t="e">
        <f t="shared" ca="1" si="270"/>
        <v>#REF!</v>
      </c>
      <c r="S997" s="125" t="e">
        <f t="shared" ca="1" si="271"/>
        <v>#REF!</v>
      </c>
      <c r="T997" s="125" t="e">
        <f t="shared" ca="1" si="266"/>
        <v>#REF!</v>
      </c>
      <c r="U997" s="128" t="e">
        <f t="shared" ca="1" si="272"/>
        <v>#REF!</v>
      </c>
      <c r="AC997">
        <v>990</v>
      </c>
      <c r="AD997" s="6">
        <f t="shared" ca="1" si="267"/>
        <v>22647</v>
      </c>
      <c r="AE997" s="7" t="e">
        <f t="shared" ca="1" si="273"/>
        <v>#REF!</v>
      </c>
      <c r="AF997" s="125" t="e">
        <f t="shared" ca="1" si="274"/>
        <v>#REF!</v>
      </c>
      <c r="AG997" s="125" t="e">
        <f t="shared" ca="1" si="268"/>
        <v>#REF!</v>
      </c>
      <c r="AH997" s="128" t="e">
        <f t="shared" ca="1" si="275"/>
        <v>#REF!</v>
      </c>
    </row>
    <row r="998" spans="4:34">
      <c r="D998">
        <v>991</v>
      </c>
      <c r="E998" s="6">
        <f t="shared" ca="1" si="260"/>
        <v>22616</v>
      </c>
      <c r="F998" s="7">
        <f t="shared" ca="1" si="269"/>
        <v>0</v>
      </c>
      <c r="G998" s="125">
        <f t="shared" ca="1" si="261"/>
        <v>0</v>
      </c>
      <c r="H998" s="125">
        <f ca="1">IF(F998=1,F998*$B$10/MIN(12,'Simulador - 3º Pilar'!$E$88),0)</f>
        <v>0</v>
      </c>
      <c r="I998" s="128">
        <f t="shared" ca="1" si="262"/>
        <v>0</v>
      </c>
      <c r="J998" s="494">
        <f t="shared" ca="1" si="263"/>
        <v>0</v>
      </c>
      <c r="K998" s="126">
        <f t="shared" ca="1" si="264"/>
        <v>0</v>
      </c>
      <c r="L998" s="126">
        <f t="shared" ca="1" si="276"/>
        <v>0</v>
      </c>
      <c r="P998">
        <v>991</v>
      </c>
      <c r="Q998" s="6">
        <f t="shared" ca="1" si="265"/>
        <v>22616</v>
      </c>
      <c r="R998" s="7" t="e">
        <f t="shared" ca="1" si="270"/>
        <v>#REF!</v>
      </c>
      <c r="S998" s="125" t="e">
        <f t="shared" ca="1" si="271"/>
        <v>#REF!</v>
      </c>
      <c r="T998" s="125" t="e">
        <f t="shared" ca="1" si="266"/>
        <v>#REF!</v>
      </c>
      <c r="U998" s="128" t="e">
        <f t="shared" ca="1" si="272"/>
        <v>#REF!</v>
      </c>
      <c r="AC998">
        <v>991</v>
      </c>
      <c r="AD998" s="6">
        <f t="shared" ca="1" si="267"/>
        <v>22616</v>
      </c>
      <c r="AE998" s="7" t="e">
        <f t="shared" ca="1" si="273"/>
        <v>#REF!</v>
      </c>
      <c r="AF998" s="125" t="e">
        <f t="shared" ca="1" si="274"/>
        <v>#REF!</v>
      </c>
      <c r="AG998" s="125" t="e">
        <f t="shared" ca="1" si="268"/>
        <v>#REF!</v>
      </c>
      <c r="AH998" s="128" t="e">
        <f t="shared" ca="1" si="275"/>
        <v>#REF!</v>
      </c>
    </row>
    <row r="999" spans="4:34">
      <c r="D999">
        <v>992</v>
      </c>
      <c r="E999" s="6">
        <f t="shared" ca="1" si="260"/>
        <v>22586</v>
      </c>
      <c r="F999" s="7">
        <f t="shared" ca="1" si="269"/>
        <v>0</v>
      </c>
      <c r="G999" s="125">
        <f t="shared" ca="1" si="261"/>
        <v>0</v>
      </c>
      <c r="H999" s="125">
        <f ca="1">IF(F999=1,F999*$B$10/MIN(12,'Simulador - 3º Pilar'!$E$88),0)</f>
        <v>0</v>
      </c>
      <c r="I999" s="128">
        <f t="shared" ca="1" si="262"/>
        <v>0</v>
      </c>
      <c r="J999" s="494">
        <f t="shared" ca="1" si="263"/>
        <v>0</v>
      </c>
      <c r="K999" s="126">
        <f t="shared" ca="1" si="264"/>
        <v>0</v>
      </c>
      <c r="L999" s="126">
        <f t="shared" ca="1" si="276"/>
        <v>0</v>
      </c>
      <c r="P999">
        <v>992</v>
      </c>
      <c r="Q999" s="6">
        <f t="shared" ca="1" si="265"/>
        <v>22586</v>
      </c>
      <c r="R999" s="7" t="e">
        <f t="shared" ca="1" si="270"/>
        <v>#REF!</v>
      </c>
      <c r="S999" s="125" t="e">
        <f t="shared" ca="1" si="271"/>
        <v>#REF!</v>
      </c>
      <c r="T999" s="125" t="e">
        <f t="shared" ca="1" si="266"/>
        <v>#REF!</v>
      </c>
      <c r="U999" s="128" t="e">
        <f t="shared" ca="1" si="272"/>
        <v>#REF!</v>
      </c>
      <c r="AC999">
        <v>992</v>
      </c>
      <c r="AD999" s="6">
        <f t="shared" ca="1" si="267"/>
        <v>22586</v>
      </c>
      <c r="AE999" s="7" t="e">
        <f t="shared" ca="1" si="273"/>
        <v>#REF!</v>
      </c>
      <c r="AF999" s="125" t="e">
        <f t="shared" ca="1" si="274"/>
        <v>#REF!</v>
      </c>
      <c r="AG999" s="125" t="e">
        <f t="shared" ca="1" si="268"/>
        <v>#REF!</v>
      </c>
      <c r="AH999" s="128" t="e">
        <f t="shared" ca="1" si="275"/>
        <v>#REF!</v>
      </c>
    </row>
    <row r="1000" spans="4:34">
      <c r="D1000">
        <v>993</v>
      </c>
      <c r="E1000" s="6">
        <f t="shared" ca="1" si="260"/>
        <v>22555</v>
      </c>
      <c r="F1000" s="7">
        <f t="shared" ca="1" si="269"/>
        <v>0</v>
      </c>
      <c r="G1000" s="125">
        <f t="shared" ca="1" si="261"/>
        <v>0</v>
      </c>
      <c r="H1000" s="125">
        <f ca="1">IF(F1000=1,F1000*$B$10/MIN(12,'Simulador - 3º Pilar'!$E$88),0)</f>
        <v>0</v>
      </c>
      <c r="I1000" s="128">
        <f t="shared" ca="1" si="262"/>
        <v>0</v>
      </c>
      <c r="J1000" s="494">
        <f t="shared" ca="1" si="263"/>
        <v>0</v>
      </c>
      <c r="K1000" s="126">
        <f t="shared" ca="1" si="264"/>
        <v>0</v>
      </c>
      <c r="L1000" s="126">
        <f t="shared" ca="1" si="276"/>
        <v>0</v>
      </c>
      <c r="P1000">
        <v>993</v>
      </c>
      <c r="Q1000" s="6">
        <f t="shared" ca="1" si="265"/>
        <v>22555</v>
      </c>
      <c r="R1000" s="7" t="e">
        <f t="shared" ca="1" si="270"/>
        <v>#REF!</v>
      </c>
      <c r="S1000" s="125" t="e">
        <f t="shared" ca="1" si="271"/>
        <v>#REF!</v>
      </c>
      <c r="T1000" s="125" t="e">
        <f t="shared" ca="1" si="266"/>
        <v>#REF!</v>
      </c>
      <c r="U1000" s="128" t="e">
        <f t="shared" ca="1" si="272"/>
        <v>#REF!</v>
      </c>
      <c r="AC1000">
        <v>993</v>
      </c>
      <c r="AD1000" s="6">
        <f t="shared" ca="1" si="267"/>
        <v>22555</v>
      </c>
      <c r="AE1000" s="7" t="e">
        <f t="shared" ca="1" si="273"/>
        <v>#REF!</v>
      </c>
      <c r="AF1000" s="125" t="e">
        <f t="shared" ca="1" si="274"/>
        <v>#REF!</v>
      </c>
      <c r="AG1000" s="125" t="e">
        <f t="shared" ca="1" si="268"/>
        <v>#REF!</v>
      </c>
      <c r="AH1000" s="128" t="e">
        <f t="shared" ca="1" si="275"/>
        <v>#REF!</v>
      </c>
    </row>
    <row r="1001" spans="4:34">
      <c r="D1001">
        <v>994</v>
      </c>
      <c r="E1001" s="6">
        <f t="shared" ca="1" si="260"/>
        <v>22525</v>
      </c>
      <c r="F1001" s="7">
        <f t="shared" ca="1" si="269"/>
        <v>0</v>
      </c>
      <c r="G1001" s="125">
        <f t="shared" ca="1" si="261"/>
        <v>0</v>
      </c>
      <c r="H1001" s="125">
        <f ca="1">IF(F1001=1,F1001*$B$10/MIN(12,'Simulador - 3º Pilar'!$E$88),0)</f>
        <v>0</v>
      </c>
      <c r="I1001" s="128">
        <f t="shared" ca="1" si="262"/>
        <v>0</v>
      </c>
      <c r="J1001" s="494">
        <f t="shared" ca="1" si="263"/>
        <v>0</v>
      </c>
      <c r="K1001" s="126">
        <f t="shared" ca="1" si="264"/>
        <v>0</v>
      </c>
      <c r="L1001" s="126">
        <f t="shared" ca="1" si="276"/>
        <v>0</v>
      </c>
      <c r="P1001">
        <v>994</v>
      </c>
      <c r="Q1001" s="6">
        <f t="shared" ca="1" si="265"/>
        <v>22525</v>
      </c>
      <c r="R1001" s="7" t="e">
        <f t="shared" ca="1" si="270"/>
        <v>#REF!</v>
      </c>
      <c r="S1001" s="125" t="e">
        <f t="shared" ca="1" si="271"/>
        <v>#REF!</v>
      </c>
      <c r="T1001" s="125" t="e">
        <f t="shared" ca="1" si="266"/>
        <v>#REF!</v>
      </c>
      <c r="U1001" s="128" t="e">
        <f t="shared" ca="1" si="272"/>
        <v>#REF!</v>
      </c>
      <c r="AC1001">
        <v>994</v>
      </c>
      <c r="AD1001" s="6">
        <f t="shared" ca="1" si="267"/>
        <v>22525</v>
      </c>
      <c r="AE1001" s="7" t="e">
        <f t="shared" ca="1" si="273"/>
        <v>#REF!</v>
      </c>
      <c r="AF1001" s="125" t="e">
        <f t="shared" ca="1" si="274"/>
        <v>#REF!</v>
      </c>
      <c r="AG1001" s="125" t="e">
        <f t="shared" ca="1" si="268"/>
        <v>#REF!</v>
      </c>
      <c r="AH1001" s="128" t="e">
        <f t="shared" ca="1" si="275"/>
        <v>#REF!</v>
      </c>
    </row>
    <row r="1002" spans="4:34">
      <c r="D1002">
        <v>995</v>
      </c>
      <c r="E1002" s="6">
        <f t="shared" ca="1" si="260"/>
        <v>22494</v>
      </c>
      <c r="F1002" s="7">
        <f t="shared" ca="1" si="269"/>
        <v>0</v>
      </c>
      <c r="G1002" s="125">
        <f t="shared" ca="1" si="261"/>
        <v>0</v>
      </c>
      <c r="H1002" s="125">
        <f ca="1">IF(F1002=1,F1002*$B$10/MIN(12,'Simulador - 3º Pilar'!$E$88),0)</f>
        <v>0</v>
      </c>
      <c r="I1002" s="128">
        <f t="shared" ca="1" si="262"/>
        <v>0</v>
      </c>
      <c r="J1002" s="494">
        <f t="shared" ca="1" si="263"/>
        <v>0</v>
      </c>
      <c r="K1002" s="126">
        <f t="shared" ca="1" si="264"/>
        <v>0</v>
      </c>
      <c r="L1002" s="126">
        <f t="shared" ca="1" si="276"/>
        <v>0</v>
      </c>
      <c r="P1002">
        <v>995</v>
      </c>
      <c r="Q1002" s="6">
        <f t="shared" ca="1" si="265"/>
        <v>22494</v>
      </c>
      <c r="R1002" s="7" t="e">
        <f t="shared" ca="1" si="270"/>
        <v>#REF!</v>
      </c>
      <c r="S1002" s="125" t="e">
        <f t="shared" ca="1" si="271"/>
        <v>#REF!</v>
      </c>
      <c r="T1002" s="125" t="e">
        <f t="shared" ca="1" si="266"/>
        <v>#REF!</v>
      </c>
      <c r="U1002" s="128" t="e">
        <f t="shared" ca="1" si="272"/>
        <v>#REF!</v>
      </c>
      <c r="AC1002">
        <v>995</v>
      </c>
      <c r="AD1002" s="6">
        <f t="shared" ca="1" si="267"/>
        <v>22494</v>
      </c>
      <c r="AE1002" s="7" t="e">
        <f t="shared" ca="1" si="273"/>
        <v>#REF!</v>
      </c>
      <c r="AF1002" s="125" t="e">
        <f t="shared" ca="1" si="274"/>
        <v>#REF!</v>
      </c>
      <c r="AG1002" s="125" t="e">
        <f t="shared" ca="1" si="268"/>
        <v>#REF!</v>
      </c>
      <c r="AH1002" s="128" t="e">
        <f t="shared" ca="1" si="275"/>
        <v>#REF!</v>
      </c>
    </row>
    <row r="1003" spans="4:34">
      <c r="D1003">
        <v>996</v>
      </c>
      <c r="E1003" s="6">
        <f t="shared" ca="1" si="260"/>
        <v>22463</v>
      </c>
      <c r="F1003" s="7">
        <f t="shared" ca="1" si="269"/>
        <v>0</v>
      </c>
      <c r="G1003" s="125">
        <f t="shared" ca="1" si="261"/>
        <v>0</v>
      </c>
      <c r="H1003" s="125">
        <f ca="1">IF(F1003=1,F1003*$B$10/MIN(12,'Simulador - 3º Pilar'!$E$88),0)</f>
        <v>0</v>
      </c>
      <c r="I1003" s="128">
        <f t="shared" ca="1" si="262"/>
        <v>0</v>
      </c>
      <c r="J1003" s="494">
        <f t="shared" ca="1" si="263"/>
        <v>0</v>
      </c>
      <c r="K1003" s="126">
        <f t="shared" ca="1" si="264"/>
        <v>0</v>
      </c>
      <c r="L1003" s="126">
        <f t="shared" ca="1" si="276"/>
        <v>0</v>
      </c>
      <c r="P1003">
        <v>996</v>
      </c>
      <c r="Q1003" s="6">
        <f t="shared" ca="1" si="265"/>
        <v>22463</v>
      </c>
      <c r="R1003" s="7" t="e">
        <f t="shared" ca="1" si="270"/>
        <v>#REF!</v>
      </c>
      <c r="S1003" s="125" t="e">
        <f t="shared" ca="1" si="271"/>
        <v>#REF!</v>
      </c>
      <c r="T1003" s="125" t="e">
        <f t="shared" ca="1" si="266"/>
        <v>#REF!</v>
      </c>
      <c r="U1003" s="128" t="e">
        <f t="shared" ca="1" si="272"/>
        <v>#REF!</v>
      </c>
      <c r="AC1003">
        <v>996</v>
      </c>
      <c r="AD1003" s="6">
        <f t="shared" ca="1" si="267"/>
        <v>22463</v>
      </c>
      <c r="AE1003" s="7" t="e">
        <f t="shared" ca="1" si="273"/>
        <v>#REF!</v>
      </c>
      <c r="AF1003" s="125" t="e">
        <f t="shared" ca="1" si="274"/>
        <v>#REF!</v>
      </c>
      <c r="AG1003" s="125" t="e">
        <f t="shared" ca="1" si="268"/>
        <v>#REF!</v>
      </c>
      <c r="AH1003" s="128" t="e">
        <f t="shared" ca="1" si="275"/>
        <v>#REF!</v>
      </c>
    </row>
    <row r="1004" spans="4:34">
      <c r="D1004">
        <v>997</v>
      </c>
      <c r="E1004" s="6">
        <f t="shared" ca="1" si="260"/>
        <v>22433</v>
      </c>
      <c r="F1004" s="7">
        <f t="shared" ca="1" si="269"/>
        <v>0</v>
      </c>
      <c r="G1004" s="125">
        <f t="shared" ca="1" si="261"/>
        <v>0</v>
      </c>
      <c r="H1004" s="125">
        <f ca="1">IF(F1004=1,F1004*$B$10/MIN(12,'Simulador - 3º Pilar'!$E$88),0)</f>
        <v>0</v>
      </c>
      <c r="I1004" s="128">
        <f t="shared" ca="1" si="262"/>
        <v>0</v>
      </c>
      <c r="J1004" s="494">
        <f t="shared" ca="1" si="263"/>
        <v>0</v>
      </c>
      <c r="K1004" s="126">
        <f t="shared" ca="1" si="264"/>
        <v>0</v>
      </c>
      <c r="L1004" s="126">
        <f t="shared" ca="1" si="276"/>
        <v>0</v>
      </c>
      <c r="P1004">
        <v>997</v>
      </c>
      <c r="Q1004" s="6">
        <f t="shared" ca="1" si="265"/>
        <v>22433</v>
      </c>
      <c r="R1004" s="7" t="e">
        <f t="shared" ca="1" si="270"/>
        <v>#REF!</v>
      </c>
      <c r="S1004" s="125" t="e">
        <f t="shared" ca="1" si="271"/>
        <v>#REF!</v>
      </c>
      <c r="T1004" s="125" t="e">
        <f t="shared" ca="1" si="266"/>
        <v>#REF!</v>
      </c>
      <c r="U1004" s="128" t="e">
        <f t="shared" ca="1" si="272"/>
        <v>#REF!</v>
      </c>
      <c r="AC1004">
        <v>997</v>
      </c>
      <c r="AD1004" s="6">
        <f t="shared" ca="1" si="267"/>
        <v>22433</v>
      </c>
      <c r="AE1004" s="7" t="e">
        <f t="shared" ca="1" si="273"/>
        <v>#REF!</v>
      </c>
      <c r="AF1004" s="125" t="e">
        <f t="shared" ca="1" si="274"/>
        <v>#REF!</v>
      </c>
      <c r="AG1004" s="125" t="e">
        <f t="shared" ca="1" si="268"/>
        <v>#REF!</v>
      </c>
      <c r="AH1004" s="128" t="e">
        <f t="shared" ca="1" si="275"/>
        <v>#REF!</v>
      </c>
    </row>
    <row r="1005" spans="4:34">
      <c r="D1005">
        <v>998</v>
      </c>
      <c r="E1005" s="6">
        <f t="shared" ca="1" si="260"/>
        <v>22402</v>
      </c>
      <c r="F1005" s="7">
        <f t="shared" ca="1" si="269"/>
        <v>0</v>
      </c>
      <c r="G1005" s="125">
        <f t="shared" ca="1" si="261"/>
        <v>0</v>
      </c>
      <c r="H1005" s="125">
        <f ca="1">IF(F1005=1,F1005*$B$10/MIN(12,'Simulador - 3º Pilar'!$E$88),0)</f>
        <v>0</v>
      </c>
      <c r="I1005" s="128">
        <f t="shared" ca="1" si="262"/>
        <v>0</v>
      </c>
      <c r="J1005" s="494">
        <f t="shared" ca="1" si="263"/>
        <v>0</v>
      </c>
      <c r="K1005" s="126">
        <f t="shared" ca="1" si="264"/>
        <v>0</v>
      </c>
      <c r="L1005" s="126">
        <f t="shared" ca="1" si="276"/>
        <v>0</v>
      </c>
      <c r="P1005">
        <v>998</v>
      </c>
      <c r="Q1005" s="6">
        <f t="shared" ca="1" si="265"/>
        <v>22402</v>
      </c>
      <c r="R1005" s="7" t="e">
        <f t="shared" ca="1" si="270"/>
        <v>#REF!</v>
      </c>
      <c r="S1005" s="125" t="e">
        <f t="shared" ca="1" si="271"/>
        <v>#REF!</v>
      </c>
      <c r="T1005" s="125" t="e">
        <f t="shared" ca="1" si="266"/>
        <v>#REF!</v>
      </c>
      <c r="U1005" s="128" t="e">
        <f t="shared" ca="1" si="272"/>
        <v>#REF!</v>
      </c>
      <c r="AC1005">
        <v>998</v>
      </c>
      <c r="AD1005" s="6">
        <f t="shared" ca="1" si="267"/>
        <v>22402</v>
      </c>
      <c r="AE1005" s="7" t="e">
        <f t="shared" ca="1" si="273"/>
        <v>#REF!</v>
      </c>
      <c r="AF1005" s="125" t="e">
        <f t="shared" ca="1" si="274"/>
        <v>#REF!</v>
      </c>
      <c r="AG1005" s="125" t="e">
        <f t="shared" ca="1" si="268"/>
        <v>#REF!</v>
      </c>
      <c r="AH1005" s="128" t="e">
        <f t="shared" ca="1" si="275"/>
        <v>#REF!</v>
      </c>
    </row>
    <row r="1006" spans="4:34">
      <c r="D1006">
        <v>999</v>
      </c>
      <c r="E1006" s="6">
        <f t="shared" ca="1" si="260"/>
        <v>22372</v>
      </c>
      <c r="F1006" s="7">
        <f t="shared" ca="1" si="269"/>
        <v>0</v>
      </c>
      <c r="G1006" s="125">
        <f t="shared" ca="1" si="261"/>
        <v>0</v>
      </c>
      <c r="H1006" s="125">
        <f ca="1">IF(F1006=1,F1006*$B$10/MIN(12,'Simulador - 3º Pilar'!$E$88),0)</f>
        <v>0</v>
      </c>
      <c r="I1006" s="128">
        <f t="shared" ca="1" si="262"/>
        <v>0</v>
      </c>
      <c r="J1006" s="494">
        <f t="shared" ca="1" si="263"/>
        <v>0</v>
      </c>
      <c r="K1006" s="126">
        <f t="shared" ca="1" si="264"/>
        <v>0</v>
      </c>
      <c r="L1006" s="126">
        <f t="shared" ca="1" si="276"/>
        <v>0</v>
      </c>
      <c r="P1006">
        <v>999</v>
      </c>
      <c r="Q1006" s="6">
        <f t="shared" ca="1" si="265"/>
        <v>22372</v>
      </c>
      <c r="R1006" s="7" t="e">
        <f t="shared" ca="1" si="270"/>
        <v>#REF!</v>
      </c>
      <c r="S1006" s="125" t="e">
        <f t="shared" ca="1" si="271"/>
        <v>#REF!</v>
      </c>
      <c r="T1006" s="125" t="e">
        <f t="shared" ca="1" si="266"/>
        <v>#REF!</v>
      </c>
      <c r="U1006" s="128" t="e">
        <f t="shared" ca="1" si="272"/>
        <v>#REF!</v>
      </c>
      <c r="AC1006">
        <v>999</v>
      </c>
      <c r="AD1006" s="6">
        <f t="shared" ca="1" si="267"/>
        <v>22372</v>
      </c>
      <c r="AE1006" s="7" t="e">
        <f t="shared" ca="1" si="273"/>
        <v>#REF!</v>
      </c>
      <c r="AF1006" s="125" t="e">
        <f t="shared" ca="1" si="274"/>
        <v>#REF!</v>
      </c>
      <c r="AG1006" s="125" t="e">
        <f t="shared" ca="1" si="268"/>
        <v>#REF!</v>
      </c>
      <c r="AH1006" s="128" t="e">
        <f t="shared" ca="1" si="275"/>
        <v>#REF!</v>
      </c>
    </row>
    <row r="1007" spans="4:34">
      <c r="D1007">
        <v>1000</v>
      </c>
      <c r="E1007" s="6">
        <f t="shared" ca="1" si="260"/>
        <v>22341</v>
      </c>
      <c r="F1007" s="7">
        <f t="shared" ca="1" si="269"/>
        <v>0</v>
      </c>
      <c r="G1007" s="125">
        <f t="shared" ca="1" si="261"/>
        <v>0</v>
      </c>
      <c r="H1007" s="125">
        <f ca="1">IF(F1007=1,F1007*$B$10/MIN(12,'Simulador - 3º Pilar'!$E$88),0)</f>
        <v>0</v>
      </c>
      <c r="I1007" s="128">
        <f t="shared" ca="1" si="262"/>
        <v>0</v>
      </c>
      <c r="J1007" s="494">
        <f t="shared" ca="1" si="263"/>
        <v>0</v>
      </c>
      <c r="K1007" s="126">
        <f t="shared" ca="1" si="264"/>
        <v>0</v>
      </c>
      <c r="L1007" s="126">
        <f t="shared" ca="1" si="276"/>
        <v>0</v>
      </c>
      <c r="P1007">
        <v>1000</v>
      </c>
      <c r="Q1007" s="6">
        <f t="shared" ca="1" si="265"/>
        <v>22341</v>
      </c>
      <c r="R1007" s="7" t="e">
        <f t="shared" ca="1" si="270"/>
        <v>#REF!</v>
      </c>
      <c r="S1007" s="125" t="e">
        <f t="shared" ca="1" si="271"/>
        <v>#REF!</v>
      </c>
      <c r="T1007" s="125" t="e">
        <f t="shared" ca="1" si="266"/>
        <v>#REF!</v>
      </c>
      <c r="U1007" s="128" t="e">
        <f t="shared" ca="1" si="272"/>
        <v>#REF!</v>
      </c>
      <c r="AC1007">
        <v>1000</v>
      </c>
      <c r="AD1007" s="6">
        <f t="shared" ca="1" si="267"/>
        <v>22341</v>
      </c>
      <c r="AE1007" s="7" t="e">
        <f t="shared" ca="1" si="273"/>
        <v>#REF!</v>
      </c>
      <c r="AF1007" s="125" t="e">
        <f t="shared" ca="1" si="274"/>
        <v>#REF!</v>
      </c>
      <c r="AG1007" s="125" t="e">
        <f t="shared" ca="1" si="268"/>
        <v>#REF!</v>
      </c>
      <c r="AH1007" s="128" t="e">
        <f t="shared" ca="1" si="275"/>
        <v>#REF!</v>
      </c>
    </row>
    <row r="1008" spans="4:34">
      <c r="D1008">
        <v>1001</v>
      </c>
      <c r="E1008" s="6">
        <f t="shared" ca="1" si="260"/>
        <v>22313</v>
      </c>
      <c r="F1008" s="7">
        <f t="shared" ca="1" si="269"/>
        <v>0</v>
      </c>
      <c r="G1008" s="125">
        <f t="shared" ca="1" si="261"/>
        <v>0</v>
      </c>
      <c r="H1008" s="125">
        <f ca="1">IF(F1008=1,F1008*$B$10/MIN(12,'Simulador - 3º Pilar'!$E$88),0)</f>
        <v>0</v>
      </c>
      <c r="I1008" s="128">
        <f t="shared" ca="1" si="262"/>
        <v>0</v>
      </c>
      <c r="J1008" s="494">
        <f t="shared" ca="1" si="263"/>
        <v>0</v>
      </c>
      <c r="K1008" s="126">
        <f t="shared" ca="1" si="264"/>
        <v>0</v>
      </c>
      <c r="L1008" s="126">
        <f t="shared" ca="1" si="276"/>
        <v>0</v>
      </c>
      <c r="P1008">
        <v>1001</v>
      </c>
      <c r="Q1008" s="6">
        <f t="shared" ca="1" si="265"/>
        <v>22313</v>
      </c>
      <c r="R1008" s="7" t="e">
        <f t="shared" ca="1" si="270"/>
        <v>#REF!</v>
      </c>
      <c r="S1008" s="125" t="e">
        <f t="shared" ca="1" si="271"/>
        <v>#REF!</v>
      </c>
      <c r="T1008" s="125" t="e">
        <f t="shared" ca="1" si="266"/>
        <v>#REF!</v>
      </c>
      <c r="U1008" s="128" t="e">
        <f t="shared" ca="1" si="272"/>
        <v>#REF!</v>
      </c>
      <c r="AC1008">
        <v>1001</v>
      </c>
      <c r="AD1008" s="6">
        <f t="shared" ca="1" si="267"/>
        <v>22313</v>
      </c>
      <c r="AE1008" s="7" t="e">
        <f t="shared" ca="1" si="273"/>
        <v>#REF!</v>
      </c>
      <c r="AF1008" s="125" t="e">
        <f t="shared" ca="1" si="274"/>
        <v>#REF!</v>
      </c>
      <c r="AG1008" s="125" t="e">
        <f t="shared" ca="1" si="268"/>
        <v>#REF!</v>
      </c>
      <c r="AH1008" s="128" t="e">
        <f t="shared" ca="1" si="275"/>
        <v>#REF!</v>
      </c>
    </row>
    <row r="1009" spans="4:34">
      <c r="D1009">
        <v>1002</v>
      </c>
      <c r="E1009" s="6">
        <f t="shared" ca="1" si="260"/>
        <v>22282</v>
      </c>
      <c r="F1009" s="7">
        <f t="shared" ca="1" si="269"/>
        <v>0</v>
      </c>
      <c r="G1009" s="125">
        <f t="shared" ca="1" si="261"/>
        <v>0</v>
      </c>
      <c r="H1009" s="125">
        <f ca="1">IF(F1009=1,F1009*$B$10/MIN(12,'Simulador - 3º Pilar'!$E$88),0)</f>
        <v>0</v>
      </c>
      <c r="I1009" s="128">
        <f t="shared" ca="1" si="262"/>
        <v>0</v>
      </c>
      <c r="J1009" s="494">
        <f t="shared" ca="1" si="263"/>
        <v>0</v>
      </c>
      <c r="K1009" s="126">
        <f t="shared" ca="1" si="264"/>
        <v>0</v>
      </c>
      <c r="L1009" s="126">
        <f t="shared" ca="1" si="276"/>
        <v>0</v>
      </c>
      <c r="P1009">
        <v>1002</v>
      </c>
      <c r="Q1009" s="6">
        <f t="shared" ca="1" si="265"/>
        <v>22282</v>
      </c>
      <c r="R1009" s="7" t="e">
        <f t="shared" ca="1" si="270"/>
        <v>#REF!</v>
      </c>
      <c r="S1009" s="125" t="e">
        <f t="shared" ca="1" si="271"/>
        <v>#REF!</v>
      </c>
      <c r="T1009" s="125" t="e">
        <f t="shared" ca="1" si="266"/>
        <v>#REF!</v>
      </c>
      <c r="U1009" s="128" t="e">
        <f t="shared" ca="1" si="272"/>
        <v>#REF!</v>
      </c>
      <c r="AC1009">
        <v>1002</v>
      </c>
      <c r="AD1009" s="6">
        <f t="shared" ca="1" si="267"/>
        <v>22282</v>
      </c>
      <c r="AE1009" s="7" t="e">
        <f t="shared" ca="1" si="273"/>
        <v>#REF!</v>
      </c>
      <c r="AF1009" s="125" t="e">
        <f t="shared" ca="1" si="274"/>
        <v>#REF!</v>
      </c>
      <c r="AG1009" s="125" t="e">
        <f t="shared" ca="1" si="268"/>
        <v>#REF!</v>
      </c>
      <c r="AH1009" s="128" t="e">
        <f t="shared" ca="1" si="275"/>
        <v>#REF!</v>
      </c>
    </row>
    <row r="1010" spans="4:34">
      <c r="D1010">
        <v>1003</v>
      </c>
      <c r="E1010" s="6">
        <f t="shared" ca="1" si="260"/>
        <v>22251</v>
      </c>
      <c r="F1010" s="7">
        <f t="shared" ca="1" si="269"/>
        <v>0</v>
      </c>
      <c r="G1010" s="125">
        <f t="shared" ca="1" si="261"/>
        <v>0</v>
      </c>
      <c r="H1010" s="125">
        <f ca="1">IF(F1010=1,F1010*$B$10/MIN(12,'Simulador - 3º Pilar'!$E$88),0)</f>
        <v>0</v>
      </c>
      <c r="I1010" s="128">
        <f t="shared" ca="1" si="262"/>
        <v>0</v>
      </c>
      <c r="J1010" s="494">
        <f t="shared" ca="1" si="263"/>
        <v>0</v>
      </c>
      <c r="K1010" s="126">
        <f t="shared" ca="1" si="264"/>
        <v>0</v>
      </c>
      <c r="L1010" s="126">
        <f t="shared" ca="1" si="276"/>
        <v>0</v>
      </c>
      <c r="P1010">
        <v>1003</v>
      </c>
      <c r="Q1010" s="6">
        <f t="shared" ca="1" si="265"/>
        <v>22251</v>
      </c>
      <c r="R1010" s="7" t="e">
        <f t="shared" ca="1" si="270"/>
        <v>#REF!</v>
      </c>
      <c r="S1010" s="125" t="e">
        <f t="shared" ca="1" si="271"/>
        <v>#REF!</v>
      </c>
      <c r="T1010" s="125" t="e">
        <f t="shared" ca="1" si="266"/>
        <v>#REF!</v>
      </c>
      <c r="U1010" s="128" t="e">
        <f t="shared" ca="1" si="272"/>
        <v>#REF!</v>
      </c>
      <c r="AC1010">
        <v>1003</v>
      </c>
      <c r="AD1010" s="6">
        <f t="shared" ca="1" si="267"/>
        <v>22251</v>
      </c>
      <c r="AE1010" s="7" t="e">
        <f t="shared" ca="1" si="273"/>
        <v>#REF!</v>
      </c>
      <c r="AF1010" s="125" t="e">
        <f t="shared" ca="1" si="274"/>
        <v>#REF!</v>
      </c>
      <c r="AG1010" s="125" t="e">
        <f t="shared" ca="1" si="268"/>
        <v>#REF!</v>
      </c>
      <c r="AH1010" s="128" t="e">
        <f t="shared" ca="1" si="275"/>
        <v>#REF!</v>
      </c>
    </row>
    <row r="1011" spans="4:34">
      <c r="D1011">
        <v>1004</v>
      </c>
      <c r="E1011" s="6">
        <f t="shared" ca="1" si="260"/>
        <v>22221</v>
      </c>
      <c r="F1011" s="7">
        <f t="shared" ca="1" si="269"/>
        <v>0</v>
      </c>
      <c r="G1011" s="125">
        <f t="shared" ca="1" si="261"/>
        <v>0</v>
      </c>
      <c r="H1011" s="125">
        <f ca="1">IF(F1011=1,F1011*$B$10/MIN(12,'Simulador - 3º Pilar'!$E$88),0)</f>
        <v>0</v>
      </c>
      <c r="I1011" s="128">
        <f t="shared" ca="1" si="262"/>
        <v>0</v>
      </c>
      <c r="J1011" s="494">
        <f t="shared" ca="1" si="263"/>
        <v>0</v>
      </c>
      <c r="K1011" s="126">
        <f t="shared" ca="1" si="264"/>
        <v>0</v>
      </c>
      <c r="L1011" s="126">
        <f t="shared" ca="1" si="276"/>
        <v>0</v>
      </c>
      <c r="P1011">
        <v>1004</v>
      </c>
      <c r="Q1011" s="6">
        <f t="shared" ca="1" si="265"/>
        <v>22221</v>
      </c>
      <c r="R1011" s="7" t="e">
        <f t="shared" ca="1" si="270"/>
        <v>#REF!</v>
      </c>
      <c r="S1011" s="125" t="e">
        <f t="shared" ca="1" si="271"/>
        <v>#REF!</v>
      </c>
      <c r="T1011" s="125" t="e">
        <f t="shared" ca="1" si="266"/>
        <v>#REF!</v>
      </c>
      <c r="U1011" s="128" t="e">
        <f t="shared" ca="1" si="272"/>
        <v>#REF!</v>
      </c>
      <c r="AC1011">
        <v>1004</v>
      </c>
      <c r="AD1011" s="6">
        <f t="shared" ca="1" si="267"/>
        <v>22221</v>
      </c>
      <c r="AE1011" s="7" t="e">
        <f t="shared" ca="1" si="273"/>
        <v>#REF!</v>
      </c>
      <c r="AF1011" s="125" t="e">
        <f t="shared" ca="1" si="274"/>
        <v>#REF!</v>
      </c>
      <c r="AG1011" s="125" t="e">
        <f t="shared" ca="1" si="268"/>
        <v>#REF!</v>
      </c>
      <c r="AH1011" s="128" t="e">
        <f t="shared" ca="1" si="275"/>
        <v>#REF!</v>
      </c>
    </row>
    <row r="1012" spans="4:34">
      <c r="D1012">
        <v>1005</v>
      </c>
      <c r="E1012" s="6">
        <f t="shared" ca="1" si="260"/>
        <v>22190</v>
      </c>
      <c r="F1012" s="7">
        <f t="shared" ca="1" si="269"/>
        <v>0</v>
      </c>
      <c r="G1012" s="125">
        <f t="shared" ca="1" si="261"/>
        <v>0</v>
      </c>
      <c r="H1012" s="125">
        <f ca="1">IF(F1012=1,F1012*$B$10/MIN(12,'Simulador - 3º Pilar'!$E$88),0)</f>
        <v>0</v>
      </c>
      <c r="I1012" s="128">
        <f t="shared" ca="1" si="262"/>
        <v>0</v>
      </c>
      <c r="J1012" s="494">
        <f t="shared" ca="1" si="263"/>
        <v>0</v>
      </c>
      <c r="K1012" s="126">
        <f t="shared" ca="1" si="264"/>
        <v>0</v>
      </c>
      <c r="L1012" s="126">
        <f t="shared" ca="1" si="276"/>
        <v>0</v>
      </c>
      <c r="P1012">
        <v>1005</v>
      </c>
      <c r="Q1012" s="6">
        <f t="shared" ca="1" si="265"/>
        <v>22190</v>
      </c>
      <c r="R1012" s="7" t="e">
        <f t="shared" ca="1" si="270"/>
        <v>#REF!</v>
      </c>
      <c r="S1012" s="125" t="e">
        <f t="shared" ca="1" si="271"/>
        <v>#REF!</v>
      </c>
      <c r="T1012" s="125" t="e">
        <f t="shared" ca="1" si="266"/>
        <v>#REF!</v>
      </c>
      <c r="U1012" s="128" t="e">
        <f t="shared" ca="1" si="272"/>
        <v>#REF!</v>
      </c>
      <c r="AC1012">
        <v>1005</v>
      </c>
      <c r="AD1012" s="6">
        <f t="shared" ca="1" si="267"/>
        <v>22190</v>
      </c>
      <c r="AE1012" s="7" t="e">
        <f t="shared" ca="1" si="273"/>
        <v>#REF!</v>
      </c>
      <c r="AF1012" s="125" t="e">
        <f t="shared" ca="1" si="274"/>
        <v>#REF!</v>
      </c>
      <c r="AG1012" s="125" t="e">
        <f t="shared" ca="1" si="268"/>
        <v>#REF!</v>
      </c>
      <c r="AH1012" s="128" t="e">
        <f t="shared" ca="1" si="275"/>
        <v>#REF!</v>
      </c>
    </row>
    <row r="1013" spans="4:34">
      <c r="D1013">
        <v>1006</v>
      </c>
      <c r="E1013" s="6">
        <f t="shared" ca="1" si="260"/>
        <v>22160</v>
      </c>
      <c r="F1013" s="7">
        <f t="shared" ca="1" si="269"/>
        <v>0</v>
      </c>
      <c r="G1013" s="125">
        <f t="shared" ca="1" si="261"/>
        <v>0</v>
      </c>
      <c r="H1013" s="125">
        <f ca="1">IF(F1013=1,F1013*$B$10/MIN(12,'Simulador - 3º Pilar'!$E$88),0)</f>
        <v>0</v>
      </c>
      <c r="I1013" s="128">
        <f t="shared" ca="1" si="262"/>
        <v>0</v>
      </c>
      <c r="J1013" s="494">
        <f t="shared" ca="1" si="263"/>
        <v>0</v>
      </c>
      <c r="K1013" s="126">
        <f t="shared" ca="1" si="264"/>
        <v>0</v>
      </c>
      <c r="L1013" s="126">
        <f t="shared" ca="1" si="276"/>
        <v>0</v>
      </c>
      <c r="P1013">
        <v>1006</v>
      </c>
      <c r="Q1013" s="6">
        <f t="shared" ca="1" si="265"/>
        <v>22160</v>
      </c>
      <c r="R1013" s="7" t="e">
        <f t="shared" ca="1" si="270"/>
        <v>#REF!</v>
      </c>
      <c r="S1013" s="125" t="e">
        <f t="shared" ca="1" si="271"/>
        <v>#REF!</v>
      </c>
      <c r="T1013" s="125" t="e">
        <f t="shared" ca="1" si="266"/>
        <v>#REF!</v>
      </c>
      <c r="U1013" s="128" t="e">
        <f t="shared" ca="1" si="272"/>
        <v>#REF!</v>
      </c>
      <c r="AC1013">
        <v>1006</v>
      </c>
      <c r="AD1013" s="6">
        <f t="shared" ca="1" si="267"/>
        <v>22160</v>
      </c>
      <c r="AE1013" s="7" t="e">
        <f t="shared" ca="1" si="273"/>
        <v>#REF!</v>
      </c>
      <c r="AF1013" s="125" t="e">
        <f t="shared" ca="1" si="274"/>
        <v>#REF!</v>
      </c>
      <c r="AG1013" s="125" t="e">
        <f t="shared" ca="1" si="268"/>
        <v>#REF!</v>
      </c>
      <c r="AH1013" s="128" t="e">
        <f t="shared" ca="1" si="275"/>
        <v>#REF!</v>
      </c>
    </row>
    <row r="1014" spans="4:34">
      <c r="D1014">
        <v>1007</v>
      </c>
      <c r="E1014" s="6">
        <f t="shared" ca="1" si="260"/>
        <v>22129</v>
      </c>
      <c r="F1014" s="7">
        <f t="shared" ca="1" si="269"/>
        <v>0</v>
      </c>
      <c r="G1014" s="125">
        <f t="shared" ca="1" si="261"/>
        <v>0</v>
      </c>
      <c r="H1014" s="125">
        <f ca="1">IF(F1014=1,F1014*$B$10/MIN(12,'Simulador - 3º Pilar'!$E$88),0)</f>
        <v>0</v>
      </c>
      <c r="I1014" s="128">
        <f t="shared" ca="1" si="262"/>
        <v>0</v>
      </c>
      <c r="J1014" s="494">
        <f t="shared" ca="1" si="263"/>
        <v>0</v>
      </c>
      <c r="K1014" s="126">
        <f t="shared" ca="1" si="264"/>
        <v>0</v>
      </c>
      <c r="L1014" s="126">
        <f t="shared" ca="1" si="276"/>
        <v>0</v>
      </c>
      <c r="P1014">
        <v>1007</v>
      </c>
      <c r="Q1014" s="6">
        <f t="shared" ca="1" si="265"/>
        <v>22129</v>
      </c>
      <c r="R1014" s="7" t="e">
        <f t="shared" ca="1" si="270"/>
        <v>#REF!</v>
      </c>
      <c r="S1014" s="125" t="e">
        <f t="shared" ca="1" si="271"/>
        <v>#REF!</v>
      </c>
      <c r="T1014" s="125" t="e">
        <f t="shared" ca="1" si="266"/>
        <v>#REF!</v>
      </c>
      <c r="U1014" s="128" t="e">
        <f t="shared" ca="1" si="272"/>
        <v>#REF!</v>
      </c>
      <c r="AC1014">
        <v>1007</v>
      </c>
      <c r="AD1014" s="6">
        <f t="shared" ca="1" si="267"/>
        <v>22129</v>
      </c>
      <c r="AE1014" s="7" t="e">
        <f t="shared" ca="1" si="273"/>
        <v>#REF!</v>
      </c>
      <c r="AF1014" s="125" t="e">
        <f t="shared" ca="1" si="274"/>
        <v>#REF!</v>
      </c>
      <c r="AG1014" s="125" t="e">
        <f t="shared" ca="1" si="268"/>
        <v>#REF!</v>
      </c>
      <c r="AH1014" s="128" t="e">
        <f t="shared" ca="1" si="275"/>
        <v>#REF!</v>
      </c>
    </row>
    <row r="1015" spans="4:34">
      <c r="D1015">
        <v>1008</v>
      </c>
      <c r="E1015" s="6">
        <f t="shared" ca="1" si="260"/>
        <v>22098</v>
      </c>
      <c r="F1015" s="7">
        <f t="shared" ca="1" si="269"/>
        <v>0</v>
      </c>
      <c r="G1015" s="125">
        <f t="shared" ca="1" si="261"/>
        <v>0</v>
      </c>
      <c r="H1015" s="125">
        <f ca="1">IF(F1015=1,F1015*$B$10/MIN(12,'Simulador - 3º Pilar'!$E$88),0)</f>
        <v>0</v>
      </c>
      <c r="I1015" s="128">
        <f t="shared" ca="1" si="262"/>
        <v>0</v>
      </c>
      <c r="J1015" s="494">
        <f t="shared" ca="1" si="263"/>
        <v>0</v>
      </c>
      <c r="K1015" s="126">
        <f t="shared" ca="1" si="264"/>
        <v>0</v>
      </c>
      <c r="L1015" s="126">
        <f t="shared" ca="1" si="276"/>
        <v>0</v>
      </c>
      <c r="P1015">
        <v>1008</v>
      </c>
      <c r="Q1015" s="6">
        <f t="shared" ca="1" si="265"/>
        <v>22098</v>
      </c>
      <c r="R1015" s="7" t="e">
        <f t="shared" ca="1" si="270"/>
        <v>#REF!</v>
      </c>
      <c r="S1015" s="125" t="e">
        <f t="shared" ca="1" si="271"/>
        <v>#REF!</v>
      </c>
      <c r="T1015" s="125" t="e">
        <f t="shared" ca="1" si="266"/>
        <v>#REF!</v>
      </c>
      <c r="U1015" s="128" t="e">
        <f t="shared" ca="1" si="272"/>
        <v>#REF!</v>
      </c>
      <c r="AC1015">
        <v>1008</v>
      </c>
      <c r="AD1015" s="6">
        <f t="shared" ca="1" si="267"/>
        <v>22098</v>
      </c>
      <c r="AE1015" s="7" t="e">
        <f t="shared" ca="1" si="273"/>
        <v>#REF!</v>
      </c>
      <c r="AF1015" s="125" t="e">
        <f t="shared" ca="1" si="274"/>
        <v>#REF!</v>
      </c>
      <c r="AG1015" s="125" t="e">
        <f t="shared" ca="1" si="268"/>
        <v>#REF!</v>
      </c>
      <c r="AH1015" s="128" t="e">
        <f t="shared" ca="1" si="275"/>
        <v>#REF!</v>
      </c>
    </row>
    <row r="1016" spans="4:34">
      <c r="D1016">
        <v>1009</v>
      </c>
      <c r="E1016" s="6">
        <f t="shared" ca="1" si="260"/>
        <v>22068</v>
      </c>
      <c r="F1016" s="7">
        <f t="shared" ca="1" si="269"/>
        <v>0</v>
      </c>
      <c r="G1016" s="125">
        <f t="shared" ca="1" si="261"/>
        <v>0</v>
      </c>
      <c r="H1016" s="125">
        <f ca="1">IF(F1016=1,F1016*$B$10/MIN(12,'Simulador - 3º Pilar'!$E$88),0)</f>
        <v>0</v>
      </c>
      <c r="I1016" s="128">
        <f t="shared" ca="1" si="262"/>
        <v>0</v>
      </c>
      <c r="J1016" s="494">
        <f t="shared" ca="1" si="263"/>
        <v>0</v>
      </c>
      <c r="K1016" s="126">
        <f t="shared" ca="1" si="264"/>
        <v>0</v>
      </c>
      <c r="L1016" s="126">
        <f t="shared" ca="1" si="276"/>
        <v>0</v>
      </c>
      <c r="P1016">
        <v>1009</v>
      </c>
      <c r="Q1016" s="6">
        <f t="shared" ca="1" si="265"/>
        <v>22068</v>
      </c>
      <c r="R1016" s="7" t="e">
        <f t="shared" ca="1" si="270"/>
        <v>#REF!</v>
      </c>
      <c r="S1016" s="125" t="e">
        <f t="shared" ca="1" si="271"/>
        <v>#REF!</v>
      </c>
      <c r="T1016" s="125" t="e">
        <f t="shared" ca="1" si="266"/>
        <v>#REF!</v>
      </c>
      <c r="U1016" s="128" t="e">
        <f t="shared" ca="1" si="272"/>
        <v>#REF!</v>
      </c>
      <c r="AC1016">
        <v>1009</v>
      </c>
      <c r="AD1016" s="6">
        <f t="shared" ca="1" si="267"/>
        <v>22068</v>
      </c>
      <c r="AE1016" s="7" t="e">
        <f t="shared" ca="1" si="273"/>
        <v>#REF!</v>
      </c>
      <c r="AF1016" s="125" t="e">
        <f t="shared" ca="1" si="274"/>
        <v>#REF!</v>
      </c>
      <c r="AG1016" s="125" t="e">
        <f t="shared" ca="1" si="268"/>
        <v>#REF!</v>
      </c>
      <c r="AH1016" s="128" t="e">
        <f t="shared" ca="1" si="275"/>
        <v>#REF!</v>
      </c>
    </row>
    <row r="1017" spans="4:34">
      <c r="D1017">
        <v>1010</v>
      </c>
      <c r="E1017" s="6">
        <f t="shared" ca="1" si="260"/>
        <v>22037</v>
      </c>
      <c r="F1017" s="7">
        <f t="shared" ca="1" si="269"/>
        <v>0</v>
      </c>
      <c r="G1017" s="125">
        <f t="shared" ca="1" si="261"/>
        <v>0</v>
      </c>
      <c r="H1017" s="125">
        <f ca="1">IF(F1017=1,F1017*$B$10/MIN(12,'Simulador - 3º Pilar'!$E$88),0)</f>
        <v>0</v>
      </c>
      <c r="I1017" s="128">
        <f t="shared" ca="1" si="262"/>
        <v>0</v>
      </c>
      <c r="J1017" s="494">
        <f t="shared" ca="1" si="263"/>
        <v>0</v>
      </c>
      <c r="K1017" s="126">
        <f t="shared" ca="1" si="264"/>
        <v>0</v>
      </c>
      <c r="L1017" s="126">
        <f t="shared" ca="1" si="276"/>
        <v>0</v>
      </c>
      <c r="P1017">
        <v>1010</v>
      </c>
      <c r="Q1017" s="6">
        <f t="shared" ca="1" si="265"/>
        <v>22037</v>
      </c>
      <c r="R1017" s="7" t="e">
        <f t="shared" ca="1" si="270"/>
        <v>#REF!</v>
      </c>
      <c r="S1017" s="125" t="e">
        <f t="shared" ca="1" si="271"/>
        <v>#REF!</v>
      </c>
      <c r="T1017" s="125" t="e">
        <f t="shared" ca="1" si="266"/>
        <v>#REF!</v>
      </c>
      <c r="U1017" s="128" t="e">
        <f t="shared" ca="1" si="272"/>
        <v>#REF!</v>
      </c>
      <c r="AC1017">
        <v>1010</v>
      </c>
      <c r="AD1017" s="6">
        <f t="shared" ca="1" si="267"/>
        <v>22037</v>
      </c>
      <c r="AE1017" s="7" t="e">
        <f t="shared" ca="1" si="273"/>
        <v>#REF!</v>
      </c>
      <c r="AF1017" s="125" t="e">
        <f t="shared" ca="1" si="274"/>
        <v>#REF!</v>
      </c>
      <c r="AG1017" s="125" t="e">
        <f t="shared" ca="1" si="268"/>
        <v>#REF!</v>
      </c>
      <c r="AH1017" s="128" t="e">
        <f t="shared" ca="1" si="275"/>
        <v>#REF!</v>
      </c>
    </row>
    <row r="1018" spans="4:34">
      <c r="D1018">
        <v>1011</v>
      </c>
      <c r="E1018" s="6">
        <f t="shared" ca="1" si="260"/>
        <v>22007</v>
      </c>
      <c r="F1018" s="7">
        <f t="shared" ca="1" si="269"/>
        <v>0</v>
      </c>
      <c r="G1018" s="125">
        <f t="shared" ca="1" si="261"/>
        <v>0</v>
      </c>
      <c r="H1018" s="125">
        <f ca="1">IF(F1018=1,F1018*$B$10/MIN(12,'Simulador - 3º Pilar'!$E$88),0)</f>
        <v>0</v>
      </c>
      <c r="I1018" s="128">
        <f t="shared" ca="1" si="262"/>
        <v>0</v>
      </c>
      <c r="J1018" s="494">
        <f t="shared" ca="1" si="263"/>
        <v>0</v>
      </c>
      <c r="K1018" s="126">
        <f t="shared" ca="1" si="264"/>
        <v>0</v>
      </c>
      <c r="L1018" s="126">
        <f t="shared" ca="1" si="276"/>
        <v>0</v>
      </c>
      <c r="P1018">
        <v>1011</v>
      </c>
      <c r="Q1018" s="6">
        <f t="shared" ca="1" si="265"/>
        <v>22007</v>
      </c>
      <c r="R1018" s="7" t="e">
        <f t="shared" ca="1" si="270"/>
        <v>#REF!</v>
      </c>
      <c r="S1018" s="125" t="e">
        <f t="shared" ca="1" si="271"/>
        <v>#REF!</v>
      </c>
      <c r="T1018" s="125" t="e">
        <f t="shared" ca="1" si="266"/>
        <v>#REF!</v>
      </c>
      <c r="U1018" s="128" t="e">
        <f t="shared" ca="1" si="272"/>
        <v>#REF!</v>
      </c>
      <c r="AC1018">
        <v>1011</v>
      </c>
      <c r="AD1018" s="6">
        <f t="shared" ca="1" si="267"/>
        <v>22007</v>
      </c>
      <c r="AE1018" s="7" t="e">
        <f t="shared" ca="1" si="273"/>
        <v>#REF!</v>
      </c>
      <c r="AF1018" s="125" t="e">
        <f t="shared" ca="1" si="274"/>
        <v>#REF!</v>
      </c>
      <c r="AG1018" s="125" t="e">
        <f t="shared" ca="1" si="268"/>
        <v>#REF!</v>
      </c>
      <c r="AH1018" s="128" t="e">
        <f t="shared" ca="1" si="275"/>
        <v>#REF!</v>
      </c>
    </row>
    <row r="1019" spans="4:34">
      <c r="D1019">
        <v>1012</v>
      </c>
      <c r="E1019" s="6">
        <f t="shared" ca="1" si="260"/>
        <v>21976</v>
      </c>
      <c r="F1019" s="7">
        <f t="shared" ca="1" si="269"/>
        <v>0</v>
      </c>
      <c r="G1019" s="125">
        <f t="shared" ca="1" si="261"/>
        <v>0</v>
      </c>
      <c r="H1019" s="125">
        <f ca="1">IF(F1019=1,F1019*$B$10/MIN(12,'Simulador - 3º Pilar'!$E$88),0)</f>
        <v>0</v>
      </c>
      <c r="I1019" s="128">
        <f t="shared" ca="1" si="262"/>
        <v>0</v>
      </c>
      <c r="J1019" s="494">
        <f t="shared" ca="1" si="263"/>
        <v>0</v>
      </c>
      <c r="K1019" s="126">
        <f t="shared" ca="1" si="264"/>
        <v>0</v>
      </c>
      <c r="L1019" s="126">
        <f t="shared" ca="1" si="276"/>
        <v>0</v>
      </c>
      <c r="P1019">
        <v>1012</v>
      </c>
      <c r="Q1019" s="6">
        <f t="shared" ca="1" si="265"/>
        <v>21976</v>
      </c>
      <c r="R1019" s="7" t="e">
        <f t="shared" ca="1" si="270"/>
        <v>#REF!</v>
      </c>
      <c r="S1019" s="125" t="e">
        <f t="shared" ca="1" si="271"/>
        <v>#REF!</v>
      </c>
      <c r="T1019" s="125" t="e">
        <f t="shared" ca="1" si="266"/>
        <v>#REF!</v>
      </c>
      <c r="U1019" s="128" t="e">
        <f t="shared" ca="1" si="272"/>
        <v>#REF!</v>
      </c>
      <c r="AC1019">
        <v>1012</v>
      </c>
      <c r="AD1019" s="6">
        <f t="shared" ca="1" si="267"/>
        <v>21976</v>
      </c>
      <c r="AE1019" s="7" t="e">
        <f t="shared" ca="1" si="273"/>
        <v>#REF!</v>
      </c>
      <c r="AF1019" s="125" t="e">
        <f t="shared" ca="1" si="274"/>
        <v>#REF!</v>
      </c>
      <c r="AG1019" s="125" t="e">
        <f t="shared" ca="1" si="268"/>
        <v>#REF!</v>
      </c>
      <c r="AH1019" s="128" t="e">
        <f t="shared" ca="1" si="275"/>
        <v>#REF!</v>
      </c>
    </row>
    <row r="1020" spans="4:34">
      <c r="D1020">
        <v>1013</v>
      </c>
      <c r="E1020" s="6">
        <f t="shared" ca="1" si="260"/>
        <v>21947</v>
      </c>
      <c r="F1020" s="7">
        <f t="shared" ca="1" si="269"/>
        <v>0</v>
      </c>
      <c r="G1020" s="125">
        <f t="shared" ca="1" si="261"/>
        <v>0</v>
      </c>
      <c r="H1020" s="125">
        <f ca="1">IF(F1020=1,F1020*$B$10/MIN(12,'Simulador - 3º Pilar'!$E$88),0)</f>
        <v>0</v>
      </c>
      <c r="I1020" s="128">
        <f t="shared" ca="1" si="262"/>
        <v>0</v>
      </c>
      <c r="J1020" s="494">
        <f t="shared" ca="1" si="263"/>
        <v>0</v>
      </c>
      <c r="K1020" s="126">
        <f t="shared" ca="1" si="264"/>
        <v>0</v>
      </c>
      <c r="L1020" s="126">
        <f t="shared" ca="1" si="276"/>
        <v>0</v>
      </c>
      <c r="P1020">
        <v>1013</v>
      </c>
      <c r="Q1020" s="6">
        <f t="shared" ca="1" si="265"/>
        <v>21947</v>
      </c>
      <c r="R1020" s="7" t="e">
        <f t="shared" ca="1" si="270"/>
        <v>#REF!</v>
      </c>
      <c r="S1020" s="125" t="e">
        <f t="shared" ca="1" si="271"/>
        <v>#REF!</v>
      </c>
      <c r="T1020" s="125" t="e">
        <f t="shared" ca="1" si="266"/>
        <v>#REF!</v>
      </c>
      <c r="U1020" s="128" t="e">
        <f t="shared" ca="1" si="272"/>
        <v>#REF!</v>
      </c>
      <c r="AC1020">
        <v>1013</v>
      </c>
      <c r="AD1020" s="6">
        <f t="shared" ca="1" si="267"/>
        <v>21947</v>
      </c>
      <c r="AE1020" s="7" t="e">
        <f t="shared" ca="1" si="273"/>
        <v>#REF!</v>
      </c>
      <c r="AF1020" s="125" t="e">
        <f t="shared" ca="1" si="274"/>
        <v>#REF!</v>
      </c>
      <c r="AG1020" s="125" t="e">
        <f t="shared" ca="1" si="268"/>
        <v>#REF!</v>
      </c>
      <c r="AH1020" s="128" t="e">
        <f t="shared" ca="1" si="275"/>
        <v>#REF!</v>
      </c>
    </row>
    <row r="1021" spans="4:34">
      <c r="D1021">
        <v>1014</v>
      </c>
      <c r="E1021" s="6">
        <f t="shared" ca="1" si="260"/>
        <v>21916</v>
      </c>
      <c r="F1021" s="7">
        <f t="shared" ca="1" si="269"/>
        <v>0</v>
      </c>
      <c r="G1021" s="125">
        <f t="shared" ca="1" si="261"/>
        <v>0</v>
      </c>
      <c r="H1021" s="125">
        <f ca="1">IF(F1021=1,F1021*$B$10/MIN(12,'Simulador - 3º Pilar'!$E$88),0)</f>
        <v>0</v>
      </c>
      <c r="I1021" s="128">
        <f t="shared" ca="1" si="262"/>
        <v>0</v>
      </c>
      <c r="J1021" s="494">
        <f t="shared" ca="1" si="263"/>
        <v>0</v>
      </c>
      <c r="K1021" s="126">
        <f t="shared" ca="1" si="264"/>
        <v>0</v>
      </c>
      <c r="L1021" s="126">
        <f t="shared" ca="1" si="276"/>
        <v>0</v>
      </c>
      <c r="P1021">
        <v>1014</v>
      </c>
      <c r="Q1021" s="6">
        <f t="shared" ca="1" si="265"/>
        <v>21916</v>
      </c>
      <c r="R1021" s="7" t="e">
        <f t="shared" ca="1" si="270"/>
        <v>#REF!</v>
      </c>
      <c r="S1021" s="125" t="e">
        <f t="shared" ca="1" si="271"/>
        <v>#REF!</v>
      </c>
      <c r="T1021" s="125" t="e">
        <f t="shared" ca="1" si="266"/>
        <v>#REF!</v>
      </c>
      <c r="U1021" s="128" t="e">
        <f t="shared" ca="1" si="272"/>
        <v>#REF!</v>
      </c>
      <c r="AC1021">
        <v>1014</v>
      </c>
      <c r="AD1021" s="6">
        <f t="shared" ca="1" si="267"/>
        <v>21916</v>
      </c>
      <c r="AE1021" s="7" t="e">
        <f t="shared" ca="1" si="273"/>
        <v>#REF!</v>
      </c>
      <c r="AF1021" s="125" t="e">
        <f t="shared" ca="1" si="274"/>
        <v>#REF!</v>
      </c>
      <c r="AG1021" s="125" t="e">
        <f t="shared" ca="1" si="268"/>
        <v>#REF!</v>
      </c>
      <c r="AH1021" s="128" t="e">
        <f t="shared" ca="1" si="275"/>
        <v>#REF!</v>
      </c>
    </row>
    <row r="1022" spans="4:34">
      <c r="D1022">
        <v>1015</v>
      </c>
      <c r="E1022" s="6">
        <f t="shared" ca="1" si="260"/>
        <v>21885</v>
      </c>
      <c r="F1022" s="7">
        <f t="shared" ca="1" si="269"/>
        <v>0</v>
      </c>
      <c r="G1022" s="125">
        <f t="shared" ca="1" si="261"/>
        <v>0</v>
      </c>
      <c r="H1022" s="125">
        <f ca="1">IF(F1022=1,F1022*$B$10/MIN(12,'Simulador - 3º Pilar'!$E$88),0)</f>
        <v>0</v>
      </c>
      <c r="I1022" s="128">
        <f t="shared" ca="1" si="262"/>
        <v>0</v>
      </c>
      <c r="J1022" s="494">
        <f t="shared" ca="1" si="263"/>
        <v>0</v>
      </c>
      <c r="K1022" s="126">
        <f t="shared" ca="1" si="264"/>
        <v>0</v>
      </c>
      <c r="L1022" s="126">
        <f t="shared" ca="1" si="276"/>
        <v>0</v>
      </c>
      <c r="P1022">
        <v>1015</v>
      </c>
      <c r="Q1022" s="6">
        <f t="shared" ca="1" si="265"/>
        <v>21885</v>
      </c>
      <c r="R1022" s="7" t="e">
        <f t="shared" ca="1" si="270"/>
        <v>#REF!</v>
      </c>
      <c r="S1022" s="125" t="e">
        <f t="shared" ca="1" si="271"/>
        <v>#REF!</v>
      </c>
      <c r="T1022" s="125" t="e">
        <f t="shared" ca="1" si="266"/>
        <v>#REF!</v>
      </c>
      <c r="U1022" s="128" t="e">
        <f t="shared" ca="1" si="272"/>
        <v>#REF!</v>
      </c>
      <c r="AC1022">
        <v>1015</v>
      </c>
      <c r="AD1022" s="6">
        <f t="shared" ca="1" si="267"/>
        <v>21885</v>
      </c>
      <c r="AE1022" s="7" t="e">
        <f t="shared" ca="1" si="273"/>
        <v>#REF!</v>
      </c>
      <c r="AF1022" s="125" t="e">
        <f t="shared" ca="1" si="274"/>
        <v>#REF!</v>
      </c>
      <c r="AG1022" s="125" t="e">
        <f t="shared" ca="1" si="268"/>
        <v>#REF!</v>
      </c>
      <c r="AH1022" s="128" t="e">
        <f t="shared" ca="1" si="275"/>
        <v>#REF!</v>
      </c>
    </row>
    <row r="1023" spans="4:34">
      <c r="D1023">
        <v>1016</v>
      </c>
      <c r="E1023" s="6">
        <f t="shared" ca="1" si="260"/>
        <v>21855</v>
      </c>
      <c r="F1023" s="7">
        <f t="shared" ca="1" si="269"/>
        <v>0</v>
      </c>
      <c r="G1023" s="125">
        <f t="shared" ca="1" si="261"/>
        <v>0</v>
      </c>
      <c r="H1023" s="125">
        <f ca="1">IF(F1023=1,F1023*$B$10/MIN(12,'Simulador - 3º Pilar'!$E$88),0)</f>
        <v>0</v>
      </c>
      <c r="I1023" s="128">
        <f t="shared" ca="1" si="262"/>
        <v>0</v>
      </c>
      <c r="J1023" s="494">
        <f t="shared" ca="1" si="263"/>
        <v>0</v>
      </c>
      <c r="K1023" s="126">
        <f t="shared" ca="1" si="264"/>
        <v>0</v>
      </c>
      <c r="L1023" s="126">
        <f t="shared" ca="1" si="276"/>
        <v>0</v>
      </c>
      <c r="P1023">
        <v>1016</v>
      </c>
      <c r="Q1023" s="6">
        <f t="shared" ca="1" si="265"/>
        <v>21855</v>
      </c>
      <c r="R1023" s="7" t="e">
        <f t="shared" ca="1" si="270"/>
        <v>#REF!</v>
      </c>
      <c r="S1023" s="125" t="e">
        <f t="shared" ca="1" si="271"/>
        <v>#REF!</v>
      </c>
      <c r="T1023" s="125" t="e">
        <f t="shared" ca="1" si="266"/>
        <v>#REF!</v>
      </c>
      <c r="U1023" s="128" t="e">
        <f t="shared" ca="1" si="272"/>
        <v>#REF!</v>
      </c>
      <c r="AC1023">
        <v>1016</v>
      </c>
      <c r="AD1023" s="6">
        <f t="shared" ca="1" si="267"/>
        <v>21855</v>
      </c>
      <c r="AE1023" s="7" t="e">
        <f t="shared" ca="1" si="273"/>
        <v>#REF!</v>
      </c>
      <c r="AF1023" s="125" t="e">
        <f t="shared" ca="1" si="274"/>
        <v>#REF!</v>
      </c>
      <c r="AG1023" s="125" t="e">
        <f t="shared" ca="1" si="268"/>
        <v>#REF!</v>
      </c>
      <c r="AH1023" s="128" t="e">
        <f t="shared" ca="1" si="275"/>
        <v>#REF!</v>
      </c>
    </row>
    <row r="1024" spans="4:34">
      <c r="D1024">
        <v>1017</v>
      </c>
      <c r="E1024" s="6">
        <f t="shared" ca="1" si="260"/>
        <v>21824</v>
      </c>
      <c r="F1024" s="7">
        <f t="shared" ca="1" si="269"/>
        <v>0</v>
      </c>
      <c r="G1024" s="125">
        <f t="shared" ca="1" si="261"/>
        <v>0</v>
      </c>
      <c r="H1024" s="125">
        <f ca="1">IF(F1024=1,F1024*$B$10/MIN(12,'Simulador - 3º Pilar'!$E$88),0)</f>
        <v>0</v>
      </c>
      <c r="I1024" s="128">
        <f t="shared" ca="1" si="262"/>
        <v>0</v>
      </c>
      <c r="J1024" s="494">
        <f t="shared" ca="1" si="263"/>
        <v>0</v>
      </c>
      <c r="K1024" s="126">
        <f t="shared" ca="1" si="264"/>
        <v>0</v>
      </c>
      <c r="L1024" s="126">
        <f t="shared" ca="1" si="276"/>
        <v>0</v>
      </c>
      <c r="P1024">
        <v>1017</v>
      </c>
      <c r="Q1024" s="6">
        <f t="shared" ca="1" si="265"/>
        <v>21824</v>
      </c>
      <c r="R1024" s="7" t="e">
        <f t="shared" ca="1" si="270"/>
        <v>#REF!</v>
      </c>
      <c r="S1024" s="125" t="e">
        <f t="shared" ca="1" si="271"/>
        <v>#REF!</v>
      </c>
      <c r="T1024" s="125" t="e">
        <f t="shared" ca="1" si="266"/>
        <v>#REF!</v>
      </c>
      <c r="U1024" s="128" t="e">
        <f t="shared" ca="1" si="272"/>
        <v>#REF!</v>
      </c>
      <c r="AC1024">
        <v>1017</v>
      </c>
      <c r="AD1024" s="6">
        <f t="shared" ca="1" si="267"/>
        <v>21824</v>
      </c>
      <c r="AE1024" s="7" t="e">
        <f t="shared" ca="1" si="273"/>
        <v>#REF!</v>
      </c>
      <c r="AF1024" s="125" t="e">
        <f t="shared" ca="1" si="274"/>
        <v>#REF!</v>
      </c>
      <c r="AG1024" s="125" t="e">
        <f t="shared" ca="1" si="268"/>
        <v>#REF!</v>
      </c>
      <c r="AH1024" s="128" t="e">
        <f t="shared" ca="1" si="275"/>
        <v>#REF!</v>
      </c>
    </row>
    <row r="1025" spans="4:34">
      <c r="D1025">
        <v>1018</v>
      </c>
      <c r="E1025" s="6">
        <f t="shared" ca="1" si="260"/>
        <v>21794</v>
      </c>
      <c r="F1025" s="7">
        <f t="shared" ca="1" si="269"/>
        <v>0</v>
      </c>
      <c r="G1025" s="125">
        <f t="shared" ca="1" si="261"/>
        <v>0</v>
      </c>
      <c r="H1025" s="125">
        <f ca="1">IF(F1025=1,F1025*$B$10/MIN(12,'Simulador - 3º Pilar'!$E$88),0)</f>
        <v>0</v>
      </c>
      <c r="I1025" s="128">
        <f t="shared" ca="1" si="262"/>
        <v>0</v>
      </c>
      <c r="J1025" s="494">
        <f t="shared" ca="1" si="263"/>
        <v>0</v>
      </c>
      <c r="K1025" s="126">
        <f t="shared" ca="1" si="264"/>
        <v>0</v>
      </c>
      <c r="L1025" s="126">
        <f t="shared" ca="1" si="276"/>
        <v>0</v>
      </c>
      <c r="P1025">
        <v>1018</v>
      </c>
      <c r="Q1025" s="6">
        <f t="shared" ca="1" si="265"/>
        <v>21794</v>
      </c>
      <c r="R1025" s="7" t="e">
        <f t="shared" ca="1" si="270"/>
        <v>#REF!</v>
      </c>
      <c r="S1025" s="125" t="e">
        <f t="shared" ca="1" si="271"/>
        <v>#REF!</v>
      </c>
      <c r="T1025" s="125" t="e">
        <f t="shared" ca="1" si="266"/>
        <v>#REF!</v>
      </c>
      <c r="U1025" s="128" t="e">
        <f t="shared" ca="1" si="272"/>
        <v>#REF!</v>
      </c>
      <c r="AC1025">
        <v>1018</v>
      </c>
      <c r="AD1025" s="6">
        <f t="shared" ca="1" si="267"/>
        <v>21794</v>
      </c>
      <c r="AE1025" s="7" t="e">
        <f t="shared" ca="1" si="273"/>
        <v>#REF!</v>
      </c>
      <c r="AF1025" s="125" t="e">
        <f t="shared" ca="1" si="274"/>
        <v>#REF!</v>
      </c>
      <c r="AG1025" s="125" t="e">
        <f t="shared" ca="1" si="268"/>
        <v>#REF!</v>
      </c>
      <c r="AH1025" s="128" t="e">
        <f t="shared" ca="1" si="275"/>
        <v>#REF!</v>
      </c>
    </row>
    <row r="1026" spans="4:34">
      <c r="D1026">
        <v>1019</v>
      </c>
      <c r="E1026" s="6">
        <f t="shared" ca="1" si="260"/>
        <v>21763</v>
      </c>
      <c r="F1026" s="7">
        <f t="shared" ca="1" si="269"/>
        <v>0</v>
      </c>
      <c r="G1026" s="125">
        <f t="shared" ca="1" si="261"/>
        <v>0</v>
      </c>
      <c r="H1026" s="125">
        <f ca="1">IF(F1026=1,F1026*$B$10/MIN(12,'Simulador - 3º Pilar'!$E$88),0)</f>
        <v>0</v>
      </c>
      <c r="I1026" s="128">
        <f t="shared" ca="1" si="262"/>
        <v>0</v>
      </c>
      <c r="J1026" s="494">
        <f t="shared" ca="1" si="263"/>
        <v>0</v>
      </c>
      <c r="K1026" s="126">
        <f t="shared" ca="1" si="264"/>
        <v>0</v>
      </c>
      <c r="L1026" s="126">
        <f t="shared" ca="1" si="276"/>
        <v>0</v>
      </c>
      <c r="P1026">
        <v>1019</v>
      </c>
      <c r="Q1026" s="6">
        <f t="shared" ca="1" si="265"/>
        <v>21763</v>
      </c>
      <c r="R1026" s="7" t="e">
        <f t="shared" ca="1" si="270"/>
        <v>#REF!</v>
      </c>
      <c r="S1026" s="125" t="e">
        <f t="shared" ca="1" si="271"/>
        <v>#REF!</v>
      </c>
      <c r="T1026" s="125" t="e">
        <f t="shared" ca="1" si="266"/>
        <v>#REF!</v>
      </c>
      <c r="U1026" s="128" t="e">
        <f t="shared" ca="1" si="272"/>
        <v>#REF!</v>
      </c>
      <c r="AC1026">
        <v>1019</v>
      </c>
      <c r="AD1026" s="6">
        <f t="shared" ca="1" si="267"/>
        <v>21763</v>
      </c>
      <c r="AE1026" s="7" t="e">
        <f t="shared" ca="1" si="273"/>
        <v>#REF!</v>
      </c>
      <c r="AF1026" s="125" t="e">
        <f t="shared" ca="1" si="274"/>
        <v>#REF!</v>
      </c>
      <c r="AG1026" s="125" t="e">
        <f t="shared" ca="1" si="268"/>
        <v>#REF!</v>
      </c>
      <c r="AH1026" s="128" t="e">
        <f t="shared" ca="1" si="275"/>
        <v>#REF!</v>
      </c>
    </row>
    <row r="1027" spans="4:34">
      <c r="D1027">
        <v>1020</v>
      </c>
      <c r="E1027" s="6">
        <f t="shared" ca="1" si="260"/>
        <v>21732</v>
      </c>
      <c r="F1027" s="7">
        <f t="shared" ca="1" si="269"/>
        <v>0</v>
      </c>
      <c r="G1027" s="125">
        <f t="shared" ca="1" si="261"/>
        <v>0</v>
      </c>
      <c r="H1027" s="125">
        <f ca="1">IF(F1027=1,F1027*$B$10/MIN(12,'Simulador - 3º Pilar'!$E$88),0)</f>
        <v>0</v>
      </c>
      <c r="I1027" s="128">
        <f t="shared" ca="1" si="262"/>
        <v>0</v>
      </c>
      <c r="J1027" s="494">
        <f t="shared" ca="1" si="263"/>
        <v>0</v>
      </c>
      <c r="K1027" s="126">
        <f t="shared" ca="1" si="264"/>
        <v>0</v>
      </c>
      <c r="L1027" s="126">
        <f t="shared" ca="1" si="276"/>
        <v>0</v>
      </c>
      <c r="P1027">
        <v>1020</v>
      </c>
      <c r="Q1027" s="6">
        <f t="shared" ca="1" si="265"/>
        <v>21732</v>
      </c>
      <c r="R1027" s="7" t="e">
        <f t="shared" ca="1" si="270"/>
        <v>#REF!</v>
      </c>
      <c r="S1027" s="125" t="e">
        <f t="shared" ca="1" si="271"/>
        <v>#REF!</v>
      </c>
      <c r="T1027" s="125" t="e">
        <f t="shared" ca="1" si="266"/>
        <v>#REF!</v>
      </c>
      <c r="U1027" s="128" t="e">
        <f t="shared" ca="1" si="272"/>
        <v>#REF!</v>
      </c>
      <c r="AC1027">
        <v>1020</v>
      </c>
      <c r="AD1027" s="6">
        <f t="shared" ca="1" si="267"/>
        <v>21732</v>
      </c>
      <c r="AE1027" s="7" t="e">
        <f t="shared" ca="1" si="273"/>
        <v>#REF!</v>
      </c>
      <c r="AF1027" s="125" t="e">
        <f t="shared" ca="1" si="274"/>
        <v>#REF!</v>
      </c>
      <c r="AG1027" s="125" t="e">
        <f t="shared" ca="1" si="268"/>
        <v>#REF!</v>
      </c>
      <c r="AH1027" s="128" t="e">
        <f t="shared" ca="1" si="275"/>
        <v>#REF!</v>
      </c>
    </row>
    <row r="1028" spans="4:34">
      <c r="D1028">
        <v>1021</v>
      </c>
      <c r="E1028" s="6">
        <f t="shared" ca="1" si="260"/>
        <v>21702</v>
      </c>
      <c r="F1028" s="7">
        <f t="shared" ca="1" si="269"/>
        <v>0</v>
      </c>
      <c r="G1028" s="125">
        <f t="shared" ca="1" si="261"/>
        <v>0</v>
      </c>
      <c r="H1028" s="125">
        <f ca="1">IF(F1028=1,F1028*$B$10/MIN(12,'Simulador - 3º Pilar'!$E$88),0)</f>
        <v>0</v>
      </c>
      <c r="I1028" s="128">
        <f t="shared" ca="1" si="262"/>
        <v>0</v>
      </c>
      <c r="J1028" s="494">
        <f t="shared" ca="1" si="263"/>
        <v>0</v>
      </c>
      <c r="K1028" s="126">
        <f t="shared" ca="1" si="264"/>
        <v>0</v>
      </c>
      <c r="L1028" s="126">
        <f t="shared" ca="1" si="276"/>
        <v>0</v>
      </c>
      <c r="P1028">
        <v>1021</v>
      </c>
      <c r="Q1028" s="6">
        <f t="shared" ca="1" si="265"/>
        <v>21702</v>
      </c>
      <c r="R1028" s="7" t="e">
        <f t="shared" ca="1" si="270"/>
        <v>#REF!</v>
      </c>
      <c r="S1028" s="125" t="e">
        <f t="shared" ca="1" si="271"/>
        <v>#REF!</v>
      </c>
      <c r="T1028" s="125" t="e">
        <f t="shared" ca="1" si="266"/>
        <v>#REF!</v>
      </c>
      <c r="U1028" s="128" t="e">
        <f t="shared" ca="1" si="272"/>
        <v>#REF!</v>
      </c>
      <c r="AC1028">
        <v>1021</v>
      </c>
      <c r="AD1028" s="6">
        <f t="shared" ca="1" si="267"/>
        <v>21702</v>
      </c>
      <c r="AE1028" s="7" t="e">
        <f t="shared" ca="1" si="273"/>
        <v>#REF!</v>
      </c>
      <c r="AF1028" s="125" t="e">
        <f t="shared" ca="1" si="274"/>
        <v>#REF!</v>
      </c>
      <c r="AG1028" s="125" t="e">
        <f t="shared" ca="1" si="268"/>
        <v>#REF!</v>
      </c>
      <c r="AH1028" s="128" t="e">
        <f t="shared" ca="1" si="275"/>
        <v>#REF!</v>
      </c>
    </row>
    <row r="1029" spans="4:34">
      <c r="D1029">
        <v>1022</v>
      </c>
      <c r="E1029" s="6">
        <f t="shared" ca="1" si="260"/>
        <v>21671</v>
      </c>
      <c r="F1029" s="7">
        <f t="shared" ca="1" si="269"/>
        <v>0</v>
      </c>
      <c r="G1029" s="125">
        <f t="shared" ca="1" si="261"/>
        <v>0</v>
      </c>
      <c r="H1029" s="125">
        <f ca="1">IF(F1029=1,F1029*$B$10/MIN(12,'Simulador - 3º Pilar'!$E$88),0)</f>
        <v>0</v>
      </c>
      <c r="I1029" s="128">
        <f t="shared" ca="1" si="262"/>
        <v>0</v>
      </c>
      <c r="J1029" s="494">
        <f t="shared" ca="1" si="263"/>
        <v>0</v>
      </c>
      <c r="K1029" s="126">
        <f t="shared" ca="1" si="264"/>
        <v>0</v>
      </c>
      <c r="L1029" s="126">
        <f t="shared" ca="1" si="276"/>
        <v>0</v>
      </c>
      <c r="P1029">
        <v>1022</v>
      </c>
      <c r="Q1029" s="6">
        <f t="shared" ca="1" si="265"/>
        <v>21671</v>
      </c>
      <c r="R1029" s="7" t="e">
        <f t="shared" ca="1" si="270"/>
        <v>#REF!</v>
      </c>
      <c r="S1029" s="125" t="e">
        <f t="shared" ca="1" si="271"/>
        <v>#REF!</v>
      </c>
      <c r="T1029" s="125" t="e">
        <f t="shared" ca="1" si="266"/>
        <v>#REF!</v>
      </c>
      <c r="U1029" s="128" t="e">
        <f t="shared" ca="1" si="272"/>
        <v>#REF!</v>
      </c>
      <c r="AC1029">
        <v>1022</v>
      </c>
      <c r="AD1029" s="6">
        <f t="shared" ca="1" si="267"/>
        <v>21671</v>
      </c>
      <c r="AE1029" s="7" t="e">
        <f t="shared" ca="1" si="273"/>
        <v>#REF!</v>
      </c>
      <c r="AF1029" s="125" t="e">
        <f t="shared" ca="1" si="274"/>
        <v>#REF!</v>
      </c>
      <c r="AG1029" s="125" t="e">
        <f t="shared" ca="1" si="268"/>
        <v>#REF!</v>
      </c>
      <c r="AH1029" s="128" t="e">
        <f t="shared" ca="1" si="275"/>
        <v>#REF!</v>
      </c>
    </row>
    <row r="1030" spans="4:34">
      <c r="D1030">
        <v>1023</v>
      </c>
      <c r="E1030" s="6">
        <f t="shared" ca="1" si="260"/>
        <v>21641</v>
      </c>
      <c r="F1030" s="7">
        <f t="shared" ca="1" si="269"/>
        <v>0</v>
      </c>
      <c r="G1030" s="125">
        <f t="shared" ca="1" si="261"/>
        <v>0</v>
      </c>
      <c r="H1030" s="125">
        <f ca="1">IF(F1030=1,F1030*$B$10/MIN(12,'Simulador - 3º Pilar'!$E$88),0)</f>
        <v>0</v>
      </c>
      <c r="I1030" s="128">
        <f t="shared" ca="1" si="262"/>
        <v>0</v>
      </c>
      <c r="J1030" s="494">
        <f t="shared" ca="1" si="263"/>
        <v>0</v>
      </c>
      <c r="K1030" s="126">
        <f t="shared" ca="1" si="264"/>
        <v>0</v>
      </c>
      <c r="L1030" s="126">
        <f t="shared" ca="1" si="276"/>
        <v>0</v>
      </c>
      <c r="P1030">
        <v>1023</v>
      </c>
      <c r="Q1030" s="6">
        <f t="shared" ca="1" si="265"/>
        <v>21641</v>
      </c>
      <c r="R1030" s="7" t="e">
        <f t="shared" ca="1" si="270"/>
        <v>#REF!</v>
      </c>
      <c r="S1030" s="125" t="e">
        <f t="shared" ca="1" si="271"/>
        <v>#REF!</v>
      </c>
      <c r="T1030" s="125" t="e">
        <f t="shared" ca="1" si="266"/>
        <v>#REF!</v>
      </c>
      <c r="U1030" s="128" t="e">
        <f t="shared" ca="1" si="272"/>
        <v>#REF!</v>
      </c>
      <c r="AC1030">
        <v>1023</v>
      </c>
      <c r="AD1030" s="6">
        <f t="shared" ca="1" si="267"/>
        <v>21641</v>
      </c>
      <c r="AE1030" s="7" t="e">
        <f t="shared" ca="1" si="273"/>
        <v>#REF!</v>
      </c>
      <c r="AF1030" s="125" t="e">
        <f t="shared" ca="1" si="274"/>
        <v>#REF!</v>
      </c>
      <c r="AG1030" s="125" t="e">
        <f t="shared" ca="1" si="268"/>
        <v>#REF!</v>
      </c>
      <c r="AH1030" s="128" t="e">
        <f t="shared" ca="1" si="275"/>
        <v>#REF!</v>
      </c>
    </row>
    <row r="1031" spans="4:34">
      <c r="D1031">
        <v>1024</v>
      </c>
      <c r="E1031" s="6">
        <f t="shared" ca="1" si="260"/>
        <v>21610</v>
      </c>
      <c r="F1031" s="7">
        <f t="shared" ca="1" si="269"/>
        <v>0</v>
      </c>
      <c r="G1031" s="125">
        <f t="shared" ca="1" si="261"/>
        <v>0</v>
      </c>
      <c r="H1031" s="125">
        <f ca="1">IF(F1031=1,F1031*$B$10/MIN(12,'Simulador - 3º Pilar'!$E$88),0)</f>
        <v>0</v>
      </c>
      <c r="I1031" s="128">
        <f t="shared" ca="1" si="262"/>
        <v>0</v>
      </c>
      <c r="J1031" s="494">
        <f t="shared" ca="1" si="263"/>
        <v>0</v>
      </c>
      <c r="K1031" s="126">
        <f t="shared" ca="1" si="264"/>
        <v>0</v>
      </c>
      <c r="L1031" s="126">
        <f t="shared" ca="1" si="276"/>
        <v>0</v>
      </c>
      <c r="P1031">
        <v>1024</v>
      </c>
      <c r="Q1031" s="6">
        <f t="shared" ca="1" si="265"/>
        <v>21610</v>
      </c>
      <c r="R1031" s="7" t="e">
        <f t="shared" ca="1" si="270"/>
        <v>#REF!</v>
      </c>
      <c r="S1031" s="125" t="e">
        <f t="shared" ca="1" si="271"/>
        <v>#REF!</v>
      </c>
      <c r="T1031" s="125" t="e">
        <f t="shared" ca="1" si="266"/>
        <v>#REF!</v>
      </c>
      <c r="U1031" s="128" t="e">
        <f t="shared" ca="1" si="272"/>
        <v>#REF!</v>
      </c>
      <c r="AC1031">
        <v>1024</v>
      </c>
      <c r="AD1031" s="6">
        <f t="shared" ca="1" si="267"/>
        <v>21610</v>
      </c>
      <c r="AE1031" s="7" t="e">
        <f t="shared" ca="1" si="273"/>
        <v>#REF!</v>
      </c>
      <c r="AF1031" s="125" t="e">
        <f t="shared" ca="1" si="274"/>
        <v>#REF!</v>
      </c>
      <c r="AG1031" s="125" t="e">
        <f t="shared" ca="1" si="268"/>
        <v>#REF!</v>
      </c>
      <c r="AH1031" s="128" t="e">
        <f t="shared" ca="1" si="275"/>
        <v>#REF!</v>
      </c>
    </row>
    <row r="1032" spans="4:34">
      <c r="D1032">
        <v>1025</v>
      </c>
      <c r="E1032" s="6">
        <f t="shared" ref="E1032:E1066" ca="1" si="277">+DATE(YEAR(E1031),MONTH(E1031)-1,DAY(E1031))</f>
        <v>21582</v>
      </c>
      <c r="F1032" s="7">
        <f t="shared" ca="1" si="269"/>
        <v>0</v>
      </c>
      <c r="G1032" s="125">
        <f t="shared" ref="G1032:G1066" ca="1" si="278">F1032*$B$8/12</f>
        <v>0</v>
      </c>
      <c r="H1032" s="125">
        <f ca="1">IF(F1032=1,F1032*$B$10/MIN(12,'Simulador - 3º Pilar'!$E$88),0)</f>
        <v>0</v>
      </c>
      <c r="I1032" s="128">
        <f t="shared" ref="I1032:I1066" ca="1" si="279">(1+$G$5)^(D1032/12)*(H1032+IF(E1032=$N$7,$N$4,0))</f>
        <v>0</v>
      </c>
      <c r="J1032" s="494">
        <f t="shared" ref="J1032:J1066" ca="1" si="280">(1+$G$5)^(D1032/12)*(H1032*(12-IF(MONTH(E1033)=12,0,MONTH(E1033)))+IF(AND(F1032=1,F1033=0),$Q$4,0))*IF(AND(F1032=1,F1033=0),1,0)</f>
        <v>0</v>
      </c>
      <c r="K1032" s="126">
        <f t="shared" ref="K1032:K1066" ca="1" si="281">(1+$G$5)^(D1032/12)*(IF(E1032=$N$7,$N$4,0)+IF(E1032=$C$6,$B$10,0))</f>
        <v>0</v>
      </c>
      <c r="L1032" s="126">
        <f t="shared" ca="1" si="276"/>
        <v>0</v>
      </c>
      <c r="P1032">
        <v>1025</v>
      </c>
      <c r="Q1032" s="6">
        <f t="shared" ref="Q1032:Q1066" ca="1" si="282">+DATE(YEAR(Q1031),MONTH(Q1031)-1,DAY(Q1031))</f>
        <v>21582</v>
      </c>
      <c r="R1032" s="7" t="e">
        <f t="shared" ca="1" si="270"/>
        <v>#REF!</v>
      </c>
      <c r="S1032" s="125" t="e">
        <f t="shared" ca="1" si="271"/>
        <v>#REF!</v>
      </c>
      <c r="T1032" s="125" t="e">
        <f t="shared" ref="T1032:T1066" ca="1" si="283">R1032*$B$11/12</f>
        <v>#REF!</v>
      </c>
      <c r="U1032" s="128" t="e">
        <f t="shared" ca="1" si="272"/>
        <v>#REF!</v>
      </c>
      <c r="AC1032">
        <v>1025</v>
      </c>
      <c r="AD1032" s="6">
        <f t="shared" ref="AD1032:AD1066" ca="1" si="284">+DATE(YEAR(AD1031),MONTH(AD1031)-1,DAY(AD1031))</f>
        <v>21582</v>
      </c>
      <c r="AE1032" s="7" t="e">
        <f t="shared" ca="1" si="273"/>
        <v>#REF!</v>
      </c>
      <c r="AF1032" s="125" t="e">
        <f t="shared" ca="1" si="274"/>
        <v>#REF!</v>
      </c>
      <c r="AG1032" s="125" t="e">
        <f t="shared" ref="AG1032:AG1066" ca="1" si="285">AE1032*$B$12/12</f>
        <v>#REF!</v>
      </c>
      <c r="AH1032" s="128" t="e">
        <f t="shared" ca="1" si="275"/>
        <v>#REF!</v>
      </c>
    </row>
    <row r="1033" spans="4:34">
      <c r="D1033">
        <v>1026</v>
      </c>
      <c r="E1033" s="6">
        <f t="shared" ca="1" si="277"/>
        <v>21551</v>
      </c>
      <c r="F1033" s="7">
        <f t="shared" ref="F1033:F1066" ca="1" si="286">IF($C$6=$E1033,1,IF(MONTH($E1033)=1,F1034*(1+$F$5),F1034))</f>
        <v>0</v>
      </c>
      <c r="G1033" s="125">
        <f t="shared" ca="1" si="278"/>
        <v>0</v>
      </c>
      <c r="H1033" s="125">
        <f ca="1">IF(F1033=1,F1033*$B$10/MIN(12,'Simulador - 3º Pilar'!$E$88),0)</f>
        <v>0</v>
      </c>
      <c r="I1033" s="128">
        <f t="shared" ca="1" si="279"/>
        <v>0</v>
      </c>
      <c r="J1033" s="494">
        <f t="shared" ca="1" si="280"/>
        <v>0</v>
      </c>
      <c r="K1033" s="126">
        <f t="shared" ca="1" si="281"/>
        <v>0</v>
      </c>
      <c r="L1033" s="126">
        <f t="shared" ca="1" si="276"/>
        <v>0</v>
      </c>
      <c r="P1033">
        <v>1026</v>
      </c>
      <c r="Q1033" s="6">
        <f t="shared" ca="1" si="282"/>
        <v>21551</v>
      </c>
      <c r="R1033" s="7" t="e">
        <f t="shared" ref="R1033:R1066" ca="1" si="287">IF($Z$7=$E1033,1,IF(MONTH($E1033)=1,R1034*(1+$F$5),R1034))</f>
        <v>#REF!</v>
      </c>
      <c r="S1033" s="125" t="e">
        <f t="shared" ref="S1033:S1066" ca="1" si="288">R1033*$B$8/12</f>
        <v>#REF!</v>
      </c>
      <c r="T1033" s="125" t="e">
        <f t="shared" ca="1" si="283"/>
        <v>#REF!</v>
      </c>
      <c r="U1033" s="128" t="e">
        <f t="shared" ref="U1033:U1066" ca="1" si="289">(1+$V$5)^(P1033/12)*(T1033+IF(Q1033=$Z$7,$Z$4,0))</f>
        <v>#REF!</v>
      </c>
      <c r="AC1033">
        <v>1026</v>
      </c>
      <c r="AD1033" s="6">
        <f t="shared" ca="1" si="284"/>
        <v>21551</v>
      </c>
      <c r="AE1033" s="7" t="e">
        <f t="shared" ref="AE1033:AE1066" ca="1" si="290">IF($AM$7=$E1033,1,IF(MONTH($E1033)=1,AE1034*(1+$F$5),AE1034))</f>
        <v>#REF!</v>
      </c>
      <c r="AF1033" s="125" t="e">
        <f t="shared" ref="AF1033:AF1066" ca="1" si="291">AE1033*$B$8/12</f>
        <v>#REF!</v>
      </c>
      <c r="AG1033" s="125" t="e">
        <f t="shared" ca="1" si="285"/>
        <v>#REF!</v>
      </c>
      <c r="AH1033" s="128" t="e">
        <f t="shared" ref="AH1033:AH1066" ca="1" si="292">(1+$AI$5)^(AC1033/12)*(AG1033+IF(AD1033=$AM$7,$AM$4,0))</f>
        <v>#REF!</v>
      </c>
    </row>
    <row r="1034" spans="4:34">
      <c r="D1034">
        <v>1027</v>
      </c>
      <c r="E1034" s="6">
        <f t="shared" ca="1" si="277"/>
        <v>21520</v>
      </c>
      <c r="F1034" s="7">
        <f t="shared" ca="1" si="286"/>
        <v>0</v>
      </c>
      <c r="G1034" s="125">
        <f t="shared" ca="1" si="278"/>
        <v>0</v>
      </c>
      <c r="H1034" s="125">
        <f ca="1">IF(F1034=1,F1034*$B$10/MIN(12,'Simulador - 3º Pilar'!$E$88),0)</f>
        <v>0</v>
      </c>
      <c r="I1034" s="128">
        <f t="shared" ca="1" si="279"/>
        <v>0</v>
      </c>
      <c r="J1034" s="494">
        <f t="shared" ca="1" si="280"/>
        <v>0</v>
      </c>
      <c r="K1034" s="126">
        <f t="shared" ca="1" si="281"/>
        <v>0</v>
      </c>
      <c r="L1034" s="126">
        <f t="shared" ca="1" si="276"/>
        <v>0</v>
      </c>
      <c r="P1034">
        <v>1027</v>
      </c>
      <c r="Q1034" s="6">
        <f t="shared" ca="1" si="282"/>
        <v>21520</v>
      </c>
      <c r="R1034" s="7" t="e">
        <f t="shared" ca="1" si="287"/>
        <v>#REF!</v>
      </c>
      <c r="S1034" s="125" t="e">
        <f t="shared" ca="1" si="288"/>
        <v>#REF!</v>
      </c>
      <c r="T1034" s="125" t="e">
        <f t="shared" ca="1" si="283"/>
        <v>#REF!</v>
      </c>
      <c r="U1034" s="128" t="e">
        <f t="shared" ca="1" si="289"/>
        <v>#REF!</v>
      </c>
      <c r="AC1034">
        <v>1027</v>
      </c>
      <c r="AD1034" s="6">
        <f t="shared" ca="1" si="284"/>
        <v>21520</v>
      </c>
      <c r="AE1034" s="7" t="e">
        <f t="shared" ca="1" si="290"/>
        <v>#REF!</v>
      </c>
      <c r="AF1034" s="125" t="e">
        <f t="shared" ca="1" si="291"/>
        <v>#REF!</v>
      </c>
      <c r="AG1034" s="125" t="e">
        <f t="shared" ca="1" si="285"/>
        <v>#REF!</v>
      </c>
      <c r="AH1034" s="128" t="e">
        <f t="shared" ca="1" si="292"/>
        <v>#REF!</v>
      </c>
    </row>
    <row r="1035" spans="4:34">
      <c r="D1035">
        <v>1028</v>
      </c>
      <c r="E1035" s="6">
        <f t="shared" ca="1" si="277"/>
        <v>21490</v>
      </c>
      <c r="F1035" s="7">
        <f t="shared" ca="1" si="286"/>
        <v>0</v>
      </c>
      <c r="G1035" s="125">
        <f t="shared" ca="1" si="278"/>
        <v>0</v>
      </c>
      <c r="H1035" s="125">
        <f ca="1">IF(F1035=1,F1035*$B$10/MIN(12,'Simulador - 3º Pilar'!$E$88),0)</f>
        <v>0</v>
      </c>
      <c r="I1035" s="128">
        <f t="shared" ca="1" si="279"/>
        <v>0</v>
      </c>
      <c r="J1035" s="494">
        <f t="shared" ca="1" si="280"/>
        <v>0</v>
      </c>
      <c r="K1035" s="126">
        <f t="shared" ca="1" si="281"/>
        <v>0</v>
      </c>
      <c r="L1035" s="126">
        <f t="shared" ca="1" si="276"/>
        <v>0</v>
      </c>
      <c r="P1035">
        <v>1028</v>
      </c>
      <c r="Q1035" s="6">
        <f t="shared" ca="1" si="282"/>
        <v>21490</v>
      </c>
      <c r="R1035" s="7" t="e">
        <f t="shared" ca="1" si="287"/>
        <v>#REF!</v>
      </c>
      <c r="S1035" s="125" t="e">
        <f t="shared" ca="1" si="288"/>
        <v>#REF!</v>
      </c>
      <c r="T1035" s="125" t="e">
        <f t="shared" ca="1" si="283"/>
        <v>#REF!</v>
      </c>
      <c r="U1035" s="128" t="e">
        <f t="shared" ca="1" si="289"/>
        <v>#REF!</v>
      </c>
      <c r="AC1035">
        <v>1028</v>
      </c>
      <c r="AD1035" s="6">
        <f t="shared" ca="1" si="284"/>
        <v>21490</v>
      </c>
      <c r="AE1035" s="7" t="e">
        <f t="shared" ca="1" si="290"/>
        <v>#REF!</v>
      </c>
      <c r="AF1035" s="125" t="e">
        <f t="shared" ca="1" si="291"/>
        <v>#REF!</v>
      </c>
      <c r="AG1035" s="125" t="e">
        <f t="shared" ca="1" si="285"/>
        <v>#REF!</v>
      </c>
      <c r="AH1035" s="128" t="e">
        <f t="shared" ca="1" si="292"/>
        <v>#REF!</v>
      </c>
    </row>
    <row r="1036" spans="4:34">
      <c r="D1036">
        <v>1029</v>
      </c>
      <c r="E1036" s="6">
        <f t="shared" ca="1" si="277"/>
        <v>21459</v>
      </c>
      <c r="F1036" s="7">
        <f t="shared" ca="1" si="286"/>
        <v>0</v>
      </c>
      <c r="G1036" s="125">
        <f t="shared" ca="1" si="278"/>
        <v>0</v>
      </c>
      <c r="H1036" s="125">
        <f ca="1">IF(F1036=1,F1036*$B$10/MIN(12,'Simulador - 3º Pilar'!$E$88),0)</f>
        <v>0</v>
      </c>
      <c r="I1036" s="128">
        <f t="shared" ca="1" si="279"/>
        <v>0</v>
      </c>
      <c r="J1036" s="494">
        <f t="shared" ca="1" si="280"/>
        <v>0</v>
      </c>
      <c r="K1036" s="126">
        <f t="shared" ca="1" si="281"/>
        <v>0</v>
      </c>
      <c r="L1036" s="126">
        <f t="shared" ca="1" si="276"/>
        <v>0</v>
      </c>
      <c r="P1036">
        <v>1029</v>
      </c>
      <c r="Q1036" s="6">
        <f t="shared" ca="1" si="282"/>
        <v>21459</v>
      </c>
      <c r="R1036" s="7" t="e">
        <f t="shared" ca="1" si="287"/>
        <v>#REF!</v>
      </c>
      <c r="S1036" s="125" t="e">
        <f t="shared" ca="1" si="288"/>
        <v>#REF!</v>
      </c>
      <c r="T1036" s="125" t="e">
        <f t="shared" ca="1" si="283"/>
        <v>#REF!</v>
      </c>
      <c r="U1036" s="128" t="e">
        <f t="shared" ca="1" si="289"/>
        <v>#REF!</v>
      </c>
      <c r="AC1036">
        <v>1029</v>
      </c>
      <c r="AD1036" s="6">
        <f t="shared" ca="1" si="284"/>
        <v>21459</v>
      </c>
      <c r="AE1036" s="7" t="e">
        <f t="shared" ca="1" si="290"/>
        <v>#REF!</v>
      </c>
      <c r="AF1036" s="125" t="e">
        <f t="shared" ca="1" si="291"/>
        <v>#REF!</v>
      </c>
      <c r="AG1036" s="125" t="e">
        <f t="shared" ca="1" si="285"/>
        <v>#REF!</v>
      </c>
      <c r="AH1036" s="128" t="e">
        <f t="shared" ca="1" si="292"/>
        <v>#REF!</v>
      </c>
    </row>
    <row r="1037" spans="4:34">
      <c r="D1037">
        <v>1030</v>
      </c>
      <c r="E1037" s="6">
        <f t="shared" ca="1" si="277"/>
        <v>21429</v>
      </c>
      <c r="F1037" s="7">
        <f t="shared" ca="1" si="286"/>
        <v>0</v>
      </c>
      <c r="G1037" s="125">
        <f t="shared" ca="1" si="278"/>
        <v>0</v>
      </c>
      <c r="H1037" s="125">
        <f ca="1">IF(F1037=1,F1037*$B$10/MIN(12,'Simulador - 3º Pilar'!$E$88),0)</f>
        <v>0</v>
      </c>
      <c r="I1037" s="128">
        <f t="shared" ca="1" si="279"/>
        <v>0</v>
      </c>
      <c r="J1037" s="494">
        <f t="shared" ca="1" si="280"/>
        <v>0</v>
      </c>
      <c r="K1037" s="126">
        <f t="shared" ca="1" si="281"/>
        <v>0</v>
      </c>
      <c r="L1037" s="126">
        <f t="shared" ca="1" si="276"/>
        <v>0</v>
      </c>
      <c r="P1037">
        <v>1030</v>
      </c>
      <c r="Q1037" s="6">
        <f t="shared" ca="1" si="282"/>
        <v>21429</v>
      </c>
      <c r="R1037" s="7" t="e">
        <f t="shared" ca="1" si="287"/>
        <v>#REF!</v>
      </c>
      <c r="S1037" s="125" t="e">
        <f t="shared" ca="1" si="288"/>
        <v>#REF!</v>
      </c>
      <c r="T1037" s="125" t="e">
        <f t="shared" ca="1" si="283"/>
        <v>#REF!</v>
      </c>
      <c r="U1037" s="128" t="e">
        <f t="shared" ca="1" si="289"/>
        <v>#REF!</v>
      </c>
      <c r="AC1037">
        <v>1030</v>
      </c>
      <c r="AD1037" s="6">
        <f t="shared" ca="1" si="284"/>
        <v>21429</v>
      </c>
      <c r="AE1037" s="7" t="e">
        <f t="shared" ca="1" si="290"/>
        <v>#REF!</v>
      </c>
      <c r="AF1037" s="125" t="e">
        <f t="shared" ca="1" si="291"/>
        <v>#REF!</v>
      </c>
      <c r="AG1037" s="125" t="e">
        <f t="shared" ca="1" si="285"/>
        <v>#REF!</v>
      </c>
      <c r="AH1037" s="128" t="e">
        <f t="shared" ca="1" si="292"/>
        <v>#REF!</v>
      </c>
    </row>
    <row r="1038" spans="4:34">
      <c r="D1038">
        <v>1031</v>
      </c>
      <c r="E1038" s="6">
        <f t="shared" ca="1" si="277"/>
        <v>21398</v>
      </c>
      <c r="F1038" s="7">
        <f t="shared" ca="1" si="286"/>
        <v>0</v>
      </c>
      <c r="G1038" s="125">
        <f t="shared" ca="1" si="278"/>
        <v>0</v>
      </c>
      <c r="H1038" s="125">
        <f ca="1">IF(F1038=1,F1038*$B$10/MIN(12,'Simulador - 3º Pilar'!$E$88),0)</f>
        <v>0</v>
      </c>
      <c r="I1038" s="128">
        <f t="shared" ca="1" si="279"/>
        <v>0</v>
      </c>
      <c r="J1038" s="494">
        <f t="shared" ca="1" si="280"/>
        <v>0</v>
      </c>
      <c r="K1038" s="126">
        <f t="shared" ca="1" si="281"/>
        <v>0</v>
      </c>
      <c r="L1038" s="126">
        <f t="shared" ca="1" si="276"/>
        <v>0</v>
      </c>
      <c r="P1038">
        <v>1031</v>
      </c>
      <c r="Q1038" s="6">
        <f t="shared" ca="1" si="282"/>
        <v>21398</v>
      </c>
      <c r="R1038" s="7" t="e">
        <f t="shared" ca="1" si="287"/>
        <v>#REF!</v>
      </c>
      <c r="S1038" s="125" t="e">
        <f t="shared" ca="1" si="288"/>
        <v>#REF!</v>
      </c>
      <c r="T1038" s="125" t="e">
        <f t="shared" ca="1" si="283"/>
        <v>#REF!</v>
      </c>
      <c r="U1038" s="128" t="e">
        <f t="shared" ca="1" si="289"/>
        <v>#REF!</v>
      </c>
      <c r="AC1038">
        <v>1031</v>
      </c>
      <c r="AD1038" s="6">
        <f t="shared" ca="1" si="284"/>
        <v>21398</v>
      </c>
      <c r="AE1038" s="7" t="e">
        <f t="shared" ca="1" si="290"/>
        <v>#REF!</v>
      </c>
      <c r="AF1038" s="125" t="e">
        <f t="shared" ca="1" si="291"/>
        <v>#REF!</v>
      </c>
      <c r="AG1038" s="125" t="e">
        <f t="shared" ca="1" si="285"/>
        <v>#REF!</v>
      </c>
      <c r="AH1038" s="128" t="e">
        <f t="shared" ca="1" si="292"/>
        <v>#REF!</v>
      </c>
    </row>
    <row r="1039" spans="4:34">
      <c r="D1039">
        <v>1032</v>
      </c>
      <c r="E1039" s="6">
        <f t="shared" ca="1" si="277"/>
        <v>21367</v>
      </c>
      <c r="F1039" s="7">
        <f t="shared" ca="1" si="286"/>
        <v>0</v>
      </c>
      <c r="G1039" s="125">
        <f t="shared" ca="1" si="278"/>
        <v>0</v>
      </c>
      <c r="H1039" s="125">
        <f ca="1">IF(F1039=1,F1039*$B$10/MIN(12,'Simulador - 3º Pilar'!$E$88),0)</f>
        <v>0</v>
      </c>
      <c r="I1039" s="128">
        <f t="shared" ca="1" si="279"/>
        <v>0</v>
      </c>
      <c r="J1039" s="494">
        <f t="shared" ca="1" si="280"/>
        <v>0</v>
      </c>
      <c r="K1039" s="126">
        <f t="shared" ca="1" si="281"/>
        <v>0</v>
      </c>
      <c r="L1039" s="126">
        <f t="shared" ca="1" si="276"/>
        <v>0</v>
      </c>
      <c r="P1039">
        <v>1032</v>
      </c>
      <c r="Q1039" s="6">
        <f t="shared" ca="1" si="282"/>
        <v>21367</v>
      </c>
      <c r="R1039" s="7" t="e">
        <f t="shared" ca="1" si="287"/>
        <v>#REF!</v>
      </c>
      <c r="S1039" s="125" t="e">
        <f t="shared" ca="1" si="288"/>
        <v>#REF!</v>
      </c>
      <c r="T1039" s="125" t="e">
        <f t="shared" ca="1" si="283"/>
        <v>#REF!</v>
      </c>
      <c r="U1039" s="128" t="e">
        <f t="shared" ca="1" si="289"/>
        <v>#REF!</v>
      </c>
      <c r="AC1039">
        <v>1032</v>
      </c>
      <c r="AD1039" s="6">
        <f t="shared" ca="1" si="284"/>
        <v>21367</v>
      </c>
      <c r="AE1039" s="7" t="e">
        <f t="shared" ca="1" si="290"/>
        <v>#REF!</v>
      </c>
      <c r="AF1039" s="125" t="e">
        <f t="shared" ca="1" si="291"/>
        <v>#REF!</v>
      </c>
      <c r="AG1039" s="125" t="e">
        <f t="shared" ca="1" si="285"/>
        <v>#REF!</v>
      </c>
      <c r="AH1039" s="128" t="e">
        <f t="shared" ca="1" si="292"/>
        <v>#REF!</v>
      </c>
    </row>
    <row r="1040" spans="4:34">
      <c r="D1040">
        <v>1033</v>
      </c>
      <c r="E1040" s="6">
        <f t="shared" ca="1" si="277"/>
        <v>21337</v>
      </c>
      <c r="F1040" s="7">
        <f t="shared" ca="1" si="286"/>
        <v>0</v>
      </c>
      <c r="G1040" s="125">
        <f t="shared" ca="1" si="278"/>
        <v>0</v>
      </c>
      <c r="H1040" s="125">
        <f ca="1">IF(F1040=1,F1040*$B$10/MIN(12,'Simulador - 3º Pilar'!$E$88),0)</f>
        <v>0</v>
      </c>
      <c r="I1040" s="128">
        <f t="shared" ca="1" si="279"/>
        <v>0</v>
      </c>
      <c r="J1040" s="494">
        <f t="shared" ca="1" si="280"/>
        <v>0</v>
      </c>
      <c r="K1040" s="126">
        <f t="shared" ca="1" si="281"/>
        <v>0</v>
      </c>
      <c r="L1040" s="126">
        <f t="shared" ca="1" si="276"/>
        <v>0</v>
      </c>
      <c r="P1040">
        <v>1033</v>
      </c>
      <c r="Q1040" s="6">
        <f t="shared" ca="1" si="282"/>
        <v>21337</v>
      </c>
      <c r="R1040" s="7" t="e">
        <f t="shared" ca="1" si="287"/>
        <v>#REF!</v>
      </c>
      <c r="S1040" s="125" t="e">
        <f t="shared" ca="1" si="288"/>
        <v>#REF!</v>
      </c>
      <c r="T1040" s="125" t="e">
        <f t="shared" ca="1" si="283"/>
        <v>#REF!</v>
      </c>
      <c r="U1040" s="128" t="e">
        <f t="shared" ca="1" si="289"/>
        <v>#REF!</v>
      </c>
      <c r="AC1040">
        <v>1033</v>
      </c>
      <c r="AD1040" s="6">
        <f t="shared" ca="1" si="284"/>
        <v>21337</v>
      </c>
      <c r="AE1040" s="7" t="e">
        <f t="shared" ca="1" si="290"/>
        <v>#REF!</v>
      </c>
      <c r="AF1040" s="125" t="e">
        <f t="shared" ca="1" si="291"/>
        <v>#REF!</v>
      </c>
      <c r="AG1040" s="125" t="e">
        <f t="shared" ca="1" si="285"/>
        <v>#REF!</v>
      </c>
      <c r="AH1040" s="128" t="e">
        <f t="shared" ca="1" si="292"/>
        <v>#REF!</v>
      </c>
    </row>
    <row r="1041" spans="4:34">
      <c r="D1041">
        <v>1034</v>
      </c>
      <c r="E1041" s="6">
        <f t="shared" ca="1" si="277"/>
        <v>21306</v>
      </c>
      <c r="F1041" s="7">
        <f t="shared" ca="1" si="286"/>
        <v>0</v>
      </c>
      <c r="G1041" s="125">
        <f t="shared" ca="1" si="278"/>
        <v>0</v>
      </c>
      <c r="H1041" s="125">
        <f ca="1">IF(F1041=1,F1041*$B$10/MIN(12,'Simulador - 3º Pilar'!$E$88),0)</f>
        <v>0</v>
      </c>
      <c r="I1041" s="128">
        <f t="shared" ca="1" si="279"/>
        <v>0</v>
      </c>
      <c r="J1041" s="494">
        <f t="shared" ca="1" si="280"/>
        <v>0</v>
      </c>
      <c r="K1041" s="126">
        <f t="shared" ca="1" si="281"/>
        <v>0</v>
      </c>
      <c r="L1041" s="126">
        <f t="shared" ca="1" si="276"/>
        <v>0</v>
      </c>
      <c r="P1041">
        <v>1034</v>
      </c>
      <c r="Q1041" s="6">
        <f t="shared" ca="1" si="282"/>
        <v>21306</v>
      </c>
      <c r="R1041" s="7" t="e">
        <f t="shared" ca="1" si="287"/>
        <v>#REF!</v>
      </c>
      <c r="S1041" s="125" t="e">
        <f t="shared" ca="1" si="288"/>
        <v>#REF!</v>
      </c>
      <c r="T1041" s="125" t="e">
        <f t="shared" ca="1" si="283"/>
        <v>#REF!</v>
      </c>
      <c r="U1041" s="128" t="e">
        <f t="shared" ca="1" si="289"/>
        <v>#REF!</v>
      </c>
      <c r="AC1041">
        <v>1034</v>
      </c>
      <c r="AD1041" s="6">
        <f t="shared" ca="1" si="284"/>
        <v>21306</v>
      </c>
      <c r="AE1041" s="7" t="e">
        <f t="shared" ca="1" si="290"/>
        <v>#REF!</v>
      </c>
      <c r="AF1041" s="125" t="e">
        <f t="shared" ca="1" si="291"/>
        <v>#REF!</v>
      </c>
      <c r="AG1041" s="125" t="e">
        <f t="shared" ca="1" si="285"/>
        <v>#REF!</v>
      </c>
      <c r="AH1041" s="128" t="e">
        <f t="shared" ca="1" si="292"/>
        <v>#REF!</v>
      </c>
    </row>
    <row r="1042" spans="4:34">
      <c r="D1042">
        <v>1035</v>
      </c>
      <c r="E1042" s="6">
        <f t="shared" ca="1" si="277"/>
        <v>21276</v>
      </c>
      <c r="F1042" s="7">
        <f t="shared" ca="1" si="286"/>
        <v>0</v>
      </c>
      <c r="G1042" s="125">
        <f t="shared" ca="1" si="278"/>
        <v>0</v>
      </c>
      <c r="H1042" s="125">
        <f ca="1">IF(F1042=1,F1042*$B$10/MIN(12,'Simulador - 3º Pilar'!$E$88),0)</f>
        <v>0</v>
      </c>
      <c r="I1042" s="128">
        <f t="shared" ca="1" si="279"/>
        <v>0</v>
      </c>
      <c r="J1042" s="494">
        <f t="shared" ca="1" si="280"/>
        <v>0</v>
      </c>
      <c r="K1042" s="126">
        <f t="shared" ca="1" si="281"/>
        <v>0</v>
      </c>
      <c r="L1042" s="126">
        <f t="shared" ca="1" si="276"/>
        <v>0</v>
      </c>
      <c r="P1042">
        <v>1035</v>
      </c>
      <c r="Q1042" s="6">
        <f t="shared" ca="1" si="282"/>
        <v>21276</v>
      </c>
      <c r="R1042" s="7" t="e">
        <f t="shared" ca="1" si="287"/>
        <v>#REF!</v>
      </c>
      <c r="S1042" s="125" t="e">
        <f t="shared" ca="1" si="288"/>
        <v>#REF!</v>
      </c>
      <c r="T1042" s="125" t="e">
        <f t="shared" ca="1" si="283"/>
        <v>#REF!</v>
      </c>
      <c r="U1042" s="128" t="e">
        <f t="shared" ca="1" si="289"/>
        <v>#REF!</v>
      </c>
      <c r="AC1042">
        <v>1035</v>
      </c>
      <c r="AD1042" s="6">
        <f t="shared" ca="1" si="284"/>
        <v>21276</v>
      </c>
      <c r="AE1042" s="7" t="e">
        <f t="shared" ca="1" si="290"/>
        <v>#REF!</v>
      </c>
      <c r="AF1042" s="125" t="e">
        <f t="shared" ca="1" si="291"/>
        <v>#REF!</v>
      </c>
      <c r="AG1042" s="125" t="e">
        <f t="shared" ca="1" si="285"/>
        <v>#REF!</v>
      </c>
      <c r="AH1042" s="128" t="e">
        <f t="shared" ca="1" si="292"/>
        <v>#REF!</v>
      </c>
    </row>
    <row r="1043" spans="4:34">
      <c r="D1043">
        <v>1036</v>
      </c>
      <c r="E1043" s="6">
        <f t="shared" ca="1" si="277"/>
        <v>21245</v>
      </c>
      <c r="F1043" s="7">
        <f t="shared" ca="1" si="286"/>
        <v>0</v>
      </c>
      <c r="G1043" s="125">
        <f t="shared" ca="1" si="278"/>
        <v>0</v>
      </c>
      <c r="H1043" s="125">
        <f ca="1">IF(F1043=1,F1043*$B$10/MIN(12,'Simulador - 3º Pilar'!$E$88),0)</f>
        <v>0</v>
      </c>
      <c r="I1043" s="128">
        <f t="shared" ca="1" si="279"/>
        <v>0</v>
      </c>
      <c r="J1043" s="494">
        <f t="shared" ca="1" si="280"/>
        <v>0</v>
      </c>
      <c r="K1043" s="126">
        <f t="shared" ca="1" si="281"/>
        <v>0</v>
      </c>
      <c r="L1043" s="126">
        <f t="shared" ca="1" si="276"/>
        <v>0</v>
      </c>
      <c r="P1043">
        <v>1036</v>
      </c>
      <c r="Q1043" s="6">
        <f t="shared" ca="1" si="282"/>
        <v>21245</v>
      </c>
      <c r="R1043" s="7" t="e">
        <f t="shared" ca="1" si="287"/>
        <v>#REF!</v>
      </c>
      <c r="S1043" s="125" t="e">
        <f t="shared" ca="1" si="288"/>
        <v>#REF!</v>
      </c>
      <c r="T1043" s="125" t="e">
        <f t="shared" ca="1" si="283"/>
        <v>#REF!</v>
      </c>
      <c r="U1043" s="128" t="e">
        <f t="shared" ca="1" si="289"/>
        <v>#REF!</v>
      </c>
      <c r="AC1043">
        <v>1036</v>
      </c>
      <c r="AD1043" s="6">
        <f t="shared" ca="1" si="284"/>
        <v>21245</v>
      </c>
      <c r="AE1043" s="7" t="e">
        <f t="shared" ca="1" si="290"/>
        <v>#REF!</v>
      </c>
      <c r="AF1043" s="125" t="e">
        <f t="shared" ca="1" si="291"/>
        <v>#REF!</v>
      </c>
      <c r="AG1043" s="125" t="e">
        <f t="shared" ca="1" si="285"/>
        <v>#REF!</v>
      </c>
      <c r="AH1043" s="128" t="e">
        <f t="shared" ca="1" si="292"/>
        <v>#REF!</v>
      </c>
    </row>
    <row r="1044" spans="4:34">
      <c r="D1044">
        <v>1037</v>
      </c>
      <c r="E1044" s="6">
        <f t="shared" ca="1" si="277"/>
        <v>21217</v>
      </c>
      <c r="F1044" s="7">
        <f t="shared" ca="1" si="286"/>
        <v>0</v>
      </c>
      <c r="G1044" s="125">
        <f t="shared" ca="1" si="278"/>
        <v>0</v>
      </c>
      <c r="H1044" s="125">
        <f ca="1">IF(F1044=1,F1044*$B$10/MIN(12,'Simulador - 3º Pilar'!$E$88),0)</f>
        <v>0</v>
      </c>
      <c r="I1044" s="128">
        <f t="shared" ca="1" si="279"/>
        <v>0</v>
      </c>
      <c r="J1044" s="494">
        <f t="shared" ca="1" si="280"/>
        <v>0</v>
      </c>
      <c r="K1044" s="126">
        <f t="shared" ca="1" si="281"/>
        <v>0</v>
      </c>
      <c r="L1044" s="126">
        <f t="shared" ca="1" si="276"/>
        <v>0</v>
      </c>
      <c r="P1044">
        <v>1037</v>
      </c>
      <c r="Q1044" s="6">
        <f t="shared" ca="1" si="282"/>
        <v>21217</v>
      </c>
      <c r="R1044" s="7" t="e">
        <f t="shared" ca="1" si="287"/>
        <v>#REF!</v>
      </c>
      <c r="S1044" s="125" t="e">
        <f t="shared" ca="1" si="288"/>
        <v>#REF!</v>
      </c>
      <c r="T1044" s="125" t="e">
        <f t="shared" ca="1" si="283"/>
        <v>#REF!</v>
      </c>
      <c r="U1044" s="128" t="e">
        <f t="shared" ca="1" si="289"/>
        <v>#REF!</v>
      </c>
      <c r="AC1044">
        <v>1037</v>
      </c>
      <c r="AD1044" s="6">
        <f t="shared" ca="1" si="284"/>
        <v>21217</v>
      </c>
      <c r="AE1044" s="7" t="e">
        <f t="shared" ca="1" si="290"/>
        <v>#REF!</v>
      </c>
      <c r="AF1044" s="125" t="e">
        <f t="shared" ca="1" si="291"/>
        <v>#REF!</v>
      </c>
      <c r="AG1044" s="125" t="e">
        <f t="shared" ca="1" si="285"/>
        <v>#REF!</v>
      </c>
      <c r="AH1044" s="128" t="e">
        <f t="shared" ca="1" si="292"/>
        <v>#REF!</v>
      </c>
    </row>
    <row r="1045" spans="4:34">
      <c r="D1045">
        <v>1038</v>
      </c>
      <c r="E1045" s="6">
        <f t="shared" ca="1" si="277"/>
        <v>21186</v>
      </c>
      <c r="F1045" s="7">
        <f t="shared" ca="1" si="286"/>
        <v>0</v>
      </c>
      <c r="G1045" s="125">
        <f t="shared" ca="1" si="278"/>
        <v>0</v>
      </c>
      <c r="H1045" s="125">
        <f ca="1">IF(F1045=1,F1045*$B$10/MIN(12,'Simulador - 3º Pilar'!$E$88),0)</f>
        <v>0</v>
      </c>
      <c r="I1045" s="128">
        <f t="shared" ca="1" si="279"/>
        <v>0</v>
      </c>
      <c r="J1045" s="494">
        <f t="shared" ca="1" si="280"/>
        <v>0</v>
      </c>
      <c r="K1045" s="126">
        <f t="shared" ca="1" si="281"/>
        <v>0</v>
      </c>
      <c r="L1045" s="126">
        <f t="shared" ca="1" si="276"/>
        <v>0</v>
      </c>
      <c r="P1045">
        <v>1038</v>
      </c>
      <c r="Q1045" s="6">
        <f t="shared" ca="1" si="282"/>
        <v>21186</v>
      </c>
      <c r="R1045" s="7" t="e">
        <f t="shared" ca="1" si="287"/>
        <v>#REF!</v>
      </c>
      <c r="S1045" s="125" t="e">
        <f t="shared" ca="1" si="288"/>
        <v>#REF!</v>
      </c>
      <c r="T1045" s="125" t="e">
        <f t="shared" ca="1" si="283"/>
        <v>#REF!</v>
      </c>
      <c r="U1045" s="128" t="e">
        <f t="shared" ca="1" si="289"/>
        <v>#REF!</v>
      </c>
      <c r="AC1045">
        <v>1038</v>
      </c>
      <c r="AD1045" s="6">
        <f t="shared" ca="1" si="284"/>
        <v>21186</v>
      </c>
      <c r="AE1045" s="7" t="e">
        <f t="shared" ca="1" si="290"/>
        <v>#REF!</v>
      </c>
      <c r="AF1045" s="125" t="e">
        <f t="shared" ca="1" si="291"/>
        <v>#REF!</v>
      </c>
      <c r="AG1045" s="125" t="e">
        <f t="shared" ca="1" si="285"/>
        <v>#REF!</v>
      </c>
      <c r="AH1045" s="128" t="e">
        <f t="shared" ca="1" si="292"/>
        <v>#REF!</v>
      </c>
    </row>
    <row r="1046" spans="4:34">
      <c r="D1046">
        <v>1039</v>
      </c>
      <c r="E1046" s="6">
        <f t="shared" ca="1" si="277"/>
        <v>21155</v>
      </c>
      <c r="F1046" s="7">
        <f t="shared" ca="1" si="286"/>
        <v>0</v>
      </c>
      <c r="G1046" s="125">
        <f t="shared" ca="1" si="278"/>
        <v>0</v>
      </c>
      <c r="H1046" s="125">
        <f ca="1">IF(F1046=1,F1046*$B$10/MIN(12,'Simulador - 3º Pilar'!$E$88),0)</f>
        <v>0</v>
      </c>
      <c r="I1046" s="128">
        <f t="shared" ca="1" si="279"/>
        <v>0</v>
      </c>
      <c r="J1046" s="494">
        <f t="shared" ca="1" si="280"/>
        <v>0</v>
      </c>
      <c r="K1046" s="126">
        <f t="shared" ca="1" si="281"/>
        <v>0</v>
      </c>
      <c r="L1046" s="126">
        <f t="shared" ca="1" si="276"/>
        <v>0</v>
      </c>
      <c r="P1046">
        <v>1039</v>
      </c>
      <c r="Q1046" s="6">
        <f t="shared" ca="1" si="282"/>
        <v>21155</v>
      </c>
      <c r="R1046" s="7" t="e">
        <f t="shared" ca="1" si="287"/>
        <v>#REF!</v>
      </c>
      <c r="S1046" s="125" t="e">
        <f t="shared" ca="1" si="288"/>
        <v>#REF!</v>
      </c>
      <c r="T1046" s="125" t="e">
        <f t="shared" ca="1" si="283"/>
        <v>#REF!</v>
      </c>
      <c r="U1046" s="128" t="e">
        <f t="shared" ca="1" si="289"/>
        <v>#REF!</v>
      </c>
      <c r="AC1046">
        <v>1039</v>
      </c>
      <c r="AD1046" s="6">
        <f t="shared" ca="1" si="284"/>
        <v>21155</v>
      </c>
      <c r="AE1046" s="7" t="e">
        <f t="shared" ca="1" si="290"/>
        <v>#REF!</v>
      </c>
      <c r="AF1046" s="125" t="e">
        <f t="shared" ca="1" si="291"/>
        <v>#REF!</v>
      </c>
      <c r="AG1046" s="125" t="e">
        <f t="shared" ca="1" si="285"/>
        <v>#REF!</v>
      </c>
      <c r="AH1046" s="128" t="e">
        <f t="shared" ca="1" si="292"/>
        <v>#REF!</v>
      </c>
    </row>
    <row r="1047" spans="4:34">
      <c r="D1047">
        <v>1040</v>
      </c>
      <c r="E1047" s="6">
        <f t="shared" ca="1" si="277"/>
        <v>21125</v>
      </c>
      <c r="F1047" s="7">
        <f t="shared" ca="1" si="286"/>
        <v>0</v>
      </c>
      <c r="G1047" s="125">
        <f t="shared" ca="1" si="278"/>
        <v>0</v>
      </c>
      <c r="H1047" s="125">
        <f ca="1">IF(F1047=1,F1047*$B$10/MIN(12,'Simulador - 3º Pilar'!$E$88),0)</f>
        <v>0</v>
      </c>
      <c r="I1047" s="128">
        <f t="shared" ca="1" si="279"/>
        <v>0</v>
      </c>
      <c r="J1047" s="494">
        <f t="shared" ca="1" si="280"/>
        <v>0</v>
      </c>
      <c r="K1047" s="126">
        <f t="shared" ca="1" si="281"/>
        <v>0</v>
      </c>
      <c r="L1047" s="126">
        <f t="shared" ca="1" si="276"/>
        <v>0</v>
      </c>
      <c r="P1047">
        <v>1040</v>
      </c>
      <c r="Q1047" s="6">
        <f t="shared" ca="1" si="282"/>
        <v>21125</v>
      </c>
      <c r="R1047" s="7" t="e">
        <f t="shared" ca="1" si="287"/>
        <v>#REF!</v>
      </c>
      <c r="S1047" s="125" t="e">
        <f t="shared" ca="1" si="288"/>
        <v>#REF!</v>
      </c>
      <c r="T1047" s="125" t="e">
        <f t="shared" ca="1" si="283"/>
        <v>#REF!</v>
      </c>
      <c r="U1047" s="128" t="e">
        <f t="shared" ca="1" si="289"/>
        <v>#REF!</v>
      </c>
      <c r="AC1047">
        <v>1040</v>
      </c>
      <c r="AD1047" s="6">
        <f t="shared" ca="1" si="284"/>
        <v>21125</v>
      </c>
      <c r="AE1047" s="7" t="e">
        <f t="shared" ca="1" si="290"/>
        <v>#REF!</v>
      </c>
      <c r="AF1047" s="125" t="e">
        <f t="shared" ca="1" si="291"/>
        <v>#REF!</v>
      </c>
      <c r="AG1047" s="125" t="e">
        <f t="shared" ca="1" si="285"/>
        <v>#REF!</v>
      </c>
      <c r="AH1047" s="128" t="e">
        <f t="shared" ca="1" si="292"/>
        <v>#REF!</v>
      </c>
    </row>
    <row r="1048" spans="4:34">
      <c r="D1048">
        <v>1041</v>
      </c>
      <c r="E1048" s="6">
        <f t="shared" ca="1" si="277"/>
        <v>21094</v>
      </c>
      <c r="F1048" s="7">
        <f t="shared" ca="1" si="286"/>
        <v>0</v>
      </c>
      <c r="G1048" s="125">
        <f t="shared" ca="1" si="278"/>
        <v>0</v>
      </c>
      <c r="H1048" s="125">
        <f ca="1">IF(F1048=1,F1048*$B$10/MIN(12,'Simulador - 3º Pilar'!$E$88),0)</f>
        <v>0</v>
      </c>
      <c r="I1048" s="128">
        <f t="shared" ca="1" si="279"/>
        <v>0</v>
      </c>
      <c r="J1048" s="494">
        <f t="shared" ca="1" si="280"/>
        <v>0</v>
      </c>
      <c r="K1048" s="126">
        <f t="shared" ca="1" si="281"/>
        <v>0</v>
      </c>
      <c r="L1048" s="126">
        <f t="shared" ca="1" si="276"/>
        <v>0</v>
      </c>
      <c r="P1048">
        <v>1041</v>
      </c>
      <c r="Q1048" s="6">
        <f t="shared" ca="1" si="282"/>
        <v>21094</v>
      </c>
      <c r="R1048" s="7" t="e">
        <f t="shared" ca="1" si="287"/>
        <v>#REF!</v>
      </c>
      <c r="S1048" s="125" t="e">
        <f t="shared" ca="1" si="288"/>
        <v>#REF!</v>
      </c>
      <c r="T1048" s="125" t="e">
        <f t="shared" ca="1" si="283"/>
        <v>#REF!</v>
      </c>
      <c r="U1048" s="128" t="e">
        <f t="shared" ca="1" si="289"/>
        <v>#REF!</v>
      </c>
      <c r="AC1048">
        <v>1041</v>
      </c>
      <c r="AD1048" s="6">
        <f t="shared" ca="1" si="284"/>
        <v>21094</v>
      </c>
      <c r="AE1048" s="7" t="e">
        <f t="shared" ca="1" si="290"/>
        <v>#REF!</v>
      </c>
      <c r="AF1048" s="125" t="e">
        <f t="shared" ca="1" si="291"/>
        <v>#REF!</v>
      </c>
      <c r="AG1048" s="125" t="e">
        <f t="shared" ca="1" si="285"/>
        <v>#REF!</v>
      </c>
      <c r="AH1048" s="128" t="e">
        <f t="shared" ca="1" si="292"/>
        <v>#REF!</v>
      </c>
    </row>
    <row r="1049" spans="4:34">
      <c r="D1049">
        <v>1042</v>
      </c>
      <c r="E1049" s="6">
        <f t="shared" ca="1" si="277"/>
        <v>21064</v>
      </c>
      <c r="F1049" s="7">
        <f t="shared" ca="1" si="286"/>
        <v>0</v>
      </c>
      <c r="G1049" s="125">
        <f t="shared" ca="1" si="278"/>
        <v>0</v>
      </c>
      <c r="H1049" s="125">
        <f ca="1">IF(F1049=1,F1049*$B$10/MIN(12,'Simulador - 3º Pilar'!$E$88),0)</f>
        <v>0</v>
      </c>
      <c r="I1049" s="128">
        <f t="shared" ca="1" si="279"/>
        <v>0</v>
      </c>
      <c r="J1049" s="494">
        <f t="shared" ca="1" si="280"/>
        <v>0</v>
      </c>
      <c r="K1049" s="126">
        <f t="shared" ca="1" si="281"/>
        <v>0</v>
      </c>
      <c r="L1049" s="126">
        <f t="shared" ca="1" si="276"/>
        <v>0</v>
      </c>
      <c r="P1049">
        <v>1042</v>
      </c>
      <c r="Q1049" s="6">
        <f t="shared" ca="1" si="282"/>
        <v>21064</v>
      </c>
      <c r="R1049" s="7" t="e">
        <f t="shared" ca="1" si="287"/>
        <v>#REF!</v>
      </c>
      <c r="S1049" s="125" t="e">
        <f t="shared" ca="1" si="288"/>
        <v>#REF!</v>
      </c>
      <c r="T1049" s="125" t="e">
        <f t="shared" ca="1" si="283"/>
        <v>#REF!</v>
      </c>
      <c r="U1049" s="128" t="e">
        <f t="shared" ca="1" si="289"/>
        <v>#REF!</v>
      </c>
      <c r="AC1049">
        <v>1042</v>
      </c>
      <c r="AD1049" s="6">
        <f t="shared" ca="1" si="284"/>
        <v>21064</v>
      </c>
      <c r="AE1049" s="7" t="e">
        <f t="shared" ca="1" si="290"/>
        <v>#REF!</v>
      </c>
      <c r="AF1049" s="125" t="e">
        <f t="shared" ca="1" si="291"/>
        <v>#REF!</v>
      </c>
      <c r="AG1049" s="125" t="e">
        <f t="shared" ca="1" si="285"/>
        <v>#REF!</v>
      </c>
      <c r="AH1049" s="128" t="e">
        <f t="shared" ca="1" si="292"/>
        <v>#REF!</v>
      </c>
    </row>
    <row r="1050" spans="4:34">
      <c r="D1050">
        <v>1043</v>
      </c>
      <c r="E1050" s="6">
        <f t="shared" ca="1" si="277"/>
        <v>21033</v>
      </c>
      <c r="F1050" s="7">
        <f t="shared" ca="1" si="286"/>
        <v>0</v>
      </c>
      <c r="G1050" s="125">
        <f t="shared" ca="1" si="278"/>
        <v>0</v>
      </c>
      <c r="H1050" s="125">
        <f ca="1">IF(F1050=1,F1050*$B$10/MIN(12,'Simulador - 3º Pilar'!$E$88),0)</f>
        <v>0</v>
      </c>
      <c r="I1050" s="128">
        <f t="shared" ca="1" si="279"/>
        <v>0</v>
      </c>
      <c r="J1050" s="494">
        <f t="shared" ca="1" si="280"/>
        <v>0</v>
      </c>
      <c r="K1050" s="126">
        <f t="shared" ca="1" si="281"/>
        <v>0</v>
      </c>
      <c r="L1050" s="126">
        <f t="shared" ca="1" si="276"/>
        <v>0</v>
      </c>
      <c r="P1050">
        <v>1043</v>
      </c>
      <c r="Q1050" s="6">
        <f t="shared" ca="1" si="282"/>
        <v>21033</v>
      </c>
      <c r="R1050" s="7" t="e">
        <f t="shared" ca="1" si="287"/>
        <v>#REF!</v>
      </c>
      <c r="S1050" s="125" t="e">
        <f t="shared" ca="1" si="288"/>
        <v>#REF!</v>
      </c>
      <c r="T1050" s="125" t="e">
        <f t="shared" ca="1" si="283"/>
        <v>#REF!</v>
      </c>
      <c r="U1050" s="128" t="e">
        <f t="shared" ca="1" si="289"/>
        <v>#REF!</v>
      </c>
      <c r="AC1050">
        <v>1043</v>
      </c>
      <c r="AD1050" s="6">
        <f t="shared" ca="1" si="284"/>
        <v>21033</v>
      </c>
      <c r="AE1050" s="7" t="e">
        <f t="shared" ca="1" si="290"/>
        <v>#REF!</v>
      </c>
      <c r="AF1050" s="125" t="e">
        <f t="shared" ca="1" si="291"/>
        <v>#REF!</v>
      </c>
      <c r="AG1050" s="125" t="e">
        <f t="shared" ca="1" si="285"/>
        <v>#REF!</v>
      </c>
      <c r="AH1050" s="128" t="e">
        <f t="shared" ca="1" si="292"/>
        <v>#REF!</v>
      </c>
    </row>
    <row r="1051" spans="4:34">
      <c r="D1051">
        <v>1044</v>
      </c>
      <c r="E1051" s="6">
        <f t="shared" ca="1" si="277"/>
        <v>21002</v>
      </c>
      <c r="F1051" s="7">
        <f t="shared" ca="1" si="286"/>
        <v>0</v>
      </c>
      <c r="G1051" s="125">
        <f t="shared" ca="1" si="278"/>
        <v>0</v>
      </c>
      <c r="H1051" s="125">
        <f ca="1">IF(F1051=1,F1051*$B$10/MIN(12,'Simulador - 3º Pilar'!$E$88),0)</f>
        <v>0</v>
      </c>
      <c r="I1051" s="128">
        <f t="shared" ca="1" si="279"/>
        <v>0</v>
      </c>
      <c r="J1051" s="494">
        <f t="shared" ca="1" si="280"/>
        <v>0</v>
      </c>
      <c r="K1051" s="126">
        <f t="shared" ca="1" si="281"/>
        <v>0</v>
      </c>
      <c r="L1051" s="126">
        <f t="shared" ca="1" si="276"/>
        <v>0</v>
      </c>
      <c r="P1051">
        <v>1044</v>
      </c>
      <c r="Q1051" s="6">
        <f t="shared" ca="1" si="282"/>
        <v>21002</v>
      </c>
      <c r="R1051" s="7" t="e">
        <f t="shared" ca="1" si="287"/>
        <v>#REF!</v>
      </c>
      <c r="S1051" s="125" t="e">
        <f t="shared" ca="1" si="288"/>
        <v>#REF!</v>
      </c>
      <c r="T1051" s="125" t="e">
        <f t="shared" ca="1" si="283"/>
        <v>#REF!</v>
      </c>
      <c r="U1051" s="128" t="e">
        <f t="shared" ca="1" si="289"/>
        <v>#REF!</v>
      </c>
      <c r="AC1051">
        <v>1044</v>
      </c>
      <c r="AD1051" s="6">
        <f t="shared" ca="1" si="284"/>
        <v>21002</v>
      </c>
      <c r="AE1051" s="7" t="e">
        <f t="shared" ca="1" si="290"/>
        <v>#REF!</v>
      </c>
      <c r="AF1051" s="125" t="e">
        <f t="shared" ca="1" si="291"/>
        <v>#REF!</v>
      </c>
      <c r="AG1051" s="125" t="e">
        <f t="shared" ca="1" si="285"/>
        <v>#REF!</v>
      </c>
      <c r="AH1051" s="128" t="e">
        <f t="shared" ca="1" si="292"/>
        <v>#REF!</v>
      </c>
    </row>
    <row r="1052" spans="4:34">
      <c r="D1052">
        <v>1045</v>
      </c>
      <c r="E1052" s="6">
        <f t="shared" ca="1" si="277"/>
        <v>20972</v>
      </c>
      <c r="F1052" s="7">
        <f t="shared" ca="1" si="286"/>
        <v>0</v>
      </c>
      <c r="G1052" s="125">
        <f t="shared" ca="1" si="278"/>
        <v>0</v>
      </c>
      <c r="H1052" s="125">
        <f ca="1">IF(F1052=1,F1052*$B$10/MIN(12,'Simulador - 3º Pilar'!$E$88),0)</f>
        <v>0</v>
      </c>
      <c r="I1052" s="128">
        <f t="shared" ca="1" si="279"/>
        <v>0</v>
      </c>
      <c r="J1052" s="494">
        <f t="shared" ca="1" si="280"/>
        <v>0</v>
      </c>
      <c r="K1052" s="126">
        <f t="shared" ca="1" si="281"/>
        <v>0</v>
      </c>
      <c r="L1052" s="126">
        <f t="shared" ca="1" si="276"/>
        <v>0</v>
      </c>
      <c r="P1052">
        <v>1045</v>
      </c>
      <c r="Q1052" s="6">
        <f t="shared" ca="1" si="282"/>
        <v>20972</v>
      </c>
      <c r="R1052" s="7" t="e">
        <f t="shared" ca="1" si="287"/>
        <v>#REF!</v>
      </c>
      <c r="S1052" s="125" t="e">
        <f t="shared" ca="1" si="288"/>
        <v>#REF!</v>
      </c>
      <c r="T1052" s="125" t="e">
        <f t="shared" ca="1" si="283"/>
        <v>#REF!</v>
      </c>
      <c r="U1052" s="128" t="e">
        <f t="shared" ca="1" si="289"/>
        <v>#REF!</v>
      </c>
      <c r="AC1052">
        <v>1045</v>
      </c>
      <c r="AD1052" s="6">
        <f t="shared" ca="1" si="284"/>
        <v>20972</v>
      </c>
      <c r="AE1052" s="7" t="e">
        <f t="shared" ca="1" si="290"/>
        <v>#REF!</v>
      </c>
      <c r="AF1052" s="125" t="e">
        <f t="shared" ca="1" si="291"/>
        <v>#REF!</v>
      </c>
      <c r="AG1052" s="125" t="e">
        <f t="shared" ca="1" si="285"/>
        <v>#REF!</v>
      </c>
      <c r="AH1052" s="128" t="e">
        <f t="shared" ca="1" si="292"/>
        <v>#REF!</v>
      </c>
    </row>
    <row r="1053" spans="4:34">
      <c r="D1053">
        <v>1046</v>
      </c>
      <c r="E1053" s="6">
        <f t="shared" ca="1" si="277"/>
        <v>20941</v>
      </c>
      <c r="F1053" s="7">
        <f t="shared" ca="1" si="286"/>
        <v>0</v>
      </c>
      <c r="G1053" s="125">
        <f t="shared" ca="1" si="278"/>
        <v>0</v>
      </c>
      <c r="H1053" s="125">
        <f ca="1">IF(F1053=1,F1053*$B$10/MIN(12,'Simulador - 3º Pilar'!$E$88),0)</f>
        <v>0</v>
      </c>
      <c r="I1053" s="128">
        <f t="shared" ca="1" si="279"/>
        <v>0</v>
      </c>
      <c r="J1053" s="494">
        <f t="shared" ca="1" si="280"/>
        <v>0</v>
      </c>
      <c r="K1053" s="126">
        <f t="shared" ca="1" si="281"/>
        <v>0</v>
      </c>
      <c r="L1053" s="126">
        <f t="shared" ca="1" si="276"/>
        <v>0</v>
      </c>
      <c r="P1053">
        <v>1046</v>
      </c>
      <c r="Q1053" s="6">
        <f t="shared" ca="1" si="282"/>
        <v>20941</v>
      </c>
      <c r="R1053" s="7" t="e">
        <f t="shared" ca="1" si="287"/>
        <v>#REF!</v>
      </c>
      <c r="S1053" s="125" t="e">
        <f t="shared" ca="1" si="288"/>
        <v>#REF!</v>
      </c>
      <c r="T1053" s="125" t="e">
        <f t="shared" ca="1" si="283"/>
        <v>#REF!</v>
      </c>
      <c r="U1053" s="128" t="e">
        <f t="shared" ca="1" si="289"/>
        <v>#REF!</v>
      </c>
      <c r="AC1053">
        <v>1046</v>
      </c>
      <c r="AD1053" s="6">
        <f t="shared" ca="1" si="284"/>
        <v>20941</v>
      </c>
      <c r="AE1053" s="7" t="e">
        <f t="shared" ca="1" si="290"/>
        <v>#REF!</v>
      </c>
      <c r="AF1053" s="125" t="e">
        <f t="shared" ca="1" si="291"/>
        <v>#REF!</v>
      </c>
      <c r="AG1053" s="125" t="e">
        <f t="shared" ca="1" si="285"/>
        <v>#REF!</v>
      </c>
      <c r="AH1053" s="128" t="e">
        <f t="shared" ca="1" si="292"/>
        <v>#REF!</v>
      </c>
    </row>
    <row r="1054" spans="4:34">
      <c r="D1054">
        <v>1047</v>
      </c>
      <c r="E1054" s="6">
        <f t="shared" ca="1" si="277"/>
        <v>20911</v>
      </c>
      <c r="F1054" s="7">
        <f t="shared" ca="1" si="286"/>
        <v>0</v>
      </c>
      <c r="G1054" s="125">
        <f t="shared" ca="1" si="278"/>
        <v>0</v>
      </c>
      <c r="H1054" s="125">
        <f ca="1">IF(F1054=1,F1054*$B$10/MIN(12,'Simulador - 3º Pilar'!$E$88),0)</f>
        <v>0</v>
      </c>
      <c r="I1054" s="128">
        <f t="shared" ca="1" si="279"/>
        <v>0</v>
      </c>
      <c r="J1054" s="494">
        <f t="shared" ca="1" si="280"/>
        <v>0</v>
      </c>
      <c r="K1054" s="126">
        <f t="shared" ca="1" si="281"/>
        <v>0</v>
      </c>
      <c r="L1054" s="126">
        <f t="shared" ca="1" si="276"/>
        <v>0</v>
      </c>
      <c r="P1054">
        <v>1047</v>
      </c>
      <c r="Q1054" s="6">
        <f t="shared" ca="1" si="282"/>
        <v>20911</v>
      </c>
      <c r="R1054" s="7" t="e">
        <f t="shared" ca="1" si="287"/>
        <v>#REF!</v>
      </c>
      <c r="S1054" s="125" t="e">
        <f t="shared" ca="1" si="288"/>
        <v>#REF!</v>
      </c>
      <c r="T1054" s="125" t="e">
        <f t="shared" ca="1" si="283"/>
        <v>#REF!</v>
      </c>
      <c r="U1054" s="128" t="e">
        <f t="shared" ca="1" si="289"/>
        <v>#REF!</v>
      </c>
      <c r="AC1054">
        <v>1047</v>
      </c>
      <c r="AD1054" s="6">
        <f t="shared" ca="1" si="284"/>
        <v>20911</v>
      </c>
      <c r="AE1054" s="7" t="e">
        <f t="shared" ca="1" si="290"/>
        <v>#REF!</v>
      </c>
      <c r="AF1054" s="125" t="e">
        <f t="shared" ca="1" si="291"/>
        <v>#REF!</v>
      </c>
      <c r="AG1054" s="125" t="e">
        <f t="shared" ca="1" si="285"/>
        <v>#REF!</v>
      </c>
      <c r="AH1054" s="128" t="e">
        <f t="shared" ca="1" si="292"/>
        <v>#REF!</v>
      </c>
    </row>
    <row r="1055" spans="4:34">
      <c r="D1055">
        <v>1048</v>
      </c>
      <c r="E1055" s="6">
        <f t="shared" ca="1" si="277"/>
        <v>20880</v>
      </c>
      <c r="F1055" s="7">
        <f t="shared" ca="1" si="286"/>
        <v>0</v>
      </c>
      <c r="G1055" s="125">
        <f t="shared" ca="1" si="278"/>
        <v>0</v>
      </c>
      <c r="H1055" s="125">
        <f ca="1">IF(F1055=1,F1055*$B$10/MIN(12,'Simulador - 3º Pilar'!$E$88),0)</f>
        <v>0</v>
      </c>
      <c r="I1055" s="128">
        <f t="shared" ca="1" si="279"/>
        <v>0</v>
      </c>
      <c r="J1055" s="494">
        <f t="shared" ca="1" si="280"/>
        <v>0</v>
      </c>
      <c r="K1055" s="126">
        <f t="shared" ca="1" si="281"/>
        <v>0</v>
      </c>
      <c r="L1055" s="126">
        <f t="shared" ca="1" si="276"/>
        <v>0</v>
      </c>
      <c r="P1055">
        <v>1048</v>
      </c>
      <c r="Q1055" s="6">
        <f t="shared" ca="1" si="282"/>
        <v>20880</v>
      </c>
      <c r="R1055" s="7" t="e">
        <f t="shared" ca="1" si="287"/>
        <v>#REF!</v>
      </c>
      <c r="S1055" s="125" t="e">
        <f t="shared" ca="1" si="288"/>
        <v>#REF!</v>
      </c>
      <c r="T1055" s="125" t="e">
        <f t="shared" ca="1" si="283"/>
        <v>#REF!</v>
      </c>
      <c r="U1055" s="128" t="e">
        <f t="shared" ca="1" si="289"/>
        <v>#REF!</v>
      </c>
      <c r="AC1055">
        <v>1048</v>
      </c>
      <c r="AD1055" s="6">
        <f t="shared" ca="1" si="284"/>
        <v>20880</v>
      </c>
      <c r="AE1055" s="7" t="e">
        <f t="shared" ca="1" si="290"/>
        <v>#REF!</v>
      </c>
      <c r="AF1055" s="125" t="e">
        <f t="shared" ca="1" si="291"/>
        <v>#REF!</v>
      </c>
      <c r="AG1055" s="125" t="e">
        <f t="shared" ca="1" si="285"/>
        <v>#REF!</v>
      </c>
      <c r="AH1055" s="128" t="e">
        <f t="shared" ca="1" si="292"/>
        <v>#REF!</v>
      </c>
    </row>
    <row r="1056" spans="4:34">
      <c r="D1056">
        <v>1049</v>
      </c>
      <c r="E1056" s="6">
        <f t="shared" ca="1" si="277"/>
        <v>20852</v>
      </c>
      <c r="F1056" s="7">
        <f t="shared" ca="1" si="286"/>
        <v>0</v>
      </c>
      <c r="G1056" s="125">
        <f t="shared" ca="1" si="278"/>
        <v>0</v>
      </c>
      <c r="H1056" s="125">
        <f ca="1">IF(F1056=1,F1056*$B$10/MIN(12,'Simulador - 3º Pilar'!$E$88),0)</f>
        <v>0</v>
      </c>
      <c r="I1056" s="128">
        <f t="shared" ca="1" si="279"/>
        <v>0</v>
      </c>
      <c r="J1056" s="494">
        <f t="shared" ca="1" si="280"/>
        <v>0</v>
      </c>
      <c r="K1056" s="126">
        <f t="shared" ca="1" si="281"/>
        <v>0</v>
      </c>
      <c r="L1056" s="126">
        <f t="shared" ca="1" si="276"/>
        <v>0</v>
      </c>
      <c r="P1056">
        <v>1049</v>
      </c>
      <c r="Q1056" s="6">
        <f t="shared" ca="1" si="282"/>
        <v>20852</v>
      </c>
      <c r="R1056" s="7" t="e">
        <f t="shared" ca="1" si="287"/>
        <v>#REF!</v>
      </c>
      <c r="S1056" s="125" t="e">
        <f t="shared" ca="1" si="288"/>
        <v>#REF!</v>
      </c>
      <c r="T1056" s="125" t="e">
        <f t="shared" ca="1" si="283"/>
        <v>#REF!</v>
      </c>
      <c r="U1056" s="128" t="e">
        <f t="shared" ca="1" si="289"/>
        <v>#REF!</v>
      </c>
      <c r="AC1056">
        <v>1049</v>
      </c>
      <c r="AD1056" s="6">
        <f t="shared" ca="1" si="284"/>
        <v>20852</v>
      </c>
      <c r="AE1056" s="7" t="e">
        <f t="shared" ca="1" si="290"/>
        <v>#REF!</v>
      </c>
      <c r="AF1056" s="125" t="e">
        <f t="shared" ca="1" si="291"/>
        <v>#REF!</v>
      </c>
      <c r="AG1056" s="125" t="e">
        <f t="shared" ca="1" si="285"/>
        <v>#REF!</v>
      </c>
      <c r="AH1056" s="128" t="e">
        <f t="shared" ca="1" si="292"/>
        <v>#REF!</v>
      </c>
    </row>
    <row r="1057" spans="4:34">
      <c r="D1057">
        <v>1050</v>
      </c>
      <c r="E1057" s="6">
        <f t="shared" ca="1" si="277"/>
        <v>20821</v>
      </c>
      <c r="F1057" s="7">
        <f t="shared" ca="1" si="286"/>
        <v>0</v>
      </c>
      <c r="G1057" s="125">
        <f t="shared" ca="1" si="278"/>
        <v>0</v>
      </c>
      <c r="H1057" s="125">
        <f ca="1">IF(F1057=1,F1057*$B$10/MIN(12,'Simulador - 3º Pilar'!$E$88),0)</f>
        <v>0</v>
      </c>
      <c r="I1057" s="128">
        <f t="shared" ca="1" si="279"/>
        <v>0</v>
      </c>
      <c r="J1057" s="494">
        <f t="shared" ca="1" si="280"/>
        <v>0</v>
      </c>
      <c r="K1057" s="126">
        <f t="shared" ca="1" si="281"/>
        <v>0</v>
      </c>
      <c r="L1057" s="126">
        <f t="shared" ref="L1057:L1066" ca="1" si="293">(1+$G$5)^(D1057/12)*(IF((E1057)&gt;($B$6),H1057,0)+IF(E1057=$N$7,$N$4,0)+IF(E1057=$C$6,0,0))</f>
        <v>0</v>
      </c>
      <c r="P1057">
        <v>1050</v>
      </c>
      <c r="Q1057" s="6">
        <f t="shared" ca="1" si="282"/>
        <v>20821</v>
      </c>
      <c r="R1057" s="7" t="e">
        <f t="shared" ca="1" si="287"/>
        <v>#REF!</v>
      </c>
      <c r="S1057" s="125" t="e">
        <f t="shared" ca="1" si="288"/>
        <v>#REF!</v>
      </c>
      <c r="T1057" s="125" t="e">
        <f t="shared" ca="1" si="283"/>
        <v>#REF!</v>
      </c>
      <c r="U1057" s="128" t="e">
        <f t="shared" ca="1" si="289"/>
        <v>#REF!</v>
      </c>
      <c r="AC1057">
        <v>1050</v>
      </c>
      <c r="AD1057" s="6">
        <f t="shared" ca="1" si="284"/>
        <v>20821</v>
      </c>
      <c r="AE1057" s="7" t="e">
        <f t="shared" ca="1" si="290"/>
        <v>#REF!</v>
      </c>
      <c r="AF1057" s="125" t="e">
        <f t="shared" ca="1" si="291"/>
        <v>#REF!</v>
      </c>
      <c r="AG1057" s="125" t="e">
        <f t="shared" ca="1" si="285"/>
        <v>#REF!</v>
      </c>
      <c r="AH1057" s="128" t="e">
        <f t="shared" ca="1" si="292"/>
        <v>#REF!</v>
      </c>
    </row>
    <row r="1058" spans="4:34">
      <c r="D1058">
        <v>1051</v>
      </c>
      <c r="E1058" s="6">
        <f t="shared" ca="1" si="277"/>
        <v>20790</v>
      </c>
      <c r="F1058" s="7">
        <f t="shared" ca="1" si="286"/>
        <v>0</v>
      </c>
      <c r="G1058" s="125">
        <f t="shared" ca="1" si="278"/>
        <v>0</v>
      </c>
      <c r="H1058" s="125">
        <f ca="1">IF(F1058=1,F1058*$B$10/MIN(12,'Simulador - 3º Pilar'!$E$88),0)</f>
        <v>0</v>
      </c>
      <c r="I1058" s="128">
        <f t="shared" ca="1" si="279"/>
        <v>0</v>
      </c>
      <c r="J1058" s="494">
        <f t="shared" ca="1" si="280"/>
        <v>0</v>
      </c>
      <c r="K1058" s="126">
        <f t="shared" ca="1" si="281"/>
        <v>0</v>
      </c>
      <c r="L1058" s="126">
        <f t="shared" ca="1" si="293"/>
        <v>0</v>
      </c>
      <c r="P1058">
        <v>1051</v>
      </c>
      <c r="Q1058" s="6">
        <f t="shared" ca="1" si="282"/>
        <v>20790</v>
      </c>
      <c r="R1058" s="7" t="e">
        <f t="shared" ca="1" si="287"/>
        <v>#REF!</v>
      </c>
      <c r="S1058" s="125" t="e">
        <f t="shared" ca="1" si="288"/>
        <v>#REF!</v>
      </c>
      <c r="T1058" s="125" t="e">
        <f t="shared" ca="1" si="283"/>
        <v>#REF!</v>
      </c>
      <c r="U1058" s="128" t="e">
        <f t="shared" ca="1" si="289"/>
        <v>#REF!</v>
      </c>
      <c r="AC1058">
        <v>1051</v>
      </c>
      <c r="AD1058" s="6">
        <f t="shared" ca="1" si="284"/>
        <v>20790</v>
      </c>
      <c r="AE1058" s="7" t="e">
        <f t="shared" ca="1" si="290"/>
        <v>#REF!</v>
      </c>
      <c r="AF1058" s="125" t="e">
        <f t="shared" ca="1" si="291"/>
        <v>#REF!</v>
      </c>
      <c r="AG1058" s="125" t="e">
        <f t="shared" ca="1" si="285"/>
        <v>#REF!</v>
      </c>
      <c r="AH1058" s="128" t="e">
        <f t="shared" ca="1" si="292"/>
        <v>#REF!</v>
      </c>
    </row>
    <row r="1059" spans="4:34">
      <c r="D1059">
        <v>1052</v>
      </c>
      <c r="E1059" s="6">
        <f t="shared" ca="1" si="277"/>
        <v>20760</v>
      </c>
      <c r="F1059" s="7">
        <f t="shared" ca="1" si="286"/>
        <v>0</v>
      </c>
      <c r="G1059" s="125">
        <f t="shared" ca="1" si="278"/>
        <v>0</v>
      </c>
      <c r="H1059" s="125">
        <f ca="1">IF(F1059=1,F1059*$B$10/MIN(12,'Simulador - 3º Pilar'!$E$88),0)</f>
        <v>0</v>
      </c>
      <c r="I1059" s="128">
        <f t="shared" ca="1" si="279"/>
        <v>0</v>
      </c>
      <c r="J1059" s="494">
        <f t="shared" ca="1" si="280"/>
        <v>0</v>
      </c>
      <c r="K1059" s="126">
        <f t="shared" ca="1" si="281"/>
        <v>0</v>
      </c>
      <c r="L1059" s="126">
        <f t="shared" ca="1" si="293"/>
        <v>0</v>
      </c>
      <c r="P1059">
        <v>1052</v>
      </c>
      <c r="Q1059" s="6">
        <f t="shared" ca="1" si="282"/>
        <v>20760</v>
      </c>
      <c r="R1059" s="7" t="e">
        <f t="shared" ca="1" si="287"/>
        <v>#REF!</v>
      </c>
      <c r="S1059" s="125" t="e">
        <f t="shared" ca="1" si="288"/>
        <v>#REF!</v>
      </c>
      <c r="T1059" s="125" t="e">
        <f t="shared" ca="1" si="283"/>
        <v>#REF!</v>
      </c>
      <c r="U1059" s="128" t="e">
        <f t="shared" ca="1" si="289"/>
        <v>#REF!</v>
      </c>
      <c r="AC1059">
        <v>1052</v>
      </c>
      <c r="AD1059" s="6">
        <f t="shared" ca="1" si="284"/>
        <v>20760</v>
      </c>
      <c r="AE1059" s="7" t="e">
        <f t="shared" ca="1" si="290"/>
        <v>#REF!</v>
      </c>
      <c r="AF1059" s="125" t="e">
        <f t="shared" ca="1" si="291"/>
        <v>#REF!</v>
      </c>
      <c r="AG1059" s="125" t="e">
        <f t="shared" ca="1" si="285"/>
        <v>#REF!</v>
      </c>
      <c r="AH1059" s="128" t="e">
        <f t="shared" ca="1" si="292"/>
        <v>#REF!</v>
      </c>
    </row>
    <row r="1060" spans="4:34">
      <c r="D1060">
        <v>1053</v>
      </c>
      <c r="E1060" s="6">
        <f t="shared" ca="1" si="277"/>
        <v>20729</v>
      </c>
      <c r="F1060" s="7">
        <f t="shared" ca="1" si="286"/>
        <v>0</v>
      </c>
      <c r="G1060" s="125">
        <f t="shared" ca="1" si="278"/>
        <v>0</v>
      </c>
      <c r="H1060" s="125">
        <f ca="1">IF(F1060=1,F1060*$B$10/MIN(12,'Simulador - 3º Pilar'!$E$88),0)</f>
        <v>0</v>
      </c>
      <c r="I1060" s="128">
        <f t="shared" ca="1" si="279"/>
        <v>0</v>
      </c>
      <c r="J1060" s="494">
        <f t="shared" ca="1" si="280"/>
        <v>0</v>
      </c>
      <c r="K1060" s="126">
        <f t="shared" ca="1" si="281"/>
        <v>0</v>
      </c>
      <c r="L1060" s="126">
        <f t="shared" ca="1" si="293"/>
        <v>0</v>
      </c>
      <c r="P1060">
        <v>1053</v>
      </c>
      <c r="Q1060" s="6">
        <f t="shared" ca="1" si="282"/>
        <v>20729</v>
      </c>
      <c r="R1060" s="7" t="e">
        <f t="shared" ca="1" si="287"/>
        <v>#REF!</v>
      </c>
      <c r="S1060" s="125" t="e">
        <f t="shared" ca="1" si="288"/>
        <v>#REF!</v>
      </c>
      <c r="T1060" s="125" t="e">
        <f t="shared" ca="1" si="283"/>
        <v>#REF!</v>
      </c>
      <c r="U1060" s="128" t="e">
        <f t="shared" ca="1" si="289"/>
        <v>#REF!</v>
      </c>
      <c r="AC1060">
        <v>1053</v>
      </c>
      <c r="AD1060" s="6">
        <f t="shared" ca="1" si="284"/>
        <v>20729</v>
      </c>
      <c r="AE1060" s="7" t="e">
        <f t="shared" ca="1" si="290"/>
        <v>#REF!</v>
      </c>
      <c r="AF1060" s="125" t="e">
        <f t="shared" ca="1" si="291"/>
        <v>#REF!</v>
      </c>
      <c r="AG1060" s="125" t="e">
        <f t="shared" ca="1" si="285"/>
        <v>#REF!</v>
      </c>
      <c r="AH1060" s="128" t="e">
        <f t="shared" ca="1" si="292"/>
        <v>#REF!</v>
      </c>
    </row>
    <row r="1061" spans="4:34">
      <c r="D1061">
        <v>1054</v>
      </c>
      <c r="E1061" s="6">
        <f t="shared" ca="1" si="277"/>
        <v>20699</v>
      </c>
      <c r="F1061" s="7">
        <f t="shared" ca="1" si="286"/>
        <v>0</v>
      </c>
      <c r="G1061" s="125">
        <f t="shared" ca="1" si="278"/>
        <v>0</v>
      </c>
      <c r="H1061" s="125">
        <f ca="1">IF(F1061=1,F1061*$B$10/MIN(12,'Simulador - 3º Pilar'!$E$88),0)</f>
        <v>0</v>
      </c>
      <c r="I1061" s="128">
        <f t="shared" ca="1" si="279"/>
        <v>0</v>
      </c>
      <c r="J1061" s="494">
        <f t="shared" ca="1" si="280"/>
        <v>0</v>
      </c>
      <c r="K1061" s="126">
        <f t="shared" ca="1" si="281"/>
        <v>0</v>
      </c>
      <c r="L1061" s="126">
        <f t="shared" ca="1" si="293"/>
        <v>0</v>
      </c>
      <c r="P1061">
        <v>1054</v>
      </c>
      <c r="Q1061" s="6">
        <f t="shared" ca="1" si="282"/>
        <v>20699</v>
      </c>
      <c r="R1061" s="7" t="e">
        <f t="shared" ca="1" si="287"/>
        <v>#REF!</v>
      </c>
      <c r="S1061" s="125" t="e">
        <f t="shared" ca="1" si="288"/>
        <v>#REF!</v>
      </c>
      <c r="T1061" s="125" t="e">
        <f t="shared" ca="1" si="283"/>
        <v>#REF!</v>
      </c>
      <c r="U1061" s="128" t="e">
        <f t="shared" ca="1" si="289"/>
        <v>#REF!</v>
      </c>
      <c r="AC1061">
        <v>1054</v>
      </c>
      <c r="AD1061" s="6">
        <f t="shared" ca="1" si="284"/>
        <v>20699</v>
      </c>
      <c r="AE1061" s="7" t="e">
        <f t="shared" ca="1" si="290"/>
        <v>#REF!</v>
      </c>
      <c r="AF1061" s="125" t="e">
        <f t="shared" ca="1" si="291"/>
        <v>#REF!</v>
      </c>
      <c r="AG1061" s="125" t="e">
        <f t="shared" ca="1" si="285"/>
        <v>#REF!</v>
      </c>
      <c r="AH1061" s="128" t="e">
        <f t="shared" ca="1" si="292"/>
        <v>#REF!</v>
      </c>
    </row>
    <row r="1062" spans="4:34">
      <c r="D1062">
        <v>1055</v>
      </c>
      <c r="E1062" s="6">
        <f t="shared" ca="1" si="277"/>
        <v>20668</v>
      </c>
      <c r="F1062" s="7">
        <f t="shared" ca="1" si="286"/>
        <v>0</v>
      </c>
      <c r="G1062" s="125">
        <f t="shared" ca="1" si="278"/>
        <v>0</v>
      </c>
      <c r="H1062" s="125">
        <f ca="1">IF(F1062=1,F1062*$B$10/MIN(12,'Simulador - 3º Pilar'!$E$88),0)</f>
        <v>0</v>
      </c>
      <c r="I1062" s="128">
        <f t="shared" ca="1" si="279"/>
        <v>0</v>
      </c>
      <c r="J1062" s="494">
        <f t="shared" ca="1" si="280"/>
        <v>0</v>
      </c>
      <c r="K1062" s="126">
        <f t="shared" ca="1" si="281"/>
        <v>0</v>
      </c>
      <c r="L1062" s="126">
        <f t="shared" ca="1" si="293"/>
        <v>0</v>
      </c>
      <c r="P1062">
        <v>1055</v>
      </c>
      <c r="Q1062" s="6">
        <f t="shared" ca="1" si="282"/>
        <v>20668</v>
      </c>
      <c r="R1062" s="7" t="e">
        <f t="shared" ca="1" si="287"/>
        <v>#REF!</v>
      </c>
      <c r="S1062" s="125" t="e">
        <f t="shared" ca="1" si="288"/>
        <v>#REF!</v>
      </c>
      <c r="T1062" s="125" t="e">
        <f t="shared" ca="1" si="283"/>
        <v>#REF!</v>
      </c>
      <c r="U1062" s="128" t="e">
        <f t="shared" ca="1" si="289"/>
        <v>#REF!</v>
      </c>
      <c r="AC1062">
        <v>1055</v>
      </c>
      <c r="AD1062" s="6">
        <f t="shared" ca="1" si="284"/>
        <v>20668</v>
      </c>
      <c r="AE1062" s="7" t="e">
        <f t="shared" ca="1" si="290"/>
        <v>#REF!</v>
      </c>
      <c r="AF1062" s="125" t="e">
        <f t="shared" ca="1" si="291"/>
        <v>#REF!</v>
      </c>
      <c r="AG1062" s="125" t="e">
        <f t="shared" ca="1" si="285"/>
        <v>#REF!</v>
      </c>
      <c r="AH1062" s="128" t="e">
        <f t="shared" ca="1" si="292"/>
        <v>#REF!</v>
      </c>
    </row>
    <row r="1063" spans="4:34">
      <c r="D1063">
        <v>1056</v>
      </c>
      <c r="E1063" s="6">
        <f t="shared" ca="1" si="277"/>
        <v>20637</v>
      </c>
      <c r="F1063" s="7">
        <f t="shared" ca="1" si="286"/>
        <v>0</v>
      </c>
      <c r="G1063" s="125">
        <f t="shared" ca="1" si="278"/>
        <v>0</v>
      </c>
      <c r="H1063" s="125">
        <f ca="1">IF(F1063=1,F1063*$B$10/MIN(12,'Simulador - 3º Pilar'!$E$88),0)</f>
        <v>0</v>
      </c>
      <c r="I1063" s="128">
        <f t="shared" ca="1" si="279"/>
        <v>0</v>
      </c>
      <c r="J1063" s="494">
        <f t="shared" ca="1" si="280"/>
        <v>0</v>
      </c>
      <c r="K1063" s="126">
        <f t="shared" ca="1" si="281"/>
        <v>0</v>
      </c>
      <c r="L1063" s="126">
        <f t="shared" ca="1" si="293"/>
        <v>0</v>
      </c>
      <c r="P1063">
        <v>1056</v>
      </c>
      <c r="Q1063" s="6">
        <f t="shared" ca="1" si="282"/>
        <v>20637</v>
      </c>
      <c r="R1063" s="7" t="e">
        <f t="shared" ca="1" si="287"/>
        <v>#REF!</v>
      </c>
      <c r="S1063" s="125" t="e">
        <f t="shared" ca="1" si="288"/>
        <v>#REF!</v>
      </c>
      <c r="T1063" s="125" t="e">
        <f t="shared" ca="1" si="283"/>
        <v>#REF!</v>
      </c>
      <c r="U1063" s="128" t="e">
        <f t="shared" ca="1" si="289"/>
        <v>#REF!</v>
      </c>
      <c r="AC1063">
        <v>1056</v>
      </c>
      <c r="AD1063" s="6">
        <f t="shared" ca="1" si="284"/>
        <v>20637</v>
      </c>
      <c r="AE1063" s="7" t="e">
        <f t="shared" ca="1" si="290"/>
        <v>#REF!</v>
      </c>
      <c r="AF1063" s="125" t="e">
        <f t="shared" ca="1" si="291"/>
        <v>#REF!</v>
      </c>
      <c r="AG1063" s="125" t="e">
        <f t="shared" ca="1" si="285"/>
        <v>#REF!</v>
      </c>
      <c r="AH1063" s="128" t="e">
        <f t="shared" ca="1" si="292"/>
        <v>#REF!</v>
      </c>
    </row>
    <row r="1064" spans="4:34">
      <c r="D1064">
        <v>1057</v>
      </c>
      <c r="E1064" s="6">
        <f t="shared" ca="1" si="277"/>
        <v>20607</v>
      </c>
      <c r="F1064" s="7">
        <f t="shared" ca="1" si="286"/>
        <v>0</v>
      </c>
      <c r="G1064" s="125">
        <f t="shared" ca="1" si="278"/>
        <v>0</v>
      </c>
      <c r="H1064" s="125">
        <f ca="1">IF(F1064=1,F1064*$B$10/MIN(12,'Simulador - 3º Pilar'!$E$88),0)</f>
        <v>0</v>
      </c>
      <c r="I1064" s="128">
        <f t="shared" ca="1" si="279"/>
        <v>0</v>
      </c>
      <c r="J1064" s="494">
        <f t="shared" ca="1" si="280"/>
        <v>0</v>
      </c>
      <c r="K1064" s="126">
        <f t="shared" ca="1" si="281"/>
        <v>0</v>
      </c>
      <c r="L1064" s="126">
        <f t="shared" ca="1" si="293"/>
        <v>0</v>
      </c>
      <c r="P1064">
        <v>1057</v>
      </c>
      <c r="Q1064" s="6">
        <f t="shared" ca="1" si="282"/>
        <v>20607</v>
      </c>
      <c r="R1064" s="7" t="e">
        <f t="shared" ca="1" si="287"/>
        <v>#REF!</v>
      </c>
      <c r="S1064" s="125" t="e">
        <f t="shared" ca="1" si="288"/>
        <v>#REF!</v>
      </c>
      <c r="T1064" s="125" t="e">
        <f t="shared" ca="1" si="283"/>
        <v>#REF!</v>
      </c>
      <c r="U1064" s="128" t="e">
        <f t="shared" ca="1" si="289"/>
        <v>#REF!</v>
      </c>
      <c r="AC1064">
        <v>1057</v>
      </c>
      <c r="AD1064" s="6">
        <f t="shared" ca="1" si="284"/>
        <v>20607</v>
      </c>
      <c r="AE1064" s="7" t="e">
        <f t="shared" ca="1" si="290"/>
        <v>#REF!</v>
      </c>
      <c r="AF1064" s="125" t="e">
        <f t="shared" ca="1" si="291"/>
        <v>#REF!</v>
      </c>
      <c r="AG1064" s="125" t="e">
        <f t="shared" ca="1" si="285"/>
        <v>#REF!</v>
      </c>
      <c r="AH1064" s="128" t="e">
        <f t="shared" ca="1" si="292"/>
        <v>#REF!</v>
      </c>
    </row>
    <row r="1065" spans="4:34">
      <c r="D1065">
        <v>1058</v>
      </c>
      <c r="E1065" s="6">
        <f t="shared" ca="1" si="277"/>
        <v>20576</v>
      </c>
      <c r="F1065" s="7">
        <f t="shared" ca="1" si="286"/>
        <v>0</v>
      </c>
      <c r="G1065" s="125">
        <f t="shared" ca="1" si="278"/>
        <v>0</v>
      </c>
      <c r="H1065" s="125">
        <f ca="1">IF(F1065=1,F1065*$B$10/MIN(12,'Simulador - 3º Pilar'!$E$88),0)</f>
        <v>0</v>
      </c>
      <c r="I1065" s="128">
        <f t="shared" ca="1" si="279"/>
        <v>0</v>
      </c>
      <c r="J1065" s="494">
        <f t="shared" ca="1" si="280"/>
        <v>0</v>
      </c>
      <c r="K1065" s="126">
        <f t="shared" ca="1" si="281"/>
        <v>0</v>
      </c>
      <c r="L1065" s="126">
        <f t="shared" ca="1" si="293"/>
        <v>0</v>
      </c>
      <c r="P1065">
        <v>1058</v>
      </c>
      <c r="Q1065" s="6">
        <f t="shared" ca="1" si="282"/>
        <v>20576</v>
      </c>
      <c r="R1065" s="7" t="e">
        <f t="shared" ca="1" si="287"/>
        <v>#REF!</v>
      </c>
      <c r="S1065" s="125" t="e">
        <f t="shared" ca="1" si="288"/>
        <v>#REF!</v>
      </c>
      <c r="T1065" s="125" t="e">
        <f t="shared" ca="1" si="283"/>
        <v>#REF!</v>
      </c>
      <c r="U1065" s="128" t="e">
        <f t="shared" ca="1" si="289"/>
        <v>#REF!</v>
      </c>
      <c r="AC1065">
        <v>1058</v>
      </c>
      <c r="AD1065" s="6">
        <f t="shared" ca="1" si="284"/>
        <v>20576</v>
      </c>
      <c r="AE1065" s="7" t="e">
        <f t="shared" ca="1" si="290"/>
        <v>#REF!</v>
      </c>
      <c r="AF1065" s="125" t="e">
        <f t="shared" ca="1" si="291"/>
        <v>#REF!</v>
      </c>
      <c r="AG1065" s="125" t="e">
        <f t="shared" ca="1" si="285"/>
        <v>#REF!</v>
      </c>
      <c r="AH1065" s="128" t="e">
        <f t="shared" ca="1" si="292"/>
        <v>#REF!</v>
      </c>
    </row>
    <row r="1066" spans="4:34">
      <c r="D1066">
        <v>1059</v>
      </c>
      <c r="E1066" s="6">
        <f t="shared" ca="1" si="277"/>
        <v>20546</v>
      </c>
      <c r="F1066" s="7">
        <f t="shared" ca="1" si="286"/>
        <v>0</v>
      </c>
      <c r="G1066" s="125">
        <f t="shared" ca="1" si="278"/>
        <v>0</v>
      </c>
      <c r="H1066" s="125">
        <f ca="1">IF(F1066=1,F1066*$B$10/MIN(12,'Simulador - 3º Pilar'!$E$88),0)</f>
        <v>0</v>
      </c>
      <c r="I1066" s="128">
        <f t="shared" ca="1" si="279"/>
        <v>0</v>
      </c>
      <c r="J1066" s="494">
        <f t="shared" ca="1" si="280"/>
        <v>0</v>
      </c>
      <c r="K1066" s="126">
        <f t="shared" ca="1" si="281"/>
        <v>0</v>
      </c>
      <c r="L1066" s="126">
        <f t="shared" ca="1" si="293"/>
        <v>0</v>
      </c>
      <c r="P1066">
        <v>1059</v>
      </c>
      <c r="Q1066" s="6">
        <f t="shared" ca="1" si="282"/>
        <v>20546</v>
      </c>
      <c r="R1066" s="7" t="e">
        <f t="shared" ca="1" si="287"/>
        <v>#REF!</v>
      </c>
      <c r="S1066" s="125" t="e">
        <f t="shared" ca="1" si="288"/>
        <v>#REF!</v>
      </c>
      <c r="T1066" s="125" t="e">
        <f t="shared" ca="1" si="283"/>
        <v>#REF!</v>
      </c>
      <c r="U1066" s="128" t="e">
        <f t="shared" ca="1" si="289"/>
        <v>#REF!</v>
      </c>
      <c r="AC1066">
        <v>1059</v>
      </c>
      <c r="AD1066" s="6">
        <f t="shared" ca="1" si="284"/>
        <v>20546</v>
      </c>
      <c r="AE1066" s="7" t="e">
        <f t="shared" ca="1" si="290"/>
        <v>#REF!</v>
      </c>
      <c r="AF1066" s="125" t="e">
        <f t="shared" ca="1" si="291"/>
        <v>#REF!</v>
      </c>
      <c r="AG1066" s="125" t="e">
        <f t="shared" ca="1" si="285"/>
        <v>#REF!</v>
      </c>
      <c r="AH1066" s="128" t="e">
        <f t="shared" ca="1" si="292"/>
        <v>#REF!</v>
      </c>
    </row>
  </sheetData>
  <mergeCells count="3">
    <mergeCell ref="D1:N1"/>
    <mergeCell ref="P1:Z1"/>
    <mergeCell ref="AC1:A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4"/>
  </sheetPr>
  <dimension ref="A1:BH112"/>
  <sheetViews>
    <sheetView showGridLines="0" topLeftCell="A2" zoomScale="70" zoomScaleNormal="70" workbookViewId="0">
      <selection activeCell="D65" sqref="D65"/>
    </sheetView>
  </sheetViews>
  <sheetFormatPr defaultColWidth="9.109375" defaultRowHeight="13.8"/>
  <cols>
    <col min="1" max="1" width="2.44140625" style="172" customWidth="1"/>
    <col min="2" max="2" width="2.5546875" style="172" customWidth="1"/>
    <col min="3" max="3" width="1" style="172" customWidth="1"/>
    <col min="4" max="4" width="35.44140625" style="277" customWidth="1"/>
    <col min="5" max="5" width="12.33203125" style="277" customWidth="1"/>
    <col min="6" max="6" width="2.6640625" style="277" customWidth="1"/>
    <col min="7" max="7" width="14.109375" style="277" customWidth="1"/>
    <col min="8" max="8" width="13.6640625" style="277" customWidth="1"/>
    <col min="9" max="9" width="0.44140625" style="277" customWidth="1"/>
    <col min="10" max="10" width="20" style="277" customWidth="1"/>
    <col min="11" max="11" width="18.44140625" style="277" customWidth="1"/>
    <col min="12" max="15" width="1.6640625" style="277" customWidth="1"/>
    <col min="16" max="16" width="9.109375" style="277"/>
    <col min="17" max="17" width="5.6640625" style="277" customWidth="1"/>
    <col min="18" max="18" width="13" style="277" customWidth="1"/>
    <col min="19" max="19" width="13.88671875" style="277" customWidth="1"/>
    <col min="20" max="20" width="14" style="277" customWidth="1"/>
    <col min="21" max="21" width="9.109375" style="277"/>
    <col min="22" max="22" width="16.5546875" style="172" customWidth="1"/>
    <col min="23" max="23" width="15.5546875" style="173" customWidth="1"/>
    <col min="24" max="24" width="14.88671875" style="173" customWidth="1"/>
    <col min="25" max="25" width="12.109375" style="173" bestFit="1" customWidth="1"/>
    <col min="26" max="26" width="20.5546875" style="173" customWidth="1"/>
    <col min="27" max="27" width="13.44140625" style="173" bestFit="1" customWidth="1"/>
    <col min="28" max="28" width="22.5546875" style="173" customWidth="1"/>
    <col min="29" max="29" width="9.109375" style="173"/>
    <col min="30" max="30" width="11" style="173" customWidth="1"/>
    <col min="31" max="31" width="11.109375" style="173" customWidth="1"/>
    <col min="32" max="35" width="9.109375" style="173"/>
    <col min="36" max="36" width="19.33203125" style="173" customWidth="1"/>
    <col min="37" max="50" width="9.109375" style="173"/>
    <col min="51" max="51" width="7.5546875" style="173" customWidth="1"/>
    <col min="52" max="60" width="9.109375" style="173"/>
    <col min="61" max="16384" width="9.109375" style="172"/>
  </cols>
  <sheetData>
    <row r="1" spans="2:24">
      <c r="D1" s="172"/>
      <c r="E1" s="172"/>
      <c r="F1" s="172"/>
      <c r="G1" s="172"/>
      <c r="H1" s="172"/>
      <c r="I1" s="172"/>
      <c r="J1" s="172"/>
      <c r="K1" s="172"/>
      <c r="L1" s="172"/>
      <c r="M1" s="172"/>
      <c r="N1" s="172"/>
      <c r="O1" s="172"/>
      <c r="P1" s="172"/>
      <c r="Q1" s="172"/>
      <c r="R1" s="172"/>
      <c r="S1" s="172"/>
      <c r="T1" s="172"/>
      <c r="U1" s="172"/>
    </row>
    <row r="2" spans="2:24" ht="36.6" customHeight="1">
      <c r="B2" s="952" t="s">
        <v>397</v>
      </c>
      <c r="C2" s="952"/>
      <c r="D2" s="952"/>
      <c r="E2" s="952"/>
      <c r="F2" s="952"/>
      <c r="G2" s="952"/>
      <c r="H2" s="952"/>
      <c r="I2" s="952"/>
      <c r="J2" s="952"/>
      <c r="K2" s="952"/>
      <c r="L2" s="178"/>
      <c r="M2" s="172"/>
      <c r="N2" s="172"/>
      <c r="O2" s="172"/>
      <c r="P2" s="172"/>
      <c r="Q2" s="172"/>
      <c r="R2" s="172"/>
      <c r="S2" s="172"/>
      <c r="T2" s="172"/>
      <c r="U2" s="172"/>
    </row>
    <row r="3" spans="2:24" ht="3" customHeight="1">
      <c r="D3" s="287"/>
      <c r="E3" s="287"/>
      <c r="F3" s="287"/>
      <c r="G3" s="287"/>
      <c r="H3" s="287"/>
      <c r="I3" s="287"/>
      <c r="J3" s="287"/>
      <c r="K3" s="287"/>
      <c r="L3" s="183"/>
      <c r="M3" s="172"/>
      <c r="N3" s="172"/>
      <c r="O3" s="172"/>
      <c r="P3" s="172"/>
      <c r="Q3" s="172"/>
      <c r="R3" s="172"/>
      <c r="S3" s="172"/>
      <c r="T3" s="172"/>
      <c r="U3" s="172"/>
    </row>
    <row r="4" spans="2:24" ht="14.4" customHeight="1">
      <c r="B4" s="491" t="s">
        <v>357</v>
      </c>
      <c r="C4" s="428"/>
      <c r="D4" s="429"/>
      <c r="F4" s="172"/>
      <c r="H4" s="988" t="s">
        <v>224</v>
      </c>
      <c r="I4" s="988"/>
      <c r="J4" s="988"/>
      <c r="K4" s="440">
        <f ca="1">+'Simulador - 1º Pilar'!G20</f>
        <v>52781</v>
      </c>
      <c r="L4" s="172"/>
      <c r="M4" s="172"/>
      <c r="N4" s="172"/>
      <c r="O4" s="172"/>
      <c r="P4" s="172"/>
      <c r="Q4" s="172"/>
      <c r="R4" s="172"/>
      <c r="S4" s="172"/>
      <c r="T4" s="172"/>
      <c r="U4" s="172"/>
    </row>
    <row r="5" spans="2:24" ht="3.9" customHeight="1">
      <c r="B5" s="428"/>
      <c r="C5" s="428"/>
      <c r="D5" s="429"/>
      <c r="F5" s="172"/>
      <c r="H5" s="489"/>
      <c r="I5" s="489"/>
      <c r="J5" s="489"/>
      <c r="K5" s="440"/>
      <c r="L5" s="172"/>
      <c r="M5" s="172"/>
      <c r="N5" s="172"/>
      <c r="O5" s="172"/>
      <c r="P5" s="172"/>
      <c r="Q5" s="172"/>
      <c r="R5" s="172"/>
      <c r="S5" s="172"/>
      <c r="T5" s="172"/>
      <c r="U5" s="172"/>
    </row>
    <row r="6" spans="2:24" ht="17.399999999999999" customHeight="1">
      <c r="B6" s="974" t="s">
        <v>460</v>
      </c>
      <c r="C6" s="974"/>
      <c r="D6" s="974"/>
      <c r="E6" s="974"/>
      <c r="F6" s="500"/>
      <c r="G6" s="501"/>
      <c r="H6" s="586">
        <v>0</v>
      </c>
      <c r="I6" s="502"/>
      <c r="J6" s="503" t="s">
        <v>369</v>
      </c>
      <c r="K6" s="504">
        <f>IFERROR(IF(H6&lt;0,"-",H6),"")</f>
        <v>0</v>
      </c>
      <c r="L6" s="172"/>
      <c r="M6" s="172"/>
      <c r="N6" s="172"/>
      <c r="O6" s="172"/>
      <c r="P6" s="172"/>
      <c r="Q6" s="172"/>
      <c r="R6" s="172"/>
      <c r="S6" s="172"/>
      <c r="T6" s="172"/>
      <c r="U6" s="180"/>
      <c r="V6" s="180"/>
      <c r="W6" s="180"/>
      <c r="X6" s="180"/>
    </row>
    <row r="7" spans="2:24" ht="17.399999999999999" customHeight="1">
      <c r="B7" s="974"/>
      <c r="C7" s="974"/>
      <c r="D7" s="974"/>
      <c r="E7" s="974"/>
      <c r="F7" s="500"/>
      <c r="G7" s="501"/>
      <c r="H7" s="606"/>
      <c r="I7" s="505"/>
      <c r="J7" s="506" t="s">
        <v>234</v>
      </c>
      <c r="K7" s="507">
        <f ca="1">IFERROR(-E90*MIN(12,E88),"")</f>
        <v>0</v>
      </c>
      <c r="L7" s="172"/>
      <c r="M7" s="621"/>
      <c r="N7" s="172"/>
      <c r="O7" s="172"/>
      <c r="P7" s="172"/>
      <c r="Q7" s="172"/>
      <c r="R7" s="172"/>
      <c r="S7" s="172"/>
      <c r="T7" s="172"/>
      <c r="U7" s="180"/>
      <c r="V7" s="180"/>
      <c r="W7" s="180"/>
      <c r="X7" s="180"/>
    </row>
    <row r="8" spans="2:24" ht="7.5" customHeight="1">
      <c r="B8" s="205"/>
      <c r="C8" s="205"/>
      <c r="D8" s="205"/>
      <c r="E8" s="205"/>
      <c r="F8" s="172"/>
      <c r="G8" s="205"/>
      <c r="H8" s="205"/>
      <c r="I8" s="205"/>
      <c r="J8" s="298"/>
      <c r="K8" s="298"/>
      <c r="L8" s="172"/>
      <c r="M8" s="172"/>
      <c r="N8" s="172"/>
      <c r="O8" s="172"/>
      <c r="P8" s="172"/>
      <c r="Q8" s="172"/>
      <c r="R8" s="172"/>
      <c r="S8" s="172"/>
      <c r="T8" s="172"/>
      <c r="U8" s="180"/>
      <c r="V8" s="180"/>
      <c r="W8" s="180"/>
      <c r="X8" s="180"/>
    </row>
    <row r="9" spans="2:24" ht="20.399999999999999" customHeight="1">
      <c r="B9" s="975" t="s">
        <v>459</v>
      </c>
      <c r="C9" s="975"/>
      <c r="D9" s="975"/>
      <c r="E9" s="975"/>
      <c r="F9" s="172"/>
      <c r="G9" s="983" t="s">
        <v>457</v>
      </c>
      <c r="H9" s="983"/>
      <c r="I9" s="983"/>
      <c r="J9" s="987"/>
      <c r="K9" s="662">
        <v>0</v>
      </c>
      <c r="L9" s="172"/>
      <c r="M9" s="172"/>
      <c r="N9" s="172"/>
      <c r="O9" s="172"/>
      <c r="P9" s="172"/>
      <c r="Q9" s="172"/>
      <c r="R9" s="172"/>
      <c r="S9" s="172"/>
      <c r="T9" s="172"/>
      <c r="U9" s="180"/>
      <c r="V9" s="180"/>
      <c r="W9" s="180"/>
      <c r="X9" s="180"/>
    </row>
    <row r="10" spans="2:24" ht="18.600000000000001" customHeight="1">
      <c r="B10" s="975"/>
      <c r="C10" s="975"/>
      <c r="D10" s="975"/>
      <c r="E10" s="975"/>
      <c r="F10" s="172"/>
      <c r="G10" s="983"/>
      <c r="H10" s="983"/>
      <c r="I10" s="983"/>
      <c r="J10" s="987"/>
      <c r="K10" s="493">
        <f>IFERROR(K9,"-")</f>
        <v>0</v>
      </c>
      <c r="L10" s="172"/>
      <c r="M10" s="172"/>
      <c r="N10" s="172"/>
      <c r="O10" s="172"/>
      <c r="P10" s="172"/>
      <c r="Q10" s="172"/>
      <c r="R10" s="172"/>
      <c r="S10" s="172"/>
      <c r="T10" s="172"/>
      <c r="U10" s="180"/>
      <c r="V10" s="180"/>
      <c r="W10" s="180"/>
      <c r="X10" s="180"/>
    </row>
    <row r="11" spans="2:24" ht="6" customHeight="1">
      <c r="B11"/>
      <c r="C11" s="602"/>
      <c r="D11" s="603"/>
      <c r="E11" s="604"/>
      <c r="F11" s="188"/>
      <c r="G11" s="397"/>
      <c r="H11" s="397"/>
      <c r="I11" s="397"/>
      <c r="J11" s="403"/>
      <c r="K11" s="403"/>
      <c r="L11" s="172"/>
      <c r="M11" s="172"/>
      <c r="N11" s="172"/>
      <c r="O11" s="172"/>
      <c r="P11" s="172"/>
      <c r="Q11" s="172"/>
      <c r="R11" s="172"/>
      <c r="S11" s="172"/>
      <c r="T11" s="172"/>
      <c r="U11" s="180"/>
      <c r="V11" s="180"/>
      <c r="W11" s="180"/>
      <c r="X11" s="180"/>
    </row>
    <row r="12" spans="2:24" ht="3.9" customHeight="1">
      <c r="B12"/>
      <c r="C12" s="409"/>
      <c r="D12" s="399"/>
      <c r="E12" s="399"/>
      <c r="F12" s="172"/>
      <c r="G12" s="399"/>
      <c r="H12" s="399"/>
      <c r="I12" s="399"/>
      <c r="J12" s="399"/>
      <c r="K12" s="399"/>
      <c r="L12" s="172"/>
      <c r="M12" s="172"/>
      <c r="N12" s="172"/>
      <c r="O12" s="172"/>
      <c r="P12" s="172"/>
      <c r="Q12" s="172"/>
      <c r="R12" s="172"/>
      <c r="S12" s="172"/>
      <c r="T12" s="172"/>
      <c r="U12" s="180"/>
      <c r="V12" s="180"/>
      <c r="W12" s="180"/>
      <c r="X12" s="180"/>
    </row>
    <row r="13" spans="2:24" ht="33" customHeight="1">
      <c r="B13" s="976" t="s">
        <v>160</v>
      </c>
      <c r="C13" s="407"/>
      <c r="D13" s="990" t="s">
        <v>279</v>
      </c>
      <c r="E13" s="990"/>
      <c r="F13" s="397"/>
      <c r="G13" s="983" t="s">
        <v>359</v>
      </c>
      <c r="H13" s="983"/>
      <c r="I13" s="983"/>
      <c r="J13" s="983"/>
      <c r="K13" s="983"/>
      <c r="L13" s="172"/>
      <c r="M13" s="172"/>
      <c r="N13" s="172"/>
      <c r="O13" s="172"/>
      <c r="P13" s="172"/>
      <c r="Q13" s="172"/>
      <c r="R13" s="172"/>
      <c r="S13" s="172"/>
      <c r="T13" s="172"/>
      <c r="U13" s="180"/>
      <c r="V13" s="180"/>
      <c r="W13" s="180"/>
      <c r="X13" s="180"/>
    </row>
    <row r="14" spans="2:24" ht="17.399999999999999" customHeight="1">
      <c r="B14" s="976"/>
      <c r="C14" s="407"/>
      <c r="D14" s="990"/>
      <c r="E14" s="990"/>
      <c r="F14" s="397"/>
      <c r="G14" s="349"/>
      <c r="H14" s="349"/>
      <c r="I14" s="977">
        <v>0</v>
      </c>
      <c r="J14" s="977"/>
      <c r="K14" s="400"/>
      <c r="L14" s="172"/>
      <c r="M14" s="172"/>
      <c r="N14" s="172"/>
      <c r="O14" s="172"/>
      <c r="P14" s="172"/>
      <c r="Q14" s="172"/>
      <c r="R14" s="172"/>
      <c r="S14" s="172"/>
      <c r="T14" s="172"/>
      <c r="U14" s="172"/>
    </row>
    <row r="15" spans="2:24" ht="17.399999999999999" customHeight="1">
      <c r="B15" s="976"/>
      <c r="C15" s="407"/>
      <c r="D15" s="990"/>
      <c r="E15" s="990"/>
      <c r="F15" s="397"/>
      <c r="G15" s="349"/>
      <c r="H15" s="349"/>
      <c r="I15" s="978">
        <v>44561</v>
      </c>
      <c r="J15" s="978"/>
      <c r="K15" s="400"/>
      <c r="L15" s="172"/>
      <c r="M15" s="172"/>
      <c r="N15" s="172"/>
      <c r="O15" s="172"/>
      <c r="P15" s="172"/>
      <c r="Q15" s="172"/>
      <c r="R15" s="172"/>
      <c r="S15" s="172"/>
      <c r="T15" s="172"/>
      <c r="U15" s="172"/>
    </row>
    <row r="16" spans="2:24" ht="5.25" customHeight="1">
      <c r="B16" s="369"/>
      <c r="C16" s="605"/>
      <c r="D16" s="397"/>
      <c r="E16" s="397"/>
      <c r="F16" s="397"/>
      <c r="G16" s="349"/>
      <c r="H16" s="349"/>
      <c r="I16" s="349"/>
      <c r="J16" s="398"/>
      <c r="K16" s="398"/>
      <c r="L16" s="172"/>
      <c r="M16" s="172"/>
      <c r="N16" s="172"/>
      <c r="O16" s="172"/>
      <c r="P16" s="172"/>
      <c r="Q16" s="172"/>
      <c r="R16" s="172"/>
      <c r="S16" s="172"/>
      <c r="T16" s="172"/>
      <c r="U16" s="172"/>
    </row>
    <row r="17" spans="2:25" ht="3.9" customHeight="1">
      <c r="B17" s="369"/>
      <c r="C17" s="369"/>
      <c r="D17" s="383"/>
      <c r="E17" s="383"/>
      <c r="F17" s="383"/>
      <c r="G17" s="383"/>
      <c r="H17" s="383"/>
      <c r="I17" s="383"/>
      <c r="J17" s="383"/>
      <c r="K17" s="383"/>
      <c r="L17" s="172"/>
      <c r="M17" s="172"/>
      <c r="N17" s="172"/>
      <c r="O17" s="172"/>
      <c r="P17" s="172"/>
      <c r="Q17" s="172"/>
      <c r="R17" s="172"/>
      <c r="S17" s="172"/>
      <c r="T17" s="172"/>
      <c r="U17" s="172"/>
    </row>
    <row r="18" spans="2:25" ht="27.9" customHeight="1">
      <c r="B18" s="989" t="s">
        <v>166</v>
      </c>
      <c r="C18" s="408"/>
      <c r="D18" s="979" t="s">
        <v>317</v>
      </c>
      <c r="E18" s="979"/>
      <c r="F18" s="397"/>
      <c r="G18" s="983" t="s">
        <v>358</v>
      </c>
      <c r="H18" s="983"/>
      <c r="I18" s="983"/>
      <c r="J18" s="983"/>
      <c r="K18" s="983"/>
      <c r="L18" s="172"/>
      <c r="M18" s="172"/>
      <c r="N18" s="172"/>
      <c r="O18" s="172"/>
      <c r="P18" s="172"/>
      <c r="Q18" s="172"/>
      <c r="R18" s="439"/>
      <c r="S18" s="205"/>
      <c r="T18"/>
      <c r="U18" s="172"/>
      <c r="V18"/>
      <c r="Y18" s="539"/>
    </row>
    <row r="19" spans="2:25" ht="17.399999999999999" customHeight="1">
      <c r="B19" s="989"/>
      <c r="C19" s="408"/>
      <c r="D19" s="979"/>
      <c r="E19" s="979"/>
      <c r="F19" s="397"/>
      <c r="G19" s="991"/>
      <c r="H19" s="991"/>
      <c r="I19" s="973" t="s">
        <v>275</v>
      </c>
      <c r="J19" s="973"/>
      <c r="K19" s="401"/>
      <c r="L19" s="172"/>
      <c r="M19" s="172"/>
      <c r="N19" s="172"/>
      <c r="O19" s="172"/>
      <c r="P19" s="172">
        <v>7927.6930609004621</v>
      </c>
      <c r="Q19" s="172"/>
      <c r="R19" s="172"/>
      <c r="S19" s="172"/>
      <c r="T19" s="261"/>
      <c r="U19" s="172"/>
      <c r="V19"/>
    </row>
    <row r="20" spans="2:25" ht="17.399999999999999" customHeight="1">
      <c r="B20" s="989"/>
      <c r="C20" s="408"/>
      <c r="D20" s="979"/>
      <c r="E20" s="979"/>
      <c r="F20" s="402"/>
      <c r="G20" s="972" t="str">
        <f>+IF(I19="Mi propio perfil","Indique la rentabilidad:","")</f>
        <v>Indique la rentabilidad:</v>
      </c>
      <c r="H20" s="972"/>
      <c r="I20" s="971">
        <v>0.1</v>
      </c>
      <c r="J20" s="971"/>
      <c r="K20" s="401"/>
      <c r="L20" s="172"/>
      <c r="M20" s="172"/>
      <c r="N20" s="172"/>
      <c r="O20" s="172"/>
      <c r="P20" s="172">
        <v>7853.947078938596</v>
      </c>
      <c r="Q20" s="172"/>
      <c r="R20" s="172"/>
      <c r="S20" s="172"/>
      <c r="T20" s="172"/>
      <c r="U20" s="172"/>
    </row>
    <row r="21" spans="2:25" ht="5.25" customHeight="1">
      <c r="B21" s="425"/>
      <c r="C21" s="423"/>
      <c r="D21" s="424"/>
      <c r="E21" s="424"/>
      <c r="F21" s="414"/>
      <c r="G21" s="414"/>
      <c r="H21" s="414"/>
      <c r="I21" s="414"/>
      <c r="J21" s="414"/>
      <c r="K21" s="414"/>
      <c r="L21" s="261"/>
      <c r="M21" s="172"/>
      <c r="N21" s="172"/>
      <c r="O21" s="172"/>
      <c r="P21" s="172"/>
      <c r="Q21" s="172"/>
      <c r="R21" s="172"/>
      <c r="S21" s="172"/>
      <c r="T21" s="172"/>
      <c r="U21" s="172"/>
    </row>
    <row r="22" spans="2:25" ht="5.0999999999999996" customHeight="1">
      <c r="B22" s="406"/>
      <c r="C22" s="406"/>
      <c r="D22" s="383"/>
      <c r="E22" s="383"/>
      <c r="F22" s="383"/>
      <c r="G22" s="383"/>
      <c r="H22" s="383"/>
      <c r="I22" s="378"/>
      <c r="J22" s="383"/>
      <c r="K22" s="383"/>
      <c r="L22" s="172"/>
      <c r="M22" s="172"/>
      <c r="N22" s="172"/>
      <c r="O22" s="172"/>
      <c r="P22" s="172"/>
      <c r="Q22" s="172"/>
      <c r="R22" s="172"/>
      <c r="S22" s="172"/>
      <c r="T22" s="172"/>
      <c r="U22" s="172"/>
    </row>
    <row r="23" spans="2:25" ht="17.399999999999999" customHeight="1">
      <c r="B23" s="985" t="s">
        <v>343</v>
      </c>
      <c r="C23" s="422"/>
      <c r="D23" s="404" t="s">
        <v>344</v>
      </c>
      <c r="E23" s="404"/>
      <c r="F23" s="383"/>
      <c r="G23" s="982">
        <f ca="1">IFERROR(IF(D76="SI",$E$97,$E$96),"-")</f>
        <v>0</v>
      </c>
      <c r="H23" s="982"/>
      <c r="I23" s="982"/>
      <c r="J23" s="982"/>
      <c r="K23" s="417"/>
      <c r="L23" s="205"/>
      <c r="M23" s="172"/>
      <c r="N23" s="172"/>
      <c r="O23" s="172"/>
      <c r="P23" s="172"/>
      <c r="Q23" s="172"/>
      <c r="R23" s="172"/>
      <c r="S23" s="172"/>
      <c r="T23" s="172"/>
      <c r="U23" s="172"/>
    </row>
    <row r="24" spans="2:25" ht="2.25" customHeight="1">
      <c r="B24" s="985"/>
      <c r="C24" s="410"/>
      <c r="D24" s="411"/>
      <c r="E24" s="411"/>
      <c r="F24" s="389"/>
      <c r="G24" s="420"/>
      <c r="H24" s="420"/>
      <c r="I24" s="420"/>
      <c r="J24" s="420"/>
      <c r="K24" s="417"/>
      <c r="L24" s="205"/>
      <c r="M24" s="172"/>
      <c r="N24" s="172"/>
      <c r="O24" s="172"/>
      <c r="P24" s="172"/>
      <c r="Q24" s="172"/>
      <c r="R24" s="172"/>
      <c r="S24" s="172"/>
      <c r="T24" s="172"/>
      <c r="U24" s="172"/>
    </row>
    <row r="25" spans="2:25" ht="17.399999999999999" customHeight="1">
      <c r="B25" s="985"/>
      <c r="C25" s="422"/>
      <c r="D25" s="981" t="s">
        <v>304</v>
      </c>
      <c r="E25" s="981"/>
      <c r="F25" s="383"/>
      <c r="G25" s="983" t="s">
        <v>285</v>
      </c>
      <c r="H25" s="983"/>
      <c r="I25" s="205"/>
      <c r="J25" s="386" t="s">
        <v>284</v>
      </c>
      <c r="K25" s="383"/>
      <c r="L25" s="205"/>
      <c r="M25" s="172"/>
      <c r="N25" s="172"/>
      <c r="O25" s="172"/>
      <c r="P25" s="172"/>
      <c r="Q25" s="172"/>
      <c r="R25" s="172"/>
      <c r="S25" s="172"/>
      <c r="T25"/>
      <c r="U25" s="268"/>
      <c r="V25" s="268"/>
    </row>
    <row r="26" spans="2:25" ht="2.25" customHeight="1">
      <c r="B26" s="985"/>
      <c r="C26" s="422"/>
      <c r="D26" s="981"/>
      <c r="E26" s="981"/>
      <c r="F26" s="383"/>
      <c r="G26" s="421"/>
      <c r="H26" s="421"/>
      <c r="I26" s="421"/>
      <c r="J26" s="421"/>
      <c r="K26" s="383"/>
      <c r="L26" s="205"/>
      <c r="M26" s="172"/>
      <c r="N26" s="172"/>
      <c r="O26" s="172"/>
      <c r="P26" s="172"/>
      <c r="Q26" s="172"/>
      <c r="R26" s="172"/>
      <c r="S26" s="172"/>
      <c r="T26" s="172"/>
      <c r="U26" s="268"/>
      <c r="V26" s="268"/>
    </row>
    <row r="27" spans="2:25" ht="17.399999999999999" customHeight="1">
      <c r="B27" s="985"/>
      <c r="C27" s="422"/>
      <c r="D27" s="981"/>
      <c r="E27" s="981"/>
      <c r="F27" s="383"/>
      <c r="G27" s="984">
        <f ca="1">IFERROR(G23/'Renta Vitalicia'!$F$5,"-")</f>
        <v>0</v>
      </c>
      <c r="H27" s="984"/>
      <c r="I27" s="205"/>
      <c r="J27" s="661">
        <f ca="1">IFERROR(+G27/12,"-")</f>
        <v>0</v>
      </c>
      <c r="K27" s="383"/>
      <c r="L27" s="205"/>
      <c r="M27" s="172"/>
      <c r="N27" s="172"/>
      <c r="O27" s="172"/>
      <c r="P27" s="172"/>
      <c r="Q27" s="172"/>
      <c r="R27" s="172"/>
      <c r="S27" s="172"/>
      <c r="T27" s="172"/>
      <c r="U27" s="268"/>
      <c r="V27" s="268"/>
    </row>
    <row r="28" spans="2:25" ht="15" customHeight="1">
      <c r="B28" s="985"/>
      <c r="C28" s="607"/>
      <c r="D28"/>
      <c r="E28"/>
      <c r="F28"/>
      <c r="G28"/>
      <c r="H28"/>
      <c r="I28"/>
      <c r="J28" s="403"/>
      <c r="K28" s="383"/>
      <c r="L28" s="205"/>
      <c r="M28" s="172"/>
      <c r="N28" s="172"/>
      <c r="O28" s="172"/>
      <c r="P28" s="172"/>
      <c r="Q28" s="172"/>
      <c r="R28" s="172"/>
      <c r="S28" s="172"/>
      <c r="T28" s="172"/>
      <c r="U28" s="268"/>
      <c r="V28" s="268"/>
    </row>
    <row r="29" spans="2:25" ht="9" customHeight="1">
      <c r="B29" s="985"/>
      <c r="C29" s="410"/>
      <c r="D29" s="412"/>
      <c r="E29" s="412"/>
      <c r="F29" s="389"/>
      <c r="G29" s="389"/>
      <c r="H29" s="413"/>
      <c r="I29" s="413"/>
      <c r="J29" s="414"/>
      <c r="K29" s="383"/>
      <c r="L29" s="205"/>
      <c r="M29" s="172"/>
      <c r="N29" s="172"/>
      <c r="O29" s="172"/>
      <c r="P29" s="172"/>
      <c r="Q29" s="172"/>
      <c r="R29" s="172"/>
      <c r="S29" s="172"/>
      <c r="T29" s="172"/>
      <c r="U29" s="268"/>
      <c r="V29" s="268"/>
    </row>
    <row r="30" spans="2:25" ht="17.399999999999999" customHeight="1">
      <c r="B30" s="985"/>
      <c r="C30" s="422"/>
      <c r="D30" s="404" t="s">
        <v>305</v>
      </c>
      <c r="E30" s="404"/>
      <c r="F30" s="383"/>
      <c r="G30" s="986">
        <f ca="1">IFERROR(+G27/$H$49,"-")</f>
        <v>0</v>
      </c>
      <c r="H30" s="986"/>
      <c r="I30" s="986"/>
      <c r="J30" s="986"/>
      <c r="K30" s="383"/>
      <c r="L30" s="205"/>
      <c r="M30" s="172"/>
      <c r="N30" s="172"/>
      <c r="O30" s="172"/>
      <c r="P30" s="172"/>
      <c r="Q30" s="172"/>
      <c r="R30" s="172"/>
      <c r="S30" s="172"/>
      <c r="T30" s="172"/>
      <c r="U30" s="268"/>
      <c r="V30" s="268"/>
    </row>
    <row r="31" spans="2:25" ht="17.399999999999999" customHeight="1">
      <c r="B31"/>
      <c r="C31"/>
      <c r="D31"/>
      <c r="E31"/>
      <c r="F31"/>
      <c r="G31"/>
      <c r="H31"/>
      <c r="I31"/>
      <c r="J31"/>
      <c r="K31"/>
      <c r="L31" s="205"/>
      <c r="M31" s="172"/>
      <c r="N31" s="172"/>
      <c r="O31" s="172"/>
      <c r="P31" s="172"/>
      <c r="Q31" s="172"/>
      <c r="R31" s="172"/>
      <c r="S31" s="172"/>
      <c r="T31" s="172"/>
      <c r="U31" s="268"/>
      <c r="V31" s="268"/>
    </row>
    <row r="32" spans="2:25" ht="17.399999999999999" customHeight="1">
      <c r="B32"/>
      <c r="C32"/>
      <c r="D32"/>
      <c r="E32"/>
      <c r="F32"/>
      <c r="G32"/>
      <c r="H32"/>
      <c r="I32"/>
      <c r="J32"/>
      <c r="K32"/>
      <c r="L32" s="205"/>
      <c r="M32" s="172"/>
      <c r="N32" s="172"/>
      <c r="O32" s="172"/>
      <c r="P32" s="172"/>
      <c r="Q32" s="172"/>
      <c r="R32" s="172"/>
      <c r="S32" s="172"/>
      <c r="T32" s="172"/>
      <c r="U32" s="268"/>
      <c r="V32" s="268"/>
    </row>
    <row r="33" spans="2:60" ht="17.399999999999999" customHeight="1">
      <c r="B33" s="614"/>
      <c r="C33" s="410"/>
      <c r="D33" s="980"/>
      <c r="E33" s="980"/>
      <c r="F33" s="980"/>
      <c r="G33" s="980"/>
      <c r="H33" s="980"/>
      <c r="I33" s="980"/>
      <c r="J33" s="980"/>
      <c r="K33" s="980"/>
      <c r="L33" s="11"/>
      <c r="M33" s="172"/>
      <c r="N33" s="173"/>
      <c r="O33" s="173"/>
      <c r="P33" s="173"/>
      <c r="Q33" s="173"/>
      <c r="R33" s="173"/>
      <c r="S33" s="173"/>
      <c r="T33"/>
      <c r="U33" s="268"/>
      <c r="V33" s="268"/>
    </row>
    <row r="34" spans="2:60" s="211" customFormat="1" ht="17.399999999999999" customHeight="1">
      <c r="B34" s="614"/>
      <c r="C34" s="410"/>
      <c r="D34" s="992"/>
      <c r="E34" s="992"/>
      <c r="F34" s="415"/>
      <c r="G34" s="415"/>
      <c r="H34" s="415"/>
      <c r="I34" s="416"/>
      <c r="J34" s="993"/>
      <c r="K34" s="993"/>
      <c r="L34" s="11"/>
      <c r="M34" s="172"/>
      <c r="N34" s="210"/>
      <c r="O34" s="210"/>
      <c r="P34" s="210"/>
      <c r="Q34" s="210"/>
      <c r="R34" s="210"/>
      <c r="S34" s="210"/>
      <c r="T34" s="210"/>
      <c r="U34" s="210"/>
      <c r="W34" s="210"/>
      <c r="X34" s="210"/>
      <c r="Y34" s="210"/>
      <c r="Z34" s="210"/>
      <c r="AA34" s="210"/>
      <c r="AB34" s="210"/>
      <c r="AC34" s="210"/>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row>
    <row r="35" spans="2:60" s="211" customFormat="1" ht="2.25" customHeight="1">
      <c r="B35" s="614"/>
      <c r="C35" s="410"/>
      <c r="D35" s="419"/>
      <c r="E35" s="419"/>
      <c r="F35" s="415"/>
      <c r="G35" s="415"/>
      <c r="H35" s="415"/>
      <c r="I35" s="416"/>
      <c r="J35" s="420"/>
      <c r="K35" s="420"/>
      <c r="L35" s="11"/>
      <c r="M35" s="172"/>
      <c r="N35" s="210"/>
      <c r="O35" s="210"/>
      <c r="P35" s="210"/>
      <c r="Q35" s="210"/>
      <c r="R35" s="210"/>
      <c r="S35" s="210"/>
      <c r="T35" s="210"/>
      <c r="U35" s="210"/>
      <c r="W35" s="210"/>
      <c r="X35" s="210"/>
      <c r="Y35" s="210"/>
      <c r="Z35" s="210"/>
      <c r="AA35" s="210"/>
      <c r="AB35" s="210"/>
      <c r="AC35" s="210"/>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row>
    <row r="36" spans="2:60" s="211" customFormat="1" ht="17.399999999999999" customHeight="1">
      <c r="B36" s="614"/>
      <c r="C36" s="410"/>
      <c r="D36" s="996"/>
      <c r="E36" s="996"/>
      <c r="F36" s="996"/>
      <c r="G36" s="996"/>
      <c r="H36" s="996"/>
      <c r="I36" s="416"/>
      <c r="J36" s="994"/>
      <c r="K36" s="994"/>
      <c r="L36" s="11"/>
      <c r="M36" s="172"/>
      <c r="N36" s="210"/>
      <c r="O36" s="210"/>
      <c r="P36" s="210"/>
      <c r="Q36" s="210"/>
      <c r="R36" s="210"/>
      <c r="S36" s="210"/>
      <c r="T36" s="210"/>
      <c r="U36" s="210"/>
      <c r="W36" s="210"/>
      <c r="X36" s="210"/>
      <c r="Y36" s="210"/>
      <c r="Z36" s="210"/>
      <c r="AA36" s="210"/>
      <c r="AB36" s="210"/>
      <c r="AC36" s="210"/>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row>
    <row r="37" spans="2:60" s="211" customFormat="1" ht="2.25" customHeight="1">
      <c r="B37" s="614"/>
      <c r="C37" s="410"/>
      <c r="D37" s="411"/>
      <c r="E37" s="411"/>
      <c r="F37" s="411"/>
      <c r="G37" s="411"/>
      <c r="H37" s="411"/>
      <c r="I37" s="416"/>
      <c r="J37" s="418"/>
      <c r="K37" s="418"/>
      <c r="L37" s="8"/>
      <c r="M37" s="172"/>
      <c r="N37" s="210"/>
      <c r="O37" s="210"/>
      <c r="P37" s="210"/>
      <c r="Q37" s="210"/>
      <c r="R37" s="210"/>
      <c r="S37" s="210"/>
      <c r="T37" s="210"/>
      <c r="U37" s="210"/>
      <c r="W37" s="210"/>
      <c r="X37" s="210"/>
      <c r="Y37" s="210"/>
      <c r="Z37" s="210"/>
      <c r="AA37" s="210"/>
      <c r="AB37" s="210"/>
      <c r="AC37" s="210"/>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row>
    <row r="38" spans="2:60" ht="17.399999999999999" customHeight="1">
      <c r="B38" s="614"/>
      <c r="C38" s="410"/>
      <c r="D38" s="996"/>
      <c r="E38" s="996"/>
      <c r="F38" s="996"/>
      <c r="G38" s="996"/>
      <c r="H38" s="996"/>
      <c r="I38" s="416"/>
      <c r="J38" s="405"/>
      <c r="K38" s="420"/>
      <c r="L38" s="11"/>
      <c r="M38" s="173"/>
      <c r="N38" s="173"/>
      <c r="O38" s="173"/>
      <c r="P38" s="173"/>
      <c r="Q38" s="173"/>
      <c r="R38" s="173"/>
      <c r="S38" s="173"/>
      <c r="T38" s="173"/>
      <c r="U38" s="173"/>
    </row>
    <row r="39" spans="2:60" ht="2.25" customHeight="1">
      <c r="B39" s="614"/>
      <c r="C39" s="410"/>
      <c r="D39" s="411"/>
      <c r="E39" s="411"/>
      <c r="F39" s="411"/>
      <c r="G39" s="411"/>
      <c r="H39" s="411"/>
      <c r="I39" s="416"/>
      <c r="J39" s="405"/>
      <c r="K39" s="420"/>
      <c r="L39" s="11"/>
      <c r="M39" s="173"/>
      <c r="N39" s="173"/>
      <c r="O39" s="173"/>
      <c r="P39" s="173"/>
      <c r="Q39" s="173"/>
      <c r="R39" s="173"/>
      <c r="S39" s="173"/>
      <c r="T39" s="173"/>
      <c r="U39" s="173"/>
    </row>
    <row r="40" spans="2:60" ht="24" customHeight="1">
      <c r="B40" s="614"/>
      <c r="C40" s="410"/>
      <c r="D40" s="997"/>
      <c r="E40" s="997"/>
      <c r="F40" s="997"/>
      <c r="G40" s="997"/>
      <c r="H40" s="997"/>
      <c r="I40" s="416"/>
      <c r="J40" s="995"/>
      <c r="K40" s="995"/>
      <c r="L40" s="237"/>
      <c r="M40" s="173"/>
      <c r="N40" s="173"/>
      <c r="O40" s="173"/>
      <c r="P40" s="173"/>
      <c r="Q40" s="173"/>
      <c r="R40" s="173"/>
      <c r="S40" s="173"/>
      <c r="T40" s="173"/>
      <c r="U40" s="173"/>
    </row>
    <row r="41" spans="2:60" ht="12" customHeight="1" thickBot="1">
      <c r="B41"/>
      <c r="C41"/>
      <c r="D41"/>
      <c r="E41"/>
      <c r="F41"/>
      <c r="G41"/>
      <c r="H41"/>
      <c r="I41"/>
      <c r="J41"/>
      <c r="K41"/>
      <c r="L41"/>
      <c r="M41" s="427"/>
      <c r="N41" s="173"/>
      <c r="O41" s="173"/>
      <c r="P41" s="173"/>
      <c r="Q41" s="173"/>
      <c r="R41" s="173"/>
      <c r="S41" s="173"/>
      <c r="T41" s="173"/>
      <c r="U41" s="173"/>
      <c r="AB41"/>
    </row>
    <row r="42" spans="2:60" ht="12" customHeight="1" thickTop="1" thickBot="1">
      <c r="B42"/>
      <c r="C42"/>
      <c r="E42"/>
      <c r="F42"/>
      <c r="G42"/>
      <c r="H42"/>
      <c r="I42"/>
      <c r="J42"/>
      <c r="K42"/>
      <c r="L42"/>
      <c r="M42"/>
      <c r="N42" s="426"/>
      <c r="O42" s="173"/>
      <c r="P42" s="173"/>
      <c r="Q42" s="173"/>
      <c r="R42" s="173"/>
      <c r="S42" s="173"/>
      <c r="T42" s="173"/>
      <c r="U42" s="173"/>
      <c r="Z42" s="373"/>
      <c r="AB42"/>
    </row>
    <row r="43" spans="2:60" ht="12" customHeight="1" thickTop="1">
      <c r="B43"/>
      <c r="C43"/>
      <c r="D43"/>
      <c r="E43"/>
      <c r="F43"/>
      <c r="G43"/>
      <c r="H43"/>
      <c r="I43"/>
      <c r="J43"/>
      <c r="K43"/>
      <c r="L43"/>
      <c r="M43"/>
      <c r="N43" s="173"/>
      <c r="O43" s="173"/>
      <c r="P43" s="173"/>
      <c r="Q43" s="173"/>
      <c r="R43" s="173"/>
      <c r="S43" s="173"/>
      <c r="T43" s="173"/>
      <c r="U43" s="173"/>
      <c r="AB43"/>
    </row>
    <row r="44" spans="2:60" ht="12" customHeight="1">
      <c r="B44"/>
      <c r="C44"/>
      <c r="F44" s="315"/>
      <c r="G44" s="11"/>
      <c r="H44" s="587"/>
      <c r="I44"/>
      <c r="J44" s="543"/>
      <c r="K44"/>
      <c r="L44"/>
      <c r="M44"/>
      <c r="N44" s="173"/>
      <c r="O44" s="173"/>
      <c r="P44" s="173"/>
      <c r="Q44" s="173"/>
      <c r="R44" s="173"/>
      <c r="S44" s="173"/>
      <c r="T44" s="173"/>
      <c r="U44" s="173"/>
    </row>
    <row r="45" spans="2:60" ht="12" customHeight="1">
      <c r="B45"/>
      <c r="C45"/>
      <c r="E45" s="209"/>
      <c r="F45"/>
      <c r="G45"/>
      <c r="H45" s="126"/>
      <c r="I45"/>
      <c r="J45"/>
      <c r="K45"/>
      <c r="L45"/>
      <c r="M45" s="173"/>
    </row>
    <row r="46" spans="2:60" ht="21.75" customHeight="1">
      <c r="D46" s="510" t="s">
        <v>466</v>
      </c>
      <c r="M46" s="540"/>
    </row>
    <row r="47" spans="2:60" ht="24.6" customHeight="1">
      <c r="D47" s="510"/>
      <c r="H47" s="316"/>
      <c r="M47" s="173"/>
    </row>
    <row r="48" spans="2:60" ht="24.6" customHeight="1">
      <c r="D48" s="543" t="s">
        <v>485</v>
      </c>
      <c r="J48" s="543" t="s">
        <v>535</v>
      </c>
      <c r="M48" s="173"/>
      <c r="S48" s="173"/>
      <c r="T48" s="173"/>
      <c r="U48" s="173"/>
      <c r="V48" s="173"/>
    </row>
    <row r="49" spans="1:22">
      <c r="D49" s="195" t="s">
        <v>250</v>
      </c>
      <c r="E49" s="195"/>
      <c r="F49" s="195"/>
      <c r="G49" s="195"/>
      <c r="H49" s="541">
        <f ca="1">IFERROR(+'Simulador - 1º Pilar'!$G$50,0)</f>
        <v>378745.7074676209</v>
      </c>
      <c r="K49" s="441"/>
      <c r="M49" s="173"/>
      <c r="S49" s="173"/>
      <c r="T49" s="173"/>
      <c r="U49" s="173"/>
      <c r="V49" s="173"/>
    </row>
    <row r="50" spans="1:22" ht="14.4">
      <c r="D50" s="195" t="s">
        <v>537</v>
      </c>
      <c r="E50" s="195"/>
      <c r="F50" s="195"/>
      <c r="G50" s="195"/>
      <c r="H50" s="542">
        <f ca="1">IFERROR(MIN(+$G$27/$H$49,100%),"-")</f>
        <v>0</v>
      </c>
      <c r="J50" s="441">
        <f ca="1">IFERROR('Simulador - 1º Pilar'!$G$51+H50+'Simulador - RESUMEN'!N28,"-")</f>
        <v>0.17833914669726864</v>
      </c>
      <c r="K50" s="209"/>
      <c r="M50" s="173"/>
      <c r="S50" s="173"/>
      <c r="T50" s="173"/>
      <c r="U50" s="173"/>
      <c r="V50" s="173"/>
    </row>
    <row r="51" spans="1:22">
      <c r="D51" s="188" t="s">
        <v>536</v>
      </c>
      <c r="E51" s="195"/>
      <c r="F51" s="195"/>
      <c r="G51" s="195"/>
      <c r="H51" s="542">
        <f ca="1">IFERROR(MAX(100%-$H$50,0%),"-")</f>
        <v>1</v>
      </c>
      <c r="J51" s="542">
        <f ca="1">MAX(100%-J50,0)</f>
        <v>0.82166085330273142</v>
      </c>
      <c r="M51" s="173"/>
      <c r="S51" s="173"/>
      <c r="T51" s="173"/>
      <c r="U51" s="173"/>
      <c r="V51" s="173"/>
    </row>
    <row r="52" spans="1:22">
      <c r="M52" s="173"/>
      <c r="S52" s="173"/>
      <c r="T52" s="173"/>
      <c r="U52" s="173"/>
      <c r="V52" s="173"/>
    </row>
    <row r="53" spans="1:22">
      <c r="M53" s="173"/>
      <c r="S53" s="173"/>
      <c r="T53" s="173"/>
      <c r="U53" s="173"/>
      <c r="V53" s="173"/>
    </row>
    <row r="54" spans="1:22">
      <c r="A54" s="174"/>
      <c r="B54" s="174"/>
      <c r="C54" s="174"/>
      <c r="D54" s="543" t="s">
        <v>486</v>
      </c>
      <c r="E54" s="174"/>
      <c r="F54" s="174"/>
      <c r="G54" s="174"/>
      <c r="H54" s="174"/>
      <c r="I54" s="174"/>
      <c r="J54" s="174"/>
      <c r="K54" s="174"/>
      <c r="L54" s="174"/>
      <c r="M54" s="173"/>
      <c r="N54" s="174"/>
      <c r="O54" s="174"/>
      <c r="P54" s="174"/>
      <c r="Q54" s="174"/>
      <c r="S54" s="173"/>
      <c r="T54" s="173"/>
      <c r="U54" s="173"/>
      <c r="V54" s="173"/>
    </row>
    <row r="55" spans="1:22">
      <c r="A55" s="174"/>
      <c r="B55" s="174"/>
      <c r="C55" s="174"/>
      <c r="D55" s="195" t="s">
        <v>526</v>
      </c>
      <c r="E55" s="174"/>
      <c r="F55" s="174"/>
      <c r="G55" s="174"/>
      <c r="H55" s="174"/>
      <c r="I55" s="174"/>
      <c r="J55" s="174"/>
      <c r="K55" s="174"/>
      <c r="L55" s="174"/>
      <c r="M55" s="174"/>
      <c r="N55" s="174"/>
      <c r="O55" s="174"/>
      <c r="P55" s="174"/>
      <c r="Q55" s="174"/>
      <c r="S55" s="173"/>
      <c r="T55" s="173"/>
      <c r="U55" s="173"/>
      <c r="V55" s="173"/>
    </row>
    <row r="56" spans="1:22" s="195" customFormat="1"/>
    <row r="57" spans="1:22" s="195" customFormat="1">
      <c r="D57" s="543" t="s">
        <v>487</v>
      </c>
    </row>
    <row r="58" spans="1:22" s="195" customFormat="1">
      <c r="D58" s="195" t="s">
        <v>278</v>
      </c>
    </row>
    <row r="59" spans="1:22" s="195" customFormat="1">
      <c r="D59" s="195" t="s">
        <v>277</v>
      </c>
    </row>
    <row r="60" spans="1:22" s="195" customFormat="1">
      <c r="D60" s="195" t="s">
        <v>276</v>
      </c>
    </row>
    <row r="61" spans="1:22" s="195" customFormat="1">
      <c r="D61" s="195" t="s">
        <v>275</v>
      </c>
    </row>
    <row r="62" spans="1:22" s="195" customFormat="1"/>
    <row r="63" spans="1:22" s="195" customFormat="1"/>
    <row r="64" spans="1:22" s="195" customFormat="1">
      <c r="D64" s="543" t="s">
        <v>488</v>
      </c>
    </row>
    <row r="65" spans="1:11" s="195" customFormat="1">
      <c r="D65" s="195" t="s">
        <v>306</v>
      </c>
    </row>
    <row r="66" spans="1:11" s="195" customFormat="1">
      <c r="D66" s="195" t="s">
        <v>313</v>
      </c>
      <c r="E66" s="541"/>
      <c r="K66" s="541"/>
    </row>
    <row r="67" spans="1:11" s="195" customFormat="1">
      <c r="D67" s="543" t="s">
        <v>489</v>
      </c>
      <c r="E67" s="542"/>
      <c r="K67" s="542"/>
    </row>
    <row r="68" spans="1:11" s="195" customFormat="1">
      <c r="D68" s="195" t="s">
        <v>385</v>
      </c>
      <c r="E68" s="542"/>
      <c r="K68" s="542"/>
    </row>
    <row r="69" spans="1:11" s="195" customFormat="1">
      <c r="D69" s="195" t="s">
        <v>386</v>
      </c>
      <c r="E69" s="542"/>
      <c r="F69" s="542"/>
      <c r="G69" s="542"/>
      <c r="H69" s="542"/>
      <c r="I69" s="542"/>
      <c r="J69" s="542"/>
      <c r="K69" s="542"/>
    </row>
    <row r="70" spans="1:11" s="195" customFormat="1">
      <c r="D70" s="543" t="s">
        <v>489</v>
      </c>
      <c r="E70" s="542"/>
      <c r="F70" s="542"/>
      <c r="G70" s="542"/>
      <c r="H70" s="542"/>
      <c r="I70" s="542"/>
      <c r="J70" s="542"/>
      <c r="K70" s="542"/>
    </row>
    <row r="71" spans="1:11" s="195" customFormat="1">
      <c r="D71" s="195" t="s">
        <v>315</v>
      </c>
      <c r="K71" s="542"/>
    </row>
    <row r="72" spans="1:11" s="195" customFormat="1">
      <c r="D72" s="195" t="s">
        <v>316</v>
      </c>
    </row>
    <row r="73" spans="1:11" s="195" customFormat="1"/>
    <row r="74" spans="1:11" s="195" customFormat="1"/>
    <row r="75" spans="1:11" s="195" customFormat="1">
      <c r="D75" s="543" t="s">
        <v>521</v>
      </c>
    </row>
    <row r="76" spans="1:11" s="195" customFormat="1" ht="17.399999999999999">
      <c r="B76" s="544"/>
      <c r="C76" s="544"/>
      <c r="D76" s="10" t="s">
        <v>1230</v>
      </c>
      <c r="E76" s="544"/>
    </row>
    <row r="77" spans="1:11" s="195" customFormat="1" ht="17.399999999999999">
      <c r="B77" s="544"/>
      <c r="C77" s="544"/>
      <c r="D77" s="544"/>
      <c r="E77" s="544"/>
    </row>
    <row r="78" spans="1:11" s="195" customFormat="1" ht="17.399999999999999">
      <c r="B78" s="544"/>
      <c r="C78" s="544"/>
      <c r="D78" s="543" t="s">
        <v>452</v>
      </c>
      <c r="E78" s="520">
        <f ca="1">'Aportaciones PP indvidual'!$B$7</f>
        <v>52810</v>
      </c>
    </row>
    <row r="79" spans="1:11" s="195" customFormat="1" ht="17.399999999999999">
      <c r="B79" s="544"/>
      <c r="C79" s="544"/>
      <c r="D79" s="543" t="s">
        <v>453</v>
      </c>
      <c r="E79" s="520">
        <f ca="1">DATE(YEAR(TODAY()),MONTH(TODAY())+1,DAY(1))</f>
        <v>45566</v>
      </c>
      <c r="G79" s="520">
        <f ca="1">DATE(YEAR(E79),MONTH(1),DAY(1))</f>
        <v>45292</v>
      </c>
    </row>
    <row r="80" spans="1:11" s="195" customFormat="1" ht="17.399999999999999">
      <c r="A80" s="544"/>
      <c r="B80" s="544"/>
      <c r="C80" s="544"/>
      <c r="D80" s="543" t="s">
        <v>527</v>
      </c>
      <c r="E80" s="520">
        <f>'Aportaciones PP indvidual'!$N$7</f>
        <v>44562</v>
      </c>
    </row>
    <row r="81" spans="4:31" s="195" customFormat="1"/>
    <row r="82" spans="4:31" s="195" customFormat="1"/>
    <row r="83" spans="4:31" s="195" customFormat="1" ht="14.4" thickBot="1">
      <c r="D83" s="543" t="s">
        <v>519</v>
      </c>
      <c r="E83" s="588"/>
      <c r="F83" s="588"/>
      <c r="G83" s="588"/>
    </row>
    <row r="84" spans="4:31" s="195" customFormat="1" ht="14.4">
      <c r="D84" s="589"/>
      <c r="E84" s="590"/>
      <c r="F84"/>
      <c r="G84"/>
    </row>
    <row r="85" spans="4:31" s="195" customFormat="1" ht="14.4">
      <c r="D85" s="591" t="s">
        <v>484</v>
      </c>
      <c r="E85" s="613">
        <f>$H$6*12</f>
        <v>0</v>
      </c>
      <c r="F85" s="561" t="s">
        <v>512</v>
      </c>
      <c r="G85" s="277"/>
      <c r="R85"/>
      <c r="S85"/>
      <c r="T85"/>
      <c r="U85"/>
      <c r="V85"/>
      <c r="W85"/>
    </row>
    <row r="86" spans="4:31" s="195" customFormat="1" ht="14.4">
      <c r="D86" s="591" t="s">
        <v>445</v>
      </c>
      <c r="E86" s="594">
        <f ca="1">(E85*'Renta Vitalicia'!$F$5)-E105</f>
        <v>0</v>
      </c>
      <c r="F86" s="561" t="s">
        <v>549</v>
      </c>
      <c r="G86" s="277"/>
      <c r="R86"/>
      <c r="S86"/>
      <c r="T86"/>
      <c r="U86"/>
      <c r="V86"/>
      <c r="W86"/>
    </row>
    <row r="87" spans="4:31" s="195" customFormat="1" ht="14.4">
      <c r="D87" s="591" t="s">
        <v>529</v>
      </c>
      <c r="E87" s="601">
        <f>+(1+'Aportaciones PP indvidual'!$G$5)^(1/12)-1</f>
        <v>7.9741404289037643E-3</v>
      </c>
      <c r="F87" s="561" t="s">
        <v>513</v>
      </c>
      <c r="G87" s="277"/>
      <c r="R87"/>
      <c r="S87"/>
      <c r="T87"/>
      <c r="U87"/>
      <c r="V87"/>
      <c r="W87"/>
      <c r="AD87" s="588"/>
      <c r="AE87" s="588"/>
    </row>
    <row r="88" spans="4:31" s="195" customFormat="1" ht="14.4">
      <c r="D88" s="591" t="s">
        <v>446</v>
      </c>
      <c r="E88" s="594">
        <f ca="1">(DATEDIF($E$79,$E$78,"M"))-0</f>
        <v>238</v>
      </c>
      <c r="F88" s="561" t="s">
        <v>514</v>
      </c>
      <c r="G88" s="277"/>
      <c r="R88"/>
      <c r="S88"/>
      <c r="T88"/>
      <c r="U88"/>
      <c r="V88"/>
      <c r="W88"/>
      <c r="AD88" s="588"/>
      <c r="AE88" s="588"/>
    </row>
    <row r="89" spans="4:31" s="195" customFormat="1" ht="14.4">
      <c r="D89" s="591" t="s">
        <v>447</v>
      </c>
      <c r="E89" s="592">
        <v>1</v>
      </c>
      <c r="F89" s="561" t="s">
        <v>515</v>
      </c>
      <c r="G89" s="277"/>
      <c r="K89" s="520"/>
      <c r="R89"/>
      <c r="S89"/>
      <c r="T89"/>
      <c r="U89"/>
      <c r="V89"/>
      <c r="W89"/>
      <c r="AD89" s="588"/>
      <c r="AE89" s="588"/>
    </row>
    <row r="90" spans="4:31" s="195" customFormat="1" ht="14.4">
      <c r="D90" s="591" t="s">
        <v>448</v>
      </c>
      <c r="E90" s="596">
        <f ca="1">IFERROR(PPMT(E87,E89,E88,MAX(E86,0)),0)</f>
        <v>0</v>
      </c>
      <c r="F90" s="561" t="s">
        <v>516</v>
      </c>
      <c r="G90" s="277"/>
      <c r="R90"/>
      <c r="S90"/>
      <c r="T90"/>
      <c r="U90"/>
      <c r="V90"/>
      <c r="W90"/>
      <c r="AD90" s="588"/>
      <c r="AE90" s="588"/>
    </row>
    <row r="91" spans="4:31" s="195" customFormat="1" ht="14.4">
      <c r="D91" s="610"/>
      <c r="E91" s="611"/>
      <c r="K91" s="663"/>
      <c r="R91"/>
      <c r="S91"/>
      <c r="T91"/>
      <c r="U91"/>
      <c r="V91"/>
      <c r="W91"/>
      <c r="AD91" s="588"/>
      <c r="AE91" s="588"/>
    </row>
    <row r="92" spans="4:31" s="195" customFormat="1" ht="14.4">
      <c r="D92" s="591" t="s">
        <v>449</v>
      </c>
      <c r="E92" s="595">
        <f ca="1">FV(E87/12,E88,E90)</f>
        <v>0</v>
      </c>
      <c r="F92" s="609" t="s">
        <v>517</v>
      </c>
      <c r="G92" s="277"/>
      <c r="K92" s="542"/>
      <c r="R92"/>
      <c r="S92"/>
      <c r="T92"/>
      <c r="U92"/>
      <c r="V92"/>
      <c r="W92"/>
      <c r="AD92" s="588"/>
      <c r="AE92" s="588"/>
    </row>
    <row r="93" spans="4:31" s="195" customFormat="1" ht="15" thickBot="1">
      <c r="D93" s="597" t="s">
        <v>450</v>
      </c>
      <c r="E93" s="598">
        <f ca="1">E92/'Renta Vitalicia'!$F$5</f>
        <v>0</v>
      </c>
      <c r="F93" s="609" t="s">
        <v>518</v>
      </c>
      <c r="G93" s="277"/>
      <c r="K93" s="663"/>
      <c r="R93"/>
      <c r="S93"/>
      <c r="T93"/>
      <c r="U93"/>
      <c r="V93"/>
      <c r="W93"/>
      <c r="AD93" s="588"/>
      <c r="AE93" s="588"/>
    </row>
    <row r="94" spans="4:31" s="195" customFormat="1" ht="15" thickBot="1">
      <c r="D94"/>
      <c r="E94"/>
      <c r="F94"/>
      <c r="G94" s="277"/>
      <c r="R94"/>
      <c r="S94"/>
      <c r="T94"/>
      <c r="U94"/>
      <c r="V94"/>
      <c r="W94"/>
      <c r="AD94" s="588"/>
      <c r="AE94" s="588"/>
    </row>
    <row r="95" spans="4:31" s="195" customFormat="1" ht="14.4">
      <c r="D95" s="589" t="s">
        <v>451</v>
      </c>
      <c r="E95" s="608">
        <f ca="1">-$K$10/MIN(12,E88)</f>
        <v>0</v>
      </c>
      <c r="F95" s="561" t="s">
        <v>520</v>
      </c>
      <c r="G95" s="277"/>
      <c r="R95"/>
      <c r="S95"/>
      <c r="T95"/>
      <c r="U95"/>
      <c r="V95"/>
      <c r="W95"/>
      <c r="AD95" s="588"/>
      <c r="AE95" s="588"/>
    </row>
    <row r="96" spans="4:31" s="195" customFormat="1" ht="14.4">
      <c r="D96" s="591" t="s">
        <v>522</v>
      </c>
      <c r="E96" s="596">
        <f ca="1">'Aportaciones PP indvidual'!K5</f>
        <v>0</v>
      </c>
      <c r="F96" s="561" t="s">
        <v>524</v>
      </c>
      <c r="G96" s="277"/>
      <c r="R96"/>
      <c r="S96"/>
      <c r="T96"/>
      <c r="U96"/>
      <c r="V96"/>
      <c r="W96"/>
      <c r="AD96" s="588"/>
      <c r="AE96" s="588"/>
    </row>
    <row r="97" spans="4:31" s="195" customFormat="1" ht="15" thickBot="1">
      <c r="D97" s="597" t="s">
        <v>523</v>
      </c>
      <c r="E97" s="612">
        <f ca="1">'Aportaciones PP indvidual'!L5</f>
        <v>0</v>
      </c>
      <c r="F97" s="561" t="s">
        <v>525</v>
      </c>
      <c r="G97" s="277"/>
      <c r="R97"/>
      <c r="S97"/>
      <c r="T97"/>
      <c r="U97"/>
      <c r="V97"/>
      <c r="W97"/>
      <c r="AD97" s="588"/>
      <c r="AE97" s="588"/>
    </row>
    <row r="98" spans="4:31" s="195" customFormat="1" ht="14.4">
      <c r="R98"/>
      <c r="S98"/>
      <c r="T98"/>
      <c r="U98"/>
      <c r="V98"/>
      <c r="W98"/>
      <c r="AD98" s="588"/>
      <c r="AE98" s="588"/>
    </row>
    <row r="99" spans="4:31" s="195" customFormat="1" ht="15" thickBot="1">
      <c r="R99"/>
      <c r="S99"/>
      <c r="T99"/>
      <c r="U99"/>
      <c r="V99"/>
      <c r="W99"/>
      <c r="AD99" s="588"/>
      <c r="AE99" s="588"/>
    </row>
    <row r="100" spans="4:31" s="195" customFormat="1" ht="14.4">
      <c r="D100" s="652" t="s">
        <v>527</v>
      </c>
      <c r="E100" s="653">
        <f>DATE(YEAR(I15),MONTH(I15)+1,DAY(I15))</f>
        <v>44592</v>
      </c>
      <c r="R100"/>
      <c r="S100"/>
      <c r="T100"/>
      <c r="U100"/>
      <c r="V100"/>
      <c r="W100"/>
      <c r="AD100" s="588"/>
      <c r="AE100" s="588"/>
    </row>
    <row r="101" spans="4:31" s="195" customFormat="1" ht="14.4">
      <c r="D101" s="654" t="s">
        <v>548</v>
      </c>
      <c r="E101" s="655">
        <f>I14</f>
        <v>0</v>
      </c>
      <c r="R101"/>
      <c r="S101"/>
      <c r="T101"/>
      <c r="U101"/>
      <c r="V101"/>
      <c r="W101"/>
      <c r="AD101" s="588"/>
      <c r="AE101" s="588"/>
    </row>
    <row r="102" spans="4:31" s="195" customFormat="1" ht="14.4">
      <c r="D102" s="654" t="s">
        <v>529</v>
      </c>
      <c r="E102" s="656">
        <f>E87</f>
        <v>7.9741404289037643E-3</v>
      </c>
      <c r="R102"/>
      <c r="S102"/>
      <c r="T102"/>
      <c r="U102"/>
      <c r="V102"/>
      <c r="W102"/>
      <c r="AD102" s="588"/>
      <c r="AE102" s="588"/>
    </row>
    <row r="103" spans="4:31" ht="14.4">
      <c r="D103" s="657" t="s">
        <v>446</v>
      </c>
      <c r="E103" s="664">
        <f ca="1">(DATEDIF($E$100,$E$78,"M"))-0</f>
        <v>270</v>
      </c>
      <c r="R103"/>
      <c r="S103"/>
      <c r="T103"/>
      <c r="U103"/>
      <c r="V103"/>
      <c r="W103"/>
      <c r="AD103" s="599"/>
      <c r="AE103" s="599"/>
    </row>
    <row r="104" spans="4:31" ht="14.4">
      <c r="D104" s="657"/>
      <c r="E104" s="658"/>
      <c r="R104"/>
      <c r="S104"/>
      <c r="T104"/>
      <c r="U104"/>
      <c r="V104"/>
      <c r="W104"/>
      <c r="AD104" s="599"/>
      <c r="AE104" s="599"/>
    </row>
    <row r="105" spans="4:31" ht="15" thickBot="1">
      <c r="D105" s="659" t="s">
        <v>448</v>
      </c>
      <c r="E105" s="660">
        <f ca="1">E101*(1+E102)^E103</f>
        <v>0</v>
      </c>
      <c r="F105" s="277" t="s">
        <v>550</v>
      </c>
      <c r="R105"/>
      <c r="S105"/>
      <c r="T105"/>
      <c r="U105"/>
      <c r="V105"/>
      <c r="W105"/>
      <c r="AD105" s="599"/>
      <c r="AE105" s="599"/>
    </row>
    <row r="106" spans="4:31" ht="14.4">
      <c r="E106" s="651"/>
      <c r="R106"/>
      <c r="S106"/>
      <c r="T106"/>
      <c r="U106"/>
      <c r="V106"/>
      <c r="W106"/>
      <c r="AD106" s="599"/>
      <c r="AE106" s="599"/>
    </row>
    <row r="107" spans="4:31" ht="14.4">
      <c r="R107"/>
      <c r="S107"/>
      <c r="T107"/>
      <c r="U107"/>
      <c r="V107"/>
      <c r="W107"/>
      <c r="Z107"/>
      <c r="AA107"/>
      <c r="AB107"/>
      <c r="AC107" s="593"/>
      <c r="AD107" s="599"/>
      <c r="AE107" s="599"/>
    </row>
    <row r="108" spans="4:31" ht="14.4">
      <c r="R108"/>
      <c r="S108"/>
      <c r="T108"/>
      <c r="U108"/>
      <c r="V108"/>
      <c r="W108"/>
      <c r="Y108" s="307"/>
      <c r="Z108"/>
      <c r="AA108"/>
      <c r="AB108"/>
      <c r="AC108" s="593"/>
      <c r="AD108" s="599"/>
      <c r="AE108" s="599"/>
    </row>
    <row r="109" spans="4:31" ht="14.4">
      <c r="R109"/>
      <c r="S109"/>
      <c r="T109"/>
      <c r="U109"/>
      <c r="V109"/>
      <c r="W109"/>
      <c r="Z109"/>
      <c r="AA109"/>
      <c r="AB109"/>
      <c r="AC109" s="593"/>
      <c r="AD109" s="600"/>
      <c r="AE109" s="600"/>
    </row>
    <row r="110" spans="4:31" ht="14.4">
      <c r="R110"/>
      <c r="S110"/>
      <c r="T110"/>
      <c r="U110"/>
      <c r="V110"/>
      <c r="W110"/>
      <c r="Z110"/>
      <c r="AA110"/>
      <c r="AB110"/>
      <c r="AC110" s="593"/>
      <c r="AD110" s="599"/>
      <c r="AE110" s="599"/>
    </row>
    <row r="111" spans="4:31" ht="14.4">
      <c r="R111"/>
      <c r="S111"/>
      <c r="T111"/>
      <c r="U111"/>
      <c r="V111"/>
      <c r="W111"/>
    </row>
    <row r="112" spans="4:31" ht="14.4">
      <c r="R112"/>
      <c r="S112"/>
      <c r="T112"/>
      <c r="U112"/>
      <c r="V112"/>
      <c r="W112"/>
    </row>
  </sheetData>
  <mergeCells count="31">
    <mergeCell ref="D34:E34"/>
    <mergeCell ref="J34:K34"/>
    <mergeCell ref="J36:K36"/>
    <mergeCell ref="J40:K40"/>
    <mergeCell ref="D36:H36"/>
    <mergeCell ref="D38:H38"/>
    <mergeCell ref="D40:H40"/>
    <mergeCell ref="B2:K2"/>
    <mergeCell ref="D18:E20"/>
    <mergeCell ref="D33:K33"/>
    <mergeCell ref="D25:E27"/>
    <mergeCell ref="G23:J23"/>
    <mergeCell ref="G25:H25"/>
    <mergeCell ref="G27:H27"/>
    <mergeCell ref="B23:B30"/>
    <mergeCell ref="G30:J30"/>
    <mergeCell ref="G9:J10"/>
    <mergeCell ref="H4:J4"/>
    <mergeCell ref="B18:B20"/>
    <mergeCell ref="D13:E15"/>
    <mergeCell ref="G18:K18"/>
    <mergeCell ref="G19:H19"/>
    <mergeCell ref="G13:K13"/>
    <mergeCell ref="I20:J20"/>
    <mergeCell ref="G20:H20"/>
    <mergeCell ref="I19:J19"/>
    <mergeCell ref="B6:E7"/>
    <mergeCell ref="B9:E10"/>
    <mergeCell ref="B13:B15"/>
    <mergeCell ref="I14:J14"/>
    <mergeCell ref="I15:J15"/>
  </mergeCells>
  <dataValidations count="2">
    <dataValidation type="list" allowBlank="1" showInputMessage="1" showErrorMessage="1" sqref="I19" xr:uid="{00000000-0002-0000-1200-000001000000}">
      <formula1>$D$58:$D$61</formula1>
    </dataValidation>
    <dataValidation type="list" allowBlank="1" showInputMessage="1" showErrorMessage="1" sqref="J36:J37" xr:uid="{00000000-0002-0000-1200-000000000000}">
      <formula1>$D$65:$D$66</formula1>
    </dataValidation>
  </dataValidations>
  <pageMargins left="0.7" right="0.7" top="0.75" bottom="0.75" header="0.3" footer="0.3"/>
  <pageSetup paperSize="9"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B3:AE755"/>
  <sheetViews>
    <sheetView workbookViewId="0">
      <selection activeCell="D29" sqref="D29"/>
    </sheetView>
  </sheetViews>
  <sheetFormatPr defaultColWidth="8.6640625" defaultRowHeight="14.4"/>
  <cols>
    <col min="2" max="2" width="25.88671875" bestFit="1" customWidth="1"/>
    <col min="3" max="3" width="24.88671875" customWidth="1"/>
    <col min="4" max="4" width="37.88671875" bestFit="1" customWidth="1"/>
    <col min="5" max="5" width="13" customWidth="1"/>
    <col min="9" max="9" width="12.5546875" bestFit="1" customWidth="1"/>
    <col min="10" max="10" width="10.109375" bestFit="1" customWidth="1"/>
  </cols>
  <sheetData>
    <row r="3" spans="2:31">
      <c r="N3" t="s">
        <v>531</v>
      </c>
      <c r="S3" t="s">
        <v>531</v>
      </c>
      <c r="X3" t="s">
        <v>531</v>
      </c>
      <c r="AC3" t="s">
        <v>531</v>
      </c>
    </row>
    <row r="4" spans="2:31">
      <c r="O4" t="s">
        <v>340</v>
      </c>
      <c r="T4" t="s">
        <v>341</v>
      </c>
      <c r="Y4" t="s">
        <v>325</v>
      </c>
      <c r="AD4" t="s">
        <v>342</v>
      </c>
    </row>
    <row r="5" spans="2:31">
      <c r="B5" s="11"/>
      <c r="C5" s="11"/>
      <c r="D5" s="8"/>
      <c r="E5" s="8"/>
      <c r="F5" s="285"/>
      <c r="G5" s="1001"/>
      <c r="H5" s="1001"/>
      <c r="I5" s="8"/>
      <c r="J5" s="285"/>
      <c r="N5" s="998" t="s">
        <v>318</v>
      </c>
      <c r="O5" s="999"/>
      <c r="P5" s="1000"/>
      <c r="S5" s="998" t="s">
        <v>318</v>
      </c>
      <c r="T5" s="999"/>
      <c r="U5" s="1000"/>
      <c r="X5" s="998" t="s">
        <v>318</v>
      </c>
      <c r="Y5" s="999"/>
      <c r="Z5" s="1000"/>
      <c r="AC5" s="998" t="s">
        <v>318</v>
      </c>
      <c r="AD5" s="999"/>
      <c r="AE5" s="1000"/>
    </row>
    <row r="6" spans="2:31">
      <c r="B6" s="620"/>
      <c r="C6" s="615"/>
      <c r="D6" s="8"/>
      <c r="E6" s="616"/>
      <c r="F6" s="285"/>
      <c r="G6" s="284"/>
      <c r="H6" s="285"/>
      <c r="I6" s="617"/>
      <c r="J6" s="618"/>
      <c r="M6">
        <f>P6</f>
        <v>1</v>
      </c>
      <c r="N6" s="4">
        <f>F13*12</f>
        <v>0</v>
      </c>
      <c r="O6" s="7">
        <f>C13</f>
        <v>0</v>
      </c>
      <c r="P6" s="4">
        <v>1</v>
      </c>
      <c r="R6">
        <f>U6</f>
        <v>1</v>
      </c>
      <c r="S6" s="4">
        <f>F14*12</f>
        <v>0</v>
      </c>
      <c r="T6" s="7">
        <f ca="1">C14</f>
        <v>0</v>
      </c>
      <c r="U6" s="4">
        <v>1</v>
      </c>
      <c r="W6">
        <f>Z6</f>
        <v>1</v>
      </c>
      <c r="X6" s="4" t="e">
        <f>F15*12</f>
        <v>#REF!</v>
      </c>
      <c r="Y6" s="7">
        <f>C15</f>
        <v>0</v>
      </c>
      <c r="Z6" s="4">
        <v>1</v>
      </c>
      <c r="AB6">
        <f>AE6</f>
        <v>1</v>
      </c>
      <c r="AC6" s="4" t="e">
        <f>F16*12</f>
        <v>#REF!</v>
      </c>
      <c r="AD6" s="7">
        <f>C16</f>
        <v>0</v>
      </c>
      <c r="AE6" s="4">
        <v>1</v>
      </c>
    </row>
    <row r="7" spans="2:31">
      <c r="B7" s="620"/>
      <c r="C7" s="615"/>
      <c r="D7" s="617"/>
      <c r="E7" s="616"/>
      <c r="F7" s="617"/>
      <c r="G7" s="284"/>
      <c r="H7" s="285"/>
      <c r="I7" s="617"/>
      <c r="J7" s="618"/>
      <c r="M7">
        <f t="shared" ref="M7:M70" si="0">P7</f>
        <v>2</v>
      </c>
      <c r="N7" s="218">
        <f>+IF(O7&lt;N6,O7,N6)</f>
        <v>0</v>
      </c>
      <c r="O7" s="218">
        <f>+(O6-N6)*(1+$E$13)</f>
        <v>0</v>
      </c>
      <c r="P7" s="4">
        <v>2</v>
      </c>
      <c r="R7">
        <f t="shared" ref="R7:R70" si="1">U7</f>
        <v>2</v>
      </c>
      <c r="S7" s="218">
        <f ca="1">+IF(T7&lt;S6,T7,S6)</f>
        <v>0</v>
      </c>
      <c r="T7" s="218">
        <f ca="1">+(T6-S6)*(1+$E$14)</f>
        <v>0</v>
      </c>
      <c r="U7" s="4">
        <v>2</v>
      </c>
      <c r="W7">
        <f t="shared" ref="W7:W70" si="2">Z7</f>
        <v>2</v>
      </c>
      <c r="X7" s="218" t="e">
        <f>+IF(Y7&lt;X6,Y7,X6)</f>
        <v>#REF!</v>
      </c>
      <c r="Y7" s="218" t="e">
        <f>+(Y6-X6)*(1+$E$15)</f>
        <v>#REF!</v>
      </c>
      <c r="Z7" s="4">
        <v>2</v>
      </c>
      <c r="AB7">
        <f t="shared" ref="AB7:AB70" si="3">AE7</f>
        <v>2</v>
      </c>
      <c r="AC7" s="218" t="e">
        <f>+IF(AD7&lt;AC6,AD7,AC6)</f>
        <v>#REF!</v>
      </c>
      <c r="AD7" s="218" t="e">
        <f>+(AD6-AC6)*(1+$E$16)</f>
        <v>#REF!</v>
      </c>
      <c r="AE7" s="4">
        <v>2</v>
      </c>
    </row>
    <row r="8" spans="2:31">
      <c r="B8" s="620"/>
      <c r="C8" s="615"/>
      <c r="D8" s="617"/>
      <c r="E8" s="616"/>
      <c r="F8" s="285"/>
      <c r="G8" s="284"/>
      <c r="H8" s="285"/>
      <c r="I8" s="617"/>
      <c r="J8" s="618"/>
      <c r="M8">
        <f t="shared" si="0"/>
        <v>3</v>
      </c>
      <c r="N8" s="218">
        <f t="shared" ref="N8:N71" si="4">+IF(O8&lt;N7,O8,N7)</f>
        <v>0</v>
      </c>
      <c r="O8" s="218">
        <f>+(O7-N7)*(1+$E$13)</f>
        <v>0</v>
      </c>
      <c r="P8" s="4">
        <v>3</v>
      </c>
      <c r="R8">
        <f t="shared" si="1"/>
        <v>3</v>
      </c>
      <c r="S8" s="218">
        <f t="shared" ref="S8:S71" ca="1" si="5">+IF(T8&lt;S7,T8,S7)</f>
        <v>0</v>
      </c>
      <c r="T8" s="218">
        <f t="shared" ref="T8:T71" ca="1" si="6">+(T7-S7)*(1+$E$14)</f>
        <v>0</v>
      </c>
      <c r="U8" s="4">
        <v>3</v>
      </c>
      <c r="W8">
        <f t="shared" si="2"/>
        <v>3</v>
      </c>
      <c r="X8" s="218" t="e">
        <f t="shared" ref="X8:X71" si="7">+IF(Y8&lt;X7,Y8,X7)</f>
        <v>#REF!</v>
      </c>
      <c r="Y8" s="218" t="e">
        <f t="shared" ref="Y8:Y71" si="8">+(Y7-X7)*(1+$E$15)</f>
        <v>#REF!</v>
      </c>
      <c r="Z8" s="4">
        <v>3</v>
      </c>
      <c r="AB8">
        <f t="shared" si="3"/>
        <v>3</v>
      </c>
      <c r="AC8" s="218" t="e">
        <f t="shared" ref="AC8:AC71" si="9">+IF(AD8&lt;AC7,AD8,AC7)</f>
        <v>#REF!</v>
      </c>
      <c r="AD8" s="218" t="e">
        <f t="shared" ref="AD8:AD71" si="10">+(AD7-AC7)*(1+$E$16)</f>
        <v>#REF!</v>
      </c>
      <c r="AE8" s="4">
        <v>3</v>
      </c>
    </row>
    <row r="9" spans="2:31">
      <c r="D9" s="619" t="s">
        <v>530</v>
      </c>
      <c r="M9">
        <f t="shared" si="0"/>
        <v>4</v>
      </c>
      <c r="N9" s="218">
        <f t="shared" si="4"/>
        <v>0</v>
      </c>
      <c r="O9" s="218">
        <f t="shared" ref="O9:O71" si="11">+(O8-N8)*(1+$E$13)</f>
        <v>0</v>
      </c>
      <c r="P9" s="4">
        <v>4</v>
      </c>
      <c r="R9">
        <f t="shared" si="1"/>
        <v>4</v>
      </c>
      <c r="S9" s="218">
        <f t="shared" ca="1" si="5"/>
        <v>0</v>
      </c>
      <c r="T9" s="218">
        <f t="shared" ca="1" si="6"/>
        <v>0</v>
      </c>
      <c r="U9" s="4">
        <v>4</v>
      </c>
      <c r="W9">
        <f t="shared" si="2"/>
        <v>4</v>
      </c>
      <c r="X9" s="218" t="e">
        <f t="shared" si="7"/>
        <v>#REF!</v>
      </c>
      <c r="Y9" s="218" t="e">
        <f t="shared" si="8"/>
        <v>#REF!</v>
      </c>
      <c r="Z9" s="4">
        <v>4</v>
      </c>
      <c r="AB9">
        <f t="shared" si="3"/>
        <v>4</v>
      </c>
      <c r="AC9" s="218" t="e">
        <f t="shared" si="9"/>
        <v>#REF!</v>
      </c>
      <c r="AD9" s="218" t="e">
        <f t="shared" si="10"/>
        <v>#REF!</v>
      </c>
      <c r="AE9" s="4">
        <v>4</v>
      </c>
    </row>
    <row r="10" spans="2:31">
      <c r="M10">
        <f t="shared" si="0"/>
        <v>5</v>
      </c>
      <c r="N10" s="218">
        <f t="shared" si="4"/>
        <v>0</v>
      </c>
      <c r="O10" s="218">
        <f>+(O9-N9)*(1+$E$13)</f>
        <v>0</v>
      </c>
      <c r="P10" s="4">
        <v>5</v>
      </c>
      <c r="R10">
        <f t="shared" si="1"/>
        <v>5</v>
      </c>
      <c r="S10" s="218">
        <f t="shared" ca="1" si="5"/>
        <v>0</v>
      </c>
      <c r="T10" s="218">
        <f t="shared" ca="1" si="6"/>
        <v>0</v>
      </c>
      <c r="U10" s="4">
        <v>5</v>
      </c>
      <c r="W10">
        <f t="shared" si="2"/>
        <v>5</v>
      </c>
      <c r="X10" s="218" t="e">
        <f t="shared" si="7"/>
        <v>#REF!</v>
      </c>
      <c r="Y10" s="218" t="e">
        <f t="shared" si="8"/>
        <v>#REF!</v>
      </c>
      <c r="Z10" s="4">
        <v>5</v>
      </c>
      <c r="AB10">
        <f t="shared" si="3"/>
        <v>5</v>
      </c>
      <c r="AC10" s="218" t="e">
        <f t="shared" si="9"/>
        <v>#REF!</v>
      </c>
      <c r="AD10" s="218" t="e">
        <f t="shared" si="10"/>
        <v>#REF!</v>
      </c>
      <c r="AE10" s="4">
        <v>5</v>
      </c>
    </row>
    <row r="11" spans="2:31">
      <c r="C11" t="s">
        <v>363</v>
      </c>
      <c r="D11" s="148">
        <f>Hipótesis!E17</f>
        <v>1.4999999999999999E-2</v>
      </c>
      <c r="E11" s="668"/>
      <c r="M11">
        <f t="shared" si="0"/>
        <v>6</v>
      </c>
      <c r="N11" s="218">
        <f t="shared" si="4"/>
        <v>0</v>
      </c>
      <c r="O11" s="218">
        <f t="shared" si="11"/>
        <v>0</v>
      </c>
      <c r="P11" s="4">
        <v>6</v>
      </c>
      <c r="R11">
        <f t="shared" si="1"/>
        <v>6</v>
      </c>
      <c r="S11" s="218">
        <f t="shared" ca="1" si="5"/>
        <v>0</v>
      </c>
      <c r="T11" s="218">
        <f t="shared" ca="1" si="6"/>
        <v>0</v>
      </c>
      <c r="U11" s="4">
        <v>6</v>
      </c>
      <c r="W11">
        <f t="shared" si="2"/>
        <v>6</v>
      </c>
      <c r="X11" s="218" t="e">
        <f t="shared" si="7"/>
        <v>#REF!</v>
      </c>
      <c r="Y11" s="218" t="e">
        <f t="shared" si="8"/>
        <v>#REF!</v>
      </c>
      <c r="Z11" s="4">
        <v>6</v>
      </c>
      <c r="AB11">
        <f t="shared" si="3"/>
        <v>6</v>
      </c>
      <c r="AC11" s="218" t="e">
        <f t="shared" si="9"/>
        <v>#REF!</v>
      </c>
      <c r="AD11" s="218" t="e">
        <f t="shared" si="10"/>
        <v>#REF!</v>
      </c>
      <c r="AE11" s="4">
        <v>6</v>
      </c>
    </row>
    <row r="12" spans="2:31">
      <c r="B12" s="4"/>
      <c r="C12" s="4" t="s">
        <v>322</v>
      </c>
      <c r="D12" s="4" t="s">
        <v>321</v>
      </c>
      <c r="E12" s="4" t="s">
        <v>166</v>
      </c>
      <c r="F12" s="233" t="s">
        <v>320</v>
      </c>
      <c r="G12" s="903" t="s">
        <v>319</v>
      </c>
      <c r="H12" s="903"/>
      <c r="I12" s="9" t="s">
        <v>323</v>
      </c>
      <c r="J12" s="220" t="s">
        <v>324</v>
      </c>
      <c r="M12">
        <f t="shared" si="0"/>
        <v>7</v>
      </c>
      <c r="N12" s="218">
        <f t="shared" si="4"/>
        <v>0</v>
      </c>
      <c r="O12" s="218">
        <f t="shared" si="11"/>
        <v>0</v>
      </c>
      <c r="P12" s="4">
        <v>7</v>
      </c>
      <c r="R12">
        <f t="shared" si="1"/>
        <v>7</v>
      </c>
      <c r="S12" s="218">
        <f t="shared" ca="1" si="5"/>
        <v>0</v>
      </c>
      <c r="T12" s="218">
        <f t="shared" ca="1" si="6"/>
        <v>0</v>
      </c>
      <c r="U12" s="4">
        <v>7</v>
      </c>
      <c r="W12">
        <f t="shared" si="2"/>
        <v>7</v>
      </c>
      <c r="X12" s="218" t="e">
        <f t="shared" si="7"/>
        <v>#REF!</v>
      </c>
      <c r="Y12" s="218" t="e">
        <f t="shared" si="8"/>
        <v>#REF!</v>
      </c>
      <c r="Z12" s="4">
        <v>7</v>
      </c>
      <c r="AB12">
        <f t="shared" si="3"/>
        <v>7</v>
      </c>
      <c r="AC12" s="218" t="e">
        <f t="shared" si="9"/>
        <v>#REF!</v>
      </c>
      <c r="AD12" s="218" t="e">
        <f t="shared" si="10"/>
        <v>#REF!</v>
      </c>
      <c r="AE12" s="4">
        <v>7</v>
      </c>
    </row>
    <row r="13" spans="2:31" ht="14.4" customHeight="1">
      <c r="B13" s="216" t="s">
        <v>231</v>
      </c>
      <c r="C13" s="4">
        <f>'Simulador - 2º Pilar'!V59</f>
        <v>0</v>
      </c>
      <c r="D13" s="4">
        <f>'Simulador - 2º Pilar'!T61</f>
        <v>0</v>
      </c>
      <c r="E13" s="217">
        <f>Hipótesis!$E$15</f>
        <v>0.02</v>
      </c>
      <c r="F13" s="4">
        <f>'Simulador - 2º Pilar'!T63</f>
        <v>0</v>
      </c>
      <c r="G13" s="7">
        <f>((1-(1+$D$11)^(-F13))/$D$11)*(1+$D$11)</f>
        <v>0</v>
      </c>
      <c r="H13" s="219" t="e">
        <f>+ROUND(C13/G13,0)</f>
        <v>#DIV/0!</v>
      </c>
      <c r="I13" s="4" t="e">
        <f>MAX(COUNTIF($N$6:$N$755,$F$13*12)+VLOOKUP(COUNTIF($N$6:$N$755,$F$13*12)+1,$M$6:$N$755,2,0)/($F$13*12),0.08)</f>
        <v>#N/A</v>
      </c>
      <c r="J13" s="221" t="e">
        <f>MAX(IF(D13="Número de años a percibir la renta",H13/12,I13),0)</f>
        <v>#N/A</v>
      </c>
      <c r="M13">
        <f t="shared" si="0"/>
        <v>8</v>
      </c>
      <c r="N13" s="218">
        <f t="shared" si="4"/>
        <v>0</v>
      </c>
      <c r="O13" s="218">
        <f t="shared" si="11"/>
        <v>0</v>
      </c>
      <c r="P13" s="4">
        <v>8</v>
      </c>
      <c r="R13">
        <f t="shared" si="1"/>
        <v>8</v>
      </c>
      <c r="S13" s="218">
        <f t="shared" ca="1" si="5"/>
        <v>0</v>
      </c>
      <c r="T13" s="218">
        <f t="shared" ca="1" si="6"/>
        <v>0</v>
      </c>
      <c r="U13" s="4">
        <v>8</v>
      </c>
      <c r="W13">
        <f t="shared" si="2"/>
        <v>8</v>
      </c>
      <c r="X13" s="218" t="e">
        <f t="shared" si="7"/>
        <v>#REF!</v>
      </c>
      <c r="Y13" s="218" t="e">
        <f t="shared" si="8"/>
        <v>#REF!</v>
      </c>
      <c r="Z13" s="4">
        <v>8</v>
      </c>
      <c r="AB13">
        <f t="shared" si="3"/>
        <v>8</v>
      </c>
      <c r="AC13" s="218" t="e">
        <f t="shared" si="9"/>
        <v>#REF!</v>
      </c>
      <c r="AD13" s="218" t="e">
        <f t="shared" si="10"/>
        <v>#REF!</v>
      </c>
      <c r="AE13" s="4">
        <v>8</v>
      </c>
    </row>
    <row r="14" spans="2:31" ht="14.4" customHeight="1">
      <c r="B14" s="216" t="s">
        <v>254</v>
      </c>
      <c r="C14" s="4">
        <f ca="1">sim!L32</f>
        <v>0</v>
      </c>
      <c r="D14" s="4" t="str">
        <f>sim!J34</f>
        <v>Importe estimado mensual de cada término</v>
      </c>
      <c r="E14" s="217">
        <f>Hipótesis!$E$15</f>
        <v>0.02</v>
      </c>
      <c r="F14" s="4">
        <f>sim!J36</f>
        <v>0</v>
      </c>
      <c r="G14" s="7">
        <f>((1-(1+$D$11)^(-F14))/$D$11)*(1+$D$11)</f>
        <v>0</v>
      </c>
      <c r="H14" s="219" t="e">
        <f ca="1">+ROUND(C14/G14,0)</f>
        <v>#DIV/0!</v>
      </c>
      <c r="I14" s="4" t="e">
        <f ca="1">COUNTIF($S$6:$S$755,$F$14*12)+VLOOKUP(COUNTIF($S$6:$S$755,$F$14*12)+1,$R$6:$S$755,2,0)/($F$14*12)</f>
        <v>#N/A</v>
      </c>
      <c r="J14" s="221" t="e">
        <f ca="1">IF(D14="Número de años a percibir la renta",H14/12,I14)</f>
        <v>#N/A</v>
      </c>
      <c r="M14">
        <f t="shared" si="0"/>
        <v>9</v>
      </c>
      <c r="N14" s="218">
        <f t="shared" si="4"/>
        <v>0</v>
      </c>
      <c r="O14" s="218">
        <f t="shared" si="11"/>
        <v>0</v>
      </c>
      <c r="P14" s="4">
        <v>9</v>
      </c>
      <c r="R14">
        <f t="shared" si="1"/>
        <v>9</v>
      </c>
      <c r="S14" s="218">
        <f t="shared" ca="1" si="5"/>
        <v>0</v>
      </c>
      <c r="T14" s="218">
        <f t="shared" ca="1" si="6"/>
        <v>0</v>
      </c>
      <c r="U14" s="4">
        <v>9</v>
      </c>
      <c r="W14">
        <f t="shared" si="2"/>
        <v>9</v>
      </c>
      <c r="X14" s="218" t="e">
        <f t="shared" si="7"/>
        <v>#REF!</v>
      </c>
      <c r="Y14" s="218" t="e">
        <f t="shared" si="8"/>
        <v>#REF!</v>
      </c>
      <c r="Z14" s="4">
        <v>9</v>
      </c>
      <c r="AB14">
        <f t="shared" si="3"/>
        <v>9</v>
      </c>
      <c r="AC14" s="218" t="e">
        <f t="shared" si="9"/>
        <v>#REF!</v>
      </c>
      <c r="AD14" s="218" t="e">
        <f t="shared" si="10"/>
        <v>#REF!</v>
      </c>
      <c r="AE14" s="4">
        <v>9</v>
      </c>
    </row>
    <row r="15" spans="2:31">
      <c r="B15" s="216" t="s">
        <v>325</v>
      </c>
      <c r="C15" s="4"/>
      <c r="D15" s="4"/>
      <c r="E15" s="217">
        <f>Hipótesis!$E$15</f>
        <v>0.02</v>
      </c>
      <c r="F15" s="275" t="e">
        <f>#REF!</f>
        <v>#REF!</v>
      </c>
      <c r="G15" s="7" t="e">
        <f>((1-(1+$D$11)^(-F15))/$D$11)*(1+$D$11)</f>
        <v>#REF!</v>
      </c>
      <c r="H15" s="219" t="e">
        <f t="shared" ref="H15" si="12">+ROUND(C15/G15,0)</f>
        <v>#REF!</v>
      </c>
      <c r="I15" s="4" t="e">
        <f>COUNTIF($X$6:$X$755,$F$15*12)+VLOOKUP(COUNTIF($X$6:$X$755,$F$15*12)+1,$W$6:$X$755,2,0)/($F$15*12)</f>
        <v>#N/A</v>
      </c>
      <c r="J15" s="221" t="e">
        <f t="shared" ref="J15" si="13">IF(D15="Número de años a percibir la renta",H15/12,I15)</f>
        <v>#N/A</v>
      </c>
      <c r="M15">
        <f t="shared" si="0"/>
        <v>10</v>
      </c>
      <c r="N15" s="218">
        <f t="shared" si="4"/>
        <v>0</v>
      </c>
      <c r="O15" s="218">
        <f t="shared" si="11"/>
        <v>0</v>
      </c>
      <c r="P15" s="4">
        <v>10</v>
      </c>
      <c r="R15">
        <f t="shared" si="1"/>
        <v>10</v>
      </c>
      <c r="S15" s="218">
        <f t="shared" ca="1" si="5"/>
        <v>0</v>
      </c>
      <c r="T15" s="218">
        <f t="shared" ca="1" si="6"/>
        <v>0</v>
      </c>
      <c r="U15" s="4">
        <v>10</v>
      </c>
      <c r="W15">
        <f t="shared" si="2"/>
        <v>10</v>
      </c>
      <c r="X15" s="218" t="e">
        <f t="shared" si="7"/>
        <v>#REF!</v>
      </c>
      <c r="Y15" s="218" t="e">
        <f t="shared" si="8"/>
        <v>#REF!</v>
      </c>
      <c r="Z15" s="4">
        <v>10</v>
      </c>
      <c r="AB15">
        <f t="shared" si="3"/>
        <v>10</v>
      </c>
      <c r="AC15" s="218" t="e">
        <f t="shared" si="9"/>
        <v>#REF!</v>
      </c>
      <c r="AD15" s="218" t="e">
        <f t="shared" si="10"/>
        <v>#REF!</v>
      </c>
      <c r="AE15" s="4">
        <v>10</v>
      </c>
    </row>
    <row r="16" spans="2:31" ht="14.4" customHeight="1">
      <c r="B16" s="216" t="s">
        <v>271</v>
      </c>
      <c r="C16" s="4"/>
      <c r="D16" s="4"/>
      <c r="E16" s="217">
        <f>Hipótesis!$E$15</f>
        <v>0.02</v>
      </c>
      <c r="F16" s="275" t="e">
        <f>#REF!</f>
        <v>#REF!</v>
      </c>
      <c r="G16" s="7" t="e">
        <f>((1-(1+$D$11)^(-F16))/$D$11)*(1+$D$11)</f>
        <v>#REF!</v>
      </c>
      <c r="H16" s="219" t="e">
        <f>+ROUND(C16/G16,0)</f>
        <v>#REF!</v>
      </c>
      <c r="I16" s="4" t="e">
        <f>COUNTIF($AC$6:$AC$755,$F$16*12)+VLOOKUP(COUNTIF($AC$6:$AC$755,$F$16*12)+1,$AB$6:$AC$755,2,0)/($F$16*12)</f>
        <v>#N/A</v>
      </c>
      <c r="J16" s="221" t="e">
        <f>IF(D16="Número de años a percibir la renta",H16/12,I16)</f>
        <v>#N/A</v>
      </c>
      <c r="M16">
        <f t="shared" si="0"/>
        <v>11</v>
      </c>
      <c r="N16" s="218">
        <f t="shared" si="4"/>
        <v>0</v>
      </c>
      <c r="O16" s="218">
        <f t="shared" si="11"/>
        <v>0</v>
      </c>
      <c r="P16" s="4">
        <v>11</v>
      </c>
      <c r="R16">
        <f t="shared" si="1"/>
        <v>11</v>
      </c>
      <c r="S16" s="218">
        <f t="shared" ca="1" si="5"/>
        <v>0</v>
      </c>
      <c r="T16" s="218">
        <f t="shared" ca="1" si="6"/>
        <v>0</v>
      </c>
      <c r="U16" s="4">
        <v>11</v>
      </c>
      <c r="W16">
        <f t="shared" si="2"/>
        <v>11</v>
      </c>
      <c r="X16" s="218" t="e">
        <f t="shared" si="7"/>
        <v>#REF!</v>
      </c>
      <c r="Y16" s="218" t="e">
        <f t="shared" si="8"/>
        <v>#REF!</v>
      </c>
      <c r="Z16" s="4">
        <v>11</v>
      </c>
      <c r="AB16">
        <f t="shared" si="3"/>
        <v>11</v>
      </c>
      <c r="AC16" s="218" t="e">
        <f t="shared" si="9"/>
        <v>#REF!</v>
      </c>
      <c r="AD16" s="218" t="e">
        <f t="shared" si="10"/>
        <v>#REF!</v>
      </c>
      <c r="AE16" s="4">
        <v>11</v>
      </c>
    </row>
    <row r="17" spans="7:31" ht="14.4" customHeight="1">
      <c r="M17">
        <f t="shared" si="0"/>
        <v>12</v>
      </c>
      <c r="N17" s="218">
        <f t="shared" si="4"/>
        <v>0</v>
      </c>
      <c r="O17" s="218">
        <f t="shared" si="11"/>
        <v>0</v>
      </c>
      <c r="P17" s="4">
        <v>12</v>
      </c>
      <c r="R17">
        <f t="shared" si="1"/>
        <v>12</v>
      </c>
      <c r="S17" s="218">
        <f t="shared" ca="1" si="5"/>
        <v>0</v>
      </c>
      <c r="T17" s="218">
        <f t="shared" ca="1" si="6"/>
        <v>0</v>
      </c>
      <c r="U17" s="4">
        <v>12</v>
      </c>
      <c r="W17">
        <f t="shared" si="2"/>
        <v>12</v>
      </c>
      <c r="X17" s="218" t="e">
        <f t="shared" si="7"/>
        <v>#REF!</v>
      </c>
      <c r="Y17" s="218" t="e">
        <f t="shared" si="8"/>
        <v>#REF!</v>
      </c>
      <c r="Z17" s="4">
        <v>12</v>
      </c>
      <c r="AB17">
        <f t="shared" si="3"/>
        <v>12</v>
      </c>
      <c r="AC17" s="218" t="e">
        <f t="shared" si="9"/>
        <v>#REF!</v>
      </c>
      <c r="AD17" s="218" t="e">
        <f t="shared" si="10"/>
        <v>#REF!</v>
      </c>
      <c r="AE17" s="4">
        <v>12</v>
      </c>
    </row>
    <row r="18" spans="7:31">
      <c r="G18" s="284"/>
      <c r="H18" s="285"/>
      <c r="M18">
        <f t="shared" si="0"/>
        <v>13</v>
      </c>
      <c r="N18" s="218">
        <f t="shared" si="4"/>
        <v>0</v>
      </c>
      <c r="O18" s="218">
        <f t="shared" si="11"/>
        <v>0</v>
      </c>
      <c r="P18" s="4">
        <v>13</v>
      </c>
      <c r="R18">
        <f t="shared" si="1"/>
        <v>13</v>
      </c>
      <c r="S18" s="218">
        <f t="shared" ca="1" si="5"/>
        <v>0</v>
      </c>
      <c r="T18" s="218">
        <f t="shared" ca="1" si="6"/>
        <v>0</v>
      </c>
      <c r="U18" s="4">
        <v>13</v>
      </c>
      <c r="W18">
        <f t="shared" si="2"/>
        <v>13</v>
      </c>
      <c r="X18" s="218" t="e">
        <f t="shared" si="7"/>
        <v>#REF!</v>
      </c>
      <c r="Y18" s="218" t="e">
        <f t="shared" si="8"/>
        <v>#REF!</v>
      </c>
      <c r="Z18" s="4">
        <v>13</v>
      </c>
      <c r="AB18">
        <f t="shared" si="3"/>
        <v>13</v>
      </c>
      <c r="AC18" s="218" t="e">
        <f t="shared" si="9"/>
        <v>#REF!</v>
      </c>
      <c r="AD18" s="218" t="e">
        <f t="shared" si="10"/>
        <v>#REF!</v>
      </c>
      <c r="AE18" s="4">
        <v>13</v>
      </c>
    </row>
    <row r="19" spans="7:31" ht="14.4" customHeight="1">
      <c r="M19">
        <f t="shared" si="0"/>
        <v>14</v>
      </c>
      <c r="N19" s="218">
        <f t="shared" si="4"/>
        <v>0</v>
      </c>
      <c r="O19" s="218">
        <f t="shared" si="11"/>
        <v>0</v>
      </c>
      <c r="P19" s="4">
        <v>14</v>
      </c>
      <c r="R19">
        <f t="shared" si="1"/>
        <v>14</v>
      </c>
      <c r="S19" s="218">
        <f t="shared" ca="1" si="5"/>
        <v>0</v>
      </c>
      <c r="T19" s="218">
        <f t="shared" ca="1" si="6"/>
        <v>0</v>
      </c>
      <c r="U19" s="4">
        <v>14</v>
      </c>
      <c r="W19">
        <f t="shared" si="2"/>
        <v>14</v>
      </c>
      <c r="X19" s="218" t="e">
        <f t="shared" si="7"/>
        <v>#REF!</v>
      </c>
      <c r="Y19" s="218" t="e">
        <f t="shared" si="8"/>
        <v>#REF!</v>
      </c>
      <c r="Z19" s="4">
        <v>14</v>
      </c>
      <c r="AB19">
        <f t="shared" si="3"/>
        <v>14</v>
      </c>
      <c r="AC19" s="218" t="e">
        <f t="shared" si="9"/>
        <v>#REF!</v>
      </c>
      <c r="AD19" s="218" t="e">
        <f t="shared" si="10"/>
        <v>#REF!</v>
      </c>
      <c r="AE19" s="4">
        <v>14</v>
      </c>
    </row>
    <row r="20" spans="7:31" ht="14.4" customHeight="1">
      <c r="G20" s="151"/>
      <c r="M20">
        <f t="shared" si="0"/>
        <v>15</v>
      </c>
      <c r="N20" s="218">
        <f t="shared" si="4"/>
        <v>0</v>
      </c>
      <c r="O20" s="218">
        <f t="shared" si="11"/>
        <v>0</v>
      </c>
      <c r="P20" s="4">
        <v>15</v>
      </c>
      <c r="R20">
        <f t="shared" si="1"/>
        <v>15</v>
      </c>
      <c r="S20" s="218">
        <f t="shared" ca="1" si="5"/>
        <v>0</v>
      </c>
      <c r="T20" s="218">
        <f t="shared" ca="1" si="6"/>
        <v>0</v>
      </c>
      <c r="U20" s="4">
        <v>15</v>
      </c>
      <c r="W20">
        <f t="shared" si="2"/>
        <v>15</v>
      </c>
      <c r="X20" s="218" t="e">
        <f t="shared" si="7"/>
        <v>#REF!</v>
      </c>
      <c r="Y20" s="218" t="e">
        <f t="shared" si="8"/>
        <v>#REF!</v>
      </c>
      <c r="Z20" s="4">
        <v>15</v>
      </c>
      <c r="AB20">
        <f t="shared" si="3"/>
        <v>15</v>
      </c>
      <c r="AC20" s="218" t="e">
        <f t="shared" si="9"/>
        <v>#REF!</v>
      </c>
      <c r="AD20" s="218" t="e">
        <f t="shared" si="10"/>
        <v>#REF!</v>
      </c>
      <c r="AE20" s="4">
        <v>15</v>
      </c>
    </row>
    <row r="21" spans="7:31">
      <c r="M21">
        <f t="shared" si="0"/>
        <v>16</v>
      </c>
      <c r="N21" s="218">
        <f t="shared" si="4"/>
        <v>0</v>
      </c>
      <c r="O21" s="218">
        <f t="shared" si="11"/>
        <v>0</v>
      </c>
      <c r="P21" s="4">
        <v>16</v>
      </c>
      <c r="R21">
        <f t="shared" si="1"/>
        <v>16</v>
      </c>
      <c r="S21" s="218">
        <f t="shared" ca="1" si="5"/>
        <v>0</v>
      </c>
      <c r="T21" s="218">
        <f t="shared" ca="1" si="6"/>
        <v>0</v>
      </c>
      <c r="U21" s="4">
        <v>16</v>
      </c>
      <c r="W21">
        <f t="shared" si="2"/>
        <v>16</v>
      </c>
      <c r="X21" s="218" t="e">
        <f t="shared" si="7"/>
        <v>#REF!</v>
      </c>
      <c r="Y21" s="218" t="e">
        <f t="shared" si="8"/>
        <v>#REF!</v>
      </c>
      <c r="Z21" s="4">
        <v>16</v>
      </c>
      <c r="AB21">
        <f t="shared" si="3"/>
        <v>16</v>
      </c>
      <c r="AC21" s="218" t="e">
        <f t="shared" si="9"/>
        <v>#REF!</v>
      </c>
      <c r="AD21" s="218" t="e">
        <f t="shared" si="10"/>
        <v>#REF!</v>
      </c>
      <c r="AE21" s="4">
        <v>16</v>
      </c>
    </row>
    <row r="22" spans="7:31" ht="14.4" customHeight="1">
      <c r="M22">
        <f t="shared" si="0"/>
        <v>17</v>
      </c>
      <c r="N22" s="218">
        <f t="shared" si="4"/>
        <v>0</v>
      </c>
      <c r="O22" s="218">
        <f t="shared" si="11"/>
        <v>0</v>
      </c>
      <c r="P22" s="4">
        <v>17</v>
      </c>
      <c r="R22">
        <f t="shared" si="1"/>
        <v>17</v>
      </c>
      <c r="S22" s="218">
        <f t="shared" ca="1" si="5"/>
        <v>0</v>
      </c>
      <c r="T22" s="218">
        <f t="shared" ca="1" si="6"/>
        <v>0</v>
      </c>
      <c r="U22" s="4">
        <v>17</v>
      </c>
      <c r="W22">
        <f t="shared" si="2"/>
        <v>17</v>
      </c>
      <c r="X22" s="218" t="e">
        <f t="shared" si="7"/>
        <v>#REF!</v>
      </c>
      <c r="Y22" s="218" t="e">
        <f t="shared" si="8"/>
        <v>#REF!</v>
      </c>
      <c r="Z22" s="4">
        <v>17</v>
      </c>
      <c r="AB22">
        <f t="shared" si="3"/>
        <v>17</v>
      </c>
      <c r="AC22" s="218" t="e">
        <f t="shared" si="9"/>
        <v>#REF!</v>
      </c>
      <c r="AD22" s="218" t="e">
        <f t="shared" si="10"/>
        <v>#REF!</v>
      </c>
      <c r="AE22" s="4">
        <v>17</v>
      </c>
    </row>
    <row r="23" spans="7:31" ht="14.4" customHeight="1">
      <c r="M23">
        <f t="shared" si="0"/>
        <v>18</v>
      </c>
      <c r="N23" s="218">
        <f t="shared" si="4"/>
        <v>0</v>
      </c>
      <c r="O23" s="218">
        <f t="shared" si="11"/>
        <v>0</v>
      </c>
      <c r="P23" s="4">
        <v>18</v>
      </c>
      <c r="R23">
        <f t="shared" si="1"/>
        <v>18</v>
      </c>
      <c r="S23" s="218">
        <f t="shared" ca="1" si="5"/>
        <v>0</v>
      </c>
      <c r="T23" s="218">
        <f t="shared" ca="1" si="6"/>
        <v>0</v>
      </c>
      <c r="U23" s="4">
        <v>18</v>
      </c>
      <c r="W23">
        <f t="shared" si="2"/>
        <v>18</v>
      </c>
      <c r="X23" s="218" t="e">
        <f t="shared" si="7"/>
        <v>#REF!</v>
      </c>
      <c r="Y23" s="218" t="e">
        <f t="shared" si="8"/>
        <v>#REF!</v>
      </c>
      <c r="Z23" s="4">
        <v>18</v>
      </c>
      <c r="AB23">
        <f t="shared" si="3"/>
        <v>18</v>
      </c>
      <c r="AC23" s="218" t="e">
        <f t="shared" si="9"/>
        <v>#REF!</v>
      </c>
      <c r="AD23" s="218" t="e">
        <f t="shared" si="10"/>
        <v>#REF!</v>
      </c>
      <c r="AE23" s="4">
        <v>18</v>
      </c>
    </row>
    <row r="24" spans="7:31">
      <c r="M24">
        <f t="shared" si="0"/>
        <v>19</v>
      </c>
      <c r="N24" s="218">
        <f t="shared" si="4"/>
        <v>0</v>
      </c>
      <c r="O24" s="218">
        <f t="shared" si="11"/>
        <v>0</v>
      </c>
      <c r="P24" s="4">
        <v>19</v>
      </c>
      <c r="R24">
        <f t="shared" si="1"/>
        <v>19</v>
      </c>
      <c r="S24" s="218">
        <f t="shared" ca="1" si="5"/>
        <v>0</v>
      </c>
      <c r="T24" s="218">
        <f t="shared" ca="1" si="6"/>
        <v>0</v>
      </c>
      <c r="U24" s="4">
        <v>19</v>
      </c>
      <c r="W24">
        <f t="shared" si="2"/>
        <v>19</v>
      </c>
      <c r="X24" s="218" t="e">
        <f t="shared" si="7"/>
        <v>#REF!</v>
      </c>
      <c r="Y24" s="218" t="e">
        <f t="shared" si="8"/>
        <v>#REF!</v>
      </c>
      <c r="Z24" s="4">
        <v>19</v>
      </c>
      <c r="AB24">
        <f t="shared" si="3"/>
        <v>19</v>
      </c>
      <c r="AC24" s="218" t="e">
        <f t="shared" si="9"/>
        <v>#REF!</v>
      </c>
      <c r="AD24" s="218" t="e">
        <f t="shared" si="10"/>
        <v>#REF!</v>
      </c>
      <c r="AE24" s="4">
        <v>19</v>
      </c>
    </row>
    <row r="25" spans="7:31">
      <c r="M25">
        <f t="shared" si="0"/>
        <v>20</v>
      </c>
      <c r="N25" s="218">
        <f t="shared" si="4"/>
        <v>0</v>
      </c>
      <c r="O25" s="218">
        <f t="shared" si="11"/>
        <v>0</v>
      </c>
      <c r="P25" s="4">
        <v>20</v>
      </c>
      <c r="R25">
        <f t="shared" si="1"/>
        <v>20</v>
      </c>
      <c r="S25" s="218">
        <f t="shared" ca="1" si="5"/>
        <v>0</v>
      </c>
      <c r="T25" s="218">
        <f t="shared" ca="1" si="6"/>
        <v>0</v>
      </c>
      <c r="U25" s="4">
        <v>20</v>
      </c>
      <c r="W25">
        <f t="shared" si="2"/>
        <v>20</v>
      </c>
      <c r="X25" s="218" t="e">
        <f t="shared" si="7"/>
        <v>#REF!</v>
      </c>
      <c r="Y25" s="218" t="e">
        <f t="shared" si="8"/>
        <v>#REF!</v>
      </c>
      <c r="Z25" s="4">
        <v>20</v>
      </c>
      <c r="AB25">
        <f t="shared" si="3"/>
        <v>20</v>
      </c>
      <c r="AC25" s="218" t="e">
        <f t="shared" si="9"/>
        <v>#REF!</v>
      </c>
      <c r="AD25" s="218" t="e">
        <f t="shared" si="10"/>
        <v>#REF!</v>
      </c>
      <c r="AE25" s="4">
        <v>20</v>
      </c>
    </row>
    <row r="26" spans="7:31">
      <c r="M26">
        <f t="shared" si="0"/>
        <v>21</v>
      </c>
      <c r="N26" s="218">
        <f t="shared" si="4"/>
        <v>0</v>
      </c>
      <c r="O26" s="218">
        <f t="shared" si="11"/>
        <v>0</v>
      </c>
      <c r="P26" s="4">
        <v>21</v>
      </c>
      <c r="R26">
        <f t="shared" si="1"/>
        <v>21</v>
      </c>
      <c r="S26" s="218">
        <f t="shared" ca="1" si="5"/>
        <v>0</v>
      </c>
      <c r="T26" s="218">
        <f t="shared" ca="1" si="6"/>
        <v>0</v>
      </c>
      <c r="U26" s="4">
        <v>21</v>
      </c>
      <c r="W26">
        <f t="shared" si="2"/>
        <v>21</v>
      </c>
      <c r="X26" s="218" t="e">
        <f t="shared" si="7"/>
        <v>#REF!</v>
      </c>
      <c r="Y26" s="218" t="e">
        <f t="shared" si="8"/>
        <v>#REF!</v>
      </c>
      <c r="Z26" s="4">
        <v>21</v>
      </c>
      <c r="AB26">
        <f t="shared" si="3"/>
        <v>21</v>
      </c>
      <c r="AC26" s="218" t="e">
        <f t="shared" si="9"/>
        <v>#REF!</v>
      </c>
      <c r="AD26" s="218" t="e">
        <f t="shared" si="10"/>
        <v>#REF!</v>
      </c>
      <c r="AE26" s="4">
        <v>21</v>
      </c>
    </row>
    <row r="27" spans="7:31">
      <c r="M27">
        <f t="shared" si="0"/>
        <v>22</v>
      </c>
      <c r="N27" s="218">
        <f t="shared" si="4"/>
        <v>0</v>
      </c>
      <c r="O27" s="218">
        <f t="shared" si="11"/>
        <v>0</v>
      </c>
      <c r="P27" s="4">
        <v>22</v>
      </c>
      <c r="R27">
        <f t="shared" si="1"/>
        <v>22</v>
      </c>
      <c r="S27" s="218">
        <f t="shared" ca="1" si="5"/>
        <v>0</v>
      </c>
      <c r="T27" s="218">
        <f t="shared" ca="1" si="6"/>
        <v>0</v>
      </c>
      <c r="U27" s="4">
        <v>22</v>
      </c>
      <c r="W27">
        <f t="shared" si="2"/>
        <v>22</v>
      </c>
      <c r="X27" s="218" t="e">
        <f t="shared" si="7"/>
        <v>#REF!</v>
      </c>
      <c r="Y27" s="218" t="e">
        <f t="shared" si="8"/>
        <v>#REF!</v>
      </c>
      <c r="Z27" s="4">
        <v>22</v>
      </c>
      <c r="AB27">
        <f t="shared" si="3"/>
        <v>22</v>
      </c>
      <c r="AC27" s="218" t="e">
        <f t="shared" si="9"/>
        <v>#REF!</v>
      </c>
      <c r="AD27" s="218" t="e">
        <f t="shared" si="10"/>
        <v>#REF!</v>
      </c>
      <c r="AE27" s="4">
        <v>22</v>
      </c>
    </row>
    <row r="28" spans="7:31">
      <c r="M28">
        <f t="shared" si="0"/>
        <v>23</v>
      </c>
      <c r="N28" s="218">
        <f t="shared" si="4"/>
        <v>0</v>
      </c>
      <c r="O28" s="218">
        <f t="shared" si="11"/>
        <v>0</v>
      </c>
      <c r="P28" s="4">
        <v>23</v>
      </c>
      <c r="R28">
        <f t="shared" si="1"/>
        <v>23</v>
      </c>
      <c r="S28" s="218">
        <f t="shared" ca="1" si="5"/>
        <v>0</v>
      </c>
      <c r="T28" s="218">
        <f t="shared" ca="1" si="6"/>
        <v>0</v>
      </c>
      <c r="U28" s="4">
        <v>23</v>
      </c>
      <c r="W28">
        <f t="shared" si="2"/>
        <v>23</v>
      </c>
      <c r="X28" s="218" t="e">
        <f t="shared" si="7"/>
        <v>#REF!</v>
      </c>
      <c r="Y28" s="218" t="e">
        <f t="shared" si="8"/>
        <v>#REF!</v>
      </c>
      <c r="Z28" s="4">
        <v>23</v>
      </c>
      <c r="AB28">
        <f t="shared" si="3"/>
        <v>23</v>
      </c>
      <c r="AC28" s="218" t="e">
        <f t="shared" si="9"/>
        <v>#REF!</v>
      </c>
      <c r="AD28" s="218" t="e">
        <f t="shared" si="10"/>
        <v>#REF!</v>
      </c>
      <c r="AE28" s="4">
        <v>23</v>
      </c>
    </row>
    <row r="29" spans="7:31">
      <c r="M29">
        <f t="shared" si="0"/>
        <v>24</v>
      </c>
      <c r="N29" s="218">
        <f t="shared" si="4"/>
        <v>0</v>
      </c>
      <c r="O29" s="218">
        <f t="shared" si="11"/>
        <v>0</v>
      </c>
      <c r="P29" s="4">
        <v>24</v>
      </c>
      <c r="R29">
        <f t="shared" si="1"/>
        <v>24</v>
      </c>
      <c r="S29" s="218">
        <f t="shared" ca="1" si="5"/>
        <v>0</v>
      </c>
      <c r="T29" s="218">
        <f t="shared" ca="1" si="6"/>
        <v>0</v>
      </c>
      <c r="U29" s="4">
        <v>24</v>
      </c>
      <c r="W29">
        <f t="shared" si="2"/>
        <v>24</v>
      </c>
      <c r="X29" s="218" t="e">
        <f t="shared" si="7"/>
        <v>#REF!</v>
      </c>
      <c r="Y29" s="218" t="e">
        <f t="shared" si="8"/>
        <v>#REF!</v>
      </c>
      <c r="Z29" s="4">
        <v>24</v>
      </c>
      <c r="AB29">
        <f t="shared" si="3"/>
        <v>24</v>
      </c>
      <c r="AC29" s="218" t="e">
        <f t="shared" si="9"/>
        <v>#REF!</v>
      </c>
      <c r="AD29" s="218" t="e">
        <f t="shared" si="10"/>
        <v>#REF!</v>
      </c>
      <c r="AE29" s="4">
        <v>24</v>
      </c>
    </row>
    <row r="30" spans="7:31">
      <c r="M30">
        <f t="shared" si="0"/>
        <v>25</v>
      </c>
      <c r="N30" s="218">
        <f t="shared" si="4"/>
        <v>0</v>
      </c>
      <c r="O30" s="218">
        <f t="shared" si="11"/>
        <v>0</v>
      </c>
      <c r="P30" s="4">
        <v>25</v>
      </c>
      <c r="R30">
        <f t="shared" si="1"/>
        <v>25</v>
      </c>
      <c r="S30" s="218">
        <f t="shared" ca="1" si="5"/>
        <v>0</v>
      </c>
      <c r="T30" s="218">
        <f t="shared" ca="1" si="6"/>
        <v>0</v>
      </c>
      <c r="U30" s="4">
        <v>25</v>
      </c>
      <c r="W30">
        <f t="shared" si="2"/>
        <v>25</v>
      </c>
      <c r="X30" s="218" t="e">
        <f t="shared" si="7"/>
        <v>#REF!</v>
      </c>
      <c r="Y30" s="218" t="e">
        <f t="shared" si="8"/>
        <v>#REF!</v>
      </c>
      <c r="Z30" s="4">
        <v>25</v>
      </c>
      <c r="AB30">
        <f t="shared" si="3"/>
        <v>25</v>
      </c>
      <c r="AC30" s="218" t="e">
        <f t="shared" si="9"/>
        <v>#REF!</v>
      </c>
      <c r="AD30" s="218" t="e">
        <f t="shared" si="10"/>
        <v>#REF!</v>
      </c>
      <c r="AE30" s="4">
        <v>25</v>
      </c>
    </row>
    <row r="31" spans="7:31">
      <c r="M31">
        <f t="shared" si="0"/>
        <v>26</v>
      </c>
      <c r="N31" s="218">
        <f t="shared" si="4"/>
        <v>0</v>
      </c>
      <c r="O31" s="218">
        <f t="shared" si="11"/>
        <v>0</v>
      </c>
      <c r="P31" s="4">
        <v>26</v>
      </c>
      <c r="R31">
        <f t="shared" si="1"/>
        <v>26</v>
      </c>
      <c r="S31" s="218">
        <f t="shared" ca="1" si="5"/>
        <v>0</v>
      </c>
      <c r="T31" s="218">
        <f t="shared" ca="1" si="6"/>
        <v>0</v>
      </c>
      <c r="U31" s="4">
        <v>26</v>
      </c>
      <c r="W31">
        <f t="shared" si="2"/>
        <v>26</v>
      </c>
      <c r="X31" s="218" t="e">
        <f t="shared" si="7"/>
        <v>#REF!</v>
      </c>
      <c r="Y31" s="218" t="e">
        <f t="shared" si="8"/>
        <v>#REF!</v>
      </c>
      <c r="Z31" s="4">
        <v>26</v>
      </c>
      <c r="AB31">
        <f t="shared" si="3"/>
        <v>26</v>
      </c>
      <c r="AC31" s="218" t="e">
        <f t="shared" si="9"/>
        <v>#REF!</v>
      </c>
      <c r="AD31" s="218" t="e">
        <f t="shared" si="10"/>
        <v>#REF!</v>
      </c>
      <c r="AE31" s="4">
        <v>26</v>
      </c>
    </row>
    <row r="32" spans="7:31">
      <c r="M32">
        <f t="shared" si="0"/>
        <v>27</v>
      </c>
      <c r="N32" s="218">
        <f t="shared" si="4"/>
        <v>0</v>
      </c>
      <c r="O32" s="218">
        <f t="shared" si="11"/>
        <v>0</v>
      </c>
      <c r="P32" s="4">
        <v>27</v>
      </c>
      <c r="R32">
        <f t="shared" si="1"/>
        <v>27</v>
      </c>
      <c r="S32" s="218">
        <f t="shared" ca="1" si="5"/>
        <v>0</v>
      </c>
      <c r="T32" s="218">
        <f t="shared" ca="1" si="6"/>
        <v>0</v>
      </c>
      <c r="U32" s="4">
        <v>27</v>
      </c>
      <c r="W32">
        <f t="shared" si="2"/>
        <v>27</v>
      </c>
      <c r="X32" s="218" t="e">
        <f t="shared" si="7"/>
        <v>#REF!</v>
      </c>
      <c r="Y32" s="218" t="e">
        <f t="shared" si="8"/>
        <v>#REF!</v>
      </c>
      <c r="Z32" s="4">
        <v>27</v>
      </c>
      <c r="AB32">
        <f t="shared" si="3"/>
        <v>27</v>
      </c>
      <c r="AC32" s="218" t="e">
        <f t="shared" si="9"/>
        <v>#REF!</v>
      </c>
      <c r="AD32" s="218" t="e">
        <f t="shared" si="10"/>
        <v>#REF!</v>
      </c>
      <c r="AE32" s="4">
        <v>27</v>
      </c>
    </row>
    <row r="33" spans="13:31">
      <c r="M33">
        <f t="shared" si="0"/>
        <v>28</v>
      </c>
      <c r="N33" s="218">
        <f t="shared" si="4"/>
        <v>0</v>
      </c>
      <c r="O33" s="218">
        <f t="shared" si="11"/>
        <v>0</v>
      </c>
      <c r="P33" s="4">
        <v>28</v>
      </c>
      <c r="R33">
        <f t="shared" si="1"/>
        <v>28</v>
      </c>
      <c r="S33" s="218">
        <f t="shared" ca="1" si="5"/>
        <v>0</v>
      </c>
      <c r="T33" s="218">
        <f t="shared" ca="1" si="6"/>
        <v>0</v>
      </c>
      <c r="U33" s="4">
        <v>28</v>
      </c>
      <c r="W33">
        <f t="shared" si="2"/>
        <v>28</v>
      </c>
      <c r="X33" s="218" t="e">
        <f t="shared" si="7"/>
        <v>#REF!</v>
      </c>
      <c r="Y33" s="218" t="e">
        <f t="shared" si="8"/>
        <v>#REF!</v>
      </c>
      <c r="Z33" s="4">
        <v>28</v>
      </c>
      <c r="AB33">
        <f t="shared" si="3"/>
        <v>28</v>
      </c>
      <c r="AC33" s="218" t="e">
        <f t="shared" si="9"/>
        <v>#REF!</v>
      </c>
      <c r="AD33" s="218" t="e">
        <f t="shared" si="10"/>
        <v>#REF!</v>
      </c>
      <c r="AE33" s="4">
        <v>28</v>
      </c>
    </row>
    <row r="34" spans="13:31">
      <c r="M34">
        <f t="shared" si="0"/>
        <v>29</v>
      </c>
      <c r="N34" s="218">
        <f t="shared" si="4"/>
        <v>0</v>
      </c>
      <c r="O34" s="218">
        <f t="shared" si="11"/>
        <v>0</v>
      </c>
      <c r="P34" s="4">
        <v>29</v>
      </c>
      <c r="R34">
        <f t="shared" si="1"/>
        <v>29</v>
      </c>
      <c r="S34" s="218">
        <f t="shared" ca="1" si="5"/>
        <v>0</v>
      </c>
      <c r="T34" s="218">
        <f t="shared" ca="1" si="6"/>
        <v>0</v>
      </c>
      <c r="U34" s="4">
        <v>29</v>
      </c>
      <c r="W34">
        <f t="shared" si="2"/>
        <v>29</v>
      </c>
      <c r="X34" s="218" t="e">
        <f t="shared" si="7"/>
        <v>#REF!</v>
      </c>
      <c r="Y34" s="218" t="e">
        <f t="shared" si="8"/>
        <v>#REF!</v>
      </c>
      <c r="Z34" s="4">
        <v>29</v>
      </c>
      <c r="AB34">
        <f t="shared" si="3"/>
        <v>29</v>
      </c>
      <c r="AC34" s="218" t="e">
        <f t="shared" si="9"/>
        <v>#REF!</v>
      </c>
      <c r="AD34" s="218" t="e">
        <f t="shared" si="10"/>
        <v>#REF!</v>
      </c>
      <c r="AE34" s="4">
        <v>29</v>
      </c>
    </row>
    <row r="35" spans="13:31">
      <c r="M35">
        <f t="shared" si="0"/>
        <v>30</v>
      </c>
      <c r="N35" s="218">
        <f t="shared" si="4"/>
        <v>0</v>
      </c>
      <c r="O35" s="218">
        <f t="shared" si="11"/>
        <v>0</v>
      </c>
      <c r="P35" s="4">
        <v>30</v>
      </c>
      <c r="R35">
        <f t="shared" si="1"/>
        <v>30</v>
      </c>
      <c r="S35" s="218">
        <f t="shared" ca="1" si="5"/>
        <v>0</v>
      </c>
      <c r="T35" s="218">
        <f t="shared" ca="1" si="6"/>
        <v>0</v>
      </c>
      <c r="U35" s="4">
        <v>30</v>
      </c>
      <c r="W35">
        <f t="shared" si="2"/>
        <v>30</v>
      </c>
      <c r="X35" s="218" t="e">
        <f t="shared" si="7"/>
        <v>#REF!</v>
      </c>
      <c r="Y35" s="218" t="e">
        <f t="shared" si="8"/>
        <v>#REF!</v>
      </c>
      <c r="Z35" s="4">
        <v>30</v>
      </c>
      <c r="AB35">
        <f t="shared" si="3"/>
        <v>30</v>
      </c>
      <c r="AC35" s="218" t="e">
        <f t="shared" si="9"/>
        <v>#REF!</v>
      </c>
      <c r="AD35" s="218" t="e">
        <f t="shared" si="10"/>
        <v>#REF!</v>
      </c>
      <c r="AE35" s="4">
        <v>30</v>
      </c>
    </row>
    <row r="36" spans="13:31">
      <c r="M36">
        <f t="shared" si="0"/>
        <v>31</v>
      </c>
      <c r="N36" s="218">
        <f t="shared" si="4"/>
        <v>0</v>
      </c>
      <c r="O36" s="218">
        <f t="shared" si="11"/>
        <v>0</v>
      </c>
      <c r="P36" s="4">
        <v>31</v>
      </c>
      <c r="R36">
        <f t="shared" si="1"/>
        <v>31</v>
      </c>
      <c r="S36" s="218">
        <f t="shared" ca="1" si="5"/>
        <v>0</v>
      </c>
      <c r="T36" s="218">
        <f t="shared" ca="1" si="6"/>
        <v>0</v>
      </c>
      <c r="U36" s="4">
        <v>31</v>
      </c>
      <c r="W36">
        <f t="shared" si="2"/>
        <v>31</v>
      </c>
      <c r="X36" s="218" t="e">
        <f t="shared" si="7"/>
        <v>#REF!</v>
      </c>
      <c r="Y36" s="218" t="e">
        <f t="shared" si="8"/>
        <v>#REF!</v>
      </c>
      <c r="Z36" s="4">
        <v>31</v>
      </c>
      <c r="AB36">
        <f t="shared" si="3"/>
        <v>31</v>
      </c>
      <c r="AC36" s="218" t="e">
        <f t="shared" si="9"/>
        <v>#REF!</v>
      </c>
      <c r="AD36" s="218" t="e">
        <f t="shared" si="10"/>
        <v>#REF!</v>
      </c>
      <c r="AE36" s="4">
        <v>31</v>
      </c>
    </row>
    <row r="37" spans="13:31">
      <c r="M37">
        <f t="shared" si="0"/>
        <v>32</v>
      </c>
      <c r="N37" s="218">
        <f t="shared" si="4"/>
        <v>0</v>
      </c>
      <c r="O37" s="218">
        <f t="shared" si="11"/>
        <v>0</v>
      </c>
      <c r="P37" s="4">
        <v>32</v>
      </c>
      <c r="R37">
        <f t="shared" si="1"/>
        <v>32</v>
      </c>
      <c r="S37" s="218">
        <f t="shared" ca="1" si="5"/>
        <v>0</v>
      </c>
      <c r="T37" s="218">
        <f t="shared" ca="1" si="6"/>
        <v>0</v>
      </c>
      <c r="U37" s="4">
        <v>32</v>
      </c>
      <c r="W37">
        <f t="shared" si="2"/>
        <v>32</v>
      </c>
      <c r="X37" s="218" t="e">
        <f t="shared" si="7"/>
        <v>#REF!</v>
      </c>
      <c r="Y37" s="218" t="e">
        <f t="shared" si="8"/>
        <v>#REF!</v>
      </c>
      <c r="Z37" s="4">
        <v>32</v>
      </c>
      <c r="AB37">
        <f t="shared" si="3"/>
        <v>32</v>
      </c>
      <c r="AC37" s="218" t="e">
        <f t="shared" si="9"/>
        <v>#REF!</v>
      </c>
      <c r="AD37" s="218" t="e">
        <f t="shared" si="10"/>
        <v>#REF!</v>
      </c>
      <c r="AE37" s="4">
        <v>32</v>
      </c>
    </row>
    <row r="38" spans="13:31">
      <c r="M38">
        <f t="shared" si="0"/>
        <v>33</v>
      </c>
      <c r="N38" s="218">
        <f t="shared" si="4"/>
        <v>0</v>
      </c>
      <c r="O38" s="218">
        <f t="shared" si="11"/>
        <v>0</v>
      </c>
      <c r="P38" s="4">
        <v>33</v>
      </c>
      <c r="R38">
        <f t="shared" si="1"/>
        <v>33</v>
      </c>
      <c r="S38" s="218">
        <f t="shared" ca="1" si="5"/>
        <v>0</v>
      </c>
      <c r="T38" s="218">
        <f t="shared" ca="1" si="6"/>
        <v>0</v>
      </c>
      <c r="U38" s="4">
        <v>33</v>
      </c>
      <c r="W38">
        <f t="shared" si="2"/>
        <v>33</v>
      </c>
      <c r="X38" s="218" t="e">
        <f t="shared" si="7"/>
        <v>#REF!</v>
      </c>
      <c r="Y38" s="218" t="e">
        <f t="shared" si="8"/>
        <v>#REF!</v>
      </c>
      <c r="Z38" s="4">
        <v>33</v>
      </c>
      <c r="AB38">
        <f t="shared" si="3"/>
        <v>33</v>
      </c>
      <c r="AC38" s="218" t="e">
        <f t="shared" si="9"/>
        <v>#REF!</v>
      </c>
      <c r="AD38" s="218" t="e">
        <f t="shared" si="10"/>
        <v>#REF!</v>
      </c>
      <c r="AE38" s="4">
        <v>33</v>
      </c>
    </row>
    <row r="39" spans="13:31">
      <c r="M39">
        <f t="shared" si="0"/>
        <v>34</v>
      </c>
      <c r="N39" s="218">
        <f t="shared" si="4"/>
        <v>0</v>
      </c>
      <c r="O39" s="218">
        <f t="shared" si="11"/>
        <v>0</v>
      </c>
      <c r="P39" s="4">
        <v>34</v>
      </c>
      <c r="R39">
        <f t="shared" si="1"/>
        <v>34</v>
      </c>
      <c r="S39" s="218">
        <f t="shared" ca="1" si="5"/>
        <v>0</v>
      </c>
      <c r="T39" s="218">
        <f t="shared" ca="1" si="6"/>
        <v>0</v>
      </c>
      <c r="U39" s="4">
        <v>34</v>
      </c>
      <c r="W39">
        <f t="shared" si="2"/>
        <v>34</v>
      </c>
      <c r="X39" s="218" t="e">
        <f t="shared" si="7"/>
        <v>#REF!</v>
      </c>
      <c r="Y39" s="218" t="e">
        <f t="shared" si="8"/>
        <v>#REF!</v>
      </c>
      <c r="Z39" s="4">
        <v>34</v>
      </c>
      <c r="AB39">
        <f t="shared" si="3"/>
        <v>34</v>
      </c>
      <c r="AC39" s="218" t="e">
        <f t="shared" si="9"/>
        <v>#REF!</v>
      </c>
      <c r="AD39" s="218" t="e">
        <f t="shared" si="10"/>
        <v>#REF!</v>
      </c>
      <c r="AE39" s="4">
        <v>34</v>
      </c>
    </row>
    <row r="40" spans="13:31">
      <c r="M40">
        <f t="shared" si="0"/>
        <v>35</v>
      </c>
      <c r="N40" s="218">
        <f t="shared" si="4"/>
        <v>0</v>
      </c>
      <c r="O40" s="218">
        <f t="shared" si="11"/>
        <v>0</v>
      </c>
      <c r="P40" s="4">
        <v>35</v>
      </c>
      <c r="R40">
        <f t="shared" si="1"/>
        <v>35</v>
      </c>
      <c r="S40" s="218">
        <f t="shared" ca="1" si="5"/>
        <v>0</v>
      </c>
      <c r="T40" s="218">
        <f t="shared" ca="1" si="6"/>
        <v>0</v>
      </c>
      <c r="U40" s="4">
        <v>35</v>
      </c>
      <c r="W40">
        <f t="shared" si="2"/>
        <v>35</v>
      </c>
      <c r="X40" s="218" t="e">
        <f t="shared" si="7"/>
        <v>#REF!</v>
      </c>
      <c r="Y40" s="218" t="e">
        <f t="shared" si="8"/>
        <v>#REF!</v>
      </c>
      <c r="Z40" s="4">
        <v>35</v>
      </c>
      <c r="AB40">
        <f t="shared" si="3"/>
        <v>35</v>
      </c>
      <c r="AC40" s="218" t="e">
        <f t="shared" si="9"/>
        <v>#REF!</v>
      </c>
      <c r="AD40" s="218" t="e">
        <f t="shared" si="10"/>
        <v>#REF!</v>
      </c>
      <c r="AE40" s="4">
        <v>35</v>
      </c>
    </row>
    <row r="41" spans="13:31">
      <c r="M41">
        <f t="shared" si="0"/>
        <v>36</v>
      </c>
      <c r="N41" s="218">
        <f t="shared" si="4"/>
        <v>0</v>
      </c>
      <c r="O41" s="218">
        <f t="shared" si="11"/>
        <v>0</v>
      </c>
      <c r="P41" s="4">
        <v>36</v>
      </c>
      <c r="R41">
        <f t="shared" si="1"/>
        <v>36</v>
      </c>
      <c r="S41" s="218">
        <f t="shared" ca="1" si="5"/>
        <v>0</v>
      </c>
      <c r="T41" s="218">
        <f t="shared" ca="1" si="6"/>
        <v>0</v>
      </c>
      <c r="U41" s="4">
        <v>36</v>
      </c>
      <c r="W41">
        <f t="shared" si="2"/>
        <v>36</v>
      </c>
      <c r="X41" s="218" t="e">
        <f t="shared" si="7"/>
        <v>#REF!</v>
      </c>
      <c r="Y41" s="218" t="e">
        <f t="shared" si="8"/>
        <v>#REF!</v>
      </c>
      <c r="Z41" s="4">
        <v>36</v>
      </c>
      <c r="AB41">
        <f t="shared" si="3"/>
        <v>36</v>
      </c>
      <c r="AC41" s="218" t="e">
        <f t="shared" si="9"/>
        <v>#REF!</v>
      </c>
      <c r="AD41" s="218" t="e">
        <f t="shared" si="10"/>
        <v>#REF!</v>
      </c>
      <c r="AE41" s="4">
        <v>36</v>
      </c>
    </row>
    <row r="42" spans="13:31">
      <c r="M42">
        <f t="shared" si="0"/>
        <v>37</v>
      </c>
      <c r="N42" s="218">
        <f t="shared" si="4"/>
        <v>0</v>
      </c>
      <c r="O42" s="218">
        <f t="shared" si="11"/>
        <v>0</v>
      </c>
      <c r="P42" s="4">
        <v>37</v>
      </c>
      <c r="R42">
        <f t="shared" si="1"/>
        <v>37</v>
      </c>
      <c r="S42" s="218">
        <f t="shared" ca="1" si="5"/>
        <v>0</v>
      </c>
      <c r="T42" s="218">
        <f t="shared" ca="1" si="6"/>
        <v>0</v>
      </c>
      <c r="U42" s="4">
        <v>37</v>
      </c>
      <c r="W42">
        <f t="shared" si="2"/>
        <v>37</v>
      </c>
      <c r="X42" s="218" t="e">
        <f t="shared" si="7"/>
        <v>#REF!</v>
      </c>
      <c r="Y42" s="218" t="e">
        <f t="shared" si="8"/>
        <v>#REF!</v>
      </c>
      <c r="Z42" s="4">
        <v>37</v>
      </c>
      <c r="AB42">
        <f t="shared" si="3"/>
        <v>37</v>
      </c>
      <c r="AC42" s="218" t="e">
        <f t="shared" si="9"/>
        <v>#REF!</v>
      </c>
      <c r="AD42" s="218" t="e">
        <f t="shared" si="10"/>
        <v>#REF!</v>
      </c>
      <c r="AE42" s="4">
        <v>37</v>
      </c>
    </row>
    <row r="43" spans="13:31">
      <c r="M43">
        <f t="shared" si="0"/>
        <v>38</v>
      </c>
      <c r="N43" s="218">
        <f t="shared" si="4"/>
        <v>0</v>
      </c>
      <c r="O43" s="218">
        <f t="shared" si="11"/>
        <v>0</v>
      </c>
      <c r="P43" s="4">
        <v>38</v>
      </c>
      <c r="R43">
        <f t="shared" si="1"/>
        <v>38</v>
      </c>
      <c r="S43" s="218">
        <f t="shared" ca="1" si="5"/>
        <v>0</v>
      </c>
      <c r="T43" s="218">
        <f t="shared" ca="1" si="6"/>
        <v>0</v>
      </c>
      <c r="U43" s="4">
        <v>38</v>
      </c>
      <c r="W43">
        <f t="shared" si="2"/>
        <v>38</v>
      </c>
      <c r="X43" s="218" t="e">
        <f t="shared" si="7"/>
        <v>#REF!</v>
      </c>
      <c r="Y43" s="218" t="e">
        <f t="shared" si="8"/>
        <v>#REF!</v>
      </c>
      <c r="Z43" s="4">
        <v>38</v>
      </c>
      <c r="AB43">
        <f t="shared" si="3"/>
        <v>38</v>
      </c>
      <c r="AC43" s="218" t="e">
        <f t="shared" si="9"/>
        <v>#REF!</v>
      </c>
      <c r="AD43" s="218" t="e">
        <f t="shared" si="10"/>
        <v>#REF!</v>
      </c>
      <c r="AE43" s="4">
        <v>38</v>
      </c>
    </row>
    <row r="44" spans="13:31">
      <c r="M44">
        <f t="shared" si="0"/>
        <v>39</v>
      </c>
      <c r="N44" s="218">
        <f t="shared" si="4"/>
        <v>0</v>
      </c>
      <c r="O44" s="218">
        <f t="shared" si="11"/>
        <v>0</v>
      </c>
      <c r="P44" s="4">
        <v>39</v>
      </c>
      <c r="R44">
        <f t="shared" si="1"/>
        <v>39</v>
      </c>
      <c r="S44" s="218">
        <f t="shared" ca="1" si="5"/>
        <v>0</v>
      </c>
      <c r="T44" s="218">
        <f t="shared" ca="1" si="6"/>
        <v>0</v>
      </c>
      <c r="U44" s="4">
        <v>39</v>
      </c>
      <c r="W44">
        <f t="shared" si="2"/>
        <v>39</v>
      </c>
      <c r="X44" s="218" t="e">
        <f t="shared" si="7"/>
        <v>#REF!</v>
      </c>
      <c r="Y44" s="218" t="e">
        <f t="shared" si="8"/>
        <v>#REF!</v>
      </c>
      <c r="Z44" s="4">
        <v>39</v>
      </c>
      <c r="AB44">
        <f t="shared" si="3"/>
        <v>39</v>
      </c>
      <c r="AC44" s="218" t="e">
        <f t="shared" si="9"/>
        <v>#REF!</v>
      </c>
      <c r="AD44" s="218" t="e">
        <f t="shared" si="10"/>
        <v>#REF!</v>
      </c>
      <c r="AE44" s="4">
        <v>39</v>
      </c>
    </row>
    <row r="45" spans="13:31">
      <c r="M45">
        <f t="shared" si="0"/>
        <v>40</v>
      </c>
      <c r="N45" s="218">
        <f t="shared" si="4"/>
        <v>0</v>
      </c>
      <c r="O45" s="218">
        <f t="shared" si="11"/>
        <v>0</v>
      </c>
      <c r="P45" s="4">
        <v>40</v>
      </c>
      <c r="R45">
        <f t="shared" si="1"/>
        <v>40</v>
      </c>
      <c r="S45" s="218">
        <f t="shared" ca="1" si="5"/>
        <v>0</v>
      </c>
      <c r="T45" s="218">
        <f t="shared" ca="1" si="6"/>
        <v>0</v>
      </c>
      <c r="U45" s="4">
        <v>40</v>
      </c>
      <c r="W45">
        <f t="shared" si="2"/>
        <v>40</v>
      </c>
      <c r="X45" s="218" t="e">
        <f t="shared" si="7"/>
        <v>#REF!</v>
      </c>
      <c r="Y45" s="218" t="e">
        <f t="shared" si="8"/>
        <v>#REF!</v>
      </c>
      <c r="Z45" s="4">
        <v>40</v>
      </c>
      <c r="AB45">
        <f t="shared" si="3"/>
        <v>40</v>
      </c>
      <c r="AC45" s="218" t="e">
        <f t="shared" si="9"/>
        <v>#REF!</v>
      </c>
      <c r="AD45" s="218" t="e">
        <f t="shared" si="10"/>
        <v>#REF!</v>
      </c>
      <c r="AE45" s="4">
        <v>40</v>
      </c>
    </row>
    <row r="46" spans="13:31">
      <c r="M46">
        <f t="shared" si="0"/>
        <v>41</v>
      </c>
      <c r="N46" s="218">
        <f t="shared" si="4"/>
        <v>0</v>
      </c>
      <c r="O46" s="218">
        <f t="shared" si="11"/>
        <v>0</v>
      </c>
      <c r="P46" s="4">
        <v>41</v>
      </c>
      <c r="R46">
        <f t="shared" si="1"/>
        <v>41</v>
      </c>
      <c r="S46" s="218">
        <f t="shared" ca="1" si="5"/>
        <v>0</v>
      </c>
      <c r="T46" s="218">
        <f t="shared" ca="1" si="6"/>
        <v>0</v>
      </c>
      <c r="U46" s="4">
        <v>41</v>
      </c>
      <c r="W46">
        <f t="shared" si="2"/>
        <v>41</v>
      </c>
      <c r="X46" s="218" t="e">
        <f t="shared" si="7"/>
        <v>#REF!</v>
      </c>
      <c r="Y46" s="218" t="e">
        <f t="shared" si="8"/>
        <v>#REF!</v>
      </c>
      <c r="Z46" s="4">
        <v>41</v>
      </c>
      <c r="AB46">
        <f t="shared" si="3"/>
        <v>41</v>
      </c>
      <c r="AC46" s="218" t="e">
        <f t="shared" si="9"/>
        <v>#REF!</v>
      </c>
      <c r="AD46" s="218" t="e">
        <f t="shared" si="10"/>
        <v>#REF!</v>
      </c>
      <c r="AE46" s="4">
        <v>41</v>
      </c>
    </row>
    <row r="47" spans="13:31">
      <c r="M47">
        <f t="shared" si="0"/>
        <v>42</v>
      </c>
      <c r="N47" s="218">
        <f t="shared" si="4"/>
        <v>0</v>
      </c>
      <c r="O47" s="218">
        <f t="shared" si="11"/>
        <v>0</v>
      </c>
      <c r="P47" s="4">
        <v>42</v>
      </c>
      <c r="R47">
        <f t="shared" si="1"/>
        <v>42</v>
      </c>
      <c r="S47" s="218">
        <f t="shared" ca="1" si="5"/>
        <v>0</v>
      </c>
      <c r="T47" s="218">
        <f t="shared" ca="1" si="6"/>
        <v>0</v>
      </c>
      <c r="U47" s="4">
        <v>42</v>
      </c>
      <c r="W47">
        <f t="shared" si="2"/>
        <v>42</v>
      </c>
      <c r="X47" s="218" t="e">
        <f t="shared" si="7"/>
        <v>#REF!</v>
      </c>
      <c r="Y47" s="218" t="e">
        <f t="shared" si="8"/>
        <v>#REF!</v>
      </c>
      <c r="Z47" s="4">
        <v>42</v>
      </c>
      <c r="AB47">
        <f t="shared" si="3"/>
        <v>42</v>
      </c>
      <c r="AC47" s="218" t="e">
        <f t="shared" si="9"/>
        <v>#REF!</v>
      </c>
      <c r="AD47" s="218" t="e">
        <f t="shared" si="10"/>
        <v>#REF!</v>
      </c>
      <c r="AE47" s="4">
        <v>42</v>
      </c>
    </row>
    <row r="48" spans="13:31">
      <c r="M48">
        <f t="shared" si="0"/>
        <v>43</v>
      </c>
      <c r="N48" s="218">
        <f t="shared" si="4"/>
        <v>0</v>
      </c>
      <c r="O48" s="218">
        <f t="shared" si="11"/>
        <v>0</v>
      </c>
      <c r="P48" s="4">
        <v>43</v>
      </c>
      <c r="R48">
        <f t="shared" si="1"/>
        <v>43</v>
      </c>
      <c r="S48" s="218">
        <f t="shared" ca="1" si="5"/>
        <v>0</v>
      </c>
      <c r="T48" s="218">
        <f t="shared" ca="1" si="6"/>
        <v>0</v>
      </c>
      <c r="U48" s="4">
        <v>43</v>
      </c>
      <c r="W48">
        <f t="shared" si="2"/>
        <v>43</v>
      </c>
      <c r="X48" s="218" t="e">
        <f t="shared" si="7"/>
        <v>#REF!</v>
      </c>
      <c r="Y48" s="218" t="e">
        <f t="shared" si="8"/>
        <v>#REF!</v>
      </c>
      <c r="Z48" s="4">
        <v>43</v>
      </c>
      <c r="AB48">
        <f t="shared" si="3"/>
        <v>43</v>
      </c>
      <c r="AC48" s="218" t="e">
        <f t="shared" si="9"/>
        <v>#REF!</v>
      </c>
      <c r="AD48" s="218" t="e">
        <f t="shared" si="10"/>
        <v>#REF!</v>
      </c>
      <c r="AE48" s="4">
        <v>43</v>
      </c>
    </row>
    <row r="49" spans="13:31">
      <c r="M49">
        <f t="shared" si="0"/>
        <v>44</v>
      </c>
      <c r="N49" s="218">
        <f t="shared" si="4"/>
        <v>0</v>
      </c>
      <c r="O49" s="218">
        <f t="shared" si="11"/>
        <v>0</v>
      </c>
      <c r="P49" s="4">
        <v>44</v>
      </c>
      <c r="R49">
        <f t="shared" si="1"/>
        <v>44</v>
      </c>
      <c r="S49" s="218">
        <f t="shared" ca="1" si="5"/>
        <v>0</v>
      </c>
      <c r="T49" s="218">
        <f t="shared" ca="1" si="6"/>
        <v>0</v>
      </c>
      <c r="U49" s="4">
        <v>44</v>
      </c>
      <c r="W49">
        <f t="shared" si="2"/>
        <v>44</v>
      </c>
      <c r="X49" s="218" t="e">
        <f t="shared" si="7"/>
        <v>#REF!</v>
      </c>
      <c r="Y49" s="218" t="e">
        <f t="shared" si="8"/>
        <v>#REF!</v>
      </c>
      <c r="Z49" s="4">
        <v>44</v>
      </c>
      <c r="AB49">
        <f t="shared" si="3"/>
        <v>44</v>
      </c>
      <c r="AC49" s="218" t="e">
        <f t="shared" si="9"/>
        <v>#REF!</v>
      </c>
      <c r="AD49" s="218" t="e">
        <f t="shared" si="10"/>
        <v>#REF!</v>
      </c>
      <c r="AE49" s="4">
        <v>44</v>
      </c>
    </row>
    <row r="50" spans="13:31">
      <c r="M50">
        <f t="shared" si="0"/>
        <v>45</v>
      </c>
      <c r="N50" s="218">
        <f t="shared" si="4"/>
        <v>0</v>
      </c>
      <c r="O50" s="218">
        <f t="shared" si="11"/>
        <v>0</v>
      </c>
      <c r="P50" s="4">
        <v>45</v>
      </c>
      <c r="R50">
        <f t="shared" si="1"/>
        <v>45</v>
      </c>
      <c r="S50" s="218">
        <f t="shared" ca="1" si="5"/>
        <v>0</v>
      </c>
      <c r="T50" s="218">
        <f t="shared" ca="1" si="6"/>
        <v>0</v>
      </c>
      <c r="U50" s="4">
        <v>45</v>
      </c>
      <c r="W50">
        <f t="shared" si="2"/>
        <v>45</v>
      </c>
      <c r="X50" s="218" t="e">
        <f t="shared" si="7"/>
        <v>#REF!</v>
      </c>
      <c r="Y50" s="218" t="e">
        <f t="shared" si="8"/>
        <v>#REF!</v>
      </c>
      <c r="Z50" s="4">
        <v>45</v>
      </c>
      <c r="AB50">
        <f t="shared" si="3"/>
        <v>45</v>
      </c>
      <c r="AC50" s="218" t="e">
        <f t="shared" si="9"/>
        <v>#REF!</v>
      </c>
      <c r="AD50" s="218" t="e">
        <f t="shared" si="10"/>
        <v>#REF!</v>
      </c>
      <c r="AE50" s="4">
        <v>45</v>
      </c>
    </row>
    <row r="51" spans="13:31">
      <c r="M51">
        <f t="shared" si="0"/>
        <v>46</v>
      </c>
      <c r="N51" s="218">
        <f t="shared" si="4"/>
        <v>0</v>
      </c>
      <c r="O51" s="218">
        <f t="shared" si="11"/>
        <v>0</v>
      </c>
      <c r="P51" s="4">
        <v>46</v>
      </c>
      <c r="R51">
        <f t="shared" si="1"/>
        <v>46</v>
      </c>
      <c r="S51" s="218">
        <f t="shared" ca="1" si="5"/>
        <v>0</v>
      </c>
      <c r="T51" s="218">
        <f t="shared" ca="1" si="6"/>
        <v>0</v>
      </c>
      <c r="U51" s="4">
        <v>46</v>
      </c>
      <c r="W51">
        <f t="shared" si="2"/>
        <v>46</v>
      </c>
      <c r="X51" s="218" t="e">
        <f t="shared" si="7"/>
        <v>#REF!</v>
      </c>
      <c r="Y51" s="218" t="e">
        <f t="shared" si="8"/>
        <v>#REF!</v>
      </c>
      <c r="Z51" s="4">
        <v>46</v>
      </c>
      <c r="AB51">
        <f t="shared" si="3"/>
        <v>46</v>
      </c>
      <c r="AC51" s="218" t="e">
        <f t="shared" si="9"/>
        <v>#REF!</v>
      </c>
      <c r="AD51" s="218" t="e">
        <f t="shared" si="10"/>
        <v>#REF!</v>
      </c>
      <c r="AE51" s="4">
        <v>46</v>
      </c>
    </row>
    <row r="52" spans="13:31">
      <c r="M52">
        <f t="shared" si="0"/>
        <v>47</v>
      </c>
      <c r="N52" s="218">
        <f t="shared" si="4"/>
        <v>0</v>
      </c>
      <c r="O52" s="218">
        <f t="shared" si="11"/>
        <v>0</v>
      </c>
      <c r="P52" s="4">
        <v>47</v>
      </c>
      <c r="R52">
        <f t="shared" si="1"/>
        <v>47</v>
      </c>
      <c r="S52" s="218">
        <f t="shared" ca="1" si="5"/>
        <v>0</v>
      </c>
      <c r="T52" s="218">
        <f t="shared" ca="1" si="6"/>
        <v>0</v>
      </c>
      <c r="U52" s="4">
        <v>47</v>
      </c>
      <c r="W52">
        <f t="shared" si="2"/>
        <v>47</v>
      </c>
      <c r="X52" s="218" t="e">
        <f t="shared" si="7"/>
        <v>#REF!</v>
      </c>
      <c r="Y52" s="218" t="e">
        <f t="shared" si="8"/>
        <v>#REF!</v>
      </c>
      <c r="Z52" s="4">
        <v>47</v>
      </c>
      <c r="AB52">
        <f t="shared" si="3"/>
        <v>47</v>
      </c>
      <c r="AC52" s="218" t="e">
        <f t="shared" si="9"/>
        <v>#REF!</v>
      </c>
      <c r="AD52" s="218" t="e">
        <f t="shared" si="10"/>
        <v>#REF!</v>
      </c>
      <c r="AE52" s="4">
        <v>47</v>
      </c>
    </row>
    <row r="53" spans="13:31">
      <c r="M53">
        <f t="shared" si="0"/>
        <v>48</v>
      </c>
      <c r="N53" s="218">
        <f t="shared" si="4"/>
        <v>0</v>
      </c>
      <c r="O53" s="218">
        <f t="shared" si="11"/>
        <v>0</v>
      </c>
      <c r="P53" s="4">
        <v>48</v>
      </c>
      <c r="R53">
        <f t="shared" si="1"/>
        <v>48</v>
      </c>
      <c r="S53" s="218">
        <f t="shared" ca="1" si="5"/>
        <v>0</v>
      </c>
      <c r="T53" s="218">
        <f t="shared" ca="1" si="6"/>
        <v>0</v>
      </c>
      <c r="U53" s="4">
        <v>48</v>
      </c>
      <c r="W53">
        <f t="shared" si="2"/>
        <v>48</v>
      </c>
      <c r="X53" s="218" t="e">
        <f t="shared" si="7"/>
        <v>#REF!</v>
      </c>
      <c r="Y53" s="218" t="e">
        <f t="shared" si="8"/>
        <v>#REF!</v>
      </c>
      <c r="Z53" s="4">
        <v>48</v>
      </c>
      <c r="AB53">
        <f t="shared" si="3"/>
        <v>48</v>
      </c>
      <c r="AC53" s="218" t="e">
        <f t="shared" si="9"/>
        <v>#REF!</v>
      </c>
      <c r="AD53" s="218" t="e">
        <f t="shared" si="10"/>
        <v>#REF!</v>
      </c>
      <c r="AE53" s="4">
        <v>48</v>
      </c>
    </row>
    <row r="54" spans="13:31">
      <c r="M54">
        <f t="shared" si="0"/>
        <v>49</v>
      </c>
      <c r="N54" s="218">
        <f t="shared" si="4"/>
        <v>0</v>
      </c>
      <c r="O54" s="218">
        <f t="shared" si="11"/>
        <v>0</v>
      </c>
      <c r="P54" s="4">
        <v>49</v>
      </c>
      <c r="R54">
        <f t="shared" si="1"/>
        <v>49</v>
      </c>
      <c r="S54" s="218">
        <f t="shared" ca="1" si="5"/>
        <v>0</v>
      </c>
      <c r="T54" s="218">
        <f t="shared" ca="1" si="6"/>
        <v>0</v>
      </c>
      <c r="U54" s="4">
        <v>49</v>
      </c>
      <c r="W54">
        <f t="shared" si="2"/>
        <v>49</v>
      </c>
      <c r="X54" s="218" t="e">
        <f t="shared" si="7"/>
        <v>#REF!</v>
      </c>
      <c r="Y54" s="218" t="e">
        <f t="shared" si="8"/>
        <v>#REF!</v>
      </c>
      <c r="Z54" s="4">
        <v>49</v>
      </c>
      <c r="AB54">
        <f t="shared" si="3"/>
        <v>49</v>
      </c>
      <c r="AC54" s="218" t="e">
        <f t="shared" si="9"/>
        <v>#REF!</v>
      </c>
      <c r="AD54" s="218" t="e">
        <f t="shared" si="10"/>
        <v>#REF!</v>
      </c>
      <c r="AE54" s="4">
        <v>49</v>
      </c>
    </row>
    <row r="55" spans="13:31">
      <c r="M55">
        <f t="shared" si="0"/>
        <v>50</v>
      </c>
      <c r="N55" s="218">
        <f t="shared" si="4"/>
        <v>0</v>
      </c>
      <c r="O55" s="218">
        <f t="shared" si="11"/>
        <v>0</v>
      </c>
      <c r="P55" s="4">
        <v>50</v>
      </c>
      <c r="R55">
        <f t="shared" si="1"/>
        <v>50</v>
      </c>
      <c r="S55" s="218">
        <f t="shared" ca="1" si="5"/>
        <v>0</v>
      </c>
      <c r="T55" s="218">
        <f t="shared" ca="1" si="6"/>
        <v>0</v>
      </c>
      <c r="U55" s="4">
        <v>50</v>
      </c>
      <c r="W55">
        <f t="shared" si="2"/>
        <v>50</v>
      </c>
      <c r="X55" s="218" t="e">
        <f t="shared" si="7"/>
        <v>#REF!</v>
      </c>
      <c r="Y55" s="218" t="e">
        <f t="shared" si="8"/>
        <v>#REF!</v>
      </c>
      <c r="Z55" s="4">
        <v>50</v>
      </c>
      <c r="AB55">
        <f t="shared" si="3"/>
        <v>50</v>
      </c>
      <c r="AC55" s="218" t="e">
        <f t="shared" si="9"/>
        <v>#REF!</v>
      </c>
      <c r="AD55" s="218" t="e">
        <f t="shared" si="10"/>
        <v>#REF!</v>
      </c>
      <c r="AE55" s="4">
        <v>50</v>
      </c>
    </row>
    <row r="56" spans="13:31">
      <c r="M56">
        <f t="shared" si="0"/>
        <v>51</v>
      </c>
      <c r="N56" s="218">
        <f t="shared" si="4"/>
        <v>0</v>
      </c>
      <c r="O56" s="218">
        <f t="shared" si="11"/>
        <v>0</v>
      </c>
      <c r="P56" s="4">
        <v>51</v>
      </c>
      <c r="R56">
        <f t="shared" si="1"/>
        <v>51</v>
      </c>
      <c r="S56" s="218">
        <f t="shared" ca="1" si="5"/>
        <v>0</v>
      </c>
      <c r="T56" s="218">
        <f t="shared" ca="1" si="6"/>
        <v>0</v>
      </c>
      <c r="U56" s="4">
        <v>51</v>
      </c>
      <c r="W56">
        <f t="shared" si="2"/>
        <v>51</v>
      </c>
      <c r="X56" s="218" t="e">
        <f t="shared" si="7"/>
        <v>#REF!</v>
      </c>
      <c r="Y56" s="218" t="e">
        <f t="shared" si="8"/>
        <v>#REF!</v>
      </c>
      <c r="Z56" s="4">
        <v>51</v>
      </c>
      <c r="AB56">
        <f t="shared" si="3"/>
        <v>51</v>
      </c>
      <c r="AC56" s="218" t="e">
        <f t="shared" si="9"/>
        <v>#REF!</v>
      </c>
      <c r="AD56" s="218" t="e">
        <f t="shared" si="10"/>
        <v>#REF!</v>
      </c>
      <c r="AE56" s="4">
        <v>51</v>
      </c>
    </row>
    <row r="57" spans="13:31">
      <c r="M57">
        <f t="shared" si="0"/>
        <v>52</v>
      </c>
      <c r="N57" s="218">
        <f t="shared" si="4"/>
        <v>0</v>
      </c>
      <c r="O57" s="218">
        <f t="shared" si="11"/>
        <v>0</v>
      </c>
      <c r="P57" s="4">
        <v>52</v>
      </c>
      <c r="R57">
        <f t="shared" si="1"/>
        <v>52</v>
      </c>
      <c r="S57" s="218">
        <f t="shared" ca="1" si="5"/>
        <v>0</v>
      </c>
      <c r="T57" s="218">
        <f t="shared" ca="1" si="6"/>
        <v>0</v>
      </c>
      <c r="U57" s="4">
        <v>52</v>
      </c>
      <c r="W57">
        <f t="shared" si="2"/>
        <v>52</v>
      </c>
      <c r="X57" s="218" t="e">
        <f t="shared" si="7"/>
        <v>#REF!</v>
      </c>
      <c r="Y57" s="218" t="e">
        <f t="shared" si="8"/>
        <v>#REF!</v>
      </c>
      <c r="Z57" s="4">
        <v>52</v>
      </c>
      <c r="AB57">
        <f t="shared" si="3"/>
        <v>52</v>
      </c>
      <c r="AC57" s="218" t="e">
        <f t="shared" si="9"/>
        <v>#REF!</v>
      </c>
      <c r="AD57" s="218" t="e">
        <f t="shared" si="10"/>
        <v>#REF!</v>
      </c>
      <c r="AE57" s="4">
        <v>52</v>
      </c>
    </row>
    <row r="58" spans="13:31">
      <c r="M58">
        <f t="shared" si="0"/>
        <v>53</v>
      </c>
      <c r="N58" s="218">
        <f t="shared" si="4"/>
        <v>0</v>
      </c>
      <c r="O58" s="218">
        <f t="shared" si="11"/>
        <v>0</v>
      </c>
      <c r="P58" s="4">
        <v>53</v>
      </c>
      <c r="R58">
        <f t="shared" si="1"/>
        <v>53</v>
      </c>
      <c r="S58" s="218">
        <f t="shared" ca="1" si="5"/>
        <v>0</v>
      </c>
      <c r="T58" s="218">
        <f t="shared" ca="1" si="6"/>
        <v>0</v>
      </c>
      <c r="U58" s="4">
        <v>53</v>
      </c>
      <c r="W58">
        <f t="shared" si="2"/>
        <v>53</v>
      </c>
      <c r="X58" s="218" t="e">
        <f t="shared" si="7"/>
        <v>#REF!</v>
      </c>
      <c r="Y58" s="218" t="e">
        <f t="shared" si="8"/>
        <v>#REF!</v>
      </c>
      <c r="Z58" s="4">
        <v>53</v>
      </c>
      <c r="AB58">
        <f t="shared" si="3"/>
        <v>53</v>
      </c>
      <c r="AC58" s="218" t="e">
        <f t="shared" si="9"/>
        <v>#REF!</v>
      </c>
      <c r="AD58" s="218" t="e">
        <f t="shared" si="10"/>
        <v>#REF!</v>
      </c>
      <c r="AE58" s="4">
        <v>53</v>
      </c>
    </row>
    <row r="59" spans="13:31">
      <c r="M59">
        <f t="shared" si="0"/>
        <v>54</v>
      </c>
      <c r="N59" s="218">
        <f t="shared" si="4"/>
        <v>0</v>
      </c>
      <c r="O59" s="218">
        <f t="shared" si="11"/>
        <v>0</v>
      </c>
      <c r="P59" s="4">
        <v>54</v>
      </c>
      <c r="R59">
        <f t="shared" si="1"/>
        <v>54</v>
      </c>
      <c r="S59" s="218">
        <f t="shared" ca="1" si="5"/>
        <v>0</v>
      </c>
      <c r="T59" s="218">
        <f t="shared" ca="1" si="6"/>
        <v>0</v>
      </c>
      <c r="U59" s="4">
        <v>54</v>
      </c>
      <c r="W59">
        <f t="shared" si="2"/>
        <v>54</v>
      </c>
      <c r="X59" s="218" t="e">
        <f t="shared" si="7"/>
        <v>#REF!</v>
      </c>
      <c r="Y59" s="218" t="e">
        <f t="shared" si="8"/>
        <v>#REF!</v>
      </c>
      <c r="Z59" s="4">
        <v>54</v>
      </c>
      <c r="AB59">
        <f t="shared" si="3"/>
        <v>54</v>
      </c>
      <c r="AC59" s="218" t="e">
        <f t="shared" si="9"/>
        <v>#REF!</v>
      </c>
      <c r="AD59" s="218" t="e">
        <f t="shared" si="10"/>
        <v>#REF!</v>
      </c>
      <c r="AE59" s="4">
        <v>54</v>
      </c>
    </row>
    <row r="60" spans="13:31">
      <c r="M60">
        <f t="shared" si="0"/>
        <v>55</v>
      </c>
      <c r="N60" s="218">
        <f t="shared" si="4"/>
        <v>0</v>
      </c>
      <c r="O60" s="218">
        <f t="shared" si="11"/>
        <v>0</v>
      </c>
      <c r="P60" s="4">
        <v>55</v>
      </c>
      <c r="R60">
        <f t="shared" si="1"/>
        <v>55</v>
      </c>
      <c r="S60" s="218">
        <f t="shared" ca="1" si="5"/>
        <v>0</v>
      </c>
      <c r="T60" s="218">
        <f t="shared" ca="1" si="6"/>
        <v>0</v>
      </c>
      <c r="U60" s="4">
        <v>55</v>
      </c>
      <c r="W60">
        <f t="shared" si="2"/>
        <v>55</v>
      </c>
      <c r="X60" s="218" t="e">
        <f t="shared" si="7"/>
        <v>#REF!</v>
      </c>
      <c r="Y60" s="218" t="e">
        <f t="shared" si="8"/>
        <v>#REF!</v>
      </c>
      <c r="Z60" s="4">
        <v>55</v>
      </c>
      <c r="AB60">
        <f t="shared" si="3"/>
        <v>55</v>
      </c>
      <c r="AC60" s="218" t="e">
        <f t="shared" si="9"/>
        <v>#REF!</v>
      </c>
      <c r="AD60" s="218" t="e">
        <f t="shared" si="10"/>
        <v>#REF!</v>
      </c>
      <c r="AE60" s="4">
        <v>55</v>
      </c>
    </row>
    <row r="61" spans="13:31">
      <c r="M61">
        <f t="shared" si="0"/>
        <v>56</v>
      </c>
      <c r="N61" s="218">
        <f t="shared" si="4"/>
        <v>0</v>
      </c>
      <c r="O61" s="218">
        <f t="shared" si="11"/>
        <v>0</v>
      </c>
      <c r="P61" s="4">
        <v>56</v>
      </c>
      <c r="R61">
        <f t="shared" si="1"/>
        <v>56</v>
      </c>
      <c r="S61" s="218">
        <f t="shared" ca="1" si="5"/>
        <v>0</v>
      </c>
      <c r="T61" s="218">
        <f t="shared" ca="1" si="6"/>
        <v>0</v>
      </c>
      <c r="U61" s="4">
        <v>56</v>
      </c>
      <c r="W61">
        <f t="shared" si="2"/>
        <v>56</v>
      </c>
      <c r="X61" s="218" t="e">
        <f t="shared" si="7"/>
        <v>#REF!</v>
      </c>
      <c r="Y61" s="218" t="e">
        <f t="shared" si="8"/>
        <v>#REF!</v>
      </c>
      <c r="Z61" s="4">
        <v>56</v>
      </c>
      <c r="AB61">
        <f t="shared" si="3"/>
        <v>56</v>
      </c>
      <c r="AC61" s="218" t="e">
        <f t="shared" si="9"/>
        <v>#REF!</v>
      </c>
      <c r="AD61" s="218" t="e">
        <f t="shared" si="10"/>
        <v>#REF!</v>
      </c>
      <c r="AE61" s="4">
        <v>56</v>
      </c>
    </row>
    <row r="62" spans="13:31">
      <c r="M62">
        <f t="shared" si="0"/>
        <v>57</v>
      </c>
      <c r="N62" s="218">
        <f t="shared" si="4"/>
        <v>0</v>
      </c>
      <c r="O62" s="218">
        <f t="shared" si="11"/>
        <v>0</v>
      </c>
      <c r="P62" s="4">
        <v>57</v>
      </c>
      <c r="R62">
        <f t="shared" si="1"/>
        <v>57</v>
      </c>
      <c r="S62" s="218">
        <f t="shared" ca="1" si="5"/>
        <v>0</v>
      </c>
      <c r="T62" s="218">
        <f t="shared" ca="1" si="6"/>
        <v>0</v>
      </c>
      <c r="U62" s="4">
        <v>57</v>
      </c>
      <c r="W62">
        <f t="shared" si="2"/>
        <v>57</v>
      </c>
      <c r="X62" s="218" t="e">
        <f t="shared" si="7"/>
        <v>#REF!</v>
      </c>
      <c r="Y62" s="218" t="e">
        <f t="shared" si="8"/>
        <v>#REF!</v>
      </c>
      <c r="Z62" s="4">
        <v>57</v>
      </c>
      <c r="AB62">
        <f t="shared" si="3"/>
        <v>57</v>
      </c>
      <c r="AC62" s="218" t="e">
        <f t="shared" si="9"/>
        <v>#REF!</v>
      </c>
      <c r="AD62" s="218" t="e">
        <f t="shared" si="10"/>
        <v>#REF!</v>
      </c>
      <c r="AE62" s="4">
        <v>57</v>
      </c>
    </row>
    <row r="63" spans="13:31">
      <c r="M63">
        <f t="shared" si="0"/>
        <v>58</v>
      </c>
      <c r="N63" s="218">
        <f t="shared" si="4"/>
        <v>0</v>
      </c>
      <c r="O63" s="218">
        <f t="shared" si="11"/>
        <v>0</v>
      </c>
      <c r="P63" s="4">
        <v>58</v>
      </c>
      <c r="R63">
        <f t="shared" si="1"/>
        <v>58</v>
      </c>
      <c r="S63" s="218">
        <f t="shared" ca="1" si="5"/>
        <v>0</v>
      </c>
      <c r="T63" s="218">
        <f t="shared" ca="1" si="6"/>
        <v>0</v>
      </c>
      <c r="U63" s="4">
        <v>58</v>
      </c>
      <c r="W63">
        <f t="shared" si="2"/>
        <v>58</v>
      </c>
      <c r="X63" s="218" t="e">
        <f t="shared" si="7"/>
        <v>#REF!</v>
      </c>
      <c r="Y63" s="218" t="e">
        <f t="shared" si="8"/>
        <v>#REF!</v>
      </c>
      <c r="Z63" s="4">
        <v>58</v>
      </c>
      <c r="AB63">
        <f t="shared" si="3"/>
        <v>58</v>
      </c>
      <c r="AC63" s="218" t="e">
        <f t="shared" si="9"/>
        <v>#REF!</v>
      </c>
      <c r="AD63" s="218" t="e">
        <f t="shared" si="10"/>
        <v>#REF!</v>
      </c>
      <c r="AE63" s="4">
        <v>58</v>
      </c>
    </row>
    <row r="64" spans="13:31">
      <c r="M64">
        <f t="shared" si="0"/>
        <v>59</v>
      </c>
      <c r="N64" s="218">
        <f t="shared" si="4"/>
        <v>0</v>
      </c>
      <c r="O64" s="218">
        <f t="shared" si="11"/>
        <v>0</v>
      </c>
      <c r="P64" s="4">
        <v>59</v>
      </c>
      <c r="R64">
        <f t="shared" si="1"/>
        <v>59</v>
      </c>
      <c r="S64" s="218">
        <f t="shared" ca="1" si="5"/>
        <v>0</v>
      </c>
      <c r="T64" s="218">
        <f t="shared" ca="1" si="6"/>
        <v>0</v>
      </c>
      <c r="U64" s="4">
        <v>59</v>
      </c>
      <c r="W64">
        <f t="shared" si="2"/>
        <v>59</v>
      </c>
      <c r="X64" s="218" t="e">
        <f t="shared" si="7"/>
        <v>#REF!</v>
      </c>
      <c r="Y64" s="218" t="e">
        <f t="shared" si="8"/>
        <v>#REF!</v>
      </c>
      <c r="Z64" s="4">
        <v>59</v>
      </c>
      <c r="AB64">
        <f t="shared" si="3"/>
        <v>59</v>
      </c>
      <c r="AC64" s="218" t="e">
        <f t="shared" si="9"/>
        <v>#REF!</v>
      </c>
      <c r="AD64" s="218" t="e">
        <f t="shared" si="10"/>
        <v>#REF!</v>
      </c>
      <c r="AE64" s="4">
        <v>59</v>
      </c>
    </row>
    <row r="65" spans="13:31">
      <c r="M65">
        <f t="shared" si="0"/>
        <v>60</v>
      </c>
      <c r="N65" s="218">
        <f t="shared" si="4"/>
        <v>0</v>
      </c>
      <c r="O65" s="218">
        <f t="shared" si="11"/>
        <v>0</v>
      </c>
      <c r="P65" s="4">
        <v>60</v>
      </c>
      <c r="R65">
        <f t="shared" si="1"/>
        <v>60</v>
      </c>
      <c r="S65" s="218">
        <f t="shared" ca="1" si="5"/>
        <v>0</v>
      </c>
      <c r="T65" s="218">
        <f t="shared" ca="1" si="6"/>
        <v>0</v>
      </c>
      <c r="U65" s="4">
        <v>60</v>
      </c>
      <c r="W65">
        <f t="shared" si="2"/>
        <v>60</v>
      </c>
      <c r="X65" s="218" t="e">
        <f t="shared" si="7"/>
        <v>#REF!</v>
      </c>
      <c r="Y65" s="218" t="e">
        <f t="shared" si="8"/>
        <v>#REF!</v>
      </c>
      <c r="Z65" s="4">
        <v>60</v>
      </c>
      <c r="AB65">
        <f t="shared" si="3"/>
        <v>60</v>
      </c>
      <c r="AC65" s="218" t="e">
        <f t="shared" si="9"/>
        <v>#REF!</v>
      </c>
      <c r="AD65" s="218" t="e">
        <f t="shared" si="10"/>
        <v>#REF!</v>
      </c>
      <c r="AE65" s="4">
        <v>60</v>
      </c>
    </row>
    <row r="66" spans="13:31">
      <c r="M66">
        <f t="shared" si="0"/>
        <v>61</v>
      </c>
      <c r="N66" s="218">
        <f t="shared" si="4"/>
        <v>0</v>
      </c>
      <c r="O66" s="218">
        <f t="shared" si="11"/>
        <v>0</v>
      </c>
      <c r="P66" s="4">
        <v>61</v>
      </c>
      <c r="R66">
        <f t="shared" si="1"/>
        <v>61</v>
      </c>
      <c r="S66" s="218">
        <f t="shared" ca="1" si="5"/>
        <v>0</v>
      </c>
      <c r="T66" s="218">
        <f t="shared" ca="1" si="6"/>
        <v>0</v>
      </c>
      <c r="U66" s="4">
        <v>61</v>
      </c>
      <c r="W66">
        <f t="shared" si="2"/>
        <v>61</v>
      </c>
      <c r="X66" s="218" t="e">
        <f t="shared" si="7"/>
        <v>#REF!</v>
      </c>
      <c r="Y66" s="218" t="e">
        <f t="shared" si="8"/>
        <v>#REF!</v>
      </c>
      <c r="Z66" s="4">
        <v>61</v>
      </c>
      <c r="AB66">
        <f t="shared" si="3"/>
        <v>61</v>
      </c>
      <c r="AC66" s="218" t="e">
        <f t="shared" si="9"/>
        <v>#REF!</v>
      </c>
      <c r="AD66" s="218" t="e">
        <f t="shared" si="10"/>
        <v>#REF!</v>
      </c>
      <c r="AE66" s="4">
        <v>61</v>
      </c>
    </row>
    <row r="67" spans="13:31">
      <c r="M67">
        <f t="shared" si="0"/>
        <v>62</v>
      </c>
      <c r="N67" s="218">
        <f t="shared" si="4"/>
        <v>0</v>
      </c>
      <c r="O67" s="218">
        <f t="shared" si="11"/>
        <v>0</v>
      </c>
      <c r="P67" s="4">
        <v>62</v>
      </c>
      <c r="R67">
        <f t="shared" si="1"/>
        <v>62</v>
      </c>
      <c r="S67" s="218">
        <f t="shared" ca="1" si="5"/>
        <v>0</v>
      </c>
      <c r="T67" s="218">
        <f t="shared" ca="1" si="6"/>
        <v>0</v>
      </c>
      <c r="U67" s="4">
        <v>62</v>
      </c>
      <c r="W67">
        <f t="shared" si="2"/>
        <v>62</v>
      </c>
      <c r="X67" s="218" t="e">
        <f t="shared" si="7"/>
        <v>#REF!</v>
      </c>
      <c r="Y67" s="218" t="e">
        <f t="shared" si="8"/>
        <v>#REF!</v>
      </c>
      <c r="Z67" s="4">
        <v>62</v>
      </c>
      <c r="AB67">
        <f t="shared" si="3"/>
        <v>62</v>
      </c>
      <c r="AC67" s="218" t="e">
        <f t="shared" si="9"/>
        <v>#REF!</v>
      </c>
      <c r="AD67" s="218" t="e">
        <f t="shared" si="10"/>
        <v>#REF!</v>
      </c>
      <c r="AE67" s="4">
        <v>62</v>
      </c>
    </row>
    <row r="68" spans="13:31">
      <c r="M68">
        <f t="shared" si="0"/>
        <v>63</v>
      </c>
      <c r="N68" s="218">
        <f t="shared" si="4"/>
        <v>0</v>
      </c>
      <c r="O68" s="218">
        <f t="shared" si="11"/>
        <v>0</v>
      </c>
      <c r="P68" s="4">
        <v>63</v>
      </c>
      <c r="R68">
        <f t="shared" si="1"/>
        <v>63</v>
      </c>
      <c r="S68" s="218">
        <f t="shared" ca="1" si="5"/>
        <v>0</v>
      </c>
      <c r="T68" s="218">
        <f t="shared" ca="1" si="6"/>
        <v>0</v>
      </c>
      <c r="U68" s="4">
        <v>63</v>
      </c>
      <c r="W68">
        <f t="shared" si="2"/>
        <v>63</v>
      </c>
      <c r="X68" s="218" t="e">
        <f t="shared" si="7"/>
        <v>#REF!</v>
      </c>
      <c r="Y68" s="218" t="e">
        <f t="shared" si="8"/>
        <v>#REF!</v>
      </c>
      <c r="Z68" s="4">
        <v>63</v>
      </c>
      <c r="AB68">
        <f t="shared" si="3"/>
        <v>63</v>
      </c>
      <c r="AC68" s="218" t="e">
        <f t="shared" si="9"/>
        <v>#REF!</v>
      </c>
      <c r="AD68" s="218" t="e">
        <f t="shared" si="10"/>
        <v>#REF!</v>
      </c>
      <c r="AE68" s="4">
        <v>63</v>
      </c>
    </row>
    <row r="69" spans="13:31">
      <c r="M69">
        <f t="shared" si="0"/>
        <v>64</v>
      </c>
      <c r="N69" s="218">
        <f t="shared" si="4"/>
        <v>0</v>
      </c>
      <c r="O69" s="218">
        <f t="shared" si="11"/>
        <v>0</v>
      </c>
      <c r="P69" s="4">
        <v>64</v>
      </c>
      <c r="R69">
        <f t="shared" si="1"/>
        <v>64</v>
      </c>
      <c r="S69" s="218">
        <f t="shared" ca="1" si="5"/>
        <v>0</v>
      </c>
      <c r="T69" s="218">
        <f t="shared" ca="1" si="6"/>
        <v>0</v>
      </c>
      <c r="U69" s="4">
        <v>64</v>
      </c>
      <c r="W69">
        <f t="shared" si="2"/>
        <v>64</v>
      </c>
      <c r="X69" s="218" t="e">
        <f t="shared" si="7"/>
        <v>#REF!</v>
      </c>
      <c r="Y69" s="218" t="e">
        <f t="shared" si="8"/>
        <v>#REF!</v>
      </c>
      <c r="Z69" s="4">
        <v>64</v>
      </c>
      <c r="AB69">
        <f t="shared" si="3"/>
        <v>64</v>
      </c>
      <c r="AC69" s="218" t="e">
        <f t="shared" si="9"/>
        <v>#REF!</v>
      </c>
      <c r="AD69" s="218" t="e">
        <f t="shared" si="10"/>
        <v>#REF!</v>
      </c>
      <c r="AE69" s="4">
        <v>64</v>
      </c>
    </row>
    <row r="70" spans="13:31">
      <c r="M70">
        <f t="shared" si="0"/>
        <v>65</v>
      </c>
      <c r="N70" s="218">
        <f t="shared" si="4"/>
        <v>0</v>
      </c>
      <c r="O70" s="218">
        <f t="shared" si="11"/>
        <v>0</v>
      </c>
      <c r="P70" s="4">
        <v>65</v>
      </c>
      <c r="R70">
        <f t="shared" si="1"/>
        <v>65</v>
      </c>
      <c r="S70" s="218">
        <f t="shared" ca="1" si="5"/>
        <v>0</v>
      </c>
      <c r="T70" s="218">
        <f t="shared" ca="1" si="6"/>
        <v>0</v>
      </c>
      <c r="U70" s="4">
        <v>65</v>
      </c>
      <c r="W70">
        <f t="shared" si="2"/>
        <v>65</v>
      </c>
      <c r="X70" s="218" t="e">
        <f t="shared" si="7"/>
        <v>#REF!</v>
      </c>
      <c r="Y70" s="218" t="e">
        <f t="shared" si="8"/>
        <v>#REF!</v>
      </c>
      <c r="Z70" s="4">
        <v>65</v>
      </c>
      <c r="AB70">
        <f t="shared" si="3"/>
        <v>65</v>
      </c>
      <c r="AC70" s="218" t="e">
        <f t="shared" si="9"/>
        <v>#REF!</v>
      </c>
      <c r="AD70" s="218" t="e">
        <f t="shared" si="10"/>
        <v>#REF!</v>
      </c>
      <c r="AE70" s="4">
        <v>65</v>
      </c>
    </row>
    <row r="71" spans="13:31">
      <c r="M71">
        <f t="shared" ref="M71:M134" si="14">P71</f>
        <v>66</v>
      </c>
      <c r="N71" s="218">
        <f t="shared" si="4"/>
        <v>0</v>
      </c>
      <c r="O71" s="218">
        <f t="shared" si="11"/>
        <v>0</v>
      </c>
      <c r="P71" s="4">
        <v>66</v>
      </c>
      <c r="R71">
        <f t="shared" ref="R71:R134" si="15">U71</f>
        <v>66</v>
      </c>
      <c r="S71" s="218">
        <f t="shared" ca="1" si="5"/>
        <v>0</v>
      </c>
      <c r="T71" s="218">
        <f t="shared" ca="1" si="6"/>
        <v>0</v>
      </c>
      <c r="U71" s="4">
        <v>66</v>
      </c>
      <c r="W71">
        <f t="shared" ref="W71:W134" si="16">Z71</f>
        <v>66</v>
      </c>
      <c r="X71" s="218" t="e">
        <f t="shared" si="7"/>
        <v>#REF!</v>
      </c>
      <c r="Y71" s="218" t="e">
        <f t="shared" si="8"/>
        <v>#REF!</v>
      </c>
      <c r="Z71" s="4">
        <v>66</v>
      </c>
      <c r="AB71">
        <f t="shared" ref="AB71:AB134" si="17">AE71</f>
        <v>66</v>
      </c>
      <c r="AC71" s="218" t="e">
        <f t="shared" si="9"/>
        <v>#REF!</v>
      </c>
      <c r="AD71" s="218" t="e">
        <f t="shared" si="10"/>
        <v>#REF!</v>
      </c>
      <c r="AE71" s="4">
        <v>66</v>
      </c>
    </row>
    <row r="72" spans="13:31">
      <c r="M72">
        <f t="shared" si="14"/>
        <v>67</v>
      </c>
      <c r="N72" s="218">
        <f t="shared" ref="N72:N135" si="18">+IF(O72&lt;N71,O72,N71)</f>
        <v>0</v>
      </c>
      <c r="O72" s="218">
        <f t="shared" ref="O72:O135" si="19">+(O71-N71)*(1+$E$13)</f>
        <v>0</v>
      </c>
      <c r="P72" s="4">
        <v>67</v>
      </c>
      <c r="R72">
        <f t="shared" si="15"/>
        <v>67</v>
      </c>
      <c r="S72" s="218">
        <f t="shared" ref="S72:S135" ca="1" si="20">+IF(T72&lt;S71,T72,S71)</f>
        <v>0</v>
      </c>
      <c r="T72" s="218">
        <f t="shared" ref="T72:T135" ca="1" si="21">+(T71-S71)*(1+$E$14)</f>
        <v>0</v>
      </c>
      <c r="U72" s="4">
        <v>67</v>
      </c>
      <c r="W72">
        <f t="shared" si="16"/>
        <v>67</v>
      </c>
      <c r="X72" s="218" t="e">
        <f t="shared" ref="X72:X135" si="22">+IF(Y72&lt;X71,Y72,X71)</f>
        <v>#REF!</v>
      </c>
      <c r="Y72" s="218" t="e">
        <f t="shared" ref="Y72:Y135" si="23">+(Y71-X71)*(1+$E$15)</f>
        <v>#REF!</v>
      </c>
      <c r="Z72" s="4">
        <v>67</v>
      </c>
      <c r="AB72">
        <f t="shared" si="17"/>
        <v>67</v>
      </c>
      <c r="AC72" s="218" t="e">
        <f t="shared" ref="AC72:AC135" si="24">+IF(AD72&lt;AC71,AD72,AC71)</f>
        <v>#REF!</v>
      </c>
      <c r="AD72" s="218" t="e">
        <f t="shared" ref="AD72:AD135" si="25">+(AD71-AC71)*(1+$E$16)</f>
        <v>#REF!</v>
      </c>
      <c r="AE72" s="4">
        <v>67</v>
      </c>
    </row>
    <row r="73" spans="13:31">
      <c r="M73">
        <f t="shared" si="14"/>
        <v>68</v>
      </c>
      <c r="N73" s="218">
        <f t="shared" si="18"/>
        <v>0</v>
      </c>
      <c r="O73" s="218">
        <f t="shared" si="19"/>
        <v>0</v>
      </c>
      <c r="P73" s="4">
        <v>68</v>
      </c>
      <c r="R73">
        <f t="shared" si="15"/>
        <v>68</v>
      </c>
      <c r="S73" s="218">
        <f t="shared" ca="1" si="20"/>
        <v>0</v>
      </c>
      <c r="T73" s="218">
        <f t="shared" ca="1" si="21"/>
        <v>0</v>
      </c>
      <c r="U73" s="4">
        <v>68</v>
      </c>
      <c r="W73">
        <f t="shared" si="16"/>
        <v>68</v>
      </c>
      <c r="X73" s="218" t="e">
        <f t="shared" si="22"/>
        <v>#REF!</v>
      </c>
      <c r="Y73" s="218" t="e">
        <f t="shared" si="23"/>
        <v>#REF!</v>
      </c>
      <c r="Z73" s="4">
        <v>68</v>
      </c>
      <c r="AB73">
        <f t="shared" si="17"/>
        <v>68</v>
      </c>
      <c r="AC73" s="218" t="e">
        <f t="shared" si="24"/>
        <v>#REF!</v>
      </c>
      <c r="AD73" s="218" t="e">
        <f t="shared" si="25"/>
        <v>#REF!</v>
      </c>
      <c r="AE73" s="4">
        <v>68</v>
      </c>
    </row>
    <row r="74" spans="13:31">
      <c r="M74">
        <f t="shared" si="14"/>
        <v>69</v>
      </c>
      <c r="N74" s="218">
        <f t="shared" si="18"/>
        <v>0</v>
      </c>
      <c r="O74" s="218">
        <f t="shared" si="19"/>
        <v>0</v>
      </c>
      <c r="P74" s="4">
        <v>69</v>
      </c>
      <c r="R74">
        <f t="shared" si="15"/>
        <v>69</v>
      </c>
      <c r="S74" s="218">
        <f t="shared" ca="1" si="20"/>
        <v>0</v>
      </c>
      <c r="T74" s="218">
        <f t="shared" ca="1" si="21"/>
        <v>0</v>
      </c>
      <c r="U74" s="4">
        <v>69</v>
      </c>
      <c r="W74">
        <f t="shared" si="16"/>
        <v>69</v>
      </c>
      <c r="X74" s="218" t="e">
        <f t="shared" si="22"/>
        <v>#REF!</v>
      </c>
      <c r="Y74" s="218" t="e">
        <f t="shared" si="23"/>
        <v>#REF!</v>
      </c>
      <c r="Z74" s="4">
        <v>69</v>
      </c>
      <c r="AB74">
        <f t="shared" si="17"/>
        <v>69</v>
      </c>
      <c r="AC74" s="218" t="e">
        <f t="shared" si="24"/>
        <v>#REF!</v>
      </c>
      <c r="AD74" s="218" t="e">
        <f t="shared" si="25"/>
        <v>#REF!</v>
      </c>
      <c r="AE74" s="4">
        <v>69</v>
      </c>
    </row>
    <row r="75" spans="13:31">
      <c r="M75">
        <f t="shared" si="14"/>
        <v>70</v>
      </c>
      <c r="N75" s="218">
        <f t="shared" si="18"/>
        <v>0</v>
      </c>
      <c r="O75" s="218">
        <f t="shared" si="19"/>
        <v>0</v>
      </c>
      <c r="P75" s="4">
        <v>70</v>
      </c>
      <c r="R75">
        <f t="shared" si="15"/>
        <v>70</v>
      </c>
      <c r="S75" s="218">
        <f t="shared" ca="1" si="20"/>
        <v>0</v>
      </c>
      <c r="T75" s="218">
        <f t="shared" ca="1" si="21"/>
        <v>0</v>
      </c>
      <c r="U75" s="4">
        <v>70</v>
      </c>
      <c r="W75">
        <f t="shared" si="16"/>
        <v>70</v>
      </c>
      <c r="X75" s="218" t="e">
        <f t="shared" si="22"/>
        <v>#REF!</v>
      </c>
      <c r="Y75" s="218" t="e">
        <f t="shared" si="23"/>
        <v>#REF!</v>
      </c>
      <c r="Z75" s="4">
        <v>70</v>
      </c>
      <c r="AB75">
        <f t="shared" si="17"/>
        <v>70</v>
      </c>
      <c r="AC75" s="218" t="e">
        <f t="shared" si="24"/>
        <v>#REF!</v>
      </c>
      <c r="AD75" s="218" t="e">
        <f t="shared" si="25"/>
        <v>#REF!</v>
      </c>
      <c r="AE75" s="4">
        <v>70</v>
      </c>
    </row>
    <row r="76" spans="13:31">
      <c r="M76">
        <f t="shared" si="14"/>
        <v>71</v>
      </c>
      <c r="N76" s="218">
        <f t="shared" si="18"/>
        <v>0</v>
      </c>
      <c r="O76" s="218">
        <f t="shared" si="19"/>
        <v>0</v>
      </c>
      <c r="P76" s="4">
        <v>71</v>
      </c>
      <c r="R76">
        <f t="shared" si="15"/>
        <v>71</v>
      </c>
      <c r="S76" s="218">
        <f t="shared" ca="1" si="20"/>
        <v>0</v>
      </c>
      <c r="T76" s="218">
        <f t="shared" ca="1" si="21"/>
        <v>0</v>
      </c>
      <c r="U76" s="4">
        <v>71</v>
      </c>
      <c r="W76">
        <f t="shared" si="16"/>
        <v>71</v>
      </c>
      <c r="X76" s="218" t="e">
        <f t="shared" si="22"/>
        <v>#REF!</v>
      </c>
      <c r="Y76" s="218" t="e">
        <f t="shared" si="23"/>
        <v>#REF!</v>
      </c>
      <c r="Z76" s="4">
        <v>71</v>
      </c>
      <c r="AB76">
        <f t="shared" si="17"/>
        <v>71</v>
      </c>
      <c r="AC76" s="218" t="e">
        <f t="shared" si="24"/>
        <v>#REF!</v>
      </c>
      <c r="AD76" s="218" t="e">
        <f t="shared" si="25"/>
        <v>#REF!</v>
      </c>
      <c r="AE76" s="4">
        <v>71</v>
      </c>
    </row>
    <row r="77" spans="13:31">
      <c r="M77">
        <f t="shared" si="14"/>
        <v>72</v>
      </c>
      <c r="N77" s="218">
        <f t="shared" si="18"/>
        <v>0</v>
      </c>
      <c r="O77" s="218">
        <f t="shared" si="19"/>
        <v>0</v>
      </c>
      <c r="P77" s="4">
        <v>72</v>
      </c>
      <c r="R77">
        <f t="shared" si="15"/>
        <v>72</v>
      </c>
      <c r="S77" s="218">
        <f t="shared" ca="1" si="20"/>
        <v>0</v>
      </c>
      <c r="T77" s="218">
        <f t="shared" ca="1" si="21"/>
        <v>0</v>
      </c>
      <c r="U77" s="4">
        <v>72</v>
      </c>
      <c r="W77">
        <f t="shared" si="16"/>
        <v>72</v>
      </c>
      <c r="X77" s="218" t="e">
        <f t="shared" si="22"/>
        <v>#REF!</v>
      </c>
      <c r="Y77" s="218" t="e">
        <f t="shared" si="23"/>
        <v>#REF!</v>
      </c>
      <c r="Z77" s="4">
        <v>72</v>
      </c>
      <c r="AB77">
        <f t="shared" si="17"/>
        <v>72</v>
      </c>
      <c r="AC77" s="218" t="e">
        <f t="shared" si="24"/>
        <v>#REF!</v>
      </c>
      <c r="AD77" s="218" t="e">
        <f t="shared" si="25"/>
        <v>#REF!</v>
      </c>
      <c r="AE77" s="4">
        <v>72</v>
      </c>
    </row>
    <row r="78" spans="13:31">
      <c r="M78">
        <f t="shared" si="14"/>
        <v>73</v>
      </c>
      <c r="N78" s="218">
        <f t="shared" si="18"/>
        <v>0</v>
      </c>
      <c r="O78" s="218">
        <f t="shared" si="19"/>
        <v>0</v>
      </c>
      <c r="P78" s="4">
        <v>73</v>
      </c>
      <c r="R78">
        <f t="shared" si="15"/>
        <v>73</v>
      </c>
      <c r="S78" s="218">
        <f t="shared" ca="1" si="20"/>
        <v>0</v>
      </c>
      <c r="T78" s="218">
        <f t="shared" ca="1" si="21"/>
        <v>0</v>
      </c>
      <c r="U78" s="4">
        <v>73</v>
      </c>
      <c r="W78">
        <f t="shared" si="16"/>
        <v>73</v>
      </c>
      <c r="X78" s="218" t="e">
        <f t="shared" si="22"/>
        <v>#REF!</v>
      </c>
      <c r="Y78" s="218" t="e">
        <f t="shared" si="23"/>
        <v>#REF!</v>
      </c>
      <c r="Z78" s="4">
        <v>73</v>
      </c>
      <c r="AB78">
        <f t="shared" si="17"/>
        <v>73</v>
      </c>
      <c r="AC78" s="218" t="e">
        <f t="shared" si="24"/>
        <v>#REF!</v>
      </c>
      <c r="AD78" s="218" t="e">
        <f t="shared" si="25"/>
        <v>#REF!</v>
      </c>
      <c r="AE78" s="4">
        <v>73</v>
      </c>
    </row>
    <row r="79" spans="13:31">
      <c r="M79">
        <f t="shared" si="14"/>
        <v>74</v>
      </c>
      <c r="N79" s="218">
        <f t="shared" si="18"/>
        <v>0</v>
      </c>
      <c r="O79" s="218">
        <f t="shared" si="19"/>
        <v>0</v>
      </c>
      <c r="P79" s="4">
        <v>74</v>
      </c>
      <c r="R79">
        <f t="shared" si="15"/>
        <v>74</v>
      </c>
      <c r="S79" s="218">
        <f t="shared" ca="1" si="20"/>
        <v>0</v>
      </c>
      <c r="T79" s="218">
        <f t="shared" ca="1" si="21"/>
        <v>0</v>
      </c>
      <c r="U79" s="4">
        <v>74</v>
      </c>
      <c r="W79">
        <f t="shared" si="16"/>
        <v>74</v>
      </c>
      <c r="X79" s="218" t="e">
        <f t="shared" si="22"/>
        <v>#REF!</v>
      </c>
      <c r="Y79" s="218" t="e">
        <f t="shared" si="23"/>
        <v>#REF!</v>
      </c>
      <c r="Z79" s="4">
        <v>74</v>
      </c>
      <c r="AB79">
        <f t="shared" si="17"/>
        <v>74</v>
      </c>
      <c r="AC79" s="218" t="e">
        <f t="shared" si="24"/>
        <v>#REF!</v>
      </c>
      <c r="AD79" s="218" t="e">
        <f t="shared" si="25"/>
        <v>#REF!</v>
      </c>
      <c r="AE79" s="4">
        <v>74</v>
      </c>
    </row>
    <row r="80" spans="13:31">
      <c r="M80">
        <f t="shared" si="14"/>
        <v>75</v>
      </c>
      <c r="N80" s="218">
        <f t="shared" si="18"/>
        <v>0</v>
      </c>
      <c r="O80" s="218">
        <f t="shared" si="19"/>
        <v>0</v>
      </c>
      <c r="P80" s="4">
        <v>75</v>
      </c>
      <c r="R80">
        <f t="shared" si="15"/>
        <v>75</v>
      </c>
      <c r="S80" s="218">
        <f t="shared" ca="1" si="20"/>
        <v>0</v>
      </c>
      <c r="T80" s="218">
        <f t="shared" ca="1" si="21"/>
        <v>0</v>
      </c>
      <c r="U80" s="4">
        <v>75</v>
      </c>
      <c r="W80">
        <f t="shared" si="16"/>
        <v>75</v>
      </c>
      <c r="X80" s="218" t="e">
        <f t="shared" si="22"/>
        <v>#REF!</v>
      </c>
      <c r="Y80" s="218" t="e">
        <f t="shared" si="23"/>
        <v>#REF!</v>
      </c>
      <c r="Z80" s="4">
        <v>75</v>
      </c>
      <c r="AB80">
        <f t="shared" si="17"/>
        <v>75</v>
      </c>
      <c r="AC80" s="218" t="e">
        <f t="shared" si="24"/>
        <v>#REF!</v>
      </c>
      <c r="AD80" s="218" t="e">
        <f t="shared" si="25"/>
        <v>#REF!</v>
      </c>
      <c r="AE80" s="4">
        <v>75</v>
      </c>
    </row>
    <row r="81" spans="13:31">
      <c r="M81">
        <f t="shared" si="14"/>
        <v>76</v>
      </c>
      <c r="N81" s="218">
        <f t="shared" si="18"/>
        <v>0</v>
      </c>
      <c r="O81" s="218">
        <f t="shared" si="19"/>
        <v>0</v>
      </c>
      <c r="P81" s="4">
        <v>76</v>
      </c>
      <c r="R81">
        <f t="shared" si="15"/>
        <v>76</v>
      </c>
      <c r="S81" s="218">
        <f t="shared" ca="1" si="20"/>
        <v>0</v>
      </c>
      <c r="T81" s="218">
        <f t="shared" ca="1" si="21"/>
        <v>0</v>
      </c>
      <c r="U81" s="4">
        <v>76</v>
      </c>
      <c r="W81">
        <f t="shared" si="16"/>
        <v>76</v>
      </c>
      <c r="X81" s="218" t="e">
        <f t="shared" si="22"/>
        <v>#REF!</v>
      </c>
      <c r="Y81" s="218" t="e">
        <f t="shared" si="23"/>
        <v>#REF!</v>
      </c>
      <c r="Z81" s="4">
        <v>76</v>
      </c>
      <c r="AB81">
        <f t="shared" si="17"/>
        <v>76</v>
      </c>
      <c r="AC81" s="218" t="e">
        <f t="shared" si="24"/>
        <v>#REF!</v>
      </c>
      <c r="AD81" s="218" t="e">
        <f t="shared" si="25"/>
        <v>#REF!</v>
      </c>
      <c r="AE81" s="4">
        <v>76</v>
      </c>
    </row>
    <row r="82" spans="13:31">
      <c r="M82">
        <f t="shared" si="14"/>
        <v>77</v>
      </c>
      <c r="N82" s="218">
        <f t="shared" si="18"/>
        <v>0</v>
      </c>
      <c r="O82" s="218">
        <f t="shared" si="19"/>
        <v>0</v>
      </c>
      <c r="P82" s="4">
        <v>77</v>
      </c>
      <c r="R82">
        <f t="shared" si="15"/>
        <v>77</v>
      </c>
      <c r="S82" s="218">
        <f t="shared" ca="1" si="20"/>
        <v>0</v>
      </c>
      <c r="T82" s="218">
        <f t="shared" ca="1" si="21"/>
        <v>0</v>
      </c>
      <c r="U82" s="4">
        <v>77</v>
      </c>
      <c r="W82">
        <f t="shared" si="16"/>
        <v>77</v>
      </c>
      <c r="X82" s="218" t="e">
        <f t="shared" si="22"/>
        <v>#REF!</v>
      </c>
      <c r="Y82" s="218" t="e">
        <f t="shared" si="23"/>
        <v>#REF!</v>
      </c>
      <c r="Z82" s="4">
        <v>77</v>
      </c>
      <c r="AB82">
        <f t="shared" si="17"/>
        <v>77</v>
      </c>
      <c r="AC82" s="218" t="e">
        <f t="shared" si="24"/>
        <v>#REF!</v>
      </c>
      <c r="AD82" s="218" t="e">
        <f t="shared" si="25"/>
        <v>#REF!</v>
      </c>
      <c r="AE82" s="4">
        <v>77</v>
      </c>
    </row>
    <row r="83" spans="13:31">
      <c r="M83">
        <f t="shared" si="14"/>
        <v>78</v>
      </c>
      <c r="N83" s="218">
        <f t="shared" si="18"/>
        <v>0</v>
      </c>
      <c r="O83" s="218">
        <f t="shared" si="19"/>
        <v>0</v>
      </c>
      <c r="P83" s="4">
        <v>78</v>
      </c>
      <c r="R83">
        <f t="shared" si="15"/>
        <v>78</v>
      </c>
      <c r="S83" s="218">
        <f t="shared" ca="1" si="20"/>
        <v>0</v>
      </c>
      <c r="T83" s="218">
        <f t="shared" ca="1" si="21"/>
        <v>0</v>
      </c>
      <c r="U83" s="4">
        <v>78</v>
      </c>
      <c r="W83">
        <f t="shared" si="16"/>
        <v>78</v>
      </c>
      <c r="X83" s="218" t="e">
        <f t="shared" si="22"/>
        <v>#REF!</v>
      </c>
      <c r="Y83" s="218" t="e">
        <f t="shared" si="23"/>
        <v>#REF!</v>
      </c>
      <c r="Z83" s="4">
        <v>78</v>
      </c>
      <c r="AB83">
        <f t="shared" si="17"/>
        <v>78</v>
      </c>
      <c r="AC83" s="218" t="e">
        <f t="shared" si="24"/>
        <v>#REF!</v>
      </c>
      <c r="AD83" s="218" t="e">
        <f t="shared" si="25"/>
        <v>#REF!</v>
      </c>
      <c r="AE83" s="4">
        <v>78</v>
      </c>
    </row>
    <row r="84" spans="13:31">
      <c r="M84">
        <f t="shared" si="14"/>
        <v>79</v>
      </c>
      <c r="N84" s="218">
        <f t="shared" si="18"/>
        <v>0</v>
      </c>
      <c r="O84" s="218">
        <f t="shared" si="19"/>
        <v>0</v>
      </c>
      <c r="P84" s="4">
        <v>79</v>
      </c>
      <c r="R84">
        <f t="shared" si="15"/>
        <v>79</v>
      </c>
      <c r="S84" s="218">
        <f t="shared" ca="1" si="20"/>
        <v>0</v>
      </c>
      <c r="T84" s="218">
        <f t="shared" ca="1" si="21"/>
        <v>0</v>
      </c>
      <c r="U84" s="4">
        <v>79</v>
      </c>
      <c r="W84">
        <f t="shared" si="16"/>
        <v>79</v>
      </c>
      <c r="X84" s="218" t="e">
        <f t="shared" si="22"/>
        <v>#REF!</v>
      </c>
      <c r="Y84" s="218" t="e">
        <f t="shared" si="23"/>
        <v>#REF!</v>
      </c>
      <c r="Z84" s="4">
        <v>79</v>
      </c>
      <c r="AB84">
        <f t="shared" si="17"/>
        <v>79</v>
      </c>
      <c r="AC84" s="218" t="e">
        <f t="shared" si="24"/>
        <v>#REF!</v>
      </c>
      <c r="AD84" s="218" t="e">
        <f t="shared" si="25"/>
        <v>#REF!</v>
      </c>
      <c r="AE84" s="4">
        <v>79</v>
      </c>
    </row>
    <row r="85" spans="13:31">
      <c r="M85">
        <f t="shared" si="14"/>
        <v>80</v>
      </c>
      <c r="N85" s="218">
        <f t="shared" si="18"/>
        <v>0</v>
      </c>
      <c r="O85" s="218">
        <f t="shared" si="19"/>
        <v>0</v>
      </c>
      <c r="P85" s="4">
        <v>80</v>
      </c>
      <c r="R85">
        <f t="shared" si="15"/>
        <v>80</v>
      </c>
      <c r="S85" s="218">
        <f t="shared" ca="1" si="20"/>
        <v>0</v>
      </c>
      <c r="T85" s="218">
        <f t="shared" ca="1" si="21"/>
        <v>0</v>
      </c>
      <c r="U85" s="4">
        <v>80</v>
      </c>
      <c r="W85">
        <f t="shared" si="16"/>
        <v>80</v>
      </c>
      <c r="X85" s="218" t="e">
        <f t="shared" si="22"/>
        <v>#REF!</v>
      </c>
      <c r="Y85" s="218" t="e">
        <f t="shared" si="23"/>
        <v>#REF!</v>
      </c>
      <c r="Z85" s="4">
        <v>80</v>
      </c>
      <c r="AB85">
        <f t="shared" si="17"/>
        <v>80</v>
      </c>
      <c r="AC85" s="218" t="e">
        <f t="shared" si="24"/>
        <v>#REF!</v>
      </c>
      <c r="AD85" s="218" t="e">
        <f t="shared" si="25"/>
        <v>#REF!</v>
      </c>
      <c r="AE85" s="4">
        <v>80</v>
      </c>
    </row>
    <row r="86" spans="13:31">
      <c r="M86">
        <f t="shared" si="14"/>
        <v>81</v>
      </c>
      <c r="N86" s="218">
        <f t="shared" si="18"/>
        <v>0</v>
      </c>
      <c r="O86" s="218">
        <f t="shared" si="19"/>
        <v>0</v>
      </c>
      <c r="P86" s="4">
        <v>81</v>
      </c>
      <c r="R86">
        <f t="shared" si="15"/>
        <v>81</v>
      </c>
      <c r="S86" s="218">
        <f t="shared" ca="1" si="20"/>
        <v>0</v>
      </c>
      <c r="T86" s="218">
        <f t="shared" ca="1" si="21"/>
        <v>0</v>
      </c>
      <c r="U86" s="4">
        <v>81</v>
      </c>
      <c r="W86">
        <f t="shared" si="16"/>
        <v>81</v>
      </c>
      <c r="X86" s="218" t="e">
        <f t="shared" si="22"/>
        <v>#REF!</v>
      </c>
      <c r="Y86" s="218" t="e">
        <f t="shared" si="23"/>
        <v>#REF!</v>
      </c>
      <c r="Z86" s="4">
        <v>81</v>
      </c>
      <c r="AB86">
        <f t="shared" si="17"/>
        <v>81</v>
      </c>
      <c r="AC86" s="218" t="e">
        <f t="shared" si="24"/>
        <v>#REF!</v>
      </c>
      <c r="AD86" s="218" t="e">
        <f t="shared" si="25"/>
        <v>#REF!</v>
      </c>
      <c r="AE86" s="4">
        <v>81</v>
      </c>
    </row>
    <row r="87" spans="13:31">
      <c r="M87">
        <f t="shared" si="14"/>
        <v>82</v>
      </c>
      <c r="N87" s="218">
        <f t="shared" si="18"/>
        <v>0</v>
      </c>
      <c r="O87" s="218">
        <f t="shared" si="19"/>
        <v>0</v>
      </c>
      <c r="P87" s="4">
        <v>82</v>
      </c>
      <c r="R87">
        <f t="shared" si="15"/>
        <v>82</v>
      </c>
      <c r="S87" s="218">
        <f t="shared" ca="1" si="20"/>
        <v>0</v>
      </c>
      <c r="T87" s="218">
        <f t="shared" ca="1" si="21"/>
        <v>0</v>
      </c>
      <c r="U87" s="4">
        <v>82</v>
      </c>
      <c r="W87">
        <f t="shared" si="16"/>
        <v>82</v>
      </c>
      <c r="X87" s="218" t="e">
        <f t="shared" si="22"/>
        <v>#REF!</v>
      </c>
      <c r="Y87" s="218" t="e">
        <f t="shared" si="23"/>
        <v>#REF!</v>
      </c>
      <c r="Z87" s="4">
        <v>82</v>
      </c>
      <c r="AB87">
        <f t="shared" si="17"/>
        <v>82</v>
      </c>
      <c r="AC87" s="218" t="e">
        <f t="shared" si="24"/>
        <v>#REF!</v>
      </c>
      <c r="AD87" s="218" t="e">
        <f t="shared" si="25"/>
        <v>#REF!</v>
      </c>
      <c r="AE87" s="4">
        <v>82</v>
      </c>
    </row>
    <row r="88" spans="13:31">
      <c r="M88">
        <f t="shared" si="14"/>
        <v>83</v>
      </c>
      <c r="N88" s="218">
        <f t="shared" si="18"/>
        <v>0</v>
      </c>
      <c r="O88" s="218">
        <f t="shared" si="19"/>
        <v>0</v>
      </c>
      <c r="P88" s="4">
        <v>83</v>
      </c>
      <c r="R88">
        <f t="shared" si="15"/>
        <v>83</v>
      </c>
      <c r="S88" s="218">
        <f t="shared" ca="1" si="20"/>
        <v>0</v>
      </c>
      <c r="T88" s="218">
        <f t="shared" ca="1" si="21"/>
        <v>0</v>
      </c>
      <c r="U88" s="4">
        <v>83</v>
      </c>
      <c r="W88">
        <f t="shared" si="16"/>
        <v>83</v>
      </c>
      <c r="X88" s="218" t="e">
        <f t="shared" si="22"/>
        <v>#REF!</v>
      </c>
      <c r="Y88" s="218" t="e">
        <f t="shared" si="23"/>
        <v>#REF!</v>
      </c>
      <c r="Z88" s="4">
        <v>83</v>
      </c>
      <c r="AB88">
        <f t="shared" si="17"/>
        <v>83</v>
      </c>
      <c r="AC88" s="218" t="e">
        <f t="shared" si="24"/>
        <v>#REF!</v>
      </c>
      <c r="AD88" s="218" t="e">
        <f t="shared" si="25"/>
        <v>#REF!</v>
      </c>
      <c r="AE88" s="4">
        <v>83</v>
      </c>
    </row>
    <row r="89" spans="13:31">
      <c r="M89">
        <f t="shared" si="14"/>
        <v>84</v>
      </c>
      <c r="N89" s="218">
        <f t="shared" si="18"/>
        <v>0</v>
      </c>
      <c r="O89" s="218">
        <f t="shared" si="19"/>
        <v>0</v>
      </c>
      <c r="P89" s="4">
        <v>84</v>
      </c>
      <c r="R89">
        <f t="shared" si="15"/>
        <v>84</v>
      </c>
      <c r="S89" s="218">
        <f t="shared" ca="1" si="20"/>
        <v>0</v>
      </c>
      <c r="T89" s="218">
        <f t="shared" ca="1" si="21"/>
        <v>0</v>
      </c>
      <c r="U89" s="4">
        <v>84</v>
      </c>
      <c r="W89">
        <f t="shared" si="16"/>
        <v>84</v>
      </c>
      <c r="X89" s="218" t="e">
        <f t="shared" si="22"/>
        <v>#REF!</v>
      </c>
      <c r="Y89" s="218" t="e">
        <f t="shared" si="23"/>
        <v>#REF!</v>
      </c>
      <c r="Z89" s="4">
        <v>84</v>
      </c>
      <c r="AB89">
        <f t="shared" si="17"/>
        <v>84</v>
      </c>
      <c r="AC89" s="218" t="e">
        <f t="shared" si="24"/>
        <v>#REF!</v>
      </c>
      <c r="AD89" s="218" t="e">
        <f t="shared" si="25"/>
        <v>#REF!</v>
      </c>
      <c r="AE89" s="4">
        <v>84</v>
      </c>
    </row>
    <row r="90" spans="13:31">
      <c r="M90">
        <f t="shared" si="14"/>
        <v>85</v>
      </c>
      <c r="N90" s="218">
        <f t="shared" si="18"/>
        <v>0</v>
      </c>
      <c r="O90" s="218">
        <f t="shared" si="19"/>
        <v>0</v>
      </c>
      <c r="P90" s="4">
        <v>85</v>
      </c>
      <c r="R90">
        <f t="shared" si="15"/>
        <v>85</v>
      </c>
      <c r="S90" s="218">
        <f t="shared" ca="1" si="20"/>
        <v>0</v>
      </c>
      <c r="T90" s="218">
        <f t="shared" ca="1" si="21"/>
        <v>0</v>
      </c>
      <c r="U90" s="4">
        <v>85</v>
      </c>
      <c r="W90">
        <f t="shared" si="16"/>
        <v>85</v>
      </c>
      <c r="X90" s="218" t="e">
        <f t="shared" si="22"/>
        <v>#REF!</v>
      </c>
      <c r="Y90" s="218" t="e">
        <f t="shared" si="23"/>
        <v>#REF!</v>
      </c>
      <c r="Z90" s="4">
        <v>85</v>
      </c>
      <c r="AB90">
        <f t="shared" si="17"/>
        <v>85</v>
      </c>
      <c r="AC90" s="218" t="e">
        <f t="shared" si="24"/>
        <v>#REF!</v>
      </c>
      <c r="AD90" s="218" t="e">
        <f t="shared" si="25"/>
        <v>#REF!</v>
      </c>
      <c r="AE90" s="4">
        <v>85</v>
      </c>
    </row>
    <row r="91" spans="13:31">
      <c r="M91">
        <f t="shared" si="14"/>
        <v>86</v>
      </c>
      <c r="N91" s="218">
        <f t="shared" si="18"/>
        <v>0</v>
      </c>
      <c r="O91" s="218">
        <f t="shared" si="19"/>
        <v>0</v>
      </c>
      <c r="P91" s="4">
        <v>86</v>
      </c>
      <c r="R91">
        <f t="shared" si="15"/>
        <v>86</v>
      </c>
      <c r="S91" s="218">
        <f t="shared" ca="1" si="20"/>
        <v>0</v>
      </c>
      <c r="T91" s="218">
        <f t="shared" ca="1" si="21"/>
        <v>0</v>
      </c>
      <c r="U91" s="4">
        <v>86</v>
      </c>
      <c r="W91">
        <f t="shared" si="16"/>
        <v>86</v>
      </c>
      <c r="X91" s="218" t="e">
        <f t="shared" si="22"/>
        <v>#REF!</v>
      </c>
      <c r="Y91" s="218" t="e">
        <f t="shared" si="23"/>
        <v>#REF!</v>
      </c>
      <c r="Z91" s="4">
        <v>86</v>
      </c>
      <c r="AB91">
        <f t="shared" si="17"/>
        <v>86</v>
      </c>
      <c r="AC91" s="218" t="e">
        <f t="shared" si="24"/>
        <v>#REF!</v>
      </c>
      <c r="AD91" s="218" t="e">
        <f t="shared" si="25"/>
        <v>#REF!</v>
      </c>
      <c r="AE91" s="4">
        <v>86</v>
      </c>
    </row>
    <row r="92" spans="13:31">
      <c r="M92">
        <f t="shared" si="14"/>
        <v>87</v>
      </c>
      <c r="N92" s="218">
        <f t="shared" si="18"/>
        <v>0</v>
      </c>
      <c r="O92" s="218">
        <f t="shared" si="19"/>
        <v>0</v>
      </c>
      <c r="P92" s="4">
        <v>87</v>
      </c>
      <c r="R92">
        <f t="shared" si="15"/>
        <v>87</v>
      </c>
      <c r="S92" s="218">
        <f t="shared" ca="1" si="20"/>
        <v>0</v>
      </c>
      <c r="T92" s="218">
        <f t="shared" ca="1" si="21"/>
        <v>0</v>
      </c>
      <c r="U92" s="4">
        <v>87</v>
      </c>
      <c r="W92">
        <f t="shared" si="16"/>
        <v>87</v>
      </c>
      <c r="X92" s="218" t="e">
        <f t="shared" si="22"/>
        <v>#REF!</v>
      </c>
      <c r="Y92" s="218" t="e">
        <f t="shared" si="23"/>
        <v>#REF!</v>
      </c>
      <c r="Z92" s="4">
        <v>87</v>
      </c>
      <c r="AB92">
        <f t="shared" si="17"/>
        <v>87</v>
      </c>
      <c r="AC92" s="218" t="e">
        <f t="shared" si="24"/>
        <v>#REF!</v>
      </c>
      <c r="AD92" s="218" t="e">
        <f t="shared" si="25"/>
        <v>#REF!</v>
      </c>
      <c r="AE92" s="4">
        <v>87</v>
      </c>
    </row>
    <row r="93" spans="13:31">
      <c r="M93">
        <f t="shared" si="14"/>
        <v>88</v>
      </c>
      <c r="N93" s="218">
        <f t="shared" si="18"/>
        <v>0</v>
      </c>
      <c r="O93" s="218">
        <f t="shared" si="19"/>
        <v>0</v>
      </c>
      <c r="P93" s="4">
        <v>88</v>
      </c>
      <c r="R93">
        <f t="shared" si="15"/>
        <v>88</v>
      </c>
      <c r="S93" s="218">
        <f t="shared" ca="1" si="20"/>
        <v>0</v>
      </c>
      <c r="T93" s="218">
        <f t="shared" ca="1" si="21"/>
        <v>0</v>
      </c>
      <c r="U93" s="4">
        <v>88</v>
      </c>
      <c r="W93">
        <f t="shared" si="16"/>
        <v>88</v>
      </c>
      <c r="X93" s="218" t="e">
        <f t="shared" si="22"/>
        <v>#REF!</v>
      </c>
      <c r="Y93" s="218" t="e">
        <f t="shared" si="23"/>
        <v>#REF!</v>
      </c>
      <c r="Z93" s="4">
        <v>88</v>
      </c>
      <c r="AB93">
        <f t="shared" si="17"/>
        <v>88</v>
      </c>
      <c r="AC93" s="218" t="e">
        <f t="shared" si="24"/>
        <v>#REF!</v>
      </c>
      <c r="AD93" s="218" t="e">
        <f t="shared" si="25"/>
        <v>#REF!</v>
      </c>
      <c r="AE93" s="4">
        <v>88</v>
      </c>
    </row>
    <row r="94" spans="13:31">
      <c r="M94">
        <f t="shared" si="14"/>
        <v>89</v>
      </c>
      <c r="N94" s="218">
        <f t="shared" si="18"/>
        <v>0</v>
      </c>
      <c r="O94" s="218">
        <f t="shared" si="19"/>
        <v>0</v>
      </c>
      <c r="P94" s="4">
        <v>89</v>
      </c>
      <c r="R94">
        <f t="shared" si="15"/>
        <v>89</v>
      </c>
      <c r="S94" s="218">
        <f t="shared" ca="1" si="20"/>
        <v>0</v>
      </c>
      <c r="T94" s="218">
        <f t="shared" ca="1" si="21"/>
        <v>0</v>
      </c>
      <c r="U94" s="4">
        <v>89</v>
      </c>
      <c r="W94">
        <f t="shared" si="16"/>
        <v>89</v>
      </c>
      <c r="X94" s="218" t="e">
        <f t="shared" si="22"/>
        <v>#REF!</v>
      </c>
      <c r="Y94" s="218" t="e">
        <f t="shared" si="23"/>
        <v>#REF!</v>
      </c>
      <c r="Z94" s="4">
        <v>89</v>
      </c>
      <c r="AB94">
        <f t="shared" si="17"/>
        <v>89</v>
      </c>
      <c r="AC94" s="218" t="e">
        <f t="shared" si="24"/>
        <v>#REF!</v>
      </c>
      <c r="AD94" s="218" t="e">
        <f t="shared" si="25"/>
        <v>#REF!</v>
      </c>
      <c r="AE94" s="4">
        <v>89</v>
      </c>
    </row>
    <row r="95" spans="13:31">
      <c r="M95">
        <f t="shared" si="14"/>
        <v>90</v>
      </c>
      <c r="N95" s="218">
        <f t="shared" si="18"/>
        <v>0</v>
      </c>
      <c r="O95" s="218">
        <f t="shared" si="19"/>
        <v>0</v>
      </c>
      <c r="P95" s="4">
        <v>90</v>
      </c>
      <c r="R95">
        <f t="shared" si="15"/>
        <v>90</v>
      </c>
      <c r="S95" s="218">
        <f t="shared" ca="1" si="20"/>
        <v>0</v>
      </c>
      <c r="T95" s="218">
        <f t="shared" ca="1" si="21"/>
        <v>0</v>
      </c>
      <c r="U95" s="4">
        <v>90</v>
      </c>
      <c r="W95">
        <f t="shared" si="16"/>
        <v>90</v>
      </c>
      <c r="X95" s="218" t="e">
        <f t="shared" si="22"/>
        <v>#REF!</v>
      </c>
      <c r="Y95" s="218" t="e">
        <f t="shared" si="23"/>
        <v>#REF!</v>
      </c>
      <c r="Z95" s="4">
        <v>90</v>
      </c>
      <c r="AB95">
        <f t="shared" si="17"/>
        <v>90</v>
      </c>
      <c r="AC95" s="218" t="e">
        <f t="shared" si="24"/>
        <v>#REF!</v>
      </c>
      <c r="AD95" s="218" t="e">
        <f t="shared" si="25"/>
        <v>#REF!</v>
      </c>
      <c r="AE95" s="4">
        <v>90</v>
      </c>
    </row>
    <row r="96" spans="13:31">
      <c r="M96">
        <f t="shared" si="14"/>
        <v>91</v>
      </c>
      <c r="N96" s="218">
        <f t="shared" si="18"/>
        <v>0</v>
      </c>
      <c r="O96" s="218">
        <f t="shared" si="19"/>
        <v>0</v>
      </c>
      <c r="P96" s="4">
        <v>91</v>
      </c>
      <c r="R96">
        <f t="shared" si="15"/>
        <v>91</v>
      </c>
      <c r="S96" s="218">
        <f t="shared" ca="1" si="20"/>
        <v>0</v>
      </c>
      <c r="T96" s="218">
        <f t="shared" ca="1" si="21"/>
        <v>0</v>
      </c>
      <c r="U96" s="4">
        <v>91</v>
      </c>
      <c r="W96">
        <f t="shared" si="16"/>
        <v>91</v>
      </c>
      <c r="X96" s="218" t="e">
        <f t="shared" si="22"/>
        <v>#REF!</v>
      </c>
      <c r="Y96" s="218" t="e">
        <f t="shared" si="23"/>
        <v>#REF!</v>
      </c>
      <c r="Z96" s="4">
        <v>91</v>
      </c>
      <c r="AB96">
        <f t="shared" si="17"/>
        <v>91</v>
      </c>
      <c r="AC96" s="218" t="e">
        <f t="shared" si="24"/>
        <v>#REF!</v>
      </c>
      <c r="AD96" s="218" t="e">
        <f t="shared" si="25"/>
        <v>#REF!</v>
      </c>
      <c r="AE96" s="4">
        <v>91</v>
      </c>
    </row>
    <row r="97" spans="13:31">
      <c r="M97">
        <f t="shared" si="14"/>
        <v>92</v>
      </c>
      <c r="N97" s="218">
        <f t="shared" si="18"/>
        <v>0</v>
      </c>
      <c r="O97" s="218">
        <f t="shared" si="19"/>
        <v>0</v>
      </c>
      <c r="P97" s="4">
        <v>92</v>
      </c>
      <c r="R97">
        <f t="shared" si="15"/>
        <v>92</v>
      </c>
      <c r="S97" s="218">
        <f t="shared" ca="1" si="20"/>
        <v>0</v>
      </c>
      <c r="T97" s="218">
        <f t="shared" ca="1" si="21"/>
        <v>0</v>
      </c>
      <c r="U97" s="4">
        <v>92</v>
      </c>
      <c r="W97">
        <f t="shared" si="16"/>
        <v>92</v>
      </c>
      <c r="X97" s="218" t="e">
        <f t="shared" si="22"/>
        <v>#REF!</v>
      </c>
      <c r="Y97" s="218" t="e">
        <f t="shared" si="23"/>
        <v>#REF!</v>
      </c>
      <c r="Z97" s="4">
        <v>92</v>
      </c>
      <c r="AB97">
        <f t="shared" si="17"/>
        <v>92</v>
      </c>
      <c r="AC97" s="218" t="e">
        <f t="shared" si="24"/>
        <v>#REF!</v>
      </c>
      <c r="AD97" s="218" t="e">
        <f t="shared" si="25"/>
        <v>#REF!</v>
      </c>
      <c r="AE97" s="4">
        <v>92</v>
      </c>
    </row>
    <row r="98" spans="13:31">
      <c r="M98">
        <f t="shared" si="14"/>
        <v>93</v>
      </c>
      <c r="N98" s="218">
        <f t="shared" si="18"/>
        <v>0</v>
      </c>
      <c r="O98" s="218">
        <f t="shared" si="19"/>
        <v>0</v>
      </c>
      <c r="P98" s="4">
        <v>93</v>
      </c>
      <c r="R98">
        <f t="shared" si="15"/>
        <v>93</v>
      </c>
      <c r="S98" s="218">
        <f t="shared" ca="1" si="20"/>
        <v>0</v>
      </c>
      <c r="T98" s="218">
        <f t="shared" ca="1" si="21"/>
        <v>0</v>
      </c>
      <c r="U98" s="4">
        <v>93</v>
      </c>
      <c r="W98">
        <f t="shared" si="16"/>
        <v>93</v>
      </c>
      <c r="X98" s="218" t="e">
        <f t="shared" si="22"/>
        <v>#REF!</v>
      </c>
      <c r="Y98" s="218" t="e">
        <f t="shared" si="23"/>
        <v>#REF!</v>
      </c>
      <c r="Z98" s="4">
        <v>93</v>
      </c>
      <c r="AB98">
        <f t="shared" si="17"/>
        <v>93</v>
      </c>
      <c r="AC98" s="218" t="e">
        <f t="shared" si="24"/>
        <v>#REF!</v>
      </c>
      <c r="AD98" s="218" t="e">
        <f t="shared" si="25"/>
        <v>#REF!</v>
      </c>
      <c r="AE98" s="4">
        <v>93</v>
      </c>
    </row>
    <row r="99" spans="13:31">
      <c r="M99">
        <f t="shared" si="14"/>
        <v>94</v>
      </c>
      <c r="N99" s="218">
        <f t="shared" si="18"/>
        <v>0</v>
      </c>
      <c r="O99" s="218">
        <f t="shared" si="19"/>
        <v>0</v>
      </c>
      <c r="P99" s="4">
        <v>94</v>
      </c>
      <c r="R99">
        <f t="shared" si="15"/>
        <v>94</v>
      </c>
      <c r="S99" s="218">
        <f t="shared" ca="1" si="20"/>
        <v>0</v>
      </c>
      <c r="T99" s="218">
        <f t="shared" ca="1" si="21"/>
        <v>0</v>
      </c>
      <c r="U99" s="4">
        <v>94</v>
      </c>
      <c r="W99">
        <f t="shared" si="16"/>
        <v>94</v>
      </c>
      <c r="X99" s="218" t="e">
        <f t="shared" si="22"/>
        <v>#REF!</v>
      </c>
      <c r="Y99" s="218" t="e">
        <f t="shared" si="23"/>
        <v>#REF!</v>
      </c>
      <c r="Z99" s="4">
        <v>94</v>
      </c>
      <c r="AB99">
        <f t="shared" si="17"/>
        <v>94</v>
      </c>
      <c r="AC99" s="218" t="e">
        <f t="shared" si="24"/>
        <v>#REF!</v>
      </c>
      <c r="AD99" s="218" t="e">
        <f t="shared" si="25"/>
        <v>#REF!</v>
      </c>
      <c r="AE99" s="4">
        <v>94</v>
      </c>
    </row>
    <row r="100" spans="13:31">
      <c r="M100">
        <f t="shared" si="14"/>
        <v>95</v>
      </c>
      <c r="N100" s="218">
        <f t="shared" si="18"/>
        <v>0</v>
      </c>
      <c r="O100" s="218">
        <f t="shared" si="19"/>
        <v>0</v>
      </c>
      <c r="P100" s="4">
        <v>95</v>
      </c>
      <c r="R100">
        <f t="shared" si="15"/>
        <v>95</v>
      </c>
      <c r="S100" s="218">
        <f t="shared" ca="1" si="20"/>
        <v>0</v>
      </c>
      <c r="T100" s="218">
        <f t="shared" ca="1" si="21"/>
        <v>0</v>
      </c>
      <c r="U100" s="4">
        <v>95</v>
      </c>
      <c r="W100">
        <f t="shared" si="16"/>
        <v>95</v>
      </c>
      <c r="X100" s="218" t="e">
        <f t="shared" si="22"/>
        <v>#REF!</v>
      </c>
      <c r="Y100" s="218" t="e">
        <f t="shared" si="23"/>
        <v>#REF!</v>
      </c>
      <c r="Z100" s="4">
        <v>95</v>
      </c>
      <c r="AB100">
        <f t="shared" si="17"/>
        <v>95</v>
      </c>
      <c r="AC100" s="218" t="e">
        <f t="shared" si="24"/>
        <v>#REF!</v>
      </c>
      <c r="AD100" s="218" t="e">
        <f t="shared" si="25"/>
        <v>#REF!</v>
      </c>
      <c r="AE100" s="4">
        <v>95</v>
      </c>
    </row>
    <row r="101" spans="13:31">
      <c r="M101">
        <f t="shared" si="14"/>
        <v>96</v>
      </c>
      <c r="N101" s="218">
        <f t="shared" si="18"/>
        <v>0</v>
      </c>
      <c r="O101" s="218">
        <f t="shared" si="19"/>
        <v>0</v>
      </c>
      <c r="P101" s="4">
        <v>96</v>
      </c>
      <c r="R101">
        <f t="shared" si="15"/>
        <v>96</v>
      </c>
      <c r="S101" s="218">
        <f t="shared" ca="1" si="20"/>
        <v>0</v>
      </c>
      <c r="T101" s="218">
        <f t="shared" ca="1" si="21"/>
        <v>0</v>
      </c>
      <c r="U101" s="4">
        <v>96</v>
      </c>
      <c r="W101">
        <f t="shared" si="16"/>
        <v>96</v>
      </c>
      <c r="X101" s="218" t="e">
        <f t="shared" si="22"/>
        <v>#REF!</v>
      </c>
      <c r="Y101" s="218" t="e">
        <f t="shared" si="23"/>
        <v>#REF!</v>
      </c>
      <c r="Z101" s="4">
        <v>96</v>
      </c>
      <c r="AB101">
        <f t="shared" si="17"/>
        <v>96</v>
      </c>
      <c r="AC101" s="218" t="e">
        <f t="shared" si="24"/>
        <v>#REF!</v>
      </c>
      <c r="AD101" s="218" t="e">
        <f t="shared" si="25"/>
        <v>#REF!</v>
      </c>
      <c r="AE101" s="4">
        <v>96</v>
      </c>
    </row>
    <row r="102" spans="13:31">
      <c r="M102">
        <f t="shared" si="14"/>
        <v>97</v>
      </c>
      <c r="N102" s="218">
        <f t="shared" si="18"/>
        <v>0</v>
      </c>
      <c r="O102" s="218">
        <f t="shared" si="19"/>
        <v>0</v>
      </c>
      <c r="P102" s="4">
        <v>97</v>
      </c>
      <c r="R102">
        <f t="shared" si="15"/>
        <v>97</v>
      </c>
      <c r="S102" s="218">
        <f t="shared" ca="1" si="20"/>
        <v>0</v>
      </c>
      <c r="T102" s="218">
        <f t="shared" ca="1" si="21"/>
        <v>0</v>
      </c>
      <c r="U102" s="4">
        <v>97</v>
      </c>
      <c r="W102">
        <f t="shared" si="16"/>
        <v>97</v>
      </c>
      <c r="X102" s="218" t="e">
        <f t="shared" si="22"/>
        <v>#REF!</v>
      </c>
      <c r="Y102" s="218" t="e">
        <f t="shared" si="23"/>
        <v>#REF!</v>
      </c>
      <c r="Z102" s="4">
        <v>97</v>
      </c>
      <c r="AB102">
        <f t="shared" si="17"/>
        <v>97</v>
      </c>
      <c r="AC102" s="218" t="e">
        <f t="shared" si="24"/>
        <v>#REF!</v>
      </c>
      <c r="AD102" s="218" t="e">
        <f t="shared" si="25"/>
        <v>#REF!</v>
      </c>
      <c r="AE102" s="4">
        <v>97</v>
      </c>
    </row>
    <row r="103" spans="13:31">
      <c r="M103">
        <f t="shared" si="14"/>
        <v>98</v>
      </c>
      <c r="N103" s="218">
        <f t="shared" si="18"/>
        <v>0</v>
      </c>
      <c r="O103" s="218">
        <f t="shared" si="19"/>
        <v>0</v>
      </c>
      <c r="P103" s="4">
        <v>98</v>
      </c>
      <c r="R103">
        <f t="shared" si="15"/>
        <v>98</v>
      </c>
      <c r="S103" s="218">
        <f t="shared" ca="1" si="20"/>
        <v>0</v>
      </c>
      <c r="T103" s="218">
        <f t="shared" ca="1" si="21"/>
        <v>0</v>
      </c>
      <c r="U103" s="4">
        <v>98</v>
      </c>
      <c r="W103">
        <f t="shared" si="16"/>
        <v>98</v>
      </c>
      <c r="X103" s="218" t="e">
        <f t="shared" si="22"/>
        <v>#REF!</v>
      </c>
      <c r="Y103" s="218" t="e">
        <f t="shared" si="23"/>
        <v>#REF!</v>
      </c>
      <c r="Z103" s="4">
        <v>98</v>
      </c>
      <c r="AB103">
        <f t="shared" si="17"/>
        <v>98</v>
      </c>
      <c r="AC103" s="218" t="e">
        <f t="shared" si="24"/>
        <v>#REF!</v>
      </c>
      <c r="AD103" s="218" t="e">
        <f t="shared" si="25"/>
        <v>#REF!</v>
      </c>
      <c r="AE103" s="4">
        <v>98</v>
      </c>
    </row>
    <row r="104" spans="13:31">
      <c r="M104">
        <f t="shared" si="14"/>
        <v>99</v>
      </c>
      <c r="N104" s="218">
        <f t="shared" si="18"/>
        <v>0</v>
      </c>
      <c r="O104" s="218">
        <f t="shared" si="19"/>
        <v>0</v>
      </c>
      <c r="P104" s="4">
        <v>99</v>
      </c>
      <c r="R104">
        <f t="shared" si="15"/>
        <v>99</v>
      </c>
      <c r="S104" s="218">
        <f t="shared" ca="1" si="20"/>
        <v>0</v>
      </c>
      <c r="T104" s="218">
        <f t="shared" ca="1" si="21"/>
        <v>0</v>
      </c>
      <c r="U104" s="4">
        <v>99</v>
      </c>
      <c r="W104">
        <f t="shared" si="16"/>
        <v>99</v>
      </c>
      <c r="X104" s="218" t="e">
        <f t="shared" si="22"/>
        <v>#REF!</v>
      </c>
      <c r="Y104" s="218" t="e">
        <f t="shared" si="23"/>
        <v>#REF!</v>
      </c>
      <c r="Z104" s="4">
        <v>99</v>
      </c>
      <c r="AB104">
        <f t="shared" si="17"/>
        <v>99</v>
      </c>
      <c r="AC104" s="218" t="e">
        <f t="shared" si="24"/>
        <v>#REF!</v>
      </c>
      <c r="AD104" s="218" t="e">
        <f t="shared" si="25"/>
        <v>#REF!</v>
      </c>
      <c r="AE104" s="4">
        <v>99</v>
      </c>
    </row>
    <row r="105" spans="13:31">
      <c r="M105">
        <f t="shared" si="14"/>
        <v>100</v>
      </c>
      <c r="N105" s="218">
        <f t="shared" si="18"/>
        <v>0</v>
      </c>
      <c r="O105" s="218">
        <f t="shared" si="19"/>
        <v>0</v>
      </c>
      <c r="P105" s="4">
        <v>100</v>
      </c>
      <c r="R105">
        <f t="shared" si="15"/>
        <v>100</v>
      </c>
      <c r="S105" s="218">
        <f t="shared" ca="1" si="20"/>
        <v>0</v>
      </c>
      <c r="T105" s="218">
        <f t="shared" ca="1" si="21"/>
        <v>0</v>
      </c>
      <c r="U105" s="4">
        <v>100</v>
      </c>
      <c r="W105">
        <f t="shared" si="16"/>
        <v>100</v>
      </c>
      <c r="X105" s="218" t="e">
        <f t="shared" si="22"/>
        <v>#REF!</v>
      </c>
      <c r="Y105" s="218" t="e">
        <f t="shared" si="23"/>
        <v>#REF!</v>
      </c>
      <c r="Z105" s="4">
        <v>100</v>
      </c>
      <c r="AB105">
        <f t="shared" si="17"/>
        <v>100</v>
      </c>
      <c r="AC105" s="218" t="e">
        <f t="shared" si="24"/>
        <v>#REF!</v>
      </c>
      <c r="AD105" s="218" t="e">
        <f t="shared" si="25"/>
        <v>#REF!</v>
      </c>
      <c r="AE105" s="4">
        <v>100</v>
      </c>
    </row>
    <row r="106" spans="13:31">
      <c r="M106">
        <f t="shared" si="14"/>
        <v>101</v>
      </c>
      <c r="N106" s="218">
        <f t="shared" si="18"/>
        <v>0</v>
      </c>
      <c r="O106" s="218">
        <f t="shared" si="19"/>
        <v>0</v>
      </c>
      <c r="P106" s="4">
        <v>101</v>
      </c>
      <c r="R106">
        <f t="shared" si="15"/>
        <v>101</v>
      </c>
      <c r="S106" s="218">
        <f t="shared" ca="1" si="20"/>
        <v>0</v>
      </c>
      <c r="T106" s="218">
        <f t="shared" ca="1" si="21"/>
        <v>0</v>
      </c>
      <c r="U106" s="4">
        <v>101</v>
      </c>
      <c r="W106">
        <f t="shared" si="16"/>
        <v>101</v>
      </c>
      <c r="X106" s="218" t="e">
        <f t="shared" si="22"/>
        <v>#REF!</v>
      </c>
      <c r="Y106" s="218" t="e">
        <f t="shared" si="23"/>
        <v>#REF!</v>
      </c>
      <c r="Z106" s="4">
        <v>101</v>
      </c>
      <c r="AB106">
        <f t="shared" si="17"/>
        <v>101</v>
      </c>
      <c r="AC106" s="218" t="e">
        <f t="shared" si="24"/>
        <v>#REF!</v>
      </c>
      <c r="AD106" s="218" t="e">
        <f t="shared" si="25"/>
        <v>#REF!</v>
      </c>
      <c r="AE106" s="4">
        <v>101</v>
      </c>
    </row>
    <row r="107" spans="13:31">
      <c r="M107">
        <f t="shared" si="14"/>
        <v>102</v>
      </c>
      <c r="N107" s="218">
        <f t="shared" si="18"/>
        <v>0</v>
      </c>
      <c r="O107" s="218">
        <f t="shared" si="19"/>
        <v>0</v>
      </c>
      <c r="P107" s="4">
        <v>102</v>
      </c>
      <c r="R107">
        <f t="shared" si="15"/>
        <v>102</v>
      </c>
      <c r="S107" s="218">
        <f t="shared" ca="1" si="20"/>
        <v>0</v>
      </c>
      <c r="T107" s="218">
        <f t="shared" ca="1" si="21"/>
        <v>0</v>
      </c>
      <c r="U107" s="4">
        <v>102</v>
      </c>
      <c r="W107">
        <f t="shared" si="16"/>
        <v>102</v>
      </c>
      <c r="X107" s="218" t="e">
        <f t="shared" si="22"/>
        <v>#REF!</v>
      </c>
      <c r="Y107" s="218" t="e">
        <f t="shared" si="23"/>
        <v>#REF!</v>
      </c>
      <c r="Z107" s="4">
        <v>102</v>
      </c>
      <c r="AB107">
        <f t="shared" si="17"/>
        <v>102</v>
      </c>
      <c r="AC107" s="218" t="e">
        <f t="shared" si="24"/>
        <v>#REF!</v>
      </c>
      <c r="AD107" s="218" t="e">
        <f t="shared" si="25"/>
        <v>#REF!</v>
      </c>
      <c r="AE107" s="4">
        <v>102</v>
      </c>
    </row>
    <row r="108" spans="13:31">
      <c r="M108">
        <f t="shared" si="14"/>
        <v>103</v>
      </c>
      <c r="N108" s="218">
        <f t="shared" si="18"/>
        <v>0</v>
      </c>
      <c r="O108" s="218">
        <f t="shared" si="19"/>
        <v>0</v>
      </c>
      <c r="P108" s="4">
        <v>103</v>
      </c>
      <c r="R108">
        <f t="shared" si="15"/>
        <v>103</v>
      </c>
      <c r="S108" s="218">
        <f t="shared" ca="1" si="20"/>
        <v>0</v>
      </c>
      <c r="T108" s="218">
        <f t="shared" ca="1" si="21"/>
        <v>0</v>
      </c>
      <c r="U108" s="4">
        <v>103</v>
      </c>
      <c r="W108">
        <f t="shared" si="16"/>
        <v>103</v>
      </c>
      <c r="X108" s="218" t="e">
        <f t="shared" si="22"/>
        <v>#REF!</v>
      </c>
      <c r="Y108" s="218" t="e">
        <f t="shared" si="23"/>
        <v>#REF!</v>
      </c>
      <c r="Z108" s="4">
        <v>103</v>
      </c>
      <c r="AB108">
        <f t="shared" si="17"/>
        <v>103</v>
      </c>
      <c r="AC108" s="218" t="e">
        <f t="shared" si="24"/>
        <v>#REF!</v>
      </c>
      <c r="AD108" s="218" t="e">
        <f t="shared" si="25"/>
        <v>#REF!</v>
      </c>
      <c r="AE108" s="4">
        <v>103</v>
      </c>
    </row>
    <row r="109" spans="13:31">
      <c r="M109">
        <f t="shared" si="14"/>
        <v>104</v>
      </c>
      <c r="N109" s="218">
        <f t="shared" si="18"/>
        <v>0</v>
      </c>
      <c r="O109" s="218">
        <f t="shared" si="19"/>
        <v>0</v>
      </c>
      <c r="P109" s="4">
        <v>104</v>
      </c>
      <c r="R109">
        <f t="shared" si="15"/>
        <v>104</v>
      </c>
      <c r="S109" s="218">
        <f t="shared" ca="1" si="20"/>
        <v>0</v>
      </c>
      <c r="T109" s="218">
        <f t="shared" ca="1" si="21"/>
        <v>0</v>
      </c>
      <c r="U109" s="4">
        <v>104</v>
      </c>
      <c r="W109">
        <f t="shared" si="16"/>
        <v>104</v>
      </c>
      <c r="X109" s="218" t="e">
        <f t="shared" si="22"/>
        <v>#REF!</v>
      </c>
      <c r="Y109" s="218" t="e">
        <f t="shared" si="23"/>
        <v>#REF!</v>
      </c>
      <c r="Z109" s="4">
        <v>104</v>
      </c>
      <c r="AB109">
        <f t="shared" si="17"/>
        <v>104</v>
      </c>
      <c r="AC109" s="218" t="e">
        <f t="shared" si="24"/>
        <v>#REF!</v>
      </c>
      <c r="AD109" s="218" t="e">
        <f t="shared" si="25"/>
        <v>#REF!</v>
      </c>
      <c r="AE109" s="4">
        <v>104</v>
      </c>
    </row>
    <row r="110" spans="13:31">
      <c r="M110">
        <f t="shared" si="14"/>
        <v>105</v>
      </c>
      <c r="N110" s="218">
        <f t="shared" si="18"/>
        <v>0</v>
      </c>
      <c r="O110" s="218">
        <f t="shared" si="19"/>
        <v>0</v>
      </c>
      <c r="P110" s="4">
        <v>105</v>
      </c>
      <c r="R110">
        <f t="shared" si="15"/>
        <v>105</v>
      </c>
      <c r="S110" s="218">
        <f t="shared" ca="1" si="20"/>
        <v>0</v>
      </c>
      <c r="T110" s="218">
        <f t="shared" ca="1" si="21"/>
        <v>0</v>
      </c>
      <c r="U110" s="4">
        <v>105</v>
      </c>
      <c r="W110">
        <f t="shared" si="16"/>
        <v>105</v>
      </c>
      <c r="X110" s="218" t="e">
        <f t="shared" si="22"/>
        <v>#REF!</v>
      </c>
      <c r="Y110" s="218" t="e">
        <f t="shared" si="23"/>
        <v>#REF!</v>
      </c>
      <c r="Z110" s="4">
        <v>105</v>
      </c>
      <c r="AB110">
        <f t="shared" si="17"/>
        <v>105</v>
      </c>
      <c r="AC110" s="218" t="e">
        <f t="shared" si="24"/>
        <v>#REF!</v>
      </c>
      <c r="AD110" s="218" t="e">
        <f t="shared" si="25"/>
        <v>#REF!</v>
      </c>
      <c r="AE110" s="4">
        <v>105</v>
      </c>
    </row>
    <row r="111" spans="13:31">
      <c r="M111">
        <f t="shared" si="14"/>
        <v>106</v>
      </c>
      <c r="N111" s="218">
        <f t="shared" si="18"/>
        <v>0</v>
      </c>
      <c r="O111" s="218">
        <f t="shared" si="19"/>
        <v>0</v>
      </c>
      <c r="P111" s="4">
        <v>106</v>
      </c>
      <c r="R111">
        <f t="shared" si="15"/>
        <v>106</v>
      </c>
      <c r="S111" s="218">
        <f t="shared" ca="1" si="20"/>
        <v>0</v>
      </c>
      <c r="T111" s="218">
        <f t="shared" ca="1" si="21"/>
        <v>0</v>
      </c>
      <c r="U111" s="4">
        <v>106</v>
      </c>
      <c r="W111">
        <f t="shared" si="16"/>
        <v>106</v>
      </c>
      <c r="X111" s="218" t="e">
        <f t="shared" si="22"/>
        <v>#REF!</v>
      </c>
      <c r="Y111" s="218" t="e">
        <f t="shared" si="23"/>
        <v>#REF!</v>
      </c>
      <c r="Z111" s="4">
        <v>106</v>
      </c>
      <c r="AB111">
        <f t="shared" si="17"/>
        <v>106</v>
      </c>
      <c r="AC111" s="218" t="e">
        <f t="shared" si="24"/>
        <v>#REF!</v>
      </c>
      <c r="AD111" s="218" t="e">
        <f t="shared" si="25"/>
        <v>#REF!</v>
      </c>
      <c r="AE111" s="4">
        <v>106</v>
      </c>
    </row>
    <row r="112" spans="13:31">
      <c r="M112">
        <f t="shared" si="14"/>
        <v>107</v>
      </c>
      <c r="N112" s="218">
        <f t="shared" si="18"/>
        <v>0</v>
      </c>
      <c r="O112" s="218">
        <f t="shared" si="19"/>
        <v>0</v>
      </c>
      <c r="P112" s="4">
        <v>107</v>
      </c>
      <c r="R112">
        <f t="shared" si="15"/>
        <v>107</v>
      </c>
      <c r="S112" s="218">
        <f t="shared" ca="1" si="20"/>
        <v>0</v>
      </c>
      <c r="T112" s="218">
        <f t="shared" ca="1" si="21"/>
        <v>0</v>
      </c>
      <c r="U112" s="4">
        <v>107</v>
      </c>
      <c r="W112">
        <f t="shared" si="16"/>
        <v>107</v>
      </c>
      <c r="X112" s="218" t="e">
        <f t="shared" si="22"/>
        <v>#REF!</v>
      </c>
      <c r="Y112" s="218" t="e">
        <f t="shared" si="23"/>
        <v>#REF!</v>
      </c>
      <c r="Z112" s="4">
        <v>107</v>
      </c>
      <c r="AB112">
        <f t="shared" si="17"/>
        <v>107</v>
      </c>
      <c r="AC112" s="218" t="e">
        <f t="shared" si="24"/>
        <v>#REF!</v>
      </c>
      <c r="AD112" s="218" t="e">
        <f t="shared" si="25"/>
        <v>#REF!</v>
      </c>
      <c r="AE112" s="4">
        <v>107</v>
      </c>
    </row>
    <row r="113" spans="13:31">
      <c r="M113">
        <f t="shared" si="14"/>
        <v>108</v>
      </c>
      <c r="N113" s="218">
        <f t="shared" si="18"/>
        <v>0</v>
      </c>
      <c r="O113" s="218">
        <f t="shared" si="19"/>
        <v>0</v>
      </c>
      <c r="P113" s="4">
        <v>108</v>
      </c>
      <c r="R113">
        <f t="shared" si="15"/>
        <v>108</v>
      </c>
      <c r="S113" s="218">
        <f t="shared" ca="1" si="20"/>
        <v>0</v>
      </c>
      <c r="T113" s="218">
        <f t="shared" ca="1" si="21"/>
        <v>0</v>
      </c>
      <c r="U113" s="4">
        <v>108</v>
      </c>
      <c r="W113">
        <f t="shared" si="16"/>
        <v>108</v>
      </c>
      <c r="X113" s="218" t="e">
        <f t="shared" si="22"/>
        <v>#REF!</v>
      </c>
      <c r="Y113" s="218" t="e">
        <f t="shared" si="23"/>
        <v>#REF!</v>
      </c>
      <c r="Z113" s="4">
        <v>108</v>
      </c>
      <c r="AB113">
        <f t="shared" si="17"/>
        <v>108</v>
      </c>
      <c r="AC113" s="218" t="e">
        <f t="shared" si="24"/>
        <v>#REF!</v>
      </c>
      <c r="AD113" s="218" t="e">
        <f t="shared" si="25"/>
        <v>#REF!</v>
      </c>
      <c r="AE113" s="4">
        <v>108</v>
      </c>
    </row>
    <row r="114" spans="13:31">
      <c r="M114">
        <f t="shared" si="14"/>
        <v>109</v>
      </c>
      <c r="N114" s="218">
        <f t="shared" si="18"/>
        <v>0</v>
      </c>
      <c r="O114" s="218">
        <f t="shared" si="19"/>
        <v>0</v>
      </c>
      <c r="P114" s="4">
        <v>109</v>
      </c>
      <c r="R114">
        <f t="shared" si="15"/>
        <v>109</v>
      </c>
      <c r="S114" s="218">
        <f t="shared" ca="1" si="20"/>
        <v>0</v>
      </c>
      <c r="T114" s="218">
        <f t="shared" ca="1" si="21"/>
        <v>0</v>
      </c>
      <c r="U114" s="4">
        <v>109</v>
      </c>
      <c r="W114">
        <f t="shared" si="16"/>
        <v>109</v>
      </c>
      <c r="X114" s="218" t="e">
        <f t="shared" si="22"/>
        <v>#REF!</v>
      </c>
      <c r="Y114" s="218" t="e">
        <f t="shared" si="23"/>
        <v>#REF!</v>
      </c>
      <c r="Z114" s="4">
        <v>109</v>
      </c>
      <c r="AB114">
        <f t="shared" si="17"/>
        <v>109</v>
      </c>
      <c r="AC114" s="218" t="e">
        <f t="shared" si="24"/>
        <v>#REF!</v>
      </c>
      <c r="AD114" s="218" t="e">
        <f t="shared" si="25"/>
        <v>#REF!</v>
      </c>
      <c r="AE114" s="4">
        <v>109</v>
      </c>
    </row>
    <row r="115" spans="13:31">
      <c r="M115">
        <f t="shared" si="14"/>
        <v>110</v>
      </c>
      <c r="N115" s="218">
        <f t="shared" si="18"/>
        <v>0</v>
      </c>
      <c r="O115" s="218">
        <f t="shared" si="19"/>
        <v>0</v>
      </c>
      <c r="P115" s="4">
        <v>110</v>
      </c>
      <c r="R115">
        <f t="shared" si="15"/>
        <v>110</v>
      </c>
      <c r="S115" s="218">
        <f t="shared" ca="1" si="20"/>
        <v>0</v>
      </c>
      <c r="T115" s="218">
        <f t="shared" ca="1" si="21"/>
        <v>0</v>
      </c>
      <c r="U115" s="4">
        <v>110</v>
      </c>
      <c r="W115">
        <f t="shared" si="16"/>
        <v>110</v>
      </c>
      <c r="X115" s="218" t="e">
        <f t="shared" si="22"/>
        <v>#REF!</v>
      </c>
      <c r="Y115" s="218" t="e">
        <f t="shared" si="23"/>
        <v>#REF!</v>
      </c>
      <c r="Z115" s="4">
        <v>110</v>
      </c>
      <c r="AB115">
        <f t="shared" si="17"/>
        <v>110</v>
      </c>
      <c r="AC115" s="218" t="e">
        <f t="shared" si="24"/>
        <v>#REF!</v>
      </c>
      <c r="AD115" s="218" t="e">
        <f t="shared" si="25"/>
        <v>#REF!</v>
      </c>
      <c r="AE115" s="4">
        <v>110</v>
      </c>
    </row>
    <row r="116" spans="13:31">
      <c r="M116">
        <f t="shared" si="14"/>
        <v>111</v>
      </c>
      <c r="N116" s="218">
        <f t="shared" si="18"/>
        <v>0</v>
      </c>
      <c r="O116" s="218">
        <f t="shared" si="19"/>
        <v>0</v>
      </c>
      <c r="P116" s="4">
        <v>111</v>
      </c>
      <c r="R116">
        <f t="shared" si="15"/>
        <v>111</v>
      </c>
      <c r="S116" s="218">
        <f t="shared" ca="1" si="20"/>
        <v>0</v>
      </c>
      <c r="T116" s="218">
        <f t="shared" ca="1" si="21"/>
        <v>0</v>
      </c>
      <c r="U116" s="4">
        <v>111</v>
      </c>
      <c r="W116">
        <f t="shared" si="16"/>
        <v>111</v>
      </c>
      <c r="X116" s="218" t="e">
        <f t="shared" si="22"/>
        <v>#REF!</v>
      </c>
      <c r="Y116" s="218" t="e">
        <f t="shared" si="23"/>
        <v>#REF!</v>
      </c>
      <c r="Z116" s="4">
        <v>111</v>
      </c>
      <c r="AB116">
        <f t="shared" si="17"/>
        <v>111</v>
      </c>
      <c r="AC116" s="218" t="e">
        <f t="shared" si="24"/>
        <v>#REF!</v>
      </c>
      <c r="AD116" s="218" t="e">
        <f t="shared" si="25"/>
        <v>#REF!</v>
      </c>
      <c r="AE116" s="4">
        <v>111</v>
      </c>
    </row>
    <row r="117" spans="13:31">
      <c r="M117">
        <f t="shared" si="14"/>
        <v>112</v>
      </c>
      <c r="N117" s="218">
        <f t="shared" si="18"/>
        <v>0</v>
      </c>
      <c r="O117" s="218">
        <f t="shared" si="19"/>
        <v>0</v>
      </c>
      <c r="P117" s="4">
        <v>112</v>
      </c>
      <c r="R117">
        <f t="shared" si="15"/>
        <v>112</v>
      </c>
      <c r="S117" s="218">
        <f t="shared" ca="1" si="20"/>
        <v>0</v>
      </c>
      <c r="T117" s="218">
        <f t="shared" ca="1" si="21"/>
        <v>0</v>
      </c>
      <c r="U117" s="4">
        <v>112</v>
      </c>
      <c r="W117">
        <f t="shared" si="16"/>
        <v>112</v>
      </c>
      <c r="X117" s="218" t="e">
        <f t="shared" si="22"/>
        <v>#REF!</v>
      </c>
      <c r="Y117" s="218" t="e">
        <f t="shared" si="23"/>
        <v>#REF!</v>
      </c>
      <c r="Z117" s="4">
        <v>112</v>
      </c>
      <c r="AB117">
        <f t="shared" si="17"/>
        <v>112</v>
      </c>
      <c r="AC117" s="218" t="e">
        <f t="shared" si="24"/>
        <v>#REF!</v>
      </c>
      <c r="AD117" s="218" t="e">
        <f t="shared" si="25"/>
        <v>#REF!</v>
      </c>
      <c r="AE117" s="4">
        <v>112</v>
      </c>
    </row>
    <row r="118" spans="13:31">
      <c r="M118">
        <f t="shared" si="14"/>
        <v>113</v>
      </c>
      <c r="N118" s="218">
        <f t="shared" si="18"/>
        <v>0</v>
      </c>
      <c r="O118" s="218">
        <f t="shared" si="19"/>
        <v>0</v>
      </c>
      <c r="P118" s="4">
        <v>113</v>
      </c>
      <c r="R118">
        <f t="shared" si="15"/>
        <v>113</v>
      </c>
      <c r="S118" s="218">
        <f t="shared" ca="1" si="20"/>
        <v>0</v>
      </c>
      <c r="T118" s="218">
        <f t="shared" ca="1" si="21"/>
        <v>0</v>
      </c>
      <c r="U118" s="4">
        <v>113</v>
      </c>
      <c r="W118">
        <f t="shared" si="16"/>
        <v>113</v>
      </c>
      <c r="X118" s="218" t="e">
        <f t="shared" si="22"/>
        <v>#REF!</v>
      </c>
      <c r="Y118" s="218" t="e">
        <f t="shared" si="23"/>
        <v>#REF!</v>
      </c>
      <c r="Z118" s="4">
        <v>113</v>
      </c>
      <c r="AB118">
        <f t="shared" si="17"/>
        <v>113</v>
      </c>
      <c r="AC118" s="218" t="e">
        <f t="shared" si="24"/>
        <v>#REF!</v>
      </c>
      <c r="AD118" s="218" t="e">
        <f t="shared" si="25"/>
        <v>#REF!</v>
      </c>
      <c r="AE118" s="4">
        <v>113</v>
      </c>
    </row>
    <row r="119" spans="13:31">
      <c r="M119">
        <f t="shared" si="14"/>
        <v>114</v>
      </c>
      <c r="N119" s="218">
        <f t="shared" si="18"/>
        <v>0</v>
      </c>
      <c r="O119" s="218">
        <f t="shared" si="19"/>
        <v>0</v>
      </c>
      <c r="P119" s="4">
        <v>114</v>
      </c>
      <c r="R119">
        <f t="shared" si="15"/>
        <v>114</v>
      </c>
      <c r="S119" s="218">
        <f t="shared" ca="1" si="20"/>
        <v>0</v>
      </c>
      <c r="T119" s="218">
        <f t="shared" ca="1" si="21"/>
        <v>0</v>
      </c>
      <c r="U119" s="4">
        <v>114</v>
      </c>
      <c r="W119">
        <f t="shared" si="16"/>
        <v>114</v>
      </c>
      <c r="X119" s="218" t="e">
        <f t="shared" si="22"/>
        <v>#REF!</v>
      </c>
      <c r="Y119" s="218" t="e">
        <f t="shared" si="23"/>
        <v>#REF!</v>
      </c>
      <c r="Z119" s="4">
        <v>114</v>
      </c>
      <c r="AB119">
        <f t="shared" si="17"/>
        <v>114</v>
      </c>
      <c r="AC119" s="218" t="e">
        <f t="shared" si="24"/>
        <v>#REF!</v>
      </c>
      <c r="AD119" s="218" t="e">
        <f t="shared" si="25"/>
        <v>#REF!</v>
      </c>
      <c r="AE119" s="4">
        <v>114</v>
      </c>
    </row>
    <row r="120" spans="13:31">
      <c r="M120">
        <f t="shared" si="14"/>
        <v>115</v>
      </c>
      <c r="N120" s="218">
        <f t="shared" si="18"/>
        <v>0</v>
      </c>
      <c r="O120" s="218">
        <f t="shared" si="19"/>
        <v>0</v>
      </c>
      <c r="P120" s="4">
        <v>115</v>
      </c>
      <c r="R120">
        <f t="shared" si="15"/>
        <v>115</v>
      </c>
      <c r="S120" s="218">
        <f t="shared" ca="1" si="20"/>
        <v>0</v>
      </c>
      <c r="T120" s="218">
        <f t="shared" ca="1" si="21"/>
        <v>0</v>
      </c>
      <c r="U120" s="4">
        <v>115</v>
      </c>
      <c r="W120">
        <f t="shared" si="16"/>
        <v>115</v>
      </c>
      <c r="X120" s="218" t="e">
        <f t="shared" si="22"/>
        <v>#REF!</v>
      </c>
      <c r="Y120" s="218" t="e">
        <f t="shared" si="23"/>
        <v>#REF!</v>
      </c>
      <c r="Z120" s="4">
        <v>115</v>
      </c>
      <c r="AB120">
        <f t="shared" si="17"/>
        <v>115</v>
      </c>
      <c r="AC120" s="218" t="e">
        <f t="shared" si="24"/>
        <v>#REF!</v>
      </c>
      <c r="AD120" s="218" t="e">
        <f t="shared" si="25"/>
        <v>#REF!</v>
      </c>
      <c r="AE120" s="4">
        <v>115</v>
      </c>
    </row>
    <row r="121" spans="13:31">
      <c r="M121">
        <f t="shared" si="14"/>
        <v>116</v>
      </c>
      <c r="N121" s="218">
        <f t="shared" si="18"/>
        <v>0</v>
      </c>
      <c r="O121" s="218">
        <f t="shared" si="19"/>
        <v>0</v>
      </c>
      <c r="P121" s="4">
        <v>116</v>
      </c>
      <c r="R121">
        <f t="shared" si="15"/>
        <v>116</v>
      </c>
      <c r="S121" s="218">
        <f t="shared" ca="1" si="20"/>
        <v>0</v>
      </c>
      <c r="T121" s="218">
        <f t="shared" ca="1" si="21"/>
        <v>0</v>
      </c>
      <c r="U121" s="4">
        <v>116</v>
      </c>
      <c r="W121">
        <f t="shared" si="16"/>
        <v>116</v>
      </c>
      <c r="X121" s="218" t="e">
        <f t="shared" si="22"/>
        <v>#REF!</v>
      </c>
      <c r="Y121" s="218" t="e">
        <f t="shared" si="23"/>
        <v>#REF!</v>
      </c>
      <c r="Z121" s="4">
        <v>116</v>
      </c>
      <c r="AB121">
        <f t="shared" si="17"/>
        <v>116</v>
      </c>
      <c r="AC121" s="218" t="e">
        <f t="shared" si="24"/>
        <v>#REF!</v>
      </c>
      <c r="AD121" s="218" t="e">
        <f t="shared" si="25"/>
        <v>#REF!</v>
      </c>
      <c r="AE121" s="4">
        <v>116</v>
      </c>
    </row>
    <row r="122" spans="13:31">
      <c r="M122">
        <f t="shared" si="14"/>
        <v>117</v>
      </c>
      <c r="N122" s="218">
        <f t="shared" si="18"/>
        <v>0</v>
      </c>
      <c r="O122" s="218">
        <f t="shared" si="19"/>
        <v>0</v>
      </c>
      <c r="P122" s="4">
        <v>117</v>
      </c>
      <c r="R122">
        <f t="shared" si="15"/>
        <v>117</v>
      </c>
      <c r="S122" s="218">
        <f t="shared" ca="1" si="20"/>
        <v>0</v>
      </c>
      <c r="T122" s="218">
        <f t="shared" ca="1" si="21"/>
        <v>0</v>
      </c>
      <c r="U122" s="4">
        <v>117</v>
      </c>
      <c r="W122">
        <f t="shared" si="16"/>
        <v>117</v>
      </c>
      <c r="X122" s="218" t="e">
        <f t="shared" si="22"/>
        <v>#REF!</v>
      </c>
      <c r="Y122" s="218" t="e">
        <f t="shared" si="23"/>
        <v>#REF!</v>
      </c>
      <c r="Z122" s="4">
        <v>117</v>
      </c>
      <c r="AB122">
        <f t="shared" si="17"/>
        <v>117</v>
      </c>
      <c r="AC122" s="218" t="e">
        <f t="shared" si="24"/>
        <v>#REF!</v>
      </c>
      <c r="AD122" s="218" t="e">
        <f t="shared" si="25"/>
        <v>#REF!</v>
      </c>
      <c r="AE122" s="4">
        <v>117</v>
      </c>
    </row>
    <row r="123" spans="13:31">
      <c r="M123">
        <f t="shared" si="14"/>
        <v>118</v>
      </c>
      <c r="N123" s="218">
        <f t="shared" si="18"/>
        <v>0</v>
      </c>
      <c r="O123" s="218">
        <f t="shared" si="19"/>
        <v>0</v>
      </c>
      <c r="P123" s="4">
        <v>118</v>
      </c>
      <c r="R123">
        <f t="shared" si="15"/>
        <v>118</v>
      </c>
      <c r="S123" s="218">
        <f t="shared" ca="1" si="20"/>
        <v>0</v>
      </c>
      <c r="T123" s="218">
        <f t="shared" ca="1" si="21"/>
        <v>0</v>
      </c>
      <c r="U123" s="4">
        <v>118</v>
      </c>
      <c r="W123">
        <f t="shared" si="16"/>
        <v>118</v>
      </c>
      <c r="X123" s="218" t="e">
        <f t="shared" si="22"/>
        <v>#REF!</v>
      </c>
      <c r="Y123" s="218" t="e">
        <f t="shared" si="23"/>
        <v>#REF!</v>
      </c>
      <c r="Z123" s="4">
        <v>118</v>
      </c>
      <c r="AB123">
        <f t="shared" si="17"/>
        <v>118</v>
      </c>
      <c r="AC123" s="218" t="e">
        <f t="shared" si="24"/>
        <v>#REF!</v>
      </c>
      <c r="AD123" s="218" t="e">
        <f t="shared" si="25"/>
        <v>#REF!</v>
      </c>
      <c r="AE123" s="4">
        <v>118</v>
      </c>
    </row>
    <row r="124" spans="13:31">
      <c r="M124">
        <f t="shared" si="14"/>
        <v>119</v>
      </c>
      <c r="N124" s="218">
        <f t="shared" si="18"/>
        <v>0</v>
      </c>
      <c r="O124" s="218">
        <f t="shared" si="19"/>
        <v>0</v>
      </c>
      <c r="P124" s="4">
        <v>119</v>
      </c>
      <c r="R124">
        <f t="shared" si="15"/>
        <v>119</v>
      </c>
      <c r="S124" s="218">
        <f t="shared" ca="1" si="20"/>
        <v>0</v>
      </c>
      <c r="T124" s="218">
        <f t="shared" ca="1" si="21"/>
        <v>0</v>
      </c>
      <c r="U124" s="4">
        <v>119</v>
      </c>
      <c r="W124">
        <f t="shared" si="16"/>
        <v>119</v>
      </c>
      <c r="X124" s="218" t="e">
        <f t="shared" si="22"/>
        <v>#REF!</v>
      </c>
      <c r="Y124" s="218" t="e">
        <f t="shared" si="23"/>
        <v>#REF!</v>
      </c>
      <c r="Z124" s="4">
        <v>119</v>
      </c>
      <c r="AB124">
        <f t="shared" si="17"/>
        <v>119</v>
      </c>
      <c r="AC124" s="218" t="e">
        <f t="shared" si="24"/>
        <v>#REF!</v>
      </c>
      <c r="AD124" s="218" t="e">
        <f t="shared" si="25"/>
        <v>#REF!</v>
      </c>
      <c r="AE124" s="4">
        <v>119</v>
      </c>
    </row>
    <row r="125" spans="13:31">
      <c r="M125">
        <f t="shared" si="14"/>
        <v>120</v>
      </c>
      <c r="N125" s="218">
        <f t="shared" si="18"/>
        <v>0</v>
      </c>
      <c r="O125" s="218">
        <f t="shared" si="19"/>
        <v>0</v>
      </c>
      <c r="P125" s="4">
        <v>120</v>
      </c>
      <c r="R125">
        <f t="shared" si="15"/>
        <v>120</v>
      </c>
      <c r="S125" s="218">
        <f t="shared" ca="1" si="20"/>
        <v>0</v>
      </c>
      <c r="T125" s="218">
        <f t="shared" ca="1" si="21"/>
        <v>0</v>
      </c>
      <c r="U125" s="4">
        <v>120</v>
      </c>
      <c r="W125">
        <f t="shared" si="16"/>
        <v>120</v>
      </c>
      <c r="X125" s="218" t="e">
        <f t="shared" si="22"/>
        <v>#REF!</v>
      </c>
      <c r="Y125" s="218" t="e">
        <f t="shared" si="23"/>
        <v>#REF!</v>
      </c>
      <c r="Z125" s="4">
        <v>120</v>
      </c>
      <c r="AB125">
        <f t="shared" si="17"/>
        <v>120</v>
      </c>
      <c r="AC125" s="218" t="e">
        <f t="shared" si="24"/>
        <v>#REF!</v>
      </c>
      <c r="AD125" s="218" t="e">
        <f t="shared" si="25"/>
        <v>#REF!</v>
      </c>
      <c r="AE125" s="4">
        <v>120</v>
      </c>
    </row>
    <row r="126" spans="13:31">
      <c r="M126">
        <f t="shared" si="14"/>
        <v>121</v>
      </c>
      <c r="N126" s="218">
        <f t="shared" si="18"/>
        <v>0</v>
      </c>
      <c r="O126" s="218">
        <f t="shared" si="19"/>
        <v>0</v>
      </c>
      <c r="P126" s="4">
        <v>121</v>
      </c>
      <c r="R126">
        <f t="shared" si="15"/>
        <v>121</v>
      </c>
      <c r="S126" s="218">
        <f t="shared" ca="1" si="20"/>
        <v>0</v>
      </c>
      <c r="T126" s="218">
        <f t="shared" ca="1" si="21"/>
        <v>0</v>
      </c>
      <c r="U126" s="4">
        <v>121</v>
      </c>
      <c r="W126">
        <f t="shared" si="16"/>
        <v>121</v>
      </c>
      <c r="X126" s="218" t="e">
        <f t="shared" si="22"/>
        <v>#REF!</v>
      </c>
      <c r="Y126" s="218" t="e">
        <f t="shared" si="23"/>
        <v>#REF!</v>
      </c>
      <c r="Z126" s="4">
        <v>121</v>
      </c>
      <c r="AB126">
        <f t="shared" si="17"/>
        <v>121</v>
      </c>
      <c r="AC126" s="218" t="e">
        <f t="shared" si="24"/>
        <v>#REF!</v>
      </c>
      <c r="AD126" s="218" t="e">
        <f t="shared" si="25"/>
        <v>#REF!</v>
      </c>
      <c r="AE126" s="4">
        <v>121</v>
      </c>
    </row>
    <row r="127" spans="13:31">
      <c r="M127">
        <f t="shared" si="14"/>
        <v>122</v>
      </c>
      <c r="N127" s="218">
        <f t="shared" si="18"/>
        <v>0</v>
      </c>
      <c r="O127" s="218">
        <f t="shared" si="19"/>
        <v>0</v>
      </c>
      <c r="P127" s="4">
        <v>122</v>
      </c>
      <c r="R127">
        <f t="shared" si="15"/>
        <v>122</v>
      </c>
      <c r="S127" s="218">
        <f t="shared" ca="1" si="20"/>
        <v>0</v>
      </c>
      <c r="T127" s="218">
        <f t="shared" ca="1" si="21"/>
        <v>0</v>
      </c>
      <c r="U127" s="4">
        <v>122</v>
      </c>
      <c r="W127">
        <f t="shared" si="16"/>
        <v>122</v>
      </c>
      <c r="X127" s="218" t="e">
        <f t="shared" si="22"/>
        <v>#REF!</v>
      </c>
      <c r="Y127" s="218" t="e">
        <f t="shared" si="23"/>
        <v>#REF!</v>
      </c>
      <c r="Z127" s="4">
        <v>122</v>
      </c>
      <c r="AB127">
        <f t="shared" si="17"/>
        <v>122</v>
      </c>
      <c r="AC127" s="218" t="e">
        <f t="shared" si="24"/>
        <v>#REF!</v>
      </c>
      <c r="AD127" s="218" t="e">
        <f t="shared" si="25"/>
        <v>#REF!</v>
      </c>
      <c r="AE127" s="4">
        <v>122</v>
      </c>
    </row>
    <row r="128" spans="13:31">
      <c r="M128">
        <f t="shared" si="14"/>
        <v>123</v>
      </c>
      <c r="N128" s="218">
        <f t="shared" si="18"/>
        <v>0</v>
      </c>
      <c r="O128" s="218">
        <f t="shared" si="19"/>
        <v>0</v>
      </c>
      <c r="P128" s="4">
        <v>123</v>
      </c>
      <c r="R128">
        <f t="shared" si="15"/>
        <v>123</v>
      </c>
      <c r="S128" s="218">
        <f t="shared" ca="1" si="20"/>
        <v>0</v>
      </c>
      <c r="T128" s="218">
        <f t="shared" ca="1" si="21"/>
        <v>0</v>
      </c>
      <c r="U128" s="4">
        <v>123</v>
      </c>
      <c r="W128">
        <f t="shared" si="16"/>
        <v>123</v>
      </c>
      <c r="X128" s="218" t="e">
        <f t="shared" si="22"/>
        <v>#REF!</v>
      </c>
      <c r="Y128" s="218" t="e">
        <f t="shared" si="23"/>
        <v>#REF!</v>
      </c>
      <c r="Z128" s="4">
        <v>123</v>
      </c>
      <c r="AB128">
        <f t="shared" si="17"/>
        <v>123</v>
      </c>
      <c r="AC128" s="218" t="e">
        <f t="shared" si="24"/>
        <v>#REF!</v>
      </c>
      <c r="AD128" s="218" t="e">
        <f t="shared" si="25"/>
        <v>#REF!</v>
      </c>
      <c r="AE128" s="4">
        <v>123</v>
      </c>
    </row>
    <row r="129" spans="13:31">
      <c r="M129">
        <f t="shared" si="14"/>
        <v>124</v>
      </c>
      <c r="N129" s="218">
        <f t="shared" si="18"/>
        <v>0</v>
      </c>
      <c r="O129" s="218">
        <f t="shared" si="19"/>
        <v>0</v>
      </c>
      <c r="P129" s="4">
        <v>124</v>
      </c>
      <c r="R129">
        <f t="shared" si="15"/>
        <v>124</v>
      </c>
      <c r="S129" s="218">
        <f t="shared" ca="1" si="20"/>
        <v>0</v>
      </c>
      <c r="T129" s="218">
        <f t="shared" ca="1" si="21"/>
        <v>0</v>
      </c>
      <c r="U129" s="4">
        <v>124</v>
      </c>
      <c r="W129">
        <f t="shared" si="16"/>
        <v>124</v>
      </c>
      <c r="X129" s="218" t="e">
        <f t="shared" si="22"/>
        <v>#REF!</v>
      </c>
      <c r="Y129" s="218" t="e">
        <f t="shared" si="23"/>
        <v>#REF!</v>
      </c>
      <c r="Z129" s="4">
        <v>124</v>
      </c>
      <c r="AB129">
        <f t="shared" si="17"/>
        <v>124</v>
      </c>
      <c r="AC129" s="218" t="e">
        <f t="shared" si="24"/>
        <v>#REF!</v>
      </c>
      <c r="AD129" s="218" t="e">
        <f t="shared" si="25"/>
        <v>#REF!</v>
      </c>
      <c r="AE129" s="4">
        <v>124</v>
      </c>
    </row>
    <row r="130" spans="13:31">
      <c r="M130">
        <f t="shared" si="14"/>
        <v>125</v>
      </c>
      <c r="N130" s="218">
        <f t="shared" si="18"/>
        <v>0</v>
      </c>
      <c r="O130" s="218">
        <f t="shared" si="19"/>
        <v>0</v>
      </c>
      <c r="P130" s="4">
        <v>125</v>
      </c>
      <c r="R130">
        <f t="shared" si="15"/>
        <v>125</v>
      </c>
      <c r="S130" s="218">
        <f t="shared" ca="1" si="20"/>
        <v>0</v>
      </c>
      <c r="T130" s="218">
        <f t="shared" ca="1" si="21"/>
        <v>0</v>
      </c>
      <c r="U130" s="4">
        <v>125</v>
      </c>
      <c r="W130">
        <f t="shared" si="16"/>
        <v>125</v>
      </c>
      <c r="X130" s="218" t="e">
        <f t="shared" si="22"/>
        <v>#REF!</v>
      </c>
      <c r="Y130" s="218" t="e">
        <f t="shared" si="23"/>
        <v>#REF!</v>
      </c>
      <c r="Z130" s="4">
        <v>125</v>
      </c>
      <c r="AB130">
        <f t="shared" si="17"/>
        <v>125</v>
      </c>
      <c r="AC130" s="218" t="e">
        <f t="shared" si="24"/>
        <v>#REF!</v>
      </c>
      <c r="AD130" s="218" t="e">
        <f t="shared" si="25"/>
        <v>#REF!</v>
      </c>
      <c r="AE130" s="4">
        <v>125</v>
      </c>
    </row>
    <row r="131" spans="13:31">
      <c r="M131">
        <f t="shared" si="14"/>
        <v>126</v>
      </c>
      <c r="N131" s="218">
        <f t="shared" si="18"/>
        <v>0</v>
      </c>
      <c r="O131" s="218">
        <f t="shared" si="19"/>
        <v>0</v>
      </c>
      <c r="P131" s="4">
        <v>126</v>
      </c>
      <c r="R131">
        <f t="shared" si="15"/>
        <v>126</v>
      </c>
      <c r="S131" s="218">
        <f t="shared" ca="1" si="20"/>
        <v>0</v>
      </c>
      <c r="T131" s="218">
        <f t="shared" ca="1" si="21"/>
        <v>0</v>
      </c>
      <c r="U131" s="4">
        <v>126</v>
      </c>
      <c r="W131">
        <f t="shared" si="16"/>
        <v>126</v>
      </c>
      <c r="X131" s="218" t="e">
        <f t="shared" si="22"/>
        <v>#REF!</v>
      </c>
      <c r="Y131" s="218" t="e">
        <f t="shared" si="23"/>
        <v>#REF!</v>
      </c>
      <c r="Z131" s="4">
        <v>126</v>
      </c>
      <c r="AB131">
        <f t="shared" si="17"/>
        <v>126</v>
      </c>
      <c r="AC131" s="218" t="e">
        <f t="shared" si="24"/>
        <v>#REF!</v>
      </c>
      <c r="AD131" s="218" t="e">
        <f t="shared" si="25"/>
        <v>#REF!</v>
      </c>
      <c r="AE131" s="4">
        <v>126</v>
      </c>
    </row>
    <row r="132" spans="13:31">
      <c r="M132">
        <f t="shared" si="14"/>
        <v>127</v>
      </c>
      <c r="N132" s="218">
        <f t="shared" si="18"/>
        <v>0</v>
      </c>
      <c r="O132" s="218">
        <f t="shared" si="19"/>
        <v>0</v>
      </c>
      <c r="P132" s="4">
        <v>127</v>
      </c>
      <c r="R132">
        <f t="shared" si="15"/>
        <v>127</v>
      </c>
      <c r="S132" s="218">
        <f t="shared" ca="1" si="20"/>
        <v>0</v>
      </c>
      <c r="T132" s="218">
        <f t="shared" ca="1" si="21"/>
        <v>0</v>
      </c>
      <c r="U132" s="4">
        <v>127</v>
      </c>
      <c r="W132">
        <f t="shared" si="16"/>
        <v>127</v>
      </c>
      <c r="X132" s="218" t="e">
        <f t="shared" si="22"/>
        <v>#REF!</v>
      </c>
      <c r="Y132" s="218" t="e">
        <f t="shared" si="23"/>
        <v>#REF!</v>
      </c>
      <c r="Z132" s="4">
        <v>127</v>
      </c>
      <c r="AB132">
        <f t="shared" si="17"/>
        <v>127</v>
      </c>
      <c r="AC132" s="218" t="e">
        <f t="shared" si="24"/>
        <v>#REF!</v>
      </c>
      <c r="AD132" s="218" t="e">
        <f t="shared" si="25"/>
        <v>#REF!</v>
      </c>
      <c r="AE132" s="4">
        <v>127</v>
      </c>
    </row>
    <row r="133" spans="13:31">
      <c r="M133">
        <f t="shared" si="14"/>
        <v>128</v>
      </c>
      <c r="N133" s="218">
        <f t="shared" si="18"/>
        <v>0</v>
      </c>
      <c r="O133" s="218">
        <f t="shared" si="19"/>
        <v>0</v>
      </c>
      <c r="P133" s="4">
        <v>128</v>
      </c>
      <c r="R133">
        <f t="shared" si="15"/>
        <v>128</v>
      </c>
      <c r="S133" s="218">
        <f t="shared" ca="1" si="20"/>
        <v>0</v>
      </c>
      <c r="T133" s="218">
        <f t="shared" ca="1" si="21"/>
        <v>0</v>
      </c>
      <c r="U133" s="4">
        <v>128</v>
      </c>
      <c r="W133">
        <f t="shared" si="16"/>
        <v>128</v>
      </c>
      <c r="X133" s="218" t="e">
        <f t="shared" si="22"/>
        <v>#REF!</v>
      </c>
      <c r="Y133" s="218" t="e">
        <f t="shared" si="23"/>
        <v>#REF!</v>
      </c>
      <c r="Z133" s="4">
        <v>128</v>
      </c>
      <c r="AB133">
        <f t="shared" si="17"/>
        <v>128</v>
      </c>
      <c r="AC133" s="218" t="e">
        <f t="shared" si="24"/>
        <v>#REF!</v>
      </c>
      <c r="AD133" s="218" t="e">
        <f t="shared" si="25"/>
        <v>#REF!</v>
      </c>
      <c r="AE133" s="4">
        <v>128</v>
      </c>
    </row>
    <row r="134" spans="13:31">
      <c r="M134">
        <f t="shared" si="14"/>
        <v>129</v>
      </c>
      <c r="N134" s="218">
        <f t="shared" si="18"/>
        <v>0</v>
      </c>
      <c r="O134" s="218">
        <f t="shared" si="19"/>
        <v>0</v>
      </c>
      <c r="P134" s="4">
        <v>129</v>
      </c>
      <c r="R134">
        <f t="shared" si="15"/>
        <v>129</v>
      </c>
      <c r="S134" s="218">
        <f t="shared" ca="1" si="20"/>
        <v>0</v>
      </c>
      <c r="T134" s="218">
        <f t="shared" ca="1" si="21"/>
        <v>0</v>
      </c>
      <c r="U134" s="4">
        <v>129</v>
      </c>
      <c r="W134">
        <f t="shared" si="16"/>
        <v>129</v>
      </c>
      <c r="X134" s="218" t="e">
        <f t="shared" si="22"/>
        <v>#REF!</v>
      </c>
      <c r="Y134" s="218" t="e">
        <f t="shared" si="23"/>
        <v>#REF!</v>
      </c>
      <c r="Z134" s="4">
        <v>129</v>
      </c>
      <c r="AB134">
        <f t="shared" si="17"/>
        <v>129</v>
      </c>
      <c r="AC134" s="218" t="e">
        <f t="shared" si="24"/>
        <v>#REF!</v>
      </c>
      <c r="AD134" s="218" t="e">
        <f t="shared" si="25"/>
        <v>#REF!</v>
      </c>
      <c r="AE134" s="4">
        <v>129</v>
      </c>
    </row>
    <row r="135" spans="13:31">
      <c r="M135">
        <f t="shared" ref="M135:M198" si="26">P135</f>
        <v>130</v>
      </c>
      <c r="N135" s="218">
        <f t="shared" si="18"/>
        <v>0</v>
      </c>
      <c r="O135" s="218">
        <f t="shared" si="19"/>
        <v>0</v>
      </c>
      <c r="P135" s="4">
        <v>130</v>
      </c>
      <c r="R135">
        <f t="shared" ref="R135:R198" si="27">U135</f>
        <v>130</v>
      </c>
      <c r="S135" s="218">
        <f t="shared" ca="1" si="20"/>
        <v>0</v>
      </c>
      <c r="T135" s="218">
        <f t="shared" ca="1" si="21"/>
        <v>0</v>
      </c>
      <c r="U135" s="4">
        <v>130</v>
      </c>
      <c r="W135">
        <f t="shared" ref="W135:W198" si="28">Z135</f>
        <v>130</v>
      </c>
      <c r="X135" s="218" t="e">
        <f t="shared" si="22"/>
        <v>#REF!</v>
      </c>
      <c r="Y135" s="218" t="e">
        <f t="shared" si="23"/>
        <v>#REF!</v>
      </c>
      <c r="Z135" s="4">
        <v>130</v>
      </c>
      <c r="AB135">
        <f t="shared" ref="AB135:AB198" si="29">AE135</f>
        <v>130</v>
      </c>
      <c r="AC135" s="218" t="e">
        <f t="shared" si="24"/>
        <v>#REF!</v>
      </c>
      <c r="AD135" s="218" t="e">
        <f t="shared" si="25"/>
        <v>#REF!</v>
      </c>
      <c r="AE135" s="4">
        <v>130</v>
      </c>
    </row>
    <row r="136" spans="13:31">
      <c r="M136">
        <f t="shared" si="26"/>
        <v>131</v>
      </c>
      <c r="N136" s="218">
        <f t="shared" ref="N136:N199" si="30">+IF(O136&lt;N135,O136,N135)</f>
        <v>0</v>
      </c>
      <c r="O136" s="218">
        <f t="shared" ref="O136:O199" si="31">+(O135-N135)*(1+$E$13)</f>
        <v>0</v>
      </c>
      <c r="P136" s="4">
        <v>131</v>
      </c>
      <c r="R136">
        <f t="shared" si="27"/>
        <v>131</v>
      </c>
      <c r="S136" s="218">
        <f t="shared" ref="S136:S199" ca="1" si="32">+IF(T136&lt;S135,T136,S135)</f>
        <v>0</v>
      </c>
      <c r="T136" s="218">
        <f t="shared" ref="T136:T199" ca="1" si="33">+(T135-S135)*(1+$E$14)</f>
        <v>0</v>
      </c>
      <c r="U136" s="4">
        <v>131</v>
      </c>
      <c r="W136">
        <f t="shared" si="28"/>
        <v>131</v>
      </c>
      <c r="X136" s="218" t="e">
        <f t="shared" ref="X136:X199" si="34">+IF(Y136&lt;X135,Y136,X135)</f>
        <v>#REF!</v>
      </c>
      <c r="Y136" s="218" t="e">
        <f t="shared" ref="Y136:Y199" si="35">+(Y135-X135)*(1+$E$15)</f>
        <v>#REF!</v>
      </c>
      <c r="Z136" s="4">
        <v>131</v>
      </c>
      <c r="AB136">
        <f t="shared" si="29"/>
        <v>131</v>
      </c>
      <c r="AC136" s="218" t="e">
        <f t="shared" ref="AC136:AC199" si="36">+IF(AD136&lt;AC135,AD136,AC135)</f>
        <v>#REF!</v>
      </c>
      <c r="AD136" s="218" t="e">
        <f t="shared" ref="AD136:AD199" si="37">+(AD135-AC135)*(1+$E$16)</f>
        <v>#REF!</v>
      </c>
      <c r="AE136" s="4">
        <v>131</v>
      </c>
    </row>
    <row r="137" spans="13:31">
      <c r="M137">
        <f t="shared" si="26"/>
        <v>132</v>
      </c>
      <c r="N137" s="218">
        <f t="shared" si="30"/>
        <v>0</v>
      </c>
      <c r="O137" s="218">
        <f t="shared" si="31"/>
        <v>0</v>
      </c>
      <c r="P137" s="4">
        <v>132</v>
      </c>
      <c r="R137">
        <f t="shared" si="27"/>
        <v>132</v>
      </c>
      <c r="S137" s="218">
        <f t="shared" ca="1" si="32"/>
        <v>0</v>
      </c>
      <c r="T137" s="218">
        <f t="shared" ca="1" si="33"/>
        <v>0</v>
      </c>
      <c r="U137" s="4">
        <v>132</v>
      </c>
      <c r="W137">
        <f t="shared" si="28"/>
        <v>132</v>
      </c>
      <c r="X137" s="218" t="e">
        <f t="shared" si="34"/>
        <v>#REF!</v>
      </c>
      <c r="Y137" s="218" t="e">
        <f t="shared" si="35"/>
        <v>#REF!</v>
      </c>
      <c r="Z137" s="4">
        <v>132</v>
      </c>
      <c r="AB137">
        <f t="shared" si="29"/>
        <v>132</v>
      </c>
      <c r="AC137" s="218" t="e">
        <f t="shared" si="36"/>
        <v>#REF!</v>
      </c>
      <c r="AD137" s="218" t="e">
        <f t="shared" si="37"/>
        <v>#REF!</v>
      </c>
      <c r="AE137" s="4">
        <v>132</v>
      </c>
    </row>
    <row r="138" spans="13:31">
      <c r="M138">
        <f t="shared" si="26"/>
        <v>133</v>
      </c>
      <c r="N138" s="218">
        <f t="shared" si="30"/>
        <v>0</v>
      </c>
      <c r="O138" s="218">
        <f t="shared" si="31"/>
        <v>0</v>
      </c>
      <c r="P138" s="4">
        <v>133</v>
      </c>
      <c r="R138">
        <f t="shared" si="27"/>
        <v>133</v>
      </c>
      <c r="S138" s="218">
        <f t="shared" ca="1" si="32"/>
        <v>0</v>
      </c>
      <c r="T138" s="218">
        <f t="shared" ca="1" si="33"/>
        <v>0</v>
      </c>
      <c r="U138" s="4">
        <v>133</v>
      </c>
      <c r="W138">
        <f t="shared" si="28"/>
        <v>133</v>
      </c>
      <c r="X138" s="218" t="e">
        <f t="shared" si="34"/>
        <v>#REF!</v>
      </c>
      <c r="Y138" s="218" t="e">
        <f t="shared" si="35"/>
        <v>#REF!</v>
      </c>
      <c r="Z138" s="4">
        <v>133</v>
      </c>
      <c r="AB138">
        <f t="shared" si="29"/>
        <v>133</v>
      </c>
      <c r="AC138" s="218" t="e">
        <f t="shared" si="36"/>
        <v>#REF!</v>
      </c>
      <c r="AD138" s="218" t="e">
        <f t="shared" si="37"/>
        <v>#REF!</v>
      </c>
      <c r="AE138" s="4">
        <v>133</v>
      </c>
    </row>
    <row r="139" spans="13:31">
      <c r="M139">
        <f t="shared" si="26"/>
        <v>134</v>
      </c>
      <c r="N139" s="218">
        <f t="shared" si="30"/>
        <v>0</v>
      </c>
      <c r="O139" s="218">
        <f t="shared" si="31"/>
        <v>0</v>
      </c>
      <c r="P139" s="4">
        <v>134</v>
      </c>
      <c r="R139">
        <f t="shared" si="27"/>
        <v>134</v>
      </c>
      <c r="S139" s="218">
        <f t="shared" ca="1" si="32"/>
        <v>0</v>
      </c>
      <c r="T139" s="218">
        <f t="shared" ca="1" si="33"/>
        <v>0</v>
      </c>
      <c r="U139" s="4">
        <v>134</v>
      </c>
      <c r="W139">
        <f t="shared" si="28"/>
        <v>134</v>
      </c>
      <c r="X139" s="218" t="e">
        <f t="shared" si="34"/>
        <v>#REF!</v>
      </c>
      <c r="Y139" s="218" t="e">
        <f t="shared" si="35"/>
        <v>#REF!</v>
      </c>
      <c r="Z139" s="4">
        <v>134</v>
      </c>
      <c r="AB139">
        <f t="shared" si="29"/>
        <v>134</v>
      </c>
      <c r="AC139" s="218" t="e">
        <f t="shared" si="36"/>
        <v>#REF!</v>
      </c>
      <c r="AD139" s="218" t="e">
        <f t="shared" si="37"/>
        <v>#REF!</v>
      </c>
      <c r="AE139" s="4">
        <v>134</v>
      </c>
    </row>
    <row r="140" spans="13:31">
      <c r="M140">
        <f t="shared" si="26"/>
        <v>135</v>
      </c>
      <c r="N140" s="218">
        <f t="shared" si="30"/>
        <v>0</v>
      </c>
      <c r="O140" s="218">
        <f t="shared" si="31"/>
        <v>0</v>
      </c>
      <c r="P140" s="4">
        <v>135</v>
      </c>
      <c r="R140">
        <f t="shared" si="27"/>
        <v>135</v>
      </c>
      <c r="S140" s="218">
        <f t="shared" ca="1" si="32"/>
        <v>0</v>
      </c>
      <c r="T140" s="218">
        <f t="shared" ca="1" si="33"/>
        <v>0</v>
      </c>
      <c r="U140" s="4">
        <v>135</v>
      </c>
      <c r="W140">
        <f t="shared" si="28"/>
        <v>135</v>
      </c>
      <c r="X140" s="218" t="e">
        <f t="shared" si="34"/>
        <v>#REF!</v>
      </c>
      <c r="Y140" s="218" t="e">
        <f t="shared" si="35"/>
        <v>#REF!</v>
      </c>
      <c r="Z140" s="4">
        <v>135</v>
      </c>
      <c r="AB140">
        <f t="shared" si="29"/>
        <v>135</v>
      </c>
      <c r="AC140" s="218" t="e">
        <f t="shared" si="36"/>
        <v>#REF!</v>
      </c>
      <c r="AD140" s="218" t="e">
        <f t="shared" si="37"/>
        <v>#REF!</v>
      </c>
      <c r="AE140" s="4">
        <v>135</v>
      </c>
    </row>
    <row r="141" spans="13:31">
      <c r="M141">
        <f t="shared" si="26"/>
        <v>136</v>
      </c>
      <c r="N141" s="218">
        <f t="shared" si="30"/>
        <v>0</v>
      </c>
      <c r="O141" s="218">
        <f t="shared" si="31"/>
        <v>0</v>
      </c>
      <c r="P141" s="4">
        <v>136</v>
      </c>
      <c r="R141">
        <f t="shared" si="27"/>
        <v>136</v>
      </c>
      <c r="S141" s="218">
        <f t="shared" ca="1" si="32"/>
        <v>0</v>
      </c>
      <c r="T141" s="218">
        <f t="shared" ca="1" si="33"/>
        <v>0</v>
      </c>
      <c r="U141" s="4">
        <v>136</v>
      </c>
      <c r="W141">
        <f t="shared" si="28"/>
        <v>136</v>
      </c>
      <c r="X141" s="218" t="e">
        <f t="shared" si="34"/>
        <v>#REF!</v>
      </c>
      <c r="Y141" s="218" t="e">
        <f t="shared" si="35"/>
        <v>#REF!</v>
      </c>
      <c r="Z141" s="4">
        <v>136</v>
      </c>
      <c r="AB141">
        <f t="shared" si="29"/>
        <v>136</v>
      </c>
      <c r="AC141" s="218" t="e">
        <f t="shared" si="36"/>
        <v>#REF!</v>
      </c>
      <c r="AD141" s="218" t="e">
        <f t="shared" si="37"/>
        <v>#REF!</v>
      </c>
      <c r="AE141" s="4">
        <v>136</v>
      </c>
    </row>
    <row r="142" spans="13:31">
      <c r="M142">
        <f t="shared" si="26"/>
        <v>137</v>
      </c>
      <c r="N142" s="218">
        <f t="shared" si="30"/>
        <v>0</v>
      </c>
      <c r="O142" s="218">
        <f t="shared" si="31"/>
        <v>0</v>
      </c>
      <c r="P142" s="4">
        <v>137</v>
      </c>
      <c r="R142">
        <f t="shared" si="27"/>
        <v>137</v>
      </c>
      <c r="S142" s="218">
        <f t="shared" ca="1" si="32"/>
        <v>0</v>
      </c>
      <c r="T142" s="218">
        <f t="shared" ca="1" si="33"/>
        <v>0</v>
      </c>
      <c r="U142" s="4">
        <v>137</v>
      </c>
      <c r="W142">
        <f t="shared" si="28"/>
        <v>137</v>
      </c>
      <c r="X142" s="218" t="e">
        <f t="shared" si="34"/>
        <v>#REF!</v>
      </c>
      <c r="Y142" s="218" t="e">
        <f t="shared" si="35"/>
        <v>#REF!</v>
      </c>
      <c r="Z142" s="4">
        <v>137</v>
      </c>
      <c r="AB142">
        <f t="shared" si="29"/>
        <v>137</v>
      </c>
      <c r="AC142" s="218" t="e">
        <f t="shared" si="36"/>
        <v>#REF!</v>
      </c>
      <c r="AD142" s="218" t="e">
        <f t="shared" si="37"/>
        <v>#REF!</v>
      </c>
      <c r="AE142" s="4">
        <v>137</v>
      </c>
    </row>
    <row r="143" spans="13:31">
      <c r="M143">
        <f t="shared" si="26"/>
        <v>138</v>
      </c>
      <c r="N143" s="218">
        <f t="shared" si="30"/>
        <v>0</v>
      </c>
      <c r="O143" s="218">
        <f t="shared" si="31"/>
        <v>0</v>
      </c>
      <c r="P143" s="4">
        <v>138</v>
      </c>
      <c r="R143">
        <f t="shared" si="27"/>
        <v>138</v>
      </c>
      <c r="S143" s="218">
        <f t="shared" ca="1" si="32"/>
        <v>0</v>
      </c>
      <c r="T143" s="218">
        <f t="shared" ca="1" si="33"/>
        <v>0</v>
      </c>
      <c r="U143" s="4">
        <v>138</v>
      </c>
      <c r="W143">
        <f t="shared" si="28"/>
        <v>138</v>
      </c>
      <c r="X143" s="218" t="e">
        <f t="shared" si="34"/>
        <v>#REF!</v>
      </c>
      <c r="Y143" s="218" t="e">
        <f t="shared" si="35"/>
        <v>#REF!</v>
      </c>
      <c r="Z143" s="4">
        <v>138</v>
      </c>
      <c r="AB143">
        <f t="shared" si="29"/>
        <v>138</v>
      </c>
      <c r="AC143" s="218" t="e">
        <f t="shared" si="36"/>
        <v>#REF!</v>
      </c>
      <c r="AD143" s="218" t="e">
        <f t="shared" si="37"/>
        <v>#REF!</v>
      </c>
      <c r="AE143" s="4">
        <v>138</v>
      </c>
    </row>
    <row r="144" spans="13:31">
      <c r="M144">
        <f t="shared" si="26"/>
        <v>139</v>
      </c>
      <c r="N144" s="218">
        <f t="shared" si="30"/>
        <v>0</v>
      </c>
      <c r="O144" s="218">
        <f t="shared" si="31"/>
        <v>0</v>
      </c>
      <c r="P144" s="4">
        <v>139</v>
      </c>
      <c r="R144">
        <f t="shared" si="27"/>
        <v>139</v>
      </c>
      <c r="S144" s="218">
        <f t="shared" ca="1" si="32"/>
        <v>0</v>
      </c>
      <c r="T144" s="218">
        <f t="shared" ca="1" si="33"/>
        <v>0</v>
      </c>
      <c r="U144" s="4">
        <v>139</v>
      </c>
      <c r="W144">
        <f t="shared" si="28"/>
        <v>139</v>
      </c>
      <c r="X144" s="218" t="e">
        <f t="shared" si="34"/>
        <v>#REF!</v>
      </c>
      <c r="Y144" s="218" t="e">
        <f t="shared" si="35"/>
        <v>#REF!</v>
      </c>
      <c r="Z144" s="4">
        <v>139</v>
      </c>
      <c r="AB144">
        <f t="shared" si="29"/>
        <v>139</v>
      </c>
      <c r="AC144" s="218" t="e">
        <f t="shared" si="36"/>
        <v>#REF!</v>
      </c>
      <c r="AD144" s="218" t="e">
        <f t="shared" si="37"/>
        <v>#REF!</v>
      </c>
      <c r="AE144" s="4">
        <v>139</v>
      </c>
    </row>
    <row r="145" spans="13:31">
      <c r="M145">
        <f t="shared" si="26"/>
        <v>140</v>
      </c>
      <c r="N145" s="218">
        <f t="shared" si="30"/>
        <v>0</v>
      </c>
      <c r="O145" s="218">
        <f t="shared" si="31"/>
        <v>0</v>
      </c>
      <c r="P145" s="4">
        <v>140</v>
      </c>
      <c r="R145">
        <f t="shared" si="27"/>
        <v>140</v>
      </c>
      <c r="S145" s="218">
        <f t="shared" ca="1" si="32"/>
        <v>0</v>
      </c>
      <c r="T145" s="218">
        <f t="shared" ca="1" si="33"/>
        <v>0</v>
      </c>
      <c r="U145" s="4">
        <v>140</v>
      </c>
      <c r="W145">
        <f t="shared" si="28"/>
        <v>140</v>
      </c>
      <c r="X145" s="218" t="e">
        <f t="shared" si="34"/>
        <v>#REF!</v>
      </c>
      <c r="Y145" s="218" t="e">
        <f t="shared" si="35"/>
        <v>#REF!</v>
      </c>
      <c r="Z145" s="4">
        <v>140</v>
      </c>
      <c r="AB145">
        <f t="shared" si="29"/>
        <v>140</v>
      </c>
      <c r="AC145" s="218" t="e">
        <f t="shared" si="36"/>
        <v>#REF!</v>
      </c>
      <c r="AD145" s="218" t="e">
        <f t="shared" si="37"/>
        <v>#REF!</v>
      </c>
      <c r="AE145" s="4">
        <v>140</v>
      </c>
    </row>
    <row r="146" spans="13:31">
      <c r="M146">
        <f t="shared" si="26"/>
        <v>141</v>
      </c>
      <c r="N146" s="218">
        <f t="shared" si="30"/>
        <v>0</v>
      </c>
      <c r="O146" s="218">
        <f t="shared" si="31"/>
        <v>0</v>
      </c>
      <c r="P146" s="4">
        <v>141</v>
      </c>
      <c r="R146">
        <f t="shared" si="27"/>
        <v>141</v>
      </c>
      <c r="S146" s="218">
        <f t="shared" ca="1" si="32"/>
        <v>0</v>
      </c>
      <c r="T146" s="218">
        <f t="shared" ca="1" si="33"/>
        <v>0</v>
      </c>
      <c r="U146" s="4">
        <v>141</v>
      </c>
      <c r="W146">
        <f t="shared" si="28"/>
        <v>141</v>
      </c>
      <c r="X146" s="218" t="e">
        <f t="shared" si="34"/>
        <v>#REF!</v>
      </c>
      <c r="Y146" s="218" t="e">
        <f t="shared" si="35"/>
        <v>#REF!</v>
      </c>
      <c r="Z146" s="4">
        <v>141</v>
      </c>
      <c r="AB146">
        <f t="shared" si="29"/>
        <v>141</v>
      </c>
      <c r="AC146" s="218" t="e">
        <f t="shared" si="36"/>
        <v>#REF!</v>
      </c>
      <c r="AD146" s="218" t="e">
        <f t="shared" si="37"/>
        <v>#REF!</v>
      </c>
      <c r="AE146" s="4">
        <v>141</v>
      </c>
    </row>
    <row r="147" spans="13:31">
      <c r="M147">
        <f t="shared" si="26"/>
        <v>142</v>
      </c>
      <c r="N147" s="218">
        <f t="shared" si="30"/>
        <v>0</v>
      </c>
      <c r="O147" s="218">
        <f t="shared" si="31"/>
        <v>0</v>
      </c>
      <c r="P147" s="4">
        <v>142</v>
      </c>
      <c r="R147">
        <f t="shared" si="27"/>
        <v>142</v>
      </c>
      <c r="S147" s="218">
        <f t="shared" ca="1" si="32"/>
        <v>0</v>
      </c>
      <c r="T147" s="218">
        <f t="shared" ca="1" si="33"/>
        <v>0</v>
      </c>
      <c r="U147" s="4">
        <v>142</v>
      </c>
      <c r="W147">
        <f t="shared" si="28"/>
        <v>142</v>
      </c>
      <c r="X147" s="218" t="e">
        <f t="shared" si="34"/>
        <v>#REF!</v>
      </c>
      <c r="Y147" s="218" t="e">
        <f t="shared" si="35"/>
        <v>#REF!</v>
      </c>
      <c r="Z147" s="4">
        <v>142</v>
      </c>
      <c r="AB147">
        <f t="shared" si="29"/>
        <v>142</v>
      </c>
      <c r="AC147" s="218" t="e">
        <f t="shared" si="36"/>
        <v>#REF!</v>
      </c>
      <c r="AD147" s="218" t="e">
        <f t="shared" si="37"/>
        <v>#REF!</v>
      </c>
      <c r="AE147" s="4">
        <v>142</v>
      </c>
    </row>
    <row r="148" spans="13:31">
      <c r="M148">
        <f t="shared" si="26"/>
        <v>143</v>
      </c>
      <c r="N148" s="218">
        <f t="shared" si="30"/>
        <v>0</v>
      </c>
      <c r="O148" s="218">
        <f t="shared" si="31"/>
        <v>0</v>
      </c>
      <c r="P148" s="4">
        <v>143</v>
      </c>
      <c r="R148">
        <f t="shared" si="27"/>
        <v>143</v>
      </c>
      <c r="S148" s="218">
        <f t="shared" ca="1" si="32"/>
        <v>0</v>
      </c>
      <c r="T148" s="218">
        <f t="shared" ca="1" si="33"/>
        <v>0</v>
      </c>
      <c r="U148" s="4">
        <v>143</v>
      </c>
      <c r="W148">
        <f t="shared" si="28"/>
        <v>143</v>
      </c>
      <c r="X148" s="218" t="e">
        <f t="shared" si="34"/>
        <v>#REF!</v>
      </c>
      <c r="Y148" s="218" t="e">
        <f t="shared" si="35"/>
        <v>#REF!</v>
      </c>
      <c r="Z148" s="4">
        <v>143</v>
      </c>
      <c r="AB148">
        <f t="shared" si="29"/>
        <v>143</v>
      </c>
      <c r="AC148" s="218" t="e">
        <f t="shared" si="36"/>
        <v>#REF!</v>
      </c>
      <c r="AD148" s="218" t="e">
        <f t="shared" si="37"/>
        <v>#REF!</v>
      </c>
      <c r="AE148" s="4">
        <v>143</v>
      </c>
    </row>
    <row r="149" spans="13:31">
      <c r="M149">
        <f t="shared" si="26"/>
        <v>144</v>
      </c>
      <c r="N149" s="218">
        <f t="shared" si="30"/>
        <v>0</v>
      </c>
      <c r="O149" s="218">
        <f t="shared" si="31"/>
        <v>0</v>
      </c>
      <c r="P149" s="4">
        <v>144</v>
      </c>
      <c r="R149">
        <f t="shared" si="27"/>
        <v>144</v>
      </c>
      <c r="S149" s="218">
        <f t="shared" ca="1" si="32"/>
        <v>0</v>
      </c>
      <c r="T149" s="218">
        <f t="shared" ca="1" si="33"/>
        <v>0</v>
      </c>
      <c r="U149" s="4">
        <v>144</v>
      </c>
      <c r="W149">
        <f t="shared" si="28"/>
        <v>144</v>
      </c>
      <c r="X149" s="218" t="e">
        <f t="shared" si="34"/>
        <v>#REF!</v>
      </c>
      <c r="Y149" s="218" t="e">
        <f t="shared" si="35"/>
        <v>#REF!</v>
      </c>
      <c r="Z149" s="4">
        <v>144</v>
      </c>
      <c r="AB149">
        <f t="shared" si="29"/>
        <v>144</v>
      </c>
      <c r="AC149" s="218" t="e">
        <f t="shared" si="36"/>
        <v>#REF!</v>
      </c>
      <c r="AD149" s="218" t="e">
        <f t="shared" si="37"/>
        <v>#REF!</v>
      </c>
      <c r="AE149" s="4">
        <v>144</v>
      </c>
    </row>
    <row r="150" spans="13:31">
      <c r="M150">
        <f t="shared" si="26"/>
        <v>145</v>
      </c>
      <c r="N150" s="218">
        <f t="shared" si="30"/>
        <v>0</v>
      </c>
      <c r="O150" s="218">
        <f t="shared" si="31"/>
        <v>0</v>
      </c>
      <c r="P150" s="4">
        <v>145</v>
      </c>
      <c r="R150">
        <f t="shared" si="27"/>
        <v>145</v>
      </c>
      <c r="S150" s="218">
        <f t="shared" ca="1" si="32"/>
        <v>0</v>
      </c>
      <c r="T150" s="218">
        <f t="shared" ca="1" si="33"/>
        <v>0</v>
      </c>
      <c r="U150" s="4">
        <v>145</v>
      </c>
      <c r="W150">
        <f t="shared" si="28"/>
        <v>145</v>
      </c>
      <c r="X150" s="218" t="e">
        <f t="shared" si="34"/>
        <v>#REF!</v>
      </c>
      <c r="Y150" s="218" t="e">
        <f t="shared" si="35"/>
        <v>#REF!</v>
      </c>
      <c r="Z150" s="4">
        <v>145</v>
      </c>
      <c r="AB150">
        <f t="shared" si="29"/>
        <v>145</v>
      </c>
      <c r="AC150" s="218" t="e">
        <f t="shared" si="36"/>
        <v>#REF!</v>
      </c>
      <c r="AD150" s="218" t="e">
        <f t="shared" si="37"/>
        <v>#REF!</v>
      </c>
      <c r="AE150" s="4">
        <v>145</v>
      </c>
    </row>
    <row r="151" spans="13:31">
      <c r="M151">
        <f t="shared" si="26"/>
        <v>146</v>
      </c>
      <c r="N151" s="218">
        <f t="shared" si="30"/>
        <v>0</v>
      </c>
      <c r="O151" s="218">
        <f t="shared" si="31"/>
        <v>0</v>
      </c>
      <c r="P151" s="4">
        <v>146</v>
      </c>
      <c r="R151">
        <f t="shared" si="27"/>
        <v>146</v>
      </c>
      <c r="S151" s="218">
        <f t="shared" ca="1" si="32"/>
        <v>0</v>
      </c>
      <c r="T151" s="218">
        <f t="shared" ca="1" si="33"/>
        <v>0</v>
      </c>
      <c r="U151" s="4">
        <v>146</v>
      </c>
      <c r="W151">
        <f t="shared" si="28"/>
        <v>146</v>
      </c>
      <c r="X151" s="218" t="e">
        <f t="shared" si="34"/>
        <v>#REF!</v>
      </c>
      <c r="Y151" s="218" t="e">
        <f t="shared" si="35"/>
        <v>#REF!</v>
      </c>
      <c r="Z151" s="4">
        <v>146</v>
      </c>
      <c r="AB151">
        <f t="shared" si="29"/>
        <v>146</v>
      </c>
      <c r="AC151" s="218" t="e">
        <f t="shared" si="36"/>
        <v>#REF!</v>
      </c>
      <c r="AD151" s="218" t="e">
        <f t="shared" si="37"/>
        <v>#REF!</v>
      </c>
      <c r="AE151" s="4">
        <v>146</v>
      </c>
    </row>
    <row r="152" spans="13:31">
      <c r="M152">
        <f t="shared" si="26"/>
        <v>147</v>
      </c>
      <c r="N152" s="218">
        <f t="shared" si="30"/>
        <v>0</v>
      </c>
      <c r="O152" s="218">
        <f t="shared" si="31"/>
        <v>0</v>
      </c>
      <c r="P152" s="4">
        <v>147</v>
      </c>
      <c r="R152">
        <f t="shared" si="27"/>
        <v>147</v>
      </c>
      <c r="S152" s="218">
        <f t="shared" ca="1" si="32"/>
        <v>0</v>
      </c>
      <c r="T152" s="218">
        <f t="shared" ca="1" si="33"/>
        <v>0</v>
      </c>
      <c r="U152" s="4">
        <v>147</v>
      </c>
      <c r="W152">
        <f t="shared" si="28"/>
        <v>147</v>
      </c>
      <c r="X152" s="218" t="e">
        <f t="shared" si="34"/>
        <v>#REF!</v>
      </c>
      <c r="Y152" s="218" t="e">
        <f t="shared" si="35"/>
        <v>#REF!</v>
      </c>
      <c r="Z152" s="4">
        <v>147</v>
      </c>
      <c r="AB152">
        <f t="shared" si="29"/>
        <v>147</v>
      </c>
      <c r="AC152" s="218" t="e">
        <f t="shared" si="36"/>
        <v>#REF!</v>
      </c>
      <c r="AD152" s="218" t="e">
        <f t="shared" si="37"/>
        <v>#REF!</v>
      </c>
      <c r="AE152" s="4">
        <v>147</v>
      </c>
    </row>
    <row r="153" spans="13:31">
      <c r="M153">
        <f t="shared" si="26"/>
        <v>148</v>
      </c>
      <c r="N153" s="218">
        <f t="shared" si="30"/>
        <v>0</v>
      </c>
      <c r="O153" s="218">
        <f t="shared" si="31"/>
        <v>0</v>
      </c>
      <c r="P153" s="4">
        <v>148</v>
      </c>
      <c r="R153">
        <f t="shared" si="27"/>
        <v>148</v>
      </c>
      <c r="S153" s="218">
        <f t="shared" ca="1" si="32"/>
        <v>0</v>
      </c>
      <c r="T153" s="218">
        <f t="shared" ca="1" si="33"/>
        <v>0</v>
      </c>
      <c r="U153" s="4">
        <v>148</v>
      </c>
      <c r="W153">
        <f t="shared" si="28"/>
        <v>148</v>
      </c>
      <c r="X153" s="218" t="e">
        <f t="shared" si="34"/>
        <v>#REF!</v>
      </c>
      <c r="Y153" s="218" t="e">
        <f t="shared" si="35"/>
        <v>#REF!</v>
      </c>
      <c r="Z153" s="4">
        <v>148</v>
      </c>
      <c r="AB153">
        <f t="shared" si="29"/>
        <v>148</v>
      </c>
      <c r="AC153" s="218" t="e">
        <f t="shared" si="36"/>
        <v>#REF!</v>
      </c>
      <c r="AD153" s="218" t="e">
        <f t="shared" si="37"/>
        <v>#REF!</v>
      </c>
      <c r="AE153" s="4">
        <v>148</v>
      </c>
    </row>
    <row r="154" spans="13:31">
      <c r="M154">
        <f t="shared" si="26"/>
        <v>149</v>
      </c>
      <c r="N154" s="218">
        <f t="shared" si="30"/>
        <v>0</v>
      </c>
      <c r="O154" s="218">
        <f t="shared" si="31"/>
        <v>0</v>
      </c>
      <c r="P154" s="4">
        <v>149</v>
      </c>
      <c r="R154">
        <f t="shared" si="27"/>
        <v>149</v>
      </c>
      <c r="S154" s="218">
        <f t="shared" ca="1" si="32"/>
        <v>0</v>
      </c>
      <c r="T154" s="218">
        <f t="shared" ca="1" si="33"/>
        <v>0</v>
      </c>
      <c r="U154" s="4">
        <v>149</v>
      </c>
      <c r="W154">
        <f t="shared" si="28"/>
        <v>149</v>
      </c>
      <c r="X154" s="218" t="e">
        <f t="shared" si="34"/>
        <v>#REF!</v>
      </c>
      <c r="Y154" s="218" t="e">
        <f t="shared" si="35"/>
        <v>#REF!</v>
      </c>
      <c r="Z154" s="4">
        <v>149</v>
      </c>
      <c r="AB154">
        <f t="shared" si="29"/>
        <v>149</v>
      </c>
      <c r="AC154" s="218" t="e">
        <f t="shared" si="36"/>
        <v>#REF!</v>
      </c>
      <c r="AD154" s="218" t="e">
        <f t="shared" si="37"/>
        <v>#REF!</v>
      </c>
      <c r="AE154" s="4">
        <v>149</v>
      </c>
    </row>
    <row r="155" spans="13:31">
      <c r="M155">
        <f t="shared" si="26"/>
        <v>150</v>
      </c>
      <c r="N155" s="218">
        <f t="shared" si="30"/>
        <v>0</v>
      </c>
      <c r="O155" s="218">
        <f t="shared" si="31"/>
        <v>0</v>
      </c>
      <c r="P155" s="4">
        <v>150</v>
      </c>
      <c r="R155">
        <f t="shared" si="27"/>
        <v>150</v>
      </c>
      <c r="S155" s="218">
        <f t="shared" ca="1" si="32"/>
        <v>0</v>
      </c>
      <c r="T155" s="218">
        <f t="shared" ca="1" si="33"/>
        <v>0</v>
      </c>
      <c r="U155" s="4">
        <v>150</v>
      </c>
      <c r="W155">
        <f t="shared" si="28"/>
        <v>150</v>
      </c>
      <c r="X155" s="218" t="e">
        <f t="shared" si="34"/>
        <v>#REF!</v>
      </c>
      <c r="Y155" s="218" t="e">
        <f t="shared" si="35"/>
        <v>#REF!</v>
      </c>
      <c r="Z155" s="4">
        <v>150</v>
      </c>
      <c r="AB155">
        <f t="shared" si="29"/>
        <v>150</v>
      </c>
      <c r="AC155" s="218" t="e">
        <f t="shared" si="36"/>
        <v>#REF!</v>
      </c>
      <c r="AD155" s="218" t="e">
        <f t="shared" si="37"/>
        <v>#REF!</v>
      </c>
      <c r="AE155" s="4">
        <v>150</v>
      </c>
    </row>
    <row r="156" spans="13:31">
      <c r="M156">
        <f t="shared" si="26"/>
        <v>151</v>
      </c>
      <c r="N156" s="218">
        <f t="shared" si="30"/>
        <v>0</v>
      </c>
      <c r="O156" s="218">
        <f t="shared" si="31"/>
        <v>0</v>
      </c>
      <c r="P156" s="4">
        <v>151</v>
      </c>
      <c r="R156">
        <f t="shared" si="27"/>
        <v>151</v>
      </c>
      <c r="S156" s="218">
        <f t="shared" ca="1" si="32"/>
        <v>0</v>
      </c>
      <c r="T156" s="218">
        <f t="shared" ca="1" si="33"/>
        <v>0</v>
      </c>
      <c r="U156" s="4">
        <v>151</v>
      </c>
      <c r="W156">
        <f t="shared" si="28"/>
        <v>151</v>
      </c>
      <c r="X156" s="218" t="e">
        <f t="shared" si="34"/>
        <v>#REF!</v>
      </c>
      <c r="Y156" s="218" t="e">
        <f t="shared" si="35"/>
        <v>#REF!</v>
      </c>
      <c r="Z156" s="4">
        <v>151</v>
      </c>
      <c r="AB156">
        <f t="shared" si="29"/>
        <v>151</v>
      </c>
      <c r="AC156" s="218" t="e">
        <f t="shared" si="36"/>
        <v>#REF!</v>
      </c>
      <c r="AD156" s="218" t="e">
        <f t="shared" si="37"/>
        <v>#REF!</v>
      </c>
      <c r="AE156" s="4">
        <v>151</v>
      </c>
    </row>
    <row r="157" spans="13:31">
      <c r="M157">
        <f t="shared" si="26"/>
        <v>152</v>
      </c>
      <c r="N157" s="218">
        <f t="shared" si="30"/>
        <v>0</v>
      </c>
      <c r="O157" s="218">
        <f t="shared" si="31"/>
        <v>0</v>
      </c>
      <c r="P157" s="4">
        <v>152</v>
      </c>
      <c r="R157">
        <f t="shared" si="27"/>
        <v>152</v>
      </c>
      <c r="S157" s="218">
        <f t="shared" ca="1" si="32"/>
        <v>0</v>
      </c>
      <c r="T157" s="218">
        <f t="shared" ca="1" si="33"/>
        <v>0</v>
      </c>
      <c r="U157" s="4">
        <v>152</v>
      </c>
      <c r="W157">
        <f t="shared" si="28"/>
        <v>152</v>
      </c>
      <c r="X157" s="218" t="e">
        <f t="shared" si="34"/>
        <v>#REF!</v>
      </c>
      <c r="Y157" s="218" t="e">
        <f t="shared" si="35"/>
        <v>#REF!</v>
      </c>
      <c r="Z157" s="4">
        <v>152</v>
      </c>
      <c r="AB157">
        <f t="shared" si="29"/>
        <v>152</v>
      </c>
      <c r="AC157" s="218" t="e">
        <f t="shared" si="36"/>
        <v>#REF!</v>
      </c>
      <c r="AD157" s="218" t="e">
        <f t="shared" si="37"/>
        <v>#REF!</v>
      </c>
      <c r="AE157" s="4">
        <v>152</v>
      </c>
    </row>
    <row r="158" spans="13:31">
      <c r="M158">
        <f t="shared" si="26"/>
        <v>153</v>
      </c>
      <c r="N158" s="218">
        <f t="shared" si="30"/>
        <v>0</v>
      </c>
      <c r="O158" s="218">
        <f t="shared" si="31"/>
        <v>0</v>
      </c>
      <c r="P158" s="4">
        <v>153</v>
      </c>
      <c r="R158">
        <f t="shared" si="27"/>
        <v>153</v>
      </c>
      <c r="S158" s="218">
        <f t="shared" ca="1" si="32"/>
        <v>0</v>
      </c>
      <c r="T158" s="218">
        <f t="shared" ca="1" si="33"/>
        <v>0</v>
      </c>
      <c r="U158" s="4">
        <v>153</v>
      </c>
      <c r="W158">
        <f t="shared" si="28"/>
        <v>153</v>
      </c>
      <c r="X158" s="218" t="e">
        <f t="shared" si="34"/>
        <v>#REF!</v>
      </c>
      <c r="Y158" s="218" t="e">
        <f t="shared" si="35"/>
        <v>#REF!</v>
      </c>
      <c r="Z158" s="4">
        <v>153</v>
      </c>
      <c r="AB158">
        <f t="shared" si="29"/>
        <v>153</v>
      </c>
      <c r="AC158" s="218" t="e">
        <f t="shared" si="36"/>
        <v>#REF!</v>
      </c>
      <c r="AD158" s="218" t="e">
        <f t="shared" si="37"/>
        <v>#REF!</v>
      </c>
      <c r="AE158" s="4">
        <v>153</v>
      </c>
    </row>
    <row r="159" spans="13:31">
      <c r="M159">
        <f t="shared" si="26"/>
        <v>154</v>
      </c>
      <c r="N159" s="218">
        <f t="shared" si="30"/>
        <v>0</v>
      </c>
      <c r="O159" s="218">
        <f t="shared" si="31"/>
        <v>0</v>
      </c>
      <c r="P159" s="4">
        <v>154</v>
      </c>
      <c r="R159">
        <f t="shared" si="27"/>
        <v>154</v>
      </c>
      <c r="S159" s="218">
        <f t="shared" ca="1" si="32"/>
        <v>0</v>
      </c>
      <c r="T159" s="218">
        <f t="shared" ca="1" si="33"/>
        <v>0</v>
      </c>
      <c r="U159" s="4">
        <v>154</v>
      </c>
      <c r="W159">
        <f t="shared" si="28"/>
        <v>154</v>
      </c>
      <c r="X159" s="218" t="e">
        <f t="shared" si="34"/>
        <v>#REF!</v>
      </c>
      <c r="Y159" s="218" t="e">
        <f t="shared" si="35"/>
        <v>#REF!</v>
      </c>
      <c r="Z159" s="4">
        <v>154</v>
      </c>
      <c r="AB159">
        <f t="shared" si="29"/>
        <v>154</v>
      </c>
      <c r="AC159" s="218" t="e">
        <f t="shared" si="36"/>
        <v>#REF!</v>
      </c>
      <c r="AD159" s="218" t="e">
        <f t="shared" si="37"/>
        <v>#REF!</v>
      </c>
      <c r="AE159" s="4">
        <v>154</v>
      </c>
    </row>
    <row r="160" spans="13:31">
      <c r="M160">
        <f t="shared" si="26"/>
        <v>155</v>
      </c>
      <c r="N160" s="218">
        <f t="shared" si="30"/>
        <v>0</v>
      </c>
      <c r="O160" s="218">
        <f t="shared" si="31"/>
        <v>0</v>
      </c>
      <c r="P160" s="4">
        <v>155</v>
      </c>
      <c r="R160">
        <f t="shared" si="27"/>
        <v>155</v>
      </c>
      <c r="S160" s="218">
        <f t="shared" ca="1" si="32"/>
        <v>0</v>
      </c>
      <c r="T160" s="218">
        <f t="shared" ca="1" si="33"/>
        <v>0</v>
      </c>
      <c r="U160" s="4">
        <v>155</v>
      </c>
      <c r="W160">
        <f t="shared" si="28"/>
        <v>155</v>
      </c>
      <c r="X160" s="218" t="e">
        <f t="shared" si="34"/>
        <v>#REF!</v>
      </c>
      <c r="Y160" s="218" t="e">
        <f t="shared" si="35"/>
        <v>#REF!</v>
      </c>
      <c r="Z160" s="4">
        <v>155</v>
      </c>
      <c r="AB160">
        <f t="shared" si="29"/>
        <v>155</v>
      </c>
      <c r="AC160" s="218" t="e">
        <f t="shared" si="36"/>
        <v>#REF!</v>
      </c>
      <c r="AD160" s="218" t="e">
        <f t="shared" si="37"/>
        <v>#REF!</v>
      </c>
      <c r="AE160" s="4">
        <v>155</v>
      </c>
    </row>
    <row r="161" spans="13:31">
      <c r="M161">
        <f t="shared" si="26"/>
        <v>156</v>
      </c>
      <c r="N161" s="218">
        <f t="shared" si="30"/>
        <v>0</v>
      </c>
      <c r="O161" s="218">
        <f t="shared" si="31"/>
        <v>0</v>
      </c>
      <c r="P161" s="4">
        <v>156</v>
      </c>
      <c r="R161">
        <f t="shared" si="27"/>
        <v>156</v>
      </c>
      <c r="S161" s="218">
        <f t="shared" ca="1" si="32"/>
        <v>0</v>
      </c>
      <c r="T161" s="218">
        <f t="shared" ca="1" si="33"/>
        <v>0</v>
      </c>
      <c r="U161" s="4">
        <v>156</v>
      </c>
      <c r="W161">
        <f t="shared" si="28"/>
        <v>156</v>
      </c>
      <c r="X161" s="218" t="e">
        <f t="shared" si="34"/>
        <v>#REF!</v>
      </c>
      <c r="Y161" s="218" t="e">
        <f t="shared" si="35"/>
        <v>#REF!</v>
      </c>
      <c r="Z161" s="4">
        <v>156</v>
      </c>
      <c r="AB161">
        <f t="shared" si="29"/>
        <v>156</v>
      </c>
      <c r="AC161" s="218" t="e">
        <f t="shared" si="36"/>
        <v>#REF!</v>
      </c>
      <c r="AD161" s="218" t="e">
        <f t="shared" si="37"/>
        <v>#REF!</v>
      </c>
      <c r="AE161" s="4">
        <v>156</v>
      </c>
    </row>
    <row r="162" spans="13:31">
      <c r="M162">
        <f t="shared" si="26"/>
        <v>157</v>
      </c>
      <c r="N162" s="218">
        <f t="shared" si="30"/>
        <v>0</v>
      </c>
      <c r="O162" s="218">
        <f t="shared" si="31"/>
        <v>0</v>
      </c>
      <c r="P162" s="4">
        <v>157</v>
      </c>
      <c r="R162">
        <f t="shared" si="27"/>
        <v>157</v>
      </c>
      <c r="S162" s="218">
        <f t="shared" ca="1" si="32"/>
        <v>0</v>
      </c>
      <c r="T162" s="218">
        <f t="shared" ca="1" si="33"/>
        <v>0</v>
      </c>
      <c r="U162" s="4">
        <v>157</v>
      </c>
      <c r="W162">
        <f t="shared" si="28"/>
        <v>157</v>
      </c>
      <c r="X162" s="218" t="e">
        <f t="shared" si="34"/>
        <v>#REF!</v>
      </c>
      <c r="Y162" s="218" t="e">
        <f t="shared" si="35"/>
        <v>#REF!</v>
      </c>
      <c r="Z162" s="4">
        <v>157</v>
      </c>
      <c r="AB162">
        <f t="shared" si="29"/>
        <v>157</v>
      </c>
      <c r="AC162" s="218" t="e">
        <f t="shared" si="36"/>
        <v>#REF!</v>
      </c>
      <c r="AD162" s="218" t="e">
        <f t="shared" si="37"/>
        <v>#REF!</v>
      </c>
      <c r="AE162" s="4">
        <v>157</v>
      </c>
    </row>
    <row r="163" spans="13:31">
      <c r="M163">
        <f t="shared" si="26"/>
        <v>158</v>
      </c>
      <c r="N163" s="218">
        <f t="shared" si="30"/>
        <v>0</v>
      </c>
      <c r="O163" s="218">
        <f t="shared" si="31"/>
        <v>0</v>
      </c>
      <c r="P163" s="4">
        <v>158</v>
      </c>
      <c r="R163">
        <f t="shared" si="27"/>
        <v>158</v>
      </c>
      <c r="S163" s="218">
        <f t="shared" ca="1" si="32"/>
        <v>0</v>
      </c>
      <c r="T163" s="218">
        <f t="shared" ca="1" si="33"/>
        <v>0</v>
      </c>
      <c r="U163" s="4">
        <v>158</v>
      </c>
      <c r="W163">
        <f t="shared" si="28"/>
        <v>158</v>
      </c>
      <c r="X163" s="218" t="e">
        <f t="shared" si="34"/>
        <v>#REF!</v>
      </c>
      <c r="Y163" s="218" t="e">
        <f t="shared" si="35"/>
        <v>#REF!</v>
      </c>
      <c r="Z163" s="4">
        <v>158</v>
      </c>
      <c r="AB163">
        <f t="shared" si="29"/>
        <v>158</v>
      </c>
      <c r="AC163" s="218" t="e">
        <f t="shared" si="36"/>
        <v>#REF!</v>
      </c>
      <c r="AD163" s="218" t="e">
        <f t="shared" si="37"/>
        <v>#REF!</v>
      </c>
      <c r="AE163" s="4">
        <v>158</v>
      </c>
    </row>
    <row r="164" spans="13:31">
      <c r="M164">
        <f t="shared" si="26"/>
        <v>159</v>
      </c>
      <c r="N164" s="218">
        <f t="shared" si="30"/>
        <v>0</v>
      </c>
      <c r="O164" s="218">
        <f t="shared" si="31"/>
        <v>0</v>
      </c>
      <c r="P164" s="4">
        <v>159</v>
      </c>
      <c r="R164">
        <f t="shared" si="27"/>
        <v>159</v>
      </c>
      <c r="S164" s="218">
        <f t="shared" ca="1" si="32"/>
        <v>0</v>
      </c>
      <c r="T164" s="218">
        <f t="shared" ca="1" si="33"/>
        <v>0</v>
      </c>
      <c r="U164" s="4">
        <v>159</v>
      </c>
      <c r="W164">
        <f t="shared" si="28"/>
        <v>159</v>
      </c>
      <c r="X164" s="218" t="e">
        <f t="shared" si="34"/>
        <v>#REF!</v>
      </c>
      <c r="Y164" s="218" t="e">
        <f t="shared" si="35"/>
        <v>#REF!</v>
      </c>
      <c r="Z164" s="4">
        <v>159</v>
      </c>
      <c r="AB164">
        <f t="shared" si="29"/>
        <v>159</v>
      </c>
      <c r="AC164" s="218" t="e">
        <f t="shared" si="36"/>
        <v>#REF!</v>
      </c>
      <c r="AD164" s="218" t="e">
        <f t="shared" si="37"/>
        <v>#REF!</v>
      </c>
      <c r="AE164" s="4">
        <v>159</v>
      </c>
    </row>
    <row r="165" spans="13:31">
      <c r="M165">
        <f t="shared" si="26"/>
        <v>160</v>
      </c>
      <c r="N165" s="218">
        <f t="shared" si="30"/>
        <v>0</v>
      </c>
      <c r="O165" s="218">
        <f t="shared" si="31"/>
        <v>0</v>
      </c>
      <c r="P165" s="4">
        <v>160</v>
      </c>
      <c r="R165">
        <f t="shared" si="27"/>
        <v>160</v>
      </c>
      <c r="S165" s="218">
        <f t="shared" ca="1" si="32"/>
        <v>0</v>
      </c>
      <c r="T165" s="218">
        <f t="shared" ca="1" si="33"/>
        <v>0</v>
      </c>
      <c r="U165" s="4">
        <v>160</v>
      </c>
      <c r="W165">
        <f t="shared" si="28"/>
        <v>160</v>
      </c>
      <c r="X165" s="218" t="e">
        <f t="shared" si="34"/>
        <v>#REF!</v>
      </c>
      <c r="Y165" s="218" t="e">
        <f t="shared" si="35"/>
        <v>#REF!</v>
      </c>
      <c r="Z165" s="4">
        <v>160</v>
      </c>
      <c r="AB165">
        <f t="shared" si="29"/>
        <v>160</v>
      </c>
      <c r="AC165" s="218" t="e">
        <f t="shared" si="36"/>
        <v>#REF!</v>
      </c>
      <c r="AD165" s="218" t="e">
        <f t="shared" si="37"/>
        <v>#REF!</v>
      </c>
      <c r="AE165" s="4">
        <v>160</v>
      </c>
    </row>
    <row r="166" spans="13:31">
      <c r="M166">
        <f t="shared" si="26"/>
        <v>161</v>
      </c>
      <c r="N166" s="218">
        <f t="shared" si="30"/>
        <v>0</v>
      </c>
      <c r="O166" s="218">
        <f t="shared" si="31"/>
        <v>0</v>
      </c>
      <c r="P166" s="4">
        <v>161</v>
      </c>
      <c r="R166">
        <f t="shared" si="27"/>
        <v>161</v>
      </c>
      <c r="S166" s="218">
        <f t="shared" ca="1" si="32"/>
        <v>0</v>
      </c>
      <c r="T166" s="218">
        <f t="shared" ca="1" si="33"/>
        <v>0</v>
      </c>
      <c r="U166" s="4">
        <v>161</v>
      </c>
      <c r="W166">
        <f t="shared" si="28"/>
        <v>161</v>
      </c>
      <c r="X166" s="218" t="e">
        <f t="shared" si="34"/>
        <v>#REF!</v>
      </c>
      <c r="Y166" s="218" t="e">
        <f t="shared" si="35"/>
        <v>#REF!</v>
      </c>
      <c r="Z166" s="4">
        <v>161</v>
      </c>
      <c r="AB166">
        <f t="shared" si="29"/>
        <v>161</v>
      </c>
      <c r="AC166" s="218" t="e">
        <f t="shared" si="36"/>
        <v>#REF!</v>
      </c>
      <c r="AD166" s="218" t="e">
        <f t="shared" si="37"/>
        <v>#REF!</v>
      </c>
      <c r="AE166" s="4">
        <v>161</v>
      </c>
    </row>
    <row r="167" spans="13:31">
      <c r="M167">
        <f t="shared" si="26"/>
        <v>162</v>
      </c>
      <c r="N167" s="218">
        <f t="shared" si="30"/>
        <v>0</v>
      </c>
      <c r="O167" s="218">
        <f t="shared" si="31"/>
        <v>0</v>
      </c>
      <c r="P167" s="4">
        <v>162</v>
      </c>
      <c r="R167">
        <f t="shared" si="27"/>
        <v>162</v>
      </c>
      <c r="S167" s="218">
        <f t="shared" ca="1" si="32"/>
        <v>0</v>
      </c>
      <c r="T167" s="218">
        <f t="shared" ca="1" si="33"/>
        <v>0</v>
      </c>
      <c r="U167" s="4">
        <v>162</v>
      </c>
      <c r="W167">
        <f t="shared" si="28"/>
        <v>162</v>
      </c>
      <c r="X167" s="218" t="e">
        <f t="shared" si="34"/>
        <v>#REF!</v>
      </c>
      <c r="Y167" s="218" t="e">
        <f t="shared" si="35"/>
        <v>#REF!</v>
      </c>
      <c r="Z167" s="4">
        <v>162</v>
      </c>
      <c r="AB167">
        <f t="shared" si="29"/>
        <v>162</v>
      </c>
      <c r="AC167" s="218" t="e">
        <f t="shared" si="36"/>
        <v>#REF!</v>
      </c>
      <c r="AD167" s="218" t="e">
        <f t="shared" si="37"/>
        <v>#REF!</v>
      </c>
      <c r="AE167" s="4">
        <v>162</v>
      </c>
    </row>
    <row r="168" spans="13:31">
      <c r="M168">
        <f t="shared" si="26"/>
        <v>163</v>
      </c>
      <c r="N168" s="218">
        <f t="shared" si="30"/>
        <v>0</v>
      </c>
      <c r="O168" s="218">
        <f t="shared" si="31"/>
        <v>0</v>
      </c>
      <c r="P168" s="4">
        <v>163</v>
      </c>
      <c r="R168">
        <f t="shared" si="27"/>
        <v>163</v>
      </c>
      <c r="S168" s="218">
        <f t="shared" ca="1" si="32"/>
        <v>0</v>
      </c>
      <c r="T168" s="218">
        <f t="shared" ca="1" si="33"/>
        <v>0</v>
      </c>
      <c r="U168" s="4">
        <v>163</v>
      </c>
      <c r="W168">
        <f t="shared" si="28"/>
        <v>163</v>
      </c>
      <c r="X168" s="218" t="e">
        <f t="shared" si="34"/>
        <v>#REF!</v>
      </c>
      <c r="Y168" s="218" t="e">
        <f t="shared" si="35"/>
        <v>#REF!</v>
      </c>
      <c r="Z168" s="4">
        <v>163</v>
      </c>
      <c r="AB168">
        <f t="shared" si="29"/>
        <v>163</v>
      </c>
      <c r="AC168" s="218" t="e">
        <f t="shared" si="36"/>
        <v>#REF!</v>
      </c>
      <c r="AD168" s="218" t="e">
        <f t="shared" si="37"/>
        <v>#REF!</v>
      </c>
      <c r="AE168" s="4">
        <v>163</v>
      </c>
    </row>
    <row r="169" spans="13:31">
      <c r="M169">
        <f t="shared" si="26"/>
        <v>164</v>
      </c>
      <c r="N169" s="218">
        <f t="shared" si="30"/>
        <v>0</v>
      </c>
      <c r="O169" s="218">
        <f t="shared" si="31"/>
        <v>0</v>
      </c>
      <c r="P169" s="4">
        <v>164</v>
      </c>
      <c r="R169">
        <f t="shared" si="27"/>
        <v>164</v>
      </c>
      <c r="S169" s="218">
        <f t="shared" ca="1" si="32"/>
        <v>0</v>
      </c>
      <c r="T169" s="218">
        <f t="shared" ca="1" si="33"/>
        <v>0</v>
      </c>
      <c r="U169" s="4">
        <v>164</v>
      </c>
      <c r="W169">
        <f t="shared" si="28"/>
        <v>164</v>
      </c>
      <c r="X169" s="218" t="e">
        <f t="shared" si="34"/>
        <v>#REF!</v>
      </c>
      <c r="Y169" s="218" t="e">
        <f t="shared" si="35"/>
        <v>#REF!</v>
      </c>
      <c r="Z169" s="4">
        <v>164</v>
      </c>
      <c r="AB169">
        <f t="shared" si="29"/>
        <v>164</v>
      </c>
      <c r="AC169" s="218" t="e">
        <f t="shared" si="36"/>
        <v>#REF!</v>
      </c>
      <c r="AD169" s="218" t="e">
        <f t="shared" si="37"/>
        <v>#REF!</v>
      </c>
      <c r="AE169" s="4">
        <v>164</v>
      </c>
    </row>
    <row r="170" spans="13:31">
      <c r="M170">
        <f t="shared" si="26"/>
        <v>165</v>
      </c>
      <c r="N170" s="218">
        <f t="shared" si="30"/>
        <v>0</v>
      </c>
      <c r="O170" s="218">
        <f t="shared" si="31"/>
        <v>0</v>
      </c>
      <c r="P170" s="4">
        <v>165</v>
      </c>
      <c r="R170">
        <f t="shared" si="27"/>
        <v>165</v>
      </c>
      <c r="S170" s="218">
        <f t="shared" ca="1" si="32"/>
        <v>0</v>
      </c>
      <c r="T170" s="218">
        <f t="shared" ca="1" si="33"/>
        <v>0</v>
      </c>
      <c r="U170" s="4">
        <v>165</v>
      </c>
      <c r="W170">
        <f t="shared" si="28"/>
        <v>165</v>
      </c>
      <c r="X170" s="218" t="e">
        <f t="shared" si="34"/>
        <v>#REF!</v>
      </c>
      <c r="Y170" s="218" t="e">
        <f t="shared" si="35"/>
        <v>#REF!</v>
      </c>
      <c r="Z170" s="4">
        <v>165</v>
      </c>
      <c r="AB170">
        <f t="shared" si="29"/>
        <v>165</v>
      </c>
      <c r="AC170" s="218" t="e">
        <f t="shared" si="36"/>
        <v>#REF!</v>
      </c>
      <c r="AD170" s="218" t="e">
        <f t="shared" si="37"/>
        <v>#REF!</v>
      </c>
      <c r="AE170" s="4">
        <v>165</v>
      </c>
    </row>
    <row r="171" spans="13:31">
      <c r="M171">
        <f t="shared" si="26"/>
        <v>166</v>
      </c>
      <c r="N171" s="218">
        <f t="shared" si="30"/>
        <v>0</v>
      </c>
      <c r="O171" s="218">
        <f t="shared" si="31"/>
        <v>0</v>
      </c>
      <c r="P171" s="4">
        <v>166</v>
      </c>
      <c r="R171">
        <f t="shared" si="27"/>
        <v>166</v>
      </c>
      <c r="S171" s="218">
        <f t="shared" ca="1" si="32"/>
        <v>0</v>
      </c>
      <c r="T171" s="218">
        <f t="shared" ca="1" si="33"/>
        <v>0</v>
      </c>
      <c r="U171" s="4">
        <v>166</v>
      </c>
      <c r="W171">
        <f t="shared" si="28"/>
        <v>166</v>
      </c>
      <c r="X171" s="218" t="e">
        <f t="shared" si="34"/>
        <v>#REF!</v>
      </c>
      <c r="Y171" s="218" t="e">
        <f t="shared" si="35"/>
        <v>#REF!</v>
      </c>
      <c r="Z171" s="4">
        <v>166</v>
      </c>
      <c r="AB171">
        <f t="shared" si="29"/>
        <v>166</v>
      </c>
      <c r="AC171" s="218" t="e">
        <f t="shared" si="36"/>
        <v>#REF!</v>
      </c>
      <c r="AD171" s="218" t="e">
        <f t="shared" si="37"/>
        <v>#REF!</v>
      </c>
      <c r="AE171" s="4">
        <v>166</v>
      </c>
    </row>
    <row r="172" spans="13:31">
      <c r="M172">
        <f t="shared" si="26"/>
        <v>167</v>
      </c>
      <c r="N172" s="218">
        <f t="shared" si="30"/>
        <v>0</v>
      </c>
      <c r="O172" s="218">
        <f t="shared" si="31"/>
        <v>0</v>
      </c>
      <c r="P172" s="4">
        <v>167</v>
      </c>
      <c r="R172">
        <f t="shared" si="27"/>
        <v>167</v>
      </c>
      <c r="S172" s="218">
        <f t="shared" ca="1" si="32"/>
        <v>0</v>
      </c>
      <c r="T172" s="218">
        <f t="shared" ca="1" si="33"/>
        <v>0</v>
      </c>
      <c r="U172" s="4">
        <v>167</v>
      </c>
      <c r="W172">
        <f t="shared" si="28"/>
        <v>167</v>
      </c>
      <c r="X172" s="218" t="e">
        <f t="shared" si="34"/>
        <v>#REF!</v>
      </c>
      <c r="Y172" s="218" t="e">
        <f t="shared" si="35"/>
        <v>#REF!</v>
      </c>
      <c r="Z172" s="4">
        <v>167</v>
      </c>
      <c r="AB172">
        <f t="shared" si="29"/>
        <v>167</v>
      </c>
      <c r="AC172" s="218" t="e">
        <f t="shared" si="36"/>
        <v>#REF!</v>
      </c>
      <c r="AD172" s="218" t="e">
        <f t="shared" si="37"/>
        <v>#REF!</v>
      </c>
      <c r="AE172" s="4">
        <v>167</v>
      </c>
    </row>
    <row r="173" spans="13:31">
      <c r="M173">
        <f t="shared" si="26"/>
        <v>168</v>
      </c>
      <c r="N173" s="218">
        <f t="shared" si="30"/>
        <v>0</v>
      </c>
      <c r="O173" s="218">
        <f t="shared" si="31"/>
        <v>0</v>
      </c>
      <c r="P173" s="4">
        <v>168</v>
      </c>
      <c r="R173">
        <f t="shared" si="27"/>
        <v>168</v>
      </c>
      <c r="S173" s="218">
        <f t="shared" ca="1" si="32"/>
        <v>0</v>
      </c>
      <c r="T173" s="218">
        <f t="shared" ca="1" si="33"/>
        <v>0</v>
      </c>
      <c r="U173" s="4">
        <v>168</v>
      </c>
      <c r="W173">
        <f t="shared" si="28"/>
        <v>168</v>
      </c>
      <c r="X173" s="218" t="e">
        <f t="shared" si="34"/>
        <v>#REF!</v>
      </c>
      <c r="Y173" s="218" t="e">
        <f t="shared" si="35"/>
        <v>#REF!</v>
      </c>
      <c r="Z173" s="4">
        <v>168</v>
      </c>
      <c r="AB173">
        <f t="shared" si="29"/>
        <v>168</v>
      </c>
      <c r="AC173" s="218" t="e">
        <f t="shared" si="36"/>
        <v>#REF!</v>
      </c>
      <c r="AD173" s="218" t="e">
        <f t="shared" si="37"/>
        <v>#REF!</v>
      </c>
      <c r="AE173" s="4">
        <v>168</v>
      </c>
    </row>
    <row r="174" spans="13:31">
      <c r="M174">
        <f t="shared" si="26"/>
        <v>169</v>
      </c>
      <c r="N174" s="218">
        <f t="shared" si="30"/>
        <v>0</v>
      </c>
      <c r="O174" s="218">
        <f t="shared" si="31"/>
        <v>0</v>
      </c>
      <c r="P174" s="4">
        <v>169</v>
      </c>
      <c r="R174">
        <f t="shared" si="27"/>
        <v>169</v>
      </c>
      <c r="S174" s="218">
        <f t="shared" ca="1" si="32"/>
        <v>0</v>
      </c>
      <c r="T174" s="218">
        <f t="shared" ca="1" si="33"/>
        <v>0</v>
      </c>
      <c r="U174" s="4">
        <v>169</v>
      </c>
      <c r="W174">
        <f t="shared" si="28"/>
        <v>169</v>
      </c>
      <c r="X174" s="218" t="e">
        <f t="shared" si="34"/>
        <v>#REF!</v>
      </c>
      <c r="Y174" s="218" t="e">
        <f t="shared" si="35"/>
        <v>#REF!</v>
      </c>
      <c r="Z174" s="4">
        <v>169</v>
      </c>
      <c r="AB174">
        <f t="shared" si="29"/>
        <v>169</v>
      </c>
      <c r="AC174" s="218" t="e">
        <f t="shared" si="36"/>
        <v>#REF!</v>
      </c>
      <c r="AD174" s="218" t="e">
        <f t="shared" si="37"/>
        <v>#REF!</v>
      </c>
      <c r="AE174" s="4">
        <v>169</v>
      </c>
    </row>
    <row r="175" spans="13:31">
      <c r="M175">
        <f t="shared" si="26"/>
        <v>170</v>
      </c>
      <c r="N175" s="218">
        <f t="shared" si="30"/>
        <v>0</v>
      </c>
      <c r="O175" s="218">
        <f t="shared" si="31"/>
        <v>0</v>
      </c>
      <c r="P175" s="4">
        <v>170</v>
      </c>
      <c r="R175">
        <f t="shared" si="27"/>
        <v>170</v>
      </c>
      <c r="S175" s="218">
        <f t="shared" ca="1" si="32"/>
        <v>0</v>
      </c>
      <c r="T175" s="218">
        <f t="shared" ca="1" si="33"/>
        <v>0</v>
      </c>
      <c r="U175" s="4">
        <v>170</v>
      </c>
      <c r="W175">
        <f t="shared" si="28"/>
        <v>170</v>
      </c>
      <c r="X175" s="218" t="e">
        <f t="shared" si="34"/>
        <v>#REF!</v>
      </c>
      <c r="Y175" s="218" t="e">
        <f t="shared" si="35"/>
        <v>#REF!</v>
      </c>
      <c r="Z175" s="4">
        <v>170</v>
      </c>
      <c r="AB175">
        <f t="shared" si="29"/>
        <v>170</v>
      </c>
      <c r="AC175" s="218" t="e">
        <f t="shared" si="36"/>
        <v>#REF!</v>
      </c>
      <c r="AD175" s="218" t="e">
        <f t="shared" si="37"/>
        <v>#REF!</v>
      </c>
      <c r="AE175" s="4">
        <v>170</v>
      </c>
    </row>
    <row r="176" spans="13:31">
      <c r="M176">
        <f t="shared" si="26"/>
        <v>171</v>
      </c>
      <c r="N176" s="218">
        <f t="shared" si="30"/>
        <v>0</v>
      </c>
      <c r="O176" s="218">
        <f t="shared" si="31"/>
        <v>0</v>
      </c>
      <c r="P176" s="4">
        <v>171</v>
      </c>
      <c r="R176">
        <f t="shared" si="27"/>
        <v>171</v>
      </c>
      <c r="S176" s="218">
        <f t="shared" ca="1" si="32"/>
        <v>0</v>
      </c>
      <c r="T176" s="218">
        <f t="shared" ca="1" si="33"/>
        <v>0</v>
      </c>
      <c r="U176" s="4">
        <v>171</v>
      </c>
      <c r="W176">
        <f t="shared" si="28"/>
        <v>171</v>
      </c>
      <c r="X176" s="218" t="e">
        <f t="shared" si="34"/>
        <v>#REF!</v>
      </c>
      <c r="Y176" s="218" t="e">
        <f t="shared" si="35"/>
        <v>#REF!</v>
      </c>
      <c r="Z176" s="4">
        <v>171</v>
      </c>
      <c r="AB176">
        <f t="shared" si="29"/>
        <v>171</v>
      </c>
      <c r="AC176" s="218" t="e">
        <f t="shared" si="36"/>
        <v>#REF!</v>
      </c>
      <c r="AD176" s="218" t="e">
        <f t="shared" si="37"/>
        <v>#REF!</v>
      </c>
      <c r="AE176" s="4">
        <v>171</v>
      </c>
    </row>
    <row r="177" spans="13:31">
      <c r="M177">
        <f t="shared" si="26"/>
        <v>172</v>
      </c>
      <c r="N177" s="218">
        <f t="shared" si="30"/>
        <v>0</v>
      </c>
      <c r="O177" s="218">
        <f t="shared" si="31"/>
        <v>0</v>
      </c>
      <c r="P177" s="4">
        <v>172</v>
      </c>
      <c r="R177">
        <f t="shared" si="27"/>
        <v>172</v>
      </c>
      <c r="S177" s="218">
        <f t="shared" ca="1" si="32"/>
        <v>0</v>
      </c>
      <c r="T177" s="218">
        <f t="shared" ca="1" si="33"/>
        <v>0</v>
      </c>
      <c r="U177" s="4">
        <v>172</v>
      </c>
      <c r="W177">
        <f t="shared" si="28"/>
        <v>172</v>
      </c>
      <c r="X177" s="218" t="e">
        <f t="shared" si="34"/>
        <v>#REF!</v>
      </c>
      <c r="Y177" s="218" t="e">
        <f t="shared" si="35"/>
        <v>#REF!</v>
      </c>
      <c r="Z177" s="4">
        <v>172</v>
      </c>
      <c r="AB177">
        <f t="shared" si="29"/>
        <v>172</v>
      </c>
      <c r="AC177" s="218" t="e">
        <f t="shared" si="36"/>
        <v>#REF!</v>
      </c>
      <c r="AD177" s="218" t="e">
        <f t="shared" si="37"/>
        <v>#REF!</v>
      </c>
      <c r="AE177" s="4">
        <v>172</v>
      </c>
    </row>
    <row r="178" spans="13:31">
      <c r="M178">
        <f t="shared" si="26"/>
        <v>173</v>
      </c>
      <c r="N178" s="218">
        <f t="shared" si="30"/>
        <v>0</v>
      </c>
      <c r="O178" s="218">
        <f t="shared" si="31"/>
        <v>0</v>
      </c>
      <c r="P178" s="4">
        <v>173</v>
      </c>
      <c r="R178">
        <f t="shared" si="27"/>
        <v>173</v>
      </c>
      <c r="S178" s="218">
        <f t="shared" ca="1" si="32"/>
        <v>0</v>
      </c>
      <c r="T178" s="218">
        <f t="shared" ca="1" si="33"/>
        <v>0</v>
      </c>
      <c r="U178" s="4">
        <v>173</v>
      </c>
      <c r="W178">
        <f t="shared" si="28"/>
        <v>173</v>
      </c>
      <c r="X178" s="218" t="e">
        <f t="shared" si="34"/>
        <v>#REF!</v>
      </c>
      <c r="Y178" s="218" t="e">
        <f t="shared" si="35"/>
        <v>#REF!</v>
      </c>
      <c r="Z178" s="4">
        <v>173</v>
      </c>
      <c r="AB178">
        <f t="shared" si="29"/>
        <v>173</v>
      </c>
      <c r="AC178" s="218" t="e">
        <f t="shared" si="36"/>
        <v>#REF!</v>
      </c>
      <c r="AD178" s="218" t="e">
        <f t="shared" si="37"/>
        <v>#REF!</v>
      </c>
      <c r="AE178" s="4">
        <v>173</v>
      </c>
    </row>
    <row r="179" spans="13:31">
      <c r="M179">
        <f t="shared" si="26"/>
        <v>174</v>
      </c>
      <c r="N179" s="218">
        <f t="shared" si="30"/>
        <v>0</v>
      </c>
      <c r="O179" s="218">
        <f t="shared" si="31"/>
        <v>0</v>
      </c>
      <c r="P179" s="4">
        <v>174</v>
      </c>
      <c r="R179">
        <f t="shared" si="27"/>
        <v>174</v>
      </c>
      <c r="S179" s="218">
        <f t="shared" ca="1" si="32"/>
        <v>0</v>
      </c>
      <c r="T179" s="218">
        <f t="shared" ca="1" si="33"/>
        <v>0</v>
      </c>
      <c r="U179" s="4">
        <v>174</v>
      </c>
      <c r="W179">
        <f t="shared" si="28"/>
        <v>174</v>
      </c>
      <c r="X179" s="218" t="e">
        <f t="shared" si="34"/>
        <v>#REF!</v>
      </c>
      <c r="Y179" s="218" t="e">
        <f t="shared" si="35"/>
        <v>#REF!</v>
      </c>
      <c r="Z179" s="4">
        <v>174</v>
      </c>
      <c r="AB179">
        <f t="shared" si="29"/>
        <v>174</v>
      </c>
      <c r="AC179" s="218" t="e">
        <f t="shared" si="36"/>
        <v>#REF!</v>
      </c>
      <c r="AD179" s="218" t="e">
        <f t="shared" si="37"/>
        <v>#REF!</v>
      </c>
      <c r="AE179" s="4">
        <v>174</v>
      </c>
    </row>
    <row r="180" spans="13:31">
      <c r="M180">
        <f t="shared" si="26"/>
        <v>175</v>
      </c>
      <c r="N180" s="218">
        <f t="shared" si="30"/>
        <v>0</v>
      </c>
      <c r="O180" s="218">
        <f t="shared" si="31"/>
        <v>0</v>
      </c>
      <c r="P180" s="4">
        <v>175</v>
      </c>
      <c r="R180">
        <f t="shared" si="27"/>
        <v>175</v>
      </c>
      <c r="S180" s="218">
        <f t="shared" ca="1" si="32"/>
        <v>0</v>
      </c>
      <c r="T180" s="218">
        <f t="shared" ca="1" si="33"/>
        <v>0</v>
      </c>
      <c r="U180" s="4">
        <v>175</v>
      </c>
      <c r="W180">
        <f t="shared" si="28"/>
        <v>175</v>
      </c>
      <c r="X180" s="218" t="e">
        <f t="shared" si="34"/>
        <v>#REF!</v>
      </c>
      <c r="Y180" s="218" t="e">
        <f t="shared" si="35"/>
        <v>#REF!</v>
      </c>
      <c r="Z180" s="4">
        <v>175</v>
      </c>
      <c r="AB180">
        <f t="shared" si="29"/>
        <v>175</v>
      </c>
      <c r="AC180" s="218" t="e">
        <f t="shared" si="36"/>
        <v>#REF!</v>
      </c>
      <c r="AD180" s="218" t="e">
        <f t="shared" si="37"/>
        <v>#REF!</v>
      </c>
      <c r="AE180" s="4">
        <v>175</v>
      </c>
    </row>
    <row r="181" spans="13:31">
      <c r="M181">
        <f t="shared" si="26"/>
        <v>176</v>
      </c>
      <c r="N181" s="218">
        <f t="shared" si="30"/>
        <v>0</v>
      </c>
      <c r="O181" s="218">
        <f t="shared" si="31"/>
        <v>0</v>
      </c>
      <c r="P181" s="4">
        <v>176</v>
      </c>
      <c r="R181">
        <f t="shared" si="27"/>
        <v>176</v>
      </c>
      <c r="S181" s="218">
        <f t="shared" ca="1" si="32"/>
        <v>0</v>
      </c>
      <c r="T181" s="218">
        <f t="shared" ca="1" si="33"/>
        <v>0</v>
      </c>
      <c r="U181" s="4">
        <v>176</v>
      </c>
      <c r="W181">
        <f t="shared" si="28"/>
        <v>176</v>
      </c>
      <c r="X181" s="218" t="e">
        <f t="shared" si="34"/>
        <v>#REF!</v>
      </c>
      <c r="Y181" s="218" t="e">
        <f t="shared" si="35"/>
        <v>#REF!</v>
      </c>
      <c r="Z181" s="4">
        <v>176</v>
      </c>
      <c r="AB181">
        <f t="shared" si="29"/>
        <v>176</v>
      </c>
      <c r="AC181" s="218" t="e">
        <f t="shared" si="36"/>
        <v>#REF!</v>
      </c>
      <c r="AD181" s="218" t="e">
        <f t="shared" si="37"/>
        <v>#REF!</v>
      </c>
      <c r="AE181" s="4">
        <v>176</v>
      </c>
    </row>
    <row r="182" spans="13:31">
      <c r="M182">
        <f t="shared" si="26"/>
        <v>177</v>
      </c>
      <c r="N182" s="218">
        <f t="shared" si="30"/>
        <v>0</v>
      </c>
      <c r="O182" s="218">
        <f t="shared" si="31"/>
        <v>0</v>
      </c>
      <c r="P182" s="4">
        <v>177</v>
      </c>
      <c r="R182">
        <f t="shared" si="27"/>
        <v>177</v>
      </c>
      <c r="S182" s="218">
        <f t="shared" ca="1" si="32"/>
        <v>0</v>
      </c>
      <c r="T182" s="218">
        <f t="shared" ca="1" si="33"/>
        <v>0</v>
      </c>
      <c r="U182" s="4">
        <v>177</v>
      </c>
      <c r="W182">
        <f t="shared" si="28"/>
        <v>177</v>
      </c>
      <c r="X182" s="218" t="e">
        <f t="shared" si="34"/>
        <v>#REF!</v>
      </c>
      <c r="Y182" s="218" t="e">
        <f t="shared" si="35"/>
        <v>#REF!</v>
      </c>
      <c r="Z182" s="4">
        <v>177</v>
      </c>
      <c r="AB182">
        <f t="shared" si="29"/>
        <v>177</v>
      </c>
      <c r="AC182" s="218" t="e">
        <f t="shared" si="36"/>
        <v>#REF!</v>
      </c>
      <c r="AD182" s="218" t="e">
        <f t="shared" si="37"/>
        <v>#REF!</v>
      </c>
      <c r="AE182" s="4">
        <v>177</v>
      </c>
    </row>
    <row r="183" spans="13:31">
      <c r="M183">
        <f t="shared" si="26"/>
        <v>178</v>
      </c>
      <c r="N183" s="218">
        <f t="shared" si="30"/>
        <v>0</v>
      </c>
      <c r="O183" s="218">
        <f t="shared" si="31"/>
        <v>0</v>
      </c>
      <c r="P183" s="4">
        <v>178</v>
      </c>
      <c r="R183">
        <f t="shared" si="27"/>
        <v>178</v>
      </c>
      <c r="S183" s="218">
        <f t="shared" ca="1" si="32"/>
        <v>0</v>
      </c>
      <c r="T183" s="218">
        <f t="shared" ca="1" si="33"/>
        <v>0</v>
      </c>
      <c r="U183" s="4">
        <v>178</v>
      </c>
      <c r="W183">
        <f t="shared" si="28"/>
        <v>178</v>
      </c>
      <c r="X183" s="218" t="e">
        <f t="shared" si="34"/>
        <v>#REF!</v>
      </c>
      <c r="Y183" s="218" t="e">
        <f t="shared" si="35"/>
        <v>#REF!</v>
      </c>
      <c r="Z183" s="4">
        <v>178</v>
      </c>
      <c r="AB183">
        <f t="shared" si="29"/>
        <v>178</v>
      </c>
      <c r="AC183" s="218" t="e">
        <f t="shared" si="36"/>
        <v>#REF!</v>
      </c>
      <c r="AD183" s="218" t="e">
        <f t="shared" si="37"/>
        <v>#REF!</v>
      </c>
      <c r="AE183" s="4">
        <v>178</v>
      </c>
    </row>
    <row r="184" spans="13:31">
      <c r="M184">
        <f t="shared" si="26"/>
        <v>179</v>
      </c>
      <c r="N184" s="218">
        <f t="shared" si="30"/>
        <v>0</v>
      </c>
      <c r="O184" s="218">
        <f t="shared" si="31"/>
        <v>0</v>
      </c>
      <c r="P184" s="4">
        <v>179</v>
      </c>
      <c r="R184">
        <f t="shared" si="27"/>
        <v>179</v>
      </c>
      <c r="S184" s="218">
        <f t="shared" ca="1" si="32"/>
        <v>0</v>
      </c>
      <c r="T184" s="218">
        <f t="shared" ca="1" si="33"/>
        <v>0</v>
      </c>
      <c r="U184" s="4">
        <v>179</v>
      </c>
      <c r="W184">
        <f t="shared" si="28"/>
        <v>179</v>
      </c>
      <c r="X184" s="218" t="e">
        <f t="shared" si="34"/>
        <v>#REF!</v>
      </c>
      <c r="Y184" s="218" t="e">
        <f t="shared" si="35"/>
        <v>#REF!</v>
      </c>
      <c r="Z184" s="4">
        <v>179</v>
      </c>
      <c r="AB184">
        <f t="shared" si="29"/>
        <v>179</v>
      </c>
      <c r="AC184" s="218" t="e">
        <f t="shared" si="36"/>
        <v>#REF!</v>
      </c>
      <c r="AD184" s="218" t="e">
        <f t="shared" si="37"/>
        <v>#REF!</v>
      </c>
      <c r="AE184" s="4">
        <v>179</v>
      </c>
    </row>
    <row r="185" spans="13:31">
      <c r="M185">
        <f t="shared" si="26"/>
        <v>180</v>
      </c>
      <c r="N185" s="218">
        <f t="shared" si="30"/>
        <v>0</v>
      </c>
      <c r="O185" s="218">
        <f t="shared" si="31"/>
        <v>0</v>
      </c>
      <c r="P185" s="4">
        <v>180</v>
      </c>
      <c r="R185">
        <f t="shared" si="27"/>
        <v>180</v>
      </c>
      <c r="S185" s="218">
        <f t="shared" ca="1" si="32"/>
        <v>0</v>
      </c>
      <c r="T185" s="218">
        <f t="shared" ca="1" si="33"/>
        <v>0</v>
      </c>
      <c r="U185" s="4">
        <v>180</v>
      </c>
      <c r="W185">
        <f t="shared" si="28"/>
        <v>180</v>
      </c>
      <c r="X185" s="218" t="e">
        <f t="shared" si="34"/>
        <v>#REF!</v>
      </c>
      <c r="Y185" s="218" t="e">
        <f t="shared" si="35"/>
        <v>#REF!</v>
      </c>
      <c r="Z185" s="4">
        <v>180</v>
      </c>
      <c r="AB185">
        <f t="shared" si="29"/>
        <v>180</v>
      </c>
      <c r="AC185" s="218" t="e">
        <f t="shared" si="36"/>
        <v>#REF!</v>
      </c>
      <c r="AD185" s="218" t="e">
        <f t="shared" si="37"/>
        <v>#REF!</v>
      </c>
      <c r="AE185" s="4">
        <v>180</v>
      </c>
    </row>
    <row r="186" spans="13:31">
      <c r="M186">
        <f t="shared" si="26"/>
        <v>181</v>
      </c>
      <c r="N186" s="218">
        <f t="shared" si="30"/>
        <v>0</v>
      </c>
      <c r="O186" s="218">
        <f t="shared" si="31"/>
        <v>0</v>
      </c>
      <c r="P186" s="4">
        <v>181</v>
      </c>
      <c r="R186">
        <f t="shared" si="27"/>
        <v>181</v>
      </c>
      <c r="S186" s="218">
        <f t="shared" ca="1" si="32"/>
        <v>0</v>
      </c>
      <c r="T186" s="218">
        <f t="shared" ca="1" si="33"/>
        <v>0</v>
      </c>
      <c r="U186" s="4">
        <v>181</v>
      </c>
      <c r="W186">
        <f t="shared" si="28"/>
        <v>181</v>
      </c>
      <c r="X186" s="218" t="e">
        <f t="shared" si="34"/>
        <v>#REF!</v>
      </c>
      <c r="Y186" s="218" t="e">
        <f t="shared" si="35"/>
        <v>#REF!</v>
      </c>
      <c r="Z186" s="4">
        <v>181</v>
      </c>
      <c r="AB186">
        <f t="shared" si="29"/>
        <v>181</v>
      </c>
      <c r="AC186" s="218" t="e">
        <f t="shared" si="36"/>
        <v>#REF!</v>
      </c>
      <c r="AD186" s="218" t="e">
        <f t="shared" si="37"/>
        <v>#REF!</v>
      </c>
      <c r="AE186" s="4">
        <v>181</v>
      </c>
    </row>
    <row r="187" spans="13:31">
      <c r="M187">
        <f t="shared" si="26"/>
        <v>182</v>
      </c>
      <c r="N187" s="218">
        <f t="shared" si="30"/>
        <v>0</v>
      </c>
      <c r="O187" s="218">
        <f t="shared" si="31"/>
        <v>0</v>
      </c>
      <c r="P187" s="4">
        <v>182</v>
      </c>
      <c r="R187">
        <f t="shared" si="27"/>
        <v>182</v>
      </c>
      <c r="S187" s="218">
        <f t="shared" ca="1" si="32"/>
        <v>0</v>
      </c>
      <c r="T187" s="218">
        <f t="shared" ca="1" si="33"/>
        <v>0</v>
      </c>
      <c r="U187" s="4">
        <v>182</v>
      </c>
      <c r="W187">
        <f t="shared" si="28"/>
        <v>182</v>
      </c>
      <c r="X187" s="218" t="e">
        <f t="shared" si="34"/>
        <v>#REF!</v>
      </c>
      <c r="Y187" s="218" t="e">
        <f t="shared" si="35"/>
        <v>#REF!</v>
      </c>
      <c r="Z187" s="4">
        <v>182</v>
      </c>
      <c r="AB187">
        <f t="shared" si="29"/>
        <v>182</v>
      </c>
      <c r="AC187" s="218" t="e">
        <f t="shared" si="36"/>
        <v>#REF!</v>
      </c>
      <c r="AD187" s="218" t="e">
        <f t="shared" si="37"/>
        <v>#REF!</v>
      </c>
      <c r="AE187" s="4">
        <v>182</v>
      </c>
    </row>
    <row r="188" spans="13:31">
      <c r="M188">
        <f t="shared" si="26"/>
        <v>183</v>
      </c>
      <c r="N188" s="218">
        <f t="shared" si="30"/>
        <v>0</v>
      </c>
      <c r="O188" s="218">
        <f t="shared" si="31"/>
        <v>0</v>
      </c>
      <c r="P188" s="4">
        <v>183</v>
      </c>
      <c r="R188">
        <f t="shared" si="27"/>
        <v>183</v>
      </c>
      <c r="S188" s="218">
        <f t="shared" ca="1" si="32"/>
        <v>0</v>
      </c>
      <c r="T188" s="218">
        <f t="shared" ca="1" si="33"/>
        <v>0</v>
      </c>
      <c r="U188" s="4">
        <v>183</v>
      </c>
      <c r="W188">
        <f t="shared" si="28"/>
        <v>183</v>
      </c>
      <c r="X188" s="218" t="e">
        <f t="shared" si="34"/>
        <v>#REF!</v>
      </c>
      <c r="Y188" s="218" t="e">
        <f t="shared" si="35"/>
        <v>#REF!</v>
      </c>
      <c r="Z188" s="4">
        <v>183</v>
      </c>
      <c r="AB188">
        <f t="shared" si="29"/>
        <v>183</v>
      </c>
      <c r="AC188" s="218" t="e">
        <f t="shared" si="36"/>
        <v>#REF!</v>
      </c>
      <c r="AD188" s="218" t="e">
        <f t="shared" si="37"/>
        <v>#REF!</v>
      </c>
      <c r="AE188" s="4">
        <v>183</v>
      </c>
    </row>
    <row r="189" spans="13:31">
      <c r="M189">
        <f t="shared" si="26"/>
        <v>184</v>
      </c>
      <c r="N189" s="218">
        <f t="shared" si="30"/>
        <v>0</v>
      </c>
      <c r="O189" s="218">
        <f t="shared" si="31"/>
        <v>0</v>
      </c>
      <c r="P189" s="4">
        <v>184</v>
      </c>
      <c r="R189">
        <f t="shared" si="27"/>
        <v>184</v>
      </c>
      <c r="S189" s="218">
        <f t="shared" ca="1" si="32"/>
        <v>0</v>
      </c>
      <c r="T189" s="218">
        <f t="shared" ca="1" si="33"/>
        <v>0</v>
      </c>
      <c r="U189" s="4">
        <v>184</v>
      </c>
      <c r="W189">
        <f t="shared" si="28"/>
        <v>184</v>
      </c>
      <c r="X189" s="218" t="e">
        <f t="shared" si="34"/>
        <v>#REF!</v>
      </c>
      <c r="Y189" s="218" t="e">
        <f t="shared" si="35"/>
        <v>#REF!</v>
      </c>
      <c r="Z189" s="4">
        <v>184</v>
      </c>
      <c r="AB189">
        <f t="shared" si="29"/>
        <v>184</v>
      </c>
      <c r="AC189" s="218" t="e">
        <f t="shared" si="36"/>
        <v>#REF!</v>
      </c>
      <c r="AD189" s="218" t="e">
        <f t="shared" si="37"/>
        <v>#REF!</v>
      </c>
      <c r="AE189" s="4">
        <v>184</v>
      </c>
    </row>
    <row r="190" spans="13:31">
      <c r="M190">
        <f t="shared" si="26"/>
        <v>185</v>
      </c>
      <c r="N190" s="218">
        <f t="shared" si="30"/>
        <v>0</v>
      </c>
      <c r="O190" s="218">
        <f t="shared" si="31"/>
        <v>0</v>
      </c>
      <c r="P190" s="4">
        <v>185</v>
      </c>
      <c r="R190">
        <f t="shared" si="27"/>
        <v>185</v>
      </c>
      <c r="S190" s="218">
        <f t="shared" ca="1" si="32"/>
        <v>0</v>
      </c>
      <c r="T190" s="218">
        <f t="shared" ca="1" si="33"/>
        <v>0</v>
      </c>
      <c r="U190" s="4">
        <v>185</v>
      </c>
      <c r="W190">
        <f t="shared" si="28"/>
        <v>185</v>
      </c>
      <c r="X190" s="218" t="e">
        <f t="shared" si="34"/>
        <v>#REF!</v>
      </c>
      <c r="Y190" s="218" t="e">
        <f t="shared" si="35"/>
        <v>#REF!</v>
      </c>
      <c r="Z190" s="4">
        <v>185</v>
      </c>
      <c r="AB190">
        <f t="shared" si="29"/>
        <v>185</v>
      </c>
      <c r="AC190" s="218" t="e">
        <f t="shared" si="36"/>
        <v>#REF!</v>
      </c>
      <c r="AD190" s="218" t="e">
        <f t="shared" si="37"/>
        <v>#REF!</v>
      </c>
      <c r="AE190" s="4">
        <v>185</v>
      </c>
    </row>
    <row r="191" spans="13:31">
      <c r="M191">
        <f t="shared" si="26"/>
        <v>186</v>
      </c>
      <c r="N191" s="218">
        <f t="shared" si="30"/>
        <v>0</v>
      </c>
      <c r="O191" s="218">
        <f t="shared" si="31"/>
        <v>0</v>
      </c>
      <c r="P191" s="4">
        <v>186</v>
      </c>
      <c r="R191">
        <f t="shared" si="27"/>
        <v>186</v>
      </c>
      <c r="S191" s="218">
        <f t="shared" ca="1" si="32"/>
        <v>0</v>
      </c>
      <c r="T191" s="218">
        <f t="shared" ca="1" si="33"/>
        <v>0</v>
      </c>
      <c r="U191" s="4">
        <v>186</v>
      </c>
      <c r="W191">
        <f t="shared" si="28"/>
        <v>186</v>
      </c>
      <c r="X191" s="218" t="e">
        <f t="shared" si="34"/>
        <v>#REF!</v>
      </c>
      <c r="Y191" s="218" t="e">
        <f t="shared" si="35"/>
        <v>#REF!</v>
      </c>
      <c r="Z191" s="4">
        <v>186</v>
      </c>
      <c r="AB191">
        <f t="shared" si="29"/>
        <v>186</v>
      </c>
      <c r="AC191" s="218" t="e">
        <f t="shared" si="36"/>
        <v>#REF!</v>
      </c>
      <c r="AD191" s="218" t="e">
        <f t="shared" si="37"/>
        <v>#REF!</v>
      </c>
      <c r="AE191" s="4">
        <v>186</v>
      </c>
    </row>
    <row r="192" spans="13:31">
      <c r="M192">
        <f t="shared" si="26"/>
        <v>187</v>
      </c>
      <c r="N192" s="218">
        <f t="shared" si="30"/>
        <v>0</v>
      </c>
      <c r="O192" s="218">
        <f t="shared" si="31"/>
        <v>0</v>
      </c>
      <c r="P192" s="4">
        <v>187</v>
      </c>
      <c r="R192">
        <f t="shared" si="27"/>
        <v>187</v>
      </c>
      <c r="S192" s="218">
        <f t="shared" ca="1" si="32"/>
        <v>0</v>
      </c>
      <c r="T192" s="218">
        <f t="shared" ca="1" si="33"/>
        <v>0</v>
      </c>
      <c r="U192" s="4">
        <v>187</v>
      </c>
      <c r="W192">
        <f t="shared" si="28"/>
        <v>187</v>
      </c>
      <c r="X192" s="218" t="e">
        <f t="shared" si="34"/>
        <v>#REF!</v>
      </c>
      <c r="Y192" s="218" t="e">
        <f t="shared" si="35"/>
        <v>#REF!</v>
      </c>
      <c r="Z192" s="4">
        <v>187</v>
      </c>
      <c r="AB192">
        <f t="shared" si="29"/>
        <v>187</v>
      </c>
      <c r="AC192" s="218" t="e">
        <f t="shared" si="36"/>
        <v>#REF!</v>
      </c>
      <c r="AD192" s="218" t="e">
        <f t="shared" si="37"/>
        <v>#REF!</v>
      </c>
      <c r="AE192" s="4">
        <v>187</v>
      </c>
    </row>
    <row r="193" spans="13:31">
      <c r="M193">
        <f t="shared" si="26"/>
        <v>188</v>
      </c>
      <c r="N193" s="218">
        <f t="shared" si="30"/>
        <v>0</v>
      </c>
      <c r="O193" s="218">
        <f t="shared" si="31"/>
        <v>0</v>
      </c>
      <c r="P193" s="4">
        <v>188</v>
      </c>
      <c r="R193">
        <f t="shared" si="27"/>
        <v>188</v>
      </c>
      <c r="S193" s="218">
        <f t="shared" ca="1" si="32"/>
        <v>0</v>
      </c>
      <c r="T193" s="218">
        <f t="shared" ca="1" si="33"/>
        <v>0</v>
      </c>
      <c r="U193" s="4">
        <v>188</v>
      </c>
      <c r="W193">
        <f t="shared" si="28"/>
        <v>188</v>
      </c>
      <c r="X193" s="218" t="e">
        <f t="shared" si="34"/>
        <v>#REF!</v>
      </c>
      <c r="Y193" s="218" t="e">
        <f t="shared" si="35"/>
        <v>#REF!</v>
      </c>
      <c r="Z193" s="4">
        <v>188</v>
      </c>
      <c r="AB193">
        <f t="shared" si="29"/>
        <v>188</v>
      </c>
      <c r="AC193" s="218" t="e">
        <f t="shared" si="36"/>
        <v>#REF!</v>
      </c>
      <c r="AD193" s="218" t="e">
        <f t="shared" si="37"/>
        <v>#REF!</v>
      </c>
      <c r="AE193" s="4">
        <v>188</v>
      </c>
    </row>
    <row r="194" spans="13:31">
      <c r="M194">
        <f t="shared" si="26"/>
        <v>189</v>
      </c>
      <c r="N194" s="218">
        <f t="shared" si="30"/>
        <v>0</v>
      </c>
      <c r="O194" s="218">
        <f t="shared" si="31"/>
        <v>0</v>
      </c>
      <c r="P194" s="4">
        <v>189</v>
      </c>
      <c r="R194">
        <f t="shared" si="27"/>
        <v>189</v>
      </c>
      <c r="S194" s="218">
        <f t="shared" ca="1" si="32"/>
        <v>0</v>
      </c>
      <c r="T194" s="218">
        <f t="shared" ca="1" si="33"/>
        <v>0</v>
      </c>
      <c r="U194" s="4">
        <v>189</v>
      </c>
      <c r="W194">
        <f t="shared" si="28"/>
        <v>189</v>
      </c>
      <c r="X194" s="218" t="e">
        <f t="shared" si="34"/>
        <v>#REF!</v>
      </c>
      <c r="Y194" s="218" t="e">
        <f t="shared" si="35"/>
        <v>#REF!</v>
      </c>
      <c r="Z194" s="4">
        <v>189</v>
      </c>
      <c r="AB194">
        <f t="shared" si="29"/>
        <v>189</v>
      </c>
      <c r="AC194" s="218" t="e">
        <f t="shared" si="36"/>
        <v>#REF!</v>
      </c>
      <c r="AD194" s="218" t="e">
        <f t="shared" si="37"/>
        <v>#REF!</v>
      </c>
      <c r="AE194" s="4">
        <v>189</v>
      </c>
    </row>
    <row r="195" spans="13:31">
      <c r="M195">
        <f t="shared" si="26"/>
        <v>190</v>
      </c>
      <c r="N195" s="218">
        <f t="shared" si="30"/>
        <v>0</v>
      </c>
      <c r="O195" s="218">
        <f t="shared" si="31"/>
        <v>0</v>
      </c>
      <c r="P195" s="4">
        <v>190</v>
      </c>
      <c r="R195">
        <f t="shared" si="27"/>
        <v>190</v>
      </c>
      <c r="S195" s="218">
        <f t="shared" ca="1" si="32"/>
        <v>0</v>
      </c>
      <c r="T195" s="218">
        <f t="shared" ca="1" si="33"/>
        <v>0</v>
      </c>
      <c r="U195" s="4">
        <v>190</v>
      </c>
      <c r="W195">
        <f t="shared" si="28"/>
        <v>190</v>
      </c>
      <c r="X195" s="218" t="e">
        <f t="shared" si="34"/>
        <v>#REF!</v>
      </c>
      <c r="Y195" s="218" t="e">
        <f t="shared" si="35"/>
        <v>#REF!</v>
      </c>
      <c r="Z195" s="4">
        <v>190</v>
      </c>
      <c r="AB195">
        <f t="shared" si="29"/>
        <v>190</v>
      </c>
      <c r="AC195" s="218" t="e">
        <f t="shared" si="36"/>
        <v>#REF!</v>
      </c>
      <c r="AD195" s="218" t="e">
        <f t="shared" si="37"/>
        <v>#REF!</v>
      </c>
      <c r="AE195" s="4">
        <v>190</v>
      </c>
    </row>
    <row r="196" spans="13:31">
      <c r="M196">
        <f t="shared" si="26"/>
        <v>191</v>
      </c>
      <c r="N196" s="218">
        <f t="shared" si="30"/>
        <v>0</v>
      </c>
      <c r="O196" s="218">
        <f t="shared" si="31"/>
        <v>0</v>
      </c>
      <c r="P196" s="4">
        <v>191</v>
      </c>
      <c r="R196">
        <f t="shared" si="27"/>
        <v>191</v>
      </c>
      <c r="S196" s="218">
        <f t="shared" ca="1" si="32"/>
        <v>0</v>
      </c>
      <c r="T196" s="218">
        <f t="shared" ca="1" si="33"/>
        <v>0</v>
      </c>
      <c r="U196" s="4">
        <v>191</v>
      </c>
      <c r="W196">
        <f t="shared" si="28"/>
        <v>191</v>
      </c>
      <c r="X196" s="218" t="e">
        <f t="shared" si="34"/>
        <v>#REF!</v>
      </c>
      <c r="Y196" s="218" t="e">
        <f t="shared" si="35"/>
        <v>#REF!</v>
      </c>
      <c r="Z196" s="4">
        <v>191</v>
      </c>
      <c r="AB196">
        <f t="shared" si="29"/>
        <v>191</v>
      </c>
      <c r="AC196" s="218" t="e">
        <f t="shared" si="36"/>
        <v>#REF!</v>
      </c>
      <c r="AD196" s="218" t="e">
        <f t="shared" si="37"/>
        <v>#REF!</v>
      </c>
      <c r="AE196" s="4">
        <v>191</v>
      </c>
    </row>
    <row r="197" spans="13:31">
      <c r="M197">
        <f t="shared" si="26"/>
        <v>192</v>
      </c>
      <c r="N197" s="218">
        <f t="shared" si="30"/>
        <v>0</v>
      </c>
      <c r="O197" s="218">
        <f t="shared" si="31"/>
        <v>0</v>
      </c>
      <c r="P197" s="4">
        <v>192</v>
      </c>
      <c r="R197">
        <f t="shared" si="27"/>
        <v>192</v>
      </c>
      <c r="S197" s="218">
        <f t="shared" ca="1" si="32"/>
        <v>0</v>
      </c>
      <c r="T197" s="218">
        <f t="shared" ca="1" si="33"/>
        <v>0</v>
      </c>
      <c r="U197" s="4">
        <v>192</v>
      </c>
      <c r="W197">
        <f t="shared" si="28"/>
        <v>192</v>
      </c>
      <c r="X197" s="218" t="e">
        <f t="shared" si="34"/>
        <v>#REF!</v>
      </c>
      <c r="Y197" s="218" t="e">
        <f t="shared" si="35"/>
        <v>#REF!</v>
      </c>
      <c r="Z197" s="4">
        <v>192</v>
      </c>
      <c r="AB197">
        <f t="shared" si="29"/>
        <v>192</v>
      </c>
      <c r="AC197" s="218" t="e">
        <f t="shared" si="36"/>
        <v>#REF!</v>
      </c>
      <c r="AD197" s="218" t="e">
        <f t="shared" si="37"/>
        <v>#REF!</v>
      </c>
      <c r="AE197" s="4">
        <v>192</v>
      </c>
    </row>
    <row r="198" spans="13:31">
      <c r="M198">
        <f t="shared" si="26"/>
        <v>193</v>
      </c>
      <c r="N198" s="218">
        <f t="shared" si="30"/>
        <v>0</v>
      </c>
      <c r="O198" s="218">
        <f t="shared" si="31"/>
        <v>0</v>
      </c>
      <c r="P198" s="4">
        <v>193</v>
      </c>
      <c r="R198">
        <f t="shared" si="27"/>
        <v>193</v>
      </c>
      <c r="S198" s="218">
        <f t="shared" ca="1" si="32"/>
        <v>0</v>
      </c>
      <c r="T198" s="218">
        <f t="shared" ca="1" si="33"/>
        <v>0</v>
      </c>
      <c r="U198" s="4">
        <v>193</v>
      </c>
      <c r="W198">
        <f t="shared" si="28"/>
        <v>193</v>
      </c>
      <c r="X198" s="218" t="e">
        <f t="shared" si="34"/>
        <v>#REF!</v>
      </c>
      <c r="Y198" s="218" t="e">
        <f t="shared" si="35"/>
        <v>#REF!</v>
      </c>
      <c r="Z198" s="4">
        <v>193</v>
      </c>
      <c r="AB198">
        <f t="shared" si="29"/>
        <v>193</v>
      </c>
      <c r="AC198" s="218" t="e">
        <f t="shared" si="36"/>
        <v>#REF!</v>
      </c>
      <c r="AD198" s="218" t="e">
        <f t="shared" si="37"/>
        <v>#REF!</v>
      </c>
      <c r="AE198" s="4">
        <v>193</v>
      </c>
    </row>
    <row r="199" spans="13:31">
      <c r="M199">
        <f t="shared" ref="M199:M262" si="38">P199</f>
        <v>194</v>
      </c>
      <c r="N199" s="218">
        <f t="shared" si="30"/>
        <v>0</v>
      </c>
      <c r="O199" s="218">
        <f t="shared" si="31"/>
        <v>0</v>
      </c>
      <c r="P199" s="4">
        <v>194</v>
      </c>
      <c r="R199">
        <f t="shared" ref="R199:R262" si="39">U199</f>
        <v>194</v>
      </c>
      <c r="S199" s="218">
        <f t="shared" ca="1" si="32"/>
        <v>0</v>
      </c>
      <c r="T199" s="218">
        <f t="shared" ca="1" si="33"/>
        <v>0</v>
      </c>
      <c r="U199" s="4">
        <v>194</v>
      </c>
      <c r="W199">
        <f t="shared" ref="W199:W262" si="40">Z199</f>
        <v>194</v>
      </c>
      <c r="X199" s="218" t="e">
        <f t="shared" si="34"/>
        <v>#REF!</v>
      </c>
      <c r="Y199" s="218" t="e">
        <f t="shared" si="35"/>
        <v>#REF!</v>
      </c>
      <c r="Z199" s="4">
        <v>194</v>
      </c>
      <c r="AB199">
        <f t="shared" ref="AB199:AB262" si="41">AE199</f>
        <v>194</v>
      </c>
      <c r="AC199" s="218" t="e">
        <f t="shared" si="36"/>
        <v>#REF!</v>
      </c>
      <c r="AD199" s="218" t="e">
        <f t="shared" si="37"/>
        <v>#REF!</v>
      </c>
      <c r="AE199" s="4">
        <v>194</v>
      </c>
    </row>
    <row r="200" spans="13:31">
      <c r="M200">
        <f t="shared" si="38"/>
        <v>195</v>
      </c>
      <c r="N200" s="218">
        <f t="shared" ref="N200:N263" si="42">+IF(O200&lt;N199,O200,N199)</f>
        <v>0</v>
      </c>
      <c r="O200" s="218">
        <f t="shared" ref="O200:O263" si="43">+(O199-N199)*(1+$E$13)</f>
        <v>0</v>
      </c>
      <c r="P200" s="4">
        <v>195</v>
      </c>
      <c r="R200">
        <f t="shared" si="39"/>
        <v>195</v>
      </c>
      <c r="S200" s="218">
        <f t="shared" ref="S200:S263" ca="1" si="44">+IF(T200&lt;S199,T200,S199)</f>
        <v>0</v>
      </c>
      <c r="T200" s="218">
        <f t="shared" ref="T200:T263" ca="1" si="45">+(T199-S199)*(1+$E$14)</f>
        <v>0</v>
      </c>
      <c r="U200" s="4">
        <v>195</v>
      </c>
      <c r="W200">
        <f t="shared" si="40"/>
        <v>195</v>
      </c>
      <c r="X200" s="218" t="e">
        <f t="shared" ref="X200:X263" si="46">+IF(Y200&lt;X199,Y200,X199)</f>
        <v>#REF!</v>
      </c>
      <c r="Y200" s="218" t="e">
        <f t="shared" ref="Y200:Y263" si="47">+(Y199-X199)*(1+$E$15)</f>
        <v>#REF!</v>
      </c>
      <c r="Z200" s="4">
        <v>195</v>
      </c>
      <c r="AB200">
        <f t="shared" si="41"/>
        <v>195</v>
      </c>
      <c r="AC200" s="218" t="e">
        <f t="shared" ref="AC200:AC263" si="48">+IF(AD200&lt;AC199,AD200,AC199)</f>
        <v>#REF!</v>
      </c>
      <c r="AD200" s="218" t="e">
        <f t="shared" ref="AD200:AD263" si="49">+(AD199-AC199)*(1+$E$16)</f>
        <v>#REF!</v>
      </c>
      <c r="AE200" s="4">
        <v>195</v>
      </c>
    </row>
    <row r="201" spans="13:31">
      <c r="M201">
        <f t="shared" si="38"/>
        <v>196</v>
      </c>
      <c r="N201" s="218">
        <f t="shared" si="42"/>
        <v>0</v>
      </c>
      <c r="O201" s="218">
        <f t="shared" si="43"/>
        <v>0</v>
      </c>
      <c r="P201" s="4">
        <v>196</v>
      </c>
      <c r="R201">
        <f t="shared" si="39"/>
        <v>196</v>
      </c>
      <c r="S201" s="218">
        <f t="shared" ca="1" si="44"/>
        <v>0</v>
      </c>
      <c r="T201" s="218">
        <f t="shared" ca="1" si="45"/>
        <v>0</v>
      </c>
      <c r="U201" s="4">
        <v>196</v>
      </c>
      <c r="W201">
        <f t="shared" si="40"/>
        <v>196</v>
      </c>
      <c r="X201" s="218" t="e">
        <f t="shared" si="46"/>
        <v>#REF!</v>
      </c>
      <c r="Y201" s="218" t="e">
        <f t="shared" si="47"/>
        <v>#REF!</v>
      </c>
      <c r="Z201" s="4">
        <v>196</v>
      </c>
      <c r="AB201">
        <f t="shared" si="41"/>
        <v>196</v>
      </c>
      <c r="AC201" s="218" t="e">
        <f t="shared" si="48"/>
        <v>#REF!</v>
      </c>
      <c r="AD201" s="218" t="e">
        <f t="shared" si="49"/>
        <v>#REF!</v>
      </c>
      <c r="AE201" s="4">
        <v>196</v>
      </c>
    </row>
    <row r="202" spans="13:31">
      <c r="M202">
        <f t="shared" si="38"/>
        <v>197</v>
      </c>
      <c r="N202" s="218">
        <f t="shared" si="42"/>
        <v>0</v>
      </c>
      <c r="O202" s="218">
        <f t="shared" si="43"/>
        <v>0</v>
      </c>
      <c r="P202" s="4">
        <v>197</v>
      </c>
      <c r="R202">
        <f t="shared" si="39"/>
        <v>197</v>
      </c>
      <c r="S202" s="218">
        <f t="shared" ca="1" si="44"/>
        <v>0</v>
      </c>
      <c r="T202" s="218">
        <f t="shared" ca="1" si="45"/>
        <v>0</v>
      </c>
      <c r="U202" s="4">
        <v>197</v>
      </c>
      <c r="W202">
        <f t="shared" si="40"/>
        <v>197</v>
      </c>
      <c r="X202" s="218" t="e">
        <f t="shared" si="46"/>
        <v>#REF!</v>
      </c>
      <c r="Y202" s="218" t="e">
        <f t="shared" si="47"/>
        <v>#REF!</v>
      </c>
      <c r="Z202" s="4">
        <v>197</v>
      </c>
      <c r="AB202">
        <f t="shared" si="41"/>
        <v>197</v>
      </c>
      <c r="AC202" s="218" t="e">
        <f t="shared" si="48"/>
        <v>#REF!</v>
      </c>
      <c r="AD202" s="218" t="e">
        <f t="shared" si="49"/>
        <v>#REF!</v>
      </c>
      <c r="AE202" s="4">
        <v>197</v>
      </c>
    </row>
    <row r="203" spans="13:31">
      <c r="M203">
        <f t="shared" si="38"/>
        <v>198</v>
      </c>
      <c r="N203" s="218">
        <f t="shared" si="42"/>
        <v>0</v>
      </c>
      <c r="O203" s="218">
        <f t="shared" si="43"/>
        <v>0</v>
      </c>
      <c r="P203" s="4">
        <v>198</v>
      </c>
      <c r="R203">
        <f t="shared" si="39"/>
        <v>198</v>
      </c>
      <c r="S203" s="218">
        <f t="shared" ca="1" si="44"/>
        <v>0</v>
      </c>
      <c r="T203" s="218">
        <f t="shared" ca="1" si="45"/>
        <v>0</v>
      </c>
      <c r="U203" s="4">
        <v>198</v>
      </c>
      <c r="W203">
        <f t="shared" si="40"/>
        <v>198</v>
      </c>
      <c r="X203" s="218" t="e">
        <f t="shared" si="46"/>
        <v>#REF!</v>
      </c>
      <c r="Y203" s="218" t="e">
        <f t="shared" si="47"/>
        <v>#REF!</v>
      </c>
      <c r="Z203" s="4">
        <v>198</v>
      </c>
      <c r="AB203">
        <f t="shared" si="41"/>
        <v>198</v>
      </c>
      <c r="AC203" s="218" t="e">
        <f t="shared" si="48"/>
        <v>#REF!</v>
      </c>
      <c r="AD203" s="218" t="e">
        <f t="shared" si="49"/>
        <v>#REF!</v>
      </c>
      <c r="AE203" s="4">
        <v>198</v>
      </c>
    </row>
    <row r="204" spans="13:31">
      <c r="M204">
        <f t="shared" si="38"/>
        <v>199</v>
      </c>
      <c r="N204" s="218">
        <f t="shared" si="42"/>
        <v>0</v>
      </c>
      <c r="O204" s="218">
        <f t="shared" si="43"/>
        <v>0</v>
      </c>
      <c r="P204" s="4">
        <v>199</v>
      </c>
      <c r="R204">
        <f t="shared" si="39"/>
        <v>199</v>
      </c>
      <c r="S204" s="218">
        <f t="shared" ca="1" si="44"/>
        <v>0</v>
      </c>
      <c r="T204" s="218">
        <f t="shared" ca="1" si="45"/>
        <v>0</v>
      </c>
      <c r="U204" s="4">
        <v>199</v>
      </c>
      <c r="W204">
        <f t="shared" si="40"/>
        <v>199</v>
      </c>
      <c r="X204" s="218" t="e">
        <f t="shared" si="46"/>
        <v>#REF!</v>
      </c>
      <c r="Y204" s="218" t="e">
        <f t="shared" si="47"/>
        <v>#REF!</v>
      </c>
      <c r="Z204" s="4">
        <v>199</v>
      </c>
      <c r="AB204">
        <f t="shared" si="41"/>
        <v>199</v>
      </c>
      <c r="AC204" s="218" t="e">
        <f t="shared" si="48"/>
        <v>#REF!</v>
      </c>
      <c r="AD204" s="218" t="e">
        <f t="shared" si="49"/>
        <v>#REF!</v>
      </c>
      <c r="AE204" s="4">
        <v>199</v>
      </c>
    </row>
    <row r="205" spans="13:31">
      <c r="M205">
        <f t="shared" si="38"/>
        <v>200</v>
      </c>
      <c r="N205" s="218">
        <f t="shared" si="42"/>
        <v>0</v>
      </c>
      <c r="O205" s="218">
        <f t="shared" si="43"/>
        <v>0</v>
      </c>
      <c r="P205" s="4">
        <v>200</v>
      </c>
      <c r="R205">
        <f t="shared" si="39"/>
        <v>200</v>
      </c>
      <c r="S205" s="218">
        <f t="shared" ca="1" si="44"/>
        <v>0</v>
      </c>
      <c r="T205" s="218">
        <f t="shared" ca="1" si="45"/>
        <v>0</v>
      </c>
      <c r="U205" s="4">
        <v>200</v>
      </c>
      <c r="W205">
        <f t="shared" si="40"/>
        <v>200</v>
      </c>
      <c r="X205" s="218" t="e">
        <f t="shared" si="46"/>
        <v>#REF!</v>
      </c>
      <c r="Y205" s="218" t="e">
        <f t="shared" si="47"/>
        <v>#REF!</v>
      </c>
      <c r="Z205" s="4">
        <v>200</v>
      </c>
      <c r="AB205">
        <f t="shared" si="41"/>
        <v>200</v>
      </c>
      <c r="AC205" s="218" t="e">
        <f t="shared" si="48"/>
        <v>#REF!</v>
      </c>
      <c r="AD205" s="218" t="e">
        <f t="shared" si="49"/>
        <v>#REF!</v>
      </c>
      <c r="AE205" s="4">
        <v>200</v>
      </c>
    </row>
    <row r="206" spans="13:31">
      <c r="M206">
        <f t="shared" si="38"/>
        <v>201</v>
      </c>
      <c r="N206" s="218">
        <f t="shared" si="42"/>
        <v>0</v>
      </c>
      <c r="O206" s="218">
        <f t="shared" si="43"/>
        <v>0</v>
      </c>
      <c r="P206" s="4">
        <v>201</v>
      </c>
      <c r="R206">
        <f t="shared" si="39"/>
        <v>201</v>
      </c>
      <c r="S206" s="218">
        <f t="shared" ca="1" si="44"/>
        <v>0</v>
      </c>
      <c r="T206" s="218">
        <f t="shared" ca="1" si="45"/>
        <v>0</v>
      </c>
      <c r="U206" s="4">
        <v>201</v>
      </c>
      <c r="W206">
        <f t="shared" si="40"/>
        <v>201</v>
      </c>
      <c r="X206" s="218" t="e">
        <f t="shared" si="46"/>
        <v>#REF!</v>
      </c>
      <c r="Y206" s="218" t="e">
        <f t="shared" si="47"/>
        <v>#REF!</v>
      </c>
      <c r="Z206" s="4">
        <v>201</v>
      </c>
      <c r="AB206">
        <f t="shared" si="41"/>
        <v>201</v>
      </c>
      <c r="AC206" s="218" t="e">
        <f t="shared" si="48"/>
        <v>#REF!</v>
      </c>
      <c r="AD206" s="218" t="e">
        <f t="shared" si="49"/>
        <v>#REF!</v>
      </c>
      <c r="AE206" s="4">
        <v>201</v>
      </c>
    </row>
    <row r="207" spans="13:31">
      <c r="M207">
        <f t="shared" si="38"/>
        <v>202</v>
      </c>
      <c r="N207" s="218">
        <f t="shared" si="42"/>
        <v>0</v>
      </c>
      <c r="O207" s="218">
        <f t="shared" si="43"/>
        <v>0</v>
      </c>
      <c r="P207" s="4">
        <v>202</v>
      </c>
      <c r="R207">
        <f t="shared" si="39"/>
        <v>202</v>
      </c>
      <c r="S207" s="218">
        <f t="shared" ca="1" si="44"/>
        <v>0</v>
      </c>
      <c r="T207" s="218">
        <f t="shared" ca="1" si="45"/>
        <v>0</v>
      </c>
      <c r="U207" s="4">
        <v>202</v>
      </c>
      <c r="W207">
        <f t="shared" si="40"/>
        <v>202</v>
      </c>
      <c r="X207" s="218" t="e">
        <f t="shared" si="46"/>
        <v>#REF!</v>
      </c>
      <c r="Y207" s="218" t="e">
        <f t="shared" si="47"/>
        <v>#REF!</v>
      </c>
      <c r="Z207" s="4">
        <v>202</v>
      </c>
      <c r="AB207">
        <f t="shared" si="41"/>
        <v>202</v>
      </c>
      <c r="AC207" s="218" t="e">
        <f t="shared" si="48"/>
        <v>#REF!</v>
      </c>
      <c r="AD207" s="218" t="e">
        <f t="shared" si="49"/>
        <v>#REF!</v>
      </c>
      <c r="AE207" s="4">
        <v>202</v>
      </c>
    </row>
    <row r="208" spans="13:31">
      <c r="M208">
        <f t="shared" si="38"/>
        <v>203</v>
      </c>
      <c r="N208" s="218">
        <f t="shared" si="42"/>
        <v>0</v>
      </c>
      <c r="O208" s="218">
        <f t="shared" si="43"/>
        <v>0</v>
      </c>
      <c r="P208" s="4">
        <v>203</v>
      </c>
      <c r="R208">
        <f t="shared" si="39"/>
        <v>203</v>
      </c>
      <c r="S208" s="218">
        <f t="shared" ca="1" si="44"/>
        <v>0</v>
      </c>
      <c r="T208" s="218">
        <f t="shared" ca="1" si="45"/>
        <v>0</v>
      </c>
      <c r="U208" s="4">
        <v>203</v>
      </c>
      <c r="W208">
        <f t="shared" si="40"/>
        <v>203</v>
      </c>
      <c r="X208" s="218" t="e">
        <f t="shared" si="46"/>
        <v>#REF!</v>
      </c>
      <c r="Y208" s="218" t="e">
        <f t="shared" si="47"/>
        <v>#REF!</v>
      </c>
      <c r="Z208" s="4">
        <v>203</v>
      </c>
      <c r="AB208">
        <f t="shared" si="41"/>
        <v>203</v>
      </c>
      <c r="AC208" s="218" t="e">
        <f t="shared" si="48"/>
        <v>#REF!</v>
      </c>
      <c r="AD208" s="218" t="e">
        <f t="shared" si="49"/>
        <v>#REF!</v>
      </c>
      <c r="AE208" s="4">
        <v>203</v>
      </c>
    </row>
    <row r="209" spans="13:31">
      <c r="M209">
        <f t="shared" si="38"/>
        <v>204</v>
      </c>
      <c r="N209" s="218">
        <f t="shared" si="42"/>
        <v>0</v>
      </c>
      <c r="O209" s="218">
        <f t="shared" si="43"/>
        <v>0</v>
      </c>
      <c r="P209" s="4">
        <v>204</v>
      </c>
      <c r="R209">
        <f t="shared" si="39"/>
        <v>204</v>
      </c>
      <c r="S209" s="218">
        <f t="shared" ca="1" si="44"/>
        <v>0</v>
      </c>
      <c r="T209" s="218">
        <f t="shared" ca="1" si="45"/>
        <v>0</v>
      </c>
      <c r="U209" s="4">
        <v>204</v>
      </c>
      <c r="W209">
        <f t="shared" si="40"/>
        <v>204</v>
      </c>
      <c r="X209" s="218" t="e">
        <f t="shared" si="46"/>
        <v>#REF!</v>
      </c>
      <c r="Y209" s="218" t="e">
        <f t="shared" si="47"/>
        <v>#REF!</v>
      </c>
      <c r="Z209" s="4">
        <v>204</v>
      </c>
      <c r="AB209">
        <f t="shared" si="41"/>
        <v>204</v>
      </c>
      <c r="AC209" s="218" t="e">
        <f t="shared" si="48"/>
        <v>#REF!</v>
      </c>
      <c r="AD209" s="218" t="e">
        <f t="shared" si="49"/>
        <v>#REF!</v>
      </c>
      <c r="AE209" s="4">
        <v>204</v>
      </c>
    </row>
    <row r="210" spans="13:31">
      <c r="M210">
        <f t="shared" si="38"/>
        <v>205</v>
      </c>
      <c r="N210" s="218">
        <f t="shared" si="42"/>
        <v>0</v>
      </c>
      <c r="O210" s="218">
        <f t="shared" si="43"/>
        <v>0</v>
      </c>
      <c r="P210" s="4">
        <v>205</v>
      </c>
      <c r="R210">
        <f t="shared" si="39"/>
        <v>205</v>
      </c>
      <c r="S210" s="218">
        <f t="shared" ca="1" si="44"/>
        <v>0</v>
      </c>
      <c r="T210" s="218">
        <f t="shared" ca="1" si="45"/>
        <v>0</v>
      </c>
      <c r="U210" s="4">
        <v>205</v>
      </c>
      <c r="W210">
        <f t="shared" si="40"/>
        <v>205</v>
      </c>
      <c r="X210" s="218" t="e">
        <f t="shared" si="46"/>
        <v>#REF!</v>
      </c>
      <c r="Y210" s="218" t="e">
        <f t="shared" si="47"/>
        <v>#REF!</v>
      </c>
      <c r="Z210" s="4">
        <v>205</v>
      </c>
      <c r="AB210">
        <f t="shared" si="41"/>
        <v>205</v>
      </c>
      <c r="AC210" s="218" t="e">
        <f t="shared" si="48"/>
        <v>#REF!</v>
      </c>
      <c r="AD210" s="218" t="e">
        <f t="shared" si="49"/>
        <v>#REF!</v>
      </c>
      <c r="AE210" s="4">
        <v>205</v>
      </c>
    </row>
    <row r="211" spans="13:31">
      <c r="M211">
        <f t="shared" si="38"/>
        <v>206</v>
      </c>
      <c r="N211" s="218">
        <f t="shared" si="42"/>
        <v>0</v>
      </c>
      <c r="O211" s="218">
        <f t="shared" si="43"/>
        <v>0</v>
      </c>
      <c r="P211" s="4">
        <v>206</v>
      </c>
      <c r="R211">
        <f t="shared" si="39"/>
        <v>206</v>
      </c>
      <c r="S211" s="218">
        <f t="shared" ca="1" si="44"/>
        <v>0</v>
      </c>
      <c r="T211" s="218">
        <f t="shared" ca="1" si="45"/>
        <v>0</v>
      </c>
      <c r="U211" s="4">
        <v>206</v>
      </c>
      <c r="W211">
        <f t="shared" si="40"/>
        <v>206</v>
      </c>
      <c r="X211" s="218" t="e">
        <f t="shared" si="46"/>
        <v>#REF!</v>
      </c>
      <c r="Y211" s="218" t="e">
        <f t="shared" si="47"/>
        <v>#REF!</v>
      </c>
      <c r="Z211" s="4">
        <v>206</v>
      </c>
      <c r="AB211">
        <f t="shared" si="41"/>
        <v>206</v>
      </c>
      <c r="AC211" s="218" t="e">
        <f t="shared" si="48"/>
        <v>#REF!</v>
      </c>
      <c r="AD211" s="218" t="e">
        <f t="shared" si="49"/>
        <v>#REF!</v>
      </c>
      <c r="AE211" s="4">
        <v>206</v>
      </c>
    </row>
    <row r="212" spans="13:31">
      <c r="M212">
        <f t="shared" si="38"/>
        <v>207</v>
      </c>
      <c r="N212" s="218">
        <f t="shared" si="42"/>
        <v>0</v>
      </c>
      <c r="O212" s="218">
        <f t="shared" si="43"/>
        <v>0</v>
      </c>
      <c r="P212" s="4">
        <v>207</v>
      </c>
      <c r="R212">
        <f t="shared" si="39"/>
        <v>207</v>
      </c>
      <c r="S212" s="218">
        <f t="shared" ca="1" si="44"/>
        <v>0</v>
      </c>
      <c r="T212" s="218">
        <f t="shared" ca="1" si="45"/>
        <v>0</v>
      </c>
      <c r="U212" s="4">
        <v>207</v>
      </c>
      <c r="W212">
        <f t="shared" si="40"/>
        <v>207</v>
      </c>
      <c r="X212" s="218" t="e">
        <f t="shared" si="46"/>
        <v>#REF!</v>
      </c>
      <c r="Y212" s="218" t="e">
        <f t="shared" si="47"/>
        <v>#REF!</v>
      </c>
      <c r="Z212" s="4">
        <v>207</v>
      </c>
      <c r="AB212">
        <f t="shared" si="41"/>
        <v>207</v>
      </c>
      <c r="AC212" s="218" t="e">
        <f t="shared" si="48"/>
        <v>#REF!</v>
      </c>
      <c r="AD212" s="218" t="e">
        <f t="shared" si="49"/>
        <v>#REF!</v>
      </c>
      <c r="AE212" s="4">
        <v>207</v>
      </c>
    </row>
    <row r="213" spans="13:31">
      <c r="M213">
        <f t="shared" si="38"/>
        <v>208</v>
      </c>
      <c r="N213" s="218">
        <f t="shared" si="42"/>
        <v>0</v>
      </c>
      <c r="O213" s="218">
        <f t="shared" si="43"/>
        <v>0</v>
      </c>
      <c r="P213" s="4">
        <v>208</v>
      </c>
      <c r="R213">
        <f t="shared" si="39"/>
        <v>208</v>
      </c>
      <c r="S213" s="218">
        <f t="shared" ca="1" si="44"/>
        <v>0</v>
      </c>
      <c r="T213" s="218">
        <f t="shared" ca="1" si="45"/>
        <v>0</v>
      </c>
      <c r="U213" s="4">
        <v>208</v>
      </c>
      <c r="W213">
        <f t="shared" si="40"/>
        <v>208</v>
      </c>
      <c r="X213" s="218" t="e">
        <f t="shared" si="46"/>
        <v>#REF!</v>
      </c>
      <c r="Y213" s="218" t="e">
        <f t="shared" si="47"/>
        <v>#REF!</v>
      </c>
      <c r="Z213" s="4">
        <v>208</v>
      </c>
      <c r="AB213">
        <f t="shared" si="41"/>
        <v>208</v>
      </c>
      <c r="AC213" s="218" t="e">
        <f t="shared" si="48"/>
        <v>#REF!</v>
      </c>
      <c r="AD213" s="218" t="e">
        <f t="shared" si="49"/>
        <v>#REF!</v>
      </c>
      <c r="AE213" s="4">
        <v>208</v>
      </c>
    </row>
    <row r="214" spans="13:31">
      <c r="M214">
        <f t="shared" si="38"/>
        <v>209</v>
      </c>
      <c r="N214" s="218">
        <f t="shared" si="42"/>
        <v>0</v>
      </c>
      <c r="O214" s="218">
        <f t="shared" si="43"/>
        <v>0</v>
      </c>
      <c r="P214" s="4">
        <v>209</v>
      </c>
      <c r="R214">
        <f t="shared" si="39"/>
        <v>209</v>
      </c>
      <c r="S214" s="218">
        <f t="shared" ca="1" si="44"/>
        <v>0</v>
      </c>
      <c r="T214" s="218">
        <f t="shared" ca="1" si="45"/>
        <v>0</v>
      </c>
      <c r="U214" s="4">
        <v>209</v>
      </c>
      <c r="W214">
        <f t="shared" si="40"/>
        <v>209</v>
      </c>
      <c r="X214" s="218" t="e">
        <f t="shared" si="46"/>
        <v>#REF!</v>
      </c>
      <c r="Y214" s="218" t="e">
        <f t="shared" si="47"/>
        <v>#REF!</v>
      </c>
      <c r="Z214" s="4">
        <v>209</v>
      </c>
      <c r="AB214">
        <f t="shared" si="41"/>
        <v>209</v>
      </c>
      <c r="AC214" s="218" t="e">
        <f t="shared" si="48"/>
        <v>#REF!</v>
      </c>
      <c r="AD214" s="218" t="e">
        <f t="shared" si="49"/>
        <v>#REF!</v>
      </c>
      <c r="AE214" s="4">
        <v>209</v>
      </c>
    </row>
    <row r="215" spans="13:31">
      <c r="M215">
        <f t="shared" si="38"/>
        <v>210</v>
      </c>
      <c r="N215" s="218">
        <f t="shared" si="42"/>
        <v>0</v>
      </c>
      <c r="O215" s="218">
        <f t="shared" si="43"/>
        <v>0</v>
      </c>
      <c r="P215" s="4">
        <v>210</v>
      </c>
      <c r="R215">
        <f t="shared" si="39"/>
        <v>210</v>
      </c>
      <c r="S215" s="218">
        <f t="shared" ca="1" si="44"/>
        <v>0</v>
      </c>
      <c r="T215" s="218">
        <f t="shared" ca="1" si="45"/>
        <v>0</v>
      </c>
      <c r="U215" s="4">
        <v>210</v>
      </c>
      <c r="W215">
        <f t="shared" si="40"/>
        <v>210</v>
      </c>
      <c r="X215" s="218" t="e">
        <f t="shared" si="46"/>
        <v>#REF!</v>
      </c>
      <c r="Y215" s="218" t="e">
        <f t="shared" si="47"/>
        <v>#REF!</v>
      </c>
      <c r="Z215" s="4">
        <v>210</v>
      </c>
      <c r="AB215">
        <f t="shared" si="41"/>
        <v>210</v>
      </c>
      <c r="AC215" s="218" t="e">
        <f t="shared" si="48"/>
        <v>#REF!</v>
      </c>
      <c r="AD215" s="218" t="e">
        <f t="shared" si="49"/>
        <v>#REF!</v>
      </c>
      <c r="AE215" s="4">
        <v>210</v>
      </c>
    </row>
    <row r="216" spans="13:31">
      <c r="M216">
        <f t="shared" si="38"/>
        <v>211</v>
      </c>
      <c r="N216" s="218">
        <f t="shared" si="42"/>
        <v>0</v>
      </c>
      <c r="O216" s="218">
        <f t="shared" si="43"/>
        <v>0</v>
      </c>
      <c r="P216" s="4">
        <v>211</v>
      </c>
      <c r="R216">
        <f t="shared" si="39"/>
        <v>211</v>
      </c>
      <c r="S216" s="218">
        <f t="shared" ca="1" si="44"/>
        <v>0</v>
      </c>
      <c r="T216" s="218">
        <f t="shared" ca="1" si="45"/>
        <v>0</v>
      </c>
      <c r="U216" s="4">
        <v>211</v>
      </c>
      <c r="W216">
        <f t="shared" si="40"/>
        <v>211</v>
      </c>
      <c r="X216" s="218" t="e">
        <f t="shared" si="46"/>
        <v>#REF!</v>
      </c>
      <c r="Y216" s="218" t="e">
        <f t="shared" si="47"/>
        <v>#REF!</v>
      </c>
      <c r="Z216" s="4">
        <v>211</v>
      </c>
      <c r="AB216">
        <f t="shared" si="41"/>
        <v>211</v>
      </c>
      <c r="AC216" s="218" t="e">
        <f t="shared" si="48"/>
        <v>#REF!</v>
      </c>
      <c r="AD216" s="218" t="e">
        <f t="shared" si="49"/>
        <v>#REF!</v>
      </c>
      <c r="AE216" s="4">
        <v>211</v>
      </c>
    </row>
    <row r="217" spans="13:31">
      <c r="M217">
        <f t="shared" si="38"/>
        <v>212</v>
      </c>
      <c r="N217" s="218">
        <f t="shared" si="42"/>
        <v>0</v>
      </c>
      <c r="O217" s="218">
        <f t="shared" si="43"/>
        <v>0</v>
      </c>
      <c r="P217" s="4">
        <v>212</v>
      </c>
      <c r="R217">
        <f t="shared" si="39"/>
        <v>212</v>
      </c>
      <c r="S217" s="218">
        <f t="shared" ca="1" si="44"/>
        <v>0</v>
      </c>
      <c r="T217" s="218">
        <f t="shared" ca="1" si="45"/>
        <v>0</v>
      </c>
      <c r="U217" s="4">
        <v>212</v>
      </c>
      <c r="W217">
        <f t="shared" si="40"/>
        <v>212</v>
      </c>
      <c r="X217" s="218" t="e">
        <f t="shared" si="46"/>
        <v>#REF!</v>
      </c>
      <c r="Y217" s="218" t="e">
        <f t="shared" si="47"/>
        <v>#REF!</v>
      </c>
      <c r="Z217" s="4">
        <v>212</v>
      </c>
      <c r="AB217">
        <f t="shared" si="41"/>
        <v>212</v>
      </c>
      <c r="AC217" s="218" t="e">
        <f t="shared" si="48"/>
        <v>#REF!</v>
      </c>
      <c r="AD217" s="218" t="e">
        <f t="shared" si="49"/>
        <v>#REF!</v>
      </c>
      <c r="AE217" s="4">
        <v>212</v>
      </c>
    </row>
    <row r="218" spans="13:31">
      <c r="M218">
        <f t="shared" si="38"/>
        <v>213</v>
      </c>
      <c r="N218" s="218">
        <f t="shared" si="42"/>
        <v>0</v>
      </c>
      <c r="O218" s="218">
        <f t="shared" si="43"/>
        <v>0</v>
      </c>
      <c r="P218" s="4">
        <v>213</v>
      </c>
      <c r="R218">
        <f t="shared" si="39"/>
        <v>213</v>
      </c>
      <c r="S218" s="218">
        <f t="shared" ca="1" si="44"/>
        <v>0</v>
      </c>
      <c r="T218" s="218">
        <f t="shared" ca="1" si="45"/>
        <v>0</v>
      </c>
      <c r="U218" s="4">
        <v>213</v>
      </c>
      <c r="W218">
        <f t="shared" si="40"/>
        <v>213</v>
      </c>
      <c r="X218" s="218" t="e">
        <f t="shared" si="46"/>
        <v>#REF!</v>
      </c>
      <c r="Y218" s="218" t="e">
        <f t="shared" si="47"/>
        <v>#REF!</v>
      </c>
      <c r="Z218" s="4">
        <v>213</v>
      </c>
      <c r="AB218">
        <f t="shared" si="41"/>
        <v>213</v>
      </c>
      <c r="AC218" s="218" t="e">
        <f t="shared" si="48"/>
        <v>#REF!</v>
      </c>
      <c r="AD218" s="218" t="e">
        <f t="shared" si="49"/>
        <v>#REF!</v>
      </c>
      <c r="AE218" s="4">
        <v>213</v>
      </c>
    </row>
    <row r="219" spans="13:31">
      <c r="M219">
        <f t="shared" si="38"/>
        <v>214</v>
      </c>
      <c r="N219" s="218">
        <f t="shared" si="42"/>
        <v>0</v>
      </c>
      <c r="O219" s="218">
        <f t="shared" si="43"/>
        <v>0</v>
      </c>
      <c r="P219" s="4">
        <v>214</v>
      </c>
      <c r="R219">
        <f t="shared" si="39"/>
        <v>214</v>
      </c>
      <c r="S219" s="218">
        <f t="shared" ca="1" si="44"/>
        <v>0</v>
      </c>
      <c r="T219" s="218">
        <f t="shared" ca="1" si="45"/>
        <v>0</v>
      </c>
      <c r="U219" s="4">
        <v>214</v>
      </c>
      <c r="W219">
        <f t="shared" si="40"/>
        <v>214</v>
      </c>
      <c r="X219" s="218" t="e">
        <f t="shared" si="46"/>
        <v>#REF!</v>
      </c>
      <c r="Y219" s="218" t="e">
        <f t="shared" si="47"/>
        <v>#REF!</v>
      </c>
      <c r="Z219" s="4">
        <v>214</v>
      </c>
      <c r="AB219">
        <f t="shared" si="41"/>
        <v>214</v>
      </c>
      <c r="AC219" s="218" t="e">
        <f t="shared" si="48"/>
        <v>#REF!</v>
      </c>
      <c r="AD219" s="218" t="e">
        <f t="shared" si="49"/>
        <v>#REF!</v>
      </c>
      <c r="AE219" s="4">
        <v>214</v>
      </c>
    </row>
    <row r="220" spans="13:31">
      <c r="M220">
        <f t="shared" si="38"/>
        <v>215</v>
      </c>
      <c r="N220" s="218">
        <f t="shared" si="42"/>
        <v>0</v>
      </c>
      <c r="O220" s="218">
        <f t="shared" si="43"/>
        <v>0</v>
      </c>
      <c r="P220" s="4">
        <v>215</v>
      </c>
      <c r="R220">
        <f t="shared" si="39"/>
        <v>215</v>
      </c>
      <c r="S220" s="218">
        <f t="shared" ca="1" si="44"/>
        <v>0</v>
      </c>
      <c r="T220" s="218">
        <f t="shared" ca="1" si="45"/>
        <v>0</v>
      </c>
      <c r="U220" s="4">
        <v>215</v>
      </c>
      <c r="W220">
        <f t="shared" si="40"/>
        <v>215</v>
      </c>
      <c r="X220" s="218" t="e">
        <f t="shared" si="46"/>
        <v>#REF!</v>
      </c>
      <c r="Y220" s="218" t="e">
        <f t="shared" si="47"/>
        <v>#REF!</v>
      </c>
      <c r="Z220" s="4">
        <v>215</v>
      </c>
      <c r="AB220">
        <f t="shared" si="41"/>
        <v>215</v>
      </c>
      <c r="AC220" s="218" t="e">
        <f t="shared" si="48"/>
        <v>#REF!</v>
      </c>
      <c r="AD220" s="218" t="e">
        <f t="shared" si="49"/>
        <v>#REF!</v>
      </c>
      <c r="AE220" s="4">
        <v>215</v>
      </c>
    </row>
    <row r="221" spans="13:31">
      <c r="M221">
        <f t="shared" si="38"/>
        <v>216</v>
      </c>
      <c r="N221" s="218">
        <f t="shared" si="42"/>
        <v>0</v>
      </c>
      <c r="O221" s="218">
        <f t="shared" si="43"/>
        <v>0</v>
      </c>
      <c r="P221" s="4">
        <v>216</v>
      </c>
      <c r="R221">
        <f t="shared" si="39"/>
        <v>216</v>
      </c>
      <c r="S221" s="218">
        <f t="shared" ca="1" si="44"/>
        <v>0</v>
      </c>
      <c r="T221" s="218">
        <f t="shared" ca="1" si="45"/>
        <v>0</v>
      </c>
      <c r="U221" s="4">
        <v>216</v>
      </c>
      <c r="W221">
        <f t="shared" si="40"/>
        <v>216</v>
      </c>
      <c r="X221" s="218" t="e">
        <f t="shared" si="46"/>
        <v>#REF!</v>
      </c>
      <c r="Y221" s="218" t="e">
        <f t="shared" si="47"/>
        <v>#REF!</v>
      </c>
      <c r="Z221" s="4">
        <v>216</v>
      </c>
      <c r="AB221">
        <f t="shared" si="41"/>
        <v>216</v>
      </c>
      <c r="AC221" s="218" t="e">
        <f t="shared" si="48"/>
        <v>#REF!</v>
      </c>
      <c r="AD221" s="218" t="e">
        <f t="shared" si="49"/>
        <v>#REF!</v>
      </c>
      <c r="AE221" s="4">
        <v>216</v>
      </c>
    </row>
    <row r="222" spans="13:31">
      <c r="M222">
        <f t="shared" si="38"/>
        <v>217</v>
      </c>
      <c r="N222" s="218">
        <f t="shared" si="42"/>
        <v>0</v>
      </c>
      <c r="O222" s="218">
        <f t="shared" si="43"/>
        <v>0</v>
      </c>
      <c r="P222" s="4">
        <v>217</v>
      </c>
      <c r="R222">
        <f t="shared" si="39"/>
        <v>217</v>
      </c>
      <c r="S222" s="218">
        <f t="shared" ca="1" si="44"/>
        <v>0</v>
      </c>
      <c r="T222" s="218">
        <f t="shared" ca="1" si="45"/>
        <v>0</v>
      </c>
      <c r="U222" s="4">
        <v>217</v>
      </c>
      <c r="W222">
        <f t="shared" si="40"/>
        <v>217</v>
      </c>
      <c r="X222" s="218" t="e">
        <f t="shared" si="46"/>
        <v>#REF!</v>
      </c>
      <c r="Y222" s="218" t="e">
        <f t="shared" si="47"/>
        <v>#REF!</v>
      </c>
      <c r="Z222" s="4">
        <v>217</v>
      </c>
      <c r="AB222">
        <f t="shared" si="41"/>
        <v>217</v>
      </c>
      <c r="AC222" s="218" t="e">
        <f t="shared" si="48"/>
        <v>#REF!</v>
      </c>
      <c r="AD222" s="218" t="e">
        <f t="shared" si="49"/>
        <v>#REF!</v>
      </c>
      <c r="AE222" s="4">
        <v>217</v>
      </c>
    </row>
    <row r="223" spans="13:31">
      <c r="M223">
        <f t="shared" si="38"/>
        <v>218</v>
      </c>
      <c r="N223" s="218">
        <f t="shared" si="42"/>
        <v>0</v>
      </c>
      <c r="O223" s="218">
        <f t="shared" si="43"/>
        <v>0</v>
      </c>
      <c r="P223" s="4">
        <v>218</v>
      </c>
      <c r="R223">
        <f t="shared" si="39"/>
        <v>218</v>
      </c>
      <c r="S223" s="218">
        <f t="shared" ca="1" si="44"/>
        <v>0</v>
      </c>
      <c r="T223" s="218">
        <f t="shared" ca="1" si="45"/>
        <v>0</v>
      </c>
      <c r="U223" s="4">
        <v>218</v>
      </c>
      <c r="W223">
        <f t="shared" si="40"/>
        <v>218</v>
      </c>
      <c r="X223" s="218" t="e">
        <f t="shared" si="46"/>
        <v>#REF!</v>
      </c>
      <c r="Y223" s="218" t="e">
        <f t="shared" si="47"/>
        <v>#REF!</v>
      </c>
      <c r="Z223" s="4">
        <v>218</v>
      </c>
      <c r="AB223">
        <f t="shared" si="41"/>
        <v>218</v>
      </c>
      <c r="AC223" s="218" t="e">
        <f t="shared" si="48"/>
        <v>#REF!</v>
      </c>
      <c r="AD223" s="218" t="e">
        <f t="shared" si="49"/>
        <v>#REF!</v>
      </c>
      <c r="AE223" s="4">
        <v>218</v>
      </c>
    </row>
    <row r="224" spans="13:31">
      <c r="M224">
        <f t="shared" si="38"/>
        <v>219</v>
      </c>
      <c r="N224" s="218">
        <f t="shared" si="42"/>
        <v>0</v>
      </c>
      <c r="O224" s="218">
        <f t="shared" si="43"/>
        <v>0</v>
      </c>
      <c r="P224" s="4">
        <v>219</v>
      </c>
      <c r="R224">
        <f t="shared" si="39"/>
        <v>219</v>
      </c>
      <c r="S224" s="218">
        <f t="shared" ca="1" si="44"/>
        <v>0</v>
      </c>
      <c r="T224" s="218">
        <f t="shared" ca="1" si="45"/>
        <v>0</v>
      </c>
      <c r="U224" s="4">
        <v>219</v>
      </c>
      <c r="W224">
        <f t="shared" si="40"/>
        <v>219</v>
      </c>
      <c r="X224" s="218" t="e">
        <f t="shared" si="46"/>
        <v>#REF!</v>
      </c>
      <c r="Y224" s="218" t="e">
        <f t="shared" si="47"/>
        <v>#REF!</v>
      </c>
      <c r="Z224" s="4">
        <v>219</v>
      </c>
      <c r="AB224">
        <f t="shared" si="41"/>
        <v>219</v>
      </c>
      <c r="AC224" s="218" t="e">
        <f t="shared" si="48"/>
        <v>#REF!</v>
      </c>
      <c r="AD224" s="218" t="e">
        <f t="shared" si="49"/>
        <v>#REF!</v>
      </c>
      <c r="AE224" s="4">
        <v>219</v>
      </c>
    </row>
    <row r="225" spans="13:31">
      <c r="M225">
        <f t="shared" si="38"/>
        <v>220</v>
      </c>
      <c r="N225" s="218">
        <f t="shared" si="42"/>
        <v>0</v>
      </c>
      <c r="O225" s="218">
        <f t="shared" si="43"/>
        <v>0</v>
      </c>
      <c r="P225" s="4">
        <v>220</v>
      </c>
      <c r="R225">
        <f t="shared" si="39"/>
        <v>220</v>
      </c>
      <c r="S225" s="218">
        <f t="shared" ca="1" si="44"/>
        <v>0</v>
      </c>
      <c r="T225" s="218">
        <f t="shared" ca="1" si="45"/>
        <v>0</v>
      </c>
      <c r="U225" s="4">
        <v>220</v>
      </c>
      <c r="W225">
        <f t="shared" si="40"/>
        <v>220</v>
      </c>
      <c r="X225" s="218" t="e">
        <f t="shared" si="46"/>
        <v>#REF!</v>
      </c>
      <c r="Y225" s="218" t="e">
        <f t="shared" si="47"/>
        <v>#REF!</v>
      </c>
      <c r="Z225" s="4">
        <v>220</v>
      </c>
      <c r="AB225">
        <f t="shared" si="41"/>
        <v>220</v>
      </c>
      <c r="AC225" s="218" t="e">
        <f t="shared" si="48"/>
        <v>#REF!</v>
      </c>
      <c r="AD225" s="218" t="e">
        <f t="shared" si="49"/>
        <v>#REF!</v>
      </c>
      <c r="AE225" s="4">
        <v>220</v>
      </c>
    </row>
    <row r="226" spans="13:31">
      <c r="M226">
        <f t="shared" si="38"/>
        <v>221</v>
      </c>
      <c r="N226" s="218">
        <f t="shared" si="42"/>
        <v>0</v>
      </c>
      <c r="O226" s="218">
        <f t="shared" si="43"/>
        <v>0</v>
      </c>
      <c r="P226" s="4">
        <v>221</v>
      </c>
      <c r="R226">
        <f t="shared" si="39"/>
        <v>221</v>
      </c>
      <c r="S226" s="218">
        <f t="shared" ca="1" si="44"/>
        <v>0</v>
      </c>
      <c r="T226" s="218">
        <f t="shared" ca="1" si="45"/>
        <v>0</v>
      </c>
      <c r="U226" s="4">
        <v>221</v>
      </c>
      <c r="W226">
        <f t="shared" si="40"/>
        <v>221</v>
      </c>
      <c r="X226" s="218" t="e">
        <f t="shared" si="46"/>
        <v>#REF!</v>
      </c>
      <c r="Y226" s="218" t="e">
        <f t="shared" si="47"/>
        <v>#REF!</v>
      </c>
      <c r="Z226" s="4">
        <v>221</v>
      </c>
      <c r="AB226">
        <f t="shared" si="41"/>
        <v>221</v>
      </c>
      <c r="AC226" s="218" t="e">
        <f t="shared" si="48"/>
        <v>#REF!</v>
      </c>
      <c r="AD226" s="218" t="e">
        <f t="shared" si="49"/>
        <v>#REF!</v>
      </c>
      <c r="AE226" s="4">
        <v>221</v>
      </c>
    </row>
    <row r="227" spans="13:31">
      <c r="M227">
        <f t="shared" si="38"/>
        <v>222</v>
      </c>
      <c r="N227" s="218">
        <f t="shared" si="42"/>
        <v>0</v>
      </c>
      <c r="O227" s="218">
        <f t="shared" si="43"/>
        <v>0</v>
      </c>
      <c r="P227" s="4">
        <v>222</v>
      </c>
      <c r="R227">
        <f t="shared" si="39"/>
        <v>222</v>
      </c>
      <c r="S227" s="218">
        <f t="shared" ca="1" si="44"/>
        <v>0</v>
      </c>
      <c r="T227" s="218">
        <f t="shared" ca="1" si="45"/>
        <v>0</v>
      </c>
      <c r="U227" s="4">
        <v>222</v>
      </c>
      <c r="W227">
        <f t="shared" si="40"/>
        <v>222</v>
      </c>
      <c r="X227" s="218" t="e">
        <f t="shared" si="46"/>
        <v>#REF!</v>
      </c>
      <c r="Y227" s="218" t="e">
        <f t="shared" si="47"/>
        <v>#REF!</v>
      </c>
      <c r="Z227" s="4">
        <v>222</v>
      </c>
      <c r="AB227">
        <f t="shared" si="41"/>
        <v>222</v>
      </c>
      <c r="AC227" s="218" t="e">
        <f t="shared" si="48"/>
        <v>#REF!</v>
      </c>
      <c r="AD227" s="218" t="e">
        <f t="shared" si="49"/>
        <v>#REF!</v>
      </c>
      <c r="AE227" s="4">
        <v>222</v>
      </c>
    </row>
    <row r="228" spans="13:31">
      <c r="M228">
        <f t="shared" si="38"/>
        <v>223</v>
      </c>
      <c r="N228" s="218">
        <f t="shared" si="42"/>
        <v>0</v>
      </c>
      <c r="O228" s="218">
        <f t="shared" si="43"/>
        <v>0</v>
      </c>
      <c r="P228" s="4">
        <v>223</v>
      </c>
      <c r="R228">
        <f t="shared" si="39"/>
        <v>223</v>
      </c>
      <c r="S228" s="218">
        <f t="shared" ca="1" si="44"/>
        <v>0</v>
      </c>
      <c r="T228" s="218">
        <f t="shared" ca="1" si="45"/>
        <v>0</v>
      </c>
      <c r="U228" s="4">
        <v>223</v>
      </c>
      <c r="W228">
        <f t="shared" si="40"/>
        <v>223</v>
      </c>
      <c r="X228" s="218" t="e">
        <f t="shared" si="46"/>
        <v>#REF!</v>
      </c>
      <c r="Y228" s="218" t="e">
        <f t="shared" si="47"/>
        <v>#REF!</v>
      </c>
      <c r="Z228" s="4">
        <v>223</v>
      </c>
      <c r="AB228">
        <f t="shared" si="41"/>
        <v>223</v>
      </c>
      <c r="AC228" s="218" t="e">
        <f t="shared" si="48"/>
        <v>#REF!</v>
      </c>
      <c r="AD228" s="218" t="e">
        <f t="shared" si="49"/>
        <v>#REF!</v>
      </c>
      <c r="AE228" s="4">
        <v>223</v>
      </c>
    </row>
    <row r="229" spans="13:31">
      <c r="M229">
        <f t="shared" si="38"/>
        <v>224</v>
      </c>
      <c r="N229" s="218">
        <f t="shared" si="42"/>
        <v>0</v>
      </c>
      <c r="O229" s="218">
        <f t="shared" si="43"/>
        <v>0</v>
      </c>
      <c r="P229" s="4">
        <v>224</v>
      </c>
      <c r="R229">
        <f t="shared" si="39"/>
        <v>224</v>
      </c>
      <c r="S229" s="218">
        <f t="shared" ca="1" si="44"/>
        <v>0</v>
      </c>
      <c r="T229" s="218">
        <f t="shared" ca="1" si="45"/>
        <v>0</v>
      </c>
      <c r="U229" s="4">
        <v>224</v>
      </c>
      <c r="W229">
        <f t="shared" si="40"/>
        <v>224</v>
      </c>
      <c r="X229" s="218" t="e">
        <f t="shared" si="46"/>
        <v>#REF!</v>
      </c>
      <c r="Y229" s="218" t="e">
        <f t="shared" si="47"/>
        <v>#REF!</v>
      </c>
      <c r="Z229" s="4">
        <v>224</v>
      </c>
      <c r="AB229">
        <f t="shared" si="41"/>
        <v>224</v>
      </c>
      <c r="AC229" s="218" t="e">
        <f t="shared" si="48"/>
        <v>#REF!</v>
      </c>
      <c r="AD229" s="218" t="e">
        <f t="shared" si="49"/>
        <v>#REF!</v>
      </c>
      <c r="AE229" s="4">
        <v>224</v>
      </c>
    </row>
    <row r="230" spans="13:31">
      <c r="M230">
        <f t="shared" si="38"/>
        <v>225</v>
      </c>
      <c r="N230" s="218">
        <f t="shared" si="42"/>
        <v>0</v>
      </c>
      <c r="O230" s="218">
        <f t="shared" si="43"/>
        <v>0</v>
      </c>
      <c r="P230" s="4">
        <v>225</v>
      </c>
      <c r="R230">
        <f t="shared" si="39"/>
        <v>225</v>
      </c>
      <c r="S230" s="218">
        <f t="shared" ca="1" si="44"/>
        <v>0</v>
      </c>
      <c r="T230" s="218">
        <f t="shared" ca="1" si="45"/>
        <v>0</v>
      </c>
      <c r="U230" s="4">
        <v>225</v>
      </c>
      <c r="W230">
        <f t="shared" si="40"/>
        <v>225</v>
      </c>
      <c r="X230" s="218" t="e">
        <f t="shared" si="46"/>
        <v>#REF!</v>
      </c>
      <c r="Y230" s="218" t="e">
        <f t="shared" si="47"/>
        <v>#REF!</v>
      </c>
      <c r="Z230" s="4">
        <v>225</v>
      </c>
      <c r="AB230">
        <f t="shared" si="41"/>
        <v>225</v>
      </c>
      <c r="AC230" s="218" t="e">
        <f t="shared" si="48"/>
        <v>#REF!</v>
      </c>
      <c r="AD230" s="218" t="e">
        <f t="shared" si="49"/>
        <v>#REF!</v>
      </c>
      <c r="AE230" s="4">
        <v>225</v>
      </c>
    </row>
    <row r="231" spans="13:31">
      <c r="M231">
        <f t="shared" si="38"/>
        <v>226</v>
      </c>
      <c r="N231" s="218">
        <f t="shared" si="42"/>
        <v>0</v>
      </c>
      <c r="O231" s="218">
        <f t="shared" si="43"/>
        <v>0</v>
      </c>
      <c r="P231" s="4">
        <v>226</v>
      </c>
      <c r="R231">
        <f t="shared" si="39"/>
        <v>226</v>
      </c>
      <c r="S231" s="218">
        <f t="shared" ca="1" si="44"/>
        <v>0</v>
      </c>
      <c r="T231" s="218">
        <f t="shared" ca="1" si="45"/>
        <v>0</v>
      </c>
      <c r="U231" s="4">
        <v>226</v>
      </c>
      <c r="W231">
        <f t="shared" si="40"/>
        <v>226</v>
      </c>
      <c r="X231" s="218" t="e">
        <f t="shared" si="46"/>
        <v>#REF!</v>
      </c>
      <c r="Y231" s="218" t="e">
        <f t="shared" si="47"/>
        <v>#REF!</v>
      </c>
      <c r="Z231" s="4">
        <v>226</v>
      </c>
      <c r="AB231">
        <f t="shared" si="41"/>
        <v>226</v>
      </c>
      <c r="AC231" s="218" t="e">
        <f t="shared" si="48"/>
        <v>#REF!</v>
      </c>
      <c r="AD231" s="218" t="e">
        <f t="shared" si="49"/>
        <v>#REF!</v>
      </c>
      <c r="AE231" s="4">
        <v>226</v>
      </c>
    </row>
    <row r="232" spans="13:31">
      <c r="M232">
        <f t="shared" si="38"/>
        <v>227</v>
      </c>
      <c r="N232" s="218">
        <f t="shared" si="42"/>
        <v>0</v>
      </c>
      <c r="O232" s="218">
        <f t="shared" si="43"/>
        <v>0</v>
      </c>
      <c r="P232" s="4">
        <v>227</v>
      </c>
      <c r="R232">
        <f t="shared" si="39"/>
        <v>227</v>
      </c>
      <c r="S232" s="218">
        <f t="shared" ca="1" si="44"/>
        <v>0</v>
      </c>
      <c r="T232" s="218">
        <f t="shared" ca="1" si="45"/>
        <v>0</v>
      </c>
      <c r="U232" s="4">
        <v>227</v>
      </c>
      <c r="W232">
        <f t="shared" si="40"/>
        <v>227</v>
      </c>
      <c r="X232" s="218" t="e">
        <f t="shared" si="46"/>
        <v>#REF!</v>
      </c>
      <c r="Y232" s="218" t="e">
        <f t="shared" si="47"/>
        <v>#REF!</v>
      </c>
      <c r="Z232" s="4">
        <v>227</v>
      </c>
      <c r="AB232">
        <f t="shared" si="41"/>
        <v>227</v>
      </c>
      <c r="AC232" s="218" t="e">
        <f t="shared" si="48"/>
        <v>#REF!</v>
      </c>
      <c r="AD232" s="218" t="e">
        <f t="shared" si="49"/>
        <v>#REF!</v>
      </c>
      <c r="AE232" s="4">
        <v>227</v>
      </c>
    </row>
    <row r="233" spans="13:31">
      <c r="M233">
        <f t="shared" si="38"/>
        <v>228</v>
      </c>
      <c r="N233" s="218">
        <f t="shared" si="42"/>
        <v>0</v>
      </c>
      <c r="O233" s="218">
        <f t="shared" si="43"/>
        <v>0</v>
      </c>
      <c r="P233" s="4">
        <v>228</v>
      </c>
      <c r="R233">
        <f t="shared" si="39"/>
        <v>228</v>
      </c>
      <c r="S233" s="218">
        <f t="shared" ca="1" si="44"/>
        <v>0</v>
      </c>
      <c r="T233" s="218">
        <f t="shared" ca="1" si="45"/>
        <v>0</v>
      </c>
      <c r="U233" s="4">
        <v>228</v>
      </c>
      <c r="W233">
        <f t="shared" si="40"/>
        <v>228</v>
      </c>
      <c r="X233" s="218" t="e">
        <f t="shared" si="46"/>
        <v>#REF!</v>
      </c>
      <c r="Y233" s="218" t="e">
        <f t="shared" si="47"/>
        <v>#REF!</v>
      </c>
      <c r="Z233" s="4">
        <v>228</v>
      </c>
      <c r="AB233">
        <f t="shared" si="41"/>
        <v>228</v>
      </c>
      <c r="AC233" s="218" t="e">
        <f t="shared" si="48"/>
        <v>#REF!</v>
      </c>
      <c r="AD233" s="218" t="e">
        <f t="shared" si="49"/>
        <v>#REF!</v>
      </c>
      <c r="AE233" s="4">
        <v>228</v>
      </c>
    </row>
    <row r="234" spans="13:31">
      <c r="M234">
        <f t="shared" si="38"/>
        <v>229</v>
      </c>
      <c r="N234" s="218">
        <f t="shared" si="42"/>
        <v>0</v>
      </c>
      <c r="O234" s="218">
        <f t="shared" si="43"/>
        <v>0</v>
      </c>
      <c r="P234" s="4">
        <v>229</v>
      </c>
      <c r="R234">
        <f t="shared" si="39"/>
        <v>229</v>
      </c>
      <c r="S234" s="218">
        <f t="shared" ca="1" si="44"/>
        <v>0</v>
      </c>
      <c r="T234" s="218">
        <f t="shared" ca="1" si="45"/>
        <v>0</v>
      </c>
      <c r="U234" s="4">
        <v>229</v>
      </c>
      <c r="W234">
        <f t="shared" si="40"/>
        <v>229</v>
      </c>
      <c r="X234" s="218" t="e">
        <f t="shared" si="46"/>
        <v>#REF!</v>
      </c>
      <c r="Y234" s="218" t="e">
        <f t="shared" si="47"/>
        <v>#REF!</v>
      </c>
      <c r="Z234" s="4">
        <v>229</v>
      </c>
      <c r="AB234">
        <f t="shared" si="41"/>
        <v>229</v>
      </c>
      <c r="AC234" s="218" t="e">
        <f t="shared" si="48"/>
        <v>#REF!</v>
      </c>
      <c r="AD234" s="218" t="e">
        <f t="shared" si="49"/>
        <v>#REF!</v>
      </c>
      <c r="AE234" s="4">
        <v>229</v>
      </c>
    </row>
    <row r="235" spans="13:31">
      <c r="M235">
        <f t="shared" si="38"/>
        <v>230</v>
      </c>
      <c r="N235" s="218">
        <f t="shared" si="42"/>
        <v>0</v>
      </c>
      <c r="O235" s="218">
        <f t="shared" si="43"/>
        <v>0</v>
      </c>
      <c r="P235" s="4">
        <v>230</v>
      </c>
      <c r="R235">
        <f t="shared" si="39"/>
        <v>230</v>
      </c>
      <c r="S235" s="218">
        <f t="shared" ca="1" si="44"/>
        <v>0</v>
      </c>
      <c r="T235" s="218">
        <f t="shared" ca="1" si="45"/>
        <v>0</v>
      </c>
      <c r="U235" s="4">
        <v>230</v>
      </c>
      <c r="W235">
        <f t="shared" si="40"/>
        <v>230</v>
      </c>
      <c r="X235" s="218" t="e">
        <f t="shared" si="46"/>
        <v>#REF!</v>
      </c>
      <c r="Y235" s="218" t="e">
        <f t="shared" si="47"/>
        <v>#REF!</v>
      </c>
      <c r="Z235" s="4">
        <v>230</v>
      </c>
      <c r="AB235">
        <f t="shared" si="41"/>
        <v>230</v>
      </c>
      <c r="AC235" s="218" t="e">
        <f t="shared" si="48"/>
        <v>#REF!</v>
      </c>
      <c r="AD235" s="218" t="e">
        <f t="shared" si="49"/>
        <v>#REF!</v>
      </c>
      <c r="AE235" s="4">
        <v>230</v>
      </c>
    </row>
    <row r="236" spans="13:31">
      <c r="M236">
        <f t="shared" si="38"/>
        <v>231</v>
      </c>
      <c r="N236" s="218">
        <f t="shared" si="42"/>
        <v>0</v>
      </c>
      <c r="O236" s="218">
        <f t="shared" si="43"/>
        <v>0</v>
      </c>
      <c r="P236" s="4">
        <v>231</v>
      </c>
      <c r="R236">
        <f t="shared" si="39"/>
        <v>231</v>
      </c>
      <c r="S236" s="218">
        <f t="shared" ca="1" si="44"/>
        <v>0</v>
      </c>
      <c r="T236" s="218">
        <f t="shared" ca="1" si="45"/>
        <v>0</v>
      </c>
      <c r="U236" s="4">
        <v>231</v>
      </c>
      <c r="W236">
        <f t="shared" si="40"/>
        <v>231</v>
      </c>
      <c r="X236" s="218" t="e">
        <f t="shared" si="46"/>
        <v>#REF!</v>
      </c>
      <c r="Y236" s="218" t="e">
        <f t="shared" si="47"/>
        <v>#REF!</v>
      </c>
      <c r="Z236" s="4">
        <v>231</v>
      </c>
      <c r="AB236">
        <f t="shared" si="41"/>
        <v>231</v>
      </c>
      <c r="AC236" s="218" t="e">
        <f t="shared" si="48"/>
        <v>#REF!</v>
      </c>
      <c r="AD236" s="218" t="e">
        <f t="shared" si="49"/>
        <v>#REF!</v>
      </c>
      <c r="AE236" s="4">
        <v>231</v>
      </c>
    </row>
    <row r="237" spans="13:31">
      <c r="M237">
        <f t="shared" si="38"/>
        <v>232</v>
      </c>
      <c r="N237" s="218">
        <f t="shared" si="42"/>
        <v>0</v>
      </c>
      <c r="O237" s="218">
        <f t="shared" si="43"/>
        <v>0</v>
      </c>
      <c r="P237" s="4">
        <v>232</v>
      </c>
      <c r="R237">
        <f t="shared" si="39"/>
        <v>232</v>
      </c>
      <c r="S237" s="218">
        <f t="shared" ca="1" si="44"/>
        <v>0</v>
      </c>
      <c r="T237" s="218">
        <f t="shared" ca="1" si="45"/>
        <v>0</v>
      </c>
      <c r="U237" s="4">
        <v>232</v>
      </c>
      <c r="W237">
        <f t="shared" si="40"/>
        <v>232</v>
      </c>
      <c r="X237" s="218" t="e">
        <f t="shared" si="46"/>
        <v>#REF!</v>
      </c>
      <c r="Y237" s="218" t="e">
        <f t="shared" si="47"/>
        <v>#REF!</v>
      </c>
      <c r="Z237" s="4">
        <v>232</v>
      </c>
      <c r="AB237">
        <f t="shared" si="41"/>
        <v>232</v>
      </c>
      <c r="AC237" s="218" t="e">
        <f t="shared" si="48"/>
        <v>#REF!</v>
      </c>
      <c r="AD237" s="218" t="e">
        <f t="shared" si="49"/>
        <v>#REF!</v>
      </c>
      <c r="AE237" s="4">
        <v>232</v>
      </c>
    </row>
    <row r="238" spans="13:31">
      <c r="M238">
        <f t="shared" si="38"/>
        <v>233</v>
      </c>
      <c r="N238" s="218">
        <f t="shared" si="42"/>
        <v>0</v>
      </c>
      <c r="O238" s="218">
        <f t="shared" si="43"/>
        <v>0</v>
      </c>
      <c r="P238" s="4">
        <v>233</v>
      </c>
      <c r="R238">
        <f t="shared" si="39"/>
        <v>233</v>
      </c>
      <c r="S238" s="218">
        <f t="shared" ca="1" si="44"/>
        <v>0</v>
      </c>
      <c r="T238" s="218">
        <f t="shared" ca="1" si="45"/>
        <v>0</v>
      </c>
      <c r="U238" s="4">
        <v>233</v>
      </c>
      <c r="W238">
        <f t="shared" si="40"/>
        <v>233</v>
      </c>
      <c r="X238" s="218" t="e">
        <f t="shared" si="46"/>
        <v>#REF!</v>
      </c>
      <c r="Y238" s="218" t="e">
        <f t="shared" si="47"/>
        <v>#REF!</v>
      </c>
      <c r="Z238" s="4">
        <v>233</v>
      </c>
      <c r="AB238">
        <f t="shared" si="41"/>
        <v>233</v>
      </c>
      <c r="AC238" s="218" t="e">
        <f t="shared" si="48"/>
        <v>#REF!</v>
      </c>
      <c r="AD238" s="218" t="e">
        <f t="shared" si="49"/>
        <v>#REF!</v>
      </c>
      <c r="AE238" s="4">
        <v>233</v>
      </c>
    </row>
    <row r="239" spans="13:31">
      <c r="M239">
        <f t="shared" si="38"/>
        <v>234</v>
      </c>
      <c r="N239" s="218">
        <f t="shared" si="42"/>
        <v>0</v>
      </c>
      <c r="O239" s="218">
        <f t="shared" si="43"/>
        <v>0</v>
      </c>
      <c r="P239" s="4">
        <v>234</v>
      </c>
      <c r="R239">
        <f t="shared" si="39"/>
        <v>234</v>
      </c>
      <c r="S239" s="218">
        <f t="shared" ca="1" si="44"/>
        <v>0</v>
      </c>
      <c r="T239" s="218">
        <f t="shared" ca="1" si="45"/>
        <v>0</v>
      </c>
      <c r="U239" s="4">
        <v>234</v>
      </c>
      <c r="W239">
        <f t="shared" si="40"/>
        <v>234</v>
      </c>
      <c r="X239" s="218" t="e">
        <f t="shared" si="46"/>
        <v>#REF!</v>
      </c>
      <c r="Y239" s="218" t="e">
        <f t="shared" si="47"/>
        <v>#REF!</v>
      </c>
      <c r="Z239" s="4">
        <v>234</v>
      </c>
      <c r="AB239">
        <f t="shared" si="41"/>
        <v>234</v>
      </c>
      <c r="AC239" s="218" t="e">
        <f t="shared" si="48"/>
        <v>#REF!</v>
      </c>
      <c r="AD239" s="218" t="e">
        <f t="shared" si="49"/>
        <v>#REF!</v>
      </c>
      <c r="AE239" s="4">
        <v>234</v>
      </c>
    </row>
    <row r="240" spans="13:31">
      <c r="M240">
        <f t="shared" si="38"/>
        <v>235</v>
      </c>
      <c r="N240" s="218">
        <f t="shared" si="42"/>
        <v>0</v>
      </c>
      <c r="O240" s="218">
        <f t="shared" si="43"/>
        <v>0</v>
      </c>
      <c r="P240" s="4">
        <v>235</v>
      </c>
      <c r="R240">
        <f t="shared" si="39"/>
        <v>235</v>
      </c>
      <c r="S240" s="218">
        <f t="shared" ca="1" si="44"/>
        <v>0</v>
      </c>
      <c r="T240" s="218">
        <f t="shared" ca="1" si="45"/>
        <v>0</v>
      </c>
      <c r="U240" s="4">
        <v>235</v>
      </c>
      <c r="W240">
        <f t="shared" si="40"/>
        <v>235</v>
      </c>
      <c r="X240" s="218" t="e">
        <f t="shared" si="46"/>
        <v>#REF!</v>
      </c>
      <c r="Y240" s="218" t="e">
        <f t="shared" si="47"/>
        <v>#REF!</v>
      </c>
      <c r="Z240" s="4">
        <v>235</v>
      </c>
      <c r="AB240">
        <f t="shared" si="41"/>
        <v>235</v>
      </c>
      <c r="AC240" s="218" t="e">
        <f t="shared" si="48"/>
        <v>#REF!</v>
      </c>
      <c r="AD240" s="218" t="e">
        <f t="shared" si="49"/>
        <v>#REF!</v>
      </c>
      <c r="AE240" s="4">
        <v>235</v>
      </c>
    </row>
    <row r="241" spans="13:31">
      <c r="M241">
        <f t="shared" si="38"/>
        <v>236</v>
      </c>
      <c r="N241" s="218">
        <f t="shared" si="42"/>
        <v>0</v>
      </c>
      <c r="O241" s="218">
        <f t="shared" si="43"/>
        <v>0</v>
      </c>
      <c r="P241" s="4">
        <v>236</v>
      </c>
      <c r="R241">
        <f t="shared" si="39"/>
        <v>236</v>
      </c>
      <c r="S241" s="218">
        <f t="shared" ca="1" si="44"/>
        <v>0</v>
      </c>
      <c r="T241" s="218">
        <f t="shared" ca="1" si="45"/>
        <v>0</v>
      </c>
      <c r="U241" s="4">
        <v>236</v>
      </c>
      <c r="W241">
        <f t="shared" si="40"/>
        <v>236</v>
      </c>
      <c r="X241" s="218" t="e">
        <f t="shared" si="46"/>
        <v>#REF!</v>
      </c>
      <c r="Y241" s="218" t="e">
        <f t="shared" si="47"/>
        <v>#REF!</v>
      </c>
      <c r="Z241" s="4">
        <v>236</v>
      </c>
      <c r="AB241">
        <f t="shared" si="41"/>
        <v>236</v>
      </c>
      <c r="AC241" s="218" t="e">
        <f t="shared" si="48"/>
        <v>#REF!</v>
      </c>
      <c r="AD241" s="218" t="e">
        <f t="shared" si="49"/>
        <v>#REF!</v>
      </c>
      <c r="AE241" s="4">
        <v>236</v>
      </c>
    </row>
    <row r="242" spans="13:31">
      <c r="M242">
        <f t="shared" si="38"/>
        <v>237</v>
      </c>
      <c r="N242" s="218">
        <f t="shared" si="42"/>
        <v>0</v>
      </c>
      <c r="O242" s="218">
        <f t="shared" si="43"/>
        <v>0</v>
      </c>
      <c r="P242" s="4">
        <v>237</v>
      </c>
      <c r="R242">
        <f t="shared" si="39"/>
        <v>237</v>
      </c>
      <c r="S242" s="218">
        <f t="shared" ca="1" si="44"/>
        <v>0</v>
      </c>
      <c r="T242" s="218">
        <f t="shared" ca="1" si="45"/>
        <v>0</v>
      </c>
      <c r="U242" s="4">
        <v>237</v>
      </c>
      <c r="W242">
        <f t="shared" si="40"/>
        <v>237</v>
      </c>
      <c r="X242" s="218" t="e">
        <f t="shared" si="46"/>
        <v>#REF!</v>
      </c>
      <c r="Y242" s="218" t="e">
        <f t="shared" si="47"/>
        <v>#REF!</v>
      </c>
      <c r="Z242" s="4">
        <v>237</v>
      </c>
      <c r="AB242">
        <f t="shared" si="41"/>
        <v>237</v>
      </c>
      <c r="AC242" s="218" t="e">
        <f t="shared" si="48"/>
        <v>#REF!</v>
      </c>
      <c r="AD242" s="218" t="e">
        <f t="shared" si="49"/>
        <v>#REF!</v>
      </c>
      <c r="AE242" s="4">
        <v>237</v>
      </c>
    </row>
    <row r="243" spans="13:31">
      <c r="M243">
        <f t="shared" si="38"/>
        <v>238</v>
      </c>
      <c r="N243" s="218">
        <f t="shared" si="42"/>
        <v>0</v>
      </c>
      <c r="O243" s="218">
        <f t="shared" si="43"/>
        <v>0</v>
      </c>
      <c r="P243" s="4">
        <v>238</v>
      </c>
      <c r="R243">
        <f t="shared" si="39"/>
        <v>238</v>
      </c>
      <c r="S243" s="218">
        <f t="shared" ca="1" si="44"/>
        <v>0</v>
      </c>
      <c r="T243" s="218">
        <f t="shared" ca="1" si="45"/>
        <v>0</v>
      </c>
      <c r="U243" s="4">
        <v>238</v>
      </c>
      <c r="W243">
        <f t="shared" si="40"/>
        <v>238</v>
      </c>
      <c r="X243" s="218" t="e">
        <f t="shared" si="46"/>
        <v>#REF!</v>
      </c>
      <c r="Y243" s="218" t="e">
        <f t="shared" si="47"/>
        <v>#REF!</v>
      </c>
      <c r="Z243" s="4">
        <v>238</v>
      </c>
      <c r="AB243">
        <f t="shared" si="41"/>
        <v>238</v>
      </c>
      <c r="AC243" s="218" t="e">
        <f t="shared" si="48"/>
        <v>#REF!</v>
      </c>
      <c r="AD243" s="218" t="e">
        <f t="shared" si="49"/>
        <v>#REF!</v>
      </c>
      <c r="AE243" s="4">
        <v>238</v>
      </c>
    </row>
    <row r="244" spans="13:31">
      <c r="M244">
        <f t="shared" si="38"/>
        <v>239</v>
      </c>
      <c r="N244" s="218">
        <f t="shared" si="42"/>
        <v>0</v>
      </c>
      <c r="O244" s="218">
        <f t="shared" si="43"/>
        <v>0</v>
      </c>
      <c r="P244" s="4">
        <v>239</v>
      </c>
      <c r="R244">
        <f t="shared" si="39"/>
        <v>239</v>
      </c>
      <c r="S244" s="218">
        <f t="shared" ca="1" si="44"/>
        <v>0</v>
      </c>
      <c r="T244" s="218">
        <f t="shared" ca="1" si="45"/>
        <v>0</v>
      </c>
      <c r="U244" s="4">
        <v>239</v>
      </c>
      <c r="W244">
        <f t="shared" si="40"/>
        <v>239</v>
      </c>
      <c r="X244" s="218" t="e">
        <f t="shared" si="46"/>
        <v>#REF!</v>
      </c>
      <c r="Y244" s="218" t="e">
        <f t="shared" si="47"/>
        <v>#REF!</v>
      </c>
      <c r="Z244" s="4">
        <v>239</v>
      </c>
      <c r="AB244">
        <f t="shared" si="41"/>
        <v>239</v>
      </c>
      <c r="AC244" s="218" t="e">
        <f t="shared" si="48"/>
        <v>#REF!</v>
      </c>
      <c r="AD244" s="218" t="e">
        <f t="shared" si="49"/>
        <v>#REF!</v>
      </c>
      <c r="AE244" s="4">
        <v>239</v>
      </c>
    </row>
    <row r="245" spans="13:31">
      <c r="M245">
        <f t="shared" si="38"/>
        <v>240</v>
      </c>
      <c r="N245" s="218">
        <f t="shared" si="42"/>
        <v>0</v>
      </c>
      <c r="O245" s="218">
        <f t="shared" si="43"/>
        <v>0</v>
      </c>
      <c r="P245" s="4">
        <v>240</v>
      </c>
      <c r="R245">
        <f t="shared" si="39"/>
        <v>240</v>
      </c>
      <c r="S245" s="218">
        <f t="shared" ca="1" si="44"/>
        <v>0</v>
      </c>
      <c r="T245" s="218">
        <f t="shared" ca="1" si="45"/>
        <v>0</v>
      </c>
      <c r="U245" s="4">
        <v>240</v>
      </c>
      <c r="W245">
        <f t="shared" si="40"/>
        <v>240</v>
      </c>
      <c r="X245" s="218" t="e">
        <f t="shared" si="46"/>
        <v>#REF!</v>
      </c>
      <c r="Y245" s="218" t="e">
        <f t="shared" si="47"/>
        <v>#REF!</v>
      </c>
      <c r="Z245" s="4">
        <v>240</v>
      </c>
      <c r="AB245">
        <f t="shared" si="41"/>
        <v>240</v>
      </c>
      <c r="AC245" s="218" t="e">
        <f t="shared" si="48"/>
        <v>#REF!</v>
      </c>
      <c r="AD245" s="218" t="e">
        <f t="shared" si="49"/>
        <v>#REF!</v>
      </c>
      <c r="AE245" s="4">
        <v>240</v>
      </c>
    </row>
    <row r="246" spans="13:31">
      <c r="M246">
        <f t="shared" si="38"/>
        <v>241</v>
      </c>
      <c r="N246" s="218">
        <f t="shared" si="42"/>
        <v>0</v>
      </c>
      <c r="O246" s="218">
        <f t="shared" si="43"/>
        <v>0</v>
      </c>
      <c r="P246" s="4">
        <v>241</v>
      </c>
      <c r="R246">
        <f t="shared" si="39"/>
        <v>241</v>
      </c>
      <c r="S246" s="218">
        <f t="shared" ca="1" si="44"/>
        <v>0</v>
      </c>
      <c r="T246" s="218">
        <f t="shared" ca="1" si="45"/>
        <v>0</v>
      </c>
      <c r="U246" s="4">
        <v>241</v>
      </c>
      <c r="W246">
        <f t="shared" si="40"/>
        <v>241</v>
      </c>
      <c r="X246" s="218" t="e">
        <f t="shared" si="46"/>
        <v>#REF!</v>
      </c>
      <c r="Y246" s="218" t="e">
        <f t="shared" si="47"/>
        <v>#REF!</v>
      </c>
      <c r="Z246" s="4">
        <v>241</v>
      </c>
      <c r="AB246">
        <f t="shared" si="41"/>
        <v>241</v>
      </c>
      <c r="AC246" s="218" t="e">
        <f t="shared" si="48"/>
        <v>#REF!</v>
      </c>
      <c r="AD246" s="218" t="e">
        <f t="shared" si="49"/>
        <v>#REF!</v>
      </c>
      <c r="AE246" s="4">
        <v>241</v>
      </c>
    </row>
    <row r="247" spans="13:31">
      <c r="M247">
        <f t="shared" si="38"/>
        <v>242</v>
      </c>
      <c r="N247" s="218">
        <f t="shared" si="42"/>
        <v>0</v>
      </c>
      <c r="O247" s="218">
        <f t="shared" si="43"/>
        <v>0</v>
      </c>
      <c r="P247" s="4">
        <v>242</v>
      </c>
      <c r="R247">
        <f t="shared" si="39"/>
        <v>242</v>
      </c>
      <c r="S247" s="218">
        <f t="shared" ca="1" si="44"/>
        <v>0</v>
      </c>
      <c r="T247" s="218">
        <f t="shared" ca="1" si="45"/>
        <v>0</v>
      </c>
      <c r="U247" s="4">
        <v>242</v>
      </c>
      <c r="W247">
        <f t="shared" si="40"/>
        <v>242</v>
      </c>
      <c r="X247" s="218" t="e">
        <f t="shared" si="46"/>
        <v>#REF!</v>
      </c>
      <c r="Y247" s="218" t="e">
        <f t="shared" si="47"/>
        <v>#REF!</v>
      </c>
      <c r="Z247" s="4">
        <v>242</v>
      </c>
      <c r="AB247">
        <f t="shared" si="41"/>
        <v>242</v>
      </c>
      <c r="AC247" s="218" t="e">
        <f t="shared" si="48"/>
        <v>#REF!</v>
      </c>
      <c r="AD247" s="218" t="e">
        <f t="shared" si="49"/>
        <v>#REF!</v>
      </c>
      <c r="AE247" s="4">
        <v>242</v>
      </c>
    </row>
    <row r="248" spans="13:31">
      <c r="M248">
        <f t="shared" si="38"/>
        <v>243</v>
      </c>
      <c r="N248" s="218">
        <f t="shared" si="42"/>
        <v>0</v>
      </c>
      <c r="O248" s="218">
        <f t="shared" si="43"/>
        <v>0</v>
      </c>
      <c r="P248" s="4">
        <v>243</v>
      </c>
      <c r="R248">
        <f t="shared" si="39"/>
        <v>243</v>
      </c>
      <c r="S248" s="218">
        <f t="shared" ca="1" si="44"/>
        <v>0</v>
      </c>
      <c r="T248" s="218">
        <f t="shared" ca="1" si="45"/>
        <v>0</v>
      </c>
      <c r="U248" s="4">
        <v>243</v>
      </c>
      <c r="W248">
        <f t="shared" si="40"/>
        <v>243</v>
      </c>
      <c r="X248" s="218" t="e">
        <f t="shared" si="46"/>
        <v>#REF!</v>
      </c>
      <c r="Y248" s="218" t="e">
        <f t="shared" si="47"/>
        <v>#REF!</v>
      </c>
      <c r="Z248" s="4">
        <v>243</v>
      </c>
      <c r="AB248">
        <f t="shared" si="41"/>
        <v>243</v>
      </c>
      <c r="AC248" s="218" t="e">
        <f t="shared" si="48"/>
        <v>#REF!</v>
      </c>
      <c r="AD248" s="218" t="e">
        <f t="shared" si="49"/>
        <v>#REF!</v>
      </c>
      <c r="AE248" s="4">
        <v>243</v>
      </c>
    </row>
    <row r="249" spans="13:31">
      <c r="M249">
        <f t="shared" si="38"/>
        <v>244</v>
      </c>
      <c r="N249" s="218">
        <f t="shared" si="42"/>
        <v>0</v>
      </c>
      <c r="O249" s="218">
        <f t="shared" si="43"/>
        <v>0</v>
      </c>
      <c r="P249" s="4">
        <v>244</v>
      </c>
      <c r="R249">
        <f t="shared" si="39"/>
        <v>244</v>
      </c>
      <c r="S249" s="218">
        <f t="shared" ca="1" si="44"/>
        <v>0</v>
      </c>
      <c r="T249" s="218">
        <f t="shared" ca="1" si="45"/>
        <v>0</v>
      </c>
      <c r="U249" s="4">
        <v>244</v>
      </c>
      <c r="W249">
        <f t="shared" si="40"/>
        <v>244</v>
      </c>
      <c r="X249" s="218" t="e">
        <f t="shared" si="46"/>
        <v>#REF!</v>
      </c>
      <c r="Y249" s="218" t="e">
        <f t="shared" si="47"/>
        <v>#REF!</v>
      </c>
      <c r="Z249" s="4">
        <v>244</v>
      </c>
      <c r="AB249">
        <f t="shared" si="41"/>
        <v>244</v>
      </c>
      <c r="AC249" s="218" t="e">
        <f t="shared" si="48"/>
        <v>#REF!</v>
      </c>
      <c r="AD249" s="218" t="e">
        <f t="shared" si="49"/>
        <v>#REF!</v>
      </c>
      <c r="AE249" s="4">
        <v>244</v>
      </c>
    </row>
    <row r="250" spans="13:31">
      <c r="M250">
        <f t="shared" si="38"/>
        <v>245</v>
      </c>
      <c r="N250" s="218">
        <f t="shared" si="42"/>
        <v>0</v>
      </c>
      <c r="O250" s="218">
        <f t="shared" si="43"/>
        <v>0</v>
      </c>
      <c r="P250" s="4">
        <v>245</v>
      </c>
      <c r="R250">
        <f t="shared" si="39"/>
        <v>245</v>
      </c>
      <c r="S250" s="218">
        <f t="shared" ca="1" si="44"/>
        <v>0</v>
      </c>
      <c r="T250" s="218">
        <f t="shared" ca="1" si="45"/>
        <v>0</v>
      </c>
      <c r="U250" s="4">
        <v>245</v>
      </c>
      <c r="W250">
        <f t="shared" si="40"/>
        <v>245</v>
      </c>
      <c r="X250" s="218" t="e">
        <f t="shared" si="46"/>
        <v>#REF!</v>
      </c>
      <c r="Y250" s="218" t="e">
        <f t="shared" si="47"/>
        <v>#REF!</v>
      </c>
      <c r="Z250" s="4">
        <v>245</v>
      </c>
      <c r="AB250">
        <f t="shared" si="41"/>
        <v>245</v>
      </c>
      <c r="AC250" s="218" t="e">
        <f t="shared" si="48"/>
        <v>#REF!</v>
      </c>
      <c r="AD250" s="218" t="e">
        <f t="shared" si="49"/>
        <v>#REF!</v>
      </c>
      <c r="AE250" s="4">
        <v>245</v>
      </c>
    </row>
    <row r="251" spans="13:31">
      <c r="M251">
        <f t="shared" si="38"/>
        <v>246</v>
      </c>
      <c r="N251" s="218">
        <f t="shared" si="42"/>
        <v>0</v>
      </c>
      <c r="O251" s="218">
        <f t="shared" si="43"/>
        <v>0</v>
      </c>
      <c r="P251" s="4">
        <v>246</v>
      </c>
      <c r="R251">
        <f t="shared" si="39"/>
        <v>246</v>
      </c>
      <c r="S251" s="218">
        <f t="shared" ca="1" si="44"/>
        <v>0</v>
      </c>
      <c r="T251" s="218">
        <f t="shared" ca="1" si="45"/>
        <v>0</v>
      </c>
      <c r="U251" s="4">
        <v>246</v>
      </c>
      <c r="W251">
        <f t="shared" si="40"/>
        <v>246</v>
      </c>
      <c r="X251" s="218" t="e">
        <f t="shared" si="46"/>
        <v>#REF!</v>
      </c>
      <c r="Y251" s="218" t="e">
        <f t="shared" si="47"/>
        <v>#REF!</v>
      </c>
      <c r="Z251" s="4">
        <v>246</v>
      </c>
      <c r="AB251">
        <f t="shared" si="41"/>
        <v>246</v>
      </c>
      <c r="AC251" s="218" t="e">
        <f t="shared" si="48"/>
        <v>#REF!</v>
      </c>
      <c r="AD251" s="218" t="e">
        <f t="shared" si="49"/>
        <v>#REF!</v>
      </c>
      <c r="AE251" s="4">
        <v>246</v>
      </c>
    </row>
    <row r="252" spans="13:31">
      <c r="M252">
        <f t="shared" si="38"/>
        <v>247</v>
      </c>
      <c r="N252" s="218">
        <f t="shared" si="42"/>
        <v>0</v>
      </c>
      <c r="O252" s="218">
        <f t="shared" si="43"/>
        <v>0</v>
      </c>
      <c r="P252" s="4">
        <v>247</v>
      </c>
      <c r="R252">
        <f t="shared" si="39"/>
        <v>247</v>
      </c>
      <c r="S252" s="218">
        <f t="shared" ca="1" si="44"/>
        <v>0</v>
      </c>
      <c r="T252" s="218">
        <f t="shared" ca="1" si="45"/>
        <v>0</v>
      </c>
      <c r="U252" s="4">
        <v>247</v>
      </c>
      <c r="W252">
        <f t="shared" si="40"/>
        <v>247</v>
      </c>
      <c r="X252" s="218" t="e">
        <f t="shared" si="46"/>
        <v>#REF!</v>
      </c>
      <c r="Y252" s="218" t="e">
        <f t="shared" si="47"/>
        <v>#REF!</v>
      </c>
      <c r="Z252" s="4">
        <v>247</v>
      </c>
      <c r="AB252">
        <f t="shared" si="41"/>
        <v>247</v>
      </c>
      <c r="AC252" s="218" t="e">
        <f t="shared" si="48"/>
        <v>#REF!</v>
      </c>
      <c r="AD252" s="218" t="e">
        <f t="shared" si="49"/>
        <v>#REF!</v>
      </c>
      <c r="AE252" s="4">
        <v>247</v>
      </c>
    </row>
    <row r="253" spans="13:31">
      <c r="M253">
        <f t="shared" si="38"/>
        <v>248</v>
      </c>
      <c r="N253" s="218">
        <f t="shared" si="42"/>
        <v>0</v>
      </c>
      <c r="O253" s="218">
        <f t="shared" si="43"/>
        <v>0</v>
      </c>
      <c r="P253" s="4">
        <v>248</v>
      </c>
      <c r="R253">
        <f t="shared" si="39"/>
        <v>248</v>
      </c>
      <c r="S253" s="218">
        <f t="shared" ca="1" si="44"/>
        <v>0</v>
      </c>
      <c r="T253" s="218">
        <f t="shared" ca="1" si="45"/>
        <v>0</v>
      </c>
      <c r="U253" s="4">
        <v>248</v>
      </c>
      <c r="W253">
        <f t="shared" si="40"/>
        <v>248</v>
      </c>
      <c r="X253" s="218" t="e">
        <f t="shared" si="46"/>
        <v>#REF!</v>
      </c>
      <c r="Y253" s="218" t="e">
        <f t="shared" si="47"/>
        <v>#REF!</v>
      </c>
      <c r="Z253" s="4">
        <v>248</v>
      </c>
      <c r="AB253">
        <f t="shared" si="41"/>
        <v>248</v>
      </c>
      <c r="AC253" s="218" t="e">
        <f t="shared" si="48"/>
        <v>#REF!</v>
      </c>
      <c r="AD253" s="218" t="e">
        <f t="shared" si="49"/>
        <v>#REF!</v>
      </c>
      <c r="AE253" s="4">
        <v>248</v>
      </c>
    </row>
    <row r="254" spans="13:31">
      <c r="M254">
        <f t="shared" si="38"/>
        <v>249</v>
      </c>
      <c r="N254" s="218">
        <f t="shared" si="42"/>
        <v>0</v>
      </c>
      <c r="O254" s="218">
        <f t="shared" si="43"/>
        <v>0</v>
      </c>
      <c r="P254" s="4">
        <v>249</v>
      </c>
      <c r="R254">
        <f t="shared" si="39"/>
        <v>249</v>
      </c>
      <c r="S254" s="218">
        <f t="shared" ca="1" si="44"/>
        <v>0</v>
      </c>
      <c r="T254" s="218">
        <f t="shared" ca="1" si="45"/>
        <v>0</v>
      </c>
      <c r="U254" s="4">
        <v>249</v>
      </c>
      <c r="W254">
        <f t="shared" si="40"/>
        <v>249</v>
      </c>
      <c r="X254" s="218" t="e">
        <f t="shared" si="46"/>
        <v>#REF!</v>
      </c>
      <c r="Y254" s="218" t="e">
        <f t="shared" si="47"/>
        <v>#REF!</v>
      </c>
      <c r="Z254" s="4">
        <v>249</v>
      </c>
      <c r="AB254">
        <f t="shared" si="41"/>
        <v>249</v>
      </c>
      <c r="AC254" s="218" t="e">
        <f t="shared" si="48"/>
        <v>#REF!</v>
      </c>
      <c r="AD254" s="218" t="e">
        <f t="shared" si="49"/>
        <v>#REF!</v>
      </c>
      <c r="AE254" s="4">
        <v>249</v>
      </c>
    </row>
    <row r="255" spans="13:31">
      <c r="M255">
        <f t="shared" si="38"/>
        <v>250</v>
      </c>
      <c r="N255" s="218">
        <f t="shared" si="42"/>
        <v>0</v>
      </c>
      <c r="O255" s="218">
        <f t="shared" si="43"/>
        <v>0</v>
      </c>
      <c r="P255" s="4">
        <v>250</v>
      </c>
      <c r="R255">
        <f t="shared" si="39"/>
        <v>250</v>
      </c>
      <c r="S255" s="218">
        <f t="shared" ca="1" si="44"/>
        <v>0</v>
      </c>
      <c r="T255" s="218">
        <f t="shared" ca="1" si="45"/>
        <v>0</v>
      </c>
      <c r="U255" s="4">
        <v>250</v>
      </c>
      <c r="W255">
        <f t="shared" si="40"/>
        <v>250</v>
      </c>
      <c r="X255" s="218" t="e">
        <f t="shared" si="46"/>
        <v>#REF!</v>
      </c>
      <c r="Y255" s="218" t="e">
        <f t="shared" si="47"/>
        <v>#REF!</v>
      </c>
      <c r="Z255" s="4">
        <v>250</v>
      </c>
      <c r="AB255">
        <f t="shared" si="41"/>
        <v>250</v>
      </c>
      <c r="AC255" s="218" t="e">
        <f t="shared" si="48"/>
        <v>#REF!</v>
      </c>
      <c r="AD255" s="218" t="e">
        <f t="shared" si="49"/>
        <v>#REF!</v>
      </c>
      <c r="AE255" s="4">
        <v>250</v>
      </c>
    </row>
    <row r="256" spans="13:31">
      <c r="M256">
        <f t="shared" si="38"/>
        <v>251</v>
      </c>
      <c r="N256" s="218">
        <f t="shared" si="42"/>
        <v>0</v>
      </c>
      <c r="O256" s="218">
        <f t="shared" si="43"/>
        <v>0</v>
      </c>
      <c r="P256" s="4">
        <v>251</v>
      </c>
      <c r="R256">
        <f t="shared" si="39"/>
        <v>251</v>
      </c>
      <c r="S256" s="218">
        <f t="shared" ca="1" si="44"/>
        <v>0</v>
      </c>
      <c r="T256" s="218">
        <f t="shared" ca="1" si="45"/>
        <v>0</v>
      </c>
      <c r="U256" s="4">
        <v>251</v>
      </c>
      <c r="W256">
        <f t="shared" si="40"/>
        <v>251</v>
      </c>
      <c r="X256" s="218" t="e">
        <f t="shared" si="46"/>
        <v>#REF!</v>
      </c>
      <c r="Y256" s="218" t="e">
        <f t="shared" si="47"/>
        <v>#REF!</v>
      </c>
      <c r="Z256" s="4">
        <v>251</v>
      </c>
      <c r="AB256">
        <f t="shared" si="41"/>
        <v>251</v>
      </c>
      <c r="AC256" s="218" t="e">
        <f t="shared" si="48"/>
        <v>#REF!</v>
      </c>
      <c r="AD256" s="218" t="e">
        <f t="shared" si="49"/>
        <v>#REF!</v>
      </c>
      <c r="AE256" s="4">
        <v>251</v>
      </c>
    </row>
    <row r="257" spans="13:31">
      <c r="M257">
        <f t="shared" si="38"/>
        <v>252</v>
      </c>
      <c r="N257" s="218">
        <f t="shared" si="42"/>
        <v>0</v>
      </c>
      <c r="O257" s="218">
        <f t="shared" si="43"/>
        <v>0</v>
      </c>
      <c r="P257" s="4">
        <v>252</v>
      </c>
      <c r="R257">
        <f t="shared" si="39"/>
        <v>252</v>
      </c>
      <c r="S257" s="218">
        <f t="shared" ca="1" si="44"/>
        <v>0</v>
      </c>
      <c r="T257" s="218">
        <f t="shared" ca="1" si="45"/>
        <v>0</v>
      </c>
      <c r="U257" s="4">
        <v>252</v>
      </c>
      <c r="W257">
        <f t="shared" si="40"/>
        <v>252</v>
      </c>
      <c r="X257" s="218" t="e">
        <f t="shared" si="46"/>
        <v>#REF!</v>
      </c>
      <c r="Y257" s="218" t="e">
        <f t="shared" si="47"/>
        <v>#REF!</v>
      </c>
      <c r="Z257" s="4">
        <v>252</v>
      </c>
      <c r="AB257">
        <f t="shared" si="41"/>
        <v>252</v>
      </c>
      <c r="AC257" s="218" t="e">
        <f t="shared" si="48"/>
        <v>#REF!</v>
      </c>
      <c r="AD257" s="218" t="e">
        <f t="shared" si="49"/>
        <v>#REF!</v>
      </c>
      <c r="AE257" s="4">
        <v>252</v>
      </c>
    </row>
    <row r="258" spans="13:31">
      <c r="M258">
        <f t="shared" si="38"/>
        <v>253</v>
      </c>
      <c r="N258" s="218">
        <f t="shared" si="42"/>
        <v>0</v>
      </c>
      <c r="O258" s="218">
        <f t="shared" si="43"/>
        <v>0</v>
      </c>
      <c r="P258" s="4">
        <v>253</v>
      </c>
      <c r="R258">
        <f t="shared" si="39"/>
        <v>253</v>
      </c>
      <c r="S258" s="218">
        <f t="shared" ca="1" si="44"/>
        <v>0</v>
      </c>
      <c r="T258" s="218">
        <f t="shared" ca="1" si="45"/>
        <v>0</v>
      </c>
      <c r="U258" s="4">
        <v>253</v>
      </c>
      <c r="W258">
        <f t="shared" si="40"/>
        <v>253</v>
      </c>
      <c r="X258" s="218" t="e">
        <f t="shared" si="46"/>
        <v>#REF!</v>
      </c>
      <c r="Y258" s="218" t="e">
        <f t="shared" si="47"/>
        <v>#REF!</v>
      </c>
      <c r="Z258" s="4">
        <v>253</v>
      </c>
      <c r="AB258">
        <f t="shared" si="41"/>
        <v>253</v>
      </c>
      <c r="AC258" s="218" t="e">
        <f t="shared" si="48"/>
        <v>#REF!</v>
      </c>
      <c r="AD258" s="218" t="e">
        <f t="shared" si="49"/>
        <v>#REF!</v>
      </c>
      <c r="AE258" s="4">
        <v>253</v>
      </c>
    </row>
    <row r="259" spans="13:31">
      <c r="M259">
        <f t="shared" si="38"/>
        <v>254</v>
      </c>
      <c r="N259" s="218">
        <f t="shared" si="42"/>
        <v>0</v>
      </c>
      <c r="O259" s="218">
        <f t="shared" si="43"/>
        <v>0</v>
      </c>
      <c r="P259" s="4">
        <v>254</v>
      </c>
      <c r="R259">
        <f t="shared" si="39"/>
        <v>254</v>
      </c>
      <c r="S259" s="218">
        <f t="shared" ca="1" si="44"/>
        <v>0</v>
      </c>
      <c r="T259" s="218">
        <f t="shared" ca="1" si="45"/>
        <v>0</v>
      </c>
      <c r="U259" s="4">
        <v>254</v>
      </c>
      <c r="W259">
        <f t="shared" si="40"/>
        <v>254</v>
      </c>
      <c r="X259" s="218" t="e">
        <f t="shared" si="46"/>
        <v>#REF!</v>
      </c>
      <c r="Y259" s="218" t="e">
        <f t="shared" si="47"/>
        <v>#REF!</v>
      </c>
      <c r="Z259" s="4">
        <v>254</v>
      </c>
      <c r="AB259">
        <f t="shared" si="41"/>
        <v>254</v>
      </c>
      <c r="AC259" s="218" t="e">
        <f t="shared" si="48"/>
        <v>#REF!</v>
      </c>
      <c r="AD259" s="218" t="e">
        <f t="shared" si="49"/>
        <v>#REF!</v>
      </c>
      <c r="AE259" s="4">
        <v>254</v>
      </c>
    </row>
    <row r="260" spans="13:31">
      <c r="M260">
        <f t="shared" si="38"/>
        <v>255</v>
      </c>
      <c r="N260" s="218">
        <f t="shared" si="42"/>
        <v>0</v>
      </c>
      <c r="O260" s="218">
        <f t="shared" si="43"/>
        <v>0</v>
      </c>
      <c r="P260" s="4">
        <v>255</v>
      </c>
      <c r="R260">
        <f t="shared" si="39"/>
        <v>255</v>
      </c>
      <c r="S260" s="218">
        <f t="shared" ca="1" si="44"/>
        <v>0</v>
      </c>
      <c r="T260" s="218">
        <f t="shared" ca="1" si="45"/>
        <v>0</v>
      </c>
      <c r="U260" s="4">
        <v>255</v>
      </c>
      <c r="W260">
        <f t="shared" si="40"/>
        <v>255</v>
      </c>
      <c r="X260" s="218" t="e">
        <f t="shared" si="46"/>
        <v>#REF!</v>
      </c>
      <c r="Y260" s="218" t="e">
        <f t="shared" si="47"/>
        <v>#REF!</v>
      </c>
      <c r="Z260" s="4">
        <v>255</v>
      </c>
      <c r="AB260">
        <f t="shared" si="41"/>
        <v>255</v>
      </c>
      <c r="AC260" s="218" t="e">
        <f t="shared" si="48"/>
        <v>#REF!</v>
      </c>
      <c r="AD260" s="218" t="e">
        <f t="shared" si="49"/>
        <v>#REF!</v>
      </c>
      <c r="AE260" s="4">
        <v>255</v>
      </c>
    </row>
    <row r="261" spans="13:31">
      <c r="M261">
        <f t="shared" si="38"/>
        <v>256</v>
      </c>
      <c r="N261" s="218">
        <f t="shared" si="42"/>
        <v>0</v>
      </c>
      <c r="O261" s="218">
        <f t="shared" si="43"/>
        <v>0</v>
      </c>
      <c r="P261" s="4">
        <v>256</v>
      </c>
      <c r="R261">
        <f t="shared" si="39"/>
        <v>256</v>
      </c>
      <c r="S261" s="218">
        <f t="shared" ca="1" si="44"/>
        <v>0</v>
      </c>
      <c r="T261" s="218">
        <f t="shared" ca="1" si="45"/>
        <v>0</v>
      </c>
      <c r="U261" s="4">
        <v>256</v>
      </c>
      <c r="W261">
        <f t="shared" si="40"/>
        <v>256</v>
      </c>
      <c r="X261" s="218" t="e">
        <f t="shared" si="46"/>
        <v>#REF!</v>
      </c>
      <c r="Y261" s="218" t="e">
        <f t="shared" si="47"/>
        <v>#REF!</v>
      </c>
      <c r="Z261" s="4">
        <v>256</v>
      </c>
      <c r="AB261">
        <f t="shared" si="41"/>
        <v>256</v>
      </c>
      <c r="AC261" s="218" t="e">
        <f t="shared" si="48"/>
        <v>#REF!</v>
      </c>
      <c r="AD261" s="218" t="e">
        <f t="shared" si="49"/>
        <v>#REF!</v>
      </c>
      <c r="AE261" s="4">
        <v>256</v>
      </c>
    </row>
    <row r="262" spans="13:31">
      <c r="M262">
        <f t="shared" si="38"/>
        <v>257</v>
      </c>
      <c r="N262" s="218">
        <f t="shared" si="42"/>
        <v>0</v>
      </c>
      <c r="O262" s="218">
        <f t="shared" si="43"/>
        <v>0</v>
      </c>
      <c r="P262" s="4">
        <v>257</v>
      </c>
      <c r="R262">
        <f t="shared" si="39"/>
        <v>257</v>
      </c>
      <c r="S262" s="218">
        <f t="shared" ca="1" si="44"/>
        <v>0</v>
      </c>
      <c r="T262" s="218">
        <f t="shared" ca="1" si="45"/>
        <v>0</v>
      </c>
      <c r="U262" s="4">
        <v>257</v>
      </c>
      <c r="W262">
        <f t="shared" si="40"/>
        <v>257</v>
      </c>
      <c r="X262" s="218" t="e">
        <f t="shared" si="46"/>
        <v>#REF!</v>
      </c>
      <c r="Y262" s="218" t="e">
        <f t="shared" si="47"/>
        <v>#REF!</v>
      </c>
      <c r="Z262" s="4">
        <v>257</v>
      </c>
      <c r="AB262">
        <f t="shared" si="41"/>
        <v>257</v>
      </c>
      <c r="AC262" s="218" t="e">
        <f t="shared" si="48"/>
        <v>#REF!</v>
      </c>
      <c r="AD262" s="218" t="e">
        <f t="shared" si="49"/>
        <v>#REF!</v>
      </c>
      <c r="AE262" s="4">
        <v>257</v>
      </c>
    </row>
    <row r="263" spans="13:31">
      <c r="M263">
        <f t="shared" ref="M263:M326" si="50">P263</f>
        <v>258</v>
      </c>
      <c r="N263" s="218">
        <f t="shared" si="42"/>
        <v>0</v>
      </c>
      <c r="O263" s="218">
        <f t="shared" si="43"/>
        <v>0</v>
      </c>
      <c r="P263" s="4">
        <v>258</v>
      </c>
      <c r="R263">
        <f t="shared" ref="R263:R326" si="51">U263</f>
        <v>258</v>
      </c>
      <c r="S263" s="218">
        <f t="shared" ca="1" si="44"/>
        <v>0</v>
      </c>
      <c r="T263" s="218">
        <f t="shared" ca="1" si="45"/>
        <v>0</v>
      </c>
      <c r="U263" s="4">
        <v>258</v>
      </c>
      <c r="W263">
        <f t="shared" ref="W263:W326" si="52">Z263</f>
        <v>258</v>
      </c>
      <c r="X263" s="218" t="e">
        <f t="shared" si="46"/>
        <v>#REF!</v>
      </c>
      <c r="Y263" s="218" t="e">
        <f t="shared" si="47"/>
        <v>#REF!</v>
      </c>
      <c r="Z263" s="4">
        <v>258</v>
      </c>
      <c r="AB263">
        <f t="shared" ref="AB263:AB326" si="53">AE263</f>
        <v>258</v>
      </c>
      <c r="AC263" s="218" t="e">
        <f t="shared" si="48"/>
        <v>#REF!</v>
      </c>
      <c r="AD263" s="218" t="e">
        <f t="shared" si="49"/>
        <v>#REF!</v>
      </c>
      <c r="AE263" s="4">
        <v>258</v>
      </c>
    </row>
    <row r="264" spans="13:31">
      <c r="M264">
        <f t="shared" si="50"/>
        <v>259</v>
      </c>
      <c r="N264" s="218">
        <f t="shared" ref="N264:N327" si="54">+IF(O264&lt;N263,O264,N263)</f>
        <v>0</v>
      </c>
      <c r="O264" s="218">
        <f t="shared" ref="O264:O327" si="55">+(O263-N263)*(1+$E$13)</f>
        <v>0</v>
      </c>
      <c r="P264" s="4">
        <v>259</v>
      </c>
      <c r="R264">
        <f t="shared" si="51"/>
        <v>259</v>
      </c>
      <c r="S264" s="218">
        <f t="shared" ref="S264:S327" ca="1" si="56">+IF(T264&lt;S263,T264,S263)</f>
        <v>0</v>
      </c>
      <c r="T264" s="218">
        <f t="shared" ref="T264:T327" ca="1" si="57">+(T263-S263)*(1+$E$14)</f>
        <v>0</v>
      </c>
      <c r="U264" s="4">
        <v>259</v>
      </c>
      <c r="W264">
        <f t="shared" si="52"/>
        <v>259</v>
      </c>
      <c r="X264" s="218" t="e">
        <f t="shared" ref="X264:X327" si="58">+IF(Y264&lt;X263,Y264,X263)</f>
        <v>#REF!</v>
      </c>
      <c r="Y264" s="218" t="e">
        <f t="shared" ref="Y264:Y327" si="59">+(Y263-X263)*(1+$E$15)</f>
        <v>#REF!</v>
      </c>
      <c r="Z264" s="4">
        <v>259</v>
      </c>
      <c r="AB264">
        <f t="shared" si="53"/>
        <v>259</v>
      </c>
      <c r="AC264" s="218" t="e">
        <f t="shared" ref="AC264:AC327" si="60">+IF(AD264&lt;AC263,AD264,AC263)</f>
        <v>#REF!</v>
      </c>
      <c r="AD264" s="218" t="e">
        <f t="shared" ref="AD264:AD327" si="61">+(AD263-AC263)*(1+$E$16)</f>
        <v>#REF!</v>
      </c>
      <c r="AE264" s="4">
        <v>259</v>
      </c>
    </row>
    <row r="265" spans="13:31">
      <c r="M265">
        <f t="shared" si="50"/>
        <v>260</v>
      </c>
      <c r="N265" s="218">
        <f t="shared" si="54"/>
        <v>0</v>
      </c>
      <c r="O265" s="218">
        <f t="shared" si="55"/>
        <v>0</v>
      </c>
      <c r="P265" s="4">
        <v>260</v>
      </c>
      <c r="R265">
        <f t="shared" si="51"/>
        <v>260</v>
      </c>
      <c r="S265" s="218">
        <f t="shared" ca="1" si="56"/>
        <v>0</v>
      </c>
      <c r="T265" s="218">
        <f t="shared" ca="1" si="57"/>
        <v>0</v>
      </c>
      <c r="U265" s="4">
        <v>260</v>
      </c>
      <c r="W265">
        <f t="shared" si="52"/>
        <v>260</v>
      </c>
      <c r="X265" s="218" t="e">
        <f t="shared" si="58"/>
        <v>#REF!</v>
      </c>
      <c r="Y265" s="218" t="e">
        <f t="shared" si="59"/>
        <v>#REF!</v>
      </c>
      <c r="Z265" s="4">
        <v>260</v>
      </c>
      <c r="AB265">
        <f t="shared" si="53"/>
        <v>260</v>
      </c>
      <c r="AC265" s="218" t="e">
        <f t="shared" si="60"/>
        <v>#REF!</v>
      </c>
      <c r="AD265" s="218" t="e">
        <f t="shared" si="61"/>
        <v>#REF!</v>
      </c>
      <c r="AE265" s="4">
        <v>260</v>
      </c>
    </row>
    <row r="266" spans="13:31">
      <c r="M266">
        <f t="shared" si="50"/>
        <v>261</v>
      </c>
      <c r="N266" s="218">
        <f t="shared" si="54"/>
        <v>0</v>
      </c>
      <c r="O266" s="218">
        <f t="shared" si="55"/>
        <v>0</v>
      </c>
      <c r="P266" s="4">
        <v>261</v>
      </c>
      <c r="R266">
        <f t="shared" si="51"/>
        <v>261</v>
      </c>
      <c r="S266" s="218">
        <f t="shared" ca="1" si="56"/>
        <v>0</v>
      </c>
      <c r="T266" s="218">
        <f t="shared" ca="1" si="57"/>
        <v>0</v>
      </c>
      <c r="U266" s="4">
        <v>261</v>
      </c>
      <c r="W266">
        <f t="shared" si="52"/>
        <v>261</v>
      </c>
      <c r="X266" s="218" t="e">
        <f t="shared" si="58"/>
        <v>#REF!</v>
      </c>
      <c r="Y266" s="218" t="e">
        <f t="shared" si="59"/>
        <v>#REF!</v>
      </c>
      <c r="Z266" s="4">
        <v>261</v>
      </c>
      <c r="AB266">
        <f t="shared" si="53"/>
        <v>261</v>
      </c>
      <c r="AC266" s="218" t="e">
        <f t="shared" si="60"/>
        <v>#REF!</v>
      </c>
      <c r="AD266" s="218" t="e">
        <f t="shared" si="61"/>
        <v>#REF!</v>
      </c>
      <c r="AE266" s="4">
        <v>261</v>
      </c>
    </row>
    <row r="267" spans="13:31">
      <c r="M267">
        <f t="shared" si="50"/>
        <v>262</v>
      </c>
      <c r="N267" s="218">
        <f t="shared" si="54"/>
        <v>0</v>
      </c>
      <c r="O267" s="218">
        <f t="shared" si="55"/>
        <v>0</v>
      </c>
      <c r="P267" s="4">
        <v>262</v>
      </c>
      <c r="R267">
        <f t="shared" si="51"/>
        <v>262</v>
      </c>
      <c r="S267" s="218">
        <f t="shared" ca="1" si="56"/>
        <v>0</v>
      </c>
      <c r="T267" s="218">
        <f t="shared" ca="1" si="57"/>
        <v>0</v>
      </c>
      <c r="U267" s="4">
        <v>262</v>
      </c>
      <c r="W267">
        <f t="shared" si="52"/>
        <v>262</v>
      </c>
      <c r="X267" s="218" t="e">
        <f t="shared" si="58"/>
        <v>#REF!</v>
      </c>
      <c r="Y267" s="218" t="e">
        <f t="shared" si="59"/>
        <v>#REF!</v>
      </c>
      <c r="Z267" s="4">
        <v>262</v>
      </c>
      <c r="AB267">
        <f t="shared" si="53"/>
        <v>262</v>
      </c>
      <c r="AC267" s="218" t="e">
        <f t="shared" si="60"/>
        <v>#REF!</v>
      </c>
      <c r="AD267" s="218" t="e">
        <f t="shared" si="61"/>
        <v>#REF!</v>
      </c>
      <c r="AE267" s="4">
        <v>262</v>
      </c>
    </row>
    <row r="268" spans="13:31">
      <c r="M268">
        <f t="shared" si="50"/>
        <v>263</v>
      </c>
      <c r="N268" s="218">
        <f t="shared" si="54"/>
        <v>0</v>
      </c>
      <c r="O268" s="218">
        <f t="shared" si="55"/>
        <v>0</v>
      </c>
      <c r="P268" s="4">
        <v>263</v>
      </c>
      <c r="R268">
        <f t="shared" si="51"/>
        <v>263</v>
      </c>
      <c r="S268" s="218">
        <f t="shared" ca="1" si="56"/>
        <v>0</v>
      </c>
      <c r="T268" s="218">
        <f t="shared" ca="1" si="57"/>
        <v>0</v>
      </c>
      <c r="U268" s="4">
        <v>263</v>
      </c>
      <c r="W268">
        <f t="shared" si="52"/>
        <v>263</v>
      </c>
      <c r="X268" s="218" t="e">
        <f t="shared" si="58"/>
        <v>#REF!</v>
      </c>
      <c r="Y268" s="218" t="e">
        <f t="shared" si="59"/>
        <v>#REF!</v>
      </c>
      <c r="Z268" s="4">
        <v>263</v>
      </c>
      <c r="AB268">
        <f t="shared" si="53"/>
        <v>263</v>
      </c>
      <c r="AC268" s="218" t="e">
        <f t="shared" si="60"/>
        <v>#REF!</v>
      </c>
      <c r="AD268" s="218" t="e">
        <f t="shared" si="61"/>
        <v>#REF!</v>
      </c>
      <c r="AE268" s="4">
        <v>263</v>
      </c>
    </row>
    <row r="269" spans="13:31">
      <c r="M269">
        <f t="shared" si="50"/>
        <v>264</v>
      </c>
      <c r="N269" s="218">
        <f t="shared" si="54"/>
        <v>0</v>
      </c>
      <c r="O269" s="218">
        <f t="shared" si="55"/>
        <v>0</v>
      </c>
      <c r="P269" s="4">
        <v>264</v>
      </c>
      <c r="R269">
        <f t="shared" si="51"/>
        <v>264</v>
      </c>
      <c r="S269" s="218">
        <f t="shared" ca="1" si="56"/>
        <v>0</v>
      </c>
      <c r="T269" s="218">
        <f t="shared" ca="1" si="57"/>
        <v>0</v>
      </c>
      <c r="U269" s="4">
        <v>264</v>
      </c>
      <c r="W269">
        <f t="shared" si="52"/>
        <v>264</v>
      </c>
      <c r="X269" s="218" t="e">
        <f t="shared" si="58"/>
        <v>#REF!</v>
      </c>
      <c r="Y269" s="218" t="e">
        <f t="shared" si="59"/>
        <v>#REF!</v>
      </c>
      <c r="Z269" s="4">
        <v>264</v>
      </c>
      <c r="AB269">
        <f t="shared" si="53"/>
        <v>264</v>
      </c>
      <c r="AC269" s="218" t="e">
        <f t="shared" si="60"/>
        <v>#REF!</v>
      </c>
      <c r="AD269" s="218" t="e">
        <f t="shared" si="61"/>
        <v>#REF!</v>
      </c>
      <c r="AE269" s="4">
        <v>264</v>
      </c>
    </row>
    <row r="270" spans="13:31">
      <c r="M270">
        <f t="shared" si="50"/>
        <v>265</v>
      </c>
      <c r="N270" s="218">
        <f t="shared" si="54"/>
        <v>0</v>
      </c>
      <c r="O270" s="218">
        <f t="shared" si="55"/>
        <v>0</v>
      </c>
      <c r="P270" s="4">
        <v>265</v>
      </c>
      <c r="R270">
        <f t="shared" si="51"/>
        <v>265</v>
      </c>
      <c r="S270" s="218">
        <f t="shared" ca="1" si="56"/>
        <v>0</v>
      </c>
      <c r="T270" s="218">
        <f t="shared" ca="1" si="57"/>
        <v>0</v>
      </c>
      <c r="U270" s="4">
        <v>265</v>
      </c>
      <c r="W270">
        <f t="shared" si="52"/>
        <v>265</v>
      </c>
      <c r="X270" s="218" t="e">
        <f t="shared" si="58"/>
        <v>#REF!</v>
      </c>
      <c r="Y270" s="218" t="e">
        <f t="shared" si="59"/>
        <v>#REF!</v>
      </c>
      <c r="Z270" s="4">
        <v>265</v>
      </c>
      <c r="AB270">
        <f t="shared" si="53"/>
        <v>265</v>
      </c>
      <c r="AC270" s="218" t="e">
        <f t="shared" si="60"/>
        <v>#REF!</v>
      </c>
      <c r="AD270" s="218" t="e">
        <f t="shared" si="61"/>
        <v>#REF!</v>
      </c>
      <c r="AE270" s="4">
        <v>265</v>
      </c>
    </row>
    <row r="271" spans="13:31">
      <c r="M271">
        <f t="shared" si="50"/>
        <v>266</v>
      </c>
      <c r="N271" s="218">
        <f t="shared" si="54"/>
        <v>0</v>
      </c>
      <c r="O271" s="218">
        <f t="shared" si="55"/>
        <v>0</v>
      </c>
      <c r="P271" s="4">
        <v>266</v>
      </c>
      <c r="R271">
        <f t="shared" si="51"/>
        <v>266</v>
      </c>
      <c r="S271" s="218">
        <f t="shared" ca="1" si="56"/>
        <v>0</v>
      </c>
      <c r="T271" s="218">
        <f t="shared" ca="1" si="57"/>
        <v>0</v>
      </c>
      <c r="U271" s="4">
        <v>266</v>
      </c>
      <c r="W271">
        <f t="shared" si="52"/>
        <v>266</v>
      </c>
      <c r="X271" s="218" t="e">
        <f t="shared" si="58"/>
        <v>#REF!</v>
      </c>
      <c r="Y271" s="218" t="e">
        <f t="shared" si="59"/>
        <v>#REF!</v>
      </c>
      <c r="Z271" s="4">
        <v>266</v>
      </c>
      <c r="AB271">
        <f t="shared" si="53"/>
        <v>266</v>
      </c>
      <c r="AC271" s="218" t="e">
        <f t="shared" si="60"/>
        <v>#REF!</v>
      </c>
      <c r="AD271" s="218" t="e">
        <f t="shared" si="61"/>
        <v>#REF!</v>
      </c>
      <c r="AE271" s="4">
        <v>266</v>
      </c>
    </row>
    <row r="272" spans="13:31">
      <c r="M272">
        <f t="shared" si="50"/>
        <v>267</v>
      </c>
      <c r="N272" s="218">
        <f t="shared" si="54"/>
        <v>0</v>
      </c>
      <c r="O272" s="218">
        <f t="shared" si="55"/>
        <v>0</v>
      </c>
      <c r="P272" s="4">
        <v>267</v>
      </c>
      <c r="R272">
        <f t="shared" si="51"/>
        <v>267</v>
      </c>
      <c r="S272" s="218">
        <f t="shared" ca="1" si="56"/>
        <v>0</v>
      </c>
      <c r="T272" s="218">
        <f t="shared" ca="1" si="57"/>
        <v>0</v>
      </c>
      <c r="U272" s="4">
        <v>267</v>
      </c>
      <c r="W272">
        <f t="shared" si="52"/>
        <v>267</v>
      </c>
      <c r="X272" s="218" t="e">
        <f t="shared" si="58"/>
        <v>#REF!</v>
      </c>
      <c r="Y272" s="218" t="e">
        <f t="shared" si="59"/>
        <v>#REF!</v>
      </c>
      <c r="Z272" s="4">
        <v>267</v>
      </c>
      <c r="AB272">
        <f t="shared" si="53"/>
        <v>267</v>
      </c>
      <c r="AC272" s="218" t="e">
        <f t="shared" si="60"/>
        <v>#REF!</v>
      </c>
      <c r="AD272" s="218" t="e">
        <f t="shared" si="61"/>
        <v>#REF!</v>
      </c>
      <c r="AE272" s="4">
        <v>267</v>
      </c>
    </row>
    <row r="273" spans="13:31">
      <c r="M273">
        <f t="shared" si="50"/>
        <v>268</v>
      </c>
      <c r="N273" s="218">
        <f t="shared" si="54"/>
        <v>0</v>
      </c>
      <c r="O273" s="218">
        <f t="shared" si="55"/>
        <v>0</v>
      </c>
      <c r="P273" s="4">
        <v>268</v>
      </c>
      <c r="R273">
        <f t="shared" si="51"/>
        <v>268</v>
      </c>
      <c r="S273" s="218">
        <f t="shared" ca="1" si="56"/>
        <v>0</v>
      </c>
      <c r="T273" s="218">
        <f t="shared" ca="1" si="57"/>
        <v>0</v>
      </c>
      <c r="U273" s="4">
        <v>268</v>
      </c>
      <c r="W273">
        <f t="shared" si="52"/>
        <v>268</v>
      </c>
      <c r="X273" s="218" t="e">
        <f t="shared" si="58"/>
        <v>#REF!</v>
      </c>
      <c r="Y273" s="218" t="e">
        <f t="shared" si="59"/>
        <v>#REF!</v>
      </c>
      <c r="Z273" s="4">
        <v>268</v>
      </c>
      <c r="AB273">
        <f t="shared" si="53"/>
        <v>268</v>
      </c>
      <c r="AC273" s="218" t="e">
        <f t="shared" si="60"/>
        <v>#REF!</v>
      </c>
      <c r="AD273" s="218" t="e">
        <f t="shared" si="61"/>
        <v>#REF!</v>
      </c>
      <c r="AE273" s="4">
        <v>268</v>
      </c>
    </row>
    <row r="274" spans="13:31">
      <c r="M274">
        <f t="shared" si="50"/>
        <v>269</v>
      </c>
      <c r="N274" s="218">
        <f t="shared" si="54"/>
        <v>0</v>
      </c>
      <c r="O274" s="218">
        <f t="shared" si="55"/>
        <v>0</v>
      </c>
      <c r="P274" s="4">
        <v>269</v>
      </c>
      <c r="R274">
        <f t="shared" si="51"/>
        <v>269</v>
      </c>
      <c r="S274" s="218">
        <f t="shared" ca="1" si="56"/>
        <v>0</v>
      </c>
      <c r="T274" s="218">
        <f t="shared" ca="1" si="57"/>
        <v>0</v>
      </c>
      <c r="U274" s="4">
        <v>269</v>
      </c>
      <c r="W274">
        <f t="shared" si="52"/>
        <v>269</v>
      </c>
      <c r="X274" s="218" t="e">
        <f t="shared" si="58"/>
        <v>#REF!</v>
      </c>
      <c r="Y274" s="218" t="e">
        <f t="shared" si="59"/>
        <v>#REF!</v>
      </c>
      <c r="Z274" s="4">
        <v>269</v>
      </c>
      <c r="AB274">
        <f t="shared" si="53"/>
        <v>269</v>
      </c>
      <c r="AC274" s="218" t="e">
        <f t="shared" si="60"/>
        <v>#REF!</v>
      </c>
      <c r="AD274" s="218" t="e">
        <f t="shared" si="61"/>
        <v>#REF!</v>
      </c>
      <c r="AE274" s="4">
        <v>269</v>
      </c>
    </row>
    <row r="275" spans="13:31">
      <c r="M275">
        <f t="shared" si="50"/>
        <v>270</v>
      </c>
      <c r="N275" s="218">
        <f t="shared" si="54"/>
        <v>0</v>
      </c>
      <c r="O275" s="218">
        <f t="shared" si="55"/>
        <v>0</v>
      </c>
      <c r="P275" s="4">
        <v>270</v>
      </c>
      <c r="R275">
        <f t="shared" si="51"/>
        <v>270</v>
      </c>
      <c r="S275" s="218">
        <f t="shared" ca="1" si="56"/>
        <v>0</v>
      </c>
      <c r="T275" s="218">
        <f t="shared" ca="1" si="57"/>
        <v>0</v>
      </c>
      <c r="U275" s="4">
        <v>270</v>
      </c>
      <c r="W275">
        <f t="shared" si="52"/>
        <v>270</v>
      </c>
      <c r="X275" s="218" t="e">
        <f t="shared" si="58"/>
        <v>#REF!</v>
      </c>
      <c r="Y275" s="218" t="e">
        <f t="shared" si="59"/>
        <v>#REF!</v>
      </c>
      <c r="Z275" s="4">
        <v>270</v>
      </c>
      <c r="AB275">
        <f t="shared" si="53"/>
        <v>270</v>
      </c>
      <c r="AC275" s="218" t="e">
        <f t="shared" si="60"/>
        <v>#REF!</v>
      </c>
      <c r="AD275" s="218" t="e">
        <f t="shared" si="61"/>
        <v>#REF!</v>
      </c>
      <c r="AE275" s="4">
        <v>270</v>
      </c>
    </row>
    <row r="276" spans="13:31">
      <c r="M276">
        <f t="shared" si="50"/>
        <v>271</v>
      </c>
      <c r="N276" s="218">
        <f t="shared" si="54"/>
        <v>0</v>
      </c>
      <c r="O276" s="218">
        <f t="shared" si="55"/>
        <v>0</v>
      </c>
      <c r="P276" s="4">
        <v>271</v>
      </c>
      <c r="R276">
        <f t="shared" si="51"/>
        <v>271</v>
      </c>
      <c r="S276" s="218">
        <f t="shared" ca="1" si="56"/>
        <v>0</v>
      </c>
      <c r="T276" s="218">
        <f t="shared" ca="1" si="57"/>
        <v>0</v>
      </c>
      <c r="U276" s="4">
        <v>271</v>
      </c>
      <c r="W276">
        <f t="shared" si="52"/>
        <v>271</v>
      </c>
      <c r="X276" s="218" t="e">
        <f t="shared" si="58"/>
        <v>#REF!</v>
      </c>
      <c r="Y276" s="218" t="e">
        <f t="shared" si="59"/>
        <v>#REF!</v>
      </c>
      <c r="Z276" s="4">
        <v>271</v>
      </c>
      <c r="AB276">
        <f t="shared" si="53"/>
        <v>271</v>
      </c>
      <c r="AC276" s="218" t="e">
        <f t="shared" si="60"/>
        <v>#REF!</v>
      </c>
      <c r="AD276" s="218" t="e">
        <f t="shared" si="61"/>
        <v>#REF!</v>
      </c>
      <c r="AE276" s="4">
        <v>271</v>
      </c>
    </row>
    <row r="277" spans="13:31">
      <c r="M277">
        <f t="shared" si="50"/>
        <v>272</v>
      </c>
      <c r="N277" s="218">
        <f t="shared" si="54"/>
        <v>0</v>
      </c>
      <c r="O277" s="218">
        <f t="shared" si="55"/>
        <v>0</v>
      </c>
      <c r="P277" s="4">
        <v>272</v>
      </c>
      <c r="R277">
        <f t="shared" si="51"/>
        <v>272</v>
      </c>
      <c r="S277" s="218">
        <f t="shared" ca="1" si="56"/>
        <v>0</v>
      </c>
      <c r="T277" s="218">
        <f t="shared" ca="1" si="57"/>
        <v>0</v>
      </c>
      <c r="U277" s="4">
        <v>272</v>
      </c>
      <c r="W277">
        <f t="shared" si="52"/>
        <v>272</v>
      </c>
      <c r="X277" s="218" t="e">
        <f t="shared" si="58"/>
        <v>#REF!</v>
      </c>
      <c r="Y277" s="218" t="e">
        <f t="shared" si="59"/>
        <v>#REF!</v>
      </c>
      <c r="Z277" s="4">
        <v>272</v>
      </c>
      <c r="AB277">
        <f t="shared" si="53"/>
        <v>272</v>
      </c>
      <c r="AC277" s="218" t="e">
        <f t="shared" si="60"/>
        <v>#REF!</v>
      </c>
      <c r="AD277" s="218" t="e">
        <f t="shared" si="61"/>
        <v>#REF!</v>
      </c>
      <c r="AE277" s="4">
        <v>272</v>
      </c>
    </row>
    <row r="278" spans="13:31">
      <c r="M278">
        <f t="shared" si="50"/>
        <v>273</v>
      </c>
      <c r="N278" s="218">
        <f t="shared" si="54"/>
        <v>0</v>
      </c>
      <c r="O278" s="218">
        <f t="shared" si="55"/>
        <v>0</v>
      </c>
      <c r="P278" s="4">
        <v>273</v>
      </c>
      <c r="R278">
        <f t="shared" si="51"/>
        <v>273</v>
      </c>
      <c r="S278" s="218">
        <f t="shared" ca="1" si="56"/>
        <v>0</v>
      </c>
      <c r="T278" s="218">
        <f t="shared" ca="1" si="57"/>
        <v>0</v>
      </c>
      <c r="U278" s="4">
        <v>273</v>
      </c>
      <c r="W278">
        <f t="shared" si="52"/>
        <v>273</v>
      </c>
      <c r="X278" s="218" t="e">
        <f t="shared" si="58"/>
        <v>#REF!</v>
      </c>
      <c r="Y278" s="218" t="e">
        <f t="shared" si="59"/>
        <v>#REF!</v>
      </c>
      <c r="Z278" s="4">
        <v>273</v>
      </c>
      <c r="AB278">
        <f t="shared" si="53"/>
        <v>273</v>
      </c>
      <c r="AC278" s="218" t="e">
        <f t="shared" si="60"/>
        <v>#REF!</v>
      </c>
      <c r="AD278" s="218" t="e">
        <f t="shared" si="61"/>
        <v>#REF!</v>
      </c>
      <c r="AE278" s="4">
        <v>273</v>
      </c>
    </row>
    <row r="279" spans="13:31">
      <c r="M279">
        <f t="shared" si="50"/>
        <v>274</v>
      </c>
      <c r="N279" s="218">
        <f t="shared" si="54"/>
        <v>0</v>
      </c>
      <c r="O279" s="218">
        <f t="shared" si="55"/>
        <v>0</v>
      </c>
      <c r="P279" s="4">
        <v>274</v>
      </c>
      <c r="R279">
        <f t="shared" si="51"/>
        <v>274</v>
      </c>
      <c r="S279" s="218">
        <f t="shared" ca="1" si="56"/>
        <v>0</v>
      </c>
      <c r="T279" s="218">
        <f t="shared" ca="1" si="57"/>
        <v>0</v>
      </c>
      <c r="U279" s="4">
        <v>274</v>
      </c>
      <c r="W279">
        <f t="shared" si="52"/>
        <v>274</v>
      </c>
      <c r="X279" s="218" t="e">
        <f t="shared" si="58"/>
        <v>#REF!</v>
      </c>
      <c r="Y279" s="218" t="e">
        <f t="shared" si="59"/>
        <v>#REF!</v>
      </c>
      <c r="Z279" s="4">
        <v>274</v>
      </c>
      <c r="AB279">
        <f t="shared" si="53"/>
        <v>274</v>
      </c>
      <c r="AC279" s="218" t="e">
        <f t="shared" si="60"/>
        <v>#REF!</v>
      </c>
      <c r="AD279" s="218" t="e">
        <f t="shared" si="61"/>
        <v>#REF!</v>
      </c>
      <c r="AE279" s="4">
        <v>274</v>
      </c>
    </row>
    <row r="280" spans="13:31">
      <c r="M280">
        <f t="shared" si="50"/>
        <v>275</v>
      </c>
      <c r="N280" s="218">
        <f t="shared" si="54"/>
        <v>0</v>
      </c>
      <c r="O280" s="218">
        <f t="shared" si="55"/>
        <v>0</v>
      </c>
      <c r="P280" s="4">
        <v>275</v>
      </c>
      <c r="R280">
        <f t="shared" si="51"/>
        <v>275</v>
      </c>
      <c r="S280" s="218">
        <f t="shared" ca="1" si="56"/>
        <v>0</v>
      </c>
      <c r="T280" s="218">
        <f t="shared" ca="1" si="57"/>
        <v>0</v>
      </c>
      <c r="U280" s="4">
        <v>275</v>
      </c>
      <c r="W280">
        <f t="shared" si="52"/>
        <v>275</v>
      </c>
      <c r="X280" s="218" t="e">
        <f t="shared" si="58"/>
        <v>#REF!</v>
      </c>
      <c r="Y280" s="218" t="e">
        <f t="shared" si="59"/>
        <v>#REF!</v>
      </c>
      <c r="Z280" s="4">
        <v>275</v>
      </c>
      <c r="AB280">
        <f t="shared" si="53"/>
        <v>275</v>
      </c>
      <c r="AC280" s="218" t="e">
        <f t="shared" si="60"/>
        <v>#REF!</v>
      </c>
      <c r="AD280" s="218" t="e">
        <f t="shared" si="61"/>
        <v>#REF!</v>
      </c>
      <c r="AE280" s="4">
        <v>275</v>
      </c>
    </row>
    <row r="281" spans="13:31">
      <c r="M281">
        <f t="shared" si="50"/>
        <v>276</v>
      </c>
      <c r="N281" s="218">
        <f t="shared" si="54"/>
        <v>0</v>
      </c>
      <c r="O281" s="218">
        <f t="shared" si="55"/>
        <v>0</v>
      </c>
      <c r="P281" s="4">
        <v>276</v>
      </c>
      <c r="R281">
        <f t="shared" si="51"/>
        <v>276</v>
      </c>
      <c r="S281" s="218">
        <f t="shared" ca="1" si="56"/>
        <v>0</v>
      </c>
      <c r="T281" s="218">
        <f t="shared" ca="1" si="57"/>
        <v>0</v>
      </c>
      <c r="U281" s="4">
        <v>276</v>
      </c>
      <c r="W281">
        <f t="shared" si="52"/>
        <v>276</v>
      </c>
      <c r="X281" s="218" t="e">
        <f t="shared" si="58"/>
        <v>#REF!</v>
      </c>
      <c r="Y281" s="218" t="e">
        <f t="shared" si="59"/>
        <v>#REF!</v>
      </c>
      <c r="Z281" s="4">
        <v>276</v>
      </c>
      <c r="AB281">
        <f t="shared" si="53"/>
        <v>276</v>
      </c>
      <c r="AC281" s="218" t="e">
        <f t="shared" si="60"/>
        <v>#REF!</v>
      </c>
      <c r="AD281" s="218" t="e">
        <f t="shared" si="61"/>
        <v>#REF!</v>
      </c>
      <c r="AE281" s="4">
        <v>276</v>
      </c>
    </row>
    <row r="282" spans="13:31">
      <c r="M282">
        <f t="shared" si="50"/>
        <v>277</v>
      </c>
      <c r="N282" s="218">
        <f t="shared" si="54"/>
        <v>0</v>
      </c>
      <c r="O282" s="218">
        <f t="shared" si="55"/>
        <v>0</v>
      </c>
      <c r="P282" s="4">
        <v>277</v>
      </c>
      <c r="R282">
        <f t="shared" si="51"/>
        <v>277</v>
      </c>
      <c r="S282" s="218">
        <f t="shared" ca="1" si="56"/>
        <v>0</v>
      </c>
      <c r="T282" s="218">
        <f t="shared" ca="1" si="57"/>
        <v>0</v>
      </c>
      <c r="U282" s="4">
        <v>277</v>
      </c>
      <c r="W282">
        <f t="shared" si="52"/>
        <v>277</v>
      </c>
      <c r="X282" s="218" t="e">
        <f t="shared" si="58"/>
        <v>#REF!</v>
      </c>
      <c r="Y282" s="218" t="e">
        <f t="shared" si="59"/>
        <v>#REF!</v>
      </c>
      <c r="Z282" s="4">
        <v>277</v>
      </c>
      <c r="AB282">
        <f t="shared" si="53"/>
        <v>277</v>
      </c>
      <c r="AC282" s="218" t="e">
        <f t="shared" si="60"/>
        <v>#REF!</v>
      </c>
      <c r="AD282" s="218" t="e">
        <f t="shared" si="61"/>
        <v>#REF!</v>
      </c>
      <c r="AE282" s="4">
        <v>277</v>
      </c>
    </row>
    <row r="283" spans="13:31">
      <c r="M283">
        <f t="shared" si="50"/>
        <v>278</v>
      </c>
      <c r="N283" s="218">
        <f t="shared" si="54"/>
        <v>0</v>
      </c>
      <c r="O283" s="218">
        <f t="shared" si="55"/>
        <v>0</v>
      </c>
      <c r="P283" s="4">
        <v>278</v>
      </c>
      <c r="R283">
        <f t="shared" si="51"/>
        <v>278</v>
      </c>
      <c r="S283" s="218">
        <f t="shared" ca="1" si="56"/>
        <v>0</v>
      </c>
      <c r="T283" s="218">
        <f t="shared" ca="1" si="57"/>
        <v>0</v>
      </c>
      <c r="U283" s="4">
        <v>278</v>
      </c>
      <c r="W283">
        <f t="shared" si="52"/>
        <v>278</v>
      </c>
      <c r="X283" s="218" t="e">
        <f t="shared" si="58"/>
        <v>#REF!</v>
      </c>
      <c r="Y283" s="218" t="e">
        <f t="shared" si="59"/>
        <v>#REF!</v>
      </c>
      <c r="Z283" s="4">
        <v>278</v>
      </c>
      <c r="AB283">
        <f t="shared" si="53"/>
        <v>278</v>
      </c>
      <c r="AC283" s="218" t="e">
        <f t="shared" si="60"/>
        <v>#REF!</v>
      </c>
      <c r="AD283" s="218" t="e">
        <f t="shared" si="61"/>
        <v>#REF!</v>
      </c>
      <c r="AE283" s="4">
        <v>278</v>
      </c>
    </row>
    <row r="284" spans="13:31">
      <c r="M284">
        <f t="shared" si="50"/>
        <v>279</v>
      </c>
      <c r="N284" s="218">
        <f t="shared" si="54"/>
        <v>0</v>
      </c>
      <c r="O284" s="218">
        <f t="shared" si="55"/>
        <v>0</v>
      </c>
      <c r="P284" s="4">
        <v>279</v>
      </c>
      <c r="R284">
        <f t="shared" si="51"/>
        <v>279</v>
      </c>
      <c r="S284" s="218">
        <f t="shared" ca="1" si="56"/>
        <v>0</v>
      </c>
      <c r="T284" s="218">
        <f t="shared" ca="1" si="57"/>
        <v>0</v>
      </c>
      <c r="U284" s="4">
        <v>279</v>
      </c>
      <c r="W284">
        <f t="shared" si="52"/>
        <v>279</v>
      </c>
      <c r="X284" s="218" t="e">
        <f t="shared" si="58"/>
        <v>#REF!</v>
      </c>
      <c r="Y284" s="218" t="e">
        <f t="shared" si="59"/>
        <v>#REF!</v>
      </c>
      <c r="Z284" s="4">
        <v>279</v>
      </c>
      <c r="AB284">
        <f t="shared" si="53"/>
        <v>279</v>
      </c>
      <c r="AC284" s="218" t="e">
        <f t="shared" si="60"/>
        <v>#REF!</v>
      </c>
      <c r="AD284" s="218" t="e">
        <f t="shared" si="61"/>
        <v>#REF!</v>
      </c>
      <c r="AE284" s="4">
        <v>279</v>
      </c>
    </row>
    <row r="285" spans="13:31">
      <c r="M285">
        <f t="shared" si="50"/>
        <v>280</v>
      </c>
      <c r="N285" s="218">
        <f t="shared" si="54"/>
        <v>0</v>
      </c>
      <c r="O285" s="218">
        <f t="shared" si="55"/>
        <v>0</v>
      </c>
      <c r="P285" s="4">
        <v>280</v>
      </c>
      <c r="R285">
        <f t="shared" si="51"/>
        <v>280</v>
      </c>
      <c r="S285" s="218">
        <f t="shared" ca="1" si="56"/>
        <v>0</v>
      </c>
      <c r="T285" s="218">
        <f t="shared" ca="1" si="57"/>
        <v>0</v>
      </c>
      <c r="U285" s="4">
        <v>280</v>
      </c>
      <c r="W285">
        <f t="shared" si="52"/>
        <v>280</v>
      </c>
      <c r="X285" s="218" t="e">
        <f t="shared" si="58"/>
        <v>#REF!</v>
      </c>
      <c r="Y285" s="218" t="e">
        <f t="shared" si="59"/>
        <v>#REF!</v>
      </c>
      <c r="Z285" s="4">
        <v>280</v>
      </c>
      <c r="AB285">
        <f t="shared" si="53"/>
        <v>280</v>
      </c>
      <c r="AC285" s="218" t="e">
        <f t="shared" si="60"/>
        <v>#REF!</v>
      </c>
      <c r="AD285" s="218" t="e">
        <f t="shared" si="61"/>
        <v>#REF!</v>
      </c>
      <c r="AE285" s="4">
        <v>280</v>
      </c>
    </row>
    <row r="286" spans="13:31">
      <c r="M286">
        <f t="shared" si="50"/>
        <v>281</v>
      </c>
      <c r="N286" s="218">
        <f t="shared" si="54"/>
        <v>0</v>
      </c>
      <c r="O286" s="218">
        <f t="shared" si="55"/>
        <v>0</v>
      </c>
      <c r="P286" s="4">
        <v>281</v>
      </c>
      <c r="R286">
        <f t="shared" si="51"/>
        <v>281</v>
      </c>
      <c r="S286" s="218">
        <f t="shared" ca="1" si="56"/>
        <v>0</v>
      </c>
      <c r="T286" s="218">
        <f t="shared" ca="1" si="57"/>
        <v>0</v>
      </c>
      <c r="U286" s="4">
        <v>281</v>
      </c>
      <c r="W286">
        <f t="shared" si="52"/>
        <v>281</v>
      </c>
      <c r="X286" s="218" t="e">
        <f t="shared" si="58"/>
        <v>#REF!</v>
      </c>
      <c r="Y286" s="218" t="e">
        <f t="shared" si="59"/>
        <v>#REF!</v>
      </c>
      <c r="Z286" s="4">
        <v>281</v>
      </c>
      <c r="AB286">
        <f t="shared" si="53"/>
        <v>281</v>
      </c>
      <c r="AC286" s="218" t="e">
        <f t="shared" si="60"/>
        <v>#REF!</v>
      </c>
      <c r="AD286" s="218" t="e">
        <f t="shared" si="61"/>
        <v>#REF!</v>
      </c>
      <c r="AE286" s="4">
        <v>281</v>
      </c>
    </row>
    <row r="287" spans="13:31">
      <c r="M287">
        <f t="shared" si="50"/>
        <v>282</v>
      </c>
      <c r="N287" s="218">
        <f t="shared" si="54"/>
        <v>0</v>
      </c>
      <c r="O287" s="218">
        <f t="shared" si="55"/>
        <v>0</v>
      </c>
      <c r="P287" s="4">
        <v>282</v>
      </c>
      <c r="R287">
        <f t="shared" si="51"/>
        <v>282</v>
      </c>
      <c r="S287" s="218">
        <f t="shared" ca="1" si="56"/>
        <v>0</v>
      </c>
      <c r="T287" s="218">
        <f t="shared" ca="1" si="57"/>
        <v>0</v>
      </c>
      <c r="U287" s="4">
        <v>282</v>
      </c>
      <c r="W287">
        <f t="shared" si="52"/>
        <v>282</v>
      </c>
      <c r="X287" s="218" t="e">
        <f t="shared" si="58"/>
        <v>#REF!</v>
      </c>
      <c r="Y287" s="218" t="e">
        <f t="shared" si="59"/>
        <v>#REF!</v>
      </c>
      <c r="Z287" s="4">
        <v>282</v>
      </c>
      <c r="AB287">
        <f t="shared" si="53"/>
        <v>282</v>
      </c>
      <c r="AC287" s="218" t="e">
        <f t="shared" si="60"/>
        <v>#REF!</v>
      </c>
      <c r="AD287" s="218" t="e">
        <f t="shared" si="61"/>
        <v>#REF!</v>
      </c>
      <c r="AE287" s="4">
        <v>282</v>
      </c>
    </row>
    <row r="288" spans="13:31">
      <c r="M288">
        <f t="shared" si="50"/>
        <v>283</v>
      </c>
      <c r="N288" s="218">
        <f t="shared" si="54"/>
        <v>0</v>
      </c>
      <c r="O288" s="218">
        <f t="shared" si="55"/>
        <v>0</v>
      </c>
      <c r="P288" s="4">
        <v>283</v>
      </c>
      <c r="R288">
        <f t="shared" si="51"/>
        <v>283</v>
      </c>
      <c r="S288" s="218">
        <f t="shared" ca="1" si="56"/>
        <v>0</v>
      </c>
      <c r="T288" s="218">
        <f t="shared" ca="1" si="57"/>
        <v>0</v>
      </c>
      <c r="U288" s="4">
        <v>283</v>
      </c>
      <c r="W288">
        <f t="shared" si="52"/>
        <v>283</v>
      </c>
      <c r="X288" s="218" t="e">
        <f t="shared" si="58"/>
        <v>#REF!</v>
      </c>
      <c r="Y288" s="218" t="e">
        <f t="shared" si="59"/>
        <v>#REF!</v>
      </c>
      <c r="Z288" s="4">
        <v>283</v>
      </c>
      <c r="AB288">
        <f t="shared" si="53"/>
        <v>283</v>
      </c>
      <c r="AC288" s="218" t="e">
        <f t="shared" si="60"/>
        <v>#REF!</v>
      </c>
      <c r="AD288" s="218" t="e">
        <f t="shared" si="61"/>
        <v>#REF!</v>
      </c>
      <c r="AE288" s="4">
        <v>283</v>
      </c>
    </row>
    <row r="289" spans="13:31">
      <c r="M289">
        <f t="shared" si="50"/>
        <v>284</v>
      </c>
      <c r="N289" s="218">
        <f t="shared" si="54"/>
        <v>0</v>
      </c>
      <c r="O289" s="218">
        <f t="shared" si="55"/>
        <v>0</v>
      </c>
      <c r="P289" s="4">
        <v>284</v>
      </c>
      <c r="R289">
        <f t="shared" si="51"/>
        <v>284</v>
      </c>
      <c r="S289" s="218">
        <f t="shared" ca="1" si="56"/>
        <v>0</v>
      </c>
      <c r="T289" s="218">
        <f t="shared" ca="1" si="57"/>
        <v>0</v>
      </c>
      <c r="U289" s="4">
        <v>284</v>
      </c>
      <c r="W289">
        <f t="shared" si="52"/>
        <v>284</v>
      </c>
      <c r="X289" s="218" t="e">
        <f t="shared" si="58"/>
        <v>#REF!</v>
      </c>
      <c r="Y289" s="218" t="e">
        <f t="shared" si="59"/>
        <v>#REF!</v>
      </c>
      <c r="Z289" s="4">
        <v>284</v>
      </c>
      <c r="AB289">
        <f t="shared" si="53"/>
        <v>284</v>
      </c>
      <c r="AC289" s="218" t="e">
        <f t="shared" si="60"/>
        <v>#REF!</v>
      </c>
      <c r="AD289" s="218" t="e">
        <f t="shared" si="61"/>
        <v>#REF!</v>
      </c>
      <c r="AE289" s="4">
        <v>284</v>
      </c>
    </row>
    <row r="290" spans="13:31">
      <c r="M290">
        <f t="shared" si="50"/>
        <v>285</v>
      </c>
      <c r="N290" s="218">
        <f t="shared" si="54"/>
        <v>0</v>
      </c>
      <c r="O290" s="218">
        <f t="shared" si="55"/>
        <v>0</v>
      </c>
      <c r="P290" s="4">
        <v>285</v>
      </c>
      <c r="R290">
        <f t="shared" si="51"/>
        <v>285</v>
      </c>
      <c r="S290" s="218">
        <f t="shared" ca="1" si="56"/>
        <v>0</v>
      </c>
      <c r="T290" s="218">
        <f t="shared" ca="1" si="57"/>
        <v>0</v>
      </c>
      <c r="U290" s="4">
        <v>285</v>
      </c>
      <c r="W290">
        <f t="shared" si="52"/>
        <v>285</v>
      </c>
      <c r="X290" s="218" t="e">
        <f t="shared" si="58"/>
        <v>#REF!</v>
      </c>
      <c r="Y290" s="218" t="e">
        <f t="shared" si="59"/>
        <v>#REF!</v>
      </c>
      <c r="Z290" s="4">
        <v>285</v>
      </c>
      <c r="AB290">
        <f t="shared" si="53"/>
        <v>285</v>
      </c>
      <c r="AC290" s="218" t="e">
        <f t="shared" si="60"/>
        <v>#REF!</v>
      </c>
      <c r="AD290" s="218" t="e">
        <f t="shared" si="61"/>
        <v>#REF!</v>
      </c>
      <c r="AE290" s="4">
        <v>285</v>
      </c>
    </row>
    <row r="291" spans="13:31">
      <c r="M291">
        <f t="shared" si="50"/>
        <v>286</v>
      </c>
      <c r="N291" s="218">
        <f t="shared" si="54"/>
        <v>0</v>
      </c>
      <c r="O291" s="218">
        <f t="shared" si="55"/>
        <v>0</v>
      </c>
      <c r="P291" s="4">
        <v>286</v>
      </c>
      <c r="R291">
        <f t="shared" si="51"/>
        <v>286</v>
      </c>
      <c r="S291" s="218">
        <f t="shared" ca="1" si="56"/>
        <v>0</v>
      </c>
      <c r="T291" s="218">
        <f t="shared" ca="1" si="57"/>
        <v>0</v>
      </c>
      <c r="U291" s="4">
        <v>286</v>
      </c>
      <c r="W291">
        <f t="shared" si="52"/>
        <v>286</v>
      </c>
      <c r="X291" s="218" t="e">
        <f t="shared" si="58"/>
        <v>#REF!</v>
      </c>
      <c r="Y291" s="218" t="e">
        <f t="shared" si="59"/>
        <v>#REF!</v>
      </c>
      <c r="Z291" s="4">
        <v>286</v>
      </c>
      <c r="AB291">
        <f t="shared" si="53"/>
        <v>286</v>
      </c>
      <c r="AC291" s="218" t="e">
        <f t="shared" si="60"/>
        <v>#REF!</v>
      </c>
      <c r="AD291" s="218" t="e">
        <f t="shared" si="61"/>
        <v>#REF!</v>
      </c>
      <c r="AE291" s="4">
        <v>286</v>
      </c>
    </row>
    <row r="292" spans="13:31">
      <c r="M292">
        <f t="shared" si="50"/>
        <v>287</v>
      </c>
      <c r="N292" s="218">
        <f t="shared" si="54"/>
        <v>0</v>
      </c>
      <c r="O292" s="218">
        <f t="shared" si="55"/>
        <v>0</v>
      </c>
      <c r="P292" s="4">
        <v>287</v>
      </c>
      <c r="R292">
        <f t="shared" si="51"/>
        <v>287</v>
      </c>
      <c r="S292" s="218">
        <f t="shared" ca="1" si="56"/>
        <v>0</v>
      </c>
      <c r="T292" s="218">
        <f t="shared" ca="1" si="57"/>
        <v>0</v>
      </c>
      <c r="U292" s="4">
        <v>287</v>
      </c>
      <c r="W292">
        <f t="shared" si="52"/>
        <v>287</v>
      </c>
      <c r="X292" s="218" t="e">
        <f t="shared" si="58"/>
        <v>#REF!</v>
      </c>
      <c r="Y292" s="218" t="e">
        <f t="shared" si="59"/>
        <v>#REF!</v>
      </c>
      <c r="Z292" s="4">
        <v>287</v>
      </c>
      <c r="AB292">
        <f t="shared" si="53"/>
        <v>287</v>
      </c>
      <c r="AC292" s="218" t="e">
        <f t="shared" si="60"/>
        <v>#REF!</v>
      </c>
      <c r="AD292" s="218" t="e">
        <f t="shared" si="61"/>
        <v>#REF!</v>
      </c>
      <c r="AE292" s="4">
        <v>287</v>
      </c>
    </row>
    <row r="293" spans="13:31">
      <c r="M293">
        <f t="shared" si="50"/>
        <v>288</v>
      </c>
      <c r="N293" s="218">
        <f t="shared" si="54"/>
        <v>0</v>
      </c>
      <c r="O293" s="218">
        <f t="shared" si="55"/>
        <v>0</v>
      </c>
      <c r="P293" s="4">
        <v>288</v>
      </c>
      <c r="R293">
        <f t="shared" si="51"/>
        <v>288</v>
      </c>
      <c r="S293" s="218">
        <f t="shared" ca="1" si="56"/>
        <v>0</v>
      </c>
      <c r="T293" s="218">
        <f t="shared" ca="1" si="57"/>
        <v>0</v>
      </c>
      <c r="U293" s="4">
        <v>288</v>
      </c>
      <c r="W293">
        <f t="shared" si="52"/>
        <v>288</v>
      </c>
      <c r="X293" s="218" t="e">
        <f t="shared" si="58"/>
        <v>#REF!</v>
      </c>
      <c r="Y293" s="218" t="e">
        <f t="shared" si="59"/>
        <v>#REF!</v>
      </c>
      <c r="Z293" s="4">
        <v>288</v>
      </c>
      <c r="AB293">
        <f t="shared" si="53"/>
        <v>288</v>
      </c>
      <c r="AC293" s="218" t="e">
        <f t="shared" si="60"/>
        <v>#REF!</v>
      </c>
      <c r="AD293" s="218" t="e">
        <f t="shared" si="61"/>
        <v>#REF!</v>
      </c>
      <c r="AE293" s="4">
        <v>288</v>
      </c>
    </row>
    <row r="294" spans="13:31">
      <c r="M294">
        <f t="shared" si="50"/>
        <v>289</v>
      </c>
      <c r="N294" s="218">
        <f t="shared" si="54"/>
        <v>0</v>
      </c>
      <c r="O294" s="218">
        <f t="shared" si="55"/>
        <v>0</v>
      </c>
      <c r="P294" s="4">
        <v>289</v>
      </c>
      <c r="R294">
        <f t="shared" si="51"/>
        <v>289</v>
      </c>
      <c r="S294" s="218">
        <f t="shared" ca="1" si="56"/>
        <v>0</v>
      </c>
      <c r="T294" s="218">
        <f t="shared" ca="1" si="57"/>
        <v>0</v>
      </c>
      <c r="U294" s="4">
        <v>289</v>
      </c>
      <c r="W294">
        <f t="shared" si="52"/>
        <v>289</v>
      </c>
      <c r="X294" s="218" t="e">
        <f t="shared" si="58"/>
        <v>#REF!</v>
      </c>
      <c r="Y294" s="218" t="e">
        <f t="shared" si="59"/>
        <v>#REF!</v>
      </c>
      <c r="Z294" s="4">
        <v>289</v>
      </c>
      <c r="AB294">
        <f t="shared" si="53"/>
        <v>289</v>
      </c>
      <c r="AC294" s="218" t="e">
        <f t="shared" si="60"/>
        <v>#REF!</v>
      </c>
      <c r="AD294" s="218" t="e">
        <f t="shared" si="61"/>
        <v>#REF!</v>
      </c>
      <c r="AE294" s="4">
        <v>289</v>
      </c>
    </row>
    <row r="295" spans="13:31">
      <c r="M295">
        <f t="shared" si="50"/>
        <v>290</v>
      </c>
      <c r="N295" s="218">
        <f t="shared" si="54"/>
        <v>0</v>
      </c>
      <c r="O295" s="218">
        <f t="shared" si="55"/>
        <v>0</v>
      </c>
      <c r="P295" s="4">
        <v>290</v>
      </c>
      <c r="R295">
        <f t="shared" si="51"/>
        <v>290</v>
      </c>
      <c r="S295" s="218">
        <f t="shared" ca="1" si="56"/>
        <v>0</v>
      </c>
      <c r="T295" s="218">
        <f t="shared" ca="1" si="57"/>
        <v>0</v>
      </c>
      <c r="U295" s="4">
        <v>290</v>
      </c>
      <c r="W295">
        <f t="shared" si="52"/>
        <v>290</v>
      </c>
      <c r="X295" s="218" t="e">
        <f t="shared" si="58"/>
        <v>#REF!</v>
      </c>
      <c r="Y295" s="218" t="e">
        <f t="shared" si="59"/>
        <v>#REF!</v>
      </c>
      <c r="Z295" s="4">
        <v>290</v>
      </c>
      <c r="AB295">
        <f t="shared" si="53"/>
        <v>290</v>
      </c>
      <c r="AC295" s="218" t="e">
        <f t="shared" si="60"/>
        <v>#REF!</v>
      </c>
      <c r="AD295" s="218" t="e">
        <f t="shared" si="61"/>
        <v>#REF!</v>
      </c>
      <c r="AE295" s="4">
        <v>290</v>
      </c>
    </row>
    <row r="296" spans="13:31">
      <c r="M296">
        <f t="shared" si="50"/>
        <v>291</v>
      </c>
      <c r="N296" s="218">
        <f t="shared" si="54"/>
        <v>0</v>
      </c>
      <c r="O296" s="218">
        <f t="shared" si="55"/>
        <v>0</v>
      </c>
      <c r="P296" s="4">
        <v>291</v>
      </c>
      <c r="R296">
        <f t="shared" si="51"/>
        <v>291</v>
      </c>
      <c r="S296" s="218">
        <f t="shared" ca="1" si="56"/>
        <v>0</v>
      </c>
      <c r="T296" s="218">
        <f t="shared" ca="1" si="57"/>
        <v>0</v>
      </c>
      <c r="U296" s="4">
        <v>291</v>
      </c>
      <c r="W296">
        <f t="shared" si="52"/>
        <v>291</v>
      </c>
      <c r="X296" s="218" t="e">
        <f t="shared" si="58"/>
        <v>#REF!</v>
      </c>
      <c r="Y296" s="218" t="e">
        <f t="shared" si="59"/>
        <v>#REF!</v>
      </c>
      <c r="Z296" s="4">
        <v>291</v>
      </c>
      <c r="AB296">
        <f t="shared" si="53"/>
        <v>291</v>
      </c>
      <c r="AC296" s="218" t="e">
        <f t="shared" si="60"/>
        <v>#REF!</v>
      </c>
      <c r="AD296" s="218" t="e">
        <f t="shared" si="61"/>
        <v>#REF!</v>
      </c>
      <c r="AE296" s="4">
        <v>291</v>
      </c>
    </row>
    <row r="297" spans="13:31">
      <c r="M297">
        <f t="shared" si="50"/>
        <v>292</v>
      </c>
      <c r="N297" s="218">
        <f t="shared" si="54"/>
        <v>0</v>
      </c>
      <c r="O297" s="218">
        <f t="shared" si="55"/>
        <v>0</v>
      </c>
      <c r="P297" s="4">
        <v>292</v>
      </c>
      <c r="R297">
        <f t="shared" si="51"/>
        <v>292</v>
      </c>
      <c r="S297" s="218">
        <f t="shared" ca="1" si="56"/>
        <v>0</v>
      </c>
      <c r="T297" s="218">
        <f t="shared" ca="1" si="57"/>
        <v>0</v>
      </c>
      <c r="U297" s="4">
        <v>292</v>
      </c>
      <c r="W297">
        <f t="shared" si="52"/>
        <v>292</v>
      </c>
      <c r="X297" s="218" t="e">
        <f t="shared" si="58"/>
        <v>#REF!</v>
      </c>
      <c r="Y297" s="218" t="e">
        <f t="shared" si="59"/>
        <v>#REF!</v>
      </c>
      <c r="Z297" s="4">
        <v>292</v>
      </c>
      <c r="AB297">
        <f t="shared" si="53"/>
        <v>292</v>
      </c>
      <c r="AC297" s="218" t="e">
        <f t="shared" si="60"/>
        <v>#REF!</v>
      </c>
      <c r="AD297" s="218" t="e">
        <f t="shared" si="61"/>
        <v>#REF!</v>
      </c>
      <c r="AE297" s="4">
        <v>292</v>
      </c>
    </row>
    <row r="298" spans="13:31">
      <c r="M298">
        <f t="shared" si="50"/>
        <v>293</v>
      </c>
      <c r="N298" s="218">
        <f t="shared" si="54"/>
        <v>0</v>
      </c>
      <c r="O298" s="218">
        <f t="shared" si="55"/>
        <v>0</v>
      </c>
      <c r="P298" s="4">
        <v>293</v>
      </c>
      <c r="R298">
        <f t="shared" si="51"/>
        <v>293</v>
      </c>
      <c r="S298" s="218">
        <f t="shared" ca="1" si="56"/>
        <v>0</v>
      </c>
      <c r="T298" s="218">
        <f t="shared" ca="1" si="57"/>
        <v>0</v>
      </c>
      <c r="U298" s="4">
        <v>293</v>
      </c>
      <c r="W298">
        <f t="shared" si="52"/>
        <v>293</v>
      </c>
      <c r="X298" s="218" t="e">
        <f t="shared" si="58"/>
        <v>#REF!</v>
      </c>
      <c r="Y298" s="218" t="e">
        <f t="shared" si="59"/>
        <v>#REF!</v>
      </c>
      <c r="Z298" s="4">
        <v>293</v>
      </c>
      <c r="AB298">
        <f t="shared" si="53"/>
        <v>293</v>
      </c>
      <c r="AC298" s="218" t="e">
        <f t="shared" si="60"/>
        <v>#REF!</v>
      </c>
      <c r="AD298" s="218" t="e">
        <f t="shared" si="61"/>
        <v>#REF!</v>
      </c>
      <c r="AE298" s="4">
        <v>293</v>
      </c>
    </row>
    <row r="299" spans="13:31">
      <c r="M299">
        <f t="shared" si="50"/>
        <v>294</v>
      </c>
      <c r="N299" s="218">
        <f t="shared" si="54"/>
        <v>0</v>
      </c>
      <c r="O299" s="218">
        <f t="shared" si="55"/>
        <v>0</v>
      </c>
      <c r="P299" s="4">
        <v>294</v>
      </c>
      <c r="R299">
        <f t="shared" si="51"/>
        <v>294</v>
      </c>
      <c r="S299" s="218">
        <f t="shared" ca="1" si="56"/>
        <v>0</v>
      </c>
      <c r="T299" s="218">
        <f t="shared" ca="1" si="57"/>
        <v>0</v>
      </c>
      <c r="U299" s="4">
        <v>294</v>
      </c>
      <c r="W299">
        <f t="shared" si="52"/>
        <v>294</v>
      </c>
      <c r="X299" s="218" t="e">
        <f t="shared" si="58"/>
        <v>#REF!</v>
      </c>
      <c r="Y299" s="218" t="e">
        <f t="shared" si="59"/>
        <v>#REF!</v>
      </c>
      <c r="Z299" s="4">
        <v>294</v>
      </c>
      <c r="AB299">
        <f t="shared" si="53"/>
        <v>294</v>
      </c>
      <c r="AC299" s="218" t="e">
        <f t="shared" si="60"/>
        <v>#REF!</v>
      </c>
      <c r="AD299" s="218" t="e">
        <f t="shared" si="61"/>
        <v>#REF!</v>
      </c>
      <c r="AE299" s="4">
        <v>294</v>
      </c>
    </row>
    <row r="300" spans="13:31">
      <c r="M300">
        <f t="shared" si="50"/>
        <v>295</v>
      </c>
      <c r="N300" s="218">
        <f t="shared" si="54"/>
        <v>0</v>
      </c>
      <c r="O300" s="218">
        <f t="shared" si="55"/>
        <v>0</v>
      </c>
      <c r="P300" s="4">
        <v>295</v>
      </c>
      <c r="R300">
        <f t="shared" si="51"/>
        <v>295</v>
      </c>
      <c r="S300" s="218">
        <f t="shared" ca="1" si="56"/>
        <v>0</v>
      </c>
      <c r="T300" s="218">
        <f t="shared" ca="1" si="57"/>
        <v>0</v>
      </c>
      <c r="U300" s="4">
        <v>295</v>
      </c>
      <c r="W300">
        <f t="shared" si="52"/>
        <v>295</v>
      </c>
      <c r="X300" s="218" t="e">
        <f t="shared" si="58"/>
        <v>#REF!</v>
      </c>
      <c r="Y300" s="218" t="e">
        <f t="shared" si="59"/>
        <v>#REF!</v>
      </c>
      <c r="Z300" s="4">
        <v>295</v>
      </c>
      <c r="AB300">
        <f t="shared" si="53"/>
        <v>295</v>
      </c>
      <c r="AC300" s="218" t="e">
        <f t="shared" si="60"/>
        <v>#REF!</v>
      </c>
      <c r="AD300" s="218" t="e">
        <f t="shared" si="61"/>
        <v>#REF!</v>
      </c>
      <c r="AE300" s="4">
        <v>295</v>
      </c>
    </row>
    <row r="301" spans="13:31">
      <c r="M301">
        <f t="shared" si="50"/>
        <v>296</v>
      </c>
      <c r="N301" s="218">
        <f t="shared" si="54"/>
        <v>0</v>
      </c>
      <c r="O301" s="218">
        <f t="shared" si="55"/>
        <v>0</v>
      </c>
      <c r="P301" s="4">
        <v>296</v>
      </c>
      <c r="R301">
        <f t="shared" si="51"/>
        <v>296</v>
      </c>
      <c r="S301" s="218">
        <f t="shared" ca="1" si="56"/>
        <v>0</v>
      </c>
      <c r="T301" s="218">
        <f t="shared" ca="1" si="57"/>
        <v>0</v>
      </c>
      <c r="U301" s="4">
        <v>296</v>
      </c>
      <c r="W301">
        <f t="shared" si="52"/>
        <v>296</v>
      </c>
      <c r="X301" s="218" t="e">
        <f t="shared" si="58"/>
        <v>#REF!</v>
      </c>
      <c r="Y301" s="218" t="e">
        <f t="shared" si="59"/>
        <v>#REF!</v>
      </c>
      <c r="Z301" s="4">
        <v>296</v>
      </c>
      <c r="AB301">
        <f t="shared" si="53"/>
        <v>296</v>
      </c>
      <c r="AC301" s="218" t="e">
        <f t="shared" si="60"/>
        <v>#REF!</v>
      </c>
      <c r="AD301" s="218" t="e">
        <f t="shared" si="61"/>
        <v>#REF!</v>
      </c>
      <c r="AE301" s="4">
        <v>296</v>
      </c>
    </row>
    <row r="302" spans="13:31">
      <c r="M302">
        <f t="shared" si="50"/>
        <v>297</v>
      </c>
      <c r="N302" s="218">
        <f t="shared" si="54"/>
        <v>0</v>
      </c>
      <c r="O302" s="218">
        <f t="shared" si="55"/>
        <v>0</v>
      </c>
      <c r="P302" s="4">
        <v>297</v>
      </c>
      <c r="R302">
        <f t="shared" si="51"/>
        <v>297</v>
      </c>
      <c r="S302" s="218">
        <f t="shared" ca="1" si="56"/>
        <v>0</v>
      </c>
      <c r="T302" s="218">
        <f t="shared" ca="1" si="57"/>
        <v>0</v>
      </c>
      <c r="U302" s="4">
        <v>297</v>
      </c>
      <c r="W302">
        <f t="shared" si="52"/>
        <v>297</v>
      </c>
      <c r="X302" s="218" t="e">
        <f t="shared" si="58"/>
        <v>#REF!</v>
      </c>
      <c r="Y302" s="218" t="e">
        <f t="shared" si="59"/>
        <v>#REF!</v>
      </c>
      <c r="Z302" s="4">
        <v>297</v>
      </c>
      <c r="AB302">
        <f t="shared" si="53"/>
        <v>297</v>
      </c>
      <c r="AC302" s="218" t="e">
        <f t="shared" si="60"/>
        <v>#REF!</v>
      </c>
      <c r="AD302" s="218" t="e">
        <f t="shared" si="61"/>
        <v>#REF!</v>
      </c>
      <c r="AE302" s="4">
        <v>297</v>
      </c>
    </row>
    <row r="303" spans="13:31">
      <c r="M303">
        <f t="shared" si="50"/>
        <v>298</v>
      </c>
      <c r="N303" s="218">
        <f t="shared" si="54"/>
        <v>0</v>
      </c>
      <c r="O303" s="218">
        <f t="shared" si="55"/>
        <v>0</v>
      </c>
      <c r="P303" s="4">
        <v>298</v>
      </c>
      <c r="R303">
        <f t="shared" si="51"/>
        <v>298</v>
      </c>
      <c r="S303" s="218">
        <f t="shared" ca="1" si="56"/>
        <v>0</v>
      </c>
      <c r="T303" s="218">
        <f t="shared" ca="1" si="57"/>
        <v>0</v>
      </c>
      <c r="U303" s="4">
        <v>298</v>
      </c>
      <c r="W303">
        <f t="shared" si="52"/>
        <v>298</v>
      </c>
      <c r="X303" s="218" t="e">
        <f t="shared" si="58"/>
        <v>#REF!</v>
      </c>
      <c r="Y303" s="218" t="e">
        <f t="shared" si="59"/>
        <v>#REF!</v>
      </c>
      <c r="Z303" s="4">
        <v>298</v>
      </c>
      <c r="AB303">
        <f t="shared" si="53"/>
        <v>298</v>
      </c>
      <c r="AC303" s="218" t="e">
        <f t="shared" si="60"/>
        <v>#REF!</v>
      </c>
      <c r="AD303" s="218" t="e">
        <f t="shared" si="61"/>
        <v>#REF!</v>
      </c>
      <c r="AE303" s="4">
        <v>298</v>
      </c>
    </row>
    <row r="304" spans="13:31">
      <c r="M304">
        <f t="shared" si="50"/>
        <v>299</v>
      </c>
      <c r="N304" s="218">
        <f t="shared" si="54"/>
        <v>0</v>
      </c>
      <c r="O304" s="218">
        <f t="shared" si="55"/>
        <v>0</v>
      </c>
      <c r="P304" s="4">
        <v>299</v>
      </c>
      <c r="R304">
        <f t="shared" si="51"/>
        <v>299</v>
      </c>
      <c r="S304" s="218">
        <f t="shared" ca="1" si="56"/>
        <v>0</v>
      </c>
      <c r="T304" s="218">
        <f t="shared" ca="1" si="57"/>
        <v>0</v>
      </c>
      <c r="U304" s="4">
        <v>299</v>
      </c>
      <c r="W304">
        <f t="shared" si="52"/>
        <v>299</v>
      </c>
      <c r="X304" s="218" t="e">
        <f t="shared" si="58"/>
        <v>#REF!</v>
      </c>
      <c r="Y304" s="218" t="e">
        <f t="shared" si="59"/>
        <v>#REF!</v>
      </c>
      <c r="Z304" s="4">
        <v>299</v>
      </c>
      <c r="AB304">
        <f t="shared" si="53"/>
        <v>299</v>
      </c>
      <c r="AC304" s="218" t="e">
        <f t="shared" si="60"/>
        <v>#REF!</v>
      </c>
      <c r="AD304" s="218" t="e">
        <f t="shared" si="61"/>
        <v>#REF!</v>
      </c>
      <c r="AE304" s="4">
        <v>299</v>
      </c>
    </row>
    <row r="305" spans="13:31">
      <c r="M305">
        <f t="shared" si="50"/>
        <v>300</v>
      </c>
      <c r="N305" s="218">
        <f t="shared" si="54"/>
        <v>0</v>
      </c>
      <c r="O305" s="218">
        <f t="shared" si="55"/>
        <v>0</v>
      </c>
      <c r="P305" s="4">
        <v>300</v>
      </c>
      <c r="R305">
        <f t="shared" si="51"/>
        <v>300</v>
      </c>
      <c r="S305" s="218">
        <f t="shared" ca="1" si="56"/>
        <v>0</v>
      </c>
      <c r="T305" s="218">
        <f t="shared" ca="1" si="57"/>
        <v>0</v>
      </c>
      <c r="U305" s="4">
        <v>300</v>
      </c>
      <c r="W305">
        <f t="shared" si="52"/>
        <v>300</v>
      </c>
      <c r="X305" s="218" t="e">
        <f t="shared" si="58"/>
        <v>#REF!</v>
      </c>
      <c r="Y305" s="218" t="e">
        <f t="shared" si="59"/>
        <v>#REF!</v>
      </c>
      <c r="Z305" s="4">
        <v>300</v>
      </c>
      <c r="AB305">
        <f t="shared" si="53"/>
        <v>300</v>
      </c>
      <c r="AC305" s="218" t="e">
        <f t="shared" si="60"/>
        <v>#REF!</v>
      </c>
      <c r="AD305" s="218" t="e">
        <f t="shared" si="61"/>
        <v>#REF!</v>
      </c>
      <c r="AE305" s="4">
        <v>300</v>
      </c>
    </row>
    <row r="306" spans="13:31">
      <c r="M306">
        <f t="shared" si="50"/>
        <v>301</v>
      </c>
      <c r="N306" s="218">
        <f t="shared" si="54"/>
        <v>0</v>
      </c>
      <c r="O306" s="218">
        <f t="shared" si="55"/>
        <v>0</v>
      </c>
      <c r="P306" s="4">
        <v>301</v>
      </c>
      <c r="R306">
        <f t="shared" si="51"/>
        <v>301</v>
      </c>
      <c r="S306" s="218">
        <f t="shared" ca="1" si="56"/>
        <v>0</v>
      </c>
      <c r="T306" s="218">
        <f t="shared" ca="1" si="57"/>
        <v>0</v>
      </c>
      <c r="U306" s="4">
        <v>301</v>
      </c>
      <c r="W306">
        <f t="shared" si="52"/>
        <v>301</v>
      </c>
      <c r="X306" s="218" t="e">
        <f t="shared" si="58"/>
        <v>#REF!</v>
      </c>
      <c r="Y306" s="218" t="e">
        <f t="shared" si="59"/>
        <v>#REF!</v>
      </c>
      <c r="Z306" s="4">
        <v>301</v>
      </c>
      <c r="AB306">
        <f t="shared" si="53"/>
        <v>301</v>
      </c>
      <c r="AC306" s="218" t="e">
        <f t="shared" si="60"/>
        <v>#REF!</v>
      </c>
      <c r="AD306" s="218" t="e">
        <f t="shared" si="61"/>
        <v>#REF!</v>
      </c>
      <c r="AE306" s="4">
        <v>301</v>
      </c>
    </row>
    <row r="307" spans="13:31">
      <c r="M307">
        <f t="shared" si="50"/>
        <v>302</v>
      </c>
      <c r="N307" s="218">
        <f t="shared" si="54"/>
        <v>0</v>
      </c>
      <c r="O307" s="218">
        <f t="shared" si="55"/>
        <v>0</v>
      </c>
      <c r="P307" s="4">
        <v>302</v>
      </c>
      <c r="R307">
        <f t="shared" si="51"/>
        <v>302</v>
      </c>
      <c r="S307" s="218">
        <f t="shared" ca="1" si="56"/>
        <v>0</v>
      </c>
      <c r="T307" s="218">
        <f t="shared" ca="1" si="57"/>
        <v>0</v>
      </c>
      <c r="U307" s="4">
        <v>302</v>
      </c>
      <c r="W307">
        <f t="shared" si="52"/>
        <v>302</v>
      </c>
      <c r="X307" s="218" t="e">
        <f t="shared" si="58"/>
        <v>#REF!</v>
      </c>
      <c r="Y307" s="218" t="e">
        <f t="shared" si="59"/>
        <v>#REF!</v>
      </c>
      <c r="Z307" s="4">
        <v>302</v>
      </c>
      <c r="AB307">
        <f t="shared" si="53"/>
        <v>302</v>
      </c>
      <c r="AC307" s="218" t="e">
        <f t="shared" si="60"/>
        <v>#REF!</v>
      </c>
      <c r="AD307" s="218" t="e">
        <f t="shared" si="61"/>
        <v>#REF!</v>
      </c>
      <c r="AE307" s="4">
        <v>302</v>
      </c>
    </row>
    <row r="308" spans="13:31">
      <c r="M308">
        <f t="shared" si="50"/>
        <v>303</v>
      </c>
      <c r="N308" s="218">
        <f t="shared" si="54"/>
        <v>0</v>
      </c>
      <c r="O308" s="218">
        <f t="shared" si="55"/>
        <v>0</v>
      </c>
      <c r="P308" s="4">
        <v>303</v>
      </c>
      <c r="R308">
        <f t="shared" si="51"/>
        <v>303</v>
      </c>
      <c r="S308" s="218">
        <f t="shared" ca="1" si="56"/>
        <v>0</v>
      </c>
      <c r="T308" s="218">
        <f t="shared" ca="1" si="57"/>
        <v>0</v>
      </c>
      <c r="U308" s="4">
        <v>303</v>
      </c>
      <c r="W308">
        <f t="shared" si="52"/>
        <v>303</v>
      </c>
      <c r="X308" s="218" t="e">
        <f t="shared" si="58"/>
        <v>#REF!</v>
      </c>
      <c r="Y308" s="218" t="e">
        <f t="shared" si="59"/>
        <v>#REF!</v>
      </c>
      <c r="Z308" s="4">
        <v>303</v>
      </c>
      <c r="AB308">
        <f t="shared" si="53"/>
        <v>303</v>
      </c>
      <c r="AC308" s="218" t="e">
        <f t="shared" si="60"/>
        <v>#REF!</v>
      </c>
      <c r="AD308" s="218" t="e">
        <f t="shared" si="61"/>
        <v>#REF!</v>
      </c>
      <c r="AE308" s="4">
        <v>303</v>
      </c>
    </row>
    <row r="309" spans="13:31">
      <c r="M309">
        <f t="shared" si="50"/>
        <v>304</v>
      </c>
      <c r="N309" s="218">
        <f t="shared" si="54"/>
        <v>0</v>
      </c>
      <c r="O309" s="218">
        <f t="shared" si="55"/>
        <v>0</v>
      </c>
      <c r="P309" s="4">
        <v>304</v>
      </c>
      <c r="R309">
        <f t="shared" si="51"/>
        <v>304</v>
      </c>
      <c r="S309" s="218">
        <f t="shared" ca="1" si="56"/>
        <v>0</v>
      </c>
      <c r="T309" s="218">
        <f t="shared" ca="1" si="57"/>
        <v>0</v>
      </c>
      <c r="U309" s="4">
        <v>304</v>
      </c>
      <c r="W309">
        <f t="shared" si="52"/>
        <v>304</v>
      </c>
      <c r="X309" s="218" t="e">
        <f t="shared" si="58"/>
        <v>#REF!</v>
      </c>
      <c r="Y309" s="218" t="e">
        <f t="shared" si="59"/>
        <v>#REF!</v>
      </c>
      <c r="Z309" s="4">
        <v>304</v>
      </c>
      <c r="AB309">
        <f t="shared" si="53"/>
        <v>304</v>
      </c>
      <c r="AC309" s="218" t="e">
        <f t="shared" si="60"/>
        <v>#REF!</v>
      </c>
      <c r="AD309" s="218" t="e">
        <f t="shared" si="61"/>
        <v>#REF!</v>
      </c>
      <c r="AE309" s="4">
        <v>304</v>
      </c>
    </row>
    <row r="310" spans="13:31">
      <c r="M310">
        <f t="shared" si="50"/>
        <v>305</v>
      </c>
      <c r="N310" s="218">
        <f t="shared" si="54"/>
        <v>0</v>
      </c>
      <c r="O310" s="218">
        <f t="shared" si="55"/>
        <v>0</v>
      </c>
      <c r="P310" s="4">
        <v>305</v>
      </c>
      <c r="R310">
        <f t="shared" si="51"/>
        <v>305</v>
      </c>
      <c r="S310" s="218">
        <f t="shared" ca="1" si="56"/>
        <v>0</v>
      </c>
      <c r="T310" s="218">
        <f t="shared" ca="1" si="57"/>
        <v>0</v>
      </c>
      <c r="U310" s="4">
        <v>305</v>
      </c>
      <c r="W310">
        <f t="shared" si="52"/>
        <v>305</v>
      </c>
      <c r="X310" s="218" t="e">
        <f t="shared" si="58"/>
        <v>#REF!</v>
      </c>
      <c r="Y310" s="218" t="e">
        <f t="shared" si="59"/>
        <v>#REF!</v>
      </c>
      <c r="Z310" s="4">
        <v>305</v>
      </c>
      <c r="AB310">
        <f t="shared" si="53"/>
        <v>305</v>
      </c>
      <c r="AC310" s="218" t="e">
        <f t="shared" si="60"/>
        <v>#REF!</v>
      </c>
      <c r="AD310" s="218" t="e">
        <f t="shared" si="61"/>
        <v>#REF!</v>
      </c>
      <c r="AE310" s="4">
        <v>305</v>
      </c>
    </row>
    <row r="311" spans="13:31">
      <c r="M311">
        <f t="shared" si="50"/>
        <v>306</v>
      </c>
      <c r="N311" s="218">
        <f t="shared" si="54"/>
        <v>0</v>
      </c>
      <c r="O311" s="218">
        <f t="shared" si="55"/>
        <v>0</v>
      </c>
      <c r="P311" s="4">
        <v>306</v>
      </c>
      <c r="R311">
        <f t="shared" si="51"/>
        <v>306</v>
      </c>
      <c r="S311" s="218">
        <f t="shared" ca="1" si="56"/>
        <v>0</v>
      </c>
      <c r="T311" s="218">
        <f t="shared" ca="1" si="57"/>
        <v>0</v>
      </c>
      <c r="U311" s="4">
        <v>306</v>
      </c>
      <c r="W311">
        <f t="shared" si="52"/>
        <v>306</v>
      </c>
      <c r="X311" s="218" t="e">
        <f t="shared" si="58"/>
        <v>#REF!</v>
      </c>
      <c r="Y311" s="218" t="e">
        <f t="shared" si="59"/>
        <v>#REF!</v>
      </c>
      <c r="Z311" s="4">
        <v>306</v>
      </c>
      <c r="AB311">
        <f t="shared" si="53"/>
        <v>306</v>
      </c>
      <c r="AC311" s="218" t="e">
        <f t="shared" si="60"/>
        <v>#REF!</v>
      </c>
      <c r="AD311" s="218" t="e">
        <f t="shared" si="61"/>
        <v>#REF!</v>
      </c>
      <c r="AE311" s="4">
        <v>306</v>
      </c>
    </row>
    <row r="312" spans="13:31">
      <c r="M312">
        <f t="shared" si="50"/>
        <v>307</v>
      </c>
      <c r="N312" s="218">
        <f t="shared" si="54"/>
        <v>0</v>
      </c>
      <c r="O312" s="218">
        <f t="shared" si="55"/>
        <v>0</v>
      </c>
      <c r="P312" s="4">
        <v>307</v>
      </c>
      <c r="R312">
        <f t="shared" si="51"/>
        <v>307</v>
      </c>
      <c r="S312" s="218">
        <f t="shared" ca="1" si="56"/>
        <v>0</v>
      </c>
      <c r="T312" s="218">
        <f t="shared" ca="1" si="57"/>
        <v>0</v>
      </c>
      <c r="U312" s="4">
        <v>307</v>
      </c>
      <c r="W312">
        <f t="shared" si="52"/>
        <v>307</v>
      </c>
      <c r="X312" s="218" t="e">
        <f t="shared" si="58"/>
        <v>#REF!</v>
      </c>
      <c r="Y312" s="218" t="e">
        <f t="shared" si="59"/>
        <v>#REF!</v>
      </c>
      <c r="Z312" s="4">
        <v>307</v>
      </c>
      <c r="AB312">
        <f t="shared" si="53"/>
        <v>307</v>
      </c>
      <c r="AC312" s="218" t="e">
        <f t="shared" si="60"/>
        <v>#REF!</v>
      </c>
      <c r="AD312" s="218" t="e">
        <f t="shared" si="61"/>
        <v>#REF!</v>
      </c>
      <c r="AE312" s="4">
        <v>307</v>
      </c>
    </row>
    <row r="313" spans="13:31">
      <c r="M313">
        <f t="shared" si="50"/>
        <v>308</v>
      </c>
      <c r="N313" s="218">
        <f t="shared" si="54"/>
        <v>0</v>
      </c>
      <c r="O313" s="218">
        <f t="shared" si="55"/>
        <v>0</v>
      </c>
      <c r="P313" s="4">
        <v>308</v>
      </c>
      <c r="R313">
        <f t="shared" si="51"/>
        <v>308</v>
      </c>
      <c r="S313" s="218">
        <f t="shared" ca="1" si="56"/>
        <v>0</v>
      </c>
      <c r="T313" s="218">
        <f t="shared" ca="1" si="57"/>
        <v>0</v>
      </c>
      <c r="U313" s="4">
        <v>308</v>
      </c>
      <c r="W313">
        <f t="shared" si="52"/>
        <v>308</v>
      </c>
      <c r="X313" s="218" t="e">
        <f t="shared" si="58"/>
        <v>#REF!</v>
      </c>
      <c r="Y313" s="218" t="e">
        <f t="shared" si="59"/>
        <v>#REF!</v>
      </c>
      <c r="Z313" s="4">
        <v>308</v>
      </c>
      <c r="AB313">
        <f t="shared" si="53"/>
        <v>308</v>
      </c>
      <c r="AC313" s="218" t="e">
        <f t="shared" si="60"/>
        <v>#REF!</v>
      </c>
      <c r="AD313" s="218" t="e">
        <f t="shared" si="61"/>
        <v>#REF!</v>
      </c>
      <c r="AE313" s="4">
        <v>308</v>
      </c>
    </row>
    <row r="314" spans="13:31">
      <c r="M314">
        <f t="shared" si="50"/>
        <v>309</v>
      </c>
      <c r="N314" s="218">
        <f t="shared" si="54"/>
        <v>0</v>
      </c>
      <c r="O314" s="218">
        <f t="shared" si="55"/>
        <v>0</v>
      </c>
      <c r="P314" s="4">
        <v>309</v>
      </c>
      <c r="R314">
        <f t="shared" si="51"/>
        <v>309</v>
      </c>
      <c r="S314" s="218">
        <f t="shared" ca="1" si="56"/>
        <v>0</v>
      </c>
      <c r="T314" s="218">
        <f t="shared" ca="1" si="57"/>
        <v>0</v>
      </c>
      <c r="U314" s="4">
        <v>309</v>
      </c>
      <c r="W314">
        <f t="shared" si="52"/>
        <v>309</v>
      </c>
      <c r="X314" s="218" t="e">
        <f t="shared" si="58"/>
        <v>#REF!</v>
      </c>
      <c r="Y314" s="218" t="e">
        <f t="shared" si="59"/>
        <v>#REF!</v>
      </c>
      <c r="Z314" s="4">
        <v>309</v>
      </c>
      <c r="AB314">
        <f t="shared" si="53"/>
        <v>309</v>
      </c>
      <c r="AC314" s="218" t="e">
        <f t="shared" si="60"/>
        <v>#REF!</v>
      </c>
      <c r="AD314" s="218" t="e">
        <f t="shared" si="61"/>
        <v>#REF!</v>
      </c>
      <c r="AE314" s="4">
        <v>309</v>
      </c>
    </row>
    <row r="315" spans="13:31">
      <c r="M315">
        <f t="shared" si="50"/>
        <v>310</v>
      </c>
      <c r="N315" s="218">
        <f t="shared" si="54"/>
        <v>0</v>
      </c>
      <c r="O315" s="218">
        <f t="shared" si="55"/>
        <v>0</v>
      </c>
      <c r="P315" s="4">
        <v>310</v>
      </c>
      <c r="R315">
        <f t="shared" si="51"/>
        <v>310</v>
      </c>
      <c r="S315" s="218">
        <f t="shared" ca="1" si="56"/>
        <v>0</v>
      </c>
      <c r="T315" s="218">
        <f t="shared" ca="1" si="57"/>
        <v>0</v>
      </c>
      <c r="U315" s="4">
        <v>310</v>
      </c>
      <c r="W315">
        <f t="shared" si="52"/>
        <v>310</v>
      </c>
      <c r="X315" s="218" t="e">
        <f t="shared" si="58"/>
        <v>#REF!</v>
      </c>
      <c r="Y315" s="218" t="e">
        <f t="shared" si="59"/>
        <v>#REF!</v>
      </c>
      <c r="Z315" s="4">
        <v>310</v>
      </c>
      <c r="AB315">
        <f t="shared" si="53"/>
        <v>310</v>
      </c>
      <c r="AC315" s="218" t="e">
        <f t="shared" si="60"/>
        <v>#REF!</v>
      </c>
      <c r="AD315" s="218" t="e">
        <f t="shared" si="61"/>
        <v>#REF!</v>
      </c>
      <c r="AE315" s="4">
        <v>310</v>
      </c>
    </row>
    <row r="316" spans="13:31">
      <c r="M316">
        <f t="shared" si="50"/>
        <v>311</v>
      </c>
      <c r="N316" s="218">
        <f t="shared" si="54"/>
        <v>0</v>
      </c>
      <c r="O316" s="218">
        <f t="shared" si="55"/>
        <v>0</v>
      </c>
      <c r="P316" s="4">
        <v>311</v>
      </c>
      <c r="R316">
        <f t="shared" si="51"/>
        <v>311</v>
      </c>
      <c r="S316" s="218">
        <f t="shared" ca="1" si="56"/>
        <v>0</v>
      </c>
      <c r="T316" s="218">
        <f t="shared" ca="1" si="57"/>
        <v>0</v>
      </c>
      <c r="U316" s="4">
        <v>311</v>
      </c>
      <c r="W316">
        <f t="shared" si="52"/>
        <v>311</v>
      </c>
      <c r="X316" s="218" t="e">
        <f t="shared" si="58"/>
        <v>#REF!</v>
      </c>
      <c r="Y316" s="218" t="e">
        <f t="shared" si="59"/>
        <v>#REF!</v>
      </c>
      <c r="Z316" s="4">
        <v>311</v>
      </c>
      <c r="AB316">
        <f t="shared" si="53"/>
        <v>311</v>
      </c>
      <c r="AC316" s="218" t="e">
        <f t="shared" si="60"/>
        <v>#REF!</v>
      </c>
      <c r="AD316" s="218" t="e">
        <f t="shared" si="61"/>
        <v>#REF!</v>
      </c>
      <c r="AE316" s="4">
        <v>311</v>
      </c>
    </row>
    <row r="317" spans="13:31">
      <c r="M317">
        <f t="shared" si="50"/>
        <v>312</v>
      </c>
      <c r="N317" s="218">
        <f t="shared" si="54"/>
        <v>0</v>
      </c>
      <c r="O317" s="218">
        <f t="shared" si="55"/>
        <v>0</v>
      </c>
      <c r="P317" s="4">
        <v>312</v>
      </c>
      <c r="R317">
        <f t="shared" si="51"/>
        <v>312</v>
      </c>
      <c r="S317" s="218">
        <f t="shared" ca="1" si="56"/>
        <v>0</v>
      </c>
      <c r="T317" s="218">
        <f t="shared" ca="1" si="57"/>
        <v>0</v>
      </c>
      <c r="U317" s="4">
        <v>312</v>
      </c>
      <c r="W317">
        <f t="shared" si="52"/>
        <v>312</v>
      </c>
      <c r="X317" s="218" t="e">
        <f t="shared" si="58"/>
        <v>#REF!</v>
      </c>
      <c r="Y317" s="218" t="e">
        <f t="shared" si="59"/>
        <v>#REF!</v>
      </c>
      <c r="Z317" s="4">
        <v>312</v>
      </c>
      <c r="AB317">
        <f t="shared" si="53"/>
        <v>312</v>
      </c>
      <c r="AC317" s="218" t="e">
        <f t="shared" si="60"/>
        <v>#REF!</v>
      </c>
      <c r="AD317" s="218" t="e">
        <f t="shared" si="61"/>
        <v>#REF!</v>
      </c>
      <c r="AE317" s="4">
        <v>312</v>
      </c>
    </row>
    <row r="318" spans="13:31">
      <c r="M318">
        <f t="shared" si="50"/>
        <v>313</v>
      </c>
      <c r="N318" s="218">
        <f t="shared" si="54"/>
        <v>0</v>
      </c>
      <c r="O318" s="218">
        <f t="shared" si="55"/>
        <v>0</v>
      </c>
      <c r="P318" s="4">
        <v>313</v>
      </c>
      <c r="R318">
        <f t="shared" si="51"/>
        <v>313</v>
      </c>
      <c r="S318" s="218">
        <f t="shared" ca="1" si="56"/>
        <v>0</v>
      </c>
      <c r="T318" s="218">
        <f t="shared" ca="1" si="57"/>
        <v>0</v>
      </c>
      <c r="U318" s="4">
        <v>313</v>
      </c>
      <c r="W318">
        <f t="shared" si="52"/>
        <v>313</v>
      </c>
      <c r="X318" s="218" t="e">
        <f t="shared" si="58"/>
        <v>#REF!</v>
      </c>
      <c r="Y318" s="218" t="e">
        <f t="shared" si="59"/>
        <v>#REF!</v>
      </c>
      <c r="Z318" s="4">
        <v>313</v>
      </c>
      <c r="AB318">
        <f t="shared" si="53"/>
        <v>313</v>
      </c>
      <c r="AC318" s="218" t="e">
        <f t="shared" si="60"/>
        <v>#REF!</v>
      </c>
      <c r="AD318" s="218" t="e">
        <f t="shared" si="61"/>
        <v>#REF!</v>
      </c>
      <c r="AE318" s="4">
        <v>313</v>
      </c>
    </row>
    <row r="319" spans="13:31">
      <c r="M319">
        <f t="shared" si="50"/>
        <v>314</v>
      </c>
      <c r="N319" s="218">
        <f t="shared" si="54"/>
        <v>0</v>
      </c>
      <c r="O319" s="218">
        <f t="shared" si="55"/>
        <v>0</v>
      </c>
      <c r="P319" s="4">
        <v>314</v>
      </c>
      <c r="R319">
        <f t="shared" si="51"/>
        <v>314</v>
      </c>
      <c r="S319" s="218">
        <f t="shared" ca="1" si="56"/>
        <v>0</v>
      </c>
      <c r="T319" s="218">
        <f t="shared" ca="1" si="57"/>
        <v>0</v>
      </c>
      <c r="U319" s="4">
        <v>314</v>
      </c>
      <c r="W319">
        <f t="shared" si="52"/>
        <v>314</v>
      </c>
      <c r="X319" s="218" t="e">
        <f t="shared" si="58"/>
        <v>#REF!</v>
      </c>
      <c r="Y319" s="218" t="e">
        <f t="shared" si="59"/>
        <v>#REF!</v>
      </c>
      <c r="Z319" s="4">
        <v>314</v>
      </c>
      <c r="AB319">
        <f t="shared" si="53"/>
        <v>314</v>
      </c>
      <c r="AC319" s="218" t="e">
        <f t="shared" si="60"/>
        <v>#REF!</v>
      </c>
      <c r="AD319" s="218" t="e">
        <f t="shared" si="61"/>
        <v>#REF!</v>
      </c>
      <c r="AE319" s="4">
        <v>314</v>
      </c>
    </row>
    <row r="320" spans="13:31">
      <c r="M320">
        <f t="shared" si="50"/>
        <v>315</v>
      </c>
      <c r="N320" s="218">
        <f t="shared" si="54"/>
        <v>0</v>
      </c>
      <c r="O320" s="218">
        <f t="shared" si="55"/>
        <v>0</v>
      </c>
      <c r="P320" s="4">
        <v>315</v>
      </c>
      <c r="R320">
        <f t="shared" si="51"/>
        <v>315</v>
      </c>
      <c r="S320" s="218">
        <f t="shared" ca="1" si="56"/>
        <v>0</v>
      </c>
      <c r="T320" s="218">
        <f t="shared" ca="1" si="57"/>
        <v>0</v>
      </c>
      <c r="U320" s="4">
        <v>315</v>
      </c>
      <c r="W320">
        <f t="shared" si="52"/>
        <v>315</v>
      </c>
      <c r="X320" s="218" t="e">
        <f t="shared" si="58"/>
        <v>#REF!</v>
      </c>
      <c r="Y320" s="218" t="e">
        <f t="shared" si="59"/>
        <v>#REF!</v>
      </c>
      <c r="Z320" s="4">
        <v>315</v>
      </c>
      <c r="AB320">
        <f t="shared" si="53"/>
        <v>315</v>
      </c>
      <c r="AC320" s="218" t="e">
        <f t="shared" si="60"/>
        <v>#REF!</v>
      </c>
      <c r="AD320" s="218" t="e">
        <f t="shared" si="61"/>
        <v>#REF!</v>
      </c>
      <c r="AE320" s="4">
        <v>315</v>
      </c>
    </row>
    <row r="321" spans="13:31">
      <c r="M321">
        <f t="shared" si="50"/>
        <v>316</v>
      </c>
      <c r="N321" s="218">
        <f t="shared" si="54"/>
        <v>0</v>
      </c>
      <c r="O321" s="218">
        <f t="shared" si="55"/>
        <v>0</v>
      </c>
      <c r="P321" s="4">
        <v>316</v>
      </c>
      <c r="R321">
        <f t="shared" si="51"/>
        <v>316</v>
      </c>
      <c r="S321" s="218">
        <f t="shared" ca="1" si="56"/>
        <v>0</v>
      </c>
      <c r="T321" s="218">
        <f t="shared" ca="1" si="57"/>
        <v>0</v>
      </c>
      <c r="U321" s="4">
        <v>316</v>
      </c>
      <c r="W321">
        <f t="shared" si="52"/>
        <v>316</v>
      </c>
      <c r="X321" s="218" t="e">
        <f t="shared" si="58"/>
        <v>#REF!</v>
      </c>
      <c r="Y321" s="218" t="e">
        <f t="shared" si="59"/>
        <v>#REF!</v>
      </c>
      <c r="Z321" s="4">
        <v>316</v>
      </c>
      <c r="AB321">
        <f t="shared" si="53"/>
        <v>316</v>
      </c>
      <c r="AC321" s="218" t="e">
        <f t="shared" si="60"/>
        <v>#REF!</v>
      </c>
      <c r="AD321" s="218" t="e">
        <f t="shared" si="61"/>
        <v>#REF!</v>
      </c>
      <c r="AE321" s="4">
        <v>316</v>
      </c>
    </row>
    <row r="322" spans="13:31">
      <c r="M322">
        <f t="shared" si="50"/>
        <v>317</v>
      </c>
      <c r="N322" s="218">
        <f t="shared" si="54"/>
        <v>0</v>
      </c>
      <c r="O322" s="218">
        <f t="shared" si="55"/>
        <v>0</v>
      </c>
      <c r="P322" s="4">
        <v>317</v>
      </c>
      <c r="R322">
        <f t="shared" si="51"/>
        <v>317</v>
      </c>
      <c r="S322" s="218">
        <f t="shared" ca="1" si="56"/>
        <v>0</v>
      </c>
      <c r="T322" s="218">
        <f t="shared" ca="1" si="57"/>
        <v>0</v>
      </c>
      <c r="U322" s="4">
        <v>317</v>
      </c>
      <c r="W322">
        <f t="shared" si="52"/>
        <v>317</v>
      </c>
      <c r="X322" s="218" t="e">
        <f t="shared" si="58"/>
        <v>#REF!</v>
      </c>
      <c r="Y322" s="218" t="e">
        <f t="shared" si="59"/>
        <v>#REF!</v>
      </c>
      <c r="Z322" s="4">
        <v>317</v>
      </c>
      <c r="AB322">
        <f t="shared" si="53"/>
        <v>317</v>
      </c>
      <c r="AC322" s="218" t="e">
        <f t="shared" si="60"/>
        <v>#REF!</v>
      </c>
      <c r="AD322" s="218" t="e">
        <f t="shared" si="61"/>
        <v>#REF!</v>
      </c>
      <c r="AE322" s="4">
        <v>317</v>
      </c>
    </row>
    <row r="323" spans="13:31">
      <c r="M323">
        <f t="shared" si="50"/>
        <v>318</v>
      </c>
      <c r="N323" s="218">
        <f t="shared" si="54"/>
        <v>0</v>
      </c>
      <c r="O323" s="218">
        <f t="shared" si="55"/>
        <v>0</v>
      </c>
      <c r="P323" s="4">
        <v>318</v>
      </c>
      <c r="R323">
        <f t="shared" si="51"/>
        <v>318</v>
      </c>
      <c r="S323" s="218">
        <f t="shared" ca="1" si="56"/>
        <v>0</v>
      </c>
      <c r="T323" s="218">
        <f t="shared" ca="1" si="57"/>
        <v>0</v>
      </c>
      <c r="U323" s="4">
        <v>318</v>
      </c>
      <c r="W323">
        <f t="shared" si="52"/>
        <v>318</v>
      </c>
      <c r="X323" s="218" t="e">
        <f t="shared" si="58"/>
        <v>#REF!</v>
      </c>
      <c r="Y323" s="218" t="e">
        <f t="shared" si="59"/>
        <v>#REF!</v>
      </c>
      <c r="Z323" s="4">
        <v>318</v>
      </c>
      <c r="AB323">
        <f t="shared" si="53"/>
        <v>318</v>
      </c>
      <c r="AC323" s="218" t="e">
        <f t="shared" si="60"/>
        <v>#REF!</v>
      </c>
      <c r="AD323" s="218" t="e">
        <f t="shared" si="61"/>
        <v>#REF!</v>
      </c>
      <c r="AE323" s="4">
        <v>318</v>
      </c>
    </row>
    <row r="324" spans="13:31">
      <c r="M324">
        <f t="shared" si="50"/>
        <v>319</v>
      </c>
      <c r="N324" s="218">
        <f t="shared" si="54"/>
        <v>0</v>
      </c>
      <c r="O324" s="218">
        <f t="shared" si="55"/>
        <v>0</v>
      </c>
      <c r="P324" s="4">
        <v>319</v>
      </c>
      <c r="R324">
        <f t="shared" si="51"/>
        <v>319</v>
      </c>
      <c r="S324" s="218">
        <f t="shared" ca="1" si="56"/>
        <v>0</v>
      </c>
      <c r="T324" s="218">
        <f t="shared" ca="1" si="57"/>
        <v>0</v>
      </c>
      <c r="U324" s="4">
        <v>319</v>
      </c>
      <c r="W324">
        <f t="shared" si="52"/>
        <v>319</v>
      </c>
      <c r="X324" s="218" t="e">
        <f t="shared" si="58"/>
        <v>#REF!</v>
      </c>
      <c r="Y324" s="218" t="e">
        <f t="shared" si="59"/>
        <v>#REF!</v>
      </c>
      <c r="Z324" s="4">
        <v>319</v>
      </c>
      <c r="AB324">
        <f t="shared" si="53"/>
        <v>319</v>
      </c>
      <c r="AC324" s="218" t="e">
        <f t="shared" si="60"/>
        <v>#REF!</v>
      </c>
      <c r="AD324" s="218" t="e">
        <f t="shared" si="61"/>
        <v>#REF!</v>
      </c>
      <c r="AE324" s="4">
        <v>319</v>
      </c>
    </row>
    <row r="325" spans="13:31">
      <c r="M325">
        <f t="shared" si="50"/>
        <v>320</v>
      </c>
      <c r="N325" s="218">
        <f t="shared" si="54"/>
        <v>0</v>
      </c>
      <c r="O325" s="218">
        <f t="shared" si="55"/>
        <v>0</v>
      </c>
      <c r="P325" s="4">
        <v>320</v>
      </c>
      <c r="R325">
        <f t="shared" si="51"/>
        <v>320</v>
      </c>
      <c r="S325" s="218">
        <f t="shared" ca="1" si="56"/>
        <v>0</v>
      </c>
      <c r="T325" s="218">
        <f t="shared" ca="1" si="57"/>
        <v>0</v>
      </c>
      <c r="U325" s="4">
        <v>320</v>
      </c>
      <c r="W325">
        <f t="shared" si="52"/>
        <v>320</v>
      </c>
      <c r="X325" s="218" t="e">
        <f t="shared" si="58"/>
        <v>#REF!</v>
      </c>
      <c r="Y325" s="218" t="e">
        <f t="shared" si="59"/>
        <v>#REF!</v>
      </c>
      <c r="Z325" s="4">
        <v>320</v>
      </c>
      <c r="AB325">
        <f t="shared" si="53"/>
        <v>320</v>
      </c>
      <c r="AC325" s="218" t="e">
        <f t="shared" si="60"/>
        <v>#REF!</v>
      </c>
      <c r="AD325" s="218" t="e">
        <f t="shared" si="61"/>
        <v>#REF!</v>
      </c>
      <c r="AE325" s="4">
        <v>320</v>
      </c>
    </row>
    <row r="326" spans="13:31">
      <c r="M326">
        <f t="shared" si="50"/>
        <v>321</v>
      </c>
      <c r="N326" s="218">
        <f t="shared" si="54"/>
        <v>0</v>
      </c>
      <c r="O326" s="218">
        <f t="shared" si="55"/>
        <v>0</v>
      </c>
      <c r="P326" s="4">
        <v>321</v>
      </c>
      <c r="R326">
        <f t="shared" si="51"/>
        <v>321</v>
      </c>
      <c r="S326" s="218">
        <f t="shared" ca="1" si="56"/>
        <v>0</v>
      </c>
      <c r="T326" s="218">
        <f t="shared" ca="1" si="57"/>
        <v>0</v>
      </c>
      <c r="U326" s="4">
        <v>321</v>
      </c>
      <c r="W326">
        <f t="shared" si="52"/>
        <v>321</v>
      </c>
      <c r="X326" s="218" t="e">
        <f t="shared" si="58"/>
        <v>#REF!</v>
      </c>
      <c r="Y326" s="218" t="e">
        <f t="shared" si="59"/>
        <v>#REF!</v>
      </c>
      <c r="Z326" s="4">
        <v>321</v>
      </c>
      <c r="AB326">
        <f t="shared" si="53"/>
        <v>321</v>
      </c>
      <c r="AC326" s="218" t="e">
        <f t="shared" si="60"/>
        <v>#REF!</v>
      </c>
      <c r="AD326" s="218" t="e">
        <f t="shared" si="61"/>
        <v>#REF!</v>
      </c>
      <c r="AE326" s="4">
        <v>321</v>
      </c>
    </row>
    <row r="327" spans="13:31">
      <c r="M327">
        <f t="shared" ref="M327:M390" si="62">P327</f>
        <v>322</v>
      </c>
      <c r="N327" s="218">
        <f t="shared" si="54"/>
        <v>0</v>
      </c>
      <c r="O327" s="218">
        <f t="shared" si="55"/>
        <v>0</v>
      </c>
      <c r="P327" s="4">
        <v>322</v>
      </c>
      <c r="R327">
        <f t="shared" ref="R327:R390" si="63">U327</f>
        <v>322</v>
      </c>
      <c r="S327" s="218">
        <f t="shared" ca="1" si="56"/>
        <v>0</v>
      </c>
      <c r="T327" s="218">
        <f t="shared" ca="1" si="57"/>
        <v>0</v>
      </c>
      <c r="U327" s="4">
        <v>322</v>
      </c>
      <c r="W327">
        <f t="shared" ref="W327:W390" si="64">Z327</f>
        <v>322</v>
      </c>
      <c r="X327" s="218" t="e">
        <f t="shared" si="58"/>
        <v>#REF!</v>
      </c>
      <c r="Y327" s="218" t="e">
        <f t="shared" si="59"/>
        <v>#REF!</v>
      </c>
      <c r="Z327" s="4">
        <v>322</v>
      </c>
      <c r="AB327">
        <f t="shared" ref="AB327:AB390" si="65">AE327</f>
        <v>322</v>
      </c>
      <c r="AC327" s="218" t="e">
        <f t="shared" si="60"/>
        <v>#REF!</v>
      </c>
      <c r="AD327" s="218" t="e">
        <f t="shared" si="61"/>
        <v>#REF!</v>
      </c>
      <c r="AE327" s="4">
        <v>322</v>
      </c>
    </row>
    <row r="328" spans="13:31">
      <c r="M328">
        <f t="shared" si="62"/>
        <v>323</v>
      </c>
      <c r="N328" s="218">
        <f t="shared" ref="N328:N391" si="66">+IF(O328&lt;N327,O328,N327)</f>
        <v>0</v>
      </c>
      <c r="O328" s="218">
        <f t="shared" ref="O328:O391" si="67">+(O327-N327)*(1+$E$13)</f>
        <v>0</v>
      </c>
      <c r="P328" s="4">
        <v>323</v>
      </c>
      <c r="R328">
        <f t="shared" si="63"/>
        <v>323</v>
      </c>
      <c r="S328" s="218">
        <f t="shared" ref="S328:S391" ca="1" si="68">+IF(T328&lt;S327,T328,S327)</f>
        <v>0</v>
      </c>
      <c r="T328" s="218">
        <f t="shared" ref="T328:T391" ca="1" si="69">+(T327-S327)*(1+$E$14)</f>
        <v>0</v>
      </c>
      <c r="U328" s="4">
        <v>323</v>
      </c>
      <c r="W328">
        <f t="shared" si="64"/>
        <v>323</v>
      </c>
      <c r="X328" s="218" t="e">
        <f t="shared" ref="X328:X391" si="70">+IF(Y328&lt;X327,Y328,X327)</f>
        <v>#REF!</v>
      </c>
      <c r="Y328" s="218" t="e">
        <f t="shared" ref="Y328:Y391" si="71">+(Y327-X327)*(1+$E$15)</f>
        <v>#REF!</v>
      </c>
      <c r="Z328" s="4">
        <v>323</v>
      </c>
      <c r="AB328">
        <f t="shared" si="65"/>
        <v>323</v>
      </c>
      <c r="AC328" s="218" t="e">
        <f t="shared" ref="AC328:AC391" si="72">+IF(AD328&lt;AC327,AD328,AC327)</f>
        <v>#REF!</v>
      </c>
      <c r="AD328" s="218" t="e">
        <f t="shared" ref="AD328:AD391" si="73">+(AD327-AC327)*(1+$E$16)</f>
        <v>#REF!</v>
      </c>
      <c r="AE328" s="4">
        <v>323</v>
      </c>
    </row>
    <row r="329" spans="13:31">
      <c r="M329">
        <f t="shared" si="62"/>
        <v>324</v>
      </c>
      <c r="N329" s="218">
        <f t="shared" si="66"/>
        <v>0</v>
      </c>
      <c r="O329" s="218">
        <f t="shared" si="67"/>
        <v>0</v>
      </c>
      <c r="P329" s="4">
        <v>324</v>
      </c>
      <c r="R329">
        <f t="shared" si="63"/>
        <v>324</v>
      </c>
      <c r="S329" s="218">
        <f t="shared" ca="1" si="68"/>
        <v>0</v>
      </c>
      <c r="T329" s="218">
        <f t="shared" ca="1" si="69"/>
        <v>0</v>
      </c>
      <c r="U329" s="4">
        <v>324</v>
      </c>
      <c r="W329">
        <f t="shared" si="64"/>
        <v>324</v>
      </c>
      <c r="X329" s="218" t="e">
        <f t="shared" si="70"/>
        <v>#REF!</v>
      </c>
      <c r="Y329" s="218" t="e">
        <f t="shared" si="71"/>
        <v>#REF!</v>
      </c>
      <c r="Z329" s="4">
        <v>324</v>
      </c>
      <c r="AB329">
        <f t="shared" si="65"/>
        <v>324</v>
      </c>
      <c r="AC329" s="218" t="e">
        <f t="shared" si="72"/>
        <v>#REF!</v>
      </c>
      <c r="AD329" s="218" t="e">
        <f t="shared" si="73"/>
        <v>#REF!</v>
      </c>
      <c r="AE329" s="4">
        <v>324</v>
      </c>
    </row>
    <row r="330" spans="13:31">
      <c r="M330">
        <f t="shared" si="62"/>
        <v>325</v>
      </c>
      <c r="N330" s="218">
        <f t="shared" si="66"/>
        <v>0</v>
      </c>
      <c r="O330" s="218">
        <f t="shared" si="67"/>
        <v>0</v>
      </c>
      <c r="P330" s="4">
        <v>325</v>
      </c>
      <c r="R330">
        <f t="shared" si="63"/>
        <v>325</v>
      </c>
      <c r="S330" s="218">
        <f t="shared" ca="1" si="68"/>
        <v>0</v>
      </c>
      <c r="T330" s="218">
        <f t="shared" ca="1" si="69"/>
        <v>0</v>
      </c>
      <c r="U330" s="4">
        <v>325</v>
      </c>
      <c r="W330">
        <f t="shared" si="64"/>
        <v>325</v>
      </c>
      <c r="X330" s="218" t="e">
        <f t="shared" si="70"/>
        <v>#REF!</v>
      </c>
      <c r="Y330" s="218" t="e">
        <f t="shared" si="71"/>
        <v>#REF!</v>
      </c>
      <c r="Z330" s="4">
        <v>325</v>
      </c>
      <c r="AB330">
        <f t="shared" si="65"/>
        <v>325</v>
      </c>
      <c r="AC330" s="218" t="e">
        <f t="shared" si="72"/>
        <v>#REF!</v>
      </c>
      <c r="AD330" s="218" t="e">
        <f t="shared" si="73"/>
        <v>#REF!</v>
      </c>
      <c r="AE330" s="4">
        <v>325</v>
      </c>
    </row>
    <row r="331" spans="13:31">
      <c r="M331">
        <f t="shared" si="62"/>
        <v>326</v>
      </c>
      <c r="N331" s="218">
        <f t="shared" si="66"/>
        <v>0</v>
      </c>
      <c r="O331" s="218">
        <f t="shared" si="67"/>
        <v>0</v>
      </c>
      <c r="P331" s="4">
        <v>326</v>
      </c>
      <c r="R331">
        <f t="shared" si="63"/>
        <v>326</v>
      </c>
      <c r="S331" s="218">
        <f t="shared" ca="1" si="68"/>
        <v>0</v>
      </c>
      <c r="T331" s="218">
        <f t="shared" ca="1" si="69"/>
        <v>0</v>
      </c>
      <c r="U331" s="4">
        <v>326</v>
      </c>
      <c r="W331">
        <f t="shared" si="64"/>
        <v>326</v>
      </c>
      <c r="X331" s="218" t="e">
        <f t="shared" si="70"/>
        <v>#REF!</v>
      </c>
      <c r="Y331" s="218" t="e">
        <f t="shared" si="71"/>
        <v>#REF!</v>
      </c>
      <c r="Z331" s="4">
        <v>326</v>
      </c>
      <c r="AB331">
        <f t="shared" si="65"/>
        <v>326</v>
      </c>
      <c r="AC331" s="218" t="e">
        <f t="shared" si="72"/>
        <v>#REF!</v>
      </c>
      <c r="AD331" s="218" t="e">
        <f t="shared" si="73"/>
        <v>#REF!</v>
      </c>
      <c r="AE331" s="4">
        <v>326</v>
      </c>
    </row>
    <row r="332" spans="13:31">
      <c r="M332">
        <f t="shared" si="62"/>
        <v>327</v>
      </c>
      <c r="N332" s="218">
        <f t="shared" si="66"/>
        <v>0</v>
      </c>
      <c r="O332" s="218">
        <f t="shared" si="67"/>
        <v>0</v>
      </c>
      <c r="P332" s="4">
        <v>327</v>
      </c>
      <c r="R332">
        <f t="shared" si="63"/>
        <v>327</v>
      </c>
      <c r="S332" s="218">
        <f t="shared" ca="1" si="68"/>
        <v>0</v>
      </c>
      <c r="T332" s="218">
        <f t="shared" ca="1" si="69"/>
        <v>0</v>
      </c>
      <c r="U332" s="4">
        <v>327</v>
      </c>
      <c r="W332">
        <f t="shared" si="64"/>
        <v>327</v>
      </c>
      <c r="X332" s="218" t="e">
        <f t="shared" si="70"/>
        <v>#REF!</v>
      </c>
      <c r="Y332" s="218" t="e">
        <f t="shared" si="71"/>
        <v>#REF!</v>
      </c>
      <c r="Z332" s="4">
        <v>327</v>
      </c>
      <c r="AB332">
        <f t="shared" si="65"/>
        <v>327</v>
      </c>
      <c r="AC332" s="218" t="e">
        <f t="shared" si="72"/>
        <v>#REF!</v>
      </c>
      <c r="AD332" s="218" t="e">
        <f t="shared" si="73"/>
        <v>#REF!</v>
      </c>
      <c r="AE332" s="4">
        <v>327</v>
      </c>
    </row>
    <row r="333" spans="13:31">
      <c r="M333">
        <f t="shared" si="62"/>
        <v>328</v>
      </c>
      <c r="N333" s="218">
        <f t="shared" si="66"/>
        <v>0</v>
      </c>
      <c r="O333" s="218">
        <f t="shared" si="67"/>
        <v>0</v>
      </c>
      <c r="P333" s="4">
        <v>328</v>
      </c>
      <c r="R333">
        <f t="shared" si="63"/>
        <v>328</v>
      </c>
      <c r="S333" s="218">
        <f t="shared" ca="1" si="68"/>
        <v>0</v>
      </c>
      <c r="T333" s="218">
        <f t="shared" ca="1" si="69"/>
        <v>0</v>
      </c>
      <c r="U333" s="4">
        <v>328</v>
      </c>
      <c r="W333">
        <f t="shared" si="64"/>
        <v>328</v>
      </c>
      <c r="X333" s="218" t="e">
        <f t="shared" si="70"/>
        <v>#REF!</v>
      </c>
      <c r="Y333" s="218" t="e">
        <f t="shared" si="71"/>
        <v>#REF!</v>
      </c>
      <c r="Z333" s="4">
        <v>328</v>
      </c>
      <c r="AB333">
        <f t="shared" si="65"/>
        <v>328</v>
      </c>
      <c r="AC333" s="218" t="e">
        <f t="shared" si="72"/>
        <v>#REF!</v>
      </c>
      <c r="AD333" s="218" t="e">
        <f t="shared" si="73"/>
        <v>#REF!</v>
      </c>
      <c r="AE333" s="4">
        <v>328</v>
      </c>
    </row>
    <row r="334" spans="13:31">
      <c r="M334">
        <f t="shared" si="62"/>
        <v>329</v>
      </c>
      <c r="N334" s="218">
        <f t="shared" si="66"/>
        <v>0</v>
      </c>
      <c r="O334" s="218">
        <f t="shared" si="67"/>
        <v>0</v>
      </c>
      <c r="P334" s="4">
        <v>329</v>
      </c>
      <c r="R334">
        <f t="shared" si="63"/>
        <v>329</v>
      </c>
      <c r="S334" s="218">
        <f t="shared" ca="1" si="68"/>
        <v>0</v>
      </c>
      <c r="T334" s="218">
        <f t="shared" ca="1" si="69"/>
        <v>0</v>
      </c>
      <c r="U334" s="4">
        <v>329</v>
      </c>
      <c r="W334">
        <f t="shared" si="64"/>
        <v>329</v>
      </c>
      <c r="X334" s="218" t="e">
        <f t="shared" si="70"/>
        <v>#REF!</v>
      </c>
      <c r="Y334" s="218" t="e">
        <f t="shared" si="71"/>
        <v>#REF!</v>
      </c>
      <c r="Z334" s="4">
        <v>329</v>
      </c>
      <c r="AB334">
        <f t="shared" si="65"/>
        <v>329</v>
      </c>
      <c r="AC334" s="218" t="e">
        <f t="shared" si="72"/>
        <v>#REF!</v>
      </c>
      <c r="AD334" s="218" t="e">
        <f t="shared" si="73"/>
        <v>#REF!</v>
      </c>
      <c r="AE334" s="4">
        <v>329</v>
      </c>
    </row>
    <row r="335" spans="13:31">
      <c r="M335">
        <f t="shared" si="62"/>
        <v>330</v>
      </c>
      <c r="N335" s="218">
        <f t="shared" si="66"/>
        <v>0</v>
      </c>
      <c r="O335" s="218">
        <f t="shared" si="67"/>
        <v>0</v>
      </c>
      <c r="P335" s="4">
        <v>330</v>
      </c>
      <c r="R335">
        <f t="shared" si="63"/>
        <v>330</v>
      </c>
      <c r="S335" s="218">
        <f t="shared" ca="1" si="68"/>
        <v>0</v>
      </c>
      <c r="T335" s="218">
        <f t="shared" ca="1" si="69"/>
        <v>0</v>
      </c>
      <c r="U335" s="4">
        <v>330</v>
      </c>
      <c r="W335">
        <f t="shared" si="64"/>
        <v>330</v>
      </c>
      <c r="X335" s="218" t="e">
        <f t="shared" si="70"/>
        <v>#REF!</v>
      </c>
      <c r="Y335" s="218" t="e">
        <f t="shared" si="71"/>
        <v>#REF!</v>
      </c>
      <c r="Z335" s="4">
        <v>330</v>
      </c>
      <c r="AB335">
        <f t="shared" si="65"/>
        <v>330</v>
      </c>
      <c r="AC335" s="218" t="e">
        <f t="shared" si="72"/>
        <v>#REF!</v>
      </c>
      <c r="AD335" s="218" t="e">
        <f t="shared" si="73"/>
        <v>#REF!</v>
      </c>
      <c r="AE335" s="4">
        <v>330</v>
      </c>
    </row>
    <row r="336" spans="13:31">
      <c r="M336">
        <f t="shared" si="62"/>
        <v>331</v>
      </c>
      <c r="N336" s="218">
        <f t="shared" si="66"/>
        <v>0</v>
      </c>
      <c r="O336" s="218">
        <f t="shared" si="67"/>
        <v>0</v>
      </c>
      <c r="P336" s="4">
        <v>331</v>
      </c>
      <c r="R336">
        <f t="shared" si="63"/>
        <v>331</v>
      </c>
      <c r="S336" s="218">
        <f t="shared" ca="1" si="68"/>
        <v>0</v>
      </c>
      <c r="T336" s="218">
        <f t="shared" ca="1" si="69"/>
        <v>0</v>
      </c>
      <c r="U336" s="4">
        <v>331</v>
      </c>
      <c r="W336">
        <f t="shared" si="64"/>
        <v>331</v>
      </c>
      <c r="X336" s="218" t="e">
        <f t="shared" si="70"/>
        <v>#REF!</v>
      </c>
      <c r="Y336" s="218" t="e">
        <f t="shared" si="71"/>
        <v>#REF!</v>
      </c>
      <c r="Z336" s="4">
        <v>331</v>
      </c>
      <c r="AB336">
        <f t="shared" si="65"/>
        <v>331</v>
      </c>
      <c r="AC336" s="218" t="e">
        <f t="shared" si="72"/>
        <v>#REF!</v>
      </c>
      <c r="AD336" s="218" t="e">
        <f t="shared" si="73"/>
        <v>#REF!</v>
      </c>
      <c r="AE336" s="4">
        <v>331</v>
      </c>
    </row>
    <row r="337" spans="13:31">
      <c r="M337">
        <f t="shared" si="62"/>
        <v>332</v>
      </c>
      <c r="N337" s="218">
        <f t="shared" si="66"/>
        <v>0</v>
      </c>
      <c r="O337" s="218">
        <f t="shared" si="67"/>
        <v>0</v>
      </c>
      <c r="P337" s="4">
        <v>332</v>
      </c>
      <c r="R337">
        <f t="shared" si="63"/>
        <v>332</v>
      </c>
      <c r="S337" s="218">
        <f t="shared" ca="1" si="68"/>
        <v>0</v>
      </c>
      <c r="T337" s="218">
        <f t="shared" ca="1" si="69"/>
        <v>0</v>
      </c>
      <c r="U337" s="4">
        <v>332</v>
      </c>
      <c r="W337">
        <f t="shared" si="64"/>
        <v>332</v>
      </c>
      <c r="X337" s="218" t="e">
        <f t="shared" si="70"/>
        <v>#REF!</v>
      </c>
      <c r="Y337" s="218" t="e">
        <f t="shared" si="71"/>
        <v>#REF!</v>
      </c>
      <c r="Z337" s="4">
        <v>332</v>
      </c>
      <c r="AB337">
        <f t="shared" si="65"/>
        <v>332</v>
      </c>
      <c r="AC337" s="218" t="e">
        <f t="shared" si="72"/>
        <v>#REF!</v>
      </c>
      <c r="AD337" s="218" t="e">
        <f t="shared" si="73"/>
        <v>#REF!</v>
      </c>
      <c r="AE337" s="4">
        <v>332</v>
      </c>
    </row>
    <row r="338" spans="13:31">
      <c r="M338">
        <f t="shared" si="62"/>
        <v>333</v>
      </c>
      <c r="N338" s="218">
        <f t="shared" si="66"/>
        <v>0</v>
      </c>
      <c r="O338" s="218">
        <f t="shared" si="67"/>
        <v>0</v>
      </c>
      <c r="P338" s="4">
        <v>333</v>
      </c>
      <c r="R338">
        <f t="shared" si="63"/>
        <v>333</v>
      </c>
      <c r="S338" s="218">
        <f t="shared" ca="1" si="68"/>
        <v>0</v>
      </c>
      <c r="T338" s="218">
        <f t="shared" ca="1" si="69"/>
        <v>0</v>
      </c>
      <c r="U338" s="4">
        <v>333</v>
      </c>
      <c r="W338">
        <f t="shared" si="64"/>
        <v>333</v>
      </c>
      <c r="X338" s="218" t="e">
        <f t="shared" si="70"/>
        <v>#REF!</v>
      </c>
      <c r="Y338" s="218" t="e">
        <f t="shared" si="71"/>
        <v>#REF!</v>
      </c>
      <c r="Z338" s="4">
        <v>333</v>
      </c>
      <c r="AB338">
        <f t="shared" si="65"/>
        <v>333</v>
      </c>
      <c r="AC338" s="218" t="e">
        <f t="shared" si="72"/>
        <v>#REF!</v>
      </c>
      <c r="AD338" s="218" t="e">
        <f t="shared" si="73"/>
        <v>#REF!</v>
      </c>
      <c r="AE338" s="4">
        <v>333</v>
      </c>
    </row>
    <row r="339" spans="13:31">
      <c r="M339">
        <f t="shared" si="62"/>
        <v>334</v>
      </c>
      <c r="N339" s="218">
        <f t="shared" si="66"/>
        <v>0</v>
      </c>
      <c r="O339" s="218">
        <f t="shared" si="67"/>
        <v>0</v>
      </c>
      <c r="P339" s="4">
        <v>334</v>
      </c>
      <c r="R339">
        <f t="shared" si="63"/>
        <v>334</v>
      </c>
      <c r="S339" s="218">
        <f t="shared" ca="1" si="68"/>
        <v>0</v>
      </c>
      <c r="T339" s="218">
        <f t="shared" ca="1" si="69"/>
        <v>0</v>
      </c>
      <c r="U339" s="4">
        <v>334</v>
      </c>
      <c r="W339">
        <f t="shared" si="64"/>
        <v>334</v>
      </c>
      <c r="X339" s="218" t="e">
        <f t="shared" si="70"/>
        <v>#REF!</v>
      </c>
      <c r="Y339" s="218" t="e">
        <f t="shared" si="71"/>
        <v>#REF!</v>
      </c>
      <c r="Z339" s="4">
        <v>334</v>
      </c>
      <c r="AB339">
        <f t="shared" si="65"/>
        <v>334</v>
      </c>
      <c r="AC339" s="218" t="e">
        <f t="shared" si="72"/>
        <v>#REF!</v>
      </c>
      <c r="AD339" s="218" t="e">
        <f t="shared" si="73"/>
        <v>#REF!</v>
      </c>
      <c r="AE339" s="4">
        <v>334</v>
      </c>
    </row>
    <row r="340" spans="13:31">
      <c r="M340">
        <f t="shared" si="62"/>
        <v>335</v>
      </c>
      <c r="N340" s="218">
        <f t="shared" si="66"/>
        <v>0</v>
      </c>
      <c r="O340" s="218">
        <f t="shared" si="67"/>
        <v>0</v>
      </c>
      <c r="P340" s="4">
        <v>335</v>
      </c>
      <c r="R340">
        <f t="shared" si="63"/>
        <v>335</v>
      </c>
      <c r="S340" s="218">
        <f t="shared" ca="1" si="68"/>
        <v>0</v>
      </c>
      <c r="T340" s="218">
        <f t="shared" ca="1" si="69"/>
        <v>0</v>
      </c>
      <c r="U340" s="4">
        <v>335</v>
      </c>
      <c r="W340">
        <f t="shared" si="64"/>
        <v>335</v>
      </c>
      <c r="X340" s="218" t="e">
        <f t="shared" si="70"/>
        <v>#REF!</v>
      </c>
      <c r="Y340" s="218" t="e">
        <f t="shared" si="71"/>
        <v>#REF!</v>
      </c>
      <c r="Z340" s="4">
        <v>335</v>
      </c>
      <c r="AB340">
        <f t="shared" si="65"/>
        <v>335</v>
      </c>
      <c r="AC340" s="218" t="e">
        <f t="shared" si="72"/>
        <v>#REF!</v>
      </c>
      <c r="AD340" s="218" t="e">
        <f t="shared" si="73"/>
        <v>#REF!</v>
      </c>
      <c r="AE340" s="4">
        <v>335</v>
      </c>
    </row>
    <row r="341" spans="13:31">
      <c r="M341">
        <f t="shared" si="62"/>
        <v>336</v>
      </c>
      <c r="N341" s="218">
        <f t="shared" si="66"/>
        <v>0</v>
      </c>
      <c r="O341" s="218">
        <f t="shared" si="67"/>
        <v>0</v>
      </c>
      <c r="P341" s="4">
        <v>336</v>
      </c>
      <c r="R341">
        <f t="shared" si="63"/>
        <v>336</v>
      </c>
      <c r="S341" s="218">
        <f t="shared" ca="1" si="68"/>
        <v>0</v>
      </c>
      <c r="T341" s="218">
        <f t="shared" ca="1" si="69"/>
        <v>0</v>
      </c>
      <c r="U341" s="4">
        <v>336</v>
      </c>
      <c r="W341">
        <f t="shared" si="64"/>
        <v>336</v>
      </c>
      <c r="X341" s="218" t="e">
        <f t="shared" si="70"/>
        <v>#REF!</v>
      </c>
      <c r="Y341" s="218" t="e">
        <f t="shared" si="71"/>
        <v>#REF!</v>
      </c>
      <c r="Z341" s="4">
        <v>336</v>
      </c>
      <c r="AB341">
        <f t="shared" si="65"/>
        <v>336</v>
      </c>
      <c r="AC341" s="218" t="e">
        <f t="shared" si="72"/>
        <v>#REF!</v>
      </c>
      <c r="AD341" s="218" t="e">
        <f t="shared" si="73"/>
        <v>#REF!</v>
      </c>
      <c r="AE341" s="4">
        <v>336</v>
      </c>
    </row>
    <row r="342" spans="13:31">
      <c r="M342">
        <f t="shared" si="62"/>
        <v>337</v>
      </c>
      <c r="N342" s="218">
        <f t="shared" si="66"/>
        <v>0</v>
      </c>
      <c r="O342" s="218">
        <f t="shared" si="67"/>
        <v>0</v>
      </c>
      <c r="P342" s="4">
        <v>337</v>
      </c>
      <c r="R342">
        <f t="shared" si="63"/>
        <v>337</v>
      </c>
      <c r="S342" s="218">
        <f t="shared" ca="1" si="68"/>
        <v>0</v>
      </c>
      <c r="T342" s="218">
        <f t="shared" ca="1" si="69"/>
        <v>0</v>
      </c>
      <c r="U342" s="4">
        <v>337</v>
      </c>
      <c r="W342">
        <f t="shared" si="64"/>
        <v>337</v>
      </c>
      <c r="X342" s="218" t="e">
        <f t="shared" si="70"/>
        <v>#REF!</v>
      </c>
      <c r="Y342" s="218" t="e">
        <f t="shared" si="71"/>
        <v>#REF!</v>
      </c>
      <c r="Z342" s="4">
        <v>337</v>
      </c>
      <c r="AB342">
        <f t="shared" si="65"/>
        <v>337</v>
      </c>
      <c r="AC342" s="218" t="e">
        <f t="shared" si="72"/>
        <v>#REF!</v>
      </c>
      <c r="AD342" s="218" t="e">
        <f t="shared" si="73"/>
        <v>#REF!</v>
      </c>
      <c r="AE342" s="4">
        <v>337</v>
      </c>
    </row>
    <row r="343" spans="13:31">
      <c r="M343">
        <f t="shared" si="62"/>
        <v>338</v>
      </c>
      <c r="N343" s="218">
        <f t="shared" si="66"/>
        <v>0</v>
      </c>
      <c r="O343" s="218">
        <f t="shared" si="67"/>
        <v>0</v>
      </c>
      <c r="P343" s="4">
        <v>338</v>
      </c>
      <c r="R343">
        <f t="shared" si="63"/>
        <v>338</v>
      </c>
      <c r="S343" s="218">
        <f t="shared" ca="1" si="68"/>
        <v>0</v>
      </c>
      <c r="T343" s="218">
        <f t="shared" ca="1" si="69"/>
        <v>0</v>
      </c>
      <c r="U343" s="4">
        <v>338</v>
      </c>
      <c r="W343">
        <f t="shared" si="64"/>
        <v>338</v>
      </c>
      <c r="X343" s="218" t="e">
        <f t="shared" si="70"/>
        <v>#REF!</v>
      </c>
      <c r="Y343" s="218" t="e">
        <f t="shared" si="71"/>
        <v>#REF!</v>
      </c>
      <c r="Z343" s="4">
        <v>338</v>
      </c>
      <c r="AB343">
        <f t="shared" si="65"/>
        <v>338</v>
      </c>
      <c r="AC343" s="218" t="e">
        <f t="shared" si="72"/>
        <v>#REF!</v>
      </c>
      <c r="AD343" s="218" t="e">
        <f t="shared" si="73"/>
        <v>#REF!</v>
      </c>
      <c r="AE343" s="4">
        <v>338</v>
      </c>
    </row>
    <row r="344" spans="13:31">
      <c r="M344">
        <f t="shared" si="62"/>
        <v>339</v>
      </c>
      <c r="N344" s="218">
        <f t="shared" si="66"/>
        <v>0</v>
      </c>
      <c r="O344" s="218">
        <f t="shared" si="67"/>
        <v>0</v>
      </c>
      <c r="P344" s="4">
        <v>339</v>
      </c>
      <c r="R344">
        <f t="shared" si="63"/>
        <v>339</v>
      </c>
      <c r="S344" s="218">
        <f t="shared" ca="1" si="68"/>
        <v>0</v>
      </c>
      <c r="T344" s="218">
        <f t="shared" ca="1" si="69"/>
        <v>0</v>
      </c>
      <c r="U344" s="4">
        <v>339</v>
      </c>
      <c r="W344">
        <f t="shared" si="64"/>
        <v>339</v>
      </c>
      <c r="X344" s="218" t="e">
        <f t="shared" si="70"/>
        <v>#REF!</v>
      </c>
      <c r="Y344" s="218" t="e">
        <f t="shared" si="71"/>
        <v>#REF!</v>
      </c>
      <c r="Z344" s="4">
        <v>339</v>
      </c>
      <c r="AB344">
        <f t="shared" si="65"/>
        <v>339</v>
      </c>
      <c r="AC344" s="218" t="e">
        <f t="shared" si="72"/>
        <v>#REF!</v>
      </c>
      <c r="AD344" s="218" t="e">
        <f t="shared" si="73"/>
        <v>#REF!</v>
      </c>
      <c r="AE344" s="4">
        <v>339</v>
      </c>
    </row>
    <row r="345" spans="13:31">
      <c r="M345">
        <f t="shared" si="62"/>
        <v>340</v>
      </c>
      <c r="N345" s="218">
        <f t="shared" si="66"/>
        <v>0</v>
      </c>
      <c r="O345" s="218">
        <f t="shared" si="67"/>
        <v>0</v>
      </c>
      <c r="P345" s="4">
        <v>340</v>
      </c>
      <c r="R345">
        <f t="shared" si="63"/>
        <v>340</v>
      </c>
      <c r="S345" s="218">
        <f t="shared" ca="1" si="68"/>
        <v>0</v>
      </c>
      <c r="T345" s="218">
        <f t="shared" ca="1" si="69"/>
        <v>0</v>
      </c>
      <c r="U345" s="4">
        <v>340</v>
      </c>
      <c r="W345">
        <f t="shared" si="64"/>
        <v>340</v>
      </c>
      <c r="X345" s="218" t="e">
        <f t="shared" si="70"/>
        <v>#REF!</v>
      </c>
      <c r="Y345" s="218" t="e">
        <f t="shared" si="71"/>
        <v>#REF!</v>
      </c>
      <c r="Z345" s="4">
        <v>340</v>
      </c>
      <c r="AB345">
        <f t="shared" si="65"/>
        <v>340</v>
      </c>
      <c r="AC345" s="218" t="e">
        <f t="shared" si="72"/>
        <v>#REF!</v>
      </c>
      <c r="AD345" s="218" t="e">
        <f t="shared" si="73"/>
        <v>#REF!</v>
      </c>
      <c r="AE345" s="4">
        <v>340</v>
      </c>
    </row>
    <row r="346" spans="13:31">
      <c r="M346">
        <f t="shared" si="62"/>
        <v>341</v>
      </c>
      <c r="N346" s="218">
        <f t="shared" si="66"/>
        <v>0</v>
      </c>
      <c r="O346" s="218">
        <f t="shared" si="67"/>
        <v>0</v>
      </c>
      <c r="P346" s="4">
        <v>341</v>
      </c>
      <c r="R346">
        <f t="shared" si="63"/>
        <v>341</v>
      </c>
      <c r="S346" s="218">
        <f t="shared" ca="1" si="68"/>
        <v>0</v>
      </c>
      <c r="T346" s="218">
        <f t="shared" ca="1" si="69"/>
        <v>0</v>
      </c>
      <c r="U346" s="4">
        <v>341</v>
      </c>
      <c r="W346">
        <f t="shared" si="64"/>
        <v>341</v>
      </c>
      <c r="X346" s="218" t="e">
        <f t="shared" si="70"/>
        <v>#REF!</v>
      </c>
      <c r="Y346" s="218" t="e">
        <f t="shared" si="71"/>
        <v>#REF!</v>
      </c>
      <c r="Z346" s="4">
        <v>341</v>
      </c>
      <c r="AB346">
        <f t="shared" si="65"/>
        <v>341</v>
      </c>
      <c r="AC346" s="218" t="e">
        <f t="shared" si="72"/>
        <v>#REF!</v>
      </c>
      <c r="AD346" s="218" t="e">
        <f t="shared" si="73"/>
        <v>#REF!</v>
      </c>
      <c r="AE346" s="4">
        <v>341</v>
      </c>
    </row>
    <row r="347" spans="13:31">
      <c r="M347">
        <f t="shared" si="62"/>
        <v>342</v>
      </c>
      <c r="N347" s="218">
        <f t="shared" si="66"/>
        <v>0</v>
      </c>
      <c r="O347" s="218">
        <f t="shared" si="67"/>
        <v>0</v>
      </c>
      <c r="P347" s="4">
        <v>342</v>
      </c>
      <c r="R347">
        <f t="shared" si="63"/>
        <v>342</v>
      </c>
      <c r="S347" s="218">
        <f t="shared" ca="1" si="68"/>
        <v>0</v>
      </c>
      <c r="T347" s="218">
        <f t="shared" ca="1" si="69"/>
        <v>0</v>
      </c>
      <c r="U347" s="4">
        <v>342</v>
      </c>
      <c r="W347">
        <f t="shared" si="64"/>
        <v>342</v>
      </c>
      <c r="X347" s="218" t="e">
        <f t="shared" si="70"/>
        <v>#REF!</v>
      </c>
      <c r="Y347" s="218" t="e">
        <f t="shared" si="71"/>
        <v>#REF!</v>
      </c>
      <c r="Z347" s="4">
        <v>342</v>
      </c>
      <c r="AB347">
        <f t="shared" si="65"/>
        <v>342</v>
      </c>
      <c r="AC347" s="218" t="e">
        <f t="shared" si="72"/>
        <v>#REF!</v>
      </c>
      <c r="AD347" s="218" t="e">
        <f t="shared" si="73"/>
        <v>#REF!</v>
      </c>
      <c r="AE347" s="4">
        <v>342</v>
      </c>
    </row>
    <row r="348" spans="13:31">
      <c r="M348">
        <f t="shared" si="62"/>
        <v>343</v>
      </c>
      <c r="N348" s="218">
        <f t="shared" si="66"/>
        <v>0</v>
      </c>
      <c r="O348" s="218">
        <f t="shared" si="67"/>
        <v>0</v>
      </c>
      <c r="P348" s="4">
        <v>343</v>
      </c>
      <c r="R348">
        <f t="shared" si="63"/>
        <v>343</v>
      </c>
      <c r="S348" s="218">
        <f t="shared" ca="1" si="68"/>
        <v>0</v>
      </c>
      <c r="T348" s="218">
        <f t="shared" ca="1" si="69"/>
        <v>0</v>
      </c>
      <c r="U348" s="4">
        <v>343</v>
      </c>
      <c r="W348">
        <f t="shared" si="64"/>
        <v>343</v>
      </c>
      <c r="X348" s="218" t="e">
        <f t="shared" si="70"/>
        <v>#REF!</v>
      </c>
      <c r="Y348" s="218" t="e">
        <f t="shared" si="71"/>
        <v>#REF!</v>
      </c>
      <c r="Z348" s="4">
        <v>343</v>
      </c>
      <c r="AB348">
        <f t="shared" si="65"/>
        <v>343</v>
      </c>
      <c r="AC348" s="218" t="e">
        <f t="shared" si="72"/>
        <v>#REF!</v>
      </c>
      <c r="AD348" s="218" t="e">
        <f t="shared" si="73"/>
        <v>#REF!</v>
      </c>
      <c r="AE348" s="4">
        <v>343</v>
      </c>
    </row>
    <row r="349" spans="13:31">
      <c r="M349">
        <f t="shared" si="62"/>
        <v>344</v>
      </c>
      <c r="N349" s="218">
        <f t="shared" si="66"/>
        <v>0</v>
      </c>
      <c r="O349" s="218">
        <f t="shared" si="67"/>
        <v>0</v>
      </c>
      <c r="P349" s="4">
        <v>344</v>
      </c>
      <c r="R349">
        <f t="shared" si="63"/>
        <v>344</v>
      </c>
      <c r="S349" s="218">
        <f t="shared" ca="1" si="68"/>
        <v>0</v>
      </c>
      <c r="T349" s="218">
        <f t="shared" ca="1" si="69"/>
        <v>0</v>
      </c>
      <c r="U349" s="4">
        <v>344</v>
      </c>
      <c r="W349">
        <f t="shared" si="64"/>
        <v>344</v>
      </c>
      <c r="X349" s="218" t="e">
        <f t="shared" si="70"/>
        <v>#REF!</v>
      </c>
      <c r="Y349" s="218" t="e">
        <f t="shared" si="71"/>
        <v>#REF!</v>
      </c>
      <c r="Z349" s="4">
        <v>344</v>
      </c>
      <c r="AB349">
        <f t="shared" si="65"/>
        <v>344</v>
      </c>
      <c r="AC349" s="218" t="e">
        <f t="shared" si="72"/>
        <v>#REF!</v>
      </c>
      <c r="AD349" s="218" t="e">
        <f t="shared" si="73"/>
        <v>#REF!</v>
      </c>
      <c r="AE349" s="4">
        <v>344</v>
      </c>
    </row>
    <row r="350" spans="13:31">
      <c r="M350">
        <f t="shared" si="62"/>
        <v>345</v>
      </c>
      <c r="N350" s="218">
        <f t="shared" si="66"/>
        <v>0</v>
      </c>
      <c r="O350" s="218">
        <f t="shared" si="67"/>
        <v>0</v>
      </c>
      <c r="P350" s="4">
        <v>345</v>
      </c>
      <c r="R350">
        <f t="shared" si="63"/>
        <v>345</v>
      </c>
      <c r="S350" s="218">
        <f t="shared" ca="1" si="68"/>
        <v>0</v>
      </c>
      <c r="T350" s="218">
        <f t="shared" ca="1" si="69"/>
        <v>0</v>
      </c>
      <c r="U350" s="4">
        <v>345</v>
      </c>
      <c r="W350">
        <f t="shared" si="64"/>
        <v>345</v>
      </c>
      <c r="X350" s="218" t="e">
        <f t="shared" si="70"/>
        <v>#REF!</v>
      </c>
      <c r="Y350" s="218" t="e">
        <f t="shared" si="71"/>
        <v>#REF!</v>
      </c>
      <c r="Z350" s="4">
        <v>345</v>
      </c>
      <c r="AB350">
        <f t="shared" si="65"/>
        <v>345</v>
      </c>
      <c r="AC350" s="218" t="e">
        <f t="shared" si="72"/>
        <v>#REF!</v>
      </c>
      <c r="AD350" s="218" t="e">
        <f t="shared" si="73"/>
        <v>#REF!</v>
      </c>
      <c r="AE350" s="4">
        <v>345</v>
      </c>
    </row>
    <row r="351" spans="13:31">
      <c r="M351">
        <f t="shared" si="62"/>
        <v>346</v>
      </c>
      <c r="N351" s="218">
        <f t="shared" si="66"/>
        <v>0</v>
      </c>
      <c r="O351" s="218">
        <f t="shared" si="67"/>
        <v>0</v>
      </c>
      <c r="P351" s="4">
        <v>346</v>
      </c>
      <c r="R351">
        <f t="shared" si="63"/>
        <v>346</v>
      </c>
      <c r="S351" s="218">
        <f t="shared" ca="1" si="68"/>
        <v>0</v>
      </c>
      <c r="T351" s="218">
        <f t="shared" ca="1" si="69"/>
        <v>0</v>
      </c>
      <c r="U351" s="4">
        <v>346</v>
      </c>
      <c r="W351">
        <f t="shared" si="64"/>
        <v>346</v>
      </c>
      <c r="X351" s="218" t="e">
        <f t="shared" si="70"/>
        <v>#REF!</v>
      </c>
      <c r="Y351" s="218" t="e">
        <f t="shared" si="71"/>
        <v>#REF!</v>
      </c>
      <c r="Z351" s="4">
        <v>346</v>
      </c>
      <c r="AB351">
        <f t="shared" si="65"/>
        <v>346</v>
      </c>
      <c r="AC351" s="218" t="e">
        <f t="shared" si="72"/>
        <v>#REF!</v>
      </c>
      <c r="AD351" s="218" t="e">
        <f t="shared" si="73"/>
        <v>#REF!</v>
      </c>
      <c r="AE351" s="4">
        <v>346</v>
      </c>
    </row>
    <row r="352" spans="13:31">
      <c r="M352">
        <f t="shared" si="62"/>
        <v>347</v>
      </c>
      <c r="N352" s="218">
        <f t="shared" si="66"/>
        <v>0</v>
      </c>
      <c r="O352" s="218">
        <f t="shared" si="67"/>
        <v>0</v>
      </c>
      <c r="P352" s="4">
        <v>347</v>
      </c>
      <c r="R352">
        <f t="shared" si="63"/>
        <v>347</v>
      </c>
      <c r="S352" s="218">
        <f t="shared" ca="1" si="68"/>
        <v>0</v>
      </c>
      <c r="T352" s="218">
        <f t="shared" ca="1" si="69"/>
        <v>0</v>
      </c>
      <c r="U352" s="4">
        <v>347</v>
      </c>
      <c r="W352">
        <f t="shared" si="64"/>
        <v>347</v>
      </c>
      <c r="X352" s="218" t="e">
        <f t="shared" si="70"/>
        <v>#REF!</v>
      </c>
      <c r="Y352" s="218" t="e">
        <f t="shared" si="71"/>
        <v>#REF!</v>
      </c>
      <c r="Z352" s="4">
        <v>347</v>
      </c>
      <c r="AB352">
        <f t="shared" si="65"/>
        <v>347</v>
      </c>
      <c r="AC352" s="218" t="e">
        <f t="shared" si="72"/>
        <v>#REF!</v>
      </c>
      <c r="AD352" s="218" t="e">
        <f t="shared" si="73"/>
        <v>#REF!</v>
      </c>
      <c r="AE352" s="4">
        <v>347</v>
      </c>
    </row>
    <row r="353" spans="13:31">
      <c r="M353">
        <f t="shared" si="62"/>
        <v>348</v>
      </c>
      <c r="N353" s="218">
        <f t="shared" si="66"/>
        <v>0</v>
      </c>
      <c r="O353" s="218">
        <f t="shared" si="67"/>
        <v>0</v>
      </c>
      <c r="P353" s="4">
        <v>348</v>
      </c>
      <c r="R353">
        <f t="shared" si="63"/>
        <v>348</v>
      </c>
      <c r="S353" s="218">
        <f t="shared" ca="1" si="68"/>
        <v>0</v>
      </c>
      <c r="T353" s="218">
        <f t="shared" ca="1" si="69"/>
        <v>0</v>
      </c>
      <c r="U353" s="4">
        <v>348</v>
      </c>
      <c r="W353">
        <f t="shared" si="64"/>
        <v>348</v>
      </c>
      <c r="X353" s="218" t="e">
        <f t="shared" si="70"/>
        <v>#REF!</v>
      </c>
      <c r="Y353" s="218" t="e">
        <f t="shared" si="71"/>
        <v>#REF!</v>
      </c>
      <c r="Z353" s="4">
        <v>348</v>
      </c>
      <c r="AB353">
        <f t="shared" si="65"/>
        <v>348</v>
      </c>
      <c r="AC353" s="218" t="e">
        <f t="shared" si="72"/>
        <v>#REF!</v>
      </c>
      <c r="AD353" s="218" t="e">
        <f t="shared" si="73"/>
        <v>#REF!</v>
      </c>
      <c r="AE353" s="4">
        <v>348</v>
      </c>
    </row>
    <row r="354" spans="13:31">
      <c r="M354">
        <f t="shared" si="62"/>
        <v>349</v>
      </c>
      <c r="N354" s="218">
        <f t="shared" si="66"/>
        <v>0</v>
      </c>
      <c r="O354" s="218">
        <f t="shared" si="67"/>
        <v>0</v>
      </c>
      <c r="P354" s="4">
        <v>349</v>
      </c>
      <c r="R354">
        <f t="shared" si="63"/>
        <v>349</v>
      </c>
      <c r="S354" s="218">
        <f t="shared" ca="1" si="68"/>
        <v>0</v>
      </c>
      <c r="T354" s="218">
        <f t="shared" ca="1" si="69"/>
        <v>0</v>
      </c>
      <c r="U354" s="4">
        <v>349</v>
      </c>
      <c r="W354">
        <f t="shared" si="64"/>
        <v>349</v>
      </c>
      <c r="X354" s="218" t="e">
        <f t="shared" si="70"/>
        <v>#REF!</v>
      </c>
      <c r="Y354" s="218" t="e">
        <f t="shared" si="71"/>
        <v>#REF!</v>
      </c>
      <c r="Z354" s="4">
        <v>349</v>
      </c>
      <c r="AB354">
        <f t="shared" si="65"/>
        <v>349</v>
      </c>
      <c r="AC354" s="218" t="e">
        <f t="shared" si="72"/>
        <v>#REF!</v>
      </c>
      <c r="AD354" s="218" t="e">
        <f t="shared" si="73"/>
        <v>#REF!</v>
      </c>
      <c r="AE354" s="4">
        <v>349</v>
      </c>
    </row>
    <row r="355" spans="13:31">
      <c r="M355">
        <f t="shared" si="62"/>
        <v>350</v>
      </c>
      <c r="N355" s="218">
        <f t="shared" si="66"/>
        <v>0</v>
      </c>
      <c r="O355" s="218">
        <f t="shared" si="67"/>
        <v>0</v>
      </c>
      <c r="P355" s="4">
        <v>350</v>
      </c>
      <c r="R355">
        <f t="shared" si="63"/>
        <v>350</v>
      </c>
      <c r="S355" s="218">
        <f t="shared" ca="1" si="68"/>
        <v>0</v>
      </c>
      <c r="T355" s="218">
        <f t="shared" ca="1" si="69"/>
        <v>0</v>
      </c>
      <c r="U355" s="4">
        <v>350</v>
      </c>
      <c r="W355">
        <f t="shared" si="64"/>
        <v>350</v>
      </c>
      <c r="X355" s="218" t="e">
        <f t="shared" si="70"/>
        <v>#REF!</v>
      </c>
      <c r="Y355" s="218" t="e">
        <f t="shared" si="71"/>
        <v>#REF!</v>
      </c>
      <c r="Z355" s="4">
        <v>350</v>
      </c>
      <c r="AB355">
        <f t="shared" si="65"/>
        <v>350</v>
      </c>
      <c r="AC355" s="218" t="e">
        <f t="shared" si="72"/>
        <v>#REF!</v>
      </c>
      <c r="AD355" s="218" t="e">
        <f t="shared" si="73"/>
        <v>#REF!</v>
      </c>
      <c r="AE355" s="4">
        <v>350</v>
      </c>
    </row>
    <row r="356" spans="13:31">
      <c r="M356">
        <f t="shared" si="62"/>
        <v>351</v>
      </c>
      <c r="N356" s="218">
        <f t="shared" si="66"/>
        <v>0</v>
      </c>
      <c r="O356" s="218">
        <f t="shared" si="67"/>
        <v>0</v>
      </c>
      <c r="P356" s="4">
        <v>351</v>
      </c>
      <c r="R356">
        <f t="shared" si="63"/>
        <v>351</v>
      </c>
      <c r="S356" s="218">
        <f t="shared" ca="1" si="68"/>
        <v>0</v>
      </c>
      <c r="T356" s="218">
        <f t="shared" ca="1" si="69"/>
        <v>0</v>
      </c>
      <c r="U356" s="4">
        <v>351</v>
      </c>
      <c r="W356">
        <f t="shared" si="64"/>
        <v>351</v>
      </c>
      <c r="X356" s="218" t="e">
        <f t="shared" si="70"/>
        <v>#REF!</v>
      </c>
      <c r="Y356" s="218" t="e">
        <f t="shared" si="71"/>
        <v>#REF!</v>
      </c>
      <c r="Z356" s="4">
        <v>351</v>
      </c>
      <c r="AB356">
        <f t="shared" si="65"/>
        <v>351</v>
      </c>
      <c r="AC356" s="218" t="e">
        <f t="shared" si="72"/>
        <v>#REF!</v>
      </c>
      <c r="AD356" s="218" t="e">
        <f t="shared" si="73"/>
        <v>#REF!</v>
      </c>
      <c r="AE356" s="4">
        <v>351</v>
      </c>
    </row>
    <row r="357" spans="13:31">
      <c r="M357">
        <f t="shared" si="62"/>
        <v>352</v>
      </c>
      <c r="N357" s="218">
        <f t="shared" si="66"/>
        <v>0</v>
      </c>
      <c r="O357" s="218">
        <f t="shared" si="67"/>
        <v>0</v>
      </c>
      <c r="P357" s="4">
        <v>352</v>
      </c>
      <c r="R357">
        <f t="shared" si="63"/>
        <v>352</v>
      </c>
      <c r="S357" s="218">
        <f t="shared" ca="1" si="68"/>
        <v>0</v>
      </c>
      <c r="T357" s="218">
        <f t="shared" ca="1" si="69"/>
        <v>0</v>
      </c>
      <c r="U357" s="4">
        <v>352</v>
      </c>
      <c r="W357">
        <f t="shared" si="64"/>
        <v>352</v>
      </c>
      <c r="X357" s="218" t="e">
        <f t="shared" si="70"/>
        <v>#REF!</v>
      </c>
      <c r="Y357" s="218" t="e">
        <f t="shared" si="71"/>
        <v>#REF!</v>
      </c>
      <c r="Z357" s="4">
        <v>352</v>
      </c>
      <c r="AB357">
        <f t="shared" si="65"/>
        <v>352</v>
      </c>
      <c r="AC357" s="218" t="e">
        <f t="shared" si="72"/>
        <v>#REF!</v>
      </c>
      <c r="AD357" s="218" t="e">
        <f t="shared" si="73"/>
        <v>#REF!</v>
      </c>
      <c r="AE357" s="4">
        <v>352</v>
      </c>
    </row>
    <row r="358" spans="13:31">
      <c r="M358">
        <f t="shared" si="62"/>
        <v>353</v>
      </c>
      <c r="N358" s="218">
        <f t="shared" si="66"/>
        <v>0</v>
      </c>
      <c r="O358" s="218">
        <f t="shared" si="67"/>
        <v>0</v>
      </c>
      <c r="P358" s="4">
        <v>353</v>
      </c>
      <c r="R358">
        <f t="shared" si="63"/>
        <v>353</v>
      </c>
      <c r="S358" s="218">
        <f t="shared" ca="1" si="68"/>
        <v>0</v>
      </c>
      <c r="T358" s="218">
        <f t="shared" ca="1" si="69"/>
        <v>0</v>
      </c>
      <c r="U358" s="4">
        <v>353</v>
      </c>
      <c r="W358">
        <f t="shared" si="64"/>
        <v>353</v>
      </c>
      <c r="X358" s="218" t="e">
        <f t="shared" si="70"/>
        <v>#REF!</v>
      </c>
      <c r="Y358" s="218" t="e">
        <f t="shared" si="71"/>
        <v>#REF!</v>
      </c>
      <c r="Z358" s="4">
        <v>353</v>
      </c>
      <c r="AB358">
        <f t="shared" si="65"/>
        <v>353</v>
      </c>
      <c r="AC358" s="218" t="e">
        <f t="shared" si="72"/>
        <v>#REF!</v>
      </c>
      <c r="AD358" s="218" t="e">
        <f t="shared" si="73"/>
        <v>#REF!</v>
      </c>
      <c r="AE358" s="4">
        <v>353</v>
      </c>
    </row>
    <row r="359" spans="13:31">
      <c r="M359">
        <f t="shared" si="62"/>
        <v>354</v>
      </c>
      <c r="N359" s="218">
        <f t="shared" si="66"/>
        <v>0</v>
      </c>
      <c r="O359" s="218">
        <f t="shared" si="67"/>
        <v>0</v>
      </c>
      <c r="P359" s="4">
        <v>354</v>
      </c>
      <c r="R359">
        <f t="shared" si="63"/>
        <v>354</v>
      </c>
      <c r="S359" s="218">
        <f t="shared" ca="1" si="68"/>
        <v>0</v>
      </c>
      <c r="T359" s="218">
        <f t="shared" ca="1" si="69"/>
        <v>0</v>
      </c>
      <c r="U359" s="4">
        <v>354</v>
      </c>
      <c r="W359">
        <f t="shared" si="64"/>
        <v>354</v>
      </c>
      <c r="X359" s="218" t="e">
        <f t="shared" si="70"/>
        <v>#REF!</v>
      </c>
      <c r="Y359" s="218" t="e">
        <f t="shared" si="71"/>
        <v>#REF!</v>
      </c>
      <c r="Z359" s="4">
        <v>354</v>
      </c>
      <c r="AB359">
        <f t="shared" si="65"/>
        <v>354</v>
      </c>
      <c r="AC359" s="218" t="e">
        <f t="shared" si="72"/>
        <v>#REF!</v>
      </c>
      <c r="AD359" s="218" t="e">
        <f t="shared" si="73"/>
        <v>#REF!</v>
      </c>
      <c r="AE359" s="4">
        <v>354</v>
      </c>
    </row>
    <row r="360" spans="13:31">
      <c r="M360">
        <f t="shared" si="62"/>
        <v>355</v>
      </c>
      <c r="N360" s="218">
        <f t="shared" si="66"/>
        <v>0</v>
      </c>
      <c r="O360" s="218">
        <f t="shared" si="67"/>
        <v>0</v>
      </c>
      <c r="P360" s="4">
        <v>355</v>
      </c>
      <c r="R360">
        <f t="shared" si="63"/>
        <v>355</v>
      </c>
      <c r="S360" s="218">
        <f t="shared" ca="1" si="68"/>
        <v>0</v>
      </c>
      <c r="T360" s="218">
        <f t="shared" ca="1" si="69"/>
        <v>0</v>
      </c>
      <c r="U360" s="4">
        <v>355</v>
      </c>
      <c r="W360">
        <f t="shared" si="64"/>
        <v>355</v>
      </c>
      <c r="X360" s="218" t="e">
        <f t="shared" si="70"/>
        <v>#REF!</v>
      </c>
      <c r="Y360" s="218" t="e">
        <f t="shared" si="71"/>
        <v>#REF!</v>
      </c>
      <c r="Z360" s="4">
        <v>355</v>
      </c>
      <c r="AB360">
        <f t="shared" si="65"/>
        <v>355</v>
      </c>
      <c r="AC360" s="218" t="e">
        <f t="shared" si="72"/>
        <v>#REF!</v>
      </c>
      <c r="AD360" s="218" t="e">
        <f t="shared" si="73"/>
        <v>#REF!</v>
      </c>
      <c r="AE360" s="4">
        <v>355</v>
      </c>
    </row>
    <row r="361" spans="13:31">
      <c r="M361">
        <f t="shared" si="62"/>
        <v>356</v>
      </c>
      <c r="N361" s="218">
        <f t="shared" si="66"/>
        <v>0</v>
      </c>
      <c r="O361" s="218">
        <f t="shared" si="67"/>
        <v>0</v>
      </c>
      <c r="P361" s="4">
        <v>356</v>
      </c>
      <c r="R361">
        <f t="shared" si="63"/>
        <v>356</v>
      </c>
      <c r="S361" s="218">
        <f t="shared" ca="1" si="68"/>
        <v>0</v>
      </c>
      <c r="T361" s="218">
        <f t="shared" ca="1" si="69"/>
        <v>0</v>
      </c>
      <c r="U361" s="4">
        <v>356</v>
      </c>
      <c r="W361">
        <f t="shared" si="64"/>
        <v>356</v>
      </c>
      <c r="X361" s="218" t="e">
        <f t="shared" si="70"/>
        <v>#REF!</v>
      </c>
      <c r="Y361" s="218" t="e">
        <f t="shared" si="71"/>
        <v>#REF!</v>
      </c>
      <c r="Z361" s="4">
        <v>356</v>
      </c>
      <c r="AB361">
        <f t="shared" si="65"/>
        <v>356</v>
      </c>
      <c r="AC361" s="218" t="e">
        <f t="shared" si="72"/>
        <v>#REF!</v>
      </c>
      <c r="AD361" s="218" t="e">
        <f t="shared" si="73"/>
        <v>#REF!</v>
      </c>
      <c r="AE361" s="4">
        <v>356</v>
      </c>
    </row>
    <row r="362" spans="13:31">
      <c r="M362">
        <f t="shared" si="62"/>
        <v>357</v>
      </c>
      <c r="N362" s="218">
        <f t="shared" si="66"/>
        <v>0</v>
      </c>
      <c r="O362" s="218">
        <f t="shared" si="67"/>
        <v>0</v>
      </c>
      <c r="P362" s="4">
        <v>357</v>
      </c>
      <c r="R362">
        <f t="shared" si="63"/>
        <v>357</v>
      </c>
      <c r="S362" s="218">
        <f t="shared" ca="1" si="68"/>
        <v>0</v>
      </c>
      <c r="T362" s="218">
        <f t="shared" ca="1" si="69"/>
        <v>0</v>
      </c>
      <c r="U362" s="4">
        <v>357</v>
      </c>
      <c r="W362">
        <f t="shared" si="64"/>
        <v>357</v>
      </c>
      <c r="X362" s="218" t="e">
        <f t="shared" si="70"/>
        <v>#REF!</v>
      </c>
      <c r="Y362" s="218" t="e">
        <f t="shared" si="71"/>
        <v>#REF!</v>
      </c>
      <c r="Z362" s="4">
        <v>357</v>
      </c>
      <c r="AB362">
        <f t="shared" si="65"/>
        <v>357</v>
      </c>
      <c r="AC362" s="218" t="e">
        <f t="shared" si="72"/>
        <v>#REF!</v>
      </c>
      <c r="AD362" s="218" t="e">
        <f t="shared" si="73"/>
        <v>#REF!</v>
      </c>
      <c r="AE362" s="4">
        <v>357</v>
      </c>
    </row>
    <row r="363" spans="13:31">
      <c r="M363">
        <f t="shared" si="62"/>
        <v>358</v>
      </c>
      <c r="N363" s="218">
        <f t="shared" si="66"/>
        <v>0</v>
      </c>
      <c r="O363" s="218">
        <f t="shared" si="67"/>
        <v>0</v>
      </c>
      <c r="P363" s="4">
        <v>358</v>
      </c>
      <c r="R363">
        <f t="shared" si="63"/>
        <v>358</v>
      </c>
      <c r="S363" s="218">
        <f t="shared" ca="1" si="68"/>
        <v>0</v>
      </c>
      <c r="T363" s="218">
        <f t="shared" ca="1" si="69"/>
        <v>0</v>
      </c>
      <c r="U363" s="4">
        <v>358</v>
      </c>
      <c r="W363">
        <f t="shared" si="64"/>
        <v>358</v>
      </c>
      <c r="X363" s="218" t="e">
        <f t="shared" si="70"/>
        <v>#REF!</v>
      </c>
      <c r="Y363" s="218" t="e">
        <f t="shared" si="71"/>
        <v>#REF!</v>
      </c>
      <c r="Z363" s="4">
        <v>358</v>
      </c>
      <c r="AB363">
        <f t="shared" si="65"/>
        <v>358</v>
      </c>
      <c r="AC363" s="218" t="e">
        <f t="shared" si="72"/>
        <v>#REF!</v>
      </c>
      <c r="AD363" s="218" t="e">
        <f t="shared" si="73"/>
        <v>#REF!</v>
      </c>
      <c r="AE363" s="4">
        <v>358</v>
      </c>
    </row>
    <row r="364" spans="13:31">
      <c r="M364">
        <f t="shared" si="62"/>
        <v>359</v>
      </c>
      <c r="N364" s="218">
        <f t="shared" si="66"/>
        <v>0</v>
      </c>
      <c r="O364" s="218">
        <f t="shared" si="67"/>
        <v>0</v>
      </c>
      <c r="P364" s="4">
        <v>359</v>
      </c>
      <c r="R364">
        <f t="shared" si="63"/>
        <v>359</v>
      </c>
      <c r="S364" s="218">
        <f t="shared" ca="1" si="68"/>
        <v>0</v>
      </c>
      <c r="T364" s="218">
        <f t="shared" ca="1" si="69"/>
        <v>0</v>
      </c>
      <c r="U364" s="4">
        <v>359</v>
      </c>
      <c r="W364">
        <f t="shared" si="64"/>
        <v>359</v>
      </c>
      <c r="X364" s="218" t="e">
        <f t="shared" si="70"/>
        <v>#REF!</v>
      </c>
      <c r="Y364" s="218" t="e">
        <f t="shared" si="71"/>
        <v>#REF!</v>
      </c>
      <c r="Z364" s="4">
        <v>359</v>
      </c>
      <c r="AB364">
        <f t="shared" si="65"/>
        <v>359</v>
      </c>
      <c r="AC364" s="218" t="e">
        <f t="shared" si="72"/>
        <v>#REF!</v>
      </c>
      <c r="AD364" s="218" t="e">
        <f t="shared" si="73"/>
        <v>#REF!</v>
      </c>
      <c r="AE364" s="4">
        <v>359</v>
      </c>
    </row>
    <row r="365" spans="13:31">
      <c r="M365">
        <f t="shared" si="62"/>
        <v>360</v>
      </c>
      <c r="N365" s="218">
        <f t="shared" si="66"/>
        <v>0</v>
      </c>
      <c r="O365" s="218">
        <f t="shared" si="67"/>
        <v>0</v>
      </c>
      <c r="P365" s="4">
        <v>360</v>
      </c>
      <c r="R365">
        <f t="shared" si="63"/>
        <v>360</v>
      </c>
      <c r="S365" s="218">
        <f t="shared" ca="1" si="68"/>
        <v>0</v>
      </c>
      <c r="T365" s="218">
        <f t="shared" ca="1" si="69"/>
        <v>0</v>
      </c>
      <c r="U365" s="4">
        <v>360</v>
      </c>
      <c r="W365">
        <f t="shared" si="64"/>
        <v>360</v>
      </c>
      <c r="X365" s="218" t="e">
        <f t="shared" si="70"/>
        <v>#REF!</v>
      </c>
      <c r="Y365" s="218" t="e">
        <f t="shared" si="71"/>
        <v>#REF!</v>
      </c>
      <c r="Z365" s="4">
        <v>360</v>
      </c>
      <c r="AB365">
        <f t="shared" si="65"/>
        <v>360</v>
      </c>
      <c r="AC365" s="218" t="e">
        <f t="shared" si="72"/>
        <v>#REF!</v>
      </c>
      <c r="AD365" s="218" t="e">
        <f t="shared" si="73"/>
        <v>#REF!</v>
      </c>
      <c r="AE365" s="4">
        <v>360</v>
      </c>
    </row>
    <row r="366" spans="13:31">
      <c r="M366">
        <f t="shared" si="62"/>
        <v>361</v>
      </c>
      <c r="N366" s="218">
        <f t="shared" si="66"/>
        <v>0</v>
      </c>
      <c r="O366" s="218">
        <f t="shared" si="67"/>
        <v>0</v>
      </c>
      <c r="P366" s="4">
        <v>361</v>
      </c>
      <c r="R366">
        <f t="shared" si="63"/>
        <v>361</v>
      </c>
      <c r="S366" s="218">
        <f t="shared" ca="1" si="68"/>
        <v>0</v>
      </c>
      <c r="T366" s="218">
        <f t="shared" ca="1" si="69"/>
        <v>0</v>
      </c>
      <c r="U366" s="4">
        <v>361</v>
      </c>
      <c r="W366">
        <f t="shared" si="64"/>
        <v>361</v>
      </c>
      <c r="X366" s="218" t="e">
        <f t="shared" si="70"/>
        <v>#REF!</v>
      </c>
      <c r="Y366" s="218" t="e">
        <f t="shared" si="71"/>
        <v>#REF!</v>
      </c>
      <c r="Z366" s="4">
        <v>361</v>
      </c>
      <c r="AB366">
        <f t="shared" si="65"/>
        <v>361</v>
      </c>
      <c r="AC366" s="218" t="e">
        <f t="shared" si="72"/>
        <v>#REF!</v>
      </c>
      <c r="AD366" s="218" t="e">
        <f t="shared" si="73"/>
        <v>#REF!</v>
      </c>
      <c r="AE366" s="4">
        <v>361</v>
      </c>
    </row>
    <row r="367" spans="13:31">
      <c r="M367">
        <f t="shared" si="62"/>
        <v>362</v>
      </c>
      <c r="N367" s="218">
        <f t="shared" si="66"/>
        <v>0</v>
      </c>
      <c r="O367" s="218">
        <f t="shared" si="67"/>
        <v>0</v>
      </c>
      <c r="P367" s="4">
        <v>362</v>
      </c>
      <c r="R367">
        <f t="shared" si="63"/>
        <v>362</v>
      </c>
      <c r="S367" s="218">
        <f t="shared" ca="1" si="68"/>
        <v>0</v>
      </c>
      <c r="T367" s="218">
        <f t="shared" ca="1" si="69"/>
        <v>0</v>
      </c>
      <c r="U367" s="4">
        <v>362</v>
      </c>
      <c r="W367">
        <f t="shared" si="64"/>
        <v>362</v>
      </c>
      <c r="X367" s="218" t="e">
        <f t="shared" si="70"/>
        <v>#REF!</v>
      </c>
      <c r="Y367" s="218" t="e">
        <f t="shared" si="71"/>
        <v>#REF!</v>
      </c>
      <c r="Z367" s="4">
        <v>362</v>
      </c>
      <c r="AB367">
        <f t="shared" si="65"/>
        <v>362</v>
      </c>
      <c r="AC367" s="218" t="e">
        <f t="shared" si="72"/>
        <v>#REF!</v>
      </c>
      <c r="AD367" s="218" t="e">
        <f t="shared" si="73"/>
        <v>#REF!</v>
      </c>
      <c r="AE367" s="4">
        <v>362</v>
      </c>
    </row>
    <row r="368" spans="13:31">
      <c r="M368">
        <f t="shared" si="62"/>
        <v>363</v>
      </c>
      <c r="N368" s="218">
        <f t="shared" si="66"/>
        <v>0</v>
      </c>
      <c r="O368" s="218">
        <f t="shared" si="67"/>
        <v>0</v>
      </c>
      <c r="P368" s="4">
        <v>363</v>
      </c>
      <c r="R368">
        <f t="shared" si="63"/>
        <v>363</v>
      </c>
      <c r="S368" s="218">
        <f t="shared" ca="1" si="68"/>
        <v>0</v>
      </c>
      <c r="T368" s="218">
        <f t="shared" ca="1" si="69"/>
        <v>0</v>
      </c>
      <c r="U368" s="4">
        <v>363</v>
      </c>
      <c r="W368">
        <f t="shared" si="64"/>
        <v>363</v>
      </c>
      <c r="X368" s="218" t="e">
        <f t="shared" si="70"/>
        <v>#REF!</v>
      </c>
      <c r="Y368" s="218" t="e">
        <f t="shared" si="71"/>
        <v>#REF!</v>
      </c>
      <c r="Z368" s="4">
        <v>363</v>
      </c>
      <c r="AB368">
        <f t="shared" si="65"/>
        <v>363</v>
      </c>
      <c r="AC368" s="218" t="e">
        <f t="shared" si="72"/>
        <v>#REF!</v>
      </c>
      <c r="AD368" s="218" t="e">
        <f t="shared" si="73"/>
        <v>#REF!</v>
      </c>
      <c r="AE368" s="4">
        <v>363</v>
      </c>
    </row>
    <row r="369" spans="13:31">
      <c r="M369">
        <f t="shared" si="62"/>
        <v>364</v>
      </c>
      <c r="N369" s="218">
        <f t="shared" si="66"/>
        <v>0</v>
      </c>
      <c r="O369" s="218">
        <f t="shared" si="67"/>
        <v>0</v>
      </c>
      <c r="P369" s="4">
        <v>364</v>
      </c>
      <c r="R369">
        <f t="shared" si="63"/>
        <v>364</v>
      </c>
      <c r="S369" s="218">
        <f t="shared" ca="1" si="68"/>
        <v>0</v>
      </c>
      <c r="T369" s="218">
        <f t="shared" ca="1" si="69"/>
        <v>0</v>
      </c>
      <c r="U369" s="4">
        <v>364</v>
      </c>
      <c r="W369">
        <f t="shared" si="64"/>
        <v>364</v>
      </c>
      <c r="X369" s="218" t="e">
        <f t="shared" si="70"/>
        <v>#REF!</v>
      </c>
      <c r="Y369" s="218" t="e">
        <f t="shared" si="71"/>
        <v>#REF!</v>
      </c>
      <c r="Z369" s="4">
        <v>364</v>
      </c>
      <c r="AB369">
        <f t="shared" si="65"/>
        <v>364</v>
      </c>
      <c r="AC369" s="218" t="e">
        <f t="shared" si="72"/>
        <v>#REF!</v>
      </c>
      <c r="AD369" s="218" t="e">
        <f t="shared" si="73"/>
        <v>#REF!</v>
      </c>
      <c r="AE369" s="4">
        <v>364</v>
      </c>
    </row>
    <row r="370" spans="13:31">
      <c r="M370">
        <f t="shared" si="62"/>
        <v>365</v>
      </c>
      <c r="N370" s="218">
        <f t="shared" si="66"/>
        <v>0</v>
      </c>
      <c r="O370" s="218">
        <f t="shared" si="67"/>
        <v>0</v>
      </c>
      <c r="P370" s="4">
        <v>365</v>
      </c>
      <c r="R370">
        <f t="shared" si="63"/>
        <v>365</v>
      </c>
      <c r="S370" s="218">
        <f t="shared" ca="1" si="68"/>
        <v>0</v>
      </c>
      <c r="T370" s="218">
        <f t="shared" ca="1" si="69"/>
        <v>0</v>
      </c>
      <c r="U370" s="4">
        <v>365</v>
      </c>
      <c r="W370">
        <f t="shared" si="64"/>
        <v>365</v>
      </c>
      <c r="X370" s="218" t="e">
        <f t="shared" si="70"/>
        <v>#REF!</v>
      </c>
      <c r="Y370" s="218" t="e">
        <f t="shared" si="71"/>
        <v>#REF!</v>
      </c>
      <c r="Z370" s="4">
        <v>365</v>
      </c>
      <c r="AB370">
        <f t="shared" si="65"/>
        <v>365</v>
      </c>
      <c r="AC370" s="218" t="e">
        <f t="shared" si="72"/>
        <v>#REF!</v>
      </c>
      <c r="AD370" s="218" t="e">
        <f t="shared" si="73"/>
        <v>#REF!</v>
      </c>
      <c r="AE370" s="4">
        <v>365</v>
      </c>
    </row>
    <row r="371" spans="13:31">
      <c r="M371">
        <f t="shared" si="62"/>
        <v>366</v>
      </c>
      <c r="N371" s="218">
        <f t="shared" si="66"/>
        <v>0</v>
      </c>
      <c r="O371" s="218">
        <f t="shared" si="67"/>
        <v>0</v>
      </c>
      <c r="P371" s="4">
        <v>366</v>
      </c>
      <c r="R371">
        <f t="shared" si="63"/>
        <v>366</v>
      </c>
      <c r="S371" s="218">
        <f t="shared" ca="1" si="68"/>
        <v>0</v>
      </c>
      <c r="T371" s="218">
        <f t="shared" ca="1" si="69"/>
        <v>0</v>
      </c>
      <c r="U371" s="4">
        <v>366</v>
      </c>
      <c r="W371">
        <f t="shared" si="64"/>
        <v>366</v>
      </c>
      <c r="X371" s="218" t="e">
        <f t="shared" si="70"/>
        <v>#REF!</v>
      </c>
      <c r="Y371" s="218" t="e">
        <f t="shared" si="71"/>
        <v>#REF!</v>
      </c>
      <c r="Z371" s="4">
        <v>366</v>
      </c>
      <c r="AB371">
        <f t="shared" si="65"/>
        <v>366</v>
      </c>
      <c r="AC371" s="218" t="e">
        <f t="shared" si="72"/>
        <v>#REF!</v>
      </c>
      <c r="AD371" s="218" t="e">
        <f t="shared" si="73"/>
        <v>#REF!</v>
      </c>
      <c r="AE371" s="4">
        <v>366</v>
      </c>
    </row>
    <row r="372" spans="13:31">
      <c r="M372">
        <f t="shared" si="62"/>
        <v>367</v>
      </c>
      <c r="N372" s="218">
        <f t="shared" si="66"/>
        <v>0</v>
      </c>
      <c r="O372" s="218">
        <f t="shared" si="67"/>
        <v>0</v>
      </c>
      <c r="P372" s="4">
        <v>367</v>
      </c>
      <c r="R372">
        <f t="shared" si="63"/>
        <v>367</v>
      </c>
      <c r="S372" s="218">
        <f t="shared" ca="1" si="68"/>
        <v>0</v>
      </c>
      <c r="T372" s="218">
        <f t="shared" ca="1" si="69"/>
        <v>0</v>
      </c>
      <c r="U372" s="4">
        <v>367</v>
      </c>
      <c r="W372">
        <f t="shared" si="64"/>
        <v>367</v>
      </c>
      <c r="X372" s="218" t="e">
        <f t="shared" si="70"/>
        <v>#REF!</v>
      </c>
      <c r="Y372" s="218" t="e">
        <f t="shared" si="71"/>
        <v>#REF!</v>
      </c>
      <c r="Z372" s="4">
        <v>367</v>
      </c>
      <c r="AB372">
        <f t="shared" si="65"/>
        <v>367</v>
      </c>
      <c r="AC372" s="218" t="e">
        <f t="shared" si="72"/>
        <v>#REF!</v>
      </c>
      <c r="AD372" s="218" t="e">
        <f t="shared" si="73"/>
        <v>#REF!</v>
      </c>
      <c r="AE372" s="4">
        <v>367</v>
      </c>
    </row>
    <row r="373" spans="13:31">
      <c r="M373">
        <f t="shared" si="62"/>
        <v>368</v>
      </c>
      <c r="N373" s="218">
        <f t="shared" si="66"/>
        <v>0</v>
      </c>
      <c r="O373" s="218">
        <f t="shared" si="67"/>
        <v>0</v>
      </c>
      <c r="P373" s="4">
        <v>368</v>
      </c>
      <c r="R373">
        <f t="shared" si="63"/>
        <v>368</v>
      </c>
      <c r="S373" s="218">
        <f t="shared" ca="1" si="68"/>
        <v>0</v>
      </c>
      <c r="T373" s="218">
        <f t="shared" ca="1" si="69"/>
        <v>0</v>
      </c>
      <c r="U373" s="4">
        <v>368</v>
      </c>
      <c r="W373">
        <f t="shared" si="64"/>
        <v>368</v>
      </c>
      <c r="X373" s="218" t="e">
        <f t="shared" si="70"/>
        <v>#REF!</v>
      </c>
      <c r="Y373" s="218" t="e">
        <f t="shared" si="71"/>
        <v>#REF!</v>
      </c>
      <c r="Z373" s="4">
        <v>368</v>
      </c>
      <c r="AB373">
        <f t="shared" si="65"/>
        <v>368</v>
      </c>
      <c r="AC373" s="218" t="e">
        <f t="shared" si="72"/>
        <v>#REF!</v>
      </c>
      <c r="AD373" s="218" t="e">
        <f t="shared" si="73"/>
        <v>#REF!</v>
      </c>
      <c r="AE373" s="4">
        <v>368</v>
      </c>
    </row>
    <row r="374" spans="13:31">
      <c r="M374">
        <f t="shared" si="62"/>
        <v>369</v>
      </c>
      <c r="N374" s="218">
        <f t="shared" si="66"/>
        <v>0</v>
      </c>
      <c r="O374" s="218">
        <f t="shared" si="67"/>
        <v>0</v>
      </c>
      <c r="P374" s="4">
        <v>369</v>
      </c>
      <c r="R374">
        <f t="shared" si="63"/>
        <v>369</v>
      </c>
      <c r="S374" s="218">
        <f t="shared" ca="1" si="68"/>
        <v>0</v>
      </c>
      <c r="T374" s="218">
        <f t="shared" ca="1" si="69"/>
        <v>0</v>
      </c>
      <c r="U374" s="4">
        <v>369</v>
      </c>
      <c r="W374">
        <f t="shared" si="64"/>
        <v>369</v>
      </c>
      <c r="X374" s="218" t="e">
        <f t="shared" si="70"/>
        <v>#REF!</v>
      </c>
      <c r="Y374" s="218" t="e">
        <f t="shared" si="71"/>
        <v>#REF!</v>
      </c>
      <c r="Z374" s="4">
        <v>369</v>
      </c>
      <c r="AB374">
        <f t="shared" si="65"/>
        <v>369</v>
      </c>
      <c r="AC374" s="218" t="e">
        <f t="shared" si="72"/>
        <v>#REF!</v>
      </c>
      <c r="AD374" s="218" t="e">
        <f t="shared" si="73"/>
        <v>#REF!</v>
      </c>
      <c r="AE374" s="4">
        <v>369</v>
      </c>
    </row>
    <row r="375" spans="13:31">
      <c r="M375">
        <f t="shared" si="62"/>
        <v>370</v>
      </c>
      <c r="N375" s="218">
        <f t="shared" si="66"/>
        <v>0</v>
      </c>
      <c r="O375" s="218">
        <f t="shared" si="67"/>
        <v>0</v>
      </c>
      <c r="P375" s="4">
        <v>370</v>
      </c>
      <c r="R375">
        <f t="shared" si="63"/>
        <v>370</v>
      </c>
      <c r="S375" s="218">
        <f t="shared" ca="1" si="68"/>
        <v>0</v>
      </c>
      <c r="T375" s="218">
        <f t="shared" ca="1" si="69"/>
        <v>0</v>
      </c>
      <c r="U375" s="4">
        <v>370</v>
      </c>
      <c r="W375">
        <f t="shared" si="64"/>
        <v>370</v>
      </c>
      <c r="X375" s="218" t="e">
        <f t="shared" si="70"/>
        <v>#REF!</v>
      </c>
      <c r="Y375" s="218" t="e">
        <f t="shared" si="71"/>
        <v>#REF!</v>
      </c>
      <c r="Z375" s="4">
        <v>370</v>
      </c>
      <c r="AB375">
        <f t="shared" si="65"/>
        <v>370</v>
      </c>
      <c r="AC375" s="218" t="e">
        <f t="shared" si="72"/>
        <v>#REF!</v>
      </c>
      <c r="AD375" s="218" t="e">
        <f t="shared" si="73"/>
        <v>#REF!</v>
      </c>
      <c r="AE375" s="4">
        <v>370</v>
      </c>
    </row>
    <row r="376" spans="13:31">
      <c r="M376">
        <f t="shared" si="62"/>
        <v>371</v>
      </c>
      <c r="N376" s="218">
        <f t="shared" si="66"/>
        <v>0</v>
      </c>
      <c r="O376" s="218">
        <f t="shared" si="67"/>
        <v>0</v>
      </c>
      <c r="P376" s="4">
        <v>371</v>
      </c>
      <c r="R376">
        <f t="shared" si="63"/>
        <v>371</v>
      </c>
      <c r="S376" s="218">
        <f t="shared" ca="1" si="68"/>
        <v>0</v>
      </c>
      <c r="T376" s="218">
        <f t="shared" ca="1" si="69"/>
        <v>0</v>
      </c>
      <c r="U376" s="4">
        <v>371</v>
      </c>
      <c r="W376">
        <f t="shared" si="64"/>
        <v>371</v>
      </c>
      <c r="X376" s="218" t="e">
        <f t="shared" si="70"/>
        <v>#REF!</v>
      </c>
      <c r="Y376" s="218" t="e">
        <f t="shared" si="71"/>
        <v>#REF!</v>
      </c>
      <c r="Z376" s="4">
        <v>371</v>
      </c>
      <c r="AB376">
        <f t="shared" si="65"/>
        <v>371</v>
      </c>
      <c r="AC376" s="218" t="e">
        <f t="shared" si="72"/>
        <v>#REF!</v>
      </c>
      <c r="AD376" s="218" t="e">
        <f t="shared" si="73"/>
        <v>#REF!</v>
      </c>
      <c r="AE376" s="4">
        <v>371</v>
      </c>
    </row>
    <row r="377" spans="13:31">
      <c r="M377">
        <f t="shared" si="62"/>
        <v>372</v>
      </c>
      <c r="N377" s="218">
        <f t="shared" si="66"/>
        <v>0</v>
      </c>
      <c r="O377" s="218">
        <f t="shared" si="67"/>
        <v>0</v>
      </c>
      <c r="P377" s="4">
        <v>372</v>
      </c>
      <c r="R377">
        <f t="shared" si="63"/>
        <v>372</v>
      </c>
      <c r="S377" s="218">
        <f t="shared" ca="1" si="68"/>
        <v>0</v>
      </c>
      <c r="T377" s="218">
        <f t="shared" ca="1" si="69"/>
        <v>0</v>
      </c>
      <c r="U377" s="4">
        <v>372</v>
      </c>
      <c r="W377">
        <f t="shared" si="64"/>
        <v>372</v>
      </c>
      <c r="X377" s="218" t="e">
        <f t="shared" si="70"/>
        <v>#REF!</v>
      </c>
      <c r="Y377" s="218" t="e">
        <f t="shared" si="71"/>
        <v>#REF!</v>
      </c>
      <c r="Z377" s="4">
        <v>372</v>
      </c>
      <c r="AB377">
        <f t="shared" si="65"/>
        <v>372</v>
      </c>
      <c r="AC377" s="218" t="e">
        <f t="shared" si="72"/>
        <v>#REF!</v>
      </c>
      <c r="AD377" s="218" t="e">
        <f t="shared" si="73"/>
        <v>#REF!</v>
      </c>
      <c r="AE377" s="4">
        <v>372</v>
      </c>
    </row>
    <row r="378" spans="13:31">
      <c r="M378">
        <f t="shared" si="62"/>
        <v>373</v>
      </c>
      <c r="N378" s="218">
        <f t="shared" si="66"/>
        <v>0</v>
      </c>
      <c r="O378" s="218">
        <f t="shared" si="67"/>
        <v>0</v>
      </c>
      <c r="P378" s="4">
        <v>373</v>
      </c>
      <c r="R378">
        <f t="shared" si="63"/>
        <v>373</v>
      </c>
      <c r="S378" s="218">
        <f t="shared" ca="1" si="68"/>
        <v>0</v>
      </c>
      <c r="T378" s="218">
        <f t="shared" ca="1" si="69"/>
        <v>0</v>
      </c>
      <c r="U378" s="4">
        <v>373</v>
      </c>
      <c r="W378">
        <f t="shared" si="64"/>
        <v>373</v>
      </c>
      <c r="X378" s="218" t="e">
        <f t="shared" si="70"/>
        <v>#REF!</v>
      </c>
      <c r="Y378" s="218" t="e">
        <f t="shared" si="71"/>
        <v>#REF!</v>
      </c>
      <c r="Z378" s="4">
        <v>373</v>
      </c>
      <c r="AB378">
        <f t="shared" si="65"/>
        <v>373</v>
      </c>
      <c r="AC378" s="218" t="e">
        <f t="shared" si="72"/>
        <v>#REF!</v>
      </c>
      <c r="AD378" s="218" t="e">
        <f t="shared" si="73"/>
        <v>#REF!</v>
      </c>
      <c r="AE378" s="4">
        <v>373</v>
      </c>
    </row>
    <row r="379" spans="13:31">
      <c r="M379">
        <f t="shared" si="62"/>
        <v>374</v>
      </c>
      <c r="N379" s="218">
        <f t="shared" si="66"/>
        <v>0</v>
      </c>
      <c r="O379" s="218">
        <f t="shared" si="67"/>
        <v>0</v>
      </c>
      <c r="P379" s="4">
        <v>374</v>
      </c>
      <c r="R379">
        <f t="shared" si="63"/>
        <v>374</v>
      </c>
      <c r="S379" s="218">
        <f t="shared" ca="1" si="68"/>
        <v>0</v>
      </c>
      <c r="T379" s="218">
        <f t="shared" ca="1" si="69"/>
        <v>0</v>
      </c>
      <c r="U379" s="4">
        <v>374</v>
      </c>
      <c r="W379">
        <f t="shared" si="64"/>
        <v>374</v>
      </c>
      <c r="X379" s="218" t="e">
        <f t="shared" si="70"/>
        <v>#REF!</v>
      </c>
      <c r="Y379" s="218" t="e">
        <f t="shared" si="71"/>
        <v>#REF!</v>
      </c>
      <c r="Z379" s="4">
        <v>374</v>
      </c>
      <c r="AB379">
        <f t="shared" si="65"/>
        <v>374</v>
      </c>
      <c r="AC379" s="218" t="e">
        <f t="shared" si="72"/>
        <v>#REF!</v>
      </c>
      <c r="AD379" s="218" t="e">
        <f t="shared" si="73"/>
        <v>#REF!</v>
      </c>
      <c r="AE379" s="4">
        <v>374</v>
      </c>
    </row>
    <row r="380" spans="13:31">
      <c r="M380">
        <f t="shared" si="62"/>
        <v>375</v>
      </c>
      <c r="N380" s="218">
        <f t="shared" si="66"/>
        <v>0</v>
      </c>
      <c r="O380" s="218">
        <f t="shared" si="67"/>
        <v>0</v>
      </c>
      <c r="P380" s="4">
        <v>375</v>
      </c>
      <c r="R380">
        <f t="shared" si="63"/>
        <v>375</v>
      </c>
      <c r="S380" s="218">
        <f t="shared" ca="1" si="68"/>
        <v>0</v>
      </c>
      <c r="T380" s="218">
        <f t="shared" ca="1" si="69"/>
        <v>0</v>
      </c>
      <c r="U380" s="4">
        <v>375</v>
      </c>
      <c r="W380">
        <f t="shared" si="64"/>
        <v>375</v>
      </c>
      <c r="X380" s="218" t="e">
        <f t="shared" si="70"/>
        <v>#REF!</v>
      </c>
      <c r="Y380" s="218" t="e">
        <f t="shared" si="71"/>
        <v>#REF!</v>
      </c>
      <c r="Z380" s="4">
        <v>375</v>
      </c>
      <c r="AB380">
        <f t="shared" si="65"/>
        <v>375</v>
      </c>
      <c r="AC380" s="218" t="e">
        <f t="shared" si="72"/>
        <v>#REF!</v>
      </c>
      <c r="AD380" s="218" t="e">
        <f t="shared" si="73"/>
        <v>#REF!</v>
      </c>
      <c r="AE380" s="4">
        <v>375</v>
      </c>
    </row>
    <row r="381" spans="13:31">
      <c r="M381">
        <f t="shared" si="62"/>
        <v>376</v>
      </c>
      <c r="N381" s="218">
        <f t="shared" si="66"/>
        <v>0</v>
      </c>
      <c r="O381" s="218">
        <f t="shared" si="67"/>
        <v>0</v>
      </c>
      <c r="P381" s="4">
        <v>376</v>
      </c>
      <c r="R381">
        <f t="shared" si="63"/>
        <v>376</v>
      </c>
      <c r="S381" s="218">
        <f t="shared" ca="1" si="68"/>
        <v>0</v>
      </c>
      <c r="T381" s="218">
        <f t="shared" ca="1" si="69"/>
        <v>0</v>
      </c>
      <c r="U381" s="4">
        <v>376</v>
      </c>
      <c r="W381">
        <f t="shared" si="64"/>
        <v>376</v>
      </c>
      <c r="X381" s="218" t="e">
        <f t="shared" si="70"/>
        <v>#REF!</v>
      </c>
      <c r="Y381" s="218" t="e">
        <f t="shared" si="71"/>
        <v>#REF!</v>
      </c>
      <c r="Z381" s="4">
        <v>376</v>
      </c>
      <c r="AB381">
        <f t="shared" si="65"/>
        <v>376</v>
      </c>
      <c r="AC381" s="218" t="e">
        <f t="shared" si="72"/>
        <v>#REF!</v>
      </c>
      <c r="AD381" s="218" t="e">
        <f t="shared" si="73"/>
        <v>#REF!</v>
      </c>
      <c r="AE381" s="4">
        <v>376</v>
      </c>
    </row>
    <row r="382" spans="13:31">
      <c r="M382">
        <f t="shared" si="62"/>
        <v>377</v>
      </c>
      <c r="N382" s="218">
        <f t="shared" si="66"/>
        <v>0</v>
      </c>
      <c r="O382" s="218">
        <f t="shared" si="67"/>
        <v>0</v>
      </c>
      <c r="P382" s="4">
        <v>377</v>
      </c>
      <c r="R382">
        <f t="shared" si="63"/>
        <v>377</v>
      </c>
      <c r="S382" s="218">
        <f t="shared" ca="1" si="68"/>
        <v>0</v>
      </c>
      <c r="T382" s="218">
        <f t="shared" ca="1" si="69"/>
        <v>0</v>
      </c>
      <c r="U382" s="4">
        <v>377</v>
      </c>
      <c r="W382">
        <f t="shared" si="64"/>
        <v>377</v>
      </c>
      <c r="X382" s="218" t="e">
        <f t="shared" si="70"/>
        <v>#REF!</v>
      </c>
      <c r="Y382" s="218" t="e">
        <f t="shared" si="71"/>
        <v>#REF!</v>
      </c>
      <c r="Z382" s="4">
        <v>377</v>
      </c>
      <c r="AB382">
        <f t="shared" si="65"/>
        <v>377</v>
      </c>
      <c r="AC382" s="218" t="e">
        <f t="shared" si="72"/>
        <v>#REF!</v>
      </c>
      <c r="AD382" s="218" t="e">
        <f t="shared" si="73"/>
        <v>#REF!</v>
      </c>
      <c r="AE382" s="4">
        <v>377</v>
      </c>
    </row>
    <row r="383" spans="13:31">
      <c r="M383">
        <f t="shared" si="62"/>
        <v>378</v>
      </c>
      <c r="N383" s="218">
        <f t="shared" si="66"/>
        <v>0</v>
      </c>
      <c r="O383" s="218">
        <f t="shared" si="67"/>
        <v>0</v>
      </c>
      <c r="P383" s="4">
        <v>378</v>
      </c>
      <c r="R383">
        <f t="shared" si="63"/>
        <v>378</v>
      </c>
      <c r="S383" s="218">
        <f t="shared" ca="1" si="68"/>
        <v>0</v>
      </c>
      <c r="T383" s="218">
        <f t="shared" ca="1" si="69"/>
        <v>0</v>
      </c>
      <c r="U383" s="4">
        <v>378</v>
      </c>
      <c r="W383">
        <f t="shared" si="64"/>
        <v>378</v>
      </c>
      <c r="X383" s="218" t="e">
        <f t="shared" si="70"/>
        <v>#REF!</v>
      </c>
      <c r="Y383" s="218" t="e">
        <f t="shared" si="71"/>
        <v>#REF!</v>
      </c>
      <c r="Z383" s="4">
        <v>378</v>
      </c>
      <c r="AB383">
        <f t="shared" si="65"/>
        <v>378</v>
      </c>
      <c r="AC383" s="218" t="e">
        <f t="shared" si="72"/>
        <v>#REF!</v>
      </c>
      <c r="AD383" s="218" t="e">
        <f t="shared" si="73"/>
        <v>#REF!</v>
      </c>
      <c r="AE383" s="4">
        <v>378</v>
      </c>
    </row>
    <row r="384" spans="13:31">
      <c r="M384">
        <f t="shared" si="62"/>
        <v>379</v>
      </c>
      <c r="N384" s="218">
        <f t="shared" si="66"/>
        <v>0</v>
      </c>
      <c r="O384" s="218">
        <f t="shared" si="67"/>
        <v>0</v>
      </c>
      <c r="P384" s="4">
        <v>379</v>
      </c>
      <c r="R384">
        <f t="shared" si="63"/>
        <v>379</v>
      </c>
      <c r="S384" s="218">
        <f t="shared" ca="1" si="68"/>
        <v>0</v>
      </c>
      <c r="T384" s="218">
        <f t="shared" ca="1" si="69"/>
        <v>0</v>
      </c>
      <c r="U384" s="4">
        <v>379</v>
      </c>
      <c r="W384">
        <f t="shared" si="64"/>
        <v>379</v>
      </c>
      <c r="X384" s="218" t="e">
        <f t="shared" si="70"/>
        <v>#REF!</v>
      </c>
      <c r="Y384" s="218" t="e">
        <f t="shared" si="71"/>
        <v>#REF!</v>
      </c>
      <c r="Z384" s="4">
        <v>379</v>
      </c>
      <c r="AB384">
        <f t="shared" si="65"/>
        <v>379</v>
      </c>
      <c r="AC384" s="218" t="e">
        <f t="shared" si="72"/>
        <v>#REF!</v>
      </c>
      <c r="AD384" s="218" t="e">
        <f t="shared" si="73"/>
        <v>#REF!</v>
      </c>
      <c r="AE384" s="4">
        <v>379</v>
      </c>
    </row>
    <row r="385" spans="13:31">
      <c r="M385">
        <f t="shared" si="62"/>
        <v>380</v>
      </c>
      <c r="N385" s="218">
        <f t="shared" si="66"/>
        <v>0</v>
      </c>
      <c r="O385" s="218">
        <f t="shared" si="67"/>
        <v>0</v>
      </c>
      <c r="P385" s="4">
        <v>380</v>
      </c>
      <c r="R385">
        <f t="shared" si="63"/>
        <v>380</v>
      </c>
      <c r="S385" s="218">
        <f t="shared" ca="1" si="68"/>
        <v>0</v>
      </c>
      <c r="T385" s="218">
        <f t="shared" ca="1" si="69"/>
        <v>0</v>
      </c>
      <c r="U385" s="4">
        <v>380</v>
      </c>
      <c r="W385">
        <f t="shared" si="64"/>
        <v>380</v>
      </c>
      <c r="X385" s="218" t="e">
        <f t="shared" si="70"/>
        <v>#REF!</v>
      </c>
      <c r="Y385" s="218" t="e">
        <f t="shared" si="71"/>
        <v>#REF!</v>
      </c>
      <c r="Z385" s="4">
        <v>380</v>
      </c>
      <c r="AB385">
        <f t="shared" si="65"/>
        <v>380</v>
      </c>
      <c r="AC385" s="218" t="e">
        <f t="shared" si="72"/>
        <v>#REF!</v>
      </c>
      <c r="AD385" s="218" t="e">
        <f t="shared" si="73"/>
        <v>#REF!</v>
      </c>
      <c r="AE385" s="4">
        <v>380</v>
      </c>
    </row>
    <row r="386" spans="13:31">
      <c r="M386">
        <f t="shared" si="62"/>
        <v>381</v>
      </c>
      <c r="N386" s="218">
        <f t="shared" si="66"/>
        <v>0</v>
      </c>
      <c r="O386" s="218">
        <f t="shared" si="67"/>
        <v>0</v>
      </c>
      <c r="P386" s="4">
        <v>381</v>
      </c>
      <c r="R386">
        <f t="shared" si="63"/>
        <v>381</v>
      </c>
      <c r="S386" s="218">
        <f t="shared" ca="1" si="68"/>
        <v>0</v>
      </c>
      <c r="T386" s="218">
        <f t="shared" ca="1" si="69"/>
        <v>0</v>
      </c>
      <c r="U386" s="4">
        <v>381</v>
      </c>
      <c r="W386">
        <f t="shared" si="64"/>
        <v>381</v>
      </c>
      <c r="X386" s="218" t="e">
        <f t="shared" si="70"/>
        <v>#REF!</v>
      </c>
      <c r="Y386" s="218" t="e">
        <f t="shared" si="71"/>
        <v>#REF!</v>
      </c>
      <c r="Z386" s="4">
        <v>381</v>
      </c>
      <c r="AB386">
        <f t="shared" si="65"/>
        <v>381</v>
      </c>
      <c r="AC386" s="218" t="e">
        <f t="shared" si="72"/>
        <v>#REF!</v>
      </c>
      <c r="AD386" s="218" t="e">
        <f t="shared" si="73"/>
        <v>#REF!</v>
      </c>
      <c r="AE386" s="4">
        <v>381</v>
      </c>
    </row>
    <row r="387" spans="13:31">
      <c r="M387">
        <f t="shared" si="62"/>
        <v>382</v>
      </c>
      <c r="N387" s="218">
        <f t="shared" si="66"/>
        <v>0</v>
      </c>
      <c r="O387" s="218">
        <f t="shared" si="67"/>
        <v>0</v>
      </c>
      <c r="P387" s="4">
        <v>382</v>
      </c>
      <c r="R387">
        <f t="shared" si="63"/>
        <v>382</v>
      </c>
      <c r="S387" s="218">
        <f t="shared" ca="1" si="68"/>
        <v>0</v>
      </c>
      <c r="T387" s="218">
        <f t="shared" ca="1" si="69"/>
        <v>0</v>
      </c>
      <c r="U387" s="4">
        <v>382</v>
      </c>
      <c r="W387">
        <f t="shared" si="64"/>
        <v>382</v>
      </c>
      <c r="X387" s="218" t="e">
        <f t="shared" si="70"/>
        <v>#REF!</v>
      </c>
      <c r="Y387" s="218" t="e">
        <f t="shared" si="71"/>
        <v>#REF!</v>
      </c>
      <c r="Z387" s="4">
        <v>382</v>
      </c>
      <c r="AB387">
        <f t="shared" si="65"/>
        <v>382</v>
      </c>
      <c r="AC387" s="218" t="e">
        <f t="shared" si="72"/>
        <v>#REF!</v>
      </c>
      <c r="AD387" s="218" t="e">
        <f t="shared" si="73"/>
        <v>#REF!</v>
      </c>
      <c r="AE387" s="4">
        <v>382</v>
      </c>
    </row>
    <row r="388" spans="13:31">
      <c r="M388">
        <f t="shared" si="62"/>
        <v>383</v>
      </c>
      <c r="N388" s="218">
        <f t="shared" si="66"/>
        <v>0</v>
      </c>
      <c r="O388" s="218">
        <f t="shared" si="67"/>
        <v>0</v>
      </c>
      <c r="P388" s="4">
        <v>383</v>
      </c>
      <c r="R388">
        <f t="shared" si="63"/>
        <v>383</v>
      </c>
      <c r="S388" s="218">
        <f t="shared" ca="1" si="68"/>
        <v>0</v>
      </c>
      <c r="T388" s="218">
        <f t="shared" ca="1" si="69"/>
        <v>0</v>
      </c>
      <c r="U388" s="4">
        <v>383</v>
      </c>
      <c r="W388">
        <f t="shared" si="64"/>
        <v>383</v>
      </c>
      <c r="X388" s="218" t="e">
        <f t="shared" si="70"/>
        <v>#REF!</v>
      </c>
      <c r="Y388" s="218" t="e">
        <f t="shared" si="71"/>
        <v>#REF!</v>
      </c>
      <c r="Z388" s="4">
        <v>383</v>
      </c>
      <c r="AB388">
        <f t="shared" si="65"/>
        <v>383</v>
      </c>
      <c r="AC388" s="218" t="e">
        <f t="shared" si="72"/>
        <v>#REF!</v>
      </c>
      <c r="AD388" s="218" t="e">
        <f t="shared" si="73"/>
        <v>#REF!</v>
      </c>
      <c r="AE388" s="4">
        <v>383</v>
      </c>
    </row>
    <row r="389" spans="13:31">
      <c r="M389">
        <f t="shared" si="62"/>
        <v>384</v>
      </c>
      <c r="N389" s="218">
        <f t="shared" si="66"/>
        <v>0</v>
      </c>
      <c r="O389" s="218">
        <f t="shared" si="67"/>
        <v>0</v>
      </c>
      <c r="P389" s="4">
        <v>384</v>
      </c>
      <c r="R389">
        <f t="shared" si="63"/>
        <v>384</v>
      </c>
      <c r="S389" s="218">
        <f t="shared" ca="1" si="68"/>
        <v>0</v>
      </c>
      <c r="T389" s="218">
        <f t="shared" ca="1" si="69"/>
        <v>0</v>
      </c>
      <c r="U389" s="4">
        <v>384</v>
      </c>
      <c r="W389">
        <f t="shared" si="64"/>
        <v>384</v>
      </c>
      <c r="X389" s="218" t="e">
        <f t="shared" si="70"/>
        <v>#REF!</v>
      </c>
      <c r="Y389" s="218" t="e">
        <f t="shared" si="71"/>
        <v>#REF!</v>
      </c>
      <c r="Z389" s="4">
        <v>384</v>
      </c>
      <c r="AB389">
        <f t="shared" si="65"/>
        <v>384</v>
      </c>
      <c r="AC389" s="218" t="e">
        <f t="shared" si="72"/>
        <v>#REF!</v>
      </c>
      <c r="AD389" s="218" t="e">
        <f t="shared" si="73"/>
        <v>#REF!</v>
      </c>
      <c r="AE389" s="4">
        <v>384</v>
      </c>
    </row>
    <row r="390" spans="13:31">
      <c r="M390">
        <f t="shared" si="62"/>
        <v>385</v>
      </c>
      <c r="N390" s="218">
        <f t="shared" si="66"/>
        <v>0</v>
      </c>
      <c r="O390" s="218">
        <f t="shared" si="67"/>
        <v>0</v>
      </c>
      <c r="P390" s="4">
        <v>385</v>
      </c>
      <c r="R390">
        <f t="shared" si="63"/>
        <v>385</v>
      </c>
      <c r="S390" s="218">
        <f t="shared" ca="1" si="68"/>
        <v>0</v>
      </c>
      <c r="T390" s="218">
        <f t="shared" ca="1" si="69"/>
        <v>0</v>
      </c>
      <c r="U390" s="4">
        <v>385</v>
      </c>
      <c r="W390">
        <f t="shared" si="64"/>
        <v>385</v>
      </c>
      <c r="X390" s="218" t="e">
        <f t="shared" si="70"/>
        <v>#REF!</v>
      </c>
      <c r="Y390" s="218" t="e">
        <f t="shared" si="71"/>
        <v>#REF!</v>
      </c>
      <c r="Z390" s="4">
        <v>385</v>
      </c>
      <c r="AB390">
        <f t="shared" si="65"/>
        <v>385</v>
      </c>
      <c r="AC390" s="218" t="e">
        <f t="shared" si="72"/>
        <v>#REF!</v>
      </c>
      <c r="AD390" s="218" t="e">
        <f t="shared" si="73"/>
        <v>#REF!</v>
      </c>
      <c r="AE390" s="4">
        <v>385</v>
      </c>
    </row>
    <row r="391" spans="13:31">
      <c r="M391">
        <f t="shared" ref="M391:M454" si="74">P391</f>
        <v>386</v>
      </c>
      <c r="N391" s="218">
        <f t="shared" si="66"/>
        <v>0</v>
      </c>
      <c r="O391" s="218">
        <f t="shared" si="67"/>
        <v>0</v>
      </c>
      <c r="P391" s="4">
        <v>386</v>
      </c>
      <c r="R391">
        <f t="shared" ref="R391:R454" si="75">U391</f>
        <v>386</v>
      </c>
      <c r="S391" s="218">
        <f t="shared" ca="1" si="68"/>
        <v>0</v>
      </c>
      <c r="T391" s="218">
        <f t="shared" ca="1" si="69"/>
        <v>0</v>
      </c>
      <c r="U391" s="4">
        <v>386</v>
      </c>
      <c r="W391">
        <f t="shared" ref="W391:W454" si="76">Z391</f>
        <v>386</v>
      </c>
      <c r="X391" s="218" t="e">
        <f t="shared" si="70"/>
        <v>#REF!</v>
      </c>
      <c r="Y391" s="218" t="e">
        <f t="shared" si="71"/>
        <v>#REF!</v>
      </c>
      <c r="Z391" s="4">
        <v>386</v>
      </c>
      <c r="AB391">
        <f t="shared" ref="AB391:AB454" si="77">AE391</f>
        <v>386</v>
      </c>
      <c r="AC391" s="218" t="e">
        <f t="shared" si="72"/>
        <v>#REF!</v>
      </c>
      <c r="AD391" s="218" t="e">
        <f t="shared" si="73"/>
        <v>#REF!</v>
      </c>
      <c r="AE391" s="4">
        <v>386</v>
      </c>
    </row>
    <row r="392" spans="13:31">
      <c r="M392">
        <f t="shared" si="74"/>
        <v>387</v>
      </c>
      <c r="N392" s="218">
        <f t="shared" ref="N392:N455" si="78">+IF(O392&lt;N391,O392,N391)</f>
        <v>0</v>
      </c>
      <c r="O392" s="218">
        <f t="shared" ref="O392:O455" si="79">+(O391-N391)*(1+$E$13)</f>
        <v>0</v>
      </c>
      <c r="P392" s="4">
        <v>387</v>
      </c>
      <c r="R392">
        <f t="shared" si="75"/>
        <v>387</v>
      </c>
      <c r="S392" s="218">
        <f t="shared" ref="S392:S455" ca="1" si="80">+IF(T392&lt;S391,T392,S391)</f>
        <v>0</v>
      </c>
      <c r="T392" s="218">
        <f t="shared" ref="T392:T455" ca="1" si="81">+(T391-S391)*(1+$E$14)</f>
        <v>0</v>
      </c>
      <c r="U392" s="4">
        <v>387</v>
      </c>
      <c r="W392">
        <f t="shared" si="76"/>
        <v>387</v>
      </c>
      <c r="X392" s="218" t="e">
        <f t="shared" ref="X392:X455" si="82">+IF(Y392&lt;X391,Y392,X391)</f>
        <v>#REF!</v>
      </c>
      <c r="Y392" s="218" t="e">
        <f t="shared" ref="Y392:Y455" si="83">+(Y391-X391)*(1+$E$15)</f>
        <v>#REF!</v>
      </c>
      <c r="Z392" s="4">
        <v>387</v>
      </c>
      <c r="AB392">
        <f t="shared" si="77"/>
        <v>387</v>
      </c>
      <c r="AC392" s="218" t="e">
        <f t="shared" ref="AC392:AC455" si="84">+IF(AD392&lt;AC391,AD392,AC391)</f>
        <v>#REF!</v>
      </c>
      <c r="AD392" s="218" t="e">
        <f t="shared" ref="AD392:AD455" si="85">+(AD391-AC391)*(1+$E$16)</f>
        <v>#REF!</v>
      </c>
      <c r="AE392" s="4">
        <v>387</v>
      </c>
    </row>
    <row r="393" spans="13:31">
      <c r="M393">
        <f t="shared" si="74"/>
        <v>388</v>
      </c>
      <c r="N393" s="218">
        <f t="shared" si="78"/>
        <v>0</v>
      </c>
      <c r="O393" s="218">
        <f t="shared" si="79"/>
        <v>0</v>
      </c>
      <c r="P393" s="4">
        <v>388</v>
      </c>
      <c r="R393">
        <f t="shared" si="75"/>
        <v>388</v>
      </c>
      <c r="S393" s="218">
        <f t="shared" ca="1" si="80"/>
        <v>0</v>
      </c>
      <c r="T393" s="218">
        <f t="shared" ca="1" si="81"/>
        <v>0</v>
      </c>
      <c r="U393" s="4">
        <v>388</v>
      </c>
      <c r="W393">
        <f t="shared" si="76"/>
        <v>388</v>
      </c>
      <c r="X393" s="218" t="e">
        <f t="shared" si="82"/>
        <v>#REF!</v>
      </c>
      <c r="Y393" s="218" t="e">
        <f t="shared" si="83"/>
        <v>#REF!</v>
      </c>
      <c r="Z393" s="4">
        <v>388</v>
      </c>
      <c r="AB393">
        <f t="shared" si="77"/>
        <v>388</v>
      </c>
      <c r="AC393" s="218" t="e">
        <f t="shared" si="84"/>
        <v>#REF!</v>
      </c>
      <c r="AD393" s="218" t="e">
        <f t="shared" si="85"/>
        <v>#REF!</v>
      </c>
      <c r="AE393" s="4">
        <v>388</v>
      </c>
    </row>
    <row r="394" spans="13:31">
      <c r="M394">
        <f t="shared" si="74"/>
        <v>389</v>
      </c>
      <c r="N394" s="218">
        <f t="shared" si="78"/>
        <v>0</v>
      </c>
      <c r="O394" s="218">
        <f t="shared" si="79"/>
        <v>0</v>
      </c>
      <c r="P394" s="4">
        <v>389</v>
      </c>
      <c r="R394">
        <f t="shared" si="75"/>
        <v>389</v>
      </c>
      <c r="S394" s="218">
        <f t="shared" ca="1" si="80"/>
        <v>0</v>
      </c>
      <c r="T394" s="218">
        <f t="shared" ca="1" si="81"/>
        <v>0</v>
      </c>
      <c r="U394" s="4">
        <v>389</v>
      </c>
      <c r="W394">
        <f t="shared" si="76"/>
        <v>389</v>
      </c>
      <c r="X394" s="218" t="e">
        <f t="shared" si="82"/>
        <v>#REF!</v>
      </c>
      <c r="Y394" s="218" t="e">
        <f t="shared" si="83"/>
        <v>#REF!</v>
      </c>
      <c r="Z394" s="4">
        <v>389</v>
      </c>
      <c r="AB394">
        <f t="shared" si="77"/>
        <v>389</v>
      </c>
      <c r="AC394" s="218" t="e">
        <f t="shared" si="84"/>
        <v>#REF!</v>
      </c>
      <c r="AD394" s="218" t="e">
        <f t="shared" si="85"/>
        <v>#REF!</v>
      </c>
      <c r="AE394" s="4">
        <v>389</v>
      </c>
    </row>
    <row r="395" spans="13:31">
      <c r="M395">
        <f t="shared" si="74"/>
        <v>390</v>
      </c>
      <c r="N395" s="218">
        <f t="shared" si="78"/>
        <v>0</v>
      </c>
      <c r="O395" s="218">
        <f t="shared" si="79"/>
        <v>0</v>
      </c>
      <c r="P395" s="4">
        <v>390</v>
      </c>
      <c r="R395">
        <f t="shared" si="75"/>
        <v>390</v>
      </c>
      <c r="S395" s="218">
        <f t="shared" ca="1" si="80"/>
        <v>0</v>
      </c>
      <c r="T395" s="218">
        <f t="shared" ca="1" si="81"/>
        <v>0</v>
      </c>
      <c r="U395" s="4">
        <v>390</v>
      </c>
      <c r="W395">
        <f t="shared" si="76"/>
        <v>390</v>
      </c>
      <c r="X395" s="218" t="e">
        <f t="shared" si="82"/>
        <v>#REF!</v>
      </c>
      <c r="Y395" s="218" t="e">
        <f t="shared" si="83"/>
        <v>#REF!</v>
      </c>
      <c r="Z395" s="4">
        <v>390</v>
      </c>
      <c r="AB395">
        <f t="shared" si="77"/>
        <v>390</v>
      </c>
      <c r="AC395" s="218" t="e">
        <f t="shared" si="84"/>
        <v>#REF!</v>
      </c>
      <c r="AD395" s="218" t="e">
        <f t="shared" si="85"/>
        <v>#REF!</v>
      </c>
      <c r="AE395" s="4">
        <v>390</v>
      </c>
    </row>
    <row r="396" spans="13:31">
      <c r="M396">
        <f t="shared" si="74"/>
        <v>391</v>
      </c>
      <c r="N396" s="218">
        <f t="shared" si="78"/>
        <v>0</v>
      </c>
      <c r="O396" s="218">
        <f t="shared" si="79"/>
        <v>0</v>
      </c>
      <c r="P396" s="4">
        <v>391</v>
      </c>
      <c r="R396">
        <f t="shared" si="75"/>
        <v>391</v>
      </c>
      <c r="S396" s="218">
        <f t="shared" ca="1" si="80"/>
        <v>0</v>
      </c>
      <c r="T396" s="218">
        <f t="shared" ca="1" si="81"/>
        <v>0</v>
      </c>
      <c r="U396" s="4">
        <v>391</v>
      </c>
      <c r="W396">
        <f t="shared" si="76"/>
        <v>391</v>
      </c>
      <c r="X396" s="218" t="e">
        <f t="shared" si="82"/>
        <v>#REF!</v>
      </c>
      <c r="Y396" s="218" t="e">
        <f t="shared" si="83"/>
        <v>#REF!</v>
      </c>
      <c r="Z396" s="4">
        <v>391</v>
      </c>
      <c r="AB396">
        <f t="shared" si="77"/>
        <v>391</v>
      </c>
      <c r="AC396" s="218" t="e">
        <f t="shared" si="84"/>
        <v>#REF!</v>
      </c>
      <c r="AD396" s="218" t="e">
        <f t="shared" si="85"/>
        <v>#REF!</v>
      </c>
      <c r="AE396" s="4">
        <v>391</v>
      </c>
    </row>
    <row r="397" spans="13:31">
      <c r="M397">
        <f t="shared" si="74"/>
        <v>392</v>
      </c>
      <c r="N397" s="218">
        <f t="shared" si="78"/>
        <v>0</v>
      </c>
      <c r="O397" s="218">
        <f t="shared" si="79"/>
        <v>0</v>
      </c>
      <c r="P397" s="4">
        <v>392</v>
      </c>
      <c r="R397">
        <f t="shared" si="75"/>
        <v>392</v>
      </c>
      <c r="S397" s="218">
        <f t="shared" ca="1" si="80"/>
        <v>0</v>
      </c>
      <c r="T397" s="218">
        <f t="shared" ca="1" si="81"/>
        <v>0</v>
      </c>
      <c r="U397" s="4">
        <v>392</v>
      </c>
      <c r="W397">
        <f t="shared" si="76"/>
        <v>392</v>
      </c>
      <c r="X397" s="218" t="e">
        <f t="shared" si="82"/>
        <v>#REF!</v>
      </c>
      <c r="Y397" s="218" t="e">
        <f t="shared" si="83"/>
        <v>#REF!</v>
      </c>
      <c r="Z397" s="4">
        <v>392</v>
      </c>
      <c r="AB397">
        <f t="shared" si="77"/>
        <v>392</v>
      </c>
      <c r="AC397" s="218" t="e">
        <f t="shared" si="84"/>
        <v>#REF!</v>
      </c>
      <c r="AD397" s="218" t="e">
        <f t="shared" si="85"/>
        <v>#REF!</v>
      </c>
      <c r="AE397" s="4">
        <v>392</v>
      </c>
    </row>
    <row r="398" spans="13:31">
      <c r="M398">
        <f t="shared" si="74"/>
        <v>393</v>
      </c>
      <c r="N398" s="218">
        <f t="shared" si="78"/>
        <v>0</v>
      </c>
      <c r="O398" s="218">
        <f t="shared" si="79"/>
        <v>0</v>
      </c>
      <c r="P398" s="4">
        <v>393</v>
      </c>
      <c r="R398">
        <f t="shared" si="75"/>
        <v>393</v>
      </c>
      <c r="S398" s="218">
        <f t="shared" ca="1" si="80"/>
        <v>0</v>
      </c>
      <c r="T398" s="218">
        <f t="shared" ca="1" si="81"/>
        <v>0</v>
      </c>
      <c r="U398" s="4">
        <v>393</v>
      </c>
      <c r="W398">
        <f t="shared" si="76"/>
        <v>393</v>
      </c>
      <c r="X398" s="218" t="e">
        <f t="shared" si="82"/>
        <v>#REF!</v>
      </c>
      <c r="Y398" s="218" t="e">
        <f t="shared" si="83"/>
        <v>#REF!</v>
      </c>
      <c r="Z398" s="4">
        <v>393</v>
      </c>
      <c r="AB398">
        <f t="shared" si="77"/>
        <v>393</v>
      </c>
      <c r="AC398" s="218" t="e">
        <f t="shared" si="84"/>
        <v>#REF!</v>
      </c>
      <c r="AD398" s="218" t="e">
        <f t="shared" si="85"/>
        <v>#REF!</v>
      </c>
      <c r="AE398" s="4">
        <v>393</v>
      </c>
    </row>
    <row r="399" spans="13:31">
      <c r="M399">
        <f t="shared" si="74"/>
        <v>394</v>
      </c>
      <c r="N399" s="218">
        <f t="shared" si="78"/>
        <v>0</v>
      </c>
      <c r="O399" s="218">
        <f t="shared" si="79"/>
        <v>0</v>
      </c>
      <c r="P399" s="4">
        <v>394</v>
      </c>
      <c r="R399">
        <f t="shared" si="75"/>
        <v>394</v>
      </c>
      <c r="S399" s="218">
        <f t="shared" ca="1" si="80"/>
        <v>0</v>
      </c>
      <c r="T399" s="218">
        <f t="shared" ca="1" si="81"/>
        <v>0</v>
      </c>
      <c r="U399" s="4">
        <v>394</v>
      </c>
      <c r="W399">
        <f t="shared" si="76"/>
        <v>394</v>
      </c>
      <c r="X399" s="218" t="e">
        <f t="shared" si="82"/>
        <v>#REF!</v>
      </c>
      <c r="Y399" s="218" t="e">
        <f t="shared" si="83"/>
        <v>#REF!</v>
      </c>
      <c r="Z399" s="4">
        <v>394</v>
      </c>
      <c r="AB399">
        <f t="shared" si="77"/>
        <v>394</v>
      </c>
      <c r="AC399" s="218" t="e">
        <f t="shared" si="84"/>
        <v>#REF!</v>
      </c>
      <c r="AD399" s="218" t="e">
        <f t="shared" si="85"/>
        <v>#REF!</v>
      </c>
      <c r="AE399" s="4">
        <v>394</v>
      </c>
    </row>
    <row r="400" spans="13:31">
      <c r="M400">
        <f t="shared" si="74"/>
        <v>395</v>
      </c>
      <c r="N400" s="218">
        <f t="shared" si="78"/>
        <v>0</v>
      </c>
      <c r="O400" s="218">
        <f t="shared" si="79"/>
        <v>0</v>
      </c>
      <c r="P400" s="4">
        <v>395</v>
      </c>
      <c r="R400">
        <f t="shared" si="75"/>
        <v>395</v>
      </c>
      <c r="S400" s="218">
        <f t="shared" ca="1" si="80"/>
        <v>0</v>
      </c>
      <c r="T400" s="218">
        <f t="shared" ca="1" si="81"/>
        <v>0</v>
      </c>
      <c r="U400" s="4">
        <v>395</v>
      </c>
      <c r="W400">
        <f t="shared" si="76"/>
        <v>395</v>
      </c>
      <c r="X400" s="218" t="e">
        <f t="shared" si="82"/>
        <v>#REF!</v>
      </c>
      <c r="Y400" s="218" t="e">
        <f t="shared" si="83"/>
        <v>#REF!</v>
      </c>
      <c r="Z400" s="4">
        <v>395</v>
      </c>
      <c r="AB400">
        <f t="shared" si="77"/>
        <v>395</v>
      </c>
      <c r="AC400" s="218" t="e">
        <f t="shared" si="84"/>
        <v>#REF!</v>
      </c>
      <c r="AD400" s="218" t="e">
        <f t="shared" si="85"/>
        <v>#REF!</v>
      </c>
      <c r="AE400" s="4">
        <v>395</v>
      </c>
    </row>
    <row r="401" spans="13:31">
      <c r="M401">
        <f t="shared" si="74"/>
        <v>396</v>
      </c>
      <c r="N401" s="218">
        <f t="shared" si="78"/>
        <v>0</v>
      </c>
      <c r="O401" s="218">
        <f t="shared" si="79"/>
        <v>0</v>
      </c>
      <c r="P401" s="4">
        <v>396</v>
      </c>
      <c r="R401">
        <f t="shared" si="75"/>
        <v>396</v>
      </c>
      <c r="S401" s="218">
        <f t="shared" ca="1" si="80"/>
        <v>0</v>
      </c>
      <c r="T401" s="218">
        <f t="shared" ca="1" si="81"/>
        <v>0</v>
      </c>
      <c r="U401" s="4">
        <v>396</v>
      </c>
      <c r="W401">
        <f t="shared" si="76"/>
        <v>396</v>
      </c>
      <c r="X401" s="218" t="e">
        <f t="shared" si="82"/>
        <v>#REF!</v>
      </c>
      <c r="Y401" s="218" t="e">
        <f t="shared" si="83"/>
        <v>#REF!</v>
      </c>
      <c r="Z401" s="4">
        <v>396</v>
      </c>
      <c r="AB401">
        <f t="shared" si="77"/>
        <v>396</v>
      </c>
      <c r="AC401" s="218" t="e">
        <f t="shared" si="84"/>
        <v>#REF!</v>
      </c>
      <c r="AD401" s="218" t="e">
        <f t="shared" si="85"/>
        <v>#REF!</v>
      </c>
      <c r="AE401" s="4">
        <v>396</v>
      </c>
    </row>
    <row r="402" spans="13:31">
      <c r="M402">
        <f t="shared" si="74"/>
        <v>397</v>
      </c>
      <c r="N402" s="218">
        <f t="shared" si="78"/>
        <v>0</v>
      </c>
      <c r="O402" s="218">
        <f t="shared" si="79"/>
        <v>0</v>
      </c>
      <c r="P402" s="4">
        <v>397</v>
      </c>
      <c r="R402">
        <f t="shared" si="75"/>
        <v>397</v>
      </c>
      <c r="S402" s="218">
        <f t="shared" ca="1" si="80"/>
        <v>0</v>
      </c>
      <c r="T402" s="218">
        <f t="shared" ca="1" si="81"/>
        <v>0</v>
      </c>
      <c r="U402" s="4">
        <v>397</v>
      </c>
      <c r="W402">
        <f t="shared" si="76"/>
        <v>397</v>
      </c>
      <c r="X402" s="218" t="e">
        <f t="shared" si="82"/>
        <v>#REF!</v>
      </c>
      <c r="Y402" s="218" t="e">
        <f t="shared" si="83"/>
        <v>#REF!</v>
      </c>
      <c r="Z402" s="4">
        <v>397</v>
      </c>
      <c r="AB402">
        <f t="shared" si="77"/>
        <v>397</v>
      </c>
      <c r="AC402" s="218" t="e">
        <f t="shared" si="84"/>
        <v>#REF!</v>
      </c>
      <c r="AD402" s="218" t="e">
        <f t="shared" si="85"/>
        <v>#REF!</v>
      </c>
      <c r="AE402" s="4">
        <v>397</v>
      </c>
    </row>
    <row r="403" spans="13:31">
      <c r="M403">
        <f t="shared" si="74"/>
        <v>398</v>
      </c>
      <c r="N403" s="218">
        <f t="shared" si="78"/>
        <v>0</v>
      </c>
      <c r="O403" s="218">
        <f t="shared" si="79"/>
        <v>0</v>
      </c>
      <c r="P403" s="4">
        <v>398</v>
      </c>
      <c r="R403">
        <f t="shared" si="75"/>
        <v>398</v>
      </c>
      <c r="S403" s="218">
        <f t="shared" ca="1" si="80"/>
        <v>0</v>
      </c>
      <c r="T403" s="218">
        <f t="shared" ca="1" si="81"/>
        <v>0</v>
      </c>
      <c r="U403" s="4">
        <v>398</v>
      </c>
      <c r="W403">
        <f t="shared" si="76"/>
        <v>398</v>
      </c>
      <c r="X403" s="218" t="e">
        <f t="shared" si="82"/>
        <v>#REF!</v>
      </c>
      <c r="Y403" s="218" t="e">
        <f t="shared" si="83"/>
        <v>#REF!</v>
      </c>
      <c r="Z403" s="4">
        <v>398</v>
      </c>
      <c r="AB403">
        <f t="shared" si="77"/>
        <v>398</v>
      </c>
      <c r="AC403" s="218" t="e">
        <f t="shared" si="84"/>
        <v>#REF!</v>
      </c>
      <c r="AD403" s="218" t="e">
        <f t="shared" si="85"/>
        <v>#REF!</v>
      </c>
      <c r="AE403" s="4">
        <v>398</v>
      </c>
    </row>
    <row r="404" spans="13:31">
      <c r="M404">
        <f t="shared" si="74"/>
        <v>399</v>
      </c>
      <c r="N404" s="218">
        <f t="shared" si="78"/>
        <v>0</v>
      </c>
      <c r="O404" s="218">
        <f t="shared" si="79"/>
        <v>0</v>
      </c>
      <c r="P404" s="4">
        <v>399</v>
      </c>
      <c r="R404">
        <f t="shared" si="75"/>
        <v>399</v>
      </c>
      <c r="S404" s="218">
        <f t="shared" ca="1" si="80"/>
        <v>0</v>
      </c>
      <c r="T404" s="218">
        <f t="shared" ca="1" si="81"/>
        <v>0</v>
      </c>
      <c r="U404" s="4">
        <v>399</v>
      </c>
      <c r="W404">
        <f t="shared" si="76"/>
        <v>399</v>
      </c>
      <c r="X404" s="218" t="e">
        <f t="shared" si="82"/>
        <v>#REF!</v>
      </c>
      <c r="Y404" s="218" t="e">
        <f t="shared" si="83"/>
        <v>#REF!</v>
      </c>
      <c r="Z404" s="4">
        <v>399</v>
      </c>
      <c r="AB404">
        <f t="shared" si="77"/>
        <v>399</v>
      </c>
      <c r="AC404" s="218" t="e">
        <f t="shared" si="84"/>
        <v>#REF!</v>
      </c>
      <c r="AD404" s="218" t="e">
        <f t="shared" si="85"/>
        <v>#REF!</v>
      </c>
      <c r="AE404" s="4">
        <v>399</v>
      </c>
    </row>
    <row r="405" spans="13:31">
      <c r="M405">
        <f t="shared" si="74"/>
        <v>400</v>
      </c>
      <c r="N405" s="218">
        <f t="shared" si="78"/>
        <v>0</v>
      </c>
      <c r="O405" s="218">
        <f t="shared" si="79"/>
        <v>0</v>
      </c>
      <c r="P405" s="4">
        <v>400</v>
      </c>
      <c r="R405">
        <f t="shared" si="75"/>
        <v>400</v>
      </c>
      <c r="S405" s="218">
        <f t="shared" ca="1" si="80"/>
        <v>0</v>
      </c>
      <c r="T405" s="218">
        <f t="shared" ca="1" si="81"/>
        <v>0</v>
      </c>
      <c r="U405" s="4">
        <v>400</v>
      </c>
      <c r="W405">
        <f t="shared" si="76"/>
        <v>400</v>
      </c>
      <c r="X405" s="218" t="e">
        <f t="shared" si="82"/>
        <v>#REF!</v>
      </c>
      <c r="Y405" s="218" t="e">
        <f t="shared" si="83"/>
        <v>#REF!</v>
      </c>
      <c r="Z405" s="4">
        <v>400</v>
      </c>
      <c r="AB405">
        <f t="shared" si="77"/>
        <v>400</v>
      </c>
      <c r="AC405" s="218" t="e">
        <f t="shared" si="84"/>
        <v>#REF!</v>
      </c>
      <c r="AD405" s="218" t="e">
        <f t="shared" si="85"/>
        <v>#REF!</v>
      </c>
      <c r="AE405" s="4">
        <v>400</v>
      </c>
    </row>
    <row r="406" spans="13:31">
      <c r="M406">
        <f t="shared" si="74"/>
        <v>401</v>
      </c>
      <c r="N406" s="218">
        <f t="shared" si="78"/>
        <v>0</v>
      </c>
      <c r="O406" s="218">
        <f t="shared" si="79"/>
        <v>0</v>
      </c>
      <c r="P406" s="4">
        <v>401</v>
      </c>
      <c r="R406">
        <f t="shared" si="75"/>
        <v>401</v>
      </c>
      <c r="S406" s="218">
        <f t="shared" ca="1" si="80"/>
        <v>0</v>
      </c>
      <c r="T406" s="218">
        <f t="shared" ca="1" si="81"/>
        <v>0</v>
      </c>
      <c r="U406" s="4">
        <v>401</v>
      </c>
      <c r="W406">
        <f t="shared" si="76"/>
        <v>401</v>
      </c>
      <c r="X406" s="218" t="e">
        <f t="shared" si="82"/>
        <v>#REF!</v>
      </c>
      <c r="Y406" s="218" t="e">
        <f t="shared" si="83"/>
        <v>#REF!</v>
      </c>
      <c r="Z406" s="4">
        <v>401</v>
      </c>
      <c r="AB406">
        <f t="shared" si="77"/>
        <v>401</v>
      </c>
      <c r="AC406" s="218" t="e">
        <f t="shared" si="84"/>
        <v>#REF!</v>
      </c>
      <c r="AD406" s="218" t="e">
        <f t="shared" si="85"/>
        <v>#REF!</v>
      </c>
      <c r="AE406" s="4">
        <v>401</v>
      </c>
    </row>
    <row r="407" spans="13:31">
      <c r="M407">
        <f t="shared" si="74"/>
        <v>402</v>
      </c>
      <c r="N407" s="218">
        <f t="shared" si="78"/>
        <v>0</v>
      </c>
      <c r="O407" s="218">
        <f t="shared" si="79"/>
        <v>0</v>
      </c>
      <c r="P407" s="4">
        <v>402</v>
      </c>
      <c r="R407">
        <f t="shared" si="75"/>
        <v>402</v>
      </c>
      <c r="S407" s="218">
        <f t="shared" ca="1" si="80"/>
        <v>0</v>
      </c>
      <c r="T407" s="218">
        <f t="shared" ca="1" si="81"/>
        <v>0</v>
      </c>
      <c r="U407" s="4">
        <v>402</v>
      </c>
      <c r="W407">
        <f t="shared" si="76"/>
        <v>402</v>
      </c>
      <c r="X407" s="218" t="e">
        <f t="shared" si="82"/>
        <v>#REF!</v>
      </c>
      <c r="Y407" s="218" t="e">
        <f t="shared" si="83"/>
        <v>#REF!</v>
      </c>
      <c r="Z407" s="4">
        <v>402</v>
      </c>
      <c r="AB407">
        <f t="shared" si="77"/>
        <v>402</v>
      </c>
      <c r="AC407" s="218" t="e">
        <f t="shared" si="84"/>
        <v>#REF!</v>
      </c>
      <c r="AD407" s="218" t="e">
        <f t="shared" si="85"/>
        <v>#REF!</v>
      </c>
      <c r="AE407" s="4">
        <v>402</v>
      </c>
    </row>
    <row r="408" spans="13:31">
      <c r="M408">
        <f t="shared" si="74"/>
        <v>403</v>
      </c>
      <c r="N408" s="218">
        <f t="shared" si="78"/>
        <v>0</v>
      </c>
      <c r="O408" s="218">
        <f t="shared" si="79"/>
        <v>0</v>
      </c>
      <c r="P408" s="4">
        <v>403</v>
      </c>
      <c r="R408">
        <f t="shared" si="75"/>
        <v>403</v>
      </c>
      <c r="S408" s="218">
        <f t="shared" ca="1" si="80"/>
        <v>0</v>
      </c>
      <c r="T408" s="218">
        <f t="shared" ca="1" si="81"/>
        <v>0</v>
      </c>
      <c r="U408" s="4">
        <v>403</v>
      </c>
      <c r="W408">
        <f t="shared" si="76"/>
        <v>403</v>
      </c>
      <c r="X408" s="218" t="e">
        <f t="shared" si="82"/>
        <v>#REF!</v>
      </c>
      <c r="Y408" s="218" t="e">
        <f t="shared" si="83"/>
        <v>#REF!</v>
      </c>
      <c r="Z408" s="4">
        <v>403</v>
      </c>
      <c r="AB408">
        <f t="shared" si="77"/>
        <v>403</v>
      </c>
      <c r="AC408" s="218" t="e">
        <f t="shared" si="84"/>
        <v>#REF!</v>
      </c>
      <c r="AD408" s="218" t="e">
        <f t="shared" si="85"/>
        <v>#REF!</v>
      </c>
      <c r="AE408" s="4">
        <v>403</v>
      </c>
    </row>
    <row r="409" spans="13:31">
      <c r="M409">
        <f t="shared" si="74"/>
        <v>404</v>
      </c>
      <c r="N409" s="218">
        <f t="shared" si="78"/>
        <v>0</v>
      </c>
      <c r="O409" s="218">
        <f t="shared" si="79"/>
        <v>0</v>
      </c>
      <c r="P409" s="4">
        <v>404</v>
      </c>
      <c r="R409">
        <f t="shared" si="75"/>
        <v>404</v>
      </c>
      <c r="S409" s="218">
        <f t="shared" ca="1" si="80"/>
        <v>0</v>
      </c>
      <c r="T409" s="218">
        <f t="shared" ca="1" si="81"/>
        <v>0</v>
      </c>
      <c r="U409" s="4">
        <v>404</v>
      </c>
      <c r="W409">
        <f t="shared" si="76"/>
        <v>404</v>
      </c>
      <c r="X409" s="218" t="e">
        <f t="shared" si="82"/>
        <v>#REF!</v>
      </c>
      <c r="Y409" s="218" t="e">
        <f t="shared" si="83"/>
        <v>#REF!</v>
      </c>
      <c r="Z409" s="4">
        <v>404</v>
      </c>
      <c r="AB409">
        <f t="shared" si="77"/>
        <v>404</v>
      </c>
      <c r="AC409" s="218" t="e">
        <f t="shared" si="84"/>
        <v>#REF!</v>
      </c>
      <c r="AD409" s="218" t="e">
        <f t="shared" si="85"/>
        <v>#REF!</v>
      </c>
      <c r="AE409" s="4">
        <v>404</v>
      </c>
    </row>
    <row r="410" spans="13:31">
      <c r="M410">
        <f t="shared" si="74"/>
        <v>405</v>
      </c>
      <c r="N410" s="218">
        <f t="shared" si="78"/>
        <v>0</v>
      </c>
      <c r="O410" s="218">
        <f t="shared" si="79"/>
        <v>0</v>
      </c>
      <c r="P410" s="4">
        <v>405</v>
      </c>
      <c r="R410">
        <f t="shared" si="75"/>
        <v>405</v>
      </c>
      <c r="S410" s="218">
        <f t="shared" ca="1" si="80"/>
        <v>0</v>
      </c>
      <c r="T410" s="218">
        <f t="shared" ca="1" si="81"/>
        <v>0</v>
      </c>
      <c r="U410" s="4">
        <v>405</v>
      </c>
      <c r="W410">
        <f t="shared" si="76"/>
        <v>405</v>
      </c>
      <c r="X410" s="218" t="e">
        <f t="shared" si="82"/>
        <v>#REF!</v>
      </c>
      <c r="Y410" s="218" t="e">
        <f t="shared" si="83"/>
        <v>#REF!</v>
      </c>
      <c r="Z410" s="4">
        <v>405</v>
      </c>
      <c r="AB410">
        <f t="shared" si="77"/>
        <v>405</v>
      </c>
      <c r="AC410" s="218" t="e">
        <f t="shared" si="84"/>
        <v>#REF!</v>
      </c>
      <c r="AD410" s="218" t="e">
        <f t="shared" si="85"/>
        <v>#REF!</v>
      </c>
      <c r="AE410" s="4">
        <v>405</v>
      </c>
    </row>
    <row r="411" spans="13:31">
      <c r="M411">
        <f t="shared" si="74"/>
        <v>406</v>
      </c>
      <c r="N411" s="218">
        <f t="shared" si="78"/>
        <v>0</v>
      </c>
      <c r="O411" s="218">
        <f t="shared" si="79"/>
        <v>0</v>
      </c>
      <c r="P411" s="4">
        <v>406</v>
      </c>
      <c r="R411">
        <f t="shared" si="75"/>
        <v>406</v>
      </c>
      <c r="S411" s="218">
        <f t="shared" ca="1" si="80"/>
        <v>0</v>
      </c>
      <c r="T411" s="218">
        <f t="shared" ca="1" si="81"/>
        <v>0</v>
      </c>
      <c r="U411" s="4">
        <v>406</v>
      </c>
      <c r="W411">
        <f t="shared" si="76"/>
        <v>406</v>
      </c>
      <c r="X411" s="218" t="e">
        <f t="shared" si="82"/>
        <v>#REF!</v>
      </c>
      <c r="Y411" s="218" t="e">
        <f t="shared" si="83"/>
        <v>#REF!</v>
      </c>
      <c r="Z411" s="4">
        <v>406</v>
      </c>
      <c r="AB411">
        <f t="shared" si="77"/>
        <v>406</v>
      </c>
      <c r="AC411" s="218" t="e">
        <f t="shared" si="84"/>
        <v>#REF!</v>
      </c>
      <c r="AD411" s="218" t="e">
        <f t="shared" si="85"/>
        <v>#REF!</v>
      </c>
      <c r="AE411" s="4">
        <v>406</v>
      </c>
    </row>
    <row r="412" spans="13:31">
      <c r="M412">
        <f t="shared" si="74"/>
        <v>407</v>
      </c>
      <c r="N412" s="218">
        <f t="shared" si="78"/>
        <v>0</v>
      </c>
      <c r="O412" s="218">
        <f t="shared" si="79"/>
        <v>0</v>
      </c>
      <c r="P412" s="4">
        <v>407</v>
      </c>
      <c r="R412">
        <f t="shared" si="75"/>
        <v>407</v>
      </c>
      <c r="S412" s="218">
        <f t="shared" ca="1" si="80"/>
        <v>0</v>
      </c>
      <c r="T412" s="218">
        <f t="shared" ca="1" si="81"/>
        <v>0</v>
      </c>
      <c r="U412" s="4">
        <v>407</v>
      </c>
      <c r="W412">
        <f t="shared" si="76"/>
        <v>407</v>
      </c>
      <c r="X412" s="218" t="e">
        <f t="shared" si="82"/>
        <v>#REF!</v>
      </c>
      <c r="Y412" s="218" t="e">
        <f t="shared" si="83"/>
        <v>#REF!</v>
      </c>
      <c r="Z412" s="4">
        <v>407</v>
      </c>
      <c r="AB412">
        <f t="shared" si="77"/>
        <v>407</v>
      </c>
      <c r="AC412" s="218" t="e">
        <f t="shared" si="84"/>
        <v>#REF!</v>
      </c>
      <c r="AD412" s="218" t="e">
        <f t="shared" si="85"/>
        <v>#REF!</v>
      </c>
      <c r="AE412" s="4">
        <v>407</v>
      </c>
    </row>
    <row r="413" spans="13:31">
      <c r="M413">
        <f t="shared" si="74"/>
        <v>408</v>
      </c>
      <c r="N413" s="218">
        <f t="shared" si="78"/>
        <v>0</v>
      </c>
      <c r="O413" s="218">
        <f t="shared" si="79"/>
        <v>0</v>
      </c>
      <c r="P413" s="4">
        <v>408</v>
      </c>
      <c r="R413">
        <f t="shared" si="75"/>
        <v>408</v>
      </c>
      <c r="S413" s="218">
        <f t="shared" ca="1" si="80"/>
        <v>0</v>
      </c>
      <c r="T413" s="218">
        <f t="shared" ca="1" si="81"/>
        <v>0</v>
      </c>
      <c r="U413" s="4">
        <v>408</v>
      </c>
      <c r="W413">
        <f t="shared" si="76"/>
        <v>408</v>
      </c>
      <c r="X413" s="218" t="e">
        <f t="shared" si="82"/>
        <v>#REF!</v>
      </c>
      <c r="Y413" s="218" t="e">
        <f t="shared" si="83"/>
        <v>#REF!</v>
      </c>
      <c r="Z413" s="4">
        <v>408</v>
      </c>
      <c r="AB413">
        <f t="shared" si="77"/>
        <v>408</v>
      </c>
      <c r="AC413" s="218" t="e">
        <f t="shared" si="84"/>
        <v>#REF!</v>
      </c>
      <c r="AD413" s="218" t="e">
        <f t="shared" si="85"/>
        <v>#REF!</v>
      </c>
      <c r="AE413" s="4">
        <v>408</v>
      </c>
    </row>
    <row r="414" spans="13:31">
      <c r="M414">
        <f t="shared" si="74"/>
        <v>409</v>
      </c>
      <c r="N414" s="218">
        <f t="shared" si="78"/>
        <v>0</v>
      </c>
      <c r="O414" s="218">
        <f t="shared" si="79"/>
        <v>0</v>
      </c>
      <c r="P414" s="4">
        <v>409</v>
      </c>
      <c r="R414">
        <f t="shared" si="75"/>
        <v>409</v>
      </c>
      <c r="S414" s="218">
        <f t="shared" ca="1" si="80"/>
        <v>0</v>
      </c>
      <c r="T414" s="218">
        <f t="shared" ca="1" si="81"/>
        <v>0</v>
      </c>
      <c r="U414" s="4">
        <v>409</v>
      </c>
      <c r="W414">
        <f t="shared" si="76"/>
        <v>409</v>
      </c>
      <c r="X414" s="218" t="e">
        <f t="shared" si="82"/>
        <v>#REF!</v>
      </c>
      <c r="Y414" s="218" t="e">
        <f t="shared" si="83"/>
        <v>#REF!</v>
      </c>
      <c r="Z414" s="4">
        <v>409</v>
      </c>
      <c r="AB414">
        <f t="shared" si="77"/>
        <v>409</v>
      </c>
      <c r="AC414" s="218" t="e">
        <f t="shared" si="84"/>
        <v>#REF!</v>
      </c>
      <c r="AD414" s="218" t="e">
        <f t="shared" si="85"/>
        <v>#REF!</v>
      </c>
      <c r="AE414" s="4">
        <v>409</v>
      </c>
    </row>
    <row r="415" spans="13:31">
      <c r="M415">
        <f t="shared" si="74"/>
        <v>410</v>
      </c>
      <c r="N415" s="218">
        <f t="shared" si="78"/>
        <v>0</v>
      </c>
      <c r="O415" s="218">
        <f t="shared" si="79"/>
        <v>0</v>
      </c>
      <c r="P415" s="4">
        <v>410</v>
      </c>
      <c r="R415">
        <f t="shared" si="75"/>
        <v>410</v>
      </c>
      <c r="S415" s="218">
        <f t="shared" ca="1" si="80"/>
        <v>0</v>
      </c>
      <c r="T415" s="218">
        <f t="shared" ca="1" si="81"/>
        <v>0</v>
      </c>
      <c r="U415" s="4">
        <v>410</v>
      </c>
      <c r="W415">
        <f t="shared" si="76"/>
        <v>410</v>
      </c>
      <c r="X415" s="218" t="e">
        <f t="shared" si="82"/>
        <v>#REF!</v>
      </c>
      <c r="Y415" s="218" t="e">
        <f t="shared" si="83"/>
        <v>#REF!</v>
      </c>
      <c r="Z415" s="4">
        <v>410</v>
      </c>
      <c r="AB415">
        <f t="shared" si="77"/>
        <v>410</v>
      </c>
      <c r="AC415" s="218" t="e">
        <f t="shared" si="84"/>
        <v>#REF!</v>
      </c>
      <c r="AD415" s="218" t="e">
        <f t="shared" si="85"/>
        <v>#REF!</v>
      </c>
      <c r="AE415" s="4">
        <v>410</v>
      </c>
    </row>
    <row r="416" spans="13:31">
      <c r="M416">
        <f t="shared" si="74"/>
        <v>411</v>
      </c>
      <c r="N416" s="218">
        <f t="shared" si="78"/>
        <v>0</v>
      </c>
      <c r="O416" s="218">
        <f t="shared" si="79"/>
        <v>0</v>
      </c>
      <c r="P416" s="4">
        <v>411</v>
      </c>
      <c r="R416">
        <f t="shared" si="75"/>
        <v>411</v>
      </c>
      <c r="S416" s="218">
        <f t="shared" ca="1" si="80"/>
        <v>0</v>
      </c>
      <c r="T416" s="218">
        <f t="shared" ca="1" si="81"/>
        <v>0</v>
      </c>
      <c r="U416" s="4">
        <v>411</v>
      </c>
      <c r="W416">
        <f t="shared" si="76"/>
        <v>411</v>
      </c>
      <c r="X416" s="218" t="e">
        <f t="shared" si="82"/>
        <v>#REF!</v>
      </c>
      <c r="Y416" s="218" t="e">
        <f t="shared" si="83"/>
        <v>#REF!</v>
      </c>
      <c r="Z416" s="4">
        <v>411</v>
      </c>
      <c r="AB416">
        <f t="shared" si="77"/>
        <v>411</v>
      </c>
      <c r="AC416" s="218" t="e">
        <f t="shared" si="84"/>
        <v>#REF!</v>
      </c>
      <c r="AD416" s="218" t="e">
        <f t="shared" si="85"/>
        <v>#REF!</v>
      </c>
      <c r="AE416" s="4">
        <v>411</v>
      </c>
    </row>
    <row r="417" spans="13:31">
      <c r="M417">
        <f t="shared" si="74"/>
        <v>412</v>
      </c>
      <c r="N417" s="218">
        <f t="shared" si="78"/>
        <v>0</v>
      </c>
      <c r="O417" s="218">
        <f t="shared" si="79"/>
        <v>0</v>
      </c>
      <c r="P417" s="4">
        <v>412</v>
      </c>
      <c r="R417">
        <f t="shared" si="75"/>
        <v>412</v>
      </c>
      <c r="S417" s="218">
        <f t="shared" ca="1" si="80"/>
        <v>0</v>
      </c>
      <c r="T417" s="218">
        <f t="shared" ca="1" si="81"/>
        <v>0</v>
      </c>
      <c r="U417" s="4">
        <v>412</v>
      </c>
      <c r="W417">
        <f t="shared" si="76"/>
        <v>412</v>
      </c>
      <c r="X417" s="218" t="e">
        <f t="shared" si="82"/>
        <v>#REF!</v>
      </c>
      <c r="Y417" s="218" t="e">
        <f t="shared" si="83"/>
        <v>#REF!</v>
      </c>
      <c r="Z417" s="4">
        <v>412</v>
      </c>
      <c r="AB417">
        <f t="shared" si="77"/>
        <v>412</v>
      </c>
      <c r="AC417" s="218" t="e">
        <f t="shared" si="84"/>
        <v>#REF!</v>
      </c>
      <c r="AD417" s="218" t="e">
        <f t="shared" si="85"/>
        <v>#REF!</v>
      </c>
      <c r="AE417" s="4">
        <v>412</v>
      </c>
    </row>
    <row r="418" spans="13:31">
      <c r="M418">
        <f t="shared" si="74"/>
        <v>413</v>
      </c>
      <c r="N418" s="218">
        <f t="shared" si="78"/>
        <v>0</v>
      </c>
      <c r="O418" s="218">
        <f t="shared" si="79"/>
        <v>0</v>
      </c>
      <c r="P418" s="4">
        <v>413</v>
      </c>
      <c r="R418">
        <f t="shared" si="75"/>
        <v>413</v>
      </c>
      <c r="S418" s="218">
        <f t="shared" ca="1" si="80"/>
        <v>0</v>
      </c>
      <c r="T418" s="218">
        <f t="shared" ca="1" si="81"/>
        <v>0</v>
      </c>
      <c r="U418" s="4">
        <v>413</v>
      </c>
      <c r="W418">
        <f t="shared" si="76"/>
        <v>413</v>
      </c>
      <c r="X418" s="218" t="e">
        <f t="shared" si="82"/>
        <v>#REF!</v>
      </c>
      <c r="Y418" s="218" t="e">
        <f t="shared" si="83"/>
        <v>#REF!</v>
      </c>
      <c r="Z418" s="4">
        <v>413</v>
      </c>
      <c r="AB418">
        <f t="shared" si="77"/>
        <v>413</v>
      </c>
      <c r="AC418" s="218" t="e">
        <f t="shared" si="84"/>
        <v>#REF!</v>
      </c>
      <c r="AD418" s="218" t="e">
        <f t="shared" si="85"/>
        <v>#REF!</v>
      </c>
      <c r="AE418" s="4">
        <v>413</v>
      </c>
    </row>
    <row r="419" spans="13:31">
      <c r="M419">
        <f t="shared" si="74"/>
        <v>414</v>
      </c>
      <c r="N419" s="218">
        <f t="shared" si="78"/>
        <v>0</v>
      </c>
      <c r="O419" s="218">
        <f t="shared" si="79"/>
        <v>0</v>
      </c>
      <c r="P419" s="4">
        <v>414</v>
      </c>
      <c r="R419">
        <f t="shared" si="75"/>
        <v>414</v>
      </c>
      <c r="S419" s="218">
        <f t="shared" ca="1" si="80"/>
        <v>0</v>
      </c>
      <c r="T419" s="218">
        <f t="shared" ca="1" si="81"/>
        <v>0</v>
      </c>
      <c r="U419" s="4">
        <v>414</v>
      </c>
      <c r="W419">
        <f t="shared" si="76"/>
        <v>414</v>
      </c>
      <c r="X419" s="218" t="e">
        <f t="shared" si="82"/>
        <v>#REF!</v>
      </c>
      <c r="Y419" s="218" t="e">
        <f t="shared" si="83"/>
        <v>#REF!</v>
      </c>
      <c r="Z419" s="4">
        <v>414</v>
      </c>
      <c r="AB419">
        <f t="shared" si="77"/>
        <v>414</v>
      </c>
      <c r="AC419" s="218" t="e">
        <f t="shared" si="84"/>
        <v>#REF!</v>
      </c>
      <c r="AD419" s="218" t="e">
        <f t="shared" si="85"/>
        <v>#REF!</v>
      </c>
      <c r="AE419" s="4">
        <v>414</v>
      </c>
    </row>
    <row r="420" spans="13:31">
      <c r="M420">
        <f t="shared" si="74"/>
        <v>415</v>
      </c>
      <c r="N420" s="218">
        <f t="shared" si="78"/>
        <v>0</v>
      </c>
      <c r="O420" s="218">
        <f t="shared" si="79"/>
        <v>0</v>
      </c>
      <c r="P420" s="4">
        <v>415</v>
      </c>
      <c r="R420">
        <f t="shared" si="75"/>
        <v>415</v>
      </c>
      <c r="S420" s="218">
        <f t="shared" ca="1" si="80"/>
        <v>0</v>
      </c>
      <c r="T420" s="218">
        <f t="shared" ca="1" si="81"/>
        <v>0</v>
      </c>
      <c r="U420" s="4">
        <v>415</v>
      </c>
      <c r="W420">
        <f t="shared" si="76"/>
        <v>415</v>
      </c>
      <c r="X420" s="218" t="e">
        <f t="shared" si="82"/>
        <v>#REF!</v>
      </c>
      <c r="Y420" s="218" t="e">
        <f t="shared" si="83"/>
        <v>#REF!</v>
      </c>
      <c r="Z420" s="4">
        <v>415</v>
      </c>
      <c r="AB420">
        <f t="shared" si="77"/>
        <v>415</v>
      </c>
      <c r="AC420" s="218" t="e">
        <f t="shared" si="84"/>
        <v>#REF!</v>
      </c>
      <c r="AD420" s="218" t="e">
        <f t="shared" si="85"/>
        <v>#REF!</v>
      </c>
      <c r="AE420" s="4">
        <v>415</v>
      </c>
    </row>
    <row r="421" spans="13:31">
      <c r="M421">
        <f t="shared" si="74"/>
        <v>416</v>
      </c>
      <c r="N421" s="218">
        <f t="shared" si="78"/>
        <v>0</v>
      </c>
      <c r="O421" s="218">
        <f t="shared" si="79"/>
        <v>0</v>
      </c>
      <c r="P421" s="4">
        <v>416</v>
      </c>
      <c r="R421">
        <f t="shared" si="75"/>
        <v>416</v>
      </c>
      <c r="S421" s="218">
        <f t="shared" ca="1" si="80"/>
        <v>0</v>
      </c>
      <c r="T421" s="218">
        <f t="shared" ca="1" si="81"/>
        <v>0</v>
      </c>
      <c r="U421" s="4">
        <v>416</v>
      </c>
      <c r="W421">
        <f t="shared" si="76"/>
        <v>416</v>
      </c>
      <c r="X421" s="218" t="e">
        <f t="shared" si="82"/>
        <v>#REF!</v>
      </c>
      <c r="Y421" s="218" t="e">
        <f t="shared" si="83"/>
        <v>#REF!</v>
      </c>
      <c r="Z421" s="4">
        <v>416</v>
      </c>
      <c r="AB421">
        <f t="shared" si="77"/>
        <v>416</v>
      </c>
      <c r="AC421" s="218" t="e">
        <f t="shared" si="84"/>
        <v>#REF!</v>
      </c>
      <c r="AD421" s="218" t="e">
        <f t="shared" si="85"/>
        <v>#REF!</v>
      </c>
      <c r="AE421" s="4">
        <v>416</v>
      </c>
    </row>
    <row r="422" spans="13:31">
      <c r="M422">
        <f t="shared" si="74"/>
        <v>417</v>
      </c>
      <c r="N422" s="218">
        <f t="shared" si="78"/>
        <v>0</v>
      </c>
      <c r="O422" s="218">
        <f t="shared" si="79"/>
        <v>0</v>
      </c>
      <c r="P422" s="4">
        <v>417</v>
      </c>
      <c r="R422">
        <f t="shared" si="75"/>
        <v>417</v>
      </c>
      <c r="S422" s="218">
        <f t="shared" ca="1" si="80"/>
        <v>0</v>
      </c>
      <c r="T422" s="218">
        <f t="shared" ca="1" si="81"/>
        <v>0</v>
      </c>
      <c r="U422" s="4">
        <v>417</v>
      </c>
      <c r="W422">
        <f t="shared" si="76"/>
        <v>417</v>
      </c>
      <c r="X422" s="218" t="e">
        <f t="shared" si="82"/>
        <v>#REF!</v>
      </c>
      <c r="Y422" s="218" t="e">
        <f t="shared" si="83"/>
        <v>#REF!</v>
      </c>
      <c r="Z422" s="4">
        <v>417</v>
      </c>
      <c r="AB422">
        <f t="shared" si="77"/>
        <v>417</v>
      </c>
      <c r="AC422" s="218" t="e">
        <f t="shared" si="84"/>
        <v>#REF!</v>
      </c>
      <c r="AD422" s="218" t="e">
        <f t="shared" si="85"/>
        <v>#REF!</v>
      </c>
      <c r="AE422" s="4">
        <v>417</v>
      </c>
    </row>
    <row r="423" spans="13:31">
      <c r="M423">
        <f t="shared" si="74"/>
        <v>418</v>
      </c>
      <c r="N423" s="218">
        <f t="shared" si="78"/>
        <v>0</v>
      </c>
      <c r="O423" s="218">
        <f t="shared" si="79"/>
        <v>0</v>
      </c>
      <c r="P423" s="4">
        <v>418</v>
      </c>
      <c r="R423">
        <f t="shared" si="75"/>
        <v>418</v>
      </c>
      <c r="S423" s="218">
        <f t="shared" ca="1" si="80"/>
        <v>0</v>
      </c>
      <c r="T423" s="218">
        <f t="shared" ca="1" si="81"/>
        <v>0</v>
      </c>
      <c r="U423" s="4">
        <v>418</v>
      </c>
      <c r="W423">
        <f t="shared" si="76"/>
        <v>418</v>
      </c>
      <c r="X423" s="218" t="e">
        <f t="shared" si="82"/>
        <v>#REF!</v>
      </c>
      <c r="Y423" s="218" t="e">
        <f t="shared" si="83"/>
        <v>#REF!</v>
      </c>
      <c r="Z423" s="4">
        <v>418</v>
      </c>
      <c r="AB423">
        <f t="shared" si="77"/>
        <v>418</v>
      </c>
      <c r="AC423" s="218" t="e">
        <f t="shared" si="84"/>
        <v>#REF!</v>
      </c>
      <c r="AD423" s="218" t="e">
        <f t="shared" si="85"/>
        <v>#REF!</v>
      </c>
      <c r="AE423" s="4">
        <v>418</v>
      </c>
    </row>
    <row r="424" spans="13:31">
      <c r="M424">
        <f t="shared" si="74"/>
        <v>419</v>
      </c>
      <c r="N424" s="218">
        <f t="shared" si="78"/>
        <v>0</v>
      </c>
      <c r="O424" s="218">
        <f t="shared" si="79"/>
        <v>0</v>
      </c>
      <c r="P424" s="4">
        <v>419</v>
      </c>
      <c r="R424">
        <f t="shared" si="75"/>
        <v>419</v>
      </c>
      <c r="S424" s="218">
        <f t="shared" ca="1" si="80"/>
        <v>0</v>
      </c>
      <c r="T424" s="218">
        <f t="shared" ca="1" si="81"/>
        <v>0</v>
      </c>
      <c r="U424" s="4">
        <v>419</v>
      </c>
      <c r="W424">
        <f t="shared" si="76"/>
        <v>419</v>
      </c>
      <c r="X424" s="218" t="e">
        <f t="shared" si="82"/>
        <v>#REF!</v>
      </c>
      <c r="Y424" s="218" t="e">
        <f t="shared" si="83"/>
        <v>#REF!</v>
      </c>
      <c r="Z424" s="4">
        <v>419</v>
      </c>
      <c r="AB424">
        <f t="shared" si="77"/>
        <v>419</v>
      </c>
      <c r="AC424" s="218" t="e">
        <f t="shared" si="84"/>
        <v>#REF!</v>
      </c>
      <c r="AD424" s="218" t="e">
        <f t="shared" si="85"/>
        <v>#REF!</v>
      </c>
      <c r="AE424" s="4">
        <v>419</v>
      </c>
    </row>
    <row r="425" spans="13:31">
      <c r="M425">
        <f t="shared" si="74"/>
        <v>420</v>
      </c>
      <c r="N425" s="218">
        <f t="shared" si="78"/>
        <v>0</v>
      </c>
      <c r="O425" s="218">
        <f t="shared" si="79"/>
        <v>0</v>
      </c>
      <c r="P425" s="4">
        <v>420</v>
      </c>
      <c r="R425">
        <f t="shared" si="75"/>
        <v>420</v>
      </c>
      <c r="S425" s="218">
        <f t="shared" ca="1" si="80"/>
        <v>0</v>
      </c>
      <c r="T425" s="218">
        <f t="shared" ca="1" si="81"/>
        <v>0</v>
      </c>
      <c r="U425" s="4">
        <v>420</v>
      </c>
      <c r="W425">
        <f t="shared" si="76"/>
        <v>420</v>
      </c>
      <c r="X425" s="218" t="e">
        <f t="shared" si="82"/>
        <v>#REF!</v>
      </c>
      <c r="Y425" s="218" t="e">
        <f t="shared" si="83"/>
        <v>#REF!</v>
      </c>
      <c r="Z425" s="4">
        <v>420</v>
      </c>
      <c r="AB425">
        <f t="shared" si="77"/>
        <v>420</v>
      </c>
      <c r="AC425" s="218" t="e">
        <f t="shared" si="84"/>
        <v>#REF!</v>
      </c>
      <c r="AD425" s="218" t="e">
        <f t="shared" si="85"/>
        <v>#REF!</v>
      </c>
      <c r="AE425" s="4">
        <v>420</v>
      </c>
    </row>
    <row r="426" spans="13:31">
      <c r="M426">
        <f t="shared" si="74"/>
        <v>421</v>
      </c>
      <c r="N426" s="218">
        <f t="shared" si="78"/>
        <v>0</v>
      </c>
      <c r="O426" s="218">
        <f t="shared" si="79"/>
        <v>0</v>
      </c>
      <c r="P426" s="4">
        <v>421</v>
      </c>
      <c r="R426">
        <f t="shared" si="75"/>
        <v>421</v>
      </c>
      <c r="S426" s="218">
        <f t="shared" ca="1" si="80"/>
        <v>0</v>
      </c>
      <c r="T426" s="218">
        <f t="shared" ca="1" si="81"/>
        <v>0</v>
      </c>
      <c r="U426" s="4">
        <v>421</v>
      </c>
      <c r="W426">
        <f t="shared" si="76"/>
        <v>421</v>
      </c>
      <c r="X426" s="218" t="e">
        <f t="shared" si="82"/>
        <v>#REF!</v>
      </c>
      <c r="Y426" s="218" t="e">
        <f t="shared" si="83"/>
        <v>#REF!</v>
      </c>
      <c r="Z426" s="4">
        <v>421</v>
      </c>
      <c r="AB426">
        <f t="shared" si="77"/>
        <v>421</v>
      </c>
      <c r="AC426" s="218" t="e">
        <f t="shared" si="84"/>
        <v>#REF!</v>
      </c>
      <c r="AD426" s="218" t="e">
        <f t="shared" si="85"/>
        <v>#REF!</v>
      </c>
      <c r="AE426" s="4">
        <v>421</v>
      </c>
    </row>
    <row r="427" spans="13:31">
      <c r="M427">
        <f t="shared" si="74"/>
        <v>422</v>
      </c>
      <c r="N427" s="218">
        <f t="shared" si="78"/>
        <v>0</v>
      </c>
      <c r="O427" s="218">
        <f t="shared" si="79"/>
        <v>0</v>
      </c>
      <c r="P427" s="4">
        <v>422</v>
      </c>
      <c r="R427">
        <f t="shared" si="75"/>
        <v>422</v>
      </c>
      <c r="S427" s="218">
        <f t="shared" ca="1" si="80"/>
        <v>0</v>
      </c>
      <c r="T427" s="218">
        <f t="shared" ca="1" si="81"/>
        <v>0</v>
      </c>
      <c r="U427" s="4">
        <v>422</v>
      </c>
      <c r="W427">
        <f t="shared" si="76"/>
        <v>422</v>
      </c>
      <c r="X427" s="218" t="e">
        <f t="shared" si="82"/>
        <v>#REF!</v>
      </c>
      <c r="Y427" s="218" t="e">
        <f t="shared" si="83"/>
        <v>#REF!</v>
      </c>
      <c r="Z427" s="4">
        <v>422</v>
      </c>
      <c r="AB427">
        <f t="shared" si="77"/>
        <v>422</v>
      </c>
      <c r="AC427" s="218" t="e">
        <f t="shared" si="84"/>
        <v>#REF!</v>
      </c>
      <c r="AD427" s="218" t="e">
        <f t="shared" si="85"/>
        <v>#REF!</v>
      </c>
      <c r="AE427" s="4">
        <v>422</v>
      </c>
    </row>
    <row r="428" spans="13:31">
      <c r="M428">
        <f t="shared" si="74"/>
        <v>423</v>
      </c>
      <c r="N428" s="218">
        <f t="shared" si="78"/>
        <v>0</v>
      </c>
      <c r="O428" s="218">
        <f t="shared" si="79"/>
        <v>0</v>
      </c>
      <c r="P428" s="4">
        <v>423</v>
      </c>
      <c r="R428">
        <f t="shared" si="75"/>
        <v>423</v>
      </c>
      <c r="S428" s="218">
        <f t="shared" ca="1" si="80"/>
        <v>0</v>
      </c>
      <c r="T428" s="218">
        <f t="shared" ca="1" si="81"/>
        <v>0</v>
      </c>
      <c r="U428" s="4">
        <v>423</v>
      </c>
      <c r="W428">
        <f t="shared" si="76"/>
        <v>423</v>
      </c>
      <c r="X428" s="218" t="e">
        <f t="shared" si="82"/>
        <v>#REF!</v>
      </c>
      <c r="Y428" s="218" t="e">
        <f t="shared" si="83"/>
        <v>#REF!</v>
      </c>
      <c r="Z428" s="4">
        <v>423</v>
      </c>
      <c r="AB428">
        <f t="shared" si="77"/>
        <v>423</v>
      </c>
      <c r="AC428" s="218" t="e">
        <f t="shared" si="84"/>
        <v>#REF!</v>
      </c>
      <c r="AD428" s="218" t="e">
        <f t="shared" si="85"/>
        <v>#REF!</v>
      </c>
      <c r="AE428" s="4">
        <v>423</v>
      </c>
    </row>
    <row r="429" spans="13:31">
      <c r="M429">
        <f t="shared" si="74"/>
        <v>424</v>
      </c>
      <c r="N429" s="218">
        <f t="shared" si="78"/>
        <v>0</v>
      </c>
      <c r="O429" s="218">
        <f t="shared" si="79"/>
        <v>0</v>
      </c>
      <c r="P429" s="4">
        <v>424</v>
      </c>
      <c r="R429">
        <f t="shared" si="75"/>
        <v>424</v>
      </c>
      <c r="S429" s="218">
        <f t="shared" ca="1" si="80"/>
        <v>0</v>
      </c>
      <c r="T429" s="218">
        <f t="shared" ca="1" si="81"/>
        <v>0</v>
      </c>
      <c r="U429" s="4">
        <v>424</v>
      </c>
      <c r="W429">
        <f t="shared" si="76"/>
        <v>424</v>
      </c>
      <c r="X429" s="218" t="e">
        <f t="shared" si="82"/>
        <v>#REF!</v>
      </c>
      <c r="Y429" s="218" t="e">
        <f t="shared" si="83"/>
        <v>#REF!</v>
      </c>
      <c r="Z429" s="4">
        <v>424</v>
      </c>
      <c r="AB429">
        <f t="shared" si="77"/>
        <v>424</v>
      </c>
      <c r="AC429" s="218" t="e">
        <f t="shared" si="84"/>
        <v>#REF!</v>
      </c>
      <c r="AD429" s="218" t="e">
        <f t="shared" si="85"/>
        <v>#REF!</v>
      </c>
      <c r="AE429" s="4">
        <v>424</v>
      </c>
    </row>
    <row r="430" spans="13:31">
      <c r="M430">
        <f t="shared" si="74"/>
        <v>425</v>
      </c>
      <c r="N430" s="218">
        <f t="shared" si="78"/>
        <v>0</v>
      </c>
      <c r="O430" s="218">
        <f t="shared" si="79"/>
        <v>0</v>
      </c>
      <c r="P430" s="4">
        <v>425</v>
      </c>
      <c r="R430">
        <f t="shared" si="75"/>
        <v>425</v>
      </c>
      <c r="S430" s="218">
        <f t="shared" ca="1" si="80"/>
        <v>0</v>
      </c>
      <c r="T430" s="218">
        <f t="shared" ca="1" si="81"/>
        <v>0</v>
      </c>
      <c r="U430" s="4">
        <v>425</v>
      </c>
      <c r="W430">
        <f t="shared" si="76"/>
        <v>425</v>
      </c>
      <c r="X430" s="218" t="e">
        <f t="shared" si="82"/>
        <v>#REF!</v>
      </c>
      <c r="Y430" s="218" t="e">
        <f t="shared" si="83"/>
        <v>#REF!</v>
      </c>
      <c r="Z430" s="4">
        <v>425</v>
      </c>
      <c r="AB430">
        <f t="shared" si="77"/>
        <v>425</v>
      </c>
      <c r="AC430" s="218" t="e">
        <f t="shared" si="84"/>
        <v>#REF!</v>
      </c>
      <c r="AD430" s="218" t="e">
        <f t="shared" si="85"/>
        <v>#REF!</v>
      </c>
      <c r="AE430" s="4">
        <v>425</v>
      </c>
    </row>
    <row r="431" spans="13:31">
      <c r="M431">
        <f t="shared" si="74"/>
        <v>426</v>
      </c>
      <c r="N431" s="218">
        <f t="shared" si="78"/>
        <v>0</v>
      </c>
      <c r="O431" s="218">
        <f t="shared" si="79"/>
        <v>0</v>
      </c>
      <c r="P431" s="4">
        <v>426</v>
      </c>
      <c r="R431">
        <f t="shared" si="75"/>
        <v>426</v>
      </c>
      <c r="S431" s="218">
        <f t="shared" ca="1" si="80"/>
        <v>0</v>
      </c>
      <c r="T431" s="218">
        <f t="shared" ca="1" si="81"/>
        <v>0</v>
      </c>
      <c r="U431" s="4">
        <v>426</v>
      </c>
      <c r="W431">
        <f t="shared" si="76"/>
        <v>426</v>
      </c>
      <c r="X431" s="218" t="e">
        <f t="shared" si="82"/>
        <v>#REF!</v>
      </c>
      <c r="Y431" s="218" t="e">
        <f t="shared" si="83"/>
        <v>#REF!</v>
      </c>
      <c r="Z431" s="4">
        <v>426</v>
      </c>
      <c r="AB431">
        <f t="shared" si="77"/>
        <v>426</v>
      </c>
      <c r="AC431" s="218" t="e">
        <f t="shared" si="84"/>
        <v>#REF!</v>
      </c>
      <c r="AD431" s="218" t="e">
        <f t="shared" si="85"/>
        <v>#REF!</v>
      </c>
      <c r="AE431" s="4">
        <v>426</v>
      </c>
    </row>
    <row r="432" spans="13:31">
      <c r="M432">
        <f t="shared" si="74"/>
        <v>427</v>
      </c>
      <c r="N432" s="218">
        <f t="shared" si="78"/>
        <v>0</v>
      </c>
      <c r="O432" s="218">
        <f t="shared" si="79"/>
        <v>0</v>
      </c>
      <c r="P432" s="4">
        <v>427</v>
      </c>
      <c r="R432">
        <f t="shared" si="75"/>
        <v>427</v>
      </c>
      <c r="S432" s="218">
        <f t="shared" ca="1" si="80"/>
        <v>0</v>
      </c>
      <c r="T432" s="218">
        <f t="shared" ca="1" si="81"/>
        <v>0</v>
      </c>
      <c r="U432" s="4">
        <v>427</v>
      </c>
      <c r="W432">
        <f t="shared" si="76"/>
        <v>427</v>
      </c>
      <c r="X432" s="218" t="e">
        <f t="shared" si="82"/>
        <v>#REF!</v>
      </c>
      <c r="Y432" s="218" t="e">
        <f t="shared" si="83"/>
        <v>#REF!</v>
      </c>
      <c r="Z432" s="4">
        <v>427</v>
      </c>
      <c r="AB432">
        <f t="shared" si="77"/>
        <v>427</v>
      </c>
      <c r="AC432" s="218" t="e">
        <f t="shared" si="84"/>
        <v>#REF!</v>
      </c>
      <c r="AD432" s="218" t="e">
        <f t="shared" si="85"/>
        <v>#REF!</v>
      </c>
      <c r="AE432" s="4">
        <v>427</v>
      </c>
    </row>
    <row r="433" spans="13:31">
      <c r="M433">
        <f t="shared" si="74"/>
        <v>428</v>
      </c>
      <c r="N433" s="218">
        <f t="shared" si="78"/>
        <v>0</v>
      </c>
      <c r="O433" s="218">
        <f t="shared" si="79"/>
        <v>0</v>
      </c>
      <c r="P433" s="4">
        <v>428</v>
      </c>
      <c r="R433">
        <f t="shared" si="75"/>
        <v>428</v>
      </c>
      <c r="S433" s="218">
        <f t="shared" ca="1" si="80"/>
        <v>0</v>
      </c>
      <c r="T433" s="218">
        <f t="shared" ca="1" si="81"/>
        <v>0</v>
      </c>
      <c r="U433" s="4">
        <v>428</v>
      </c>
      <c r="W433">
        <f t="shared" si="76"/>
        <v>428</v>
      </c>
      <c r="X433" s="218" t="e">
        <f t="shared" si="82"/>
        <v>#REF!</v>
      </c>
      <c r="Y433" s="218" t="e">
        <f t="shared" si="83"/>
        <v>#REF!</v>
      </c>
      <c r="Z433" s="4">
        <v>428</v>
      </c>
      <c r="AB433">
        <f t="shared" si="77"/>
        <v>428</v>
      </c>
      <c r="AC433" s="218" t="e">
        <f t="shared" si="84"/>
        <v>#REF!</v>
      </c>
      <c r="AD433" s="218" t="e">
        <f t="shared" si="85"/>
        <v>#REF!</v>
      </c>
      <c r="AE433" s="4">
        <v>428</v>
      </c>
    </row>
    <row r="434" spans="13:31">
      <c r="M434">
        <f t="shared" si="74"/>
        <v>429</v>
      </c>
      <c r="N434" s="218">
        <f t="shared" si="78"/>
        <v>0</v>
      </c>
      <c r="O434" s="218">
        <f t="shared" si="79"/>
        <v>0</v>
      </c>
      <c r="P434" s="4">
        <v>429</v>
      </c>
      <c r="R434">
        <f t="shared" si="75"/>
        <v>429</v>
      </c>
      <c r="S434" s="218">
        <f t="shared" ca="1" si="80"/>
        <v>0</v>
      </c>
      <c r="T434" s="218">
        <f t="shared" ca="1" si="81"/>
        <v>0</v>
      </c>
      <c r="U434" s="4">
        <v>429</v>
      </c>
      <c r="W434">
        <f t="shared" si="76"/>
        <v>429</v>
      </c>
      <c r="X434" s="218" t="e">
        <f t="shared" si="82"/>
        <v>#REF!</v>
      </c>
      <c r="Y434" s="218" t="e">
        <f t="shared" si="83"/>
        <v>#REF!</v>
      </c>
      <c r="Z434" s="4">
        <v>429</v>
      </c>
      <c r="AB434">
        <f t="shared" si="77"/>
        <v>429</v>
      </c>
      <c r="AC434" s="218" t="e">
        <f t="shared" si="84"/>
        <v>#REF!</v>
      </c>
      <c r="AD434" s="218" t="e">
        <f t="shared" si="85"/>
        <v>#REF!</v>
      </c>
      <c r="AE434" s="4">
        <v>429</v>
      </c>
    </row>
    <row r="435" spans="13:31">
      <c r="M435">
        <f t="shared" si="74"/>
        <v>430</v>
      </c>
      <c r="N435" s="218">
        <f t="shared" si="78"/>
        <v>0</v>
      </c>
      <c r="O435" s="218">
        <f t="shared" si="79"/>
        <v>0</v>
      </c>
      <c r="P435" s="4">
        <v>430</v>
      </c>
      <c r="R435">
        <f t="shared" si="75"/>
        <v>430</v>
      </c>
      <c r="S435" s="218">
        <f t="shared" ca="1" si="80"/>
        <v>0</v>
      </c>
      <c r="T435" s="218">
        <f t="shared" ca="1" si="81"/>
        <v>0</v>
      </c>
      <c r="U435" s="4">
        <v>430</v>
      </c>
      <c r="W435">
        <f t="shared" si="76"/>
        <v>430</v>
      </c>
      <c r="X435" s="218" t="e">
        <f t="shared" si="82"/>
        <v>#REF!</v>
      </c>
      <c r="Y435" s="218" t="e">
        <f t="shared" si="83"/>
        <v>#REF!</v>
      </c>
      <c r="Z435" s="4">
        <v>430</v>
      </c>
      <c r="AB435">
        <f t="shared" si="77"/>
        <v>430</v>
      </c>
      <c r="AC435" s="218" t="e">
        <f t="shared" si="84"/>
        <v>#REF!</v>
      </c>
      <c r="AD435" s="218" t="e">
        <f t="shared" si="85"/>
        <v>#REF!</v>
      </c>
      <c r="AE435" s="4">
        <v>430</v>
      </c>
    </row>
    <row r="436" spans="13:31">
      <c r="M436">
        <f t="shared" si="74"/>
        <v>431</v>
      </c>
      <c r="N436" s="218">
        <f t="shared" si="78"/>
        <v>0</v>
      </c>
      <c r="O436" s="218">
        <f t="shared" si="79"/>
        <v>0</v>
      </c>
      <c r="P436" s="4">
        <v>431</v>
      </c>
      <c r="R436">
        <f t="shared" si="75"/>
        <v>431</v>
      </c>
      <c r="S436" s="218">
        <f t="shared" ca="1" si="80"/>
        <v>0</v>
      </c>
      <c r="T436" s="218">
        <f t="shared" ca="1" si="81"/>
        <v>0</v>
      </c>
      <c r="U436" s="4">
        <v>431</v>
      </c>
      <c r="W436">
        <f t="shared" si="76"/>
        <v>431</v>
      </c>
      <c r="X436" s="218" t="e">
        <f t="shared" si="82"/>
        <v>#REF!</v>
      </c>
      <c r="Y436" s="218" t="e">
        <f t="shared" si="83"/>
        <v>#REF!</v>
      </c>
      <c r="Z436" s="4">
        <v>431</v>
      </c>
      <c r="AB436">
        <f t="shared" si="77"/>
        <v>431</v>
      </c>
      <c r="AC436" s="218" t="e">
        <f t="shared" si="84"/>
        <v>#REF!</v>
      </c>
      <c r="AD436" s="218" t="e">
        <f t="shared" si="85"/>
        <v>#REF!</v>
      </c>
      <c r="AE436" s="4">
        <v>431</v>
      </c>
    </row>
    <row r="437" spans="13:31">
      <c r="M437">
        <f t="shared" si="74"/>
        <v>432</v>
      </c>
      <c r="N437" s="218">
        <f t="shared" si="78"/>
        <v>0</v>
      </c>
      <c r="O437" s="218">
        <f t="shared" si="79"/>
        <v>0</v>
      </c>
      <c r="P437" s="4">
        <v>432</v>
      </c>
      <c r="R437">
        <f t="shared" si="75"/>
        <v>432</v>
      </c>
      <c r="S437" s="218">
        <f t="shared" ca="1" si="80"/>
        <v>0</v>
      </c>
      <c r="T437" s="218">
        <f t="shared" ca="1" si="81"/>
        <v>0</v>
      </c>
      <c r="U437" s="4">
        <v>432</v>
      </c>
      <c r="W437">
        <f t="shared" si="76"/>
        <v>432</v>
      </c>
      <c r="X437" s="218" t="e">
        <f t="shared" si="82"/>
        <v>#REF!</v>
      </c>
      <c r="Y437" s="218" t="e">
        <f t="shared" si="83"/>
        <v>#REF!</v>
      </c>
      <c r="Z437" s="4">
        <v>432</v>
      </c>
      <c r="AB437">
        <f t="shared" si="77"/>
        <v>432</v>
      </c>
      <c r="AC437" s="218" t="e">
        <f t="shared" si="84"/>
        <v>#REF!</v>
      </c>
      <c r="AD437" s="218" t="e">
        <f t="shared" si="85"/>
        <v>#REF!</v>
      </c>
      <c r="AE437" s="4">
        <v>432</v>
      </c>
    </row>
    <row r="438" spans="13:31">
      <c r="M438">
        <f t="shared" si="74"/>
        <v>433</v>
      </c>
      <c r="N438" s="218">
        <f t="shared" si="78"/>
        <v>0</v>
      </c>
      <c r="O438" s="218">
        <f t="shared" si="79"/>
        <v>0</v>
      </c>
      <c r="P438" s="4">
        <v>433</v>
      </c>
      <c r="R438">
        <f t="shared" si="75"/>
        <v>433</v>
      </c>
      <c r="S438" s="218">
        <f t="shared" ca="1" si="80"/>
        <v>0</v>
      </c>
      <c r="T438" s="218">
        <f t="shared" ca="1" si="81"/>
        <v>0</v>
      </c>
      <c r="U438" s="4">
        <v>433</v>
      </c>
      <c r="W438">
        <f t="shared" si="76"/>
        <v>433</v>
      </c>
      <c r="X438" s="218" t="e">
        <f t="shared" si="82"/>
        <v>#REF!</v>
      </c>
      <c r="Y438" s="218" t="e">
        <f t="shared" si="83"/>
        <v>#REF!</v>
      </c>
      <c r="Z438" s="4">
        <v>433</v>
      </c>
      <c r="AB438">
        <f t="shared" si="77"/>
        <v>433</v>
      </c>
      <c r="AC438" s="218" t="e">
        <f t="shared" si="84"/>
        <v>#REF!</v>
      </c>
      <c r="AD438" s="218" t="e">
        <f t="shared" si="85"/>
        <v>#REF!</v>
      </c>
      <c r="AE438" s="4">
        <v>433</v>
      </c>
    </row>
    <row r="439" spans="13:31">
      <c r="M439">
        <f t="shared" si="74"/>
        <v>434</v>
      </c>
      <c r="N439" s="218">
        <f t="shared" si="78"/>
        <v>0</v>
      </c>
      <c r="O439" s="218">
        <f t="shared" si="79"/>
        <v>0</v>
      </c>
      <c r="P439" s="4">
        <v>434</v>
      </c>
      <c r="R439">
        <f t="shared" si="75"/>
        <v>434</v>
      </c>
      <c r="S439" s="218">
        <f t="shared" ca="1" si="80"/>
        <v>0</v>
      </c>
      <c r="T439" s="218">
        <f t="shared" ca="1" si="81"/>
        <v>0</v>
      </c>
      <c r="U439" s="4">
        <v>434</v>
      </c>
      <c r="W439">
        <f t="shared" si="76"/>
        <v>434</v>
      </c>
      <c r="X439" s="218" t="e">
        <f t="shared" si="82"/>
        <v>#REF!</v>
      </c>
      <c r="Y439" s="218" t="e">
        <f t="shared" si="83"/>
        <v>#REF!</v>
      </c>
      <c r="Z439" s="4">
        <v>434</v>
      </c>
      <c r="AB439">
        <f t="shared" si="77"/>
        <v>434</v>
      </c>
      <c r="AC439" s="218" t="e">
        <f t="shared" si="84"/>
        <v>#REF!</v>
      </c>
      <c r="AD439" s="218" t="e">
        <f t="shared" si="85"/>
        <v>#REF!</v>
      </c>
      <c r="AE439" s="4">
        <v>434</v>
      </c>
    </row>
    <row r="440" spans="13:31">
      <c r="M440">
        <f t="shared" si="74"/>
        <v>435</v>
      </c>
      <c r="N440" s="218">
        <f t="shared" si="78"/>
        <v>0</v>
      </c>
      <c r="O440" s="218">
        <f t="shared" si="79"/>
        <v>0</v>
      </c>
      <c r="P440" s="4">
        <v>435</v>
      </c>
      <c r="R440">
        <f t="shared" si="75"/>
        <v>435</v>
      </c>
      <c r="S440" s="218">
        <f t="shared" ca="1" si="80"/>
        <v>0</v>
      </c>
      <c r="T440" s="218">
        <f t="shared" ca="1" si="81"/>
        <v>0</v>
      </c>
      <c r="U440" s="4">
        <v>435</v>
      </c>
      <c r="W440">
        <f t="shared" si="76"/>
        <v>435</v>
      </c>
      <c r="X440" s="218" t="e">
        <f t="shared" si="82"/>
        <v>#REF!</v>
      </c>
      <c r="Y440" s="218" t="e">
        <f t="shared" si="83"/>
        <v>#REF!</v>
      </c>
      <c r="Z440" s="4">
        <v>435</v>
      </c>
      <c r="AB440">
        <f t="shared" si="77"/>
        <v>435</v>
      </c>
      <c r="AC440" s="218" t="e">
        <f t="shared" si="84"/>
        <v>#REF!</v>
      </c>
      <c r="AD440" s="218" t="e">
        <f t="shared" si="85"/>
        <v>#REF!</v>
      </c>
      <c r="AE440" s="4">
        <v>435</v>
      </c>
    </row>
    <row r="441" spans="13:31">
      <c r="M441">
        <f t="shared" si="74"/>
        <v>436</v>
      </c>
      <c r="N441" s="218">
        <f t="shared" si="78"/>
        <v>0</v>
      </c>
      <c r="O441" s="218">
        <f t="shared" si="79"/>
        <v>0</v>
      </c>
      <c r="P441" s="4">
        <v>436</v>
      </c>
      <c r="R441">
        <f t="shared" si="75"/>
        <v>436</v>
      </c>
      <c r="S441" s="218">
        <f t="shared" ca="1" si="80"/>
        <v>0</v>
      </c>
      <c r="T441" s="218">
        <f t="shared" ca="1" si="81"/>
        <v>0</v>
      </c>
      <c r="U441" s="4">
        <v>436</v>
      </c>
      <c r="W441">
        <f t="shared" si="76"/>
        <v>436</v>
      </c>
      <c r="X441" s="218" t="e">
        <f t="shared" si="82"/>
        <v>#REF!</v>
      </c>
      <c r="Y441" s="218" t="e">
        <f t="shared" si="83"/>
        <v>#REF!</v>
      </c>
      <c r="Z441" s="4">
        <v>436</v>
      </c>
      <c r="AB441">
        <f t="shared" si="77"/>
        <v>436</v>
      </c>
      <c r="AC441" s="218" t="e">
        <f t="shared" si="84"/>
        <v>#REF!</v>
      </c>
      <c r="AD441" s="218" t="e">
        <f t="shared" si="85"/>
        <v>#REF!</v>
      </c>
      <c r="AE441" s="4">
        <v>436</v>
      </c>
    </row>
    <row r="442" spans="13:31">
      <c r="M442">
        <f t="shared" si="74"/>
        <v>437</v>
      </c>
      <c r="N442" s="218">
        <f t="shared" si="78"/>
        <v>0</v>
      </c>
      <c r="O442" s="218">
        <f t="shared" si="79"/>
        <v>0</v>
      </c>
      <c r="P442" s="4">
        <v>437</v>
      </c>
      <c r="R442">
        <f t="shared" si="75"/>
        <v>437</v>
      </c>
      <c r="S442" s="218">
        <f t="shared" ca="1" si="80"/>
        <v>0</v>
      </c>
      <c r="T442" s="218">
        <f t="shared" ca="1" si="81"/>
        <v>0</v>
      </c>
      <c r="U442" s="4">
        <v>437</v>
      </c>
      <c r="W442">
        <f t="shared" si="76"/>
        <v>437</v>
      </c>
      <c r="X442" s="218" t="e">
        <f t="shared" si="82"/>
        <v>#REF!</v>
      </c>
      <c r="Y442" s="218" t="e">
        <f t="shared" si="83"/>
        <v>#REF!</v>
      </c>
      <c r="Z442" s="4">
        <v>437</v>
      </c>
      <c r="AB442">
        <f t="shared" si="77"/>
        <v>437</v>
      </c>
      <c r="AC442" s="218" t="e">
        <f t="shared" si="84"/>
        <v>#REF!</v>
      </c>
      <c r="AD442" s="218" t="e">
        <f t="shared" si="85"/>
        <v>#REF!</v>
      </c>
      <c r="AE442" s="4">
        <v>437</v>
      </c>
    </row>
    <row r="443" spans="13:31">
      <c r="M443">
        <f t="shared" si="74"/>
        <v>438</v>
      </c>
      <c r="N443" s="218">
        <f t="shared" si="78"/>
        <v>0</v>
      </c>
      <c r="O443" s="218">
        <f t="shared" si="79"/>
        <v>0</v>
      </c>
      <c r="P443" s="4">
        <v>438</v>
      </c>
      <c r="R443">
        <f t="shared" si="75"/>
        <v>438</v>
      </c>
      <c r="S443" s="218">
        <f t="shared" ca="1" si="80"/>
        <v>0</v>
      </c>
      <c r="T443" s="218">
        <f t="shared" ca="1" si="81"/>
        <v>0</v>
      </c>
      <c r="U443" s="4">
        <v>438</v>
      </c>
      <c r="W443">
        <f t="shared" si="76"/>
        <v>438</v>
      </c>
      <c r="X443" s="218" t="e">
        <f t="shared" si="82"/>
        <v>#REF!</v>
      </c>
      <c r="Y443" s="218" t="e">
        <f t="shared" si="83"/>
        <v>#REF!</v>
      </c>
      <c r="Z443" s="4">
        <v>438</v>
      </c>
      <c r="AB443">
        <f t="shared" si="77"/>
        <v>438</v>
      </c>
      <c r="AC443" s="218" t="e">
        <f t="shared" si="84"/>
        <v>#REF!</v>
      </c>
      <c r="AD443" s="218" t="e">
        <f t="shared" si="85"/>
        <v>#REF!</v>
      </c>
      <c r="AE443" s="4">
        <v>438</v>
      </c>
    </row>
    <row r="444" spans="13:31">
      <c r="M444">
        <f t="shared" si="74"/>
        <v>439</v>
      </c>
      <c r="N444" s="218">
        <f t="shared" si="78"/>
        <v>0</v>
      </c>
      <c r="O444" s="218">
        <f t="shared" si="79"/>
        <v>0</v>
      </c>
      <c r="P444" s="4">
        <v>439</v>
      </c>
      <c r="R444">
        <f t="shared" si="75"/>
        <v>439</v>
      </c>
      <c r="S444" s="218">
        <f t="shared" ca="1" si="80"/>
        <v>0</v>
      </c>
      <c r="T444" s="218">
        <f t="shared" ca="1" si="81"/>
        <v>0</v>
      </c>
      <c r="U444" s="4">
        <v>439</v>
      </c>
      <c r="W444">
        <f t="shared" si="76"/>
        <v>439</v>
      </c>
      <c r="X444" s="218" t="e">
        <f t="shared" si="82"/>
        <v>#REF!</v>
      </c>
      <c r="Y444" s="218" t="e">
        <f t="shared" si="83"/>
        <v>#REF!</v>
      </c>
      <c r="Z444" s="4">
        <v>439</v>
      </c>
      <c r="AB444">
        <f t="shared" si="77"/>
        <v>439</v>
      </c>
      <c r="AC444" s="218" t="e">
        <f t="shared" si="84"/>
        <v>#REF!</v>
      </c>
      <c r="AD444" s="218" t="e">
        <f t="shared" si="85"/>
        <v>#REF!</v>
      </c>
      <c r="AE444" s="4">
        <v>439</v>
      </c>
    </row>
    <row r="445" spans="13:31">
      <c r="M445">
        <f t="shared" si="74"/>
        <v>440</v>
      </c>
      <c r="N445" s="218">
        <f t="shared" si="78"/>
        <v>0</v>
      </c>
      <c r="O445" s="218">
        <f t="shared" si="79"/>
        <v>0</v>
      </c>
      <c r="P445" s="4">
        <v>440</v>
      </c>
      <c r="R445">
        <f t="shared" si="75"/>
        <v>440</v>
      </c>
      <c r="S445" s="218">
        <f t="shared" ca="1" si="80"/>
        <v>0</v>
      </c>
      <c r="T445" s="218">
        <f t="shared" ca="1" si="81"/>
        <v>0</v>
      </c>
      <c r="U445" s="4">
        <v>440</v>
      </c>
      <c r="W445">
        <f t="shared" si="76"/>
        <v>440</v>
      </c>
      <c r="X445" s="218" t="e">
        <f t="shared" si="82"/>
        <v>#REF!</v>
      </c>
      <c r="Y445" s="218" t="e">
        <f t="shared" si="83"/>
        <v>#REF!</v>
      </c>
      <c r="Z445" s="4">
        <v>440</v>
      </c>
      <c r="AB445">
        <f t="shared" si="77"/>
        <v>440</v>
      </c>
      <c r="AC445" s="218" t="e">
        <f t="shared" si="84"/>
        <v>#REF!</v>
      </c>
      <c r="AD445" s="218" t="e">
        <f t="shared" si="85"/>
        <v>#REF!</v>
      </c>
      <c r="AE445" s="4">
        <v>440</v>
      </c>
    </row>
    <row r="446" spans="13:31">
      <c r="M446">
        <f t="shared" si="74"/>
        <v>441</v>
      </c>
      <c r="N446" s="218">
        <f t="shared" si="78"/>
        <v>0</v>
      </c>
      <c r="O446" s="218">
        <f t="shared" si="79"/>
        <v>0</v>
      </c>
      <c r="P446" s="4">
        <v>441</v>
      </c>
      <c r="R446">
        <f t="shared" si="75"/>
        <v>441</v>
      </c>
      <c r="S446" s="218">
        <f t="shared" ca="1" si="80"/>
        <v>0</v>
      </c>
      <c r="T446" s="218">
        <f t="shared" ca="1" si="81"/>
        <v>0</v>
      </c>
      <c r="U446" s="4">
        <v>441</v>
      </c>
      <c r="W446">
        <f t="shared" si="76"/>
        <v>441</v>
      </c>
      <c r="X446" s="218" t="e">
        <f t="shared" si="82"/>
        <v>#REF!</v>
      </c>
      <c r="Y446" s="218" t="e">
        <f t="shared" si="83"/>
        <v>#REF!</v>
      </c>
      <c r="Z446" s="4">
        <v>441</v>
      </c>
      <c r="AB446">
        <f t="shared" si="77"/>
        <v>441</v>
      </c>
      <c r="AC446" s="218" t="e">
        <f t="shared" si="84"/>
        <v>#REF!</v>
      </c>
      <c r="AD446" s="218" t="e">
        <f t="shared" si="85"/>
        <v>#REF!</v>
      </c>
      <c r="AE446" s="4">
        <v>441</v>
      </c>
    </row>
    <row r="447" spans="13:31">
      <c r="M447">
        <f t="shared" si="74"/>
        <v>442</v>
      </c>
      <c r="N447" s="218">
        <f t="shared" si="78"/>
        <v>0</v>
      </c>
      <c r="O447" s="218">
        <f t="shared" si="79"/>
        <v>0</v>
      </c>
      <c r="P447" s="4">
        <v>442</v>
      </c>
      <c r="R447">
        <f t="shared" si="75"/>
        <v>442</v>
      </c>
      <c r="S447" s="218">
        <f t="shared" ca="1" si="80"/>
        <v>0</v>
      </c>
      <c r="T447" s="218">
        <f t="shared" ca="1" si="81"/>
        <v>0</v>
      </c>
      <c r="U447" s="4">
        <v>442</v>
      </c>
      <c r="W447">
        <f t="shared" si="76"/>
        <v>442</v>
      </c>
      <c r="X447" s="218" t="e">
        <f t="shared" si="82"/>
        <v>#REF!</v>
      </c>
      <c r="Y447" s="218" t="e">
        <f t="shared" si="83"/>
        <v>#REF!</v>
      </c>
      <c r="Z447" s="4">
        <v>442</v>
      </c>
      <c r="AB447">
        <f t="shared" si="77"/>
        <v>442</v>
      </c>
      <c r="AC447" s="218" t="e">
        <f t="shared" si="84"/>
        <v>#REF!</v>
      </c>
      <c r="AD447" s="218" t="e">
        <f t="shared" si="85"/>
        <v>#REF!</v>
      </c>
      <c r="AE447" s="4">
        <v>442</v>
      </c>
    </row>
    <row r="448" spans="13:31">
      <c r="M448">
        <f t="shared" si="74"/>
        <v>443</v>
      </c>
      <c r="N448" s="218">
        <f t="shared" si="78"/>
        <v>0</v>
      </c>
      <c r="O448" s="218">
        <f t="shared" si="79"/>
        <v>0</v>
      </c>
      <c r="P448" s="4">
        <v>443</v>
      </c>
      <c r="R448">
        <f t="shared" si="75"/>
        <v>443</v>
      </c>
      <c r="S448" s="218">
        <f t="shared" ca="1" si="80"/>
        <v>0</v>
      </c>
      <c r="T448" s="218">
        <f t="shared" ca="1" si="81"/>
        <v>0</v>
      </c>
      <c r="U448" s="4">
        <v>443</v>
      </c>
      <c r="W448">
        <f t="shared" si="76"/>
        <v>443</v>
      </c>
      <c r="X448" s="218" t="e">
        <f t="shared" si="82"/>
        <v>#REF!</v>
      </c>
      <c r="Y448" s="218" t="e">
        <f t="shared" si="83"/>
        <v>#REF!</v>
      </c>
      <c r="Z448" s="4">
        <v>443</v>
      </c>
      <c r="AB448">
        <f t="shared" si="77"/>
        <v>443</v>
      </c>
      <c r="AC448" s="218" t="e">
        <f t="shared" si="84"/>
        <v>#REF!</v>
      </c>
      <c r="AD448" s="218" t="e">
        <f t="shared" si="85"/>
        <v>#REF!</v>
      </c>
      <c r="AE448" s="4">
        <v>443</v>
      </c>
    </row>
    <row r="449" spans="13:31">
      <c r="M449">
        <f t="shared" si="74"/>
        <v>444</v>
      </c>
      <c r="N449" s="218">
        <f t="shared" si="78"/>
        <v>0</v>
      </c>
      <c r="O449" s="218">
        <f t="shared" si="79"/>
        <v>0</v>
      </c>
      <c r="P449" s="4">
        <v>444</v>
      </c>
      <c r="R449">
        <f t="shared" si="75"/>
        <v>444</v>
      </c>
      <c r="S449" s="218">
        <f t="shared" ca="1" si="80"/>
        <v>0</v>
      </c>
      <c r="T449" s="218">
        <f t="shared" ca="1" si="81"/>
        <v>0</v>
      </c>
      <c r="U449" s="4">
        <v>444</v>
      </c>
      <c r="W449">
        <f t="shared" si="76"/>
        <v>444</v>
      </c>
      <c r="X449" s="218" t="e">
        <f t="shared" si="82"/>
        <v>#REF!</v>
      </c>
      <c r="Y449" s="218" t="e">
        <f t="shared" si="83"/>
        <v>#REF!</v>
      </c>
      <c r="Z449" s="4">
        <v>444</v>
      </c>
      <c r="AB449">
        <f t="shared" si="77"/>
        <v>444</v>
      </c>
      <c r="AC449" s="218" t="e">
        <f t="shared" si="84"/>
        <v>#REF!</v>
      </c>
      <c r="AD449" s="218" t="e">
        <f t="shared" si="85"/>
        <v>#REF!</v>
      </c>
      <c r="AE449" s="4">
        <v>444</v>
      </c>
    </row>
    <row r="450" spans="13:31">
      <c r="M450">
        <f t="shared" si="74"/>
        <v>445</v>
      </c>
      <c r="N450" s="218">
        <f t="shared" si="78"/>
        <v>0</v>
      </c>
      <c r="O450" s="218">
        <f t="shared" si="79"/>
        <v>0</v>
      </c>
      <c r="P450" s="4">
        <v>445</v>
      </c>
      <c r="R450">
        <f t="shared" si="75"/>
        <v>445</v>
      </c>
      <c r="S450" s="218">
        <f t="shared" ca="1" si="80"/>
        <v>0</v>
      </c>
      <c r="T450" s="218">
        <f t="shared" ca="1" si="81"/>
        <v>0</v>
      </c>
      <c r="U450" s="4">
        <v>445</v>
      </c>
      <c r="W450">
        <f t="shared" si="76"/>
        <v>445</v>
      </c>
      <c r="X450" s="218" t="e">
        <f t="shared" si="82"/>
        <v>#REF!</v>
      </c>
      <c r="Y450" s="218" t="e">
        <f t="shared" si="83"/>
        <v>#REF!</v>
      </c>
      <c r="Z450" s="4">
        <v>445</v>
      </c>
      <c r="AB450">
        <f t="shared" si="77"/>
        <v>445</v>
      </c>
      <c r="AC450" s="218" t="e">
        <f t="shared" si="84"/>
        <v>#REF!</v>
      </c>
      <c r="AD450" s="218" t="e">
        <f t="shared" si="85"/>
        <v>#REF!</v>
      </c>
      <c r="AE450" s="4">
        <v>445</v>
      </c>
    </row>
    <row r="451" spans="13:31">
      <c r="M451">
        <f t="shared" si="74"/>
        <v>446</v>
      </c>
      <c r="N451" s="218">
        <f t="shared" si="78"/>
        <v>0</v>
      </c>
      <c r="O451" s="218">
        <f t="shared" si="79"/>
        <v>0</v>
      </c>
      <c r="P451" s="4">
        <v>446</v>
      </c>
      <c r="R451">
        <f t="shared" si="75"/>
        <v>446</v>
      </c>
      <c r="S451" s="218">
        <f t="shared" ca="1" si="80"/>
        <v>0</v>
      </c>
      <c r="T451" s="218">
        <f t="shared" ca="1" si="81"/>
        <v>0</v>
      </c>
      <c r="U451" s="4">
        <v>446</v>
      </c>
      <c r="W451">
        <f t="shared" si="76"/>
        <v>446</v>
      </c>
      <c r="X451" s="218" t="e">
        <f t="shared" si="82"/>
        <v>#REF!</v>
      </c>
      <c r="Y451" s="218" t="e">
        <f t="shared" si="83"/>
        <v>#REF!</v>
      </c>
      <c r="Z451" s="4">
        <v>446</v>
      </c>
      <c r="AB451">
        <f t="shared" si="77"/>
        <v>446</v>
      </c>
      <c r="AC451" s="218" t="e">
        <f t="shared" si="84"/>
        <v>#REF!</v>
      </c>
      <c r="AD451" s="218" t="e">
        <f t="shared" si="85"/>
        <v>#REF!</v>
      </c>
      <c r="AE451" s="4">
        <v>446</v>
      </c>
    </row>
    <row r="452" spans="13:31">
      <c r="M452">
        <f t="shared" si="74"/>
        <v>447</v>
      </c>
      <c r="N452" s="218">
        <f t="shared" si="78"/>
        <v>0</v>
      </c>
      <c r="O452" s="218">
        <f t="shared" si="79"/>
        <v>0</v>
      </c>
      <c r="P452" s="4">
        <v>447</v>
      </c>
      <c r="R452">
        <f t="shared" si="75"/>
        <v>447</v>
      </c>
      <c r="S452" s="218">
        <f t="shared" ca="1" si="80"/>
        <v>0</v>
      </c>
      <c r="T452" s="218">
        <f t="shared" ca="1" si="81"/>
        <v>0</v>
      </c>
      <c r="U452" s="4">
        <v>447</v>
      </c>
      <c r="W452">
        <f t="shared" si="76"/>
        <v>447</v>
      </c>
      <c r="X452" s="218" t="e">
        <f t="shared" si="82"/>
        <v>#REF!</v>
      </c>
      <c r="Y452" s="218" t="e">
        <f t="shared" si="83"/>
        <v>#REF!</v>
      </c>
      <c r="Z452" s="4">
        <v>447</v>
      </c>
      <c r="AB452">
        <f t="shared" si="77"/>
        <v>447</v>
      </c>
      <c r="AC452" s="218" t="e">
        <f t="shared" si="84"/>
        <v>#REF!</v>
      </c>
      <c r="AD452" s="218" t="e">
        <f t="shared" si="85"/>
        <v>#REF!</v>
      </c>
      <c r="AE452" s="4">
        <v>447</v>
      </c>
    </row>
    <row r="453" spans="13:31">
      <c r="M453">
        <f t="shared" si="74"/>
        <v>448</v>
      </c>
      <c r="N453" s="218">
        <f t="shared" si="78"/>
        <v>0</v>
      </c>
      <c r="O453" s="218">
        <f t="shared" si="79"/>
        <v>0</v>
      </c>
      <c r="P453" s="4">
        <v>448</v>
      </c>
      <c r="R453">
        <f t="shared" si="75"/>
        <v>448</v>
      </c>
      <c r="S453" s="218">
        <f t="shared" ca="1" si="80"/>
        <v>0</v>
      </c>
      <c r="T453" s="218">
        <f t="shared" ca="1" si="81"/>
        <v>0</v>
      </c>
      <c r="U453" s="4">
        <v>448</v>
      </c>
      <c r="W453">
        <f t="shared" si="76"/>
        <v>448</v>
      </c>
      <c r="X453" s="218" t="e">
        <f t="shared" si="82"/>
        <v>#REF!</v>
      </c>
      <c r="Y453" s="218" t="e">
        <f t="shared" si="83"/>
        <v>#REF!</v>
      </c>
      <c r="Z453" s="4">
        <v>448</v>
      </c>
      <c r="AB453">
        <f t="shared" si="77"/>
        <v>448</v>
      </c>
      <c r="AC453" s="218" t="e">
        <f t="shared" si="84"/>
        <v>#REF!</v>
      </c>
      <c r="AD453" s="218" t="e">
        <f t="shared" si="85"/>
        <v>#REF!</v>
      </c>
      <c r="AE453" s="4">
        <v>448</v>
      </c>
    </row>
    <row r="454" spans="13:31">
      <c r="M454">
        <f t="shared" si="74"/>
        <v>449</v>
      </c>
      <c r="N454" s="218">
        <f t="shared" si="78"/>
        <v>0</v>
      </c>
      <c r="O454" s="218">
        <f t="shared" si="79"/>
        <v>0</v>
      </c>
      <c r="P454" s="4">
        <v>449</v>
      </c>
      <c r="R454">
        <f t="shared" si="75"/>
        <v>449</v>
      </c>
      <c r="S454" s="218">
        <f t="shared" ca="1" si="80"/>
        <v>0</v>
      </c>
      <c r="T454" s="218">
        <f t="shared" ca="1" si="81"/>
        <v>0</v>
      </c>
      <c r="U454" s="4">
        <v>449</v>
      </c>
      <c r="W454">
        <f t="shared" si="76"/>
        <v>449</v>
      </c>
      <c r="X454" s="218" t="e">
        <f t="shared" si="82"/>
        <v>#REF!</v>
      </c>
      <c r="Y454" s="218" t="e">
        <f t="shared" si="83"/>
        <v>#REF!</v>
      </c>
      <c r="Z454" s="4">
        <v>449</v>
      </c>
      <c r="AB454">
        <f t="shared" si="77"/>
        <v>449</v>
      </c>
      <c r="AC454" s="218" t="e">
        <f t="shared" si="84"/>
        <v>#REF!</v>
      </c>
      <c r="AD454" s="218" t="e">
        <f t="shared" si="85"/>
        <v>#REF!</v>
      </c>
      <c r="AE454" s="4">
        <v>449</v>
      </c>
    </row>
    <row r="455" spans="13:31">
      <c r="M455">
        <f t="shared" ref="M455:M518" si="86">P455</f>
        <v>450</v>
      </c>
      <c r="N455" s="218">
        <f t="shared" si="78"/>
        <v>0</v>
      </c>
      <c r="O455" s="218">
        <f t="shared" si="79"/>
        <v>0</v>
      </c>
      <c r="P455" s="4">
        <v>450</v>
      </c>
      <c r="R455">
        <f t="shared" ref="R455:R518" si="87">U455</f>
        <v>450</v>
      </c>
      <c r="S455" s="218">
        <f t="shared" ca="1" si="80"/>
        <v>0</v>
      </c>
      <c r="T455" s="218">
        <f t="shared" ca="1" si="81"/>
        <v>0</v>
      </c>
      <c r="U455" s="4">
        <v>450</v>
      </c>
      <c r="W455">
        <f t="shared" ref="W455:W518" si="88">Z455</f>
        <v>450</v>
      </c>
      <c r="X455" s="218" t="e">
        <f t="shared" si="82"/>
        <v>#REF!</v>
      </c>
      <c r="Y455" s="218" t="e">
        <f t="shared" si="83"/>
        <v>#REF!</v>
      </c>
      <c r="Z455" s="4">
        <v>450</v>
      </c>
      <c r="AB455">
        <f t="shared" ref="AB455:AB518" si="89">AE455</f>
        <v>450</v>
      </c>
      <c r="AC455" s="218" t="e">
        <f t="shared" si="84"/>
        <v>#REF!</v>
      </c>
      <c r="AD455" s="218" t="e">
        <f t="shared" si="85"/>
        <v>#REF!</v>
      </c>
      <c r="AE455" s="4">
        <v>450</v>
      </c>
    </row>
    <row r="456" spans="13:31">
      <c r="M456">
        <f t="shared" si="86"/>
        <v>451</v>
      </c>
      <c r="N456" s="218">
        <f t="shared" ref="N456:N519" si="90">+IF(O456&lt;N455,O456,N455)</f>
        <v>0</v>
      </c>
      <c r="O456" s="218">
        <f t="shared" ref="O456:O519" si="91">+(O455-N455)*(1+$E$13)</f>
        <v>0</v>
      </c>
      <c r="P456" s="4">
        <v>451</v>
      </c>
      <c r="R456">
        <f t="shared" si="87"/>
        <v>451</v>
      </c>
      <c r="S456" s="218">
        <f t="shared" ref="S456:S519" ca="1" si="92">+IF(T456&lt;S455,T456,S455)</f>
        <v>0</v>
      </c>
      <c r="T456" s="218">
        <f t="shared" ref="T456:T519" ca="1" si="93">+(T455-S455)*(1+$E$14)</f>
        <v>0</v>
      </c>
      <c r="U456" s="4">
        <v>451</v>
      </c>
      <c r="W456">
        <f t="shared" si="88"/>
        <v>451</v>
      </c>
      <c r="X456" s="218" t="e">
        <f t="shared" ref="X456:X519" si="94">+IF(Y456&lt;X455,Y456,X455)</f>
        <v>#REF!</v>
      </c>
      <c r="Y456" s="218" t="e">
        <f t="shared" ref="Y456:Y519" si="95">+(Y455-X455)*(1+$E$15)</f>
        <v>#REF!</v>
      </c>
      <c r="Z456" s="4">
        <v>451</v>
      </c>
      <c r="AB456">
        <f t="shared" si="89"/>
        <v>451</v>
      </c>
      <c r="AC456" s="218" t="e">
        <f t="shared" ref="AC456:AC519" si="96">+IF(AD456&lt;AC455,AD456,AC455)</f>
        <v>#REF!</v>
      </c>
      <c r="AD456" s="218" t="e">
        <f t="shared" ref="AD456:AD519" si="97">+(AD455-AC455)*(1+$E$16)</f>
        <v>#REF!</v>
      </c>
      <c r="AE456" s="4">
        <v>451</v>
      </c>
    </row>
    <row r="457" spans="13:31">
      <c r="M457">
        <f t="shared" si="86"/>
        <v>452</v>
      </c>
      <c r="N457" s="218">
        <f t="shared" si="90"/>
        <v>0</v>
      </c>
      <c r="O457" s="218">
        <f t="shared" si="91"/>
        <v>0</v>
      </c>
      <c r="P457" s="4">
        <v>452</v>
      </c>
      <c r="R457">
        <f t="shared" si="87"/>
        <v>452</v>
      </c>
      <c r="S457" s="218">
        <f t="shared" ca="1" si="92"/>
        <v>0</v>
      </c>
      <c r="T457" s="218">
        <f t="shared" ca="1" si="93"/>
        <v>0</v>
      </c>
      <c r="U457" s="4">
        <v>452</v>
      </c>
      <c r="W457">
        <f t="shared" si="88"/>
        <v>452</v>
      </c>
      <c r="X457" s="218" t="e">
        <f t="shared" si="94"/>
        <v>#REF!</v>
      </c>
      <c r="Y457" s="218" t="e">
        <f t="shared" si="95"/>
        <v>#REF!</v>
      </c>
      <c r="Z457" s="4">
        <v>452</v>
      </c>
      <c r="AB457">
        <f t="shared" si="89"/>
        <v>452</v>
      </c>
      <c r="AC457" s="218" t="e">
        <f t="shared" si="96"/>
        <v>#REF!</v>
      </c>
      <c r="AD457" s="218" t="e">
        <f t="shared" si="97"/>
        <v>#REF!</v>
      </c>
      <c r="AE457" s="4">
        <v>452</v>
      </c>
    </row>
    <row r="458" spans="13:31">
      <c r="M458">
        <f t="shared" si="86"/>
        <v>453</v>
      </c>
      <c r="N458" s="218">
        <f t="shared" si="90"/>
        <v>0</v>
      </c>
      <c r="O458" s="218">
        <f t="shared" si="91"/>
        <v>0</v>
      </c>
      <c r="P458" s="4">
        <v>453</v>
      </c>
      <c r="R458">
        <f t="shared" si="87"/>
        <v>453</v>
      </c>
      <c r="S458" s="218">
        <f t="shared" ca="1" si="92"/>
        <v>0</v>
      </c>
      <c r="T458" s="218">
        <f t="shared" ca="1" si="93"/>
        <v>0</v>
      </c>
      <c r="U458" s="4">
        <v>453</v>
      </c>
      <c r="W458">
        <f t="shared" si="88"/>
        <v>453</v>
      </c>
      <c r="X458" s="218" t="e">
        <f t="shared" si="94"/>
        <v>#REF!</v>
      </c>
      <c r="Y458" s="218" t="e">
        <f t="shared" si="95"/>
        <v>#REF!</v>
      </c>
      <c r="Z458" s="4">
        <v>453</v>
      </c>
      <c r="AB458">
        <f t="shared" si="89"/>
        <v>453</v>
      </c>
      <c r="AC458" s="218" t="e">
        <f t="shared" si="96"/>
        <v>#REF!</v>
      </c>
      <c r="AD458" s="218" t="e">
        <f t="shared" si="97"/>
        <v>#REF!</v>
      </c>
      <c r="AE458" s="4">
        <v>453</v>
      </c>
    </row>
    <row r="459" spans="13:31">
      <c r="M459">
        <f t="shared" si="86"/>
        <v>454</v>
      </c>
      <c r="N459" s="218">
        <f t="shared" si="90"/>
        <v>0</v>
      </c>
      <c r="O459" s="218">
        <f t="shared" si="91"/>
        <v>0</v>
      </c>
      <c r="P459" s="4">
        <v>454</v>
      </c>
      <c r="R459">
        <f t="shared" si="87"/>
        <v>454</v>
      </c>
      <c r="S459" s="218">
        <f t="shared" ca="1" si="92"/>
        <v>0</v>
      </c>
      <c r="T459" s="218">
        <f t="shared" ca="1" si="93"/>
        <v>0</v>
      </c>
      <c r="U459" s="4">
        <v>454</v>
      </c>
      <c r="W459">
        <f t="shared" si="88"/>
        <v>454</v>
      </c>
      <c r="X459" s="218" t="e">
        <f t="shared" si="94"/>
        <v>#REF!</v>
      </c>
      <c r="Y459" s="218" t="e">
        <f t="shared" si="95"/>
        <v>#REF!</v>
      </c>
      <c r="Z459" s="4">
        <v>454</v>
      </c>
      <c r="AB459">
        <f t="shared" si="89"/>
        <v>454</v>
      </c>
      <c r="AC459" s="218" t="e">
        <f t="shared" si="96"/>
        <v>#REF!</v>
      </c>
      <c r="AD459" s="218" t="e">
        <f t="shared" si="97"/>
        <v>#REF!</v>
      </c>
      <c r="AE459" s="4">
        <v>454</v>
      </c>
    </row>
    <row r="460" spans="13:31">
      <c r="M460">
        <f t="shared" si="86"/>
        <v>455</v>
      </c>
      <c r="N460" s="218">
        <f t="shared" si="90"/>
        <v>0</v>
      </c>
      <c r="O460" s="218">
        <f t="shared" si="91"/>
        <v>0</v>
      </c>
      <c r="P460" s="4">
        <v>455</v>
      </c>
      <c r="R460">
        <f t="shared" si="87"/>
        <v>455</v>
      </c>
      <c r="S460" s="218">
        <f t="shared" ca="1" si="92"/>
        <v>0</v>
      </c>
      <c r="T460" s="218">
        <f t="shared" ca="1" si="93"/>
        <v>0</v>
      </c>
      <c r="U460" s="4">
        <v>455</v>
      </c>
      <c r="W460">
        <f t="shared" si="88"/>
        <v>455</v>
      </c>
      <c r="X460" s="218" t="e">
        <f t="shared" si="94"/>
        <v>#REF!</v>
      </c>
      <c r="Y460" s="218" t="e">
        <f t="shared" si="95"/>
        <v>#REF!</v>
      </c>
      <c r="Z460" s="4">
        <v>455</v>
      </c>
      <c r="AB460">
        <f t="shared" si="89"/>
        <v>455</v>
      </c>
      <c r="AC460" s="218" t="e">
        <f t="shared" si="96"/>
        <v>#REF!</v>
      </c>
      <c r="AD460" s="218" t="e">
        <f t="shared" si="97"/>
        <v>#REF!</v>
      </c>
      <c r="AE460" s="4">
        <v>455</v>
      </c>
    </row>
    <row r="461" spans="13:31">
      <c r="M461">
        <f t="shared" si="86"/>
        <v>456</v>
      </c>
      <c r="N461" s="218">
        <f t="shared" si="90"/>
        <v>0</v>
      </c>
      <c r="O461" s="218">
        <f t="shared" si="91"/>
        <v>0</v>
      </c>
      <c r="P461" s="4">
        <v>456</v>
      </c>
      <c r="R461">
        <f t="shared" si="87"/>
        <v>456</v>
      </c>
      <c r="S461" s="218">
        <f t="shared" ca="1" si="92"/>
        <v>0</v>
      </c>
      <c r="T461" s="218">
        <f t="shared" ca="1" si="93"/>
        <v>0</v>
      </c>
      <c r="U461" s="4">
        <v>456</v>
      </c>
      <c r="W461">
        <f t="shared" si="88"/>
        <v>456</v>
      </c>
      <c r="X461" s="218" t="e">
        <f t="shared" si="94"/>
        <v>#REF!</v>
      </c>
      <c r="Y461" s="218" t="e">
        <f t="shared" si="95"/>
        <v>#REF!</v>
      </c>
      <c r="Z461" s="4">
        <v>456</v>
      </c>
      <c r="AB461">
        <f t="shared" si="89"/>
        <v>456</v>
      </c>
      <c r="AC461" s="218" t="e">
        <f t="shared" si="96"/>
        <v>#REF!</v>
      </c>
      <c r="AD461" s="218" t="e">
        <f t="shared" si="97"/>
        <v>#REF!</v>
      </c>
      <c r="AE461" s="4">
        <v>456</v>
      </c>
    </row>
    <row r="462" spans="13:31">
      <c r="M462">
        <f t="shared" si="86"/>
        <v>457</v>
      </c>
      <c r="N462" s="218">
        <f t="shared" si="90"/>
        <v>0</v>
      </c>
      <c r="O462" s="218">
        <f t="shared" si="91"/>
        <v>0</v>
      </c>
      <c r="P462" s="4">
        <v>457</v>
      </c>
      <c r="R462">
        <f t="shared" si="87"/>
        <v>457</v>
      </c>
      <c r="S462" s="218">
        <f t="shared" ca="1" si="92"/>
        <v>0</v>
      </c>
      <c r="T462" s="218">
        <f t="shared" ca="1" si="93"/>
        <v>0</v>
      </c>
      <c r="U462" s="4">
        <v>457</v>
      </c>
      <c r="W462">
        <f t="shared" si="88"/>
        <v>457</v>
      </c>
      <c r="X462" s="218" t="e">
        <f t="shared" si="94"/>
        <v>#REF!</v>
      </c>
      <c r="Y462" s="218" t="e">
        <f t="shared" si="95"/>
        <v>#REF!</v>
      </c>
      <c r="Z462" s="4">
        <v>457</v>
      </c>
      <c r="AB462">
        <f t="shared" si="89"/>
        <v>457</v>
      </c>
      <c r="AC462" s="218" t="e">
        <f t="shared" si="96"/>
        <v>#REF!</v>
      </c>
      <c r="AD462" s="218" t="e">
        <f t="shared" si="97"/>
        <v>#REF!</v>
      </c>
      <c r="AE462" s="4">
        <v>457</v>
      </c>
    </row>
    <row r="463" spans="13:31">
      <c r="M463">
        <f t="shared" si="86"/>
        <v>458</v>
      </c>
      <c r="N463" s="218">
        <f t="shared" si="90"/>
        <v>0</v>
      </c>
      <c r="O463" s="218">
        <f t="shared" si="91"/>
        <v>0</v>
      </c>
      <c r="P463" s="4">
        <v>458</v>
      </c>
      <c r="R463">
        <f t="shared" si="87"/>
        <v>458</v>
      </c>
      <c r="S463" s="218">
        <f t="shared" ca="1" si="92"/>
        <v>0</v>
      </c>
      <c r="T463" s="218">
        <f t="shared" ca="1" si="93"/>
        <v>0</v>
      </c>
      <c r="U463" s="4">
        <v>458</v>
      </c>
      <c r="W463">
        <f t="shared" si="88"/>
        <v>458</v>
      </c>
      <c r="X463" s="218" t="e">
        <f t="shared" si="94"/>
        <v>#REF!</v>
      </c>
      <c r="Y463" s="218" t="e">
        <f t="shared" si="95"/>
        <v>#REF!</v>
      </c>
      <c r="Z463" s="4">
        <v>458</v>
      </c>
      <c r="AB463">
        <f t="shared" si="89"/>
        <v>458</v>
      </c>
      <c r="AC463" s="218" t="e">
        <f t="shared" si="96"/>
        <v>#REF!</v>
      </c>
      <c r="AD463" s="218" t="e">
        <f t="shared" si="97"/>
        <v>#REF!</v>
      </c>
      <c r="AE463" s="4">
        <v>458</v>
      </c>
    </row>
    <row r="464" spans="13:31">
      <c r="M464">
        <f t="shared" si="86"/>
        <v>459</v>
      </c>
      <c r="N464" s="218">
        <f t="shared" si="90"/>
        <v>0</v>
      </c>
      <c r="O464" s="218">
        <f t="shared" si="91"/>
        <v>0</v>
      </c>
      <c r="P464" s="4">
        <v>459</v>
      </c>
      <c r="R464">
        <f t="shared" si="87"/>
        <v>459</v>
      </c>
      <c r="S464" s="218">
        <f t="shared" ca="1" si="92"/>
        <v>0</v>
      </c>
      <c r="T464" s="218">
        <f t="shared" ca="1" si="93"/>
        <v>0</v>
      </c>
      <c r="U464" s="4">
        <v>459</v>
      </c>
      <c r="W464">
        <f t="shared" si="88"/>
        <v>459</v>
      </c>
      <c r="X464" s="218" t="e">
        <f t="shared" si="94"/>
        <v>#REF!</v>
      </c>
      <c r="Y464" s="218" t="e">
        <f t="shared" si="95"/>
        <v>#REF!</v>
      </c>
      <c r="Z464" s="4">
        <v>459</v>
      </c>
      <c r="AB464">
        <f t="shared" si="89"/>
        <v>459</v>
      </c>
      <c r="AC464" s="218" t="e">
        <f t="shared" si="96"/>
        <v>#REF!</v>
      </c>
      <c r="AD464" s="218" t="e">
        <f t="shared" si="97"/>
        <v>#REF!</v>
      </c>
      <c r="AE464" s="4">
        <v>459</v>
      </c>
    </row>
    <row r="465" spans="13:31">
      <c r="M465">
        <f t="shared" si="86"/>
        <v>460</v>
      </c>
      <c r="N465" s="218">
        <f t="shared" si="90"/>
        <v>0</v>
      </c>
      <c r="O465" s="218">
        <f t="shared" si="91"/>
        <v>0</v>
      </c>
      <c r="P465" s="4">
        <v>460</v>
      </c>
      <c r="R465">
        <f t="shared" si="87"/>
        <v>460</v>
      </c>
      <c r="S465" s="218">
        <f t="shared" ca="1" si="92"/>
        <v>0</v>
      </c>
      <c r="T465" s="218">
        <f t="shared" ca="1" si="93"/>
        <v>0</v>
      </c>
      <c r="U465" s="4">
        <v>460</v>
      </c>
      <c r="W465">
        <f t="shared" si="88"/>
        <v>460</v>
      </c>
      <c r="X465" s="218" t="e">
        <f t="shared" si="94"/>
        <v>#REF!</v>
      </c>
      <c r="Y465" s="218" t="e">
        <f t="shared" si="95"/>
        <v>#REF!</v>
      </c>
      <c r="Z465" s="4">
        <v>460</v>
      </c>
      <c r="AB465">
        <f t="shared" si="89"/>
        <v>460</v>
      </c>
      <c r="AC465" s="218" t="e">
        <f t="shared" si="96"/>
        <v>#REF!</v>
      </c>
      <c r="AD465" s="218" t="e">
        <f t="shared" si="97"/>
        <v>#REF!</v>
      </c>
      <c r="AE465" s="4">
        <v>460</v>
      </c>
    </row>
    <row r="466" spans="13:31">
      <c r="M466">
        <f t="shared" si="86"/>
        <v>461</v>
      </c>
      <c r="N466" s="218">
        <f t="shared" si="90"/>
        <v>0</v>
      </c>
      <c r="O466" s="218">
        <f t="shared" si="91"/>
        <v>0</v>
      </c>
      <c r="P466" s="4">
        <v>461</v>
      </c>
      <c r="R466">
        <f t="shared" si="87"/>
        <v>461</v>
      </c>
      <c r="S466" s="218">
        <f t="shared" ca="1" si="92"/>
        <v>0</v>
      </c>
      <c r="T466" s="218">
        <f t="shared" ca="1" si="93"/>
        <v>0</v>
      </c>
      <c r="U466" s="4">
        <v>461</v>
      </c>
      <c r="W466">
        <f t="shared" si="88"/>
        <v>461</v>
      </c>
      <c r="X466" s="218" t="e">
        <f t="shared" si="94"/>
        <v>#REF!</v>
      </c>
      <c r="Y466" s="218" t="e">
        <f t="shared" si="95"/>
        <v>#REF!</v>
      </c>
      <c r="Z466" s="4">
        <v>461</v>
      </c>
      <c r="AB466">
        <f t="shared" si="89"/>
        <v>461</v>
      </c>
      <c r="AC466" s="218" t="e">
        <f t="shared" si="96"/>
        <v>#REF!</v>
      </c>
      <c r="AD466" s="218" t="e">
        <f t="shared" si="97"/>
        <v>#REF!</v>
      </c>
      <c r="AE466" s="4">
        <v>461</v>
      </c>
    </row>
    <row r="467" spans="13:31">
      <c r="M467">
        <f t="shared" si="86"/>
        <v>462</v>
      </c>
      <c r="N467" s="218">
        <f t="shared" si="90"/>
        <v>0</v>
      </c>
      <c r="O467" s="218">
        <f t="shared" si="91"/>
        <v>0</v>
      </c>
      <c r="P467" s="4">
        <v>462</v>
      </c>
      <c r="R467">
        <f t="shared" si="87"/>
        <v>462</v>
      </c>
      <c r="S467" s="218">
        <f t="shared" ca="1" si="92"/>
        <v>0</v>
      </c>
      <c r="T467" s="218">
        <f t="shared" ca="1" si="93"/>
        <v>0</v>
      </c>
      <c r="U467" s="4">
        <v>462</v>
      </c>
      <c r="W467">
        <f t="shared" si="88"/>
        <v>462</v>
      </c>
      <c r="X467" s="218" t="e">
        <f t="shared" si="94"/>
        <v>#REF!</v>
      </c>
      <c r="Y467" s="218" t="e">
        <f t="shared" si="95"/>
        <v>#REF!</v>
      </c>
      <c r="Z467" s="4">
        <v>462</v>
      </c>
      <c r="AB467">
        <f t="shared" si="89"/>
        <v>462</v>
      </c>
      <c r="AC467" s="218" t="e">
        <f t="shared" si="96"/>
        <v>#REF!</v>
      </c>
      <c r="AD467" s="218" t="e">
        <f t="shared" si="97"/>
        <v>#REF!</v>
      </c>
      <c r="AE467" s="4">
        <v>462</v>
      </c>
    </row>
    <row r="468" spans="13:31">
      <c r="M468">
        <f t="shared" si="86"/>
        <v>463</v>
      </c>
      <c r="N468" s="218">
        <f t="shared" si="90"/>
        <v>0</v>
      </c>
      <c r="O468" s="218">
        <f t="shared" si="91"/>
        <v>0</v>
      </c>
      <c r="P468" s="4">
        <v>463</v>
      </c>
      <c r="R468">
        <f t="shared" si="87"/>
        <v>463</v>
      </c>
      <c r="S468" s="218">
        <f t="shared" ca="1" si="92"/>
        <v>0</v>
      </c>
      <c r="T468" s="218">
        <f t="shared" ca="1" si="93"/>
        <v>0</v>
      </c>
      <c r="U468" s="4">
        <v>463</v>
      </c>
      <c r="W468">
        <f t="shared" si="88"/>
        <v>463</v>
      </c>
      <c r="X468" s="218" t="e">
        <f t="shared" si="94"/>
        <v>#REF!</v>
      </c>
      <c r="Y468" s="218" t="e">
        <f t="shared" si="95"/>
        <v>#REF!</v>
      </c>
      <c r="Z468" s="4">
        <v>463</v>
      </c>
      <c r="AB468">
        <f t="shared" si="89"/>
        <v>463</v>
      </c>
      <c r="AC468" s="218" t="e">
        <f t="shared" si="96"/>
        <v>#REF!</v>
      </c>
      <c r="AD468" s="218" t="e">
        <f t="shared" si="97"/>
        <v>#REF!</v>
      </c>
      <c r="AE468" s="4">
        <v>463</v>
      </c>
    </row>
    <row r="469" spans="13:31">
      <c r="M469">
        <f t="shared" si="86"/>
        <v>464</v>
      </c>
      <c r="N469" s="218">
        <f t="shared" si="90"/>
        <v>0</v>
      </c>
      <c r="O469" s="218">
        <f t="shared" si="91"/>
        <v>0</v>
      </c>
      <c r="P469" s="4">
        <v>464</v>
      </c>
      <c r="R469">
        <f t="shared" si="87"/>
        <v>464</v>
      </c>
      <c r="S469" s="218">
        <f t="shared" ca="1" si="92"/>
        <v>0</v>
      </c>
      <c r="T469" s="218">
        <f t="shared" ca="1" si="93"/>
        <v>0</v>
      </c>
      <c r="U469" s="4">
        <v>464</v>
      </c>
      <c r="W469">
        <f t="shared" si="88"/>
        <v>464</v>
      </c>
      <c r="X469" s="218" t="e">
        <f t="shared" si="94"/>
        <v>#REF!</v>
      </c>
      <c r="Y469" s="218" t="e">
        <f t="shared" si="95"/>
        <v>#REF!</v>
      </c>
      <c r="Z469" s="4">
        <v>464</v>
      </c>
      <c r="AB469">
        <f t="shared" si="89"/>
        <v>464</v>
      </c>
      <c r="AC469" s="218" t="e">
        <f t="shared" si="96"/>
        <v>#REF!</v>
      </c>
      <c r="AD469" s="218" t="e">
        <f t="shared" si="97"/>
        <v>#REF!</v>
      </c>
      <c r="AE469" s="4">
        <v>464</v>
      </c>
    </row>
    <row r="470" spans="13:31">
      <c r="M470">
        <f t="shared" si="86"/>
        <v>465</v>
      </c>
      <c r="N470" s="218">
        <f t="shared" si="90"/>
        <v>0</v>
      </c>
      <c r="O470" s="218">
        <f t="shared" si="91"/>
        <v>0</v>
      </c>
      <c r="P470" s="4">
        <v>465</v>
      </c>
      <c r="R470">
        <f t="shared" si="87"/>
        <v>465</v>
      </c>
      <c r="S470" s="218">
        <f t="shared" ca="1" si="92"/>
        <v>0</v>
      </c>
      <c r="T470" s="218">
        <f t="shared" ca="1" si="93"/>
        <v>0</v>
      </c>
      <c r="U470" s="4">
        <v>465</v>
      </c>
      <c r="W470">
        <f t="shared" si="88"/>
        <v>465</v>
      </c>
      <c r="X470" s="218" t="e">
        <f t="shared" si="94"/>
        <v>#REF!</v>
      </c>
      <c r="Y470" s="218" t="e">
        <f t="shared" si="95"/>
        <v>#REF!</v>
      </c>
      <c r="Z470" s="4">
        <v>465</v>
      </c>
      <c r="AB470">
        <f t="shared" si="89"/>
        <v>465</v>
      </c>
      <c r="AC470" s="218" t="e">
        <f t="shared" si="96"/>
        <v>#REF!</v>
      </c>
      <c r="AD470" s="218" t="e">
        <f t="shared" si="97"/>
        <v>#REF!</v>
      </c>
      <c r="AE470" s="4">
        <v>465</v>
      </c>
    </row>
    <row r="471" spans="13:31">
      <c r="M471">
        <f t="shared" si="86"/>
        <v>466</v>
      </c>
      <c r="N471" s="218">
        <f t="shared" si="90"/>
        <v>0</v>
      </c>
      <c r="O471" s="218">
        <f t="shared" si="91"/>
        <v>0</v>
      </c>
      <c r="P471" s="4">
        <v>466</v>
      </c>
      <c r="R471">
        <f t="shared" si="87"/>
        <v>466</v>
      </c>
      <c r="S471" s="218">
        <f t="shared" ca="1" si="92"/>
        <v>0</v>
      </c>
      <c r="T471" s="218">
        <f t="shared" ca="1" si="93"/>
        <v>0</v>
      </c>
      <c r="U471" s="4">
        <v>466</v>
      </c>
      <c r="W471">
        <f t="shared" si="88"/>
        <v>466</v>
      </c>
      <c r="X471" s="218" t="e">
        <f t="shared" si="94"/>
        <v>#REF!</v>
      </c>
      <c r="Y471" s="218" t="e">
        <f t="shared" si="95"/>
        <v>#REF!</v>
      </c>
      <c r="Z471" s="4">
        <v>466</v>
      </c>
      <c r="AB471">
        <f t="shared" si="89"/>
        <v>466</v>
      </c>
      <c r="AC471" s="218" t="e">
        <f t="shared" si="96"/>
        <v>#REF!</v>
      </c>
      <c r="AD471" s="218" t="e">
        <f t="shared" si="97"/>
        <v>#REF!</v>
      </c>
      <c r="AE471" s="4">
        <v>466</v>
      </c>
    </row>
    <row r="472" spans="13:31">
      <c r="M472">
        <f t="shared" si="86"/>
        <v>467</v>
      </c>
      <c r="N472" s="218">
        <f t="shared" si="90"/>
        <v>0</v>
      </c>
      <c r="O472" s="218">
        <f t="shared" si="91"/>
        <v>0</v>
      </c>
      <c r="P472" s="4">
        <v>467</v>
      </c>
      <c r="R472">
        <f t="shared" si="87"/>
        <v>467</v>
      </c>
      <c r="S472" s="218">
        <f t="shared" ca="1" si="92"/>
        <v>0</v>
      </c>
      <c r="T472" s="218">
        <f t="shared" ca="1" si="93"/>
        <v>0</v>
      </c>
      <c r="U472" s="4">
        <v>467</v>
      </c>
      <c r="W472">
        <f t="shared" si="88"/>
        <v>467</v>
      </c>
      <c r="X472" s="218" t="e">
        <f t="shared" si="94"/>
        <v>#REF!</v>
      </c>
      <c r="Y472" s="218" t="e">
        <f t="shared" si="95"/>
        <v>#REF!</v>
      </c>
      <c r="Z472" s="4">
        <v>467</v>
      </c>
      <c r="AB472">
        <f t="shared" si="89"/>
        <v>467</v>
      </c>
      <c r="AC472" s="218" t="e">
        <f t="shared" si="96"/>
        <v>#REF!</v>
      </c>
      <c r="AD472" s="218" t="e">
        <f t="shared" si="97"/>
        <v>#REF!</v>
      </c>
      <c r="AE472" s="4">
        <v>467</v>
      </c>
    </row>
    <row r="473" spans="13:31">
      <c r="M473">
        <f t="shared" si="86"/>
        <v>468</v>
      </c>
      <c r="N473" s="218">
        <f t="shared" si="90"/>
        <v>0</v>
      </c>
      <c r="O473" s="218">
        <f t="shared" si="91"/>
        <v>0</v>
      </c>
      <c r="P473" s="4">
        <v>468</v>
      </c>
      <c r="R473">
        <f t="shared" si="87"/>
        <v>468</v>
      </c>
      <c r="S473" s="218">
        <f t="shared" ca="1" si="92"/>
        <v>0</v>
      </c>
      <c r="T473" s="218">
        <f t="shared" ca="1" si="93"/>
        <v>0</v>
      </c>
      <c r="U473" s="4">
        <v>468</v>
      </c>
      <c r="W473">
        <f t="shared" si="88"/>
        <v>468</v>
      </c>
      <c r="X473" s="218" t="e">
        <f t="shared" si="94"/>
        <v>#REF!</v>
      </c>
      <c r="Y473" s="218" t="e">
        <f t="shared" si="95"/>
        <v>#REF!</v>
      </c>
      <c r="Z473" s="4">
        <v>468</v>
      </c>
      <c r="AB473">
        <f t="shared" si="89"/>
        <v>468</v>
      </c>
      <c r="AC473" s="218" t="e">
        <f t="shared" si="96"/>
        <v>#REF!</v>
      </c>
      <c r="AD473" s="218" t="e">
        <f t="shared" si="97"/>
        <v>#REF!</v>
      </c>
      <c r="AE473" s="4">
        <v>468</v>
      </c>
    </row>
    <row r="474" spans="13:31">
      <c r="M474">
        <f t="shared" si="86"/>
        <v>469</v>
      </c>
      <c r="N474" s="218">
        <f t="shared" si="90"/>
        <v>0</v>
      </c>
      <c r="O474" s="218">
        <f t="shared" si="91"/>
        <v>0</v>
      </c>
      <c r="P474" s="4">
        <v>469</v>
      </c>
      <c r="R474">
        <f t="shared" si="87"/>
        <v>469</v>
      </c>
      <c r="S474" s="218">
        <f t="shared" ca="1" si="92"/>
        <v>0</v>
      </c>
      <c r="T474" s="218">
        <f t="shared" ca="1" si="93"/>
        <v>0</v>
      </c>
      <c r="U474" s="4">
        <v>469</v>
      </c>
      <c r="W474">
        <f t="shared" si="88"/>
        <v>469</v>
      </c>
      <c r="X474" s="218" t="e">
        <f t="shared" si="94"/>
        <v>#REF!</v>
      </c>
      <c r="Y474" s="218" t="e">
        <f t="shared" si="95"/>
        <v>#REF!</v>
      </c>
      <c r="Z474" s="4">
        <v>469</v>
      </c>
      <c r="AB474">
        <f t="shared" si="89"/>
        <v>469</v>
      </c>
      <c r="AC474" s="218" t="e">
        <f t="shared" si="96"/>
        <v>#REF!</v>
      </c>
      <c r="AD474" s="218" t="e">
        <f t="shared" si="97"/>
        <v>#REF!</v>
      </c>
      <c r="AE474" s="4">
        <v>469</v>
      </c>
    </row>
    <row r="475" spans="13:31">
      <c r="M475">
        <f t="shared" si="86"/>
        <v>470</v>
      </c>
      <c r="N475" s="218">
        <f t="shared" si="90"/>
        <v>0</v>
      </c>
      <c r="O475" s="218">
        <f t="shared" si="91"/>
        <v>0</v>
      </c>
      <c r="P475" s="4">
        <v>470</v>
      </c>
      <c r="R475">
        <f t="shared" si="87"/>
        <v>470</v>
      </c>
      <c r="S475" s="218">
        <f t="shared" ca="1" si="92"/>
        <v>0</v>
      </c>
      <c r="T475" s="218">
        <f t="shared" ca="1" si="93"/>
        <v>0</v>
      </c>
      <c r="U475" s="4">
        <v>470</v>
      </c>
      <c r="W475">
        <f t="shared" si="88"/>
        <v>470</v>
      </c>
      <c r="X475" s="218" t="e">
        <f t="shared" si="94"/>
        <v>#REF!</v>
      </c>
      <c r="Y475" s="218" t="e">
        <f t="shared" si="95"/>
        <v>#REF!</v>
      </c>
      <c r="Z475" s="4">
        <v>470</v>
      </c>
      <c r="AB475">
        <f t="shared" si="89"/>
        <v>470</v>
      </c>
      <c r="AC475" s="218" t="e">
        <f t="shared" si="96"/>
        <v>#REF!</v>
      </c>
      <c r="AD475" s="218" t="e">
        <f t="shared" si="97"/>
        <v>#REF!</v>
      </c>
      <c r="AE475" s="4">
        <v>470</v>
      </c>
    </row>
    <row r="476" spans="13:31">
      <c r="M476">
        <f t="shared" si="86"/>
        <v>471</v>
      </c>
      <c r="N476" s="218">
        <f t="shared" si="90"/>
        <v>0</v>
      </c>
      <c r="O476" s="218">
        <f t="shared" si="91"/>
        <v>0</v>
      </c>
      <c r="P476" s="4">
        <v>471</v>
      </c>
      <c r="R476">
        <f t="shared" si="87"/>
        <v>471</v>
      </c>
      <c r="S476" s="218">
        <f t="shared" ca="1" si="92"/>
        <v>0</v>
      </c>
      <c r="T476" s="218">
        <f t="shared" ca="1" si="93"/>
        <v>0</v>
      </c>
      <c r="U476" s="4">
        <v>471</v>
      </c>
      <c r="W476">
        <f t="shared" si="88"/>
        <v>471</v>
      </c>
      <c r="X476" s="218" t="e">
        <f t="shared" si="94"/>
        <v>#REF!</v>
      </c>
      <c r="Y476" s="218" t="e">
        <f t="shared" si="95"/>
        <v>#REF!</v>
      </c>
      <c r="Z476" s="4">
        <v>471</v>
      </c>
      <c r="AB476">
        <f t="shared" si="89"/>
        <v>471</v>
      </c>
      <c r="AC476" s="218" t="e">
        <f t="shared" si="96"/>
        <v>#REF!</v>
      </c>
      <c r="AD476" s="218" t="e">
        <f t="shared" si="97"/>
        <v>#REF!</v>
      </c>
      <c r="AE476" s="4">
        <v>471</v>
      </c>
    </row>
    <row r="477" spans="13:31">
      <c r="M477">
        <f t="shared" si="86"/>
        <v>472</v>
      </c>
      <c r="N477" s="218">
        <f t="shared" si="90"/>
        <v>0</v>
      </c>
      <c r="O477" s="218">
        <f t="shared" si="91"/>
        <v>0</v>
      </c>
      <c r="P477" s="4">
        <v>472</v>
      </c>
      <c r="R477">
        <f t="shared" si="87"/>
        <v>472</v>
      </c>
      <c r="S477" s="218">
        <f t="shared" ca="1" si="92"/>
        <v>0</v>
      </c>
      <c r="T477" s="218">
        <f t="shared" ca="1" si="93"/>
        <v>0</v>
      </c>
      <c r="U477" s="4">
        <v>472</v>
      </c>
      <c r="W477">
        <f t="shared" si="88"/>
        <v>472</v>
      </c>
      <c r="X477" s="218" t="e">
        <f t="shared" si="94"/>
        <v>#REF!</v>
      </c>
      <c r="Y477" s="218" t="e">
        <f t="shared" si="95"/>
        <v>#REF!</v>
      </c>
      <c r="Z477" s="4">
        <v>472</v>
      </c>
      <c r="AB477">
        <f t="shared" si="89"/>
        <v>472</v>
      </c>
      <c r="AC477" s="218" t="e">
        <f t="shared" si="96"/>
        <v>#REF!</v>
      </c>
      <c r="AD477" s="218" t="e">
        <f t="shared" si="97"/>
        <v>#REF!</v>
      </c>
      <c r="AE477" s="4">
        <v>472</v>
      </c>
    </row>
    <row r="478" spans="13:31">
      <c r="M478">
        <f t="shared" si="86"/>
        <v>473</v>
      </c>
      <c r="N478" s="218">
        <f t="shared" si="90"/>
        <v>0</v>
      </c>
      <c r="O478" s="218">
        <f t="shared" si="91"/>
        <v>0</v>
      </c>
      <c r="P478" s="4">
        <v>473</v>
      </c>
      <c r="R478">
        <f t="shared" si="87"/>
        <v>473</v>
      </c>
      <c r="S478" s="218">
        <f t="shared" ca="1" si="92"/>
        <v>0</v>
      </c>
      <c r="T478" s="218">
        <f t="shared" ca="1" si="93"/>
        <v>0</v>
      </c>
      <c r="U478" s="4">
        <v>473</v>
      </c>
      <c r="W478">
        <f t="shared" si="88"/>
        <v>473</v>
      </c>
      <c r="X478" s="218" t="e">
        <f t="shared" si="94"/>
        <v>#REF!</v>
      </c>
      <c r="Y478" s="218" t="e">
        <f t="shared" si="95"/>
        <v>#REF!</v>
      </c>
      <c r="Z478" s="4">
        <v>473</v>
      </c>
      <c r="AB478">
        <f t="shared" si="89"/>
        <v>473</v>
      </c>
      <c r="AC478" s="218" t="e">
        <f t="shared" si="96"/>
        <v>#REF!</v>
      </c>
      <c r="AD478" s="218" t="e">
        <f t="shared" si="97"/>
        <v>#REF!</v>
      </c>
      <c r="AE478" s="4">
        <v>473</v>
      </c>
    </row>
    <row r="479" spans="13:31">
      <c r="M479">
        <f t="shared" si="86"/>
        <v>474</v>
      </c>
      <c r="N479" s="218">
        <f t="shared" si="90"/>
        <v>0</v>
      </c>
      <c r="O479" s="218">
        <f t="shared" si="91"/>
        <v>0</v>
      </c>
      <c r="P479" s="4">
        <v>474</v>
      </c>
      <c r="R479">
        <f t="shared" si="87"/>
        <v>474</v>
      </c>
      <c r="S479" s="218">
        <f t="shared" ca="1" si="92"/>
        <v>0</v>
      </c>
      <c r="T479" s="218">
        <f t="shared" ca="1" si="93"/>
        <v>0</v>
      </c>
      <c r="U479" s="4">
        <v>474</v>
      </c>
      <c r="W479">
        <f t="shared" si="88"/>
        <v>474</v>
      </c>
      <c r="X479" s="218" t="e">
        <f t="shared" si="94"/>
        <v>#REF!</v>
      </c>
      <c r="Y479" s="218" t="e">
        <f t="shared" si="95"/>
        <v>#REF!</v>
      </c>
      <c r="Z479" s="4">
        <v>474</v>
      </c>
      <c r="AB479">
        <f t="shared" si="89"/>
        <v>474</v>
      </c>
      <c r="AC479" s="218" t="e">
        <f t="shared" si="96"/>
        <v>#REF!</v>
      </c>
      <c r="AD479" s="218" t="e">
        <f t="shared" si="97"/>
        <v>#REF!</v>
      </c>
      <c r="AE479" s="4">
        <v>474</v>
      </c>
    </row>
    <row r="480" spans="13:31">
      <c r="M480">
        <f t="shared" si="86"/>
        <v>475</v>
      </c>
      <c r="N480" s="218">
        <f t="shared" si="90"/>
        <v>0</v>
      </c>
      <c r="O480" s="218">
        <f t="shared" si="91"/>
        <v>0</v>
      </c>
      <c r="P480" s="4">
        <v>475</v>
      </c>
      <c r="R480">
        <f t="shared" si="87"/>
        <v>475</v>
      </c>
      <c r="S480" s="218">
        <f t="shared" ca="1" si="92"/>
        <v>0</v>
      </c>
      <c r="T480" s="218">
        <f t="shared" ca="1" si="93"/>
        <v>0</v>
      </c>
      <c r="U480" s="4">
        <v>475</v>
      </c>
      <c r="W480">
        <f t="shared" si="88"/>
        <v>475</v>
      </c>
      <c r="X480" s="218" t="e">
        <f t="shared" si="94"/>
        <v>#REF!</v>
      </c>
      <c r="Y480" s="218" t="e">
        <f t="shared" si="95"/>
        <v>#REF!</v>
      </c>
      <c r="Z480" s="4">
        <v>475</v>
      </c>
      <c r="AB480">
        <f t="shared" si="89"/>
        <v>475</v>
      </c>
      <c r="AC480" s="218" t="e">
        <f t="shared" si="96"/>
        <v>#REF!</v>
      </c>
      <c r="AD480" s="218" t="e">
        <f t="shared" si="97"/>
        <v>#REF!</v>
      </c>
      <c r="AE480" s="4">
        <v>475</v>
      </c>
    </row>
    <row r="481" spans="13:31">
      <c r="M481">
        <f t="shared" si="86"/>
        <v>476</v>
      </c>
      <c r="N481" s="218">
        <f t="shared" si="90"/>
        <v>0</v>
      </c>
      <c r="O481" s="218">
        <f t="shared" si="91"/>
        <v>0</v>
      </c>
      <c r="P481" s="4">
        <v>476</v>
      </c>
      <c r="R481">
        <f t="shared" si="87"/>
        <v>476</v>
      </c>
      <c r="S481" s="218">
        <f t="shared" ca="1" si="92"/>
        <v>0</v>
      </c>
      <c r="T481" s="218">
        <f t="shared" ca="1" si="93"/>
        <v>0</v>
      </c>
      <c r="U481" s="4">
        <v>476</v>
      </c>
      <c r="W481">
        <f t="shared" si="88"/>
        <v>476</v>
      </c>
      <c r="X481" s="218" t="e">
        <f t="shared" si="94"/>
        <v>#REF!</v>
      </c>
      <c r="Y481" s="218" t="e">
        <f t="shared" si="95"/>
        <v>#REF!</v>
      </c>
      <c r="Z481" s="4">
        <v>476</v>
      </c>
      <c r="AB481">
        <f t="shared" si="89"/>
        <v>476</v>
      </c>
      <c r="AC481" s="218" t="e">
        <f t="shared" si="96"/>
        <v>#REF!</v>
      </c>
      <c r="AD481" s="218" t="e">
        <f t="shared" si="97"/>
        <v>#REF!</v>
      </c>
      <c r="AE481" s="4">
        <v>476</v>
      </c>
    </row>
    <row r="482" spans="13:31">
      <c r="M482">
        <f t="shared" si="86"/>
        <v>477</v>
      </c>
      <c r="N482" s="218">
        <f t="shared" si="90"/>
        <v>0</v>
      </c>
      <c r="O482" s="218">
        <f t="shared" si="91"/>
        <v>0</v>
      </c>
      <c r="P482" s="4">
        <v>477</v>
      </c>
      <c r="R482">
        <f t="shared" si="87"/>
        <v>477</v>
      </c>
      <c r="S482" s="218">
        <f t="shared" ca="1" si="92"/>
        <v>0</v>
      </c>
      <c r="T482" s="218">
        <f t="shared" ca="1" si="93"/>
        <v>0</v>
      </c>
      <c r="U482" s="4">
        <v>477</v>
      </c>
      <c r="W482">
        <f t="shared" si="88"/>
        <v>477</v>
      </c>
      <c r="X482" s="218" t="e">
        <f t="shared" si="94"/>
        <v>#REF!</v>
      </c>
      <c r="Y482" s="218" t="e">
        <f t="shared" si="95"/>
        <v>#REF!</v>
      </c>
      <c r="Z482" s="4">
        <v>477</v>
      </c>
      <c r="AB482">
        <f t="shared" si="89"/>
        <v>477</v>
      </c>
      <c r="AC482" s="218" t="e">
        <f t="shared" si="96"/>
        <v>#REF!</v>
      </c>
      <c r="AD482" s="218" t="e">
        <f t="shared" si="97"/>
        <v>#REF!</v>
      </c>
      <c r="AE482" s="4">
        <v>477</v>
      </c>
    </row>
    <row r="483" spans="13:31">
      <c r="M483">
        <f t="shared" si="86"/>
        <v>478</v>
      </c>
      <c r="N483" s="218">
        <f t="shared" si="90"/>
        <v>0</v>
      </c>
      <c r="O483" s="218">
        <f t="shared" si="91"/>
        <v>0</v>
      </c>
      <c r="P483" s="4">
        <v>478</v>
      </c>
      <c r="R483">
        <f t="shared" si="87"/>
        <v>478</v>
      </c>
      <c r="S483" s="218">
        <f t="shared" ca="1" si="92"/>
        <v>0</v>
      </c>
      <c r="T483" s="218">
        <f t="shared" ca="1" si="93"/>
        <v>0</v>
      </c>
      <c r="U483" s="4">
        <v>478</v>
      </c>
      <c r="W483">
        <f t="shared" si="88"/>
        <v>478</v>
      </c>
      <c r="X483" s="218" t="e">
        <f t="shared" si="94"/>
        <v>#REF!</v>
      </c>
      <c r="Y483" s="218" t="e">
        <f t="shared" si="95"/>
        <v>#REF!</v>
      </c>
      <c r="Z483" s="4">
        <v>478</v>
      </c>
      <c r="AB483">
        <f t="shared" si="89"/>
        <v>478</v>
      </c>
      <c r="AC483" s="218" t="e">
        <f t="shared" si="96"/>
        <v>#REF!</v>
      </c>
      <c r="AD483" s="218" t="e">
        <f t="shared" si="97"/>
        <v>#REF!</v>
      </c>
      <c r="AE483" s="4">
        <v>478</v>
      </c>
    </row>
    <row r="484" spans="13:31">
      <c r="M484">
        <f t="shared" si="86"/>
        <v>479</v>
      </c>
      <c r="N484" s="218">
        <f t="shared" si="90"/>
        <v>0</v>
      </c>
      <c r="O484" s="218">
        <f t="shared" si="91"/>
        <v>0</v>
      </c>
      <c r="P484" s="4">
        <v>479</v>
      </c>
      <c r="R484">
        <f t="shared" si="87"/>
        <v>479</v>
      </c>
      <c r="S484" s="218">
        <f t="shared" ca="1" si="92"/>
        <v>0</v>
      </c>
      <c r="T484" s="218">
        <f t="shared" ca="1" si="93"/>
        <v>0</v>
      </c>
      <c r="U484" s="4">
        <v>479</v>
      </c>
      <c r="W484">
        <f t="shared" si="88"/>
        <v>479</v>
      </c>
      <c r="X484" s="218" t="e">
        <f t="shared" si="94"/>
        <v>#REF!</v>
      </c>
      <c r="Y484" s="218" t="e">
        <f t="shared" si="95"/>
        <v>#REF!</v>
      </c>
      <c r="Z484" s="4">
        <v>479</v>
      </c>
      <c r="AB484">
        <f t="shared" si="89"/>
        <v>479</v>
      </c>
      <c r="AC484" s="218" t="e">
        <f t="shared" si="96"/>
        <v>#REF!</v>
      </c>
      <c r="AD484" s="218" t="e">
        <f t="shared" si="97"/>
        <v>#REF!</v>
      </c>
      <c r="AE484" s="4">
        <v>479</v>
      </c>
    </row>
    <row r="485" spans="13:31">
      <c r="M485">
        <f t="shared" si="86"/>
        <v>480</v>
      </c>
      <c r="N485" s="218">
        <f t="shared" si="90"/>
        <v>0</v>
      </c>
      <c r="O485" s="218">
        <f t="shared" si="91"/>
        <v>0</v>
      </c>
      <c r="P485" s="4">
        <v>480</v>
      </c>
      <c r="R485">
        <f t="shared" si="87"/>
        <v>480</v>
      </c>
      <c r="S485" s="218">
        <f t="shared" ca="1" si="92"/>
        <v>0</v>
      </c>
      <c r="T485" s="218">
        <f t="shared" ca="1" si="93"/>
        <v>0</v>
      </c>
      <c r="U485" s="4">
        <v>480</v>
      </c>
      <c r="W485">
        <f t="shared" si="88"/>
        <v>480</v>
      </c>
      <c r="X485" s="218" t="e">
        <f t="shared" si="94"/>
        <v>#REF!</v>
      </c>
      <c r="Y485" s="218" t="e">
        <f t="shared" si="95"/>
        <v>#REF!</v>
      </c>
      <c r="Z485" s="4">
        <v>480</v>
      </c>
      <c r="AB485">
        <f t="shared" si="89"/>
        <v>480</v>
      </c>
      <c r="AC485" s="218" t="e">
        <f t="shared" si="96"/>
        <v>#REF!</v>
      </c>
      <c r="AD485" s="218" t="e">
        <f t="shared" si="97"/>
        <v>#REF!</v>
      </c>
      <c r="AE485" s="4">
        <v>480</v>
      </c>
    </row>
    <row r="486" spans="13:31">
      <c r="M486">
        <f t="shared" si="86"/>
        <v>481</v>
      </c>
      <c r="N486" s="218">
        <f t="shared" si="90"/>
        <v>0</v>
      </c>
      <c r="O486" s="218">
        <f t="shared" si="91"/>
        <v>0</v>
      </c>
      <c r="P486" s="4">
        <v>481</v>
      </c>
      <c r="R486">
        <f t="shared" si="87"/>
        <v>481</v>
      </c>
      <c r="S486" s="218">
        <f t="shared" ca="1" si="92"/>
        <v>0</v>
      </c>
      <c r="T486" s="218">
        <f t="shared" ca="1" si="93"/>
        <v>0</v>
      </c>
      <c r="U486" s="4">
        <v>481</v>
      </c>
      <c r="W486">
        <f t="shared" si="88"/>
        <v>481</v>
      </c>
      <c r="X486" s="218" t="e">
        <f t="shared" si="94"/>
        <v>#REF!</v>
      </c>
      <c r="Y486" s="218" t="e">
        <f t="shared" si="95"/>
        <v>#REF!</v>
      </c>
      <c r="Z486" s="4">
        <v>481</v>
      </c>
      <c r="AB486">
        <f t="shared" si="89"/>
        <v>481</v>
      </c>
      <c r="AC486" s="218" t="e">
        <f t="shared" si="96"/>
        <v>#REF!</v>
      </c>
      <c r="AD486" s="218" t="e">
        <f t="shared" si="97"/>
        <v>#REF!</v>
      </c>
      <c r="AE486" s="4">
        <v>481</v>
      </c>
    </row>
    <row r="487" spans="13:31">
      <c r="M487">
        <f t="shared" si="86"/>
        <v>482</v>
      </c>
      <c r="N487" s="218">
        <f t="shared" si="90"/>
        <v>0</v>
      </c>
      <c r="O487" s="218">
        <f t="shared" si="91"/>
        <v>0</v>
      </c>
      <c r="P487" s="4">
        <v>482</v>
      </c>
      <c r="R487">
        <f t="shared" si="87"/>
        <v>482</v>
      </c>
      <c r="S487" s="218">
        <f t="shared" ca="1" si="92"/>
        <v>0</v>
      </c>
      <c r="T487" s="218">
        <f t="shared" ca="1" si="93"/>
        <v>0</v>
      </c>
      <c r="U487" s="4">
        <v>482</v>
      </c>
      <c r="W487">
        <f t="shared" si="88"/>
        <v>482</v>
      </c>
      <c r="X487" s="218" t="e">
        <f t="shared" si="94"/>
        <v>#REF!</v>
      </c>
      <c r="Y487" s="218" t="e">
        <f t="shared" si="95"/>
        <v>#REF!</v>
      </c>
      <c r="Z487" s="4">
        <v>482</v>
      </c>
      <c r="AB487">
        <f t="shared" si="89"/>
        <v>482</v>
      </c>
      <c r="AC487" s="218" t="e">
        <f t="shared" si="96"/>
        <v>#REF!</v>
      </c>
      <c r="AD487" s="218" t="e">
        <f t="shared" si="97"/>
        <v>#REF!</v>
      </c>
      <c r="AE487" s="4">
        <v>482</v>
      </c>
    </row>
    <row r="488" spans="13:31">
      <c r="M488">
        <f t="shared" si="86"/>
        <v>483</v>
      </c>
      <c r="N488" s="218">
        <f t="shared" si="90"/>
        <v>0</v>
      </c>
      <c r="O488" s="218">
        <f t="shared" si="91"/>
        <v>0</v>
      </c>
      <c r="P488" s="4">
        <v>483</v>
      </c>
      <c r="R488">
        <f t="shared" si="87"/>
        <v>483</v>
      </c>
      <c r="S488" s="218">
        <f t="shared" ca="1" si="92"/>
        <v>0</v>
      </c>
      <c r="T488" s="218">
        <f t="shared" ca="1" si="93"/>
        <v>0</v>
      </c>
      <c r="U488" s="4">
        <v>483</v>
      </c>
      <c r="W488">
        <f t="shared" si="88"/>
        <v>483</v>
      </c>
      <c r="X488" s="218" t="e">
        <f t="shared" si="94"/>
        <v>#REF!</v>
      </c>
      <c r="Y488" s="218" t="e">
        <f t="shared" si="95"/>
        <v>#REF!</v>
      </c>
      <c r="Z488" s="4">
        <v>483</v>
      </c>
      <c r="AB488">
        <f t="shared" si="89"/>
        <v>483</v>
      </c>
      <c r="AC488" s="218" t="e">
        <f t="shared" si="96"/>
        <v>#REF!</v>
      </c>
      <c r="AD488" s="218" t="e">
        <f t="shared" si="97"/>
        <v>#REF!</v>
      </c>
      <c r="AE488" s="4">
        <v>483</v>
      </c>
    </row>
    <row r="489" spans="13:31">
      <c r="M489">
        <f t="shared" si="86"/>
        <v>484</v>
      </c>
      <c r="N489" s="218">
        <f t="shared" si="90"/>
        <v>0</v>
      </c>
      <c r="O489" s="218">
        <f t="shared" si="91"/>
        <v>0</v>
      </c>
      <c r="P489" s="4">
        <v>484</v>
      </c>
      <c r="R489">
        <f t="shared" si="87"/>
        <v>484</v>
      </c>
      <c r="S489" s="218">
        <f t="shared" ca="1" si="92"/>
        <v>0</v>
      </c>
      <c r="T489" s="218">
        <f t="shared" ca="1" si="93"/>
        <v>0</v>
      </c>
      <c r="U489" s="4">
        <v>484</v>
      </c>
      <c r="W489">
        <f t="shared" si="88"/>
        <v>484</v>
      </c>
      <c r="X489" s="218" t="e">
        <f t="shared" si="94"/>
        <v>#REF!</v>
      </c>
      <c r="Y489" s="218" t="e">
        <f t="shared" si="95"/>
        <v>#REF!</v>
      </c>
      <c r="Z489" s="4">
        <v>484</v>
      </c>
      <c r="AB489">
        <f t="shared" si="89"/>
        <v>484</v>
      </c>
      <c r="AC489" s="218" t="e">
        <f t="shared" si="96"/>
        <v>#REF!</v>
      </c>
      <c r="AD489" s="218" t="e">
        <f t="shared" si="97"/>
        <v>#REF!</v>
      </c>
      <c r="AE489" s="4">
        <v>484</v>
      </c>
    </row>
    <row r="490" spans="13:31">
      <c r="M490">
        <f t="shared" si="86"/>
        <v>485</v>
      </c>
      <c r="N490" s="218">
        <f t="shared" si="90"/>
        <v>0</v>
      </c>
      <c r="O490" s="218">
        <f t="shared" si="91"/>
        <v>0</v>
      </c>
      <c r="P490" s="4">
        <v>485</v>
      </c>
      <c r="R490">
        <f t="shared" si="87"/>
        <v>485</v>
      </c>
      <c r="S490" s="218">
        <f t="shared" ca="1" si="92"/>
        <v>0</v>
      </c>
      <c r="T490" s="218">
        <f t="shared" ca="1" si="93"/>
        <v>0</v>
      </c>
      <c r="U490" s="4">
        <v>485</v>
      </c>
      <c r="W490">
        <f t="shared" si="88"/>
        <v>485</v>
      </c>
      <c r="X490" s="218" t="e">
        <f t="shared" si="94"/>
        <v>#REF!</v>
      </c>
      <c r="Y490" s="218" t="e">
        <f t="shared" si="95"/>
        <v>#REF!</v>
      </c>
      <c r="Z490" s="4">
        <v>485</v>
      </c>
      <c r="AB490">
        <f t="shared" si="89"/>
        <v>485</v>
      </c>
      <c r="AC490" s="218" t="e">
        <f t="shared" si="96"/>
        <v>#REF!</v>
      </c>
      <c r="AD490" s="218" t="e">
        <f t="shared" si="97"/>
        <v>#REF!</v>
      </c>
      <c r="AE490" s="4">
        <v>485</v>
      </c>
    </row>
    <row r="491" spans="13:31">
      <c r="M491">
        <f t="shared" si="86"/>
        <v>486</v>
      </c>
      <c r="N491" s="218">
        <f t="shared" si="90"/>
        <v>0</v>
      </c>
      <c r="O491" s="218">
        <f t="shared" si="91"/>
        <v>0</v>
      </c>
      <c r="P491" s="4">
        <v>486</v>
      </c>
      <c r="R491">
        <f t="shared" si="87"/>
        <v>486</v>
      </c>
      <c r="S491" s="218">
        <f t="shared" ca="1" si="92"/>
        <v>0</v>
      </c>
      <c r="T491" s="218">
        <f t="shared" ca="1" si="93"/>
        <v>0</v>
      </c>
      <c r="U491" s="4">
        <v>486</v>
      </c>
      <c r="W491">
        <f t="shared" si="88"/>
        <v>486</v>
      </c>
      <c r="X491" s="218" t="e">
        <f t="shared" si="94"/>
        <v>#REF!</v>
      </c>
      <c r="Y491" s="218" t="e">
        <f t="shared" si="95"/>
        <v>#REF!</v>
      </c>
      <c r="Z491" s="4">
        <v>486</v>
      </c>
      <c r="AB491">
        <f t="shared" si="89"/>
        <v>486</v>
      </c>
      <c r="AC491" s="218" t="e">
        <f t="shared" si="96"/>
        <v>#REF!</v>
      </c>
      <c r="AD491" s="218" t="e">
        <f t="shared" si="97"/>
        <v>#REF!</v>
      </c>
      <c r="AE491" s="4">
        <v>486</v>
      </c>
    </row>
    <row r="492" spans="13:31">
      <c r="M492">
        <f t="shared" si="86"/>
        <v>487</v>
      </c>
      <c r="N492" s="218">
        <f t="shared" si="90"/>
        <v>0</v>
      </c>
      <c r="O492" s="218">
        <f t="shared" si="91"/>
        <v>0</v>
      </c>
      <c r="P492" s="4">
        <v>487</v>
      </c>
      <c r="R492">
        <f t="shared" si="87"/>
        <v>487</v>
      </c>
      <c r="S492" s="218">
        <f t="shared" ca="1" si="92"/>
        <v>0</v>
      </c>
      <c r="T492" s="218">
        <f t="shared" ca="1" si="93"/>
        <v>0</v>
      </c>
      <c r="U492" s="4">
        <v>487</v>
      </c>
      <c r="W492">
        <f t="shared" si="88"/>
        <v>487</v>
      </c>
      <c r="X492" s="218" t="e">
        <f t="shared" si="94"/>
        <v>#REF!</v>
      </c>
      <c r="Y492" s="218" t="e">
        <f t="shared" si="95"/>
        <v>#REF!</v>
      </c>
      <c r="Z492" s="4">
        <v>487</v>
      </c>
      <c r="AB492">
        <f t="shared" si="89"/>
        <v>487</v>
      </c>
      <c r="AC492" s="218" t="e">
        <f t="shared" si="96"/>
        <v>#REF!</v>
      </c>
      <c r="AD492" s="218" t="e">
        <f t="shared" si="97"/>
        <v>#REF!</v>
      </c>
      <c r="AE492" s="4">
        <v>487</v>
      </c>
    </row>
    <row r="493" spans="13:31">
      <c r="M493">
        <f t="shared" si="86"/>
        <v>488</v>
      </c>
      <c r="N493" s="218">
        <f t="shared" si="90"/>
        <v>0</v>
      </c>
      <c r="O493" s="218">
        <f t="shared" si="91"/>
        <v>0</v>
      </c>
      <c r="P493" s="4">
        <v>488</v>
      </c>
      <c r="R493">
        <f t="shared" si="87"/>
        <v>488</v>
      </c>
      <c r="S493" s="218">
        <f t="shared" ca="1" si="92"/>
        <v>0</v>
      </c>
      <c r="T493" s="218">
        <f t="shared" ca="1" si="93"/>
        <v>0</v>
      </c>
      <c r="U493" s="4">
        <v>488</v>
      </c>
      <c r="W493">
        <f t="shared" si="88"/>
        <v>488</v>
      </c>
      <c r="X493" s="218" t="e">
        <f t="shared" si="94"/>
        <v>#REF!</v>
      </c>
      <c r="Y493" s="218" t="e">
        <f t="shared" si="95"/>
        <v>#REF!</v>
      </c>
      <c r="Z493" s="4">
        <v>488</v>
      </c>
      <c r="AB493">
        <f t="shared" si="89"/>
        <v>488</v>
      </c>
      <c r="AC493" s="218" t="e">
        <f t="shared" si="96"/>
        <v>#REF!</v>
      </c>
      <c r="AD493" s="218" t="e">
        <f t="shared" si="97"/>
        <v>#REF!</v>
      </c>
      <c r="AE493" s="4">
        <v>488</v>
      </c>
    </row>
    <row r="494" spans="13:31">
      <c r="M494">
        <f t="shared" si="86"/>
        <v>489</v>
      </c>
      <c r="N494" s="218">
        <f t="shared" si="90"/>
        <v>0</v>
      </c>
      <c r="O494" s="218">
        <f t="shared" si="91"/>
        <v>0</v>
      </c>
      <c r="P494" s="4">
        <v>489</v>
      </c>
      <c r="R494">
        <f t="shared" si="87"/>
        <v>489</v>
      </c>
      <c r="S494" s="218">
        <f t="shared" ca="1" si="92"/>
        <v>0</v>
      </c>
      <c r="T494" s="218">
        <f t="shared" ca="1" si="93"/>
        <v>0</v>
      </c>
      <c r="U494" s="4">
        <v>489</v>
      </c>
      <c r="W494">
        <f t="shared" si="88"/>
        <v>489</v>
      </c>
      <c r="X494" s="218" t="e">
        <f t="shared" si="94"/>
        <v>#REF!</v>
      </c>
      <c r="Y494" s="218" t="e">
        <f t="shared" si="95"/>
        <v>#REF!</v>
      </c>
      <c r="Z494" s="4">
        <v>489</v>
      </c>
      <c r="AB494">
        <f t="shared" si="89"/>
        <v>489</v>
      </c>
      <c r="AC494" s="218" t="e">
        <f t="shared" si="96"/>
        <v>#REF!</v>
      </c>
      <c r="AD494" s="218" t="e">
        <f t="shared" si="97"/>
        <v>#REF!</v>
      </c>
      <c r="AE494" s="4">
        <v>489</v>
      </c>
    </row>
    <row r="495" spans="13:31">
      <c r="M495">
        <f t="shared" si="86"/>
        <v>490</v>
      </c>
      <c r="N495" s="218">
        <f t="shared" si="90"/>
        <v>0</v>
      </c>
      <c r="O495" s="218">
        <f t="shared" si="91"/>
        <v>0</v>
      </c>
      <c r="P495" s="4">
        <v>490</v>
      </c>
      <c r="R495">
        <f t="shared" si="87"/>
        <v>490</v>
      </c>
      <c r="S495" s="218">
        <f t="shared" ca="1" si="92"/>
        <v>0</v>
      </c>
      <c r="T495" s="218">
        <f t="shared" ca="1" si="93"/>
        <v>0</v>
      </c>
      <c r="U495" s="4">
        <v>490</v>
      </c>
      <c r="W495">
        <f t="shared" si="88"/>
        <v>490</v>
      </c>
      <c r="X495" s="218" t="e">
        <f t="shared" si="94"/>
        <v>#REF!</v>
      </c>
      <c r="Y495" s="218" t="e">
        <f t="shared" si="95"/>
        <v>#REF!</v>
      </c>
      <c r="Z495" s="4">
        <v>490</v>
      </c>
      <c r="AB495">
        <f t="shared" si="89"/>
        <v>490</v>
      </c>
      <c r="AC495" s="218" t="e">
        <f t="shared" si="96"/>
        <v>#REF!</v>
      </c>
      <c r="AD495" s="218" t="e">
        <f t="shared" si="97"/>
        <v>#REF!</v>
      </c>
      <c r="AE495" s="4">
        <v>490</v>
      </c>
    </row>
    <row r="496" spans="13:31">
      <c r="M496">
        <f t="shared" si="86"/>
        <v>491</v>
      </c>
      <c r="N496" s="218">
        <f t="shared" si="90"/>
        <v>0</v>
      </c>
      <c r="O496" s="218">
        <f t="shared" si="91"/>
        <v>0</v>
      </c>
      <c r="P496" s="4">
        <v>491</v>
      </c>
      <c r="R496">
        <f t="shared" si="87"/>
        <v>491</v>
      </c>
      <c r="S496" s="218">
        <f t="shared" ca="1" si="92"/>
        <v>0</v>
      </c>
      <c r="T496" s="218">
        <f t="shared" ca="1" si="93"/>
        <v>0</v>
      </c>
      <c r="U496" s="4">
        <v>491</v>
      </c>
      <c r="W496">
        <f t="shared" si="88"/>
        <v>491</v>
      </c>
      <c r="X496" s="218" t="e">
        <f t="shared" si="94"/>
        <v>#REF!</v>
      </c>
      <c r="Y496" s="218" t="e">
        <f t="shared" si="95"/>
        <v>#REF!</v>
      </c>
      <c r="Z496" s="4">
        <v>491</v>
      </c>
      <c r="AB496">
        <f t="shared" si="89"/>
        <v>491</v>
      </c>
      <c r="AC496" s="218" t="e">
        <f t="shared" si="96"/>
        <v>#REF!</v>
      </c>
      <c r="AD496" s="218" t="e">
        <f t="shared" si="97"/>
        <v>#REF!</v>
      </c>
      <c r="AE496" s="4">
        <v>491</v>
      </c>
    </row>
    <row r="497" spans="13:31">
      <c r="M497">
        <f t="shared" si="86"/>
        <v>492</v>
      </c>
      <c r="N497" s="218">
        <f t="shared" si="90"/>
        <v>0</v>
      </c>
      <c r="O497" s="218">
        <f t="shared" si="91"/>
        <v>0</v>
      </c>
      <c r="P497" s="4">
        <v>492</v>
      </c>
      <c r="R497">
        <f t="shared" si="87"/>
        <v>492</v>
      </c>
      <c r="S497" s="218">
        <f t="shared" ca="1" si="92"/>
        <v>0</v>
      </c>
      <c r="T497" s="218">
        <f t="shared" ca="1" si="93"/>
        <v>0</v>
      </c>
      <c r="U497" s="4">
        <v>492</v>
      </c>
      <c r="W497">
        <f t="shared" si="88"/>
        <v>492</v>
      </c>
      <c r="X497" s="218" t="e">
        <f t="shared" si="94"/>
        <v>#REF!</v>
      </c>
      <c r="Y497" s="218" t="e">
        <f t="shared" si="95"/>
        <v>#REF!</v>
      </c>
      <c r="Z497" s="4">
        <v>492</v>
      </c>
      <c r="AB497">
        <f t="shared" si="89"/>
        <v>492</v>
      </c>
      <c r="AC497" s="218" t="e">
        <f t="shared" si="96"/>
        <v>#REF!</v>
      </c>
      <c r="AD497" s="218" t="e">
        <f t="shared" si="97"/>
        <v>#REF!</v>
      </c>
      <c r="AE497" s="4">
        <v>492</v>
      </c>
    </row>
    <row r="498" spans="13:31">
      <c r="M498">
        <f t="shared" si="86"/>
        <v>493</v>
      </c>
      <c r="N498" s="218">
        <f t="shared" si="90"/>
        <v>0</v>
      </c>
      <c r="O498" s="218">
        <f t="shared" si="91"/>
        <v>0</v>
      </c>
      <c r="P498" s="4">
        <v>493</v>
      </c>
      <c r="R498">
        <f t="shared" si="87"/>
        <v>493</v>
      </c>
      <c r="S498" s="218">
        <f t="shared" ca="1" si="92"/>
        <v>0</v>
      </c>
      <c r="T498" s="218">
        <f t="shared" ca="1" si="93"/>
        <v>0</v>
      </c>
      <c r="U498" s="4">
        <v>493</v>
      </c>
      <c r="W498">
        <f t="shared" si="88"/>
        <v>493</v>
      </c>
      <c r="X498" s="218" t="e">
        <f t="shared" si="94"/>
        <v>#REF!</v>
      </c>
      <c r="Y498" s="218" t="e">
        <f t="shared" si="95"/>
        <v>#REF!</v>
      </c>
      <c r="Z498" s="4">
        <v>493</v>
      </c>
      <c r="AB498">
        <f t="shared" si="89"/>
        <v>493</v>
      </c>
      <c r="AC498" s="218" t="e">
        <f t="shared" si="96"/>
        <v>#REF!</v>
      </c>
      <c r="AD498" s="218" t="e">
        <f t="shared" si="97"/>
        <v>#REF!</v>
      </c>
      <c r="AE498" s="4">
        <v>493</v>
      </c>
    </row>
    <row r="499" spans="13:31">
      <c r="M499">
        <f t="shared" si="86"/>
        <v>494</v>
      </c>
      <c r="N499" s="218">
        <f t="shared" si="90"/>
        <v>0</v>
      </c>
      <c r="O499" s="218">
        <f t="shared" si="91"/>
        <v>0</v>
      </c>
      <c r="P499" s="4">
        <v>494</v>
      </c>
      <c r="R499">
        <f t="shared" si="87"/>
        <v>494</v>
      </c>
      <c r="S499" s="218">
        <f t="shared" ca="1" si="92"/>
        <v>0</v>
      </c>
      <c r="T499" s="218">
        <f t="shared" ca="1" si="93"/>
        <v>0</v>
      </c>
      <c r="U499" s="4">
        <v>494</v>
      </c>
      <c r="W499">
        <f t="shared" si="88"/>
        <v>494</v>
      </c>
      <c r="X499" s="218" t="e">
        <f t="shared" si="94"/>
        <v>#REF!</v>
      </c>
      <c r="Y499" s="218" t="e">
        <f t="shared" si="95"/>
        <v>#REF!</v>
      </c>
      <c r="Z499" s="4">
        <v>494</v>
      </c>
      <c r="AB499">
        <f t="shared" si="89"/>
        <v>494</v>
      </c>
      <c r="AC499" s="218" t="e">
        <f t="shared" si="96"/>
        <v>#REF!</v>
      </c>
      <c r="AD499" s="218" t="e">
        <f t="shared" si="97"/>
        <v>#REF!</v>
      </c>
      <c r="AE499" s="4">
        <v>494</v>
      </c>
    </row>
    <row r="500" spans="13:31">
      <c r="M500">
        <f t="shared" si="86"/>
        <v>495</v>
      </c>
      <c r="N500" s="218">
        <f t="shared" si="90"/>
        <v>0</v>
      </c>
      <c r="O500" s="218">
        <f t="shared" si="91"/>
        <v>0</v>
      </c>
      <c r="P500" s="4">
        <v>495</v>
      </c>
      <c r="R500">
        <f t="shared" si="87"/>
        <v>495</v>
      </c>
      <c r="S500" s="218">
        <f t="shared" ca="1" si="92"/>
        <v>0</v>
      </c>
      <c r="T500" s="218">
        <f t="shared" ca="1" si="93"/>
        <v>0</v>
      </c>
      <c r="U500" s="4">
        <v>495</v>
      </c>
      <c r="W500">
        <f t="shared" si="88"/>
        <v>495</v>
      </c>
      <c r="X500" s="218" t="e">
        <f t="shared" si="94"/>
        <v>#REF!</v>
      </c>
      <c r="Y500" s="218" t="e">
        <f t="shared" si="95"/>
        <v>#REF!</v>
      </c>
      <c r="Z500" s="4">
        <v>495</v>
      </c>
      <c r="AB500">
        <f t="shared" si="89"/>
        <v>495</v>
      </c>
      <c r="AC500" s="218" t="e">
        <f t="shared" si="96"/>
        <v>#REF!</v>
      </c>
      <c r="AD500" s="218" t="e">
        <f t="shared" si="97"/>
        <v>#REF!</v>
      </c>
      <c r="AE500" s="4">
        <v>495</v>
      </c>
    </row>
    <row r="501" spans="13:31">
      <c r="M501">
        <f t="shared" si="86"/>
        <v>496</v>
      </c>
      <c r="N501" s="218">
        <f t="shared" si="90"/>
        <v>0</v>
      </c>
      <c r="O501" s="218">
        <f t="shared" si="91"/>
        <v>0</v>
      </c>
      <c r="P501" s="4">
        <v>496</v>
      </c>
      <c r="R501">
        <f t="shared" si="87"/>
        <v>496</v>
      </c>
      <c r="S501" s="218">
        <f t="shared" ca="1" si="92"/>
        <v>0</v>
      </c>
      <c r="T501" s="218">
        <f t="shared" ca="1" si="93"/>
        <v>0</v>
      </c>
      <c r="U501" s="4">
        <v>496</v>
      </c>
      <c r="W501">
        <f t="shared" si="88"/>
        <v>496</v>
      </c>
      <c r="X501" s="218" t="e">
        <f t="shared" si="94"/>
        <v>#REF!</v>
      </c>
      <c r="Y501" s="218" t="e">
        <f t="shared" si="95"/>
        <v>#REF!</v>
      </c>
      <c r="Z501" s="4">
        <v>496</v>
      </c>
      <c r="AB501">
        <f t="shared" si="89"/>
        <v>496</v>
      </c>
      <c r="AC501" s="218" t="e">
        <f t="shared" si="96"/>
        <v>#REF!</v>
      </c>
      <c r="AD501" s="218" t="e">
        <f t="shared" si="97"/>
        <v>#REF!</v>
      </c>
      <c r="AE501" s="4">
        <v>496</v>
      </c>
    </row>
    <row r="502" spans="13:31">
      <c r="M502">
        <f t="shared" si="86"/>
        <v>497</v>
      </c>
      <c r="N502" s="218">
        <f t="shared" si="90"/>
        <v>0</v>
      </c>
      <c r="O502" s="218">
        <f t="shared" si="91"/>
        <v>0</v>
      </c>
      <c r="P502" s="4">
        <v>497</v>
      </c>
      <c r="R502">
        <f t="shared" si="87"/>
        <v>497</v>
      </c>
      <c r="S502" s="218">
        <f t="shared" ca="1" si="92"/>
        <v>0</v>
      </c>
      <c r="T502" s="218">
        <f t="shared" ca="1" si="93"/>
        <v>0</v>
      </c>
      <c r="U502" s="4">
        <v>497</v>
      </c>
      <c r="W502">
        <f t="shared" si="88"/>
        <v>497</v>
      </c>
      <c r="X502" s="218" t="e">
        <f t="shared" si="94"/>
        <v>#REF!</v>
      </c>
      <c r="Y502" s="218" t="e">
        <f t="shared" si="95"/>
        <v>#REF!</v>
      </c>
      <c r="Z502" s="4">
        <v>497</v>
      </c>
      <c r="AB502">
        <f t="shared" si="89"/>
        <v>497</v>
      </c>
      <c r="AC502" s="218" t="e">
        <f t="shared" si="96"/>
        <v>#REF!</v>
      </c>
      <c r="AD502" s="218" t="e">
        <f t="shared" si="97"/>
        <v>#REF!</v>
      </c>
      <c r="AE502" s="4">
        <v>497</v>
      </c>
    </row>
    <row r="503" spans="13:31">
      <c r="M503">
        <f t="shared" si="86"/>
        <v>498</v>
      </c>
      <c r="N503" s="218">
        <f t="shared" si="90"/>
        <v>0</v>
      </c>
      <c r="O503" s="218">
        <f t="shared" si="91"/>
        <v>0</v>
      </c>
      <c r="P503" s="4">
        <v>498</v>
      </c>
      <c r="R503">
        <f t="shared" si="87"/>
        <v>498</v>
      </c>
      <c r="S503" s="218">
        <f t="shared" ca="1" si="92"/>
        <v>0</v>
      </c>
      <c r="T503" s="218">
        <f t="shared" ca="1" si="93"/>
        <v>0</v>
      </c>
      <c r="U503" s="4">
        <v>498</v>
      </c>
      <c r="W503">
        <f t="shared" si="88"/>
        <v>498</v>
      </c>
      <c r="X503" s="218" t="e">
        <f t="shared" si="94"/>
        <v>#REF!</v>
      </c>
      <c r="Y503" s="218" t="e">
        <f t="shared" si="95"/>
        <v>#REF!</v>
      </c>
      <c r="Z503" s="4">
        <v>498</v>
      </c>
      <c r="AB503">
        <f t="shared" si="89"/>
        <v>498</v>
      </c>
      <c r="AC503" s="218" t="e">
        <f t="shared" si="96"/>
        <v>#REF!</v>
      </c>
      <c r="AD503" s="218" t="e">
        <f t="shared" si="97"/>
        <v>#REF!</v>
      </c>
      <c r="AE503" s="4">
        <v>498</v>
      </c>
    </row>
    <row r="504" spans="13:31">
      <c r="M504">
        <f t="shared" si="86"/>
        <v>499</v>
      </c>
      <c r="N504" s="218">
        <f t="shared" si="90"/>
        <v>0</v>
      </c>
      <c r="O504" s="218">
        <f t="shared" si="91"/>
        <v>0</v>
      </c>
      <c r="P504" s="4">
        <v>499</v>
      </c>
      <c r="R504">
        <f t="shared" si="87"/>
        <v>499</v>
      </c>
      <c r="S504" s="218">
        <f t="shared" ca="1" si="92"/>
        <v>0</v>
      </c>
      <c r="T504" s="218">
        <f t="shared" ca="1" si="93"/>
        <v>0</v>
      </c>
      <c r="U504" s="4">
        <v>499</v>
      </c>
      <c r="W504">
        <f t="shared" si="88"/>
        <v>499</v>
      </c>
      <c r="X504" s="218" t="e">
        <f t="shared" si="94"/>
        <v>#REF!</v>
      </c>
      <c r="Y504" s="218" t="e">
        <f t="shared" si="95"/>
        <v>#REF!</v>
      </c>
      <c r="Z504" s="4">
        <v>499</v>
      </c>
      <c r="AB504">
        <f t="shared" si="89"/>
        <v>499</v>
      </c>
      <c r="AC504" s="218" t="e">
        <f t="shared" si="96"/>
        <v>#REF!</v>
      </c>
      <c r="AD504" s="218" t="e">
        <f t="shared" si="97"/>
        <v>#REF!</v>
      </c>
      <c r="AE504" s="4">
        <v>499</v>
      </c>
    </row>
    <row r="505" spans="13:31">
      <c r="M505">
        <f t="shared" si="86"/>
        <v>500</v>
      </c>
      <c r="N505" s="218">
        <f t="shared" si="90"/>
        <v>0</v>
      </c>
      <c r="O505" s="218">
        <f t="shared" si="91"/>
        <v>0</v>
      </c>
      <c r="P505" s="4">
        <v>500</v>
      </c>
      <c r="R505">
        <f t="shared" si="87"/>
        <v>500</v>
      </c>
      <c r="S505" s="218">
        <f t="shared" ca="1" si="92"/>
        <v>0</v>
      </c>
      <c r="T505" s="218">
        <f t="shared" ca="1" si="93"/>
        <v>0</v>
      </c>
      <c r="U505" s="4">
        <v>500</v>
      </c>
      <c r="W505">
        <f t="shared" si="88"/>
        <v>500</v>
      </c>
      <c r="X505" s="218" t="e">
        <f t="shared" si="94"/>
        <v>#REF!</v>
      </c>
      <c r="Y505" s="218" t="e">
        <f t="shared" si="95"/>
        <v>#REF!</v>
      </c>
      <c r="Z505" s="4">
        <v>500</v>
      </c>
      <c r="AB505">
        <f t="shared" si="89"/>
        <v>500</v>
      </c>
      <c r="AC505" s="218" t="e">
        <f t="shared" si="96"/>
        <v>#REF!</v>
      </c>
      <c r="AD505" s="218" t="e">
        <f t="shared" si="97"/>
        <v>#REF!</v>
      </c>
      <c r="AE505" s="4">
        <v>500</v>
      </c>
    </row>
    <row r="506" spans="13:31">
      <c r="M506">
        <f t="shared" si="86"/>
        <v>501</v>
      </c>
      <c r="N506" s="218">
        <f t="shared" si="90"/>
        <v>0</v>
      </c>
      <c r="O506" s="218">
        <f t="shared" si="91"/>
        <v>0</v>
      </c>
      <c r="P506" s="4">
        <v>501</v>
      </c>
      <c r="R506">
        <f t="shared" si="87"/>
        <v>501</v>
      </c>
      <c r="S506" s="218">
        <f t="shared" ca="1" si="92"/>
        <v>0</v>
      </c>
      <c r="T506" s="218">
        <f t="shared" ca="1" si="93"/>
        <v>0</v>
      </c>
      <c r="U506" s="4">
        <v>501</v>
      </c>
      <c r="W506">
        <f t="shared" si="88"/>
        <v>501</v>
      </c>
      <c r="X506" s="218" t="e">
        <f t="shared" si="94"/>
        <v>#REF!</v>
      </c>
      <c r="Y506" s="218" t="e">
        <f t="shared" si="95"/>
        <v>#REF!</v>
      </c>
      <c r="Z506" s="4">
        <v>501</v>
      </c>
      <c r="AB506">
        <f t="shared" si="89"/>
        <v>501</v>
      </c>
      <c r="AC506" s="218" t="e">
        <f t="shared" si="96"/>
        <v>#REF!</v>
      </c>
      <c r="AD506" s="218" t="e">
        <f t="shared" si="97"/>
        <v>#REF!</v>
      </c>
      <c r="AE506" s="4">
        <v>501</v>
      </c>
    </row>
    <row r="507" spans="13:31">
      <c r="M507">
        <f t="shared" si="86"/>
        <v>502</v>
      </c>
      <c r="N507" s="218">
        <f t="shared" si="90"/>
        <v>0</v>
      </c>
      <c r="O507" s="218">
        <f t="shared" si="91"/>
        <v>0</v>
      </c>
      <c r="P507" s="4">
        <v>502</v>
      </c>
      <c r="R507">
        <f t="shared" si="87"/>
        <v>502</v>
      </c>
      <c r="S507" s="218">
        <f t="shared" ca="1" si="92"/>
        <v>0</v>
      </c>
      <c r="T507" s="218">
        <f t="shared" ca="1" si="93"/>
        <v>0</v>
      </c>
      <c r="U507" s="4">
        <v>502</v>
      </c>
      <c r="W507">
        <f t="shared" si="88"/>
        <v>502</v>
      </c>
      <c r="X507" s="218" t="e">
        <f t="shared" si="94"/>
        <v>#REF!</v>
      </c>
      <c r="Y507" s="218" t="e">
        <f t="shared" si="95"/>
        <v>#REF!</v>
      </c>
      <c r="Z507" s="4">
        <v>502</v>
      </c>
      <c r="AB507">
        <f t="shared" si="89"/>
        <v>502</v>
      </c>
      <c r="AC507" s="218" t="e">
        <f t="shared" si="96"/>
        <v>#REF!</v>
      </c>
      <c r="AD507" s="218" t="e">
        <f t="shared" si="97"/>
        <v>#REF!</v>
      </c>
      <c r="AE507" s="4">
        <v>502</v>
      </c>
    </row>
    <row r="508" spans="13:31">
      <c r="M508">
        <f t="shared" si="86"/>
        <v>503</v>
      </c>
      <c r="N508" s="218">
        <f t="shared" si="90"/>
        <v>0</v>
      </c>
      <c r="O508" s="218">
        <f t="shared" si="91"/>
        <v>0</v>
      </c>
      <c r="P508" s="4">
        <v>503</v>
      </c>
      <c r="R508">
        <f t="shared" si="87"/>
        <v>503</v>
      </c>
      <c r="S508" s="218">
        <f t="shared" ca="1" si="92"/>
        <v>0</v>
      </c>
      <c r="T508" s="218">
        <f t="shared" ca="1" si="93"/>
        <v>0</v>
      </c>
      <c r="U508" s="4">
        <v>503</v>
      </c>
      <c r="W508">
        <f t="shared" si="88"/>
        <v>503</v>
      </c>
      <c r="X508" s="218" t="e">
        <f t="shared" si="94"/>
        <v>#REF!</v>
      </c>
      <c r="Y508" s="218" t="e">
        <f t="shared" si="95"/>
        <v>#REF!</v>
      </c>
      <c r="Z508" s="4">
        <v>503</v>
      </c>
      <c r="AB508">
        <f t="shared" si="89"/>
        <v>503</v>
      </c>
      <c r="AC508" s="218" t="e">
        <f t="shared" si="96"/>
        <v>#REF!</v>
      </c>
      <c r="AD508" s="218" t="e">
        <f t="shared" si="97"/>
        <v>#REF!</v>
      </c>
      <c r="AE508" s="4">
        <v>503</v>
      </c>
    </row>
    <row r="509" spans="13:31">
      <c r="M509">
        <f t="shared" si="86"/>
        <v>504</v>
      </c>
      <c r="N509" s="218">
        <f t="shared" si="90"/>
        <v>0</v>
      </c>
      <c r="O509" s="218">
        <f t="shared" si="91"/>
        <v>0</v>
      </c>
      <c r="P509" s="4">
        <v>504</v>
      </c>
      <c r="R509">
        <f t="shared" si="87"/>
        <v>504</v>
      </c>
      <c r="S509" s="218">
        <f t="shared" ca="1" si="92"/>
        <v>0</v>
      </c>
      <c r="T509" s="218">
        <f t="shared" ca="1" si="93"/>
        <v>0</v>
      </c>
      <c r="U509" s="4">
        <v>504</v>
      </c>
      <c r="W509">
        <f t="shared" si="88"/>
        <v>504</v>
      </c>
      <c r="X509" s="218" t="e">
        <f t="shared" si="94"/>
        <v>#REF!</v>
      </c>
      <c r="Y509" s="218" t="e">
        <f t="shared" si="95"/>
        <v>#REF!</v>
      </c>
      <c r="Z509" s="4">
        <v>504</v>
      </c>
      <c r="AB509">
        <f t="shared" si="89"/>
        <v>504</v>
      </c>
      <c r="AC509" s="218" t="e">
        <f t="shared" si="96"/>
        <v>#REF!</v>
      </c>
      <c r="AD509" s="218" t="e">
        <f t="shared" si="97"/>
        <v>#REF!</v>
      </c>
      <c r="AE509" s="4">
        <v>504</v>
      </c>
    </row>
    <row r="510" spans="13:31">
      <c r="M510">
        <f t="shared" si="86"/>
        <v>505</v>
      </c>
      <c r="N510" s="218">
        <f t="shared" si="90"/>
        <v>0</v>
      </c>
      <c r="O510" s="218">
        <f t="shared" si="91"/>
        <v>0</v>
      </c>
      <c r="P510" s="4">
        <v>505</v>
      </c>
      <c r="R510">
        <f t="shared" si="87"/>
        <v>505</v>
      </c>
      <c r="S510" s="218">
        <f t="shared" ca="1" si="92"/>
        <v>0</v>
      </c>
      <c r="T510" s="218">
        <f t="shared" ca="1" si="93"/>
        <v>0</v>
      </c>
      <c r="U510" s="4">
        <v>505</v>
      </c>
      <c r="W510">
        <f t="shared" si="88"/>
        <v>505</v>
      </c>
      <c r="X510" s="218" t="e">
        <f t="shared" si="94"/>
        <v>#REF!</v>
      </c>
      <c r="Y510" s="218" t="e">
        <f t="shared" si="95"/>
        <v>#REF!</v>
      </c>
      <c r="Z510" s="4">
        <v>505</v>
      </c>
      <c r="AB510">
        <f t="shared" si="89"/>
        <v>505</v>
      </c>
      <c r="AC510" s="218" t="e">
        <f t="shared" si="96"/>
        <v>#REF!</v>
      </c>
      <c r="AD510" s="218" t="e">
        <f t="shared" si="97"/>
        <v>#REF!</v>
      </c>
      <c r="AE510" s="4">
        <v>505</v>
      </c>
    </row>
    <row r="511" spans="13:31">
      <c r="M511">
        <f t="shared" si="86"/>
        <v>506</v>
      </c>
      <c r="N511" s="218">
        <f t="shared" si="90"/>
        <v>0</v>
      </c>
      <c r="O511" s="218">
        <f t="shared" si="91"/>
        <v>0</v>
      </c>
      <c r="P511" s="4">
        <v>506</v>
      </c>
      <c r="R511">
        <f t="shared" si="87"/>
        <v>506</v>
      </c>
      <c r="S511" s="218">
        <f t="shared" ca="1" si="92"/>
        <v>0</v>
      </c>
      <c r="T511" s="218">
        <f t="shared" ca="1" si="93"/>
        <v>0</v>
      </c>
      <c r="U511" s="4">
        <v>506</v>
      </c>
      <c r="W511">
        <f t="shared" si="88"/>
        <v>506</v>
      </c>
      <c r="X511" s="218" t="e">
        <f t="shared" si="94"/>
        <v>#REF!</v>
      </c>
      <c r="Y511" s="218" t="e">
        <f t="shared" si="95"/>
        <v>#REF!</v>
      </c>
      <c r="Z511" s="4">
        <v>506</v>
      </c>
      <c r="AB511">
        <f t="shared" si="89"/>
        <v>506</v>
      </c>
      <c r="AC511" s="218" t="e">
        <f t="shared" si="96"/>
        <v>#REF!</v>
      </c>
      <c r="AD511" s="218" t="e">
        <f t="shared" si="97"/>
        <v>#REF!</v>
      </c>
      <c r="AE511" s="4">
        <v>506</v>
      </c>
    </row>
    <row r="512" spans="13:31">
      <c r="M512">
        <f t="shared" si="86"/>
        <v>507</v>
      </c>
      <c r="N512" s="218">
        <f t="shared" si="90"/>
        <v>0</v>
      </c>
      <c r="O512" s="218">
        <f t="shared" si="91"/>
        <v>0</v>
      </c>
      <c r="P512" s="4">
        <v>507</v>
      </c>
      <c r="R512">
        <f t="shared" si="87"/>
        <v>507</v>
      </c>
      <c r="S512" s="218">
        <f t="shared" ca="1" si="92"/>
        <v>0</v>
      </c>
      <c r="T512" s="218">
        <f t="shared" ca="1" si="93"/>
        <v>0</v>
      </c>
      <c r="U512" s="4">
        <v>507</v>
      </c>
      <c r="W512">
        <f t="shared" si="88"/>
        <v>507</v>
      </c>
      <c r="X512" s="218" t="e">
        <f t="shared" si="94"/>
        <v>#REF!</v>
      </c>
      <c r="Y512" s="218" t="e">
        <f t="shared" si="95"/>
        <v>#REF!</v>
      </c>
      <c r="Z512" s="4">
        <v>507</v>
      </c>
      <c r="AB512">
        <f t="shared" si="89"/>
        <v>507</v>
      </c>
      <c r="AC512" s="218" t="e">
        <f t="shared" si="96"/>
        <v>#REF!</v>
      </c>
      <c r="AD512" s="218" t="e">
        <f t="shared" si="97"/>
        <v>#REF!</v>
      </c>
      <c r="AE512" s="4">
        <v>507</v>
      </c>
    </row>
    <row r="513" spans="13:31">
      <c r="M513">
        <f t="shared" si="86"/>
        <v>508</v>
      </c>
      <c r="N513" s="218">
        <f t="shared" si="90"/>
        <v>0</v>
      </c>
      <c r="O513" s="218">
        <f t="shared" si="91"/>
        <v>0</v>
      </c>
      <c r="P513" s="4">
        <v>508</v>
      </c>
      <c r="R513">
        <f t="shared" si="87"/>
        <v>508</v>
      </c>
      <c r="S513" s="218">
        <f t="shared" ca="1" si="92"/>
        <v>0</v>
      </c>
      <c r="T513" s="218">
        <f t="shared" ca="1" si="93"/>
        <v>0</v>
      </c>
      <c r="U513" s="4">
        <v>508</v>
      </c>
      <c r="W513">
        <f t="shared" si="88"/>
        <v>508</v>
      </c>
      <c r="X513" s="218" t="e">
        <f t="shared" si="94"/>
        <v>#REF!</v>
      </c>
      <c r="Y513" s="218" t="e">
        <f t="shared" si="95"/>
        <v>#REF!</v>
      </c>
      <c r="Z513" s="4">
        <v>508</v>
      </c>
      <c r="AB513">
        <f t="shared" si="89"/>
        <v>508</v>
      </c>
      <c r="AC513" s="218" t="e">
        <f t="shared" si="96"/>
        <v>#REF!</v>
      </c>
      <c r="AD513" s="218" t="e">
        <f t="shared" si="97"/>
        <v>#REF!</v>
      </c>
      <c r="AE513" s="4">
        <v>508</v>
      </c>
    </row>
    <row r="514" spans="13:31">
      <c r="M514">
        <f t="shared" si="86"/>
        <v>509</v>
      </c>
      <c r="N514" s="218">
        <f t="shared" si="90"/>
        <v>0</v>
      </c>
      <c r="O514" s="218">
        <f t="shared" si="91"/>
        <v>0</v>
      </c>
      <c r="P514" s="4">
        <v>509</v>
      </c>
      <c r="R514">
        <f t="shared" si="87"/>
        <v>509</v>
      </c>
      <c r="S514" s="218">
        <f t="shared" ca="1" si="92"/>
        <v>0</v>
      </c>
      <c r="T514" s="218">
        <f t="shared" ca="1" si="93"/>
        <v>0</v>
      </c>
      <c r="U514" s="4">
        <v>509</v>
      </c>
      <c r="W514">
        <f t="shared" si="88"/>
        <v>509</v>
      </c>
      <c r="X514" s="218" t="e">
        <f t="shared" si="94"/>
        <v>#REF!</v>
      </c>
      <c r="Y514" s="218" t="e">
        <f t="shared" si="95"/>
        <v>#REF!</v>
      </c>
      <c r="Z514" s="4">
        <v>509</v>
      </c>
      <c r="AB514">
        <f t="shared" si="89"/>
        <v>509</v>
      </c>
      <c r="AC514" s="218" t="e">
        <f t="shared" si="96"/>
        <v>#REF!</v>
      </c>
      <c r="AD514" s="218" t="e">
        <f t="shared" si="97"/>
        <v>#REF!</v>
      </c>
      <c r="AE514" s="4">
        <v>509</v>
      </c>
    </row>
    <row r="515" spans="13:31">
      <c r="M515">
        <f t="shared" si="86"/>
        <v>510</v>
      </c>
      <c r="N515" s="218">
        <f t="shared" si="90"/>
        <v>0</v>
      </c>
      <c r="O515" s="218">
        <f t="shared" si="91"/>
        <v>0</v>
      </c>
      <c r="P515" s="4">
        <v>510</v>
      </c>
      <c r="R515">
        <f t="shared" si="87"/>
        <v>510</v>
      </c>
      <c r="S515" s="218">
        <f t="shared" ca="1" si="92"/>
        <v>0</v>
      </c>
      <c r="T515" s="218">
        <f t="shared" ca="1" si="93"/>
        <v>0</v>
      </c>
      <c r="U515" s="4">
        <v>510</v>
      </c>
      <c r="W515">
        <f t="shared" si="88"/>
        <v>510</v>
      </c>
      <c r="X515" s="218" t="e">
        <f t="shared" si="94"/>
        <v>#REF!</v>
      </c>
      <c r="Y515" s="218" t="e">
        <f t="shared" si="95"/>
        <v>#REF!</v>
      </c>
      <c r="Z515" s="4">
        <v>510</v>
      </c>
      <c r="AB515">
        <f t="shared" si="89"/>
        <v>510</v>
      </c>
      <c r="AC515" s="218" t="e">
        <f t="shared" si="96"/>
        <v>#REF!</v>
      </c>
      <c r="AD515" s="218" t="e">
        <f t="shared" si="97"/>
        <v>#REF!</v>
      </c>
      <c r="AE515" s="4">
        <v>510</v>
      </c>
    </row>
    <row r="516" spans="13:31">
      <c r="M516">
        <f t="shared" si="86"/>
        <v>511</v>
      </c>
      <c r="N516" s="218">
        <f t="shared" si="90"/>
        <v>0</v>
      </c>
      <c r="O516" s="218">
        <f t="shared" si="91"/>
        <v>0</v>
      </c>
      <c r="P516" s="4">
        <v>511</v>
      </c>
      <c r="R516">
        <f t="shared" si="87"/>
        <v>511</v>
      </c>
      <c r="S516" s="218">
        <f t="shared" ca="1" si="92"/>
        <v>0</v>
      </c>
      <c r="T516" s="218">
        <f t="shared" ca="1" si="93"/>
        <v>0</v>
      </c>
      <c r="U516" s="4">
        <v>511</v>
      </c>
      <c r="W516">
        <f t="shared" si="88"/>
        <v>511</v>
      </c>
      <c r="X516" s="218" t="e">
        <f t="shared" si="94"/>
        <v>#REF!</v>
      </c>
      <c r="Y516" s="218" t="e">
        <f t="shared" si="95"/>
        <v>#REF!</v>
      </c>
      <c r="Z516" s="4">
        <v>511</v>
      </c>
      <c r="AB516">
        <f t="shared" si="89"/>
        <v>511</v>
      </c>
      <c r="AC516" s="218" t="e">
        <f t="shared" si="96"/>
        <v>#REF!</v>
      </c>
      <c r="AD516" s="218" t="e">
        <f t="shared" si="97"/>
        <v>#REF!</v>
      </c>
      <c r="AE516" s="4">
        <v>511</v>
      </c>
    </row>
    <row r="517" spans="13:31">
      <c r="M517">
        <f t="shared" si="86"/>
        <v>512</v>
      </c>
      <c r="N517" s="218">
        <f t="shared" si="90"/>
        <v>0</v>
      </c>
      <c r="O517" s="218">
        <f t="shared" si="91"/>
        <v>0</v>
      </c>
      <c r="P517" s="4">
        <v>512</v>
      </c>
      <c r="R517">
        <f t="shared" si="87"/>
        <v>512</v>
      </c>
      <c r="S517" s="218">
        <f t="shared" ca="1" si="92"/>
        <v>0</v>
      </c>
      <c r="T517" s="218">
        <f t="shared" ca="1" si="93"/>
        <v>0</v>
      </c>
      <c r="U517" s="4">
        <v>512</v>
      </c>
      <c r="W517">
        <f t="shared" si="88"/>
        <v>512</v>
      </c>
      <c r="X517" s="218" t="e">
        <f t="shared" si="94"/>
        <v>#REF!</v>
      </c>
      <c r="Y517" s="218" t="e">
        <f t="shared" si="95"/>
        <v>#REF!</v>
      </c>
      <c r="Z517" s="4">
        <v>512</v>
      </c>
      <c r="AB517">
        <f t="shared" si="89"/>
        <v>512</v>
      </c>
      <c r="AC517" s="218" t="e">
        <f t="shared" si="96"/>
        <v>#REF!</v>
      </c>
      <c r="AD517" s="218" t="e">
        <f t="shared" si="97"/>
        <v>#REF!</v>
      </c>
      <c r="AE517" s="4">
        <v>512</v>
      </c>
    </row>
    <row r="518" spans="13:31">
      <c r="M518">
        <f t="shared" si="86"/>
        <v>513</v>
      </c>
      <c r="N518" s="218">
        <f t="shared" si="90"/>
        <v>0</v>
      </c>
      <c r="O518" s="218">
        <f t="shared" si="91"/>
        <v>0</v>
      </c>
      <c r="P518" s="4">
        <v>513</v>
      </c>
      <c r="R518">
        <f t="shared" si="87"/>
        <v>513</v>
      </c>
      <c r="S518" s="218">
        <f t="shared" ca="1" si="92"/>
        <v>0</v>
      </c>
      <c r="T518" s="218">
        <f t="shared" ca="1" si="93"/>
        <v>0</v>
      </c>
      <c r="U518" s="4">
        <v>513</v>
      </c>
      <c r="W518">
        <f t="shared" si="88"/>
        <v>513</v>
      </c>
      <c r="X518" s="218" t="e">
        <f t="shared" si="94"/>
        <v>#REF!</v>
      </c>
      <c r="Y518" s="218" t="e">
        <f t="shared" si="95"/>
        <v>#REF!</v>
      </c>
      <c r="Z518" s="4">
        <v>513</v>
      </c>
      <c r="AB518">
        <f t="shared" si="89"/>
        <v>513</v>
      </c>
      <c r="AC518" s="218" t="e">
        <f t="shared" si="96"/>
        <v>#REF!</v>
      </c>
      <c r="AD518" s="218" t="e">
        <f t="shared" si="97"/>
        <v>#REF!</v>
      </c>
      <c r="AE518" s="4">
        <v>513</v>
      </c>
    </row>
    <row r="519" spans="13:31">
      <c r="M519">
        <f t="shared" ref="M519:M582" si="98">P519</f>
        <v>514</v>
      </c>
      <c r="N519" s="218">
        <f t="shared" si="90"/>
        <v>0</v>
      </c>
      <c r="O519" s="218">
        <f t="shared" si="91"/>
        <v>0</v>
      </c>
      <c r="P519" s="4">
        <v>514</v>
      </c>
      <c r="R519">
        <f t="shared" ref="R519:R582" si="99">U519</f>
        <v>514</v>
      </c>
      <c r="S519" s="218">
        <f t="shared" ca="1" si="92"/>
        <v>0</v>
      </c>
      <c r="T519" s="218">
        <f t="shared" ca="1" si="93"/>
        <v>0</v>
      </c>
      <c r="U519" s="4">
        <v>514</v>
      </c>
      <c r="W519">
        <f t="shared" ref="W519:W582" si="100">Z519</f>
        <v>514</v>
      </c>
      <c r="X519" s="218" t="e">
        <f t="shared" si="94"/>
        <v>#REF!</v>
      </c>
      <c r="Y519" s="218" t="e">
        <f t="shared" si="95"/>
        <v>#REF!</v>
      </c>
      <c r="Z519" s="4">
        <v>514</v>
      </c>
      <c r="AB519">
        <f t="shared" ref="AB519:AB582" si="101">AE519</f>
        <v>514</v>
      </c>
      <c r="AC519" s="218" t="e">
        <f t="shared" si="96"/>
        <v>#REF!</v>
      </c>
      <c r="AD519" s="218" t="e">
        <f t="shared" si="97"/>
        <v>#REF!</v>
      </c>
      <c r="AE519" s="4">
        <v>514</v>
      </c>
    </row>
    <row r="520" spans="13:31">
      <c r="M520">
        <f t="shared" si="98"/>
        <v>515</v>
      </c>
      <c r="N520" s="218">
        <f t="shared" ref="N520:N583" si="102">+IF(O520&lt;N519,O520,N519)</f>
        <v>0</v>
      </c>
      <c r="O520" s="218">
        <f t="shared" ref="O520:O583" si="103">+(O519-N519)*(1+$E$13)</f>
        <v>0</v>
      </c>
      <c r="P520" s="4">
        <v>515</v>
      </c>
      <c r="R520">
        <f t="shared" si="99"/>
        <v>515</v>
      </c>
      <c r="S520" s="218">
        <f t="shared" ref="S520:S583" ca="1" si="104">+IF(T520&lt;S519,T520,S519)</f>
        <v>0</v>
      </c>
      <c r="T520" s="218">
        <f t="shared" ref="T520:T583" ca="1" si="105">+(T519-S519)*(1+$E$14)</f>
        <v>0</v>
      </c>
      <c r="U520" s="4">
        <v>515</v>
      </c>
      <c r="W520">
        <f t="shared" si="100"/>
        <v>515</v>
      </c>
      <c r="X520" s="218" t="e">
        <f t="shared" ref="X520:X583" si="106">+IF(Y520&lt;X519,Y520,X519)</f>
        <v>#REF!</v>
      </c>
      <c r="Y520" s="218" t="e">
        <f t="shared" ref="Y520:Y583" si="107">+(Y519-X519)*(1+$E$15)</f>
        <v>#REF!</v>
      </c>
      <c r="Z520" s="4">
        <v>515</v>
      </c>
      <c r="AB520">
        <f t="shared" si="101"/>
        <v>515</v>
      </c>
      <c r="AC520" s="218" t="e">
        <f t="shared" ref="AC520:AC583" si="108">+IF(AD520&lt;AC519,AD520,AC519)</f>
        <v>#REF!</v>
      </c>
      <c r="AD520" s="218" t="e">
        <f t="shared" ref="AD520:AD583" si="109">+(AD519-AC519)*(1+$E$16)</f>
        <v>#REF!</v>
      </c>
      <c r="AE520" s="4">
        <v>515</v>
      </c>
    </row>
    <row r="521" spans="13:31">
      <c r="M521">
        <f t="shared" si="98"/>
        <v>516</v>
      </c>
      <c r="N521" s="218">
        <f t="shared" si="102"/>
        <v>0</v>
      </c>
      <c r="O521" s="218">
        <f t="shared" si="103"/>
        <v>0</v>
      </c>
      <c r="P521" s="4">
        <v>516</v>
      </c>
      <c r="R521">
        <f t="shared" si="99"/>
        <v>516</v>
      </c>
      <c r="S521" s="218">
        <f t="shared" ca="1" si="104"/>
        <v>0</v>
      </c>
      <c r="T521" s="218">
        <f t="shared" ca="1" si="105"/>
        <v>0</v>
      </c>
      <c r="U521" s="4">
        <v>516</v>
      </c>
      <c r="W521">
        <f t="shared" si="100"/>
        <v>516</v>
      </c>
      <c r="X521" s="218" t="e">
        <f t="shared" si="106"/>
        <v>#REF!</v>
      </c>
      <c r="Y521" s="218" t="e">
        <f t="shared" si="107"/>
        <v>#REF!</v>
      </c>
      <c r="Z521" s="4">
        <v>516</v>
      </c>
      <c r="AB521">
        <f t="shared" si="101"/>
        <v>516</v>
      </c>
      <c r="AC521" s="218" t="e">
        <f t="shared" si="108"/>
        <v>#REF!</v>
      </c>
      <c r="AD521" s="218" t="e">
        <f t="shared" si="109"/>
        <v>#REF!</v>
      </c>
      <c r="AE521" s="4">
        <v>516</v>
      </c>
    </row>
    <row r="522" spans="13:31">
      <c r="M522">
        <f t="shared" si="98"/>
        <v>517</v>
      </c>
      <c r="N522" s="218">
        <f t="shared" si="102"/>
        <v>0</v>
      </c>
      <c r="O522" s="218">
        <f t="shared" si="103"/>
        <v>0</v>
      </c>
      <c r="P522" s="4">
        <v>517</v>
      </c>
      <c r="R522">
        <f t="shared" si="99"/>
        <v>517</v>
      </c>
      <c r="S522" s="218">
        <f t="shared" ca="1" si="104"/>
        <v>0</v>
      </c>
      <c r="T522" s="218">
        <f t="shared" ca="1" si="105"/>
        <v>0</v>
      </c>
      <c r="U522" s="4">
        <v>517</v>
      </c>
      <c r="W522">
        <f t="shared" si="100"/>
        <v>517</v>
      </c>
      <c r="X522" s="218" t="e">
        <f t="shared" si="106"/>
        <v>#REF!</v>
      </c>
      <c r="Y522" s="218" t="e">
        <f t="shared" si="107"/>
        <v>#REF!</v>
      </c>
      <c r="Z522" s="4">
        <v>517</v>
      </c>
      <c r="AB522">
        <f t="shared" si="101"/>
        <v>517</v>
      </c>
      <c r="AC522" s="218" t="e">
        <f t="shared" si="108"/>
        <v>#REF!</v>
      </c>
      <c r="AD522" s="218" t="e">
        <f t="shared" si="109"/>
        <v>#REF!</v>
      </c>
      <c r="AE522" s="4">
        <v>517</v>
      </c>
    </row>
    <row r="523" spans="13:31">
      <c r="M523">
        <f t="shared" si="98"/>
        <v>518</v>
      </c>
      <c r="N523" s="218">
        <f t="shared" si="102"/>
        <v>0</v>
      </c>
      <c r="O523" s="218">
        <f t="shared" si="103"/>
        <v>0</v>
      </c>
      <c r="P523" s="4">
        <v>518</v>
      </c>
      <c r="R523">
        <f t="shared" si="99"/>
        <v>518</v>
      </c>
      <c r="S523" s="218">
        <f t="shared" ca="1" si="104"/>
        <v>0</v>
      </c>
      <c r="T523" s="218">
        <f t="shared" ca="1" si="105"/>
        <v>0</v>
      </c>
      <c r="U523" s="4">
        <v>518</v>
      </c>
      <c r="W523">
        <f t="shared" si="100"/>
        <v>518</v>
      </c>
      <c r="X523" s="218" t="e">
        <f t="shared" si="106"/>
        <v>#REF!</v>
      </c>
      <c r="Y523" s="218" t="e">
        <f t="shared" si="107"/>
        <v>#REF!</v>
      </c>
      <c r="Z523" s="4">
        <v>518</v>
      </c>
      <c r="AB523">
        <f t="shared" si="101"/>
        <v>518</v>
      </c>
      <c r="AC523" s="218" t="e">
        <f t="shared" si="108"/>
        <v>#REF!</v>
      </c>
      <c r="AD523" s="218" t="e">
        <f t="shared" si="109"/>
        <v>#REF!</v>
      </c>
      <c r="AE523" s="4">
        <v>518</v>
      </c>
    </row>
    <row r="524" spans="13:31">
      <c r="M524">
        <f t="shared" si="98"/>
        <v>519</v>
      </c>
      <c r="N524" s="218">
        <f t="shared" si="102"/>
        <v>0</v>
      </c>
      <c r="O524" s="218">
        <f t="shared" si="103"/>
        <v>0</v>
      </c>
      <c r="P524" s="4">
        <v>519</v>
      </c>
      <c r="R524">
        <f t="shared" si="99"/>
        <v>519</v>
      </c>
      <c r="S524" s="218">
        <f t="shared" ca="1" si="104"/>
        <v>0</v>
      </c>
      <c r="T524" s="218">
        <f t="shared" ca="1" si="105"/>
        <v>0</v>
      </c>
      <c r="U524" s="4">
        <v>519</v>
      </c>
      <c r="W524">
        <f t="shared" si="100"/>
        <v>519</v>
      </c>
      <c r="X524" s="218" t="e">
        <f t="shared" si="106"/>
        <v>#REF!</v>
      </c>
      <c r="Y524" s="218" t="e">
        <f t="shared" si="107"/>
        <v>#REF!</v>
      </c>
      <c r="Z524" s="4">
        <v>519</v>
      </c>
      <c r="AB524">
        <f t="shared" si="101"/>
        <v>519</v>
      </c>
      <c r="AC524" s="218" t="e">
        <f t="shared" si="108"/>
        <v>#REF!</v>
      </c>
      <c r="AD524" s="218" t="e">
        <f t="shared" si="109"/>
        <v>#REF!</v>
      </c>
      <c r="AE524" s="4">
        <v>519</v>
      </c>
    </row>
    <row r="525" spans="13:31">
      <c r="M525">
        <f t="shared" si="98"/>
        <v>520</v>
      </c>
      <c r="N525" s="218">
        <f t="shared" si="102"/>
        <v>0</v>
      </c>
      <c r="O525" s="218">
        <f t="shared" si="103"/>
        <v>0</v>
      </c>
      <c r="P525" s="4">
        <v>520</v>
      </c>
      <c r="R525">
        <f t="shared" si="99"/>
        <v>520</v>
      </c>
      <c r="S525" s="218">
        <f t="shared" ca="1" si="104"/>
        <v>0</v>
      </c>
      <c r="T525" s="218">
        <f t="shared" ca="1" si="105"/>
        <v>0</v>
      </c>
      <c r="U525" s="4">
        <v>520</v>
      </c>
      <c r="W525">
        <f t="shared" si="100"/>
        <v>520</v>
      </c>
      <c r="X525" s="218" t="e">
        <f t="shared" si="106"/>
        <v>#REF!</v>
      </c>
      <c r="Y525" s="218" t="e">
        <f t="shared" si="107"/>
        <v>#REF!</v>
      </c>
      <c r="Z525" s="4">
        <v>520</v>
      </c>
      <c r="AB525">
        <f t="shared" si="101"/>
        <v>520</v>
      </c>
      <c r="AC525" s="218" t="e">
        <f t="shared" si="108"/>
        <v>#REF!</v>
      </c>
      <c r="AD525" s="218" t="e">
        <f t="shared" si="109"/>
        <v>#REF!</v>
      </c>
      <c r="AE525" s="4">
        <v>520</v>
      </c>
    </row>
    <row r="526" spans="13:31">
      <c r="M526">
        <f t="shared" si="98"/>
        <v>521</v>
      </c>
      <c r="N526" s="218">
        <f t="shared" si="102"/>
        <v>0</v>
      </c>
      <c r="O526" s="218">
        <f t="shared" si="103"/>
        <v>0</v>
      </c>
      <c r="P526" s="4">
        <v>521</v>
      </c>
      <c r="R526">
        <f t="shared" si="99"/>
        <v>521</v>
      </c>
      <c r="S526" s="218">
        <f t="shared" ca="1" si="104"/>
        <v>0</v>
      </c>
      <c r="T526" s="218">
        <f t="shared" ca="1" si="105"/>
        <v>0</v>
      </c>
      <c r="U526" s="4">
        <v>521</v>
      </c>
      <c r="W526">
        <f t="shared" si="100"/>
        <v>521</v>
      </c>
      <c r="X526" s="218" t="e">
        <f t="shared" si="106"/>
        <v>#REF!</v>
      </c>
      <c r="Y526" s="218" t="e">
        <f t="shared" si="107"/>
        <v>#REF!</v>
      </c>
      <c r="Z526" s="4">
        <v>521</v>
      </c>
      <c r="AB526">
        <f t="shared" si="101"/>
        <v>521</v>
      </c>
      <c r="AC526" s="218" t="e">
        <f t="shared" si="108"/>
        <v>#REF!</v>
      </c>
      <c r="AD526" s="218" t="e">
        <f t="shared" si="109"/>
        <v>#REF!</v>
      </c>
      <c r="AE526" s="4">
        <v>521</v>
      </c>
    </row>
    <row r="527" spans="13:31">
      <c r="M527">
        <f t="shared" si="98"/>
        <v>522</v>
      </c>
      <c r="N527" s="218">
        <f t="shared" si="102"/>
        <v>0</v>
      </c>
      <c r="O527" s="218">
        <f t="shared" si="103"/>
        <v>0</v>
      </c>
      <c r="P527" s="4">
        <v>522</v>
      </c>
      <c r="R527">
        <f t="shared" si="99"/>
        <v>522</v>
      </c>
      <c r="S527" s="218">
        <f t="shared" ca="1" si="104"/>
        <v>0</v>
      </c>
      <c r="T527" s="218">
        <f t="shared" ca="1" si="105"/>
        <v>0</v>
      </c>
      <c r="U527" s="4">
        <v>522</v>
      </c>
      <c r="W527">
        <f t="shared" si="100"/>
        <v>522</v>
      </c>
      <c r="X527" s="218" t="e">
        <f t="shared" si="106"/>
        <v>#REF!</v>
      </c>
      <c r="Y527" s="218" t="e">
        <f t="shared" si="107"/>
        <v>#REF!</v>
      </c>
      <c r="Z527" s="4">
        <v>522</v>
      </c>
      <c r="AB527">
        <f t="shared" si="101"/>
        <v>522</v>
      </c>
      <c r="AC527" s="218" t="e">
        <f t="shared" si="108"/>
        <v>#REF!</v>
      </c>
      <c r="AD527" s="218" t="e">
        <f t="shared" si="109"/>
        <v>#REF!</v>
      </c>
      <c r="AE527" s="4">
        <v>522</v>
      </c>
    </row>
    <row r="528" spans="13:31">
      <c r="M528">
        <f t="shared" si="98"/>
        <v>523</v>
      </c>
      <c r="N528" s="218">
        <f t="shared" si="102"/>
        <v>0</v>
      </c>
      <c r="O528" s="218">
        <f t="shared" si="103"/>
        <v>0</v>
      </c>
      <c r="P528" s="4">
        <v>523</v>
      </c>
      <c r="R528">
        <f t="shared" si="99"/>
        <v>523</v>
      </c>
      <c r="S528" s="218">
        <f t="shared" ca="1" si="104"/>
        <v>0</v>
      </c>
      <c r="T528" s="218">
        <f t="shared" ca="1" si="105"/>
        <v>0</v>
      </c>
      <c r="U528" s="4">
        <v>523</v>
      </c>
      <c r="W528">
        <f t="shared" si="100"/>
        <v>523</v>
      </c>
      <c r="X528" s="218" t="e">
        <f t="shared" si="106"/>
        <v>#REF!</v>
      </c>
      <c r="Y528" s="218" t="e">
        <f t="shared" si="107"/>
        <v>#REF!</v>
      </c>
      <c r="Z528" s="4">
        <v>523</v>
      </c>
      <c r="AB528">
        <f t="shared" si="101"/>
        <v>523</v>
      </c>
      <c r="AC528" s="218" t="e">
        <f t="shared" si="108"/>
        <v>#REF!</v>
      </c>
      <c r="AD528" s="218" t="e">
        <f t="shared" si="109"/>
        <v>#REF!</v>
      </c>
      <c r="AE528" s="4">
        <v>523</v>
      </c>
    </row>
    <row r="529" spans="13:31">
      <c r="M529">
        <f t="shared" si="98"/>
        <v>524</v>
      </c>
      <c r="N529" s="218">
        <f t="shared" si="102"/>
        <v>0</v>
      </c>
      <c r="O529" s="218">
        <f t="shared" si="103"/>
        <v>0</v>
      </c>
      <c r="P529" s="4">
        <v>524</v>
      </c>
      <c r="R529">
        <f t="shared" si="99"/>
        <v>524</v>
      </c>
      <c r="S529" s="218">
        <f t="shared" ca="1" si="104"/>
        <v>0</v>
      </c>
      <c r="T529" s="218">
        <f t="shared" ca="1" si="105"/>
        <v>0</v>
      </c>
      <c r="U529" s="4">
        <v>524</v>
      </c>
      <c r="W529">
        <f t="shared" si="100"/>
        <v>524</v>
      </c>
      <c r="X529" s="218" t="e">
        <f t="shared" si="106"/>
        <v>#REF!</v>
      </c>
      <c r="Y529" s="218" t="e">
        <f t="shared" si="107"/>
        <v>#REF!</v>
      </c>
      <c r="Z529" s="4">
        <v>524</v>
      </c>
      <c r="AB529">
        <f t="shared" si="101"/>
        <v>524</v>
      </c>
      <c r="AC529" s="218" t="e">
        <f t="shared" si="108"/>
        <v>#REF!</v>
      </c>
      <c r="AD529" s="218" t="e">
        <f t="shared" si="109"/>
        <v>#REF!</v>
      </c>
      <c r="AE529" s="4">
        <v>524</v>
      </c>
    </row>
    <row r="530" spans="13:31">
      <c r="M530">
        <f t="shared" si="98"/>
        <v>525</v>
      </c>
      <c r="N530" s="218">
        <f t="shared" si="102"/>
        <v>0</v>
      </c>
      <c r="O530" s="218">
        <f t="shared" si="103"/>
        <v>0</v>
      </c>
      <c r="P530" s="4">
        <v>525</v>
      </c>
      <c r="R530">
        <f t="shared" si="99"/>
        <v>525</v>
      </c>
      <c r="S530" s="218">
        <f t="shared" ca="1" si="104"/>
        <v>0</v>
      </c>
      <c r="T530" s="218">
        <f t="shared" ca="1" si="105"/>
        <v>0</v>
      </c>
      <c r="U530" s="4">
        <v>525</v>
      </c>
      <c r="W530">
        <f t="shared" si="100"/>
        <v>525</v>
      </c>
      <c r="X530" s="218" t="e">
        <f t="shared" si="106"/>
        <v>#REF!</v>
      </c>
      <c r="Y530" s="218" t="e">
        <f t="shared" si="107"/>
        <v>#REF!</v>
      </c>
      <c r="Z530" s="4">
        <v>525</v>
      </c>
      <c r="AB530">
        <f t="shared" si="101"/>
        <v>525</v>
      </c>
      <c r="AC530" s="218" t="e">
        <f t="shared" si="108"/>
        <v>#REF!</v>
      </c>
      <c r="AD530" s="218" t="e">
        <f t="shared" si="109"/>
        <v>#REF!</v>
      </c>
      <c r="AE530" s="4">
        <v>525</v>
      </c>
    </row>
    <row r="531" spans="13:31">
      <c r="M531">
        <f t="shared" si="98"/>
        <v>526</v>
      </c>
      <c r="N531" s="218">
        <f t="shared" si="102"/>
        <v>0</v>
      </c>
      <c r="O531" s="218">
        <f t="shared" si="103"/>
        <v>0</v>
      </c>
      <c r="P531" s="4">
        <v>526</v>
      </c>
      <c r="R531">
        <f t="shared" si="99"/>
        <v>526</v>
      </c>
      <c r="S531" s="218">
        <f t="shared" ca="1" si="104"/>
        <v>0</v>
      </c>
      <c r="T531" s="218">
        <f t="shared" ca="1" si="105"/>
        <v>0</v>
      </c>
      <c r="U531" s="4">
        <v>526</v>
      </c>
      <c r="W531">
        <f t="shared" si="100"/>
        <v>526</v>
      </c>
      <c r="X531" s="218" t="e">
        <f t="shared" si="106"/>
        <v>#REF!</v>
      </c>
      <c r="Y531" s="218" t="e">
        <f t="shared" si="107"/>
        <v>#REF!</v>
      </c>
      <c r="Z531" s="4">
        <v>526</v>
      </c>
      <c r="AB531">
        <f t="shared" si="101"/>
        <v>526</v>
      </c>
      <c r="AC531" s="218" t="e">
        <f t="shared" si="108"/>
        <v>#REF!</v>
      </c>
      <c r="AD531" s="218" t="e">
        <f t="shared" si="109"/>
        <v>#REF!</v>
      </c>
      <c r="AE531" s="4">
        <v>526</v>
      </c>
    </row>
    <row r="532" spans="13:31">
      <c r="M532">
        <f t="shared" si="98"/>
        <v>527</v>
      </c>
      <c r="N532" s="218">
        <f t="shared" si="102"/>
        <v>0</v>
      </c>
      <c r="O532" s="218">
        <f t="shared" si="103"/>
        <v>0</v>
      </c>
      <c r="P532" s="4">
        <v>527</v>
      </c>
      <c r="R532">
        <f t="shared" si="99"/>
        <v>527</v>
      </c>
      <c r="S532" s="218">
        <f t="shared" ca="1" si="104"/>
        <v>0</v>
      </c>
      <c r="T532" s="218">
        <f t="shared" ca="1" si="105"/>
        <v>0</v>
      </c>
      <c r="U532" s="4">
        <v>527</v>
      </c>
      <c r="W532">
        <f t="shared" si="100"/>
        <v>527</v>
      </c>
      <c r="X532" s="218" t="e">
        <f t="shared" si="106"/>
        <v>#REF!</v>
      </c>
      <c r="Y532" s="218" t="e">
        <f t="shared" si="107"/>
        <v>#REF!</v>
      </c>
      <c r="Z532" s="4">
        <v>527</v>
      </c>
      <c r="AB532">
        <f t="shared" si="101"/>
        <v>527</v>
      </c>
      <c r="AC532" s="218" t="e">
        <f t="shared" si="108"/>
        <v>#REF!</v>
      </c>
      <c r="AD532" s="218" t="e">
        <f t="shared" si="109"/>
        <v>#REF!</v>
      </c>
      <c r="AE532" s="4">
        <v>527</v>
      </c>
    </row>
    <row r="533" spans="13:31">
      <c r="M533">
        <f t="shared" si="98"/>
        <v>528</v>
      </c>
      <c r="N533" s="218">
        <f t="shared" si="102"/>
        <v>0</v>
      </c>
      <c r="O533" s="218">
        <f t="shared" si="103"/>
        <v>0</v>
      </c>
      <c r="P533" s="4">
        <v>528</v>
      </c>
      <c r="R533">
        <f t="shared" si="99"/>
        <v>528</v>
      </c>
      <c r="S533" s="218">
        <f t="shared" ca="1" si="104"/>
        <v>0</v>
      </c>
      <c r="T533" s="218">
        <f t="shared" ca="1" si="105"/>
        <v>0</v>
      </c>
      <c r="U533" s="4">
        <v>528</v>
      </c>
      <c r="W533">
        <f t="shared" si="100"/>
        <v>528</v>
      </c>
      <c r="X533" s="218" t="e">
        <f t="shared" si="106"/>
        <v>#REF!</v>
      </c>
      <c r="Y533" s="218" t="e">
        <f t="shared" si="107"/>
        <v>#REF!</v>
      </c>
      <c r="Z533" s="4">
        <v>528</v>
      </c>
      <c r="AB533">
        <f t="shared" si="101"/>
        <v>528</v>
      </c>
      <c r="AC533" s="218" t="e">
        <f t="shared" si="108"/>
        <v>#REF!</v>
      </c>
      <c r="AD533" s="218" t="e">
        <f t="shared" si="109"/>
        <v>#REF!</v>
      </c>
      <c r="AE533" s="4">
        <v>528</v>
      </c>
    </row>
    <row r="534" spans="13:31">
      <c r="M534">
        <f t="shared" si="98"/>
        <v>529</v>
      </c>
      <c r="N534" s="218">
        <f t="shared" si="102"/>
        <v>0</v>
      </c>
      <c r="O534" s="218">
        <f t="shared" si="103"/>
        <v>0</v>
      </c>
      <c r="P534" s="4">
        <v>529</v>
      </c>
      <c r="R534">
        <f t="shared" si="99"/>
        <v>529</v>
      </c>
      <c r="S534" s="218">
        <f t="shared" ca="1" si="104"/>
        <v>0</v>
      </c>
      <c r="T534" s="218">
        <f t="shared" ca="1" si="105"/>
        <v>0</v>
      </c>
      <c r="U534" s="4">
        <v>529</v>
      </c>
      <c r="W534">
        <f t="shared" si="100"/>
        <v>529</v>
      </c>
      <c r="X534" s="218" t="e">
        <f t="shared" si="106"/>
        <v>#REF!</v>
      </c>
      <c r="Y534" s="218" t="e">
        <f t="shared" si="107"/>
        <v>#REF!</v>
      </c>
      <c r="Z534" s="4">
        <v>529</v>
      </c>
      <c r="AB534">
        <f t="shared" si="101"/>
        <v>529</v>
      </c>
      <c r="AC534" s="218" t="e">
        <f t="shared" si="108"/>
        <v>#REF!</v>
      </c>
      <c r="AD534" s="218" t="e">
        <f t="shared" si="109"/>
        <v>#REF!</v>
      </c>
      <c r="AE534" s="4">
        <v>529</v>
      </c>
    </row>
    <row r="535" spans="13:31">
      <c r="M535">
        <f t="shared" si="98"/>
        <v>530</v>
      </c>
      <c r="N535" s="218">
        <f t="shared" si="102"/>
        <v>0</v>
      </c>
      <c r="O535" s="218">
        <f t="shared" si="103"/>
        <v>0</v>
      </c>
      <c r="P535" s="4">
        <v>530</v>
      </c>
      <c r="R535">
        <f t="shared" si="99"/>
        <v>530</v>
      </c>
      <c r="S535" s="218">
        <f t="shared" ca="1" si="104"/>
        <v>0</v>
      </c>
      <c r="T535" s="218">
        <f t="shared" ca="1" si="105"/>
        <v>0</v>
      </c>
      <c r="U535" s="4">
        <v>530</v>
      </c>
      <c r="W535">
        <f t="shared" si="100"/>
        <v>530</v>
      </c>
      <c r="X535" s="218" t="e">
        <f t="shared" si="106"/>
        <v>#REF!</v>
      </c>
      <c r="Y535" s="218" t="e">
        <f t="shared" si="107"/>
        <v>#REF!</v>
      </c>
      <c r="Z535" s="4">
        <v>530</v>
      </c>
      <c r="AB535">
        <f t="shared" si="101"/>
        <v>530</v>
      </c>
      <c r="AC535" s="218" t="e">
        <f t="shared" si="108"/>
        <v>#REF!</v>
      </c>
      <c r="AD535" s="218" t="e">
        <f t="shared" si="109"/>
        <v>#REF!</v>
      </c>
      <c r="AE535" s="4">
        <v>530</v>
      </c>
    </row>
    <row r="536" spans="13:31">
      <c r="M536">
        <f t="shared" si="98"/>
        <v>531</v>
      </c>
      <c r="N536" s="218">
        <f t="shared" si="102"/>
        <v>0</v>
      </c>
      <c r="O536" s="218">
        <f t="shared" si="103"/>
        <v>0</v>
      </c>
      <c r="P536" s="4">
        <v>531</v>
      </c>
      <c r="R536">
        <f t="shared" si="99"/>
        <v>531</v>
      </c>
      <c r="S536" s="218">
        <f t="shared" ca="1" si="104"/>
        <v>0</v>
      </c>
      <c r="T536" s="218">
        <f t="shared" ca="1" si="105"/>
        <v>0</v>
      </c>
      <c r="U536" s="4">
        <v>531</v>
      </c>
      <c r="W536">
        <f t="shared" si="100"/>
        <v>531</v>
      </c>
      <c r="X536" s="218" t="e">
        <f t="shared" si="106"/>
        <v>#REF!</v>
      </c>
      <c r="Y536" s="218" t="e">
        <f t="shared" si="107"/>
        <v>#REF!</v>
      </c>
      <c r="Z536" s="4">
        <v>531</v>
      </c>
      <c r="AB536">
        <f t="shared" si="101"/>
        <v>531</v>
      </c>
      <c r="AC536" s="218" t="e">
        <f t="shared" si="108"/>
        <v>#REF!</v>
      </c>
      <c r="AD536" s="218" t="e">
        <f t="shared" si="109"/>
        <v>#REF!</v>
      </c>
      <c r="AE536" s="4">
        <v>531</v>
      </c>
    </row>
    <row r="537" spans="13:31">
      <c r="M537">
        <f t="shared" si="98"/>
        <v>532</v>
      </c>
      <c r="N537" s="218">
        <f t="shared" si="102"/>
        <v>0</v>
      </c>
      <c r="O537" s="218">
        <f t="shared" si="103"/>
        <v>0</v>
      </c>
      <c r="P537" s="4">
        <v>532</v>
      </c>
      <c r="R537">
        <f t="shared" si="99"/>
        <v>532</v>
      </c>
      <c r="S537" s="218">
        <f t="shared" ca="1" si="104"/>
        <v>0</v>
      </c>
      <c r="T537" s="218">
        <f t="shared" ca="1" si="105"/>
        <v>0</v>
      </c>
      <c r="U537" s="4">
        <v>532</v>
      </c>
      <c r="W537">
        <f t="shared" si="100"/>
        <v>532</v>
      </c>
      <c r="X537" s="218" t="e">
        <f t="shared" si="106"/>
        <v>#REF!</v>
      </c>
      <c r="Y537" s="218" t="e">
        <f t="shared" si="107"/>
        <v>#REF!</v>
      </c>
      <c r="Z537" s="4">
        <v>532</v>
      </c>
      <c r="AB537">
        <f t="shared" si="101"/>
        <v>532</v>
      </c>
      <c r="AC537" s="218" t="e">
        <f t="shared" si="108"/>
        <v>#REF!</v>
      </c>
      <c r="AD537" s="218" t="e">
        <f t="shared" si="109"/>
        <v>#REF!</v>
      </c>
      <c r="AE537" s="4">
        <v>532</v>
      </c>
    </row>
    <row r="538" spans="13:31">
      <c r="M538">
        <f t="shared" si="98"/>
        <v>533</v>
      </c>
      <c r="N538" s="218">
        <f t="shared" si="102"/>
        <v>0</v>
      </c>
      <c r="O538" s="218">
        <f t="shared" si="103"/>
        <v>0</v>
      </c>
      <c r="P538" s="4">
        <v>533</v>
      </c>
      <c r="R538">
        <f t="shared" si="99"/>
        <v>533</v>
      </c>
      <c r="S538" s="218">
        <f t="shared" ca="1" si="104"/>
        <v>0</v>
      </c>
      <c r="T538" s="218">
        <f t="shared" ca="1" si="105"/>
        <v>0</v>
      </c>
      <c r="U538" s="4">
        <v>533</v>
      </c>
      <c r="W538">
        <f t="shared" si="100"/>
        <v>533</v>
      </c>
      <c r="X538" s="218" t="e">
        <f t="shared" si="106"/>
        <v>#REF!</v>
      </c>
      <c r="Y538" s="218" t="e">
        <f t="shared" si="107"/>
        <v>#REF!</v>
      </c>
      <c r="Z538" s="4">
        <v>533</v>
      </c>
      <c r="AB538">
        <f t="shared" si="101"/>
        <v>533</v>
      </c>
      <c r="AC538" s="218" t="e">
        <f t="shared" si="108"/>
        <v>#REF!</v>
      </c>
      <c r="AD538" s="218" t="e">
        <f t="shared" si="109"/>
        <v>#REF!</v>
      </c>
      <c r="AE538" s="4">
        <v>533</v>
      </c>
    </row>
    <row r="539" spans="13:31">
      <c r="M539">
        <f t="shared" si="98"/>
        <v>534</v>
      </c>
      <c r="N539" s="218">
        <f t="shared" si="102"/>
        <v>0</v>
      </c>
      <c r="O539" s="218">
        <f t="shared" si="103"/>
        <v>0</v>
      </c>
      <c r="P539" s="4">
        <v>534</v>
      </c>
      <c r="R539">
        <f t="shared" si="99"/>
        <v>534</v>
      </c>
      <c r="S539" s="218">
        <f t="shared" ca="1" si="104"/>
        <v>0</v>
      </c>
      <c r="T539" s="218">
        <f t="shared" ca="1" si="105"/>
        <v>0</v>
      </c>
      <c r="U539" s="4">
        <v>534</v>
      </c>
      <c r="W539">
        <f t="shared" si="100"/>
        <v>534</v>
      </c>
      <c r="X539" s="218" t="e">
        <f t="shared" si="106"/>
        <v>#REF!</v>
      </c>
      <c r="Y539" s="218" t="e">
        <f t="shared" si="107"/>
        <v>#REF!</v>
      </c>
      <c r="Z539" s="4">
        <v>534</v>
      </c>
      <c r="AB539">
        <f t="shared" si="101"/>
        <v>534</v>
      </c>
      <c r="AC539" s="218" t="e">
        <f t="shared" si="108"/>
        <v>#REF!</v>
      </c>
      <c r="AD539" s="218" t="e">
        <f t="shared" si="109"/>
        <v>#REF!</v>
      </c>
      <c r="AE539" s="4">
        <v>534</v>
      </c>
    </row>
    <row r="540" spans="13:31">
      <c r="M540">
        <f t="shared" si="98"/>
        <v>535</v>
      </c>
      <c r="N540" s="218">
        <f t="shared" si="102"/>
        <v>0</v>
      </c>
      <c r="O540" s="218">
        <f t="shared" si="103"/>
        <v>0</v>
      </c>
      <c r="P540" s="4">
        <v>535</v>
      </c>
      <c r="R540">
        <f t="shared" si="99"/>
        <v>535</v>
      </c>
      <c r="S540" s="218">
        <f t="shared" ca="1" si="104"/>
        <v>0</v>
      </c>
      <c r="T540" s="218">
        <f t="shared" ca="1" si="105"/>
        <v>0</v>
      </c>
      <c r="U540" s="4">
        <v>535</v>
      </c>
      <c r="W540">
        <f t="shared" si="100"/>
        <v>535</v>
      </c>
      <c r="X540" s="218" t="e">
        <f t="shared" si="106"/>
        <v>#REF!</v>
      </c>
      <c r="Y540" s="218" t="e">
        <f t="shared" si="107"/>
        <v>#REF!</v>
      </c>
      <c r="Z540" s="4">
        <v>535</v>
      </c>
      <c r="AB540">
        <f t="shared" si="101"/>
        <v>535</v>
      </c>
      <c r="AC540" s="218" t="e">
        <f t="shared" si="108"/>
        <v>#REF!</v>
      </c>
      <c r="AD540" s="218" t="e">
        <f t="shared" si="109"/>
        <v>#REF!</v>
      </c>
      <c r="AE540" s="4">
        <v>535</v>
      </c>
    </row>
    <row r="541" spans="13:31">
      <c r="M541">
        <f t="shared" si="98"/>
        <v>536</v>
      </c>
      <c r="N541" s="218">
        <f t="shared" si="102"/>
        <v>0</v>
      </c>
      <c r="O541" s="218">
        <f t="shared" si="103"/>
        <v>0</v>
      </c>
      <c r="P541" s="4">
        <v>536</v>
      </c>
      <c r="R541">
        <f t="shared" si="99"/>
        <v>536</v>
      </c>
      <c r="S541" s="218">
        <f t="shared" ca="1" si="104"/>
        <v>0</v>
      </c>
      <c r="T541" s="218">
        <f t="shared" ca="1" si="105"/>
        <v>0</v>
      </c>
      <c r="U541" s="4">
        <v>536</v>
      </c>
      <c r="W541">
        <f t="shared" si="100"/>
        <v>536</v>
      </c>
      <c r="X541" s="218" t="e">
        <f t="shared" si="106"/>
        <v>#REF!</v>
      </c>
      <c r="Y541" s="218" t="e">
        <f t="shared" si="107"/>
        <v>#REF!</v>
      </c>
      <c r="Z541" s="4">
        <v>536</v>
      </c>
      <c r="AB541">
        <f t="shared" si="101"/>
        <v>536</v>
      </c>
      <c r="AC541" s="218" t="e">
        <f t="shared" si="108"/>
        <v>#REF!</v>
      </c>
      <c r="AD541" s="218" t="e">
        <f t="shared" si="109"/>
        <v>#REF!</v>
      </c>
      <c r="AE541" s="4">
        <v>536</v>
      </c>
    </row>
    <row r="542" spans="13:31">
      <c r="M542">
        <f t="shared" si="98"/>
        <v>537</v>
      </c>
      <c r="N542" s="218">
        <f t="shared" si="102"/>
        <v>0</v>
      </c>
      <c r="O542" s="218">
        <f t="shared" si="103"/>
        <v>0</v>
      </c>
      <c r="P542" s="4">
        <v>537</v>
      </c>
      <c r="R542">
        <f t="shared" si="99"/>
        <v>537</v>
      </c>
      <c r="S542" s="218">
        <f t="shared" ca="1" si="104"/>
        <v>0</v>
      </c>
      <c r="T542" s="218">
        <f t="shared" ca="1" si="105"/>
        <v>0</v>
      </c>
      <c r="U542" s="4">
        <v>537</v>
      </c>
      <c r="W542">
        <f t="shared" si="100"/>
        <v>537</v>
      </c>
      <c r="X542" s="218" t="e">
        <f t="shared" si="106"/>
        <v>#REF!</v>
      </c>
      <c r="Y542" s="218" t="e">
        <f t="shared" si="107"/>
        <v>#REF!</v>
      </c>
      <c r="Z542" s="4">
        <v>537</v>
      </c>
      <c r="AB542">
        <f t="shared" si="101"/>
        <v>537</v>
      </c>
      <c r="AC542" s="218" t="e">
        <f t="shared" si="108"/>
        <v>#REF!</v>
      </c>
      <c r="AD542" s="218" t="e">
        <f t="shared" si="109"/>
        <v>#REF!</v>
      </c>
      <c r="AE542" s="4">
        <v>537</v>
      </c>
    </row>
    <row r="543" spans="13:31">
      <c r="M543">
        <f t="shared" si="98"/>
        <v>538</v>
      </c>
      <c r="N543" s="218">
        <f t="shared" si="102"/>
        <v>0</v>
      </c>
      <c r="O543" s="218">
        <f t="shared" si="103"/>
        <v>0</v>
      </c>
      <c r="P543" s="4">
        <v>538</v>
      </c>
      <c r="R543">
        <f t="shared" si="99"/>
        <v>538</v>
      </c>
      <c r="S543" s="218">
        <f t="shared" ca="1" si="104"/>
        <v>0</v>
      </c>
      <c r="T543" s="218">
        <f t="shared" ca="1" si="105"/>
        <v>0</v>
      </c>
      <c r="U543" s="4">
        <v>538</v>
      </c>
      <c r="W543">
        <f t="shared" si="100"/>
        <v>538</v>
      </c>
      <c r="X543" s="218" t="e">
        <f t="shared" si="106"/>
        <v>#REF!</v>
      </c>
      <c r="Y543" s="218" t="e">
        <f t="shared" si="107"/>
        <v>#REF!</v>
      </c>
      <c r="Z543" s="4">
        <v>538</v>
      </c>
      <c r="AB543">
        <f t="shared" si="101"/>
        <v>538</v>
      </c>
      <c r="AC543" s="218" t="e">
        <f t="shared" si="108"/>
        <v>#REF!</v>
      </c>
      <c r="AD543" s="218" t="e">
        <f t="shared" si="109"/>
        <v>#REF!</v>
      </c>
      <c r="AE543" s="4">
        <v>538</v>
      </c>
    </row>
    <row r="544" spans="13:31">
      <c r="M544">
        <f t="shared" si="98"/>
        <v>539</v>
      </c>
      <c r="N544" s="218">
        <f t="shared" si="102"/>
        <v>0</v>
      </c>
      <c r="O544" s="218">
        <f t="shared" si="103"/>
        <v>0</v>
      </c>
      <c r="P544" s="4">
        <v>539</v>
      </c>
      <c r="R544">
        <f t="shared" si="99"/>
        <v>539</v>
      </c>
      <c r="S544" s="218">
        <f t="shared" ca="1" si="104"/>
        <v>0</v>
      </c>
      <c r="T544" s="218">
        <f t="shared" ca="1" si="105"/>
        <v>0</v>
      </c>
      <c r="U544" s="4">
        <v>539</v>
      </c>
      <c r="W544">
        <f t="shared" si="100"/>
        <v>539</v>
      </c>
      <c r="X544" s="218" t="e">
        <f t="shared" si="106"/>
        <v>#REF!</v>
      </c>
      <c r="Y544" s="218" t="e">
        <f t="shared" si="107"/>
        <v>#REF!</v>
      </c>
      <c r="Z544" s="4">
        <v>539</v>
      </c>
      <c r="AB544">
        <f t="shared" si="101"/>
        <v>539</v>
      </c>
      <c r="AC544" s="218" t="e">
        <f t="shared" si="108"/>
        <v>#REF!</v>
      </c>
      <c r="AD544" s="218" t="e">
        <f t="shared" si="109"/>
        <v>#REF!</v>
      </c>
      <c r="AE544" s="4">
        <v>539</v>
      </c>
    </row>
    <row r="545" spans="13:31">
      <c r="M545">
        <f t="shared" si="98"/>
        <v>540</v>
      </c>
      <c r="N545" s="218">
        <f t="shared" si="102"/>
        <v>0</v>
      </c>
      <c r="O545" s="218">
        <f t="shared" si="103"/>
        <v>0</v>
      </c>
      <c r="P545" s="4">
        <v>540</v>
      </c>
      <c r="R545">
        <f t="shared" si="99"/>
        <v>540</v>
      </c>
      <c r="S545" s="218">
        <f t="shared" ca="1" si="104"/>
        <v>0</v>
      </c>
      <c r="T545" s="218">
        <f t="shared" ca="1" si="105"/>
        <v>0</v>
      </c>
      <c r="U545" s="4">
        <v>540</v>
      </c>
      <c r="W545">
        <f t="shared" si="100"/>
        <v>540</v>
      </c>
      <c r="X545" s="218" t="e">
        <f t="shared" si="106"/>
        <v>#REF!</v>
      </c>
      <c r="Y545" s="218" t="e">
        <f t="shared" si="107"/>
        <v>#REF!</v>
      </c>
      <c r="Z545" s="4">
        <v>540</v>
      </c>
      <c r="AB545">
        <f t="shared" si="101"/>
        <v>540</v>
      </c>
      <c r="AC545" s="218" t="e">
        <f t="shared" si="108"/>
        <v>#REF!</v>
      </c>
      <c r="AD545" s="218" t="e">
        <f t="shared" si="109"/>
        <v>#REF!</v>
      </c>
      <c r="AE545" s="4">
        <v>540</v>
      </c>
    </row>
    <row r="546" spans="13:31">
      <c r="M546">
        <f t="shared" si="98"/>
        <v>541</v>
      </c>
      <c r="N546" s="218">
        <f t="shared" si="102"/>
        <v>0</v>
      </c>
      <c r="O546" s="218">
        <f t="shared" si="103"/>
        <v>0</v>
      </c>
      <c r="P546" s="4">
        <v>541</v>
      </c>
      <c r="R546">
        <f t="shared" si="99"/>
        <v>541</v>
      </c>
      <c r="S546" s="218">
        <f t="shared" ca="1" si="104"/>
        <v>0</v>
      </c>
      <c r="T546" s="218">
        <f t="shared" ca="1" si="105"/>
        <v>0</v>
      </c>
      <c r="U546" s="4">
        <v>541</v>
      </c>
      <c r="W546">
        <f t="shared" si="100"/>
        <v>541</v>
      </c>
      <c r="X546" s="218" t="e">
        <f t="shared" si="106"/>
        <v>#REF!</v>
      </c>
      <c r="Y546" s="218" t="e">
        <f t="shared" si="107"/>
        <v>#REF!</v>
      </c>
      <c r="Z546" s="4">
        <v>541</v>
      </c>
      <c r="AB546">
        <f t="shared" si="101"/>
        <v>541</v>
      </c>
      <c r="AC546" s="218" t="e">
        <f t="shared" si="108"/>
        <v>#REF!</v>
      </c>
      <c r="AD546" s="218" t="e">
        <f t="shared" si="109"/>
        <v>#REF!</v>
      </c>
      <c r="AE546" s="4">
        <v>541</v>
      </c>
    </row>
    <row r="547" spans="13:31">
      <c r="M547">
        <f t="shared" si="98"/>
        <v>542</v>
      </c>
      <c r="N547" s="218">
        <f t="shared" si="102"/>
        <v>0</v>
      </c>
      <c r="O547" s="218">
        <f t="shared" si="103"/>
        <v>0</v>
      </c>
      <c r="P547" s="4">
        <v>542</v>
      </c>
      <c r="R547">
        <f t="shared" si="99"/>
        <v>542</v>
      </c>
      <c r="S547" s="218">
        <f t="shared" ca="1" si="104"/>
        <v>0</v>
      </c>
      <c r="T547" s="218">
        <f t="shared" ca="1" si="105"/>
        <v>0</v>
      </c>
      <c r="U547" s="4">
        <v>542</v>
      </c>
      <c r="W547">
        <f t="shared" si="100"/>
        <v>542</v>
      </c>
      <c r="X547" s="218" t="e">
        <f t="shared" si="106"/>
        <v>#REF!</v>
      </c>
      <c r="Y547" s="218" t="e">
        <f t="shared" si="107"/>
        <v>#REF!</v>
      </c>
      <c r="Z547" s="4">
        <v>542</v>
      </c>
      <c r="AB547">
        <f t="shared" si="101"/>
        <v>542</v>
      </c>
      <c r="AC547" s="218" t="e">
        <f t="shared" si="108"/>
        <v>#REF!</v>
      </c>
      <c r="AD547" s="218" t="e">
        <f t="shared" si="109"/>
        <v>#REF!</v>
      </c>
      <c r="AE547" s="4">
        <v>542</v>
      </c>
    </row>
    <row r="548" spans="13:31">
      <c r="M548">
        <f t="shared" si="98"/>
        <v>543</v>
      </c>
      <c r="N548" s="218">
        <f t="shared" si="102"/>
        <v>0</v>
      </c>
      <c r="O548" s="218">
        <f t="shared" si="103"/>
        <v>0</v>
      </c>
      <c r="P548" s="4">
        <v>543</v>
      </c>
      <c r="R548">
        <f t="shared" si="99"/>
        <v>543</v>
      </c>
      <c r="S548" s="218">
        <f t="shared" ca="1" si="104"/>
        <v>0</v>
      </c>
      <c r="T548" s="218">
        <f t="shared" ca="1" si="105"/>
        <v>0</v>
      </c>
      <c r="U548" s="4">
        <v>543</v>
      </c>
      <c r="W548">
        <f t="shared" si="100"/>
        <v>543</v>
      </c>
      <c r="X548" s="218" t="e">
        <f t="shared" si="106"/>
        <v>#REF!</v>
      </c>
      <c r="Y548" s="218" t="e">
        <f t="shared" si="107"/>
        <v>#REF!</v>
      </c>
      <c r="Z548" s="4">
        <v>543</v>
      </c>
      <c r="AB548">
        <f t="shared" si="101"/>
        <v>543</v>
      </c>
      <c r="AC548" s="218" t="e">
        <f t="shared" si="108"/>
        <v>#REF!</v>
      </c>
      <c r="AD548" s="218" t="e">
        <f t="shared" si="109"/>
        <v>#REF!</v>
      </c>
      <c r="AE548" s="4">
        <v>543</v>
      </c>
    </row>
    <row r="549" spans="13:31">
      <c r="M549">
        <f t="shared" si="98"/>
        <v>544</v>
      </c>
      <c r="N549" s="218">
        <f t="shared" si="102"/>
        <v>0</v>
      </c>
      <c r="O549" s="218">
        <f t="shared" si="103"/>
        <v>0</v>
      </c>
      <c r="P549" s="4">
        <v>544</v>
      </c>
      <c r="R549">
        <f t="shared" si="99"/>
        <v>544</v>
      </c>
      <c r="S549" s="218">
        <f t="shared" ca="1" si="104"/>
        <v>0</v>
      </c>
      <c r="T549" s="218">
        <f t="shared" ca="1" si="105"/>
        <v>0</v>
      </c>
      <c r="U549" s="4">
        <v>544</v>
      </c>
      <c r="W549">
        <f t="shared" si="100"/>
        <v>544</v>
      </c>
      <c r="X549" s="218" t="e">
        <f t="shared" si="106"/>
        <v>#REF!</v>
      </c>
      <c r="Y549" s="218" t="e">
        <f t="shared" si="107"/>
        <v>#REF!</v>
      </c>
      <c r="Z549" s="4">
        <v>544</v>
      </c>
      <c r="AB549">
        <f t="shared" si="101"/>
        <v>544</v>
      </c>
      <c r="AC549" s="218" t="e">
        <f t="shared" si="108"/>
        <v>#REF!</v>
      </c>
      <c r="AD549" s="218" t="e">
        <f t="shared" si="109"/>
        <v>#REF!</v>
      </c>
      <c r="AE549" s="4">
        <v>544</v>
      </c>
    </row>
    <row r="550" spans="13:31">
      <c r="M550">
        <f t="shared" si="98"/>
        <v>545</v>
      </c>
      <c r="N550" s="218">
        <f t="shared" si="102"/>
        <v>0</v>
      </c>
      <c r="O550" s="218">
        <f t="shared" si="103"/>
        <v>0</v>
      </c>
      <c r="P550" s="4">
        <v>545</v>
      </c>
      <c r="R550">
        <f t="shared" si="99"/>
        <v>545</v>
      </c>
      <c r="S550" s="218">
        <f t="shared" ca="1" si="104"/>
        <v>0</v>
      </c>
      <c r="T550" s="218">
        <f t="shared" ca="1" si="105"/>
        <v>0</v>
      </c>
      <c r="U550" s="4">
        <v>545</v>
      </c>
      <c r="W550">
        <f t="shared" si="100"/>
        <v>545</v>
      </c>
      <c r="X550" s="218" t="e">
        <f t="shared" si="106"/>
        <v>#REF!</v>
      </c>
      <c r="Y550" s="218" t="e">
        <f t="shared" si="107"/>
        <v>#REF!</v>
      </c>
      <c r="Z550" s="4">
        <v>545</v>
      </c>
      <c r="AB550">
        <f t="shared" si="101"/>
        <v>545</v>
      </c>
      <c r="AC550" s="218" t="e">
        <f t="shared" si="108"/>
        <v>#REF!</v>
      </c>
      <c r="AD550" s="218" t="e">
        <f t="shared" si="109"/>
        <v>#REF!</v>
      </c>
      <c r="AE550" s="4">
        <v>545</v>
      </c>
    </row>
    <row r="551" spans="13:31">
      <c r="M551">
        <f t="shared" si="98"/>
        <v>546</v>
      </c>
      <c r="N551" s="218">
        <f t="shared" si="102"/>
        <v>0</v>
      </c>
      <c r="O551" s="218">
        <f t="shared" si="103"/>
        <v>0</v>
      </c>
      <c r="P551" s="4">
        <v>546</v>
      </c>
      <c r="R551">
        <f t="shared" si="99"/>
        <v>546</v>
      </c>
      <c r="S551" s="218">
        <f t="shared" ca="1" si="104"/>
        <v>0</v>
      </c>
      <c r="T551" s="218">
        <f t="shared" ca="1" si="105"/>
        <v>0</v>
      </c>
      <c r="U551" s="4">
        <v>546</v>
      </c>
      <c r="W551">
        <f t="shared" si="100"/>
        <v>546</v>
      </c>
      <c r="X551" s="218" t="e">
        <f t="shared" si="106"/>
        <v>#REF!</v>
      </c>
      <c r="Y551" s="218" t="e">
        <f t="shared" si="107"/>
        <v>#REF!</v>
      </c>
      <c r="Z551" s="4">
        <v>546</v>
      </c>
      <c r="AB551">
        <f t="shared" si="101"/>
        <v>546</v>
      </c>
      <c r="AC551" s="218" t="e">
        <f t="shared" si="108"/>
        <v>#REF!</v>
      </c>
      <c r="AD551" s="218" t="e">
        <f t="shared" si="109"/>
        <v>#REF!</v>
      </c>
      <c r="AE551" s="4">
        <v>546</v>
      </c>
    </row>
    <row r="552" spans="13:31">
      <c r="M552">
        <f t="shared" si="98"/>
        <v>547</v>
      </c>
      <c r="N552" s="218">
        <f t="shared" si="102"/>
        <v>0</v>
      </c>
      <c r="O552" s="218">
        <f t="shared" si="103"/>
        <v>0</v>
      </c>
      <c r="P552" s="4">
        <v>547</v>
      </c>
      <c r="R552">
        <f t="shared" si="99"/>
        <v>547</v>
      </c>
      <c r="S552" s="218">
        <f t="shared" ca="1" si="104"/>
        <v>0</v>
      </c>
      <c r="T552" s="218">
        <f t="shared" ca="1" si="105"/>
        <v>0</v>
      </c>
      <c r="U552" s="4">
        <v>547</v>
      </c>
      <c r="W552">
        <f t="shared" si="100"/>
        <v>547</v>
      </c>
      <c r="X552" s="218" t="e">
        <f t="shared" si="106"/>
        <v>#REF!</v>
      </c>
      <c r="Y552" s="218" t="e">
        <f t="shared" si="107"/>
        <v>#REF!</v>
      </c>
      <c r="Z552" s="4">
        <v>547</v>
      </c>
      <c r="AB552">
        <f t="shared" si="101"/>
        <v>547</v>
      </c>
      <c r="AC552" s="218" t="e">
        <f t="shared" si="108"/>
        <v>#REF!</v>
      </c>
      <c r="AD552" s="218" t="e">
        <f t="shared" si="109"/>
        <v>#REF!</v>
      </c>
      <c r="AE552" s="4">
        <v>547</v>
      </c>
    </row>
    <row r="553" spans="13:31">
      <c r="M553">
        <f t="shared" si="98"/>
        <v>548</v>
      </c>
      <c r="N553" s="218">
        <f t="shared" si="102"/>
        <v>0</v>
      </c>
      <c r="O553" s="218">
        <f t="shared" si="103"/>
        <v>0</v>
      </c>
      <c r="P553" s="4">
        <v>548</v>
      </c>
      <c r="R553">
        <f t="shared" si="99"/>
        <v>548</v>
      </c>
      <c r="S553" s="218">
        <f t="shared" ca="1" si="104"/>
        <v>0</v>
      </c>
      <c r="T553" s="218">
        <f t="shared" ca="1" si="105"/>
        <v>0</v>
      </c>
      <c r="U553" s="4">
        <v>548</v>
      </c>
      <c r="W553">
        <f t="shared" si="100"/>
        <v>548</v>
      </c>
      <c r="X553" s="218" t="e">
        <f t="shared" si="106"/>
        <v>#REF!</v>
      </c>
      <c r="Y553" s="218" t="e">
        <f t="shared" si="107"/>
        <v>#REF!</v>
      </c>
      <c r="Z553" s="4">
        <v>548</v>
      </c>
      <c r="AB553">
        <f t="shared" si="101"/>
        <v>548</v>
      </c>
      <c r="AC553" s="218" t="e">
        <f t="shared" si="108"/>
        <v>#REF!</v>
      </c>
      <c r="AD553" s="218" t="e">
        <f t="shared" si="109"/>
        <v>#REF!</v>
      </c>
      <c r="AE553" s="4">
        <v>548</v>
      </c>
    </row>
    <row r="554" spans="13:31">
      <c r="M554">
        <f t="shared" si="98"/>
        <v>549</v>
      </c>
      <c r="N554" s="218">
        <f t="shared" si="102"/>
        <v>0</v>
      </c>
      <c r="O554" s="218">
        <f t="shared" si="103"/>
        <v>0</v>
      </c>
      <c r="P554" s="4">
        <v>549</v>
      </c>
      <c r="R554">
        <f t="shared" si="99"/>
        <v>549</v>
      </c>
      <c r="S554" s="218">
        <f t="shared" ca="1" si="104"/>
        <v>0</v>
      </c>
      <c r="T554" s="218">
        <f t="shared" ca="1" si="105"/>
        <v>0</v>
      </c>
      <c r="U554" s="4">
        <v>549</v>
      </c>
      <c r="W554">
        <f t="shared" si="100"/>
        <v>549</v>
      </c>
      <c r="X554" s="218" t="e">
        <f t="shared" si="106"/>
        <v>#REF!</v>
      </c>
      <c r="Y554" s="218" t="e">
        <f t="shared" si="107"/>
        <v>#REF!</v>
      </c>
      <c r="Z554" s="4">
        <v>549</v>
      </c>
      <c r="AB554">
        <f t="shared" si="101"/>
        <v>549</v>
      </c>
      <c r="AC554" s="218" t="e">
        <f t="shared" si="108"/>
        <v>#REF!</v>
      </c>
      <c r="AD554" s="218" t="e">
        <f t="shared" si="109"/>
        <v>#REF!</v>
      </c>
      <c r="AE554" s="4">
        <v>549</v>
      </c>
    </row>
    <row r="555" spans="13:31">
      <c r="M555">
        <f t="shared" si="98"/>
        <v>550</v>
      </c>
      <c r="N555" s="218">
        <f t="shared" si="102"/>
        <v>0</v>
      </c>
      <c r="O555" s="218">
        <f t="shared" si="103"/>
        <v>0</v>
      </c>
      <c r="P555" s="4">
        <v>550</v>
      </c>
      <c r="R555">
        <f t="shared" si="99"/>
        <v>550</v>
      </c>
      <c r="S555" s="218">
        <f t="shared" ca="1" si="104"/>
        <v>0</v>
      </c>
      <c r="T555" s="218">
        <f t="shared" ca="1" si="105"/>
        <v>0</v>
      </c>
      <c r="U555" s="4">
        <v>550</v>
      </c>
      <c r="W555">
        <f t="shared" si="100"/>
        <v>550</v>
      </c>
      <c r="X555" s="218" t="e">
        <f t="shared" si="106"/>
        <v>#REF!</v>
      </c>
      <c r="Y555" s="218" t="e">
        <f t="shared" si="107"/>
        <v>#REF!</v>
      </c>
      <c r="Z555" s="4">
        <v>550</v>
      </c>
      <c r="AB555">
        <f t="shared" si="101"/>
        <v>550</v>
      </c>
      <c r="AC555" s="218" t="e">
        <f t="shared" si="108"/>
        <v>#REF!</v>
      </c>
      <c r="AD555" s="218" t="e">
        <f t="shared" si="109"/>
        <v>#REF!</v>
      </c>
      <c r="AE555" s="4">
        <v>550</v>
      </c>
    </row>
    <row r="556" spans="13:31">
      <c r="M556">
        <f t="shared" si="98"/>
        <v>551</v>
      </c>
      <c r="N556" s="218">
        <f t="shared" si="102"/>
        <v>0</v>
      </c>
      <c r="O556" s="218">
        <f t="shared" si="103"/>
        <v>0</v>
      </c>
      <c r="P556" s="4">
        <v>551</v>
      </c>
      <c r="R556">
        <f t="shared" si="99"/>
        <v>551</v>
      </c>
      <c r="S556" s="218">
        <f t="shared" ca="1" si="104"/>
        <v>0</v>
      </c>
      <c r="T556" s="218">
        <f t="shared" ca="1" si="105"/>
        <v>0</v>
      </c>
      <c r="U556" s="4">
        <v>551</v>
      </c>
      <c r="W556">
        <f t="shared" si="100"/>
        <v>551</v>
      </c>
      <c r="X556" s="218" t="e">
        <f t="shared" si="106"/>
        <v>#REF!</v>
      </c>
      <c r="Y556" s="218" t="e">
        <f t="shared" si="107"/>
        <v>#REF!</v>
      </c>
      <c r="Z556" s="4">
        <v>551</v>
      </c>
      <c r="AB556">
        <f t="shared" si="101"/>
        <v>551</v>
      </c>
      <c r="AC556" s="218" t="e">
        <f t="shared" si="108"/>
        <v>#REF!</v>
      </c>
      <c r="AD556" s="218" t="e">
        <f t="shared" si="109"/>
        <v>#REF!</v>
      </c>
      <c r="AE556" s="4">
        <v>551</v>
      </c>
    </row>
    <row r="557" spans="13:31">
      <c r="M557">
        <f t="shared" si="98"/>
        <v>552</v>
      </c>
      <c r="N557" s="218">
        <f t="shared" si="102"/>
        <v>0</v>
      </c>
      <c r="O557" s="218">
        <f t="shared" si="103"/>
        <v>0</v>
      </c>
      <c r="P557" s="4">
        <v>552</v>
      </c>
      <c r="R557">
        <f t="shared" si="99"/>
        <v>552</v>
      </c>
      <c r="S557" s="218">
        <f t="shared" ca="1" si="104"/>
        <v>0</v>
      </c>
      <c r="T557" s="218">
        <f t="shared" ca="1" si="105"/>
        <v>0</v>
      </c>
      <c r="U557" s="4">
        <v>552</v>
      </c>
      <c r="W557">
        <f t="shared" si="100"/>
        <v>552</v>
      </c>
      <c r="X557" s="218" t="e">
        <f t="shared" si="106"/>
        <v>#REF!</v>
      </c>
      <c r="Y557" s="218" t="e">
        <f t="shared" si="107"/>
        <v>#REF!</v>
      </c>
      <c r="Z557" s="4">
        <v>552</v>
      </c>
      <c r="AB557">
        <f t="shared" si="101"/>
        <v>552</v>
      </c>
      <c r="AC557" s="218" t="e">
        <f t="shared" si="108"/>
        <v>#REF!</v>
      </c>
      <c r="AD557" s="218" t="e">
        <f t="shared" si="109"/>
        <v>#REF!</v>
      </c>
      <c r="AE557" s="4">
        <v>552</v>
      </c>
    </row>
    <row r="558" spans="13:31">
      <c r="M558">
        <f t="shared" si="98"/>
        <v>553</v>
      </c>
      <c r="N558" s="218">
        <f t="shared" si="102"/>
        <v>0</v>
      </c>
      <c r="O558" s="218">
        <f t="shared" si="103"/>
        <v>0</v>
      </c>
      <c r="P558" s="4">
        <v>553</v>
      </c>
      <c r="R558">
        <f t="shared" si="99"/>
        <v>553</v>
      </c>
      <c r="S558" s="218">
        <f t="shared" ca="1" si="104"/>
        <v>0</v>
      </c>
      <c r="T558" s="218">
        <f t="shared" ca="1" si="105"/>
        <v>0</v>
      </c>
      <c r="U558" s="4">
        <v>553</v>
      </c>
      <c r="W558">
        <f t="shared" si="100"/>
        <v>553</v>
      </c>
      <c r="X558" s="218" t="e">
        <f t="shared" si="106"/>
        <v>#REF!</v>
      </c>
      <c r="Y558" s="218" t="e">
        <f t="shared" si="107"/>
        <v>#REF!</v>
      </c>
      <c r="Z558" s="4">
        <v>553</v>
      </c>
      <c r="AB558">
        <f t="shared" si="101"/>
        <v>553</v>
      </c>
      <c r="AC558" s="218" t="e">
        <f t="shared" si="108"/>
        <v>#REF!</v>
      </c>
      <c r="AD558" s="218" t="e">
        <f t="shared" si="109"/>
        <v>#REF!</v>
      </c>
      <c r="AE558" s="4">
        <v>553</v>
      </c>
    </row>
    <row r="559" spans="13:31">
      <c r="M559">
        <f t="shared" si="98"/>
        <v>554</v>
      </c>
      <c r="N559" s="218">
        <f t="shared" si="102"/>
        <v>0</v>
      </c>
      <c r="O559" s="218">
        <f t="shared" si="103"/>
        <v>0</v>
      </c>
      <c r="P559" s="4">
        <v>554</v>
      </c>
      <c r="R559">
        <f t="shared" si="99"/>
        <v>554</v>
      </c>
      <c r="S559" s="218">
        <f t="shared" ca="1" si="104"/>
        <v>0</v>
      </c>
      <c r="T559" s="218">
        <f t="shared" ca="1" si="105"/>
        <v>0</v>
      </c>
      <c r="U559" s="4">
        <v>554</v>
      </c>
      <c r="W559">
        <f t="shared" si="100"/>
        <v>554</v>
      </c>
      <c r="X559" s="218" t="e">
        <f t="shared" si="106"/>
        <v>#REF!</v>
      </c>
      <c r="Y559" s="218" t="e">
        <f t="shared" si="107"/>
        <v>#REF!</v>
      </c>
      <c r="Z559" s="4">
        <v>554</v>
      </c>
      <c r="AB559">
        <f t="shared" si="101"/>
        <v>554</v>
      </c>
      <c r="AC559" s="218" t="e">
        <f t="shared" si="108"/>
        <v>#REF!</v>
      </c>
      <c r="AD559" s="218" t="e">
        <f t="shared" si="109"/>
        <v>#REF!</v>
      </c>
      <c r="AE559" s="4">
        <v>554</v>
      </c>
    </row>
    <row r="560" spans="13:31">
      <c r="M560">
        <f t="shared" si="98"/>
        <v>555</v>
      </c>
      <c r="N560" s="218">
        <f t="shared" si="102"/>
        <v>0</v>
      </c>
      <c r="O560" s="218">
        <f t="shared" si="103"/>
        <v>0</v>
      </c>
      <c r="P560" s="4">
        <v>555</v>
      </c>
      <c r="R560">
        <f t="shared" si="99"/>
        <v>555</v>
      </c>
      <c r="S560" s="218">
        <f t="shared" ca="1" si="104"/>
        <v>0</v>
      </c>
      <c r="T560" s="218">
        <f t="shared" ca="1" si="105"/>
        <v>0</v>
      </c>
      <c r="U560" s="4">
        <v>555</v>
      </c>
      <c r="W560">
        <f t="shared" si="100"/>
        <v>555</v>
      </c>
      <c r="X560" s="218" t="e">
        <f t="shared" si="106"/>
        <v>#REF!</v>
      </c>
      <c r="Y560" s="218" t="e">
        <f t="shared" si="107"/>
        <v>#REF!</v>
      </c>
      <c r="Z560" s="4">
        <v>555</v>
      </c>
      <c r="AB560">
        <f t="shared" si="101"/>
        <v>555</v>
      </c>
      <c r="AC560" s="218" t="e">
        <f t="shared" si="108"/>
        <v>#REF!</v>
      </c>
      <c r="AD560" s="218" t="e">
        <f t="shared" si="109"/>
        <v>#REF!</v>
      </c>
      <c r="AE560" s="4">
        <v>555</v>
      </c>
    </row>
    <row r="561" spans="13:31">
      <c r="M561">
        <f t="shared" si="98"/>
        <v>556</v>
      </c>
      <c r="N561" s="218">
        <f t="shared" si="102"/>
        <v>0</v>
      </c>
      <c r="O561" s="218">
        <f t="shared" si="103"/>
        <v>0</v>
      </c>
      <c r="P561" s="4">
        <v>556</v>
      </c>
      <c r="R561">
        <f t="shared" si="99"/>
        <v>556</v>
      </c>
      <c r="S561" s="218">
        <f t="shared" ca="1" si="104"/>
        <v>0</v>
      </c>
      <c r="T561" s="218">
        <f t="shared" ca="1" si="105"/>
        <v>0</v>
      </c>
      <c r="U561" s="4">
        <v>556</v>
      </c>
      <c r="W561">
        <f t="shared" si="100"/>
        <v>556</v>
      </c>
      <c r="X561" s="218" t="e">
        <f t="shared" si="106"/>
        <v>#REF!</v>
      </c>
      <c r="Y561" s="218" t="e">
        <f t="shared" si="107"/>
        <v>#REF!</v>
      </c>
      <c r="Z561" s="4">
        <v>556</v>
      </c>
      <c r="AB561">
        <f t="shared" si="101"/>
        <v>556</v>
      </c>
      <c r="AC561" s="218" t="e">
        <f t="shared" si="108"/>
        <v>#REF!</v>
      </c>
      <c r="AD561" s="218" t="e">
        <f t="shared" si="109"/>
        <v>#REF!</v>
      </c>
      <c r="AE561" s="4">
        <v>556</v>
      </c>
    </row>
    <row r="562" spans="13:31">
      <c r="M562">
        <f t="shared" si="98"/>
        <v>557</v>
      </c>
      <c r="N562" s="218">
        <f t="shared" si="102"/>
        <v>0</v>
      </c>
      <c r="O562" s="218">
        <f t="shared" si="103"/>
        <v>0</v>
      </c>
      <c r="P562" s="4">
        <v>557</v>
      </c>
      <c r="R562">
        <f t="shared" si="99"/>
        <v>557</v>
      </c>
      <c r="S562" s="218">
        <f t="shared" ca="1" si="104"/>
        <v>0</v>
      </c>
      <c r="T562" s="218">
        <f t="shared" ca="1" si="105"/>
        <v>0</v>
      </c>
      <c r="U562" s="4">
        <v>557</v>
      </c>
      <c r="W562">
        <f t="shared" si="100"/>
        <v>557</v>
      </c>
      <c r="X562" s="218" t="e">
        <f t="shared" si="106"/>
        <v>#REF!</v>
      </c>
      <c r="Y562" s="218" t="e">
        <f t="shared" si="107"/>
        <v>#REF!</v>
      </c>
      <c r="Z562" s="4">
        <v>557</v>
      </c>
      <c r="AB562">
        <f t="shared" si="101"/>
        <v>557</v>
      </c>
      <c r="AC562" s="218" t="e">
        <f t="shared" si="108"/>
        <v>#REF!</v>
      </c>
      <c r="AD562" s="218" t="e">
        <f t="shared" si="109"/>
        <v>#REF!</v>
      </c>
      <c r="AE562" s="4">
        <v>557</v>
      </c>
    </row>
    <row r="563" spans="13:31">
      <c r="M563">
        <f t="shared" si="98"/>
        <v>558</v>
      </c>
      <c r="N563" s="218">
        <f t="shared" si="102"/>
        <v>0</v>
      </c>
      <c r="O563" s="218">
        <f t="shared" si="103"/>
        <v>0</v>
      </c>
      <c r="P563" s="4">
        <v>558</v>
      </c>
      <c r="R563">
        <f t="shared" si="99"/>
        <v>558</v>
      </c>
      <c r="S563" s="218">
        <f t="shared" ca="1" si="104"/>
        <v>0</v>
      </c>
      <c r="T563" s="218">
        <f t="shared" ca="1" si="105"/>
        <v>0</v>
      </c>
      <c r="U563" s="4">
        <v>558</v>
      </c>
      <c r="W563">
        <f t="shared" si="100"/>
        <v>558</v>
      </c>
      <c r="X563" s="218" t="e">
        <f t="shared" si="106"/>
        <v>#REF!</v>
      </c>
      <c r="Y563" s="218" t="e">
        <f t="shared" si="107"/>
        <v>#REF!</v>
      </c>
      <c r="Z563" s="4">
        <v>558</v>
      </c>
      <c r="AB563">
        <f t="shared" si="101"/>
        <v>558</v>
      </c>
      <c r="AC563" s="218" t="e">
        <f t="shared" si="108"/>
        <v>#REF!</v>
      </c>
      <c r="AD563" s="218" t="e">
        <f t="shared" si="109"/>
        <v>#REF!</v>
      </c>
      <c r="AE563" s="4">
        <v>558</v>
      </c>
    </row>
    <row r="564" spans="13:31">
      <c r="M564">
        <f t="shared" si="98"/>
        <v>559</v>
      </c>
      <c r="N564" s="218">
        <f t="shared" si="102"/>
        <v>0</v>
      </c>
      <c r="O564" s="218">
        <f t="shared" si="103"/>
        <v>0</v>
      </c>
      <c r="P564" s="4">
        <v>559</v>
      </c>
      <c r="R564">
        <f t="shared" si="99"/>
        <v>559</v>
      </c>
      <c r="S564" s="218">
        <f t="shared" ca="1" si="104"/>
        <v>0</v>
      </c>
      <c r="T564" s="218">
        <f t="shared" ca="1" si="105"/>
        <v>0</v>
      </c>
      <c r="U564" s="4">
        <v>559</v>
      </c>
      <c r="W564">
        <f t="shared" si="100"/>
        <v>559</v>
      </c>
      <c r="X564" s="218" t="e">
        <f t="shared" si="106"/>
        <v>#REF!</v>
      </c>
      <c r="Y564" s="218" t="e">
        <f t="shared" si="107"/>
        <v>#REF!</v>
      </c>
      <c r="Z564" s="4">
        <v>559</v>
      </c>
      <c r="AB564">
        <f t="shared" si="101"/>
        <v>559</v>
      </c>
      <c r="AC564" s="218" t="e">
        <f t="shared" si="108"/>
        <v>#REF!</v>
      </c>
      <c r="AD564" s="218" t="e">
        <f t="shared" si="109"/>
        <v>#REF!</v>
      </c>
      <c r="AE564" s="4">
        <v>559</v>
      </c>
    </row>
    <row r="565" spans="13:31">
      <c r="M565">
        <f t="shared" si="98"/>
        <v>560</v>
      </c>
      <c r="N565" s="218">
        <f t="shared" si="102"/>
        <v>0</v>
      </c>
      <c r="O565" s="218">
        <f t="shared" si="103"/>
        <v>0</v>
      </c>
      <c r="P565" s="4">
        <v>560</v>
      </c>
      <c r="R565">
        <f t="shared" si="99"/>
        <v>560</v>
      </c>
      <c r="S565" s="218">
        <f t="shared" ca="1" si="104"/>
        <v>0</v>
      </c>
      <c r="T565" s="218">
        <f t="shared" ca="1" si="105"/>
        <v>0</v>
      </c>
      <c r="U565" s="4">
        <v>560</v>
      </c>
      <c r="W565">
        <f t="shared" si="100"/>
        <v>560</v>
      </c>
      <c r="X565" s="218" t="e">
        <f t="shared" si="106"/>
        <v>#REF!</v>
      </c>
      <c r="Y565" s="218" t="e">
        <f t="shared" si="107"/>
        <v>#REF!</v>
      </c>
      <c r="Z565" s="4">
        <v>560</v>
      </c>
      <c r="AB565">
        <f t="shared" si="101"/>
        <v>560</v>
      </c>
      <c r="AC565" s="218" t="e">
        <f t="shared" si="108"/>
        <v>#REF!</v>
      </c>
      <c r="AD565" s="218" t="e">
        <f t="shared" si="109"/>
        <v>#REF!</v>
      </c>
      <c r="AE565" s="4">
        <v>560</v>
      </c>
    </row>
    <row r="566" spans="13:31">
      <c r="M566">
        <f t="shared" si="98"/>
        <v>561</v>
      </c>
      <c r="N566" s="218">
        <f t="shared" si="102"/>
        <v>0</v>
      </c>
      <c r="O566" s="218">
        <f t="shared" si="103"/>
        <v>0</v>
      </c>
      <c r="P566" s="4">
        <v>561</v>
      </c>
      <c r="R566">
        <f t="shared" si="99"/>
        <v>561</v>
      </c>
      <c r="S566" s="218">
        <f t="shared" ca="1" si="104"/>
        <v>0</v>
      </c>
      <c r="T566" s="218">
        <f t="shared" ca="1" si="105"/>
        <v>0</v>
      </c>
      <c r="U566" s="4">
        <v>561</v>
      </c>
      <c r="W566">
        <f t="shared" si="100"/>
        <v>561</v>
      </c>
      <c r="X566" s="218" t="e">
        <f t="shared" si="106"/>
        <v>#REF!</v>
      </c>
      <c r="Y566" s="218" t="e">
        <f t="shared" si="107"/>
        <v>#REF!</v>
      </c>
      <c r="Z566" s="4">
        <v>561</v>
      </c>
      <c r="AB566">
        <f t="shared" si="101"/>
        <v>561</v>
      </c>
      <c r="AC566" s="218" t="e">
        <f t="shared" si="108"/>
        <v>#REF!</v>
      </c>
      <c r="AD566" s="218" t="e">
        <f t="shared" si="109"/>
        <v>#REF!</v>
      </c>
      <c r="AE566" s="4">
        <v>561</v>
      </c>
    </row>
    <row r="567" spans="13:31">
      <c r="M567">
        <f t="shared" si="98"/>
        <v>562</v>
      </c>
      <c r="N567" s="218">
        <f t="shared" si="102"/>
        <v>0</v>
      </c>
      <c r="O567" s="218">
        <f t="shared" si="103"/>
        <v>0</v>
      </c>
      <c r="P567" s="4">
        <v>562</v>
      </c>
      <c r="R567">
        <f t="shared" si="99"/>
        <v>562</v>
      </c>
      <c r="S567" s="218">
        <f t="shared" ca="1" si="104"/>
        <v>0</v>
      </c>
      <c r="T567" s="218">
        <f t="shared" ca="1" si="105"/>
        <v>0</v>
      </c>
      <c r="U567" s="4">
        <v>562</v>
      </c>
      <c r="W567">
        <f t="shared" si="100"/>
        <v>562</v>
      </c>
      <c r="X567" s="218" t="e">
        <f t="shared" si="106"/>
        <v>#REF!</v>
      </c>
      <c r="Y567" s="218" t="e">
        <f t="shared" si="107"/>
        <v>#REF!</v>
      </c>
      <c r="Z567" s="4">
        <v>562</v>
      </c>
      <c r="AB567">
        <f t="shared" si="101"/>
        <v>562</v>
      </c>
      <c r="AC567" s="218" t="e">
        <f t="shared" si="108"/>
        <v>#REF!</v>
      </c>
      <c r="AD567" s="218" t="e">
        <f t="shared" si="109"/>
        <v>#REF!</v>
      </c>
      <c r="AE567" s="4">
        <v>562</v>
      </c>
    </row>
    <row r="568" spans="13:31">
      <c r="M568">
        <f t="shared" si="98"/>
        <v>563</v>
      </c>
      <c r="N568" s="218">
        <f t="shared" si="102"/>
        <v>0</v>
      </c>
      <c r="O568" s="218">
        <f t="shared" si="103"/>
        <v>0</v>
      </c>
      <c r="P568" s="4">
        <v>563</v>
      </c>
      <c r="R568">
        <f t="shared" si="99"/>
        <v>563</v>
      </c>
      <c r="S568" s="218">
        <f t="shared" ca="1" si="104"/>
        <v>0</v>
      </c>
      <c r="T568" s="218">
        <f t="shared" ca="1" si="105"/>
        <v>0</v>
      </c>
      <c r="U568" s="4">
        <v>563</v>
      </c>
      <c r="W568">
        <f t="shared" si="100"/>
        <v>563</v>
      </c>
      <c r="X568" s="218" t="e">
        <f t="shared" si="106"/>
        <v>#REF!</v>
      </c>
      <c r="Y568" s="218" t="e">
        <f t="shared" si="107"/>
        <v>#REF!</v>
      </c>
      <c r="Z568" s="4">
        <v>563</v>
      </c>
      <c r="AB568">
        <f t="shared" si="101"/>
        <v>563</v>
      </c>
      <c r="AC568" s="218" t="e">
        <f t="shared" si="108"/>
        <v>#REF!</v>
      </c>
      <c r="AD568" s="218" t="e">
        <f t="shared" si="109"/>
        <v>#REF!</v>
      </c>
      <c r="AE568" s="4">
        <v>563</v>
      </c>
    </row>
    <row r="569" spans="13:31">
      <c r="M569">
        <f t="shared" si="98"/>
        <v>564</v>
      </c>
      <c r="N569" s="218">
        <f t="shared" si="102"/>
        <v>0</v>
      </c>
      <c r="O569" s="218">
        <f t="shared" si="103"/>
        <v>0</v>
      </c>
      <c r="P569" s="4">
        <v>564</v>
      </c>
      <c r="R569">
        <f t="shared" si="99"/>
        <v>564</v>
      </c>
      <c r="S569" s="218">
        <f t="shared" ca="1" si="104"/>
        <v>0</v>
      </c>
      <c r="T569" s="218">
        <f t="shared" ca="1" si="105"/>
        <v>0</v>
      </c>
      <c r="U569" s="4">
        <v>564</v>
      </c>
      <c r="W569">
        <f t="shared" si="100"/>
        <v>564</v>
      </c>
      <c r="X569" s="218" t="e">
        <f t="shared" si="106"/>
        <v>#REF!</v>
      </c>
      <c r="Y569" s="218" t="e">
        <f t="shared" si="107"/>
        <v>#REF!</v>
      </c>
      <c r="Z569" s="4">
        <v>564</v>
      </c>
      <c r="AB569">
        <f t="shared" si="101"/>
        <v>564</v>
      </c>
      <c r="AC569" s="218" t="e">
        <f t="shared" si="108"/>
        <v>#REF!</v>
      </c>
      <c r="AD569" s="218" t="e">
        <f t="shared" si="109"/>
        <v>#REF!</v>
      </c>
      <c r="AE569" s="4">
        <v>564</v>
      </c>
    </row>
    <row r="570" spans="13:31">
      <c r="M570">
        <f t="shared" si="98"/>
        <v>565</v>
      </c>
      <c r="N570" s="218">
        <f t="shared" si="102"/>
        <v>0</v>
      </c>
      <c r="O570" s="218">
        <f t="shared" si="103"/>
        <v>0</v>
      </c>
      <c r="P570" s="4">
        <v>565</v>
      </c>
      <c r="R570">
        <f t="shared" si="99"/>
        <v>565</v>
      </c>
      <c r="S570" s="218">
        <f t="shared" ca="1" si="104"/>
        <v>0</v>
      </c>
      <c r="T570" s="218">
        <f t="shared" ca="1" si="105"/>
        <v>0</v>
      </c>
      <c r="U570" s="4">
        <v>565</v>
      </c>
      <c r="W570">
        <f t="shared" si="100"/>
        <v>565</v>
      </c>
      <c r="X570" s="218" t="e">
        <f t="shared" si="106"/>
        <v>#REF!</v>
      </c>
      <c r="Y570" s="218" t="e">
        <f t="shared" si="107"/>
        <v>#REF!</v>
      </c>
      <c r="Z570" s="4">
        <v>565</v>
      </c>
      <c r="AB570">
        <f t="shared" si="101"/>
        <v>565</v>
      </c>
      <c r="AC570" s="218" t="e">
        <f t="shared" si="108"/>
        <v>#REF!</v>
      </c>
      <c r="AD570" s="218" t="e">
        <f t="shared" si="109"/>
        <v>#REF!</v>
      </c>
      <c r="AE570" s="4">
        <v>565</v>
      </c>
    </row>
    <row r="571" spans="13:31">
      <c r="M571">
        <f t="shared" si="98"/>
        <v>566</v>
      </c>
      <c r="N571" s="218">
        <f t="shared" si="102"/>
        <v>0</v>
      </c>
      <c r="O571" s="218">
        <f t="shared" si="103"/>
        <v>0</v>
      </c>
      <c r="P571" s="4">
        <v>566</v>
      </c>
      <c r="R571">
        <f t="shared" si="99"/>
        <v>566</v>
      </c>
      <c r="S571" s="218">
        <f t="shared" ca="1" si="104"/>
        <v>0</v>
      </c>
      <c r="T571" s="218">
        <f t="shared" ca="1" si="105"/>
        <v>0</v>
      </c>
      <c r="U571" s="4">
        <v>566</v>
      </c>
      <c r="W571">
        <f t="shared" si="100"/>
        <v>566</v>
      </c>
      <c r="X571" s="218" t="e">
        <f t="shared" si="106"/>
        <v>#REF!</v>
      </c>
      <c r="Y571" s="218" t="e">
        <f t="shared" si="107"/>
        <v>#REF!</v>
      </c>
      <c r="Z571" s="4">
        <v>566</v>
      </c>
      <c r="AB571">
        <f t="shared" si="101"/>
        <v>566</v>
      </c>
      <c r="AC571" s="218" t="e">
        <f t="shared" si="108"/>
        <v>#REF!</v>
      </c>
      <c r="AD571" s="218" t="e">
        <f t="shared" si="109"/>
        <v>#REF!</v>
      </c>
      <c r="AE571" s="4">
        <v>566</v>
      </c>
    </row>
    <row r="572" spans="13:31">
      <c r="M572">
        <f t="shared" si="98"/>
        <v>567</v>
      </c>
      <c r="N572" s="218">
        <f t="shared" si="102"/>
        <v>0</v>
      </c>
      <c r="O572" s="218">
        <f t="shared" si="103"/>
        <v>0</v>
      </c>
      <c r="P572" s="4">
        <v>567</v>
      </c>
      <c r="R572">
        <f t="shared" si="99"/>
        <v>567</v>
      </c>
      <c r="S572" s="218">
        <f t="shared" ca="1" si="104"/>
        <v>0</v>
      </c>
      <c r="T572" s="218">
        <f t="shared" ca="1" si="105"/>
        <v>0</v>
      </c>
      <c r="U572" s="4">
        <v>567</v>
      </c>
      <c r="W572">
        <f t="shared" si="100"/>
        <v>567</v>
      </c>
      <c r="X572" s="218" t="e">
        <f t="shared" si="106"/>
        <v>#REF!</v>
      </c>
      <c r="Y572" s="218" t="e">
        <f t="shared" si="107"/>
        <v>#REF!</v>
      </c>
      <c r="Z572" s="4">
        <v>567</v>
      </c>
      <c r="AB572">
        <f t="shared" si="101"/>
        <v>567</v>
      </c>
      <c r="AC572" s="218" t="e">
        <f t="shared" si="108"/>
        <v>#REF!</v>
      </c>
      <c r="AD572" s="218" t="e">
        <f t="shared" si="109"/>
        <v>#REF!</v>
      </c>
      <c r="AE572" s="4">
        <v>567</v>
      </c>
    </row>
    <row r="573" spans="13:31">
      <c r="M573">
        <f t="shared" si="98"/>
        <v>568</v>
      </c>
      <c r="N573" s="218">
        <f t="shared" si="102"/>
        <v>0</v>
      </c>
      <c r="O573" s="218">
        <f t="shared" si="103"/>
        <v>0</v>
      </c>
      <c r="P573" s="4">
        <v>568</v>
      </c>
      <c r="R573">
        <f t="shared" si="99"/>
        <v>568</v>
      </c>
      <c r="S573" s="218">
        <f t="shared" ca="1" si="104"/>
        <v>0</v>
      </c>
      <c r="T573" s="218">
        <f t="shared" ca="1" si="105"/>
        <v>0</v>
      </c>
      <c r="U573" s="4">
        <v>568</v>
      </c>
      <c r="W573">
        <f t="shared" si="100"/>
        <v>568</v>
      </c>
      <c r="X573" s="218" t="e">
        <f t="shared" si="106"/>
        <v>#REF!</v>
      </c>
      <c r="Y573" s="218" t="e">
        <f t="shared" si="107"/>
        <v>#REF!</v>
      </c>
      <c r="Z573" s="4">
        <v>568</v>
      </c>
      <c r="AB573">
        <f t="shared" si="101"/>
        <v>568</v>
      </c>
      <c r="AC573" s="218" t="e">
        <f t="shared" si="108"/>
        <v>#REF!</v>
      </c>
      <c r="AD573" s="218" t="e">
        <f t="shared" si="109"/>
        <v>#REF!</v>
      </c>
      <c r="AE573" s="4">
        <v>568</v>
      </c>
    </row>
    <row r="574" spans="13:31">
      <c r="M574">
        <f t="shared" si="98"/>
        <v>569</v>
      </c>
      <c r="N574" s="218">
        <f t="shared" si="102"/>
        <v>0</v>
      </c>
      <c r="O574" s="218">
        <f t="shared" si="103"/>
        <v>0</v>
      </c>
      <c r="P574" s="4">
        <v>569</v>
      </c>
      <c r="R574">
        <f t="shared" si="99"/>
        <v>569</v>
      </c>
      <c r="S574" s="218">
        <f t="shared" ca="1" si="104"/>
        <v>0</v>
      </c>
      <c r="T574" s="218">
        <f t="shared" ca="1" si="105"/>
        <v>0</v>
      </c>
      <c r="U574" s="4">
        <v>569</v>
      </c>
      <c r="W574">
        <f t="shared" si="100"/>
        <v>569</v>
      </c>
      <c r="X574" s="218" t="e">
        <f t="shared" si="106"/>
        <v>#REF!</v>
      </c>
      <c r="Y574" s="218" t="e">
        <f t="shared" si="107"/>
        <v>#REF!</v>
      </c>
      <c r="Z574" s="4">
        <v>569</v>
      </c>
      <c r="AB574">
        <f t="shared" si="101"/>
        <v>569</v>
      </c>
      <c r="AC574" s="218" t="e">
        <f t="shared" si="108"/>
        <v>#REF!</v>
      </c>
      <c r="AD574" s="218" t="e">
        <f t="shared" si="109"/>
        <v>#REF!</v>
      </c>
      <c r="AE574" s="4">
        <v>569</v>
      </c>
    </row>
    <row r="575" spans="13:31">
      <c r="M575">
        <f t="shared" si="98"/>
        <v>570</v>
      </c>
      <c r="N575" s="218">
        <f t="shared" si="102"/>
        <v>0</v>
      </c>
      <c r="O575" s="218">
        <f t="shared" si="103"/>
        <v>0</v>
      </c>
      <c r="P575" s="4">
        <v>570</v>
      </c>
      <c r="R575">
        <f t="shared" si="99"/>
        <v>570</v>
      </c>
      <c r="S575" s="218">
        <f t="shared" ca="1" si="104"/>
        <v>0</v>
      </c>
      <c r="T575" s="218">
        <f t="shared" ca="1" si="105"/>
        <v>0</v>
      </c>
      <c r="U575" s="4">
        <v>570</v>
      </c>
      <c r="W575">
        <f t="shared" si="100"/>
        <v>570</v>
      </c>
      <c r="X575" s="218" t="e">
        <f t="shared" si="106"/>
        <v>#REF!</v>
      </c>
      <c r="Y575" s="218" t="e">
        <f t="shared" si="107"/>
        <v>#REF!</v>
      </c>
      <c r="Z575" s="4">
        <v>570</v>
      </c>
      <c r="AB575">
        <f t="shared" si="101"/>
        <v>570</v>
      </c>
      <c r="AC575" s="218" t="e">
        <f t="shared" si="108"/>
        <v>#REF!</v>
      </c>
      <c r="AD575" s="218" t="e">
        <f t="shared" si="109"/>
        <v>#REF!</v>
      </c>
      <c r="AE575" s="4">
        <v>570</v>
      </c>
    </row>
    <row r="576" spans="13:31">
      <c r="M576">
        <f t="shared" si="98"/>
        <v>571</v>
      </c>
      <c r="N576" s="218">
        <f t="shared" si="102"/>
        <v>0</v>
      </c>
      <c r="O576" s="218">
        <f t="shared" si="103"/>
        <v>0</v>
      </c>
      <c r="P576" s="4">
        <v>571</v>
      </c>
      <c r="R576">
        <f t="shared" si="99"/>
        <v>571</v>
      </c>
      <c r="S576" s="218">
        <f t="shared" ca="1" si="104"/>
        <v>0</v>
      </c>
      <c r="T576" s="218">
        <f t="shared" ca="1" si="105"/>
        <v>0</v>
      </c>
      <c r="U576" s="4">
        <v>571</v>
      </c>
      <c r="W576">
        <f t="shared" si="100"/>
        <v>571</v>
      </c>
      <c r="X576" s="218" t="e">
        <f t="shared" si="106"/>
        <v>#REF!</v>
      </c>
      <c r="Y576" s="218" t="e">
        <f t="shared" si="107"/>
        <v>#REF!</v>
      </c>
      <c r="Z576" s="4">
        <v>571</v>
      </c>
      <c r="AB576">
        <f t="shared" si="101"/>
        <v>571</v>
      </c>
      <c r="AC576" s="218" t="e">
        <f t="shared" si="108"/>
        <v>#REF!</v>
      </c>
      <c r="AD576" s="218" t="e">
        <f t="shared" si="109"/>
        <v>#REF!</v>
      </c>
      <c r="AE576" s="4">
        <v>571</v>
      </c>
    </row>
    <row r="577" spans="13:31">
      <c r="M577">
        <f t="shared" si="98"/>
        <v>572</v>
      </c>
      <c r="N577" s="218">
        <f t="shared" si="102"/>
        <v>0</v>
      </c>
      <c r="O577" s="218">
        <f t="shared" si="103"/>
        <v>0</v>
      </c>
      <c r="P577" s="4">
        <v>572</v>
      </c>
      <c r="R577">
        <f t="shared" si="99"/>
        <v>572</v>
      </c>
      <c r="S577" s="218">
        <f t="shared" ca="1" si="104"/>
        <v>0</v>
      </c>
      <c r="T577" s="218">
        <f t="shared" ca="1" si="105"/>
        <v>0</v>
      </c>
      <c r="U577" s="4">
        <v>572</v>
      </c>
      <c r="W577">
        <f t="shared" si="100"/>
        <v>572</v>
      </c>
      <c r="X577" s="218" t="e">
        <f t="shared" si="106"/>
        <v>#REF!</v>
      </c>
      <c r="Y577" s="218" t="e">
        <f t="shared" si="107"/>
        <v>#REF!</v>
      </c>
      <c r="Z577" s="4">
        <v>572</v>
      </c>
      <c r="AB577">
        <f t="shared" si="101"/>
        <v>572</v>
      </c>
      <c r="AC577" s="218" t="e">
        <f t="shared" si="108"/>
        <v>#REF!</v>
      </c>
      <c r="AD577" s="218" t="e">
        <f t="shared" si="109"/>
        <v>#REF!</v>
      </c>
      <c r="AE577" s="4">
        <v>572</v>
      </c>
    </row>
    <row r="578" spans="13:31">
      <c r="M578">
        <f t="shared" si="98"/>
        <v>573</v>
      </c>
      <c r="N578" s="218">
        <f t="shared" si="102"/>
        <v>0</v>
      </c>
      <c r="O578" s="218">
        <f t="shared" si="103"/>
        <v>0</v>
      </c>
      <c r="P578" s="4">
        <v>573</v>
      </c>
      <c r="R578">
        <f t="shared" si="99"/>
        <v>573</v>
      </c>
      <c r="S578" s="218">
        <f t="shared" ca="1" si="104"/>
        <v>0</v>
      </c>
      <c r="T578" s="218">
        <f t="shared" ca="1" si="105"/>
        <v>0</v>
      </c>
      <c r="U578" s="4">
        <v>573</v>
      </c>
      <c r="W578">
        <f t="shared" si="100"/>
        <v>573</v>
      </c>
      <c r="X578" s="218" t="e">
        <f t="shared" si="106"/>
        <v>#REF!</v>
      </c>
      <c r="Y578" s="218" t="e">
        <f t="shared" si="107"/>
        <v>#REF!</v>
      </c>
      <c r="Z578" s="4">
        <v>573</v>
      </c>
      <c r="AB578">
        <f t="shared" si="101"/>
        <v>573</v>
      </c>
      <c r="AC578" s="218" t="e">
        <f t="shared" si="108"/>
        <v>#REF!</v>
      </c>
      <c r="AD578" s="218" t="e">
        <f t="shared" si="109"/>
        <v>#REF!</v>
      </c>
      <c r="AE578" s="4">
        <v>573</v>
      </c>
    </row>
    <row r="579" spans="13:31">
      <c r="M579">
        <f t="shared" si="98"/>
        <v>574</v>
      </c>
      <c r="N579" s="218">
        <f t="shared" si="102"/>
        <v>0</v>
      </c>
      <c r="O579" s="218">
        <f t="shared" si="103"/>
        <v>0</v>
      </c>
      <c r="P579" s="4">
        <v>574</v>
      </c>
      <c r="R579">
        <f t="shared" si="99"/>
        <v>574</v>
      </c>
      <c r="S579" s="218">
        <f t="shared" ca="1" si="104"/>
        <v>0</v>
      </c>
      <c r="T579" s="218">
        <f t="shared" ca="1" si="105"/>
        <v>0</v>
      </c>
      <c r="U579" s="4">
        <v>574</v>
      </c>
      <c r="W579">
        <f t="shared" si="100"/>
        <v>574</v>
      </c>
      <c r="X579" s="218" t="e">
        <f t="shared" si="106"/>
        <v>#REF!</v>
      </c>
      <c r="Y579" s="218" t="e">
        <f t="shared" si="107"/>
        <v>#REF!</v>
      </c>
      <c r="Z579" s="4">
        <v>574</v>
      </c>
      <c r="AB579">
        <f t="shared" si="101"/>
        <v>574</v>
      </c>
      <c r="AC579" s="218" t="e">
        <f t="shared" si="108"/>
        <v>#REF!</v>
      </c>
      <c r="AD579" s="218" t="e">
        <f t="shared" si="109"/>
        <v>#REF!</v>
      </c>
      <c r="AE579" s="4">
        <v>574</v>
      </c>
    </row>
    <row r="580" spans="13:31">
      <c r="M580">
        <f t="shared" si="98"/>
        <v>575</v>
      </c>
      <c r="N580" s="218">
        <f t="shared" si="102"/>
        <v>0</v>
      </c>
      <c r="O580" s="218">
        <f t="shared" si="103"/>
        <v>0</v>
      </c>
      <c r="P580" s="4">
        <v>575</v>
      </c>
      <c r="R580">
        <f t="shared" si="99"/>
        <v>575</v>
      </c>
      <c r="S580" s="218">
        <f t="shared" ca="1" si="104"/>
        <v>0</v>
      </c>
      <c r="T580" s="218">
        <f t="shared" ca="1" si="105"/>
        <v>0</v>
      </c>
      <c r="U580" s="4">
        <v>575</v>
      </c>
      <c r="W580">
        <f t="shared" si="100"/>
        <v>575</v>
      </c>
      <c r="X580" s="218" t="e">
        <f t="shared" si="106"/>
        <v>#REF!</v>
      </c>
      <c r="Y580" s="218" t="e">
        <f t="shared" si="107"/>
        <v>#REF!</v>
      </c>
      <c r="Z580" s="4">
        <v>575</v>
      </c>
      <c r="AB580">
        <f t="shared" si="101"/>
        <v>575</v>
      </c>
      <c r="AC580" s="218" t="e">
        <f t="shared" si="108"/>
        <v>#REF!</v>
      </c>
      <c r="AD580" s="218" t="e">
        <f t="shared" si="109"/>
        <v>#REF!</v>
      </c>
      <c r="AE580" s="4">
        <v>575</v>
      </c>
    </row>
    <row r="581" spans="13:31">
      <c r="M581">
        <f t="shared" si="98"/>
        <v>576</v>
      </c>
      <c r="N581" s="218">
        <f t="shared" si="102"/>
        <v>0</v>
      </c>
      <c r="O581" s="218">
        <f t="shared" si="103"/>
        <v>0</v>
      </c>
      <c r="P581" s="4">
        <v>576</v>
      </c>
      <c r="R581">
        <f t="shared" si="99"/>
        <v>576</v>
      </c>
      <c r="S581" s="218">
        <f t="shared" ca="1" si="104"/>
        <v>0</v>
      </c>
      <c r="T581" s="218">
        <f t="shared" ca="1" si="105"/>
        <v>0</v>
      </c>
      <c r="U581" s="4">
        <v>576</v>
      </c>
      <c r="W581">
        <f t="shared" si="100"/>
        <v>576</v>
      </c>
      <c r="X581" s="218" t="e">
        <f t="shared" si="106"/>
        <v>#REF!</v>
      </c>
      <c r="Y581" s="218" t="e">
        <f t="shared" si="107"/>
        <v>#REF!</v>
      </c>
      <c r="Z581" s="4">
        <v>576</v>
      </c>
      <c r="AB581">
        <f t="shared" si="101"/>
        <v>576</v>
      </c>
      <c r="AC581" s="218" t="e">
        <f t="shared" si="108"/>
        <v>#REF!</v>
      </c>
      <c r="AD581" s="218" t="e">
        <f t="shared" si="109"/>
        <v>#REF!</v>
      </c>
      <c r="AE581" s="4">
        <v>576</v>
      </c>
    </row>
    <row r="582" spans="13:31">
      <c r="M582">
        <f t="shared" si="98"/>
        <v>577</v>
      </c>
      <c r="N582" s="218">
        <f t="shared" si="102"/>
        <v>0</v>
      </c>
      <c r="O582" s="218">
        <f t="shared" si="103"/>
        <v>0</v>
      </c>
      <c r="P582" s="4">
        <v>577</v>
      </c>
      <c r="R582">
        <f t="shared" si="99"/>
        <v>577</v>
      </c>
      <c r="S582" s="218">
        <f t="shared" ca="1" si="104"/>
        <v>0</v>
      </c>
      <c r="T582" s="218">
        <f t="shared" ca="1" si="105"/>
        <v>0</v>
      </c>
      <c r="U582" s="4">
        <v>577</v>
      </c>
      <c r="W582">
        <f t="shared" si="100"/>
        <v>577</v>
      </c>
      <c r="X582" s="218" t="e">
        <f t="shared" si="106"/>
        <v>#REF!</v>
      </c>
      <c r="Y582" s="218" t="e">
        <f t="shared" si="107"/>
        <v>#REF!</v>
      </c>
      <c r="Z582" s="4">
        <v>577</v>
      </c>
      <c r="AB582">
        <f t="shared" si="101"/>
        <v>577</v>
      </c>
      <c r="AC582" s="218" t="e">
        <f t="shared" si="108"/>
        <v>#REF!</v>
      </c>
      <c r="AD582" s="218" t="e">
        <f t="shared" si="109"/>
        <v>#REF!</v>
      </c>
      <c r="AE582" s="4">
        <v>577</v>
      </c>
    </row>
    <row r="583" spans="13:31">
      <c r="M583">
        <f t="shared" ref="M583:M646" si="110">P583</f>
        <v>578</v>
      </c>
      <c r="N583" s="218">
        <f t="shared" si="102"/>
        <v>0</v>
      </c>
      <c r="O583" s="218">
        <f t="shared" si="103"/>
        <v>0</v>
      </c>
      <c r="P583" s="4">
        <v>578</v>
      </c>
      <c r="R583">
        <f t="shared" ref="R583:R646" si="111">U583</f>
        <v>578</v>
      </c>
      <c r="S583" s="218">
        <f t="shared" ca="1" si="104"/>
        <v>0</v>
      </c>
      <c r="T583" s="218">
        <f t="shared" ca="1" si="105"/>
        <v>0</v>
      </c>
      <c r="U583" s="4">
        <v>578</v>
      </c>
      <c r="W583">
        <f t="shared" ref="W583:W646" si="112">Z583</f>
        <v>578</v>
      </c>
      <c r="X583" s="218" t="e">
        <f t="shared" si="106"/>
        <v>#REF!</v>
      </c>
      <c r="Y583" s="218" t="e">
        <f t="shared" si="107"/>
        <v>#REF!</v>
      </c>
      <c r="Z583" s="4">
        <v>578</v>
      </c>
      <c r="AB583">
        <f t="shared" ref="AB583:AB646" si="113">AE583</f>
        <v>578</v>
      </c>
      <c r="AC583" s="218" t="e">
        <f t="shared" si="108"/>
        <v>#REF!</v>
      </c>
      <c r="AD583" s="218" t="e">
        <f t="shared" si="109"/>
        <v>#REF!</v>
      </c>
      <c r="AE583" s="4">
        <v>578</v>
      </c>
    </row>
    <row r="584" spans="13:31">
      <c r="M584">
        <f t="shared" si="110"/>
        <v>579</v>
      </c>
      <c r="N584" s="218">
        <f t="shared" ref="N584:N647" si="114">+IF(O584&lt;N583,O584,N583)</f>
        <v>0</v>
      </c>
      <c r="O584" s="218">
        <f t="shared" ref="O584:O647" si="115">+(O583-N583)*(1+$E$13)</f>
        <v>0</v>
      </c>
      <c r="P584" s="4">
        <v>579</v>
      </c>
      <c r="R584">
        <f t="shared" si="111"/>
        <v>579</v>
      </c>
      <c r="S584" s="218">
        <f t="shared" ref="S584:S647" ca="1" si="116">+IF(T584&lt;S583,T584,S583)</f>
        <v>0</v>
      </c>
      <c r="T584" s="218">
        <f t="shared" ref="T584:T647" ca="1" si="117">+(T583-S583)*(1+$E$14)</f>
        <v>0</v>
      </c>
      <c r="U584" s="4">
        <v>579</v>
      </c>
      <c r="W584">
        <f t="shared" si="112"/>
        <v>579</v>
      </c>
      <c r="X584" s="218" t="e">
        <f t="shared" ref="X584:X647" si="118">+IF(Y584&lt;X583,Y584,X583)</f>
        <v>#REF!</v>
      </c>
      <c r="Y584" s="218" t="e">
        <f t="shared" ref="Y584:Y647" si="119">+(Y583-X583)*(1+$E$15)</f>
        <v>#REF!</v>
      </c>
      <c r="Z584" s="4">
        <v>579</v>
      </c>
      <c r="AB584">
        <f t="shared" si="113"/>
        <v>579</v>
      </c>
      <c r="AC584" s="218" t="e">
        <f t="shared" ref="AC584:AC647" si="120">+IF(AD584&lt;AC583,AD584,AC583)</f>
        <v>#REF!</v>
      </c>
      <c r="AD584" s="218" t="e">
        <f t="shared" ref="AD584:AD647" si="121">+(AD583-AC583)*(1+$E$16)</f>
        <v>#REF!</v>
      </c>
      <c r="AE584" s="4">
        <v>579</v>
      </c>
    </row>
    <row r="585" spans="13:31">
      <c r="M585">
        <f t="shared" si="110"/>
        <v>580</v>
      </c>
      <c r="N585" s="218">
        <f t="shared" si="114"/>
        <v>0</v>
      </c>
      <c r="O585" s="218">
        <f t="shared" si="115"/>
        <v>0</v>
      </c>
      <c r="P585" s="4">
        <v>580</v>
      </c>
      <c r="R585">
        <f t="shared" si="111"/>
        <v>580</v>
      </c>
      <c r="S585" s="218">
        <f t="shared" ca="1" si="116"/>
        <v>0</v>
      </c>
      <c r="T585" s="218">
        <f t="shared" ca="1" si="117"/>
        <v>0</v>
      </c>
      <c r="U585" s="4">
        <v>580</v>
      </c>
      <c r="W585">
        <f t="shared" si="112"/>
        <v>580</v>
      </c>
      <c r="X585" s="218" t="e">
        <f t="shared" si="118"/>
        <v>#REF!</v>
      </c>
      <c r="Y585" s="218" t="e">
        <f t="shared" si="119"/>
        <v>#REF!</v>
      </c>
      <c r="Z585" s="4">
        <v>580</v>
      </c>
      <c r="AB585">
        <f t="shared" si="113"/>
        <v>580</v>
      </c>
      <c r="AC585" s="218" t="e">
        <f t="shared" si="120"/>
        <v>#REF!</v>
      </c>
      <c r="AD585" s="218" t="e">
        <f t="shared" si="121"/>
        <v>#REF!</v>
      </c>
      <c r="AE585" s="4">
        <v>580</v>
      </c>
    </row>
    <row r="586" spans="13:31">
      <c r="M586">
        <f t="shared" si="110"/>
        <v>581</v>
      </c>
      <c r="N586" s="218">
        <f t="shared" si="114"/>
        <v>0</v>
      </c>
      <c r="O586" s="218">
        <f t="shared" si="115"/>
        <v>0</v>
      </c>
      <c r="P586" s="4">
        <v>581</v>
      </c>
      <c r="R586">
        <f t="shared" si="111"/>
        <v>581</v>
      </c>
      <c r="S586" s="218">
        <f t="shared" ca="1" si="116"/>
        <v>0</v>
      </c>
      <c r="T586" s="218">
        <f t="shared" ca="1" si="117"/>
        <v>0</v>
      </c>
      <c r="U586" s="4">
        <v>581</v>
      </c>
      <c r="W586">
        <f t="shared" si="112"/>
        <v>581</v>
      </c>
      <c r="X586" s="218" t="e">
        <f t="shared" si="118"/>
        <v>#REF!</v>
      </c>
      <c r="Y586" s="218" t="e">
        <f t="shared" si="119"/>
        <v>#REF!</v>
      </c>
      <c r="Z586" s="4">
        <v>581</v>
      </c>
      <c r="AB586">
        <f t="shared" si="113"/>
        <v>581</v>
      </c>
      <c r="AC586" s="218" t="e">
        <f t="shared" si="120"/>
        <v>#REF!</v>
      </c>
      <c r="AD586" s="218" t="e">
        <f t="shared" si="121"/>
        <v>#REF!</v>
      </c>
      <c r="AE586" s="4">
        <v>581</v>
      </c>
    </row>
    <row r="587" spans="13:31">
      <c r="M587">
        <f t="shared" si="110"/>
        <v>582</v>
      </c>
      <c r="N587" s="218">
        <f t="shared" si="114"/>
        <v>0</v>
      </c>
      <c r="O587" s="218">
        <f t="shared" si="115"/>
        <v>0</v>
      </c>
      <c r="P587" s="4">
        <v>582</v>
      </c>
      <c r="R587">
        <f t="shared" si="111"/>
        <v>582</v>
      </c>
      <c r="S587" s="218">
        <f t="shared" ca="1" si="116"/>
        <v>0</v>
      </c>
      <c r="T587" s="218">
        <f t="shared" ca="1" si="117"/>
        <v>0</v>
      </c>
      <c r="U587" s="4">
        <v>582</v>
      </c>
      <c r="W587">
        <f t="shared" si="112"/>
        <v>582</v>
      </c>
      <c r="X587" s="218" t="e">
        <f t="shared" si="118"/>
        <v>#REF!</v>
      </c>
      <c r="Y587" s="218" t="e">
        <f t="shared" si="119"/>
        <v>#REF!</v>
      </c>
      <c r="Z587" s="4">
        <v>582</v>
      </c>
      <c r="AB587">
        <f t="shared" si="113"/>
        <v>582</v>
      </c>
      <c r="AC587" s="218" t="e">
        <f t="shared" si="120"/>
        <v>#REF!</v>
      </c>
      <c r="AD587" s="218" t="e">
        <f t="shared" si="121"/>
        <v>#REF!</v>
      </c>
      <c r="AE587" s="4">
        <v>582</v>
      </c>
    </row>
    <row r="588" spans="13:31">
      <c r="M588">
        <f t="shared" si="110"/>
        <v>583</v>
      </c>
      <c r="N588" s="218">
        <f t="shared" si="114"/>
        <v>0</v>
      </c>
      <c r="O588" s="218">
        <f t="shared" si="115"/>
        <v>0</v>
      </c>
      <c r="P588" s="4">
        <v>583</v>
      </c>
      <c r="R588">
        <f t="shared" si="111"/>
        <v>583</v>
      </c>
      <c r="S588" s="218">
        <f t="shared" ca="1" si="116"/>
        <v>0</v>
      </c>
      <c r="T588" s="218">
        <f t="shared" ca="1" si="117"/>
        <v>0</v>
      </c>
      <c r="U588" s="4">
        <v>583</v>
      </c>
      <c r="W588">
        <f t="shared" si="112"/>
        <v>583</v>
      </c>
      <c r="X588" s="218" t="e">
        <f t="shared" si="118"/>
        <v>#REF!</v>
      </c>
      <c r="Y588" s="218" t="e">
        <f t="shared" si="119"/>
        <v>#REF!</v>
      </c>
      <c r="Z588" s="4">
        <v>583</v>
      </c>
      <c r="AB588">
        <f t="shared" si="113"/>
        <v>583</v>
      </c>
      <c r="AC588" s="218" t="e">
        <f t="shared" si="120"/>
        <v>#REF!</v>
      </c>
      <c r="AD588" s="218" t="e">
        <f t="shared" si="121"/>
        <v>#REF!</v>
      </c>
      <c r="AE588" s="4">
        <v>583</v>
      </c>
    </row>
    <row r="589" spans="13:31">
      <c r="M589">
        <f t="shared" si="110"/>
        <v>584</v>
      </c>
      <c r="N589" s="218">
        <f t="shared" si="114"/>
        <v>0</v>
      </c>
      <c r="O589" s="218">
        <f t="shared" si="115"/>
        <v>0</v>
      </c>
      <c r="P589" s="4">
        <v>584</v>
      </c>
      <c r="R589">
        <f t="shared" si="111"/>
        <v>584</v>
      </c>
      <c r="S589" s="218">
        <f t="shared" ca="1" si="116"/>
        <v>0</v>
      </c>
      <c r="T589" s="218">
        <f t="shared" ca="1" si="117"/>
        <v>0</v>
      </c>
      <c r="U589" s="4">
        <v>584</v>
      </c>
      <c r="W589">
        <f t="shared" si="112"/>
        <v>584</v>
      </c>
      <c r="X589" s="218" t="e">
        <f t="shared" si="118"/>
        <v>#REF!</v>
      </c>
      <c r="Y589" s="218" t="e">
        <f t="shared" si="119"/>
        <v>#REF!</v>
      </c>
      <c r="Z589" s="4">
        <v>584</v>
      </c>
      <c r="AB589">
        <f t="shared" si="113"/>
        <v>584</v>
      </c>
      <c r="AC589" s="218" t="e">
        <f t="shared" si="120"/>
        <v>#REF!</v>
      </c>
      <c r="AD589" s="218" t="e">
        <f t="shared" si="121"/>
        <v>#REF!</v>
      </c>
      <c r="AE589" s="4">
        <v>584</v>
      </c>
    </row>
    <row r="590" spans="13:31">
      <c r="M590">
        <f t="shared" si="110"/>
        <v>585</v>
      </c>
      <c r="N590" s="218">
        <f t="shared" si="114"/>
        <v>0</v>
      </c>
      <c r="O590" s="218">
        <f t="shared" si="115"/>
        <v>0</v>
      </c>
      <c r="P590" s="4">
        <v>585</v>
      </c>
      <c r="R590">
        <f t="shared" si="111"/>
        <v>585</v>
      </c>
      <c r="S590" s="218">
        <f t="shared" ca="1" si="116"/>
        <v>0</v>
      </c>
      <c r="T590" s="218">
        <f t="shared" ca="1" si="117"/>
        <v>0</v>
      </c>
      <c r="U590" s="4">
        <v>585</v>
      </c>
      <c r="W590">
        <f t="shared" si="112"/>
        <v>585</v>
      </c>
      <c r="X590" s="218" t="e">
        <f t="shared" si="118"/>
        <v>#REF!</v>
      </c>
      <c r="Y590" s="218" t="e">
        <f t="shared" si="119"/>
        <v>#REF!</v>
      </c>
      <c r="Z590" s="4">
        <v>585</v>
      </c>
      <c r="AB590">
        <f t="shared" si="113"/>
        <v>585</v>
      </c>
      <c r="AC590" s="218" t="e">
        <f t="shared" si="120"/>
        <v>#REF!</v>
      </c>
      <c r="AD590" s="218" t="e">
        <f t="shared" si="121"/>
        <v>#REF!</v>
      </c>
      <c r="AE590" s="4">
        <v>585</v>
      </c>
    </row>
    <row r="591" spans="13:31">
      <c r="M591">
        <f t="shared" si="110"/>
        <v>586</v>
      </c>
      <c r="N591" s="218">
        <f t="shared" si="114"/>
        <v>0</v>
      </c>
      <c r="O591" s="218">
        <f t="shared" si="115"/>
        <v>0</v>
      </c>
      <c r="P591" s="4">
        <v>586</v>
      </c>
      <c r="R591">
        <f t="shared" si="111"/>
        <v>586</v>
      </c>
      <c r="S591" s="218">
        <f t="shared" ca="1" si="116"/>
        <v>0</v>
      </c>
      <c r="T591" s="218">
        <f t="shared" ca="1" si="117"/>
        <v>0</v>
      </c>
      <c r="U591" s="4">
        <v>586</v>
      </c>
      <c r="W591">
        <f t="shared" si="112"/>
        <v>586</v>
      </c>
      <c r="X591" s="218" t="e">
        <f t="shared" si="118"/>
        <v>#REF!</v>
      </c>
      <c r="Y591" s="218" t="e">
        <f t="shared" si="119"/>
        <v>#REF!</v>
      </c>
      <c r="Z591" s="4">
        <v>586</v>
      </c>
      <c r="AB591">
        <f t="shared" si="113"/>
        <v>586</v>
      </c>
      <c r="AC591" s="218" t="e">
        <f t="shared" si="120"/>
        <v>#REF!</v>
      </c>
      <c r="AD591" s="218" t="e">
        <f t="shared" si="121"/>
        <v>#REF!</v>
      </c>
      <c r="AE591" s="4">
        <v>586</v>
      </c>
    </row>
    <row r="592" spans="13:31">
      <c r="M592">
        <f t="shared" si="110"/>
        <v>587</v>
      </c>
      <c r="N592" s="218">
        <f t="shared" si="114"/>
        <v>0</v>
      </c>
      <c r="O592" s="218">
        <f t="shared" si="115"/>
        <v>0</v>
      </c>
      <c r="P592" s="4">
        <v>587</v>
      </c>
      <c r="R592">
        <f t="shared" si="111"/>
        <v>587</v>
      </c>
      <c r="S592" s="218">
        <f t="shared" ca="1" si="116"/>
        <v>0</v>
      </c>
      <c r="T592" s="218">
        <f t="shared" ca="1" si="117"/>
        <v>0</v>
      </c>
      <c r="U592" s="4">
        <v>587</v>
      </c>
      <c r="W592">
        <f t="shared" si="112"/>
        <v>587</v>
      </c>
      <c r="X592" s="218" t="e">
        <f t="shared" si="118"/>
        <v>#REF!</v>
      </c>
      <c r="Y592" s="218" t="e">
        <f t="shared" si="119"/>
        <v>#REF!</v>
      </c>
      <c r="Z592" s="4">
        <v>587</v>
      </c>
      <c r="AB592">
        <f t="shared" si="113"/>
        <v>587</v>
      </c>
      <c r="AC592" s="218" t="e">
        <f t="shared" si="120"/>
        <v>#REF!</v>
      </c>
      <c r="AD592" s="218" t="e">
        <f t="shared" si="121"/>
        <v>#REF!</v>
      </c>
      <c r="AE592" s="4">
        <v>587</v>
      </c>
    </row>
    <row r="593" spans="13:31">
      <c r="M593">
        <f t="shared" si="110"/>
        <v>588</v>
      </c>
      <c r="N593" s="218">
        <f t="shared" si="114"/>
        <v>0</v>
      </c>
      <c r="O593" s="218">
        <f t="shared" si="115"/>
        <v>0</v>
      </c>
      <c r="P593" s="4">
        <v>588</v>
      </c>
      <c r="R593">
        <f t="shared" si="111"/>
        <v>588</v>
      </c>
      <c r="S593" s="218">
        <f t="shared" ca="1" si="116"/>
        <v>0</v>
      </c>
      <c r="T593" s="218">
        <f t="shared" ca="1" si="117"/>
        <v>0</v>
      </c>
      <c r="U593" s="4">
        <v>588</v>
      </c>
      <c r="W593">
        <f t="shared" si="112"/>
        <v>588</v>
      </c>
      <c r="X593" s="218" t="e">
        <f t="shared" si="118"/>
        <v>#REF!</v>
      </c>
      <c r="Y593" s="218" t="e">
        <f t="shared" si="119"/>
        <v>#REF!</v>
      </c>
      <c r="Z593" s="4">
        <v>588</v>
      </c>
      <c r="AB593">
        <f t="shared" si="113"/>
        <v>588</v>
      </c>
      <c r="AC593" s="218" t="e">
        <f t="shared" si="120"/>
        <v>#REF!</v>
      </c>
      <c r="AD593" s="218" t="e">
        <f t="shared" si="121"/>
        <v>#REF!</v>
      </c>
      <c r="AE593" s="4">
        <v>588</v>
      </c>
    </row>
    <row r="594" spans="13:31">
      <c r="M594">
        <f t="shared" si="110"/>
        <v>589</v>
      </c>
      <c r="N594" s="218">
        <f t="shared" si="114"/>
        <v>0</v>
      </c>
      <c r="O594" s="218">
        <f t="shared" si="115"/>
        <v>0</v>
      </c>
      <c r="P594" s="4">
        <v>589</v>
      </c>
      <c r="R594">
        <f t="shared" si="111"/>
        <v>589</v>
      </c>
      <c r="S594" s="218">
        <f t="shared" ca="1" si="116"/>
        <v>0</v>
      </c>
      <c r="T594" s="218">
        <f t="shared" ca="1" si="117"/>
        <v>0</v>
      </c>
      <c r="U594" s="4">
        <v>589</v>
      </c>
      <c r="W594">
        <f t="shared" si="112"/>
        <v>589</v>
      </c>
      <c r="X594" s="218" t="e">
        <f t="shared" si="118"/>
        <v>#REF!</v>
      </c>
      <c r="Y594" s="218" t="e">
        <f t="shared" si="119"/>
        <v>#REF!</v>
      </c>
      <c r="Z594" s="4">
        <v>589</v>
      </c>
      <c r="AB594">
        <f t="shared" si="113"/>
        <v>589</v>
      </c>
      <c r="AC594" s="218" t="e">
        <f t="shared" si="120"/>
        <v>#REF!</v>
      </c>
      <c r="AD594" s="218" t="e">
        <f t="shared" si="121"/>
        <v>#REF!</v>
      </c>
      <c r="AE594" s="4">
        <v>589</v>
      </c>
    </row>
    <row r="595" spans="13:31">
      <c r="M595">
        <f t="shared" si="110"/>
        <v>590</v>
      </c>
      <c r="N595" s="218">
        <f t="shared" si="114"/>
        <v>0</v>
      </c>
      <c r="O595" s="218">
        <f t="shared" si="115"/>
        <v>0</v>
      </c>
      <c r="P595" s="4">
        <v>590</v>
      </c>
      <c r="R595">
        <f t="shared" si="111"/>
        <v>590</v>
      </c>
      <c r="S595" s="218">
        <f t="shared" ca="1" si="116"/>
        <v>0</v>
      </c>
      <c r="T595" s="218">
        <f t="shared" ca="1" si="117"/>
        <v>0</v>
      </c>
      <c r="U595" s="4">
        <v>590</v>
      </c>
      <c r="W595">
        <f t="shared" si="112"/>
        <v>590</v>
      </c>
      <c r="X595" s="218" t="e">
        <f t="shared" si="118"/>
        <v>#REF!</v>
      </c>
      <c r="Y595" s="218" t="e">
        <f t="shared" si="119"/>
        <v>#REF!</v>
      </c>
      <c r="Z595" s="4">
        <v>590</v>
      </c>
      <c r="AB595">
        <f t="shared" si="113"/>
        <v>590</v>
      </c>
      <c r="AC595" s="218" t="e">
        <f t="shared" si="120"/>
        <v>#REF!</v>
      </c>
      <c r="AD595" s="218" t="e">
        <f t="shared" si="121"/>
        <v>#REF!</v>
      </c>
      <c r="AE595" s="4">
        <v>590</v>
      </c>
    </row>
    <row r="596" spans="13:31">
      <c r="M596">
        <f t="shared" si="110"/>
        <v>591</v>
      </c>
      <c r="N596" s="218">
        <f t="shared" si="114"/>
        <v>0</v>
      </c>
      <c r="O596" s="218">
        <f t="shared" si="115"/>
        <v>0</v>
      </c>
      <c r="P596" s="4">
        <v>591</v>
      </c>
      <c r="R596">
        <f t="shared" si="111"/>
        <v>591</v>
      </c>
      <c r="S596" s="218">
        <f t="shared" ca="1" si="116"/>
        <v>0</v>
      </c>
      <c r="T596" s="218">
        <f t="shared" ca="1" si="117"/>
        <v>0</v>
      </c>
      <c r="U596" s="4">
        <v>591</v>
      </c>
      <c r="W596">
        <f t="shared" si="112"/>
        <v>591</v>
      </c>
      <c r="X596" s="218" t="e">
        <f t="shared" si="118"/>
        <v>#REF!</v>
      </c>
      <c r="Y596" s="218" t="e">
        <f t="shared" si="119"/>
        <v>#REF!</v>
      </c>
      <c r="Z596" s="4">
        <v>591</v>
      </c>
      <c r="AB596">
        <f t="shared" si="113"/>
        <v>591</v>
      </c>
      <c r="AC596" s="218" t="e">
        <f t="shared" si="120"/>
        <v>#REF!</v>
      </c>
      <c r="AD596" s="218" t="e">
        <f t="shared" si="121"/>
        <v>#REF!</v>
      </c>
      <c r="AE596" s="4">
        <v>591</v>
      </c>
    </row>
    <row r="597" spans="13:31">
      <c r="M597">
        <f t="shared" si="110"/>
        <v>592</v>
      </c>
      <c r="N597" s="218">
        <f t="shared" si="114"/>
        <v>0</v>
      </c>
      <c r="O597" s="218">
        <f t="shared" si="115"/>
        <v>0</v>
      </c>
      <c r="P597" s="4">
        <v>592</v>
      </c>
      <c r="R597">
        <f t="shared" si="111"/>
        <v>592</v>
      </c>
      <c r="S597" s="218">
        <f t="shared" ca="1" si="116"/>
        <v>0</v>
      </c>
      <c r="T597" s="218">
        <f t="shared" ca="1" si="117"/>
        <v>0</v>
      </c>
      <c r="U597" s="4">
        <v>592</v>
      </c>
      <c r="W597">
        <f t="shared" si="112"/>
        <v>592</v>
      </c>
      <c r="X597" s="218" t="e">
        <f t="shared" si="118"/>
        <v>#REF!</v>
      </c>
      <c r="Y597" s="218" t="e">
        <f t="shared" si="119"/>
        <v>#REF!</v>
      </c>
      <c r="Z597" s="4">
        <v>592</v>
      </c>
      <c r="AB597">
        <f t="shared" si="113"/>
        <v>592</v>
      </c>
      <c r="AC597" s="218" t="e">
        <f t="shared" si="120"/>
        <v>#REF!</v>
      </c>
      <c r="AD597" s="218" t="e">
        <f t="shared" si="121"/>
        <v>#REF!</v>
      </c>
      <c r="AE597" s="4">
        <v>592</v>
      </c>
    </row>
    <row r="598" spans="13:31">
      <c r="M598">
        <f t="shared" si="110"/>
        <v>593</v>
      </c>
      <c r="N598" s="218">
        <f t="shared" si="114"/>
        <v>0</v>
      </c>
      <c r="O598" s="218">
        <f t="shared" si="115"/>
        <v>0</v>
      </c>
      <c r="P598" s="4">
        <v>593</v>
      </c>
      <c r="R598">
        <f t="shared" si="111"/>
        <v>593</v>
      </c>
      <c r="S598" s="218">
        <f t="shared" ca="1" si="116"/>
        <v>0</v>
      </c>
      <c r="T598" s="218">
        <f t="shared" ca="1" si="117"/>
        <v>0</v>
      </c>
      <c r="U598" s="4">
        <v>593</v>
      </c>
      <c r="W598">
        <f t="shared" si="112"/>
        <v>593</v>
      </c>
      <c r="X598" s="218" t="e">
        <f t="shared" si="118"/>
        <v>#REF!</v>
      </c>
      <c r="Y598" s="218" t="e">
        <f t="shared" si="119"/>
        <v>#REF!</v>
      </c>
      <c r="Z598" s="4">
        <v>593</v>
      </c>
      <c r="AB598">
        <f t="shared" si="113"/>
        <v>593</v>
      </c>
      <c r="AC598" s="218" t="e">
        <f t="shared" si="120"/>
        <v>#REF!</v>
      </c>
      <c r="AD598" s="218" t="e">
        <f t="shared" si="121"/>
        <v>#REF!</v>
      </c>
      <c r="AE598" s="4">
        <v>593</v>
      </c>
    </row>
    <row r="599" spans="13:31">
      <c r="M599">
        <f t="shared" si="110"/>
        <v>594</v>
      </c>
      <c r="N599" s="218">
        <f t="shared" si="114"/>
        <v>0</v>
      </c>
      <c r="O599" s="218">
        <f t="shared" si="115"/>
        <v>0</v>
      </c>
      <c r="P599" s="4">
        <v>594</v>
      </c>
      <c r="R599">
        <f t="shared" si="111"/>
        <v>594</v>
      </c>
      <c r="S599" s="218">
        <f t="shared" ca="1" si="116"/>
        <v>0</v>
      </c>
      <c r="T599" s="218">
        <f t="shared" ca="1" si="117"/>
        <v>0</v>
      </c>
      <c r="U599" s="4">
        <v>594</v>
      </c>
      <c r="W599">
        <f t="shared" si="112"/>
        <v>594</v>
      </c>
      <c r="X599" s="218" t="e">
        <f t="shared" si="118"/>
        <v>#REF!</v>
      </c>
      <c r="Y599" s="218" t="e">
        <f t="shared" si="119"/>
        <v>#REF!</v>
      </c>
      <c r="Z599" s="4">
        <v>594</v>
      </c>
      <c r="AB599">
        <f t="shared" si="113"/>
        <v>594</v>
      </c>
      <c r="AC599" s="218" t="e">
        <f t="shared" si="120"/>
        <v>#REF!</v>
      </c>
      <c r="AD599" s="218" t="e">
        <f t="shared" si="121"/>
        <v>#REF!</v>
      </c>
      <c r="AE599" s="4">
        <v>594</v>
      </c>
    </row>
    <row r="600" spans="13:31">
      <c r="M600">
        <f t="shared" si="110"/>
        <v>595</v>
      </c>
      <c r="N600" s="218">
        <f t="shared" si="114"/>
        <v>0</v>
      </c>
      <c r="O600" s="218">
        <f t="shared" si="115"/>
        <v>0</v>
      </c>
      <c r="P600" s="4">
        <v>595</v>
      </c>
      <c r="R600">
        <f t="shared" si="111"/>
        <v>595</v>
      </c>
      <c r="S600" s="218">
        <f t="shared" ca="1" si="116"/>
        <v>0</v>
      </c>
      <c r="T600" s="218">
        <f t="shared" ca="1" si="117"/>
        <v>0</v>
      </c>
      <c r="U600" s="4">
        <v>595</v>
      </c>
      <c r="W600">
        <f t="shared" si="112"/>
        <v>595</v>
      </c>
      <c r="X600" s="218" t="e">
        <f t="shared" si="118"/>
        <v>#REF!</v>
      </c>
      <c r="Y600" s="218" t="e">
        <f t="shared" si="119"/>
        <v>#REF!</v>
      </c>
      <c r="Z600" s="4">
        <v>595</v>
      </c>
      <c r="AB600">
        <f t="shared" si="113"/>
        <v>595</v>
      </c>
      <c r="AC600" s="218" t="e">
        <f t="shared" si="120"/>
        <v>#REF!</v>
      </c>
      <c r="AD600" s="218" t="e">
        <f t="shared" si="121"/>
        <v>#REF!</v>
      </c>
      <c r="AE600" s="4">
        <v>595</v>
      </c>
    </row>
    <row r="601" spans="13:31">
      <c r="M601">
        <f t="shared" si="110"/>
        <v>596</v>
      </c>
      <c r="N601" s="218">
        <f t="shared" si="114"/>
        <v>0</v>
      </c>
      <c r="O601" s="218">
        <f t="shared" si="115"/>
        <v>0</v>
      </c>
      <c r="P601" s="4">
        <v>596</v>
      </c>
      <c r="R601">
        <f t="shared" si="111"/>
        <v>596</v>
      </c>
      <c r="S601" s="218">
        <f t="shared" ca="1" si="116"/>
        <v>0</v>
      </c>
      <c r="T601" s="218">
        <f t="shared" ca="1" si="117"/>
        <v>0</v>
      </c>
      <c r="U601" s="4">
        <v>596</v>
      </c>
      <c r="W601">
        <f t="shared" si="112"/>
        <v>596</v>
      </c>
      <c r="X601" s="218" t="e">
        <f t="shared" si="118"/>
        <v>#REF!</v>
      </c>
      <c r="Y601" s="218" t="e">
        <f t="shared" si="119"/>
        <v>#REF!</v>
      </c>
      <c r="Z601" s="4">
        <v>596</v>
      </c>
      <c r="AB601">
        <f t="shared" si="113"/>
        <v>596</v>
      </c>
      <c r="AC601" s="218" t="e">
        <f t="shared" si="120"/>
        <v>#REF!</v>
      </c>
      <c r="AD601" s="218" t="e">
        <f t="shared" si="121"/>
        <v>#REF!</v>
      </c>
      <c r="AE601" s="4">
        <v>596</v>
      </c>
    </row>
    <row r="602" spans="13:31">
      <c r="M602">
        <f t="shared" si="110"/>
        <v>597</v>
      </c>
      <c r="N602" s="218">
        <f t="shared" si="114"/>
        <v>0</v>
      </c>
      <c r="O602" s="218">
        <f t="shared" si="115"/>
        <v>0</v>
      </c>
      <c r="P602" s="4">
        <v>597</v>
      </c>
      <c r="R602">
        <f t="shared" si="111"/>
        <v>597</v>
      </c>
      <c r="S602" s="218">
        <f t="shared" ca="1" si="116"/>
        <v>0</v>
      </c>
      <c r="T602" s="218">
        <f t="shared" ca="1" si="117"/>
        <v>0</v>
      </c>
      <c r="U602" s="4">
        <v>597</v>
      </c>
      <c r="W602">
        <f t="shared" si="112"/>
        <v>597</v>
      </c>
      <c r="X602" s="218" t="e">
        <f t="shared" si="118"/>
        <v>#REF!</v>
      </c>
      <c r="Y602" s="218" t="e">
        <f t="shared" si="119"/>
        <v>#REF!</v>
      </c>
      <c r="Z602" s="4">
        <v>597</v>
      </c>
      <c r="AB602">
        <f t="shared" si="113"/>
        <v>597</v>
      </c>
      <c r="AC602" s="218" t="e">
        <f t="shared" si="120"/>
        <v>#REF!</v>
      </c>
      <c r="AD602" s="218" t="e">
        <f t="shared" si="121"/>
        <v>#REF!</v>
      </c>
      <c r="AE602" s="4">
        <v>597</v>
      </c>
    </row>
    <row r="603" spans="13:31">
      <c r="M603">
        <f t="shared" si="110"/>
        <v>598</v>
      </c>
      <c r="N603" s="218">
        <f t="shared" si="114"/>
        <v>0</v>
      </c>
      <c r="O603" s="218">
        <f t="shared" si="115"/>
        <v>0</v>
      </c>
      <c r="P603" s="4">
        <v>598</v>
      </c>
      <c r="R603">
        <f t="shared" si="111"/>
        <v>598</v>
      </c>
      <c r="S603" s="218">
        <f t="shared" ca="1" si="116"/>
        <v>0</v>
      </c>
      <c r="T603" s="218">
        <f t="shared" ca="1" si="117"/>
        <v>0</v>
      </c>
      <c r="U603" s="4">
        <v>598</v>
      </c>
      <c r="W603">
        <f t="shared" si="112"/>
        <v>598</v>
      </c>
      <c r="X603" s="218" t="e">
        <f t="shared" si="118"/>
        <v>#REF!</v>
      </c>
      <c r="Y603" s="218" t="e">
        <f t="shared" si="119"/>
        <v>#REF!</v>
      </c>
      <c r="Z603" s="4">
        <v>598</v>
      </c>
      <c r="AB603">
        <f t="shared" si="113"/>
        <v>598</v>
      </c>
      <c r="AC603" s="218" t="e">
        <f t="shared" si="120"/>
        <v>#REF!</v>
      </c>
      <c r="AD603" s="218" t="e">
        <f t="shared" si="121"/>
        <v>#REF!</v>
      </c>
      <c r="AE603" s="4">
        <v>598</v>
      </c>
    </row>
    <row r="604" spans="13:31">
      <c r="M604">
        <f t="shared" si="110"/>
        <v>599</v>
      </c>
      <c r="N604" s="218">
        <f t="shared" si="114"/>
        <v>0</v>
      </c>
      <c r="O604" s="218">
        <f t="shared" si="115"/>
        <v>0</v>
      </c>
      <c r="P604" s="4">
        <v>599</v>
      </c>
      <c r="R604">
        <f t="shared" si="111"/>
        <v>599</v>
      </c>
      <c r="S604" s="218">
        <f t="shared" ca="1" si="116"/>
        <v>0</v>
      </c>
      <c r="T604" s="218">
        <f t="shared" ca="1" si="117"/>
        <v>0</v>
      </c>
      <c r="U604" s="4">
        <v>599</v>
      </c>
      <c r="W604">
        <f t="shared" si="112"/>
        <v>599</v>
      </c>
      <c r="X604" s="218" t="e">
        <f t="shared" si="118"/>
        <v>#REF!</v>
      </c>
      <c r="Y604" s="218" t="e">
        <f t="shared" si="119"/>
        <v>#REF!</v>
      </c>
      <c r="Z604" s="4">
        <v>599</v>
      </c>
      <c r="AB604">
        <f t="shared" si="113"/>
        <v>599</v>
      </c>
      <c r="AC604" s="218" t="e">
        <f t="shared" si="120"/>
        <v>#REF!</v>
      </c>
      <c r="AD604" s="218" t="e">
        <f t="shared" si="121"/>
        <v>#REF!</v>
      </c>
      <c r="AE604" s="4">
        <v>599</v>
      </c>
    </row>
    <row r="605" spans="13:31">
      <c r="M605">
        <f t="shared" si="110"/>
        <v>600</v>
      </c>
      <c r="N605" s="218">
        <f t="shared" si="114"/>
        <v>0</v>
      </c>
      <c r="O605" s="218">
        <f t="shared" si="115"/>
        <v>0</v>
      </c>
      <c r="P605" s="4">
        <v>600</v>
      </c>
      <c r="R605">
        <f t="shared" si="111"/>
        <v>600</v>
      </c>
      <c r="S605" s="218">
        <f t="shared" ca="1" si="116"/>
        <v>0</v>
      </c>
      <c r="T605" s="218">
        <f t="shared" ca="1" si="117"/>
        <v>0</v>
      </c>
      <c r="U605" s="4">
        <v>600</v>
      </c>
      <c r="W605">
        <f t="shared" si="112"/>
        <v>600</v>
      </c>
      <c r="X605" s="218" t="e">
        <f t="shared" si="118"/>
        <v>#REF!</v>
      </c>
      <c r="Y605" s="218" t="e">
        <f t="shared" si="119"/>
        <v>#REF!</v>
      </c>
      <c r="Z605" s="4">
        <v>600</v>
      </c>
      <c r="AB605">
        <f t="shared" si="113"/>
        <v>600</v>
      </c>
      <c r="AC605" s="218" t="e">
        <f t="shared" si="120"/>
        <v>#REF!</v>
      </c>
      <c r="AD605" s="218" t="e">
        <f t="shared" si="121"/>
        <v>#REF!</v>
      </c>
      <c r="AE605" s="4">
        <v>600</v>
      </c>
    </row>
    <row r="606" spans="13:31">
      <c r="M606">
        <f t="shared" si="110"/>
        <v>601</v>
      </c>
      <c r="N606" s="218">
        <f t="shared" si="114"/>
        <v>0</v>
      </c>
      <c r="O606" s="218">
        <f t="shared" si="115"/>
        <v>0</v>
      </c>
      <c r="P606" s="4">
        <v>601</v>
      </c>
      <c r="R606">
        <f t="shared" si="111"/>
        <v>601</v>
      </c>
      <c r="S606" s="218">
        <f t="shared" ca="1" si="116"/>
        <v>0</v>
      </c>
      <c r="T606" s="218">
        <f t="shared" ca="1" si="117"/>
        <v>0</v>
      </c>
      <c r="U606" s="4">
        <v>601</v>
      </c>
      <c r="W606">
        <f t="shared" si="112"/>
        <v>601</v>
      </c>
      <c r="X606" s="218" t="e">
        <f t="shared" si="118"/>
        <v>#REF!</v>
      </c>
      <c r="Y606" s="218" t="e">
        <f t="shared" si="119"/>
        <v>#REF!</v>
      </c>
      <c r="Z606" s="4">
        <v>601</v>
      </c>
      <c r="AB606">
        <f t="shared" si="113"/>
        <v>601</v>
      </c>
      <c r="AC606" s="218" t="e">
        <f t="shared" si="120"/>
        <v>#REF!</v>
      </c>
      <c r="AD606" s="218" t="e">
        <f t="shared" si="121"/>
        <v>#REF!</v>
      </c>
      <c r="AE606" s="4">
        <v>601</v>
      </c>
    </row>
    <row r="607" spans="13:31">
      <c r="M607">
        <f t="shared" si="110"/>
        <v>602</v>
      </c>
      <c r="N607" s="218">
        <f t="shared" si="114"/>
        <v>0</v>
      </c>
      <c r="O607" s="218">
        <f t="shared" si="115"/>
        <v>0</v>
      </c>
      <c r="P607" s="4">
        <v>602</v>
      </c>
      <c r="R607">
        <f t="shared" si="111"/>
        <v>602</v>
      </c>
      <c r="S607" s="218">
        <f t="shared" ca="1" si="116"/>
        <v>0</v>
      </c>
      <c r="T607" s="218">
        <f t="shared" ca="1" si="117"/>
        <v>0</v>
      </c>
      <c r="U607" s="4">
        <v>602</v>
      </c>
      <c r="W607">
        <f t="shared" si="112"/>
        <v>602</v>
      </c>
      <c r="X607" s="218" t="e">
        <f t="shared" si="118"/>
        <v>#REF!</v>
      </c>
      <c r="Y607" s="218" t="e">
        <f t="shared" si="119"/>
        <v>#REF!</v>
      </c>
      <c r="Z607" s="4">
        <v>602</v>
      </c>
      <c r="AB607">
        <f t="shared" si="113"/>
        <v>602</v>
      </c>
      <c r="AC607" s="218" t="e">
        <f t="shared" si="120"/>
        <v>#REF!</v>
      </c>
      <c r="AD607" s="218" t="e">
        <f t="shared" si="121"/>
        <v>#REF!</v>
      </c>
      <c r="AE607" s="4">
        <v>602</v>
      </c>
    </row>
    <row r="608" spans="13:31">
      <c r="M608">
        <f t="shared" si="110"/>
        <v>603</v>
      </c>
      <c r="N608" s="218">
        <f t="shared" si="114"/>
        <v>0</v>
      </c>
      <c r="O608" s="218">
        <f t="shared" si="115"/>
        <v>0</v>
      </c>
      <c r="P608" s="4">
        <v>603</v>
      </c>
      <c r="R608">
        <f t="shared" si="111"/>
        <v>603</v>
      </c>
      <c r="S608" s="218">
        <f t="shared" ca="1" si="116"/>
        <v>0</v>
      </c>
      <c r="T608" s="218">
        <f t="shared" ca="1" si="117"/>
        <v>0</v>
      </c>
      <c r="U608" s="4">
        <v>603</v>
      </c>
      <c r="W608">
        <f t="shared" si="112"/>
        <v>603</v>
      </c>
      <c r="X608" s="218" t="e">
        <f t="shared" si="118"/>
        <v>#REF!</v>
      </c>
      <c r="Y608" s="218" t="e">
        <f t="shared" si="119"/>
        <v>#REF!</v>
      </c>
      <c r="Z608" s="4">
        <v>603</v>
      </c>
      <c r="AB608">
        <f t="shared" si="113"/>
        <v>603</v>
      </c>
      <c r="AC608" s="218" t="e">
        <f t="shared" si="120"/>
        <v>#REF!</v>
      </c>
      <c r="AD608" s="218" t="e">
        <f t="shared" si="121"/>
        <v>#REF!</v>
      </c>
      <c r="AE608" s="4">
        <v>603</v>
      </c>
    </row>
    <row r="609" spans="13:31">
      <c r="M609">
        <f t="shared" si="110"/>
        <v>604</v>
      </c>
      <c r="N609" s="218">
        <f t="shared" si="114"/>
        <v>0</v>
      </c>
      <c r="O609" s="218">
        <f t="shared" si="115"/>
        <v>0</v>
      </c>
      <c r="P609" s="4">
        <v>604</v>
      </c>
      <c r="R609">
        <f t="shared" si="111"/>
        <v>604</v>
      </c>
      <c r="S609" s="218">
        <f t="shared" ca="1" si="116"/>
        <v>0</v>
      </c>
      <c r="T609" s="218">
        <f t="shared" ca="1" si="117"/>
        <v>0</v>
      </c>
      <c r="U609" s="4">
        <v>604</v>
      </c>
      <c r="W609">
        <f t="shared" si="112"/>
        <v>604</v>
      </c>
      <c r="X609" s="218" t="e">
        <f t="shared" si="118"/>
        <v>#REF!</v>
      </c>
      <c r="Y609" s="218" t="e">
        <f t="shared" si="119"/>
        <v>#REF!</v>
      </c>
      <c r="Z609" s="4">
        <v>604</v>
      </c>
      <c r="AB609">
        <f t="shared" si="113"/>
        <v>604</v>
      </c>
      <c r="AC609" s="218" t="e">
        <f t="shared" si="120"/>
        <v>#REF!</v>
      </c>
      <c r="AD609" s="218" t="e">
        <f t="shared" si="121"/>
        <v>#REF!</v>
      </c>
      <c r="AE609" s="4">
        <v>604</v>
      </c>
    </row>
    <row r="610" spans="13:31">
      <c r="M610">
        <f t="shared" si="110"/>
        <v>605</v>
      </c>
      <c r="N610" s="218">
        <f t="shared" si="114"/>
        <v>0</v>
      </c>
      <c r="O610" s="218">
        <f t="shared" si="115"/>
        <v>0</v>
      </c>
      <c r="P610" s="4">
        <v>605</v>
      </c>
      <c r="R610">
        <f t="shared" si="111"/>
        <v>605</v>
      </c>
      <c r="S610" s="218">
        <f t="shared" ca="1" si="116"/>
        <v>0</v>
      </c>
      <c r="T610" s="218">
        <f t="shared" ca="1" si="117"/>
        <v>0</v>
      </c>
      <c r="U610" s="4">
        <v>605</v>
      </c>
      <c r="W610">
        <f t="shared" si="112"/>
        <v>605</v>
      </c>
      <c r="X610" s="218" t="e">
        <f t="shared" si="118"/>
        <v>#REF!</v>
      </c>
      <c r="Y610" s="218" t="e">
        <f t="shared" si="119"/>
        <v>#REF!</v>
      </c>
      <c r="Z610" s="4">
        <v>605</v>
      </c>
      <c r="AB610">
        <f t="shared" si="113"/>
        <v>605</v>
      </c>
      <c r="AC610" s="218" t="e">
        <f t="shared" si="120"/>
        <v>#REF!</v>
      </c>
      <c r="AD610" s="218" t="e">
        <f t="shared" si="121"/>
        <v>#REF!</v>
      </c>
      <c r="AE610" s="4">
        <v>605</v>
      </c>
    </row>
    <row r="611" spans="13:31">
      <c r="M611">
        <f t="shared" si="110"/>
        <v>606</v>
      </c>
      <c r="N611" s="218">
        <f t="shared" si="114"/>
        <v>0</v>
      </c>
      <c r="O611" s="218">
        <f t="shared" si="115"/>
        <v>0</v>
      </c>
      <c r="P611" s="4">
        <v>606</v>
      </c>
      <c r="R611">
        <f t="shared" si="111"/>
        <v>606</v>
      </c>
      <c r="S611" s="218">
        <f t="shared" ca="1" si="116"/>
        <v>0</v>
      </c>
      <c r="T611" s="218">
        <f t="shared" ca="1" si="117"/>
        <v>0</v>
      </c>
      <c r="U611" s="4">
        <v>606</v>
      </c>
      <c r="W611">
        <f t="shared" si="112"/>
        <v>606</v>
      </c>
      <c r="X611" s="218" t="e">
        <f t="shared" si="118"/>
        <v>#REF!</v>
      </c>
      <c r="Y611" s="218" t="e">
        <f t="shared" si="119"/>
        <v>#REF!</v>
      </c>
      <c r="Z611" s="4">
        <v>606</v>
      </c>
      <c r="AB611">
        <f t="shared" si="113"/>
        <v>606</v>
      </c>
      <c r="AC611" s="218" t="e">
        <f t="shared" si="120"/>
        <v>#REF!</v>
      </c>
      <c r="AD611" s="218" t="e">
        <f t="shared" si="121"/>
        <v>#REF!</v>
      </c>
      <c r="AE611" s="4">
        <v>606</v>
      </c>
    </row>
    <row r="612" spans="13:31">
      <c r="M612">
        <f t="shared" si="110"/>
        <v>607</v>
      </c>
      <c r="N612" s="218">
        <f t="shared" si="114"/>
        <v>0</v>
      </c>
      <c r="O612" s="218">
        <f t="shared" si="115"/>
        <v>0</v>
      </c>
      <c r="P612" s="4">
        <v>607</v>
      </c>
      <c r="R612">
        <f t="shared" si="111"/>
        <v>607</v>
      </c>
      <c r="S612" s="218">
        <f t="shared" ca="1" si="116"/>
        <v>0</v>
      </c>
      <c r="T612" s="218">
        <f t="shared" ca="1" si="117"/>
        <v>0</v>
      </c>
      <c r="U612" s="4">
        <v>607</v>
      </c>
      <c r="W612">
        <f t="shared" si="112"/>
        <v>607</v>
      </c>
      <c r="X612" s="218" t="e">
        <f t="shared" si="118"/>
        <v>#REF!</v>
      </c>
      <c r="Y612" s="218" t="e">
        <f t="shared" si="119"/>
        <v>#REF!</v>
      </c>
      <c r="Z612" s="4">
        <v>607</v>
      </c>
      <c r="AB612">
        <f t="shared" si="113"/>
        <v>607</v>
      </c>
      <c r="AC612" s="218" t="e">
        <f t="shared" si="120"/>
        <v>#REF!</v>
      </c>
      <c r="AD612" s="218" t="e">
        <f t="shared" si="121"/>
        <v>#REF!</v>
      </c>
      <c r="AE612" s="4">
        <v>607</v>
      </c>
    </row>
    <row r="613" spans="13:31">
      <c r="M613">
        <f t="shared" si="110"/>
        <v>608</v>
      </c>
      <c r="N613" s="218">
        <f t="shared" si="114"/>
        <v>0</v>
      </c>
      <c r="O613" s="218">
        <f t="shared" si="115"/>
        <v>0</v>
      </c>
      <c r="P613" s="4">
        <v>608</v>
      </c>
      <c r="R613">
        <f t="shared" si="111"/>
        <v>608</v>
      </c>
      <c r="S613" s="218">
        <f t="shared" ca="1" si="116"/>
        <v>0</v>
      </c>
      <c r="T613" s="218">
        <f t="shared" ca="1" si="117"/>
        <v>0</v>
      </c>
      <c r="U613" s="4">
        <v>608</v>
      </c>
      <c r="W613">
        <f t="shared" si="112"/>
        <v>608</v>
      </c>
      <c r="X613" s="218" t="e">
        <f t="shared" si="118"/>
        <v>#REF!</v>
      </c>
      <c r="Y613" s="218" t="e">
        <f t="shared" si="119"/>
        <v>#REF!</v>
      </c>
      <c r="Z613" s="4">
        <v>608</v>
      </c>
      <c r="AB613">
        <f t="shared" si="113"/>
        <v>608</v>
      </c>
      <c r="AC613" s="218" t="e">
        <f t="shared" si="120"/>
        <v>#REF!</v>
      </c>
      <c r="AD613" s="218" t="e">
        <f t="shared" si="121"/>
        <v>#REF!</v>
      </c>
      <c r="AE613" s="4">
        <v>608</v>
      </c>
    </row>
    <row r="614" spans="13:31">
      <c r="M614">
        <f t="shared" si="110"/>
        <v>609</v>
      </c>
      <c r="N614" s="218">
        <f t="shared" si="114"/>
        <v>0</v>
      </c>
      <c r="O614" s="218">
        <f t="shared" si="115"/>
        <v>0</v>
      </c>
      <c r="P614" s="4">
        <v>609</v>
      </c>
      <c r="R614">
        <f t="shared" si="111"/>
        <v>609</v>
      </c>
      <c r="S614" s="218">
        <f t="shared" ca="1" si="116"/>
        <v>0</v>
      </c>
      <c r="T614" s="218">
        <f t="shared" ca="1" si="117"/>
        <v>0</v>
      </c>
      <c r="U614" s="4">
        <v>609</v>
      </c>
      <c r="W614">
        <f t="shared" si="112"/>
        <v>609</v>
      </c>
      <c r="X614" s="218" t="e">
        <f t="shared" si="118"/>
        <v>#REF!</v>
      </c>
      <c r="Y614" s="218" t="e">
        <f t="shared" si="119"/>
        <v>#REF!</v>
      </c>
      <c r="Z614" s="4">
        <v>609</v>
      </c>
      <c r="AB614">
        <f t="shared" si="113"/>
        <v>609</v>
      </c>
      <c r="AC614" s="218" t="e">
        <f t="shared" si="120"/>
        <v>#REF!</v>
      </c>
      <c r="AD614" s="218" t="e">
        <f t="shared" si="121"/>
        <v>#REF!</v>
      </c>
      <c r="AE614" s="4">
        <v>609</v>
      </c>
    </row>
    <row r="615" spans="13:31">
      <c r="M615">
        <f t="shared" si="110"/>
        <v>610</v>
      </c>
      <c r="N615" s="218">
        <f t="shared" si="114"/>
        <v>0</v>
      </c>
      <c r="O615" s="218">
        <f t="shared" si="115"/>
        <v>0</v>
      </c>
      <c r="P615" s="4">
        <v>610</v>
      </c>
      <c r="R615">
        <f t="shared" si="111"/>
        <v>610</v>
      </c>
      <c r="S615" s="218">
        <f t="shared" ca="1" si="116"/>
        <v>0</v>
      </c>
      <c r="T615" s="218">
        <f t="shared" ca="1" si="117"/>
        <v>0</v>
      </c>
      <c r="U615" s="4">
        <v>610</v>
      </c>
      <c r="W615">
        <f t="shared" si="112"/>
        <v>610</v>
      </c>
      <c r="X615" s="218" t="e">
        <f t="shared" si="118"/>
        <v>#REF!</v>
      </c>
      <c r="Y615" s="218" t="e">
        <f t="shared" si="119"/>
        <v>#REF!</v>
      </c>
      <c r="Z615" s="4">
        <v>610</v>
      </c>
      <c r="AB615">
        <f t="shared" si="113"/>
        <v>610</v>
      </c>
      <c r="AC615" s="218" t="e">
        <f t="shared" si="120"/>
        <v>#REF!</v>
      </c>
      <c r="AD615" s="218" t="e">
        <f t="shared" si="121"/>
        <v>#REF!</v>
      </c>
      <c r="AE615" s="4">
        <v>610</v>
      </c>
    </row>
    <row r="616" spans="13:31">
      <c r="M616">
        <f t="shared" si="110"/>
        <v>611</v>
      </c>
      <c r="N616" s="218">
        <f t="shared" si="114"/>
        <v>0</v>
      </c>
      <c r="O616" s="218">
        <f t="shared" si="115"/>
        <v>0</v>
      </c>
      <c r="P616" s="4">
        <v>611</v>
      </c>
      <c r="R616">
        <f t="shared" si="111"/>
        <v>611</v>
      </c>
      <c r="S616" s="218">
        <f t="shared" ca="1" si="116"/>
        <v>0</v>
      </c>
      <c r="T616" s="218">
        <f t="shared" ca="1" si="117"/>
        <v>0</v>
      </c>
      <c r="U616" s="4">
        <v>611</v>
      </c>
      <c r="W616">
        <f t="shared" si="112"/>
        <v>611</v>
      </c>
      <c r="X616" s="218" t="e">
        <f t="shared" si="118"/>
        <v>#REF!</v>
      </c>
      <c r="Y616" s="218" t="e">
        <f t="shared" si="119"/>
        <v>#REF!</v>
      </c>
      <c r="Z616" s="4">
        <v>611</v>
      </c>
      <c r="AB616">
        <f t="shared" si="113"/>
        <v>611</v>
      </c>
      <c r="AC616" s="218" t="e">
        <f t="shared" si="120"/>
        <v>#REF!</v>
      </c>
      <c r="AD616" s="218" t="e">
        <f t="shared" si="121"/>
        <v>#REF!</v>
      </c>
      <c r="AE616" s="4">
        <v>611</v>
      </c>
    </row>
    <row r="617" spans="13:31">
      <c r="M617">
        <f t="shared" si="110"/>
        <v>612</v>
      </c>
      <c r="N617" s="218">
        <f t="shared" si="114"/>
        <v>0</v>
      </c>
      <c r="O617" s="218">
        <f t="shared" si="115"/>
        <v>0</v>
      </c>
      <c r="P617" s="4">
        <v>612</v>
      </c>
      <c r="R617">
        <f t="shared" si="111"/>
        <v>612</v>
      </c>
      <c r="S617" s="218">
        <f t="shared" ca="1" si="116"/>
        <v>0</v>
      </c>
      <c r="T617" s="218">
        <f t="shared" ca="1" si="117"/>
        <v>0</v>
      </c>
      <c r="U617" s="4">
        <v>612</v>
      </c>
      <c r="W617">
        <f t="shared" si="112"/>
        <v>612</v>
      </c>
      <c r="X617" s="218" t="e">
        <f t="shared" si="118"/>
        <v>#REF!</v>
      </c>
      <c r="Y617" s="218" t="e">
        <f t="shared" si="119"/>
        <v>#REF!</v>
      </c>
      <c r="Z617" s="4">
        <v>612</v>
      </c>
      <c r="AB617">
        <f t="shared" si="113"/>
        <v>612</v>
      </c>
      <c r="AC617" s="218" t="e">
        <f t="shared" si="120"/>
        <v>#REF!</v>
      </c>
      <c r="AD617" s="218" t="e">
        <f t="shared" si="121"/>
        <v>#REF!</v>
      </c>
      <c r="AE617" s="4">
        <v>612</v>
      </c>
    </row>
    <row r="618" spans="13:31">
      <c r="M618">
        <f t="shared" si="110"/>
        <v>613</v>
      </c>
      <c r="N618" s="218">
        <f t="shared" si="114"/>
        <v>0</v>
      </c>
      <c r="O618" s="218">
        <f t="shared" si="115"/>
        <v>0</v>
      </c>
      <c r="P618" s="4">
        <v>613</v>
      </c>
      <c r="R618">
        <f t="shared" si="111"/>
        <v>613</v>
      </c>
      <c r="S618" s="218">
        <f t="shared" ca="1" si="116"/>
        <v>0</v>
      </c>
      <c r="T618" s="218">
        <f t="shared" ca="1" si="117"/>
        <v>0</v>
      </c>
      <c r="U618" s="4">
        <v>613</v>
      </c>
      <c r="W618">
        <f t="shared" si="112"/>
        <v>613</v>
      </c>
      <c r="X618" s="218" t="e">
        <f t="shared" si="118"/>
        <v>#REF!</v>
      </c>
      <c r="Y618" s="218" t="e">
        <f t="shared" si="119"/>
        <v>#REF!</v>
      </c>
      <c r="Z618" s="4">
        <v>613</v>
      </c>
      <c r="AB618">
        <f t="shared" si="113"/>
        <v>613</v>
      </c>
      <c r="AC618" s="218" t="e">
        <f t="shared" si="120"/>
        <v>#REF!</v>
      </c>
      <c r="AD618" s="218" t="e">
        <f t="shared" si="121"/>
        <v>#REF!</v>
      </c>
      <c r="AE618" s="4">
        <v>613</v>
      </c>
    </row>
    <row r="619" spans="13:31">
      <c r="M619">
        <f t="shared" si="110"/>
        <v>614</v>
      </c>
      <c r="N619" s="218">
        <f t="shared" si="114"/>
        <v>0</v>
      </c>
      <c r="O619" s="218">
        <f t="shared" si="115"/>
        <v>0</v>
      </c>
      <c r="P619" s="4">
        <v>614</v>
      </c>
      <c r="R619">
        <f t="shared" si="111"/>
        <v>614</v>
      </c>
      <c r="S619" s="218">
        <f t="shared" ca="1" si="116"/>
        <v>0</v>
      </c>
      <c r="T619" s="218">
        <f t="shared" ca="1" si="117"/>
        <v>0</v>
      </c>
      <c r="U619" s="4">
        <v>614</v>
      </c>
      <c r="W619">
        <f t="shared" si="112"/>
        <v>614</v>
      </c>
      <c r="X619" s="218" t="e">
        <f t="shared" si="118"/>
        <v>#REF!</v>
      </c>
      <c r="Y619" s="218" t="e">
        <f t="shared" si="119"/>
        <v>#REF!</v>
      </c>
      <c r="Z619" s="4">
        <v>614</v>
      </c>
      <c r="AB619">
        <f t="shared" si="113"/>
        <v>614</v>
      </c>
      <c r="AC619" s="218" t="e">
        <f t="shared" si="120"/>
        <v>#REF!</v>
      </c>
      <c r="AD619" s="218" t="e">
        <f t="shared" si="121"/>
        <v>#REF!</v>
      </c>
      <c r="AE619" s="4">
        <v>614</v>
      </c>
    </row>
    <row r="620" spans="13:31">
      <c r="M620">
        <f t="shared" si="110"/>
        <v>615</v>
      </c>
      <c r="N620" s="218">
        <f t="shared" si="114"/>
        <v>0</v>
      </c>
      <c r="O620" s="218">
        <f t="shared" si="115"/>
        <v>0</v>
      </c>
      <c r="P620" s="4">
        <v>615</v>
      </c>
      <c r="R620">
        <f t="shared" si="111"/>
        <v>615</v>
      </c>
      <c r="S620" s="218">
        <f t="shared" ca="1" si="116"/>
        <v>0</v>
      </c>
      <c r="T620" s="218">
        <f t="shared" ca="1" si="117"/>
        <v>0</v>
      </c>
      <c r="U620" s="4">
        <v>615</v>
      </c>
      <c r="W620">
        <f t="shared" si="112"/>
        <v>615</v>
      </c>
      <c r="X620" s="218" t="e">
        <f t="shared" si="118"/>
        <v>#REF!</v>
      </c>
      <c r="Y620" s="218" t="e">
        <f t="shared" si="119"/>
        <v>#REF!</v>
      </c>
      <c r="Z620" s="4">
        <v>615</v>
      </c>
      <c r="AB620">
        <f t="shared" si="113"/>
        <v>615</v>
      </c>
      <c r="AC620" s="218" t="e">
        <f t="shared" si="120"/>
        <v>#REF!</v>
      </c>
      <c r="AD620" s="218" t="e">
        <f t="shared" si="121"/>
        <v>#REF!</v>
      </c>
      <c r="AE620" s="4">
        <v>615</v>
      </c>
    </row>
    <row r="621" spans="13:31">
      <c r="M621">
        <f t="shared" si="110"/>
        <v>616</v>
      </c>
      <c r="N621" s="218">
        <f t="shared" si="114"/>
        <v>0</v>
      </c>
      <c r="O621" s="218">
        <f t="shared" si="115"/>
        <v>0</v>
      </c>
      <c r="P621" s="4">
        <v>616</v>
      </c>
      <c r="R621">
        <f t="shared" si="111"/>
        <v>616</v>
      </c>
      <c r="S621" s="218">
        <f t="shared" ca="1" si="116"/>
        <v>0</v>
      </c>
      <c r="T621" s="218">
        <f t="shared" ca="1" si="117"/>
        <v>0</v>
      </c>
      <c r="U621" s="4">
        <v>616</v>
      </c>
      <c r="W621">
        <f t="shared" si="112"/>
        <v>616</v>
      </c>
      <c r="X621" s="218" t="e">
        <f t="shared" si="118"/>
        <v>#REF!</v>
      </c>
      <c r="Y621" s="218" t="e">
        <f t="shared" si="119"/>
        <v>#REF!</v>
      </c>
      <c r="Z621" s="4">
        <v>616</v>
      </c>
      <c r="AB621">
        <f t="shared" si="113"/>
        <v>616</v>
      </c>
      <c r="AC621" s="218" t="e">
        <f t="shared" si="120"/>
        <v>#REF!</v>
      </c>
      <c r="AD621" s="218" t="e">
        <f t="shared" si="121"/>
        <v>#REF!</v>
      </c>
      <c r="AE621" s="4">
        <v>616</v>
      </c>
    </row>
    <row r="622" spans="13:31">
      <c r="M622">
        <f t="shared" si="110"/>
        <v>617</v>
      </c>
      <c r="N622" s="218">
        <f t="shared" si="114"/>
        <v>0</v>
      </c>
      <c r="O622" s="218">
        <f t="shared" si="115"/>
        <v>0</v>
      </c>
      <c r="P622" s="4">
        <v>617</v>
      </c>
      <c r="R622">
        <f t="shared" si="111"/>
        <v>617</v>
      </c>
      <c r="S622" s="218">
        <f t="shared" ca="1" si="116"/>
        <v>0</v>
      </c>
      <c r="T622" s="218">
        <f t="shared" ca="1" si="117"/>
        <v>0</v>
      </c>
      <c r="U622" s="4">
        <v>617</v>
      </c>
      <c r="W622">
        <f t="shared" si="112"/>
        <v>617</v>
      </c>
      <c r="X622" s="218" t="e">
        <f t="shared" si="118"/>
        <v>#REF!</v>
      </c>
      <c r="Y622" s="218" t="e">
        <f t="shared" si="119"/>
        <v>#REF!</v>
      </c>
      <c r="Z622" s="4">
        <v>617</v>
      </c>
      <c r="AB622">
        <f t="shared" si="113"/>
        <v>617</v>
      </c>
      <c r="AC622" s="218" t="e">
        <f t="shared" si="120"/>
        <v>#REF!</v>
      </c>
      <c r="AD622" s="218" t="e">
        <f t="shared" si="121"/>
        <v>#REF!</v>
      </c>
      <c r="AE622" s="4">
        <v>617</v>
      </c>
    </row>
    <row r="623" spans="13:31">
      <c r="M623">
        <f t="shared" si="110"/>
        <v>618</v>
      </c>
      <c r="N623" s="218">
        <f t="shared" si="114"/>
        <v>0</v>
      </c>
      <c r="O623" s="218">
        <f t="shared" si="115"/>
        <v>0</v>
      </c>
      <c r="P623" s="4">
        <v>618</v>
      </c>
      <c r="R623">
        <f t="shared" si="111"/>
        <v>618</v>
      </c>
      <c r="S623" s="218">
        <f t="shared" ca="1" si="116"/>
        <v>0</v>
      </c>
      <c r="T623" s="218">
        <f t="shared" ca="1" si="117"/>
        <v>0</v>
      </c>
      <c r="U623" s="4">
        <v>618</v>
      </c>
      <c r="W623">
        <f t="shared" si="112"/>
        <v>618</v>
      </c>
      <c r="X623" s="218" t="e">
        <f t="shared" si="118"/>
        <v>#REF!</v>
      </c>
      <c r="Y623" s="218" t="e">
        <f t="shared" si="119"/>
        <v>#REF!</v>
      </c>
      <c r="Z623" s="4">
        <v>618</v>
      </c>
      <c r="AB623">
        <f t="shared" si="113"/>
        <v>618</v>
      </c>
      <c r="AC623" s="218" t="e">
        <f t="shared" si="120"/>
        <v>#REF!</v>
      </c>
      <c r="AD623" s="218" t="e">
        <f t="shared" si="121"/>
        <v>#REF!</v>
      </c>
      <c r="AE623" s="4">
        <v>618</v>
      </c>
    </row>
    <row r="624" spans="13:31">
      <c r="M624">
        <f t="shared" si="110"/>
        <v>619</v>
      </c>
      <c r="N624" s="218">
        <f t="shared" si="114"/>
        <v>0</v>
      </c>
      <c r="O624" s="218">
        <f t="shared" si="115"/>
        <v>0</v>
      </c>
      <c r="P624" s="4">
        <v>619</v>
      </c>
      <c r="R624">
        <f t="shared" si="111"/>
        <v>619</v>
      </c>
      <c r="S624" s="218">
        <f t="shared" ca="1" si="116"/>
        <v>0</v>
      </c>
      <c r="T624" s="218">
        <f t="shared" ca="1" si="117"/>
        <v>0</v>
      </c>
      <c r="U624" s="4">
        <v>619</v>
      </c>
      <c r="W624">
        <f t="shared" si="112"/>
        <v>619</v>
      </c>
      <c r="X624" s="218" t="e">
        <f t="shared" si="118"/>
        <v>#REF!</v>
      </c>
      <c r="Y624" s="218" t="e">
        <f t="shared" si="119"/>
        <v>#REF!</v>
      </c>
      <c r="Z624" s="4">
        <v>619</v>
      </c>
      <c r="AB624">
        <f t="shared" si="113"/>
        <v>619</v>
      </c>
      <c r="AC624" s="218" t="e">
        <f t="shared" si="120"/>
        <v>#REF!</v>
      </c>
      <c r="AD624" s="218" t="e">
        <f t="shared" si="121"/>
        <v>#REF!</v>
      </c>
      <c r="AE624" s="4">
        <v>619</v>
      </c>
    </row>
    <row r="625" spans="13:31">
      <c r="M625">
        <f t="shared" si="110"/>
        <v>620</v>
      </c>
      <c r="N625" s="218">
        <f t="shared" si="114"/>
        <v>0</v>
      </c>
      <c r="O625" s="218">
        <f t="shared" si="115"/>
        <v>0</v>
      </c>
      <c r="P625" s="4">
        <v>620</v>
      </c>
      <c r="R625">
        <f t="shared" si="111"/>
        <v>620</v>
      </c>
      <c r="S625" s="218">
        <f t="shared" ca="1" si="116"/>
        <v>0</v>
      </c>
      <c r="T625" s="218">
        <f t="shared" ca="1" si="117"/>
        <v>0</v>
      </c>
      <c r="U625" s="4">
        <v>620</v>
      </c>
      <c r="W625">
        <f t="shared" si="112"/>
        <v>620</v>
      </c>
      <c r="X625" s="218" t="e">
        <f t="shared" si="118"/>
        <v>#REF!</v>
      </c>
      <c r="Y625" s="218" t="e">
        <f t="shared" si="119"/>
        <v>#REF!</v>
      </c>
      <c r="Z625" s="4">
        <v>620</v>
      </c>
      <c r="AB625">
        <f t="shared" si="113"/>
        <v>620</v>
      </c>
      <c r="AC625" s="218" t="e">
        <f t="shared" si="120"/>
        <v>#REF!</v>
      </c>
      <c r="AD625" s="218" t="e">
        <f t="shared" si="121"/>
        <v>#REF!</v>
      </c>
      <c r="AE625" s="4">
        <v>620</v>
      </c>
    </row>
    <row r="626" spans="13:31">
      <c r="M626">
        <f t="shared" si="110"/>
        <v>621</v>
      </c>
      <c r="N626" s="218">
        <f t="shared" si="114"/>
        <v>0</v>
      </c>
      <c r="O626" s="218">
        <f t="shared" si="115"/>
        <v>0</v>
      </c>
      <c r="P626" s="4">
        <v>621</v>
      </c>
      <c r="R626">
        <f t="shared" si="111"/>
        <v>621</v>
      </c>
      <c r="S626" s="218">
        <f t="shared" ca="1" si="116"/>
        <v>0</v>
      </c>
      <c r="T626" s="218">
        <f t="shared" ca="1" si="117"/>
        <v>0</v>
      </c>
      <c r="U626" s="4">
        <v>621</v>
      </c>
      <c r="W626">
        <f t="shared" si="112"/>
        <v>621</v>
      </c>
      <c r="X626" s="218" t="e">
        <f t="shared" si="118"/>
        <v>#REF!</v>
      </c>
      <c r="Y626" s="218" t="e">
        <f t="shared" si="119"/>
        <v>#REF!</v>
      </c>
      <c r="Z626" s="4">
        <v>621</v>
      </c>
      <c r="AB626">
        <f t="shared" si="113"/>
        <v>621</v>
      </c>
      <c r="AC626" s="218" t="e">
        <f t="shared" si="120"/>
        <v>#REF!</v>
      </c>
      <c r="AD626" s="218" t="e">
        <f t="shared" si="121"/>
        <v>#REF!</v>
      </c>
      <c r="AE626" s="4">
        <v>621</v>
      </c>
    </row>
    <row r="627" spans="13:31">
      <c r="M627">
        <f t="shared" si="110"/>
        <v>622</v>
      </c>
      <c r="N627" s="218">
        <f t="shared" si="114"/>
        <v>0</v>
      </c>
      <c r="O627" s="218">
        <f t="shared" si="115"/>
        <v>0</v>
      </c>
      <c r="P627" s="4">
        <v>622</v>
      </c>
      <c r="R627">
        <f t="shared" si="111"/>
        <v>622</v>
      </c>
      <c r="S627" s="218">
        <f t="shared" ca="1" si="116"/>
        <v>0</v>
      </c>
      <c r="T627" s="218">
        <f t="shared" ca="1" si="117"/>
        <v>0</v>
      </c>
      <c r="U627" s="4">
        <v>622</v>
      </c>
      <c r="W627">
        <f t="shared" si="112"/>
        <v>622</v>
      </c>
      <c r="X627" s="218" t="e">
        <f t="shared" si="118"/>
        <v>#REF!</v>
      </c>
      <c r="Y627" s="218" t="e">
        <f t="shared" si="119"/>
        <v>#REF!</v>
      </c>
      <c r="Z627" s="4">
        <v>622</v>
      </c>
      <c r="AB627">
        <f t="shared" si="113"/>
        <v>622</v>
      </c>
      <c r="AC627" s="218" t="e">
        <f t="shared" si="120"/>
        <v>#REF!</v>
      </c>
      <c r="AD627" s="218" t="e">
        <f t="shared" si="121"/>
        <v>#REF!</v>
      </c>
      <c r="AE627" s="4">
        <v>622</v>
      </c>
    </row>
    <row r="628" spans="13:31">
      <c r="M628">
        <f t="shared" si="110"/>
        <v>623</v>
      </c>
      <c r="N628" s="218">
        <f t="shared" si="114"/>
        <v>0</v>
      </c>
      <c r="O628" s="218">
        <f t="shared" si="115"/>
        <v>0</v>
      </c>
      <c r="P628" s="4">
        <v>623</v>
      </c>
      <c r="R628">
        <f t="shared" si="111"/>
        <v>623</v>
      </c>
      <c r="S628" s="218">
        <f t="shared" ca="1" si="116"/>
        <v>0</v>
      </c>
      <c r="T628" s="218">
        <f t="shared" ca="1" si="117"/>
        <v>0</v>
      </c>
      <c r="U628" s="4">
        <v>623</v>
      </c>
      <c r="W628">
        <f t="shared" si="112"/>
        <v>623</v>
      </c>
      <c r="X628" s="218" t="e">
        <f t="shared" si="118"/>
        <v>#REF!</v>
      </c>
      <c r="Y628" s="218" t="e">
        <f t="shared" si="119"/>
        <v>#REF!</v>
      </c>
      <c r="Z628" s="4">
        <v>623</v>
      </c>
      <c r="AB628">
        <f t="shared" si="113"/>
        <v>623</v>
      </c>
      <c r="AC628" s="218" t="e">
        <f t="shared" si="120"/>
        <v>#REF!</v>
      </c>
      <c r="AD628" s="218" t="e">
        <f t="shared" si="121"/>
        <v>#REF!</v>
      </c>
      <c r="AE628" s="4">
        <v>623</v>
      </c>
    </row>
    <row r="629" spans="13:31">
      <c r="M629">
        <f t="shared" si="110"/>
        <v>624</v>
      </c>
      <c r="N629" s="218">
        <f t="shared" si="114"/>
        <v>0</v>
      </c>
      <c r="O629" s="218">
        <f t="shared" si="115"/>
        <v>0</v>
      </c>
      <c r="P629" s="4">
        <v>624</v>
      </c>
      <c r="R629">
        <f t="shared" si="111"/>
        <v>624</v>
      </c>
      <c r="S629" s="218">
        <f t="shared" ca="1" si="116"/>
        <v>0</v>
      </c>
      <c r="T629" s="218">
        <f t="shared" ca="1" si="117"/>
        <v>0</v>
      </c>
      <c r="U629" s="4">
        <v>624</v>
      </c>
      <c r="W629">
        <f t="shared" si="112"/>
        <v>624</v>
      </c>
      <c r="X629" s="218" t="e">
        <f t="shared" si="118"/>
        <v>#REF!</v>
      </c>
      <c r="Y629" s="218" t="e">
        <f t="shared" si="119"/>
        <v>#REF!</v>
      </c>
      <c r="Z629" s="4">
        <v>624</v>
      </c>
      <c r="AB629">
        <f t="shared" si="113"/>
        <v>624</v>
      </c>
      <c r="AC629" s="218" t="e">
        <f t="shared" si="120"/>
        <v>#REF!</v>
      </c>
      <c r="AD629" s="218" t="e">
        <f t="shared" si="121"/>
        <v>#REF!</v>
      </c>
      <c r="AE629" s="4">
        <v>624</v>
      </c>
    </row>
    <row r="630" spans="13:31">
      <c r="M630">
        <f t="shared" si="110"/>
        <v>625</v>
      </c>
      <c r="N630" s="218">
        <f t="shared" si="114"/>
        <v>0</v>
      </c>
      <c r="O630" s="218">
        <f t="shared" si="115"/>
        <v>0</v>
      </c>
      <c r="P630" s="4">
        <v>625</v>
      </c>
      <c r="R630">
        <f t="shared" si="111"/>
        <v>625</v>
      </c>
      <c r="S630" s="218">
        <f t="shared" ca="1" si="116"/>
        <v>0</v>
      </c>
      <c r="T630" s="218">
        <f t="shared" ca="1" si="117"/>
        <v>0</v>
      </c>
      <c r="U630" s="4">
        <v>625</v>
      </c>
      <c r="W630">
        <f t="shared" si="112"/>
        <v>625</v>
      </c>
      <c r="X630" s="218" t="e">
        <f t="shared" si="118"/>
        <v>#REF!</v>
      </c>
      <c r="Y630" s="218" t="e">
        <f t="shared" si="119"/>
        <v>#REF!</v>
      </c>
      <c r="Z630" s="4">
        <v>625</v>
      </c>
      <c r="AB630">
        <f t="shared" si="113"/>
        <v>625</v>
      </c>
      <c r="AC630" s="218" t="e">
        <f t="shared" si="120"/>
        <v>#REF!</v>
      </c>
      <c r="AD630" s="218" t="e">
        <f t="shared" si="121"/>
        <v>#REF!</v>
      </c>
      <c r="AE630" s="4">
        <v>625</v>
      </c>
    </row>
    <row r="631" spans="13:31">
      <c r="M631">
        <f t="shared" si="110"/>
        <v>626</v>
      </c>
      <c r="N631" s="218">
        <f t="shared" si="114"/>
        <v>0</v>
      </c>
      <c r="O631" s="218">
        <f t="shared" si="115"/>
        <v>0</v>
      </c>
      <c r="P631" s="4">
        <v>626</v>
      </c>
      <c r="R631">
        <f t="shared" si="111"/>
        <v>626</v>
      </c>
      <c r="S631" s="218">
        <f t="shared" ca="1" si="116"/>
        <v>0</v>
      </c>
      <c r="T631" s="218">
        <f t="shared" ca="1" si="117"/>
        <v>0</v>
      </c>
      <c r="U631" s="4">
        <v>626</v>
      </c>
      <c r="W631">
        <f t="shared" si="112"/>
        <v>626</v>
      </c>
      <c r="X631" s="218" t="e">
        <f t="shared" si="118"/>
        <v>#REF!</v>
      </c>
      <c r="Y631" s="218" t="e">
        <f t="shared" si="119"/>
        <v>#REF!</v>
      </c>
      <c r="Z631" s="4">
        <v>626</v>
      </c>
      <c r="AB631">
        <f t="shared" si="113"/>
        <v>626</v>
      </c>
      <c r="AC631" s="218" t="e">
        <f t="shared" si="120"/>
        <v>#REF!</v>
      </c>
      <c r="AD631" s="218" t="e">
        <f t="shared" si="121"/>
        <v>#REF!</v>
      </c>
      <c r="AE631" s="4">
        <v>626</v>
      </c>
    </row>
    <row r="632" spans="13:31">
      <c r="M632">
        <f t="shared" si="110"/>
        <v>627</v>
      </c>
      <c r="N632" s="218">
        <f t="shared" si="114"/>
        <v>0</v>
      </c>
      <c r="O632" s="218">
        <f t="shared" si="115"/>
        <v>0</v>
      </c>
      <c r="P632" s="4">
        <v>627</v>
      </c>
      <c r="R632">
        <f t="shared" si="111"/>
        <v>627</v>
      </c>
      <c r="S632" s="218">
        <f t="shared" ca="1" si="116"/>
        <v>0</v>
      </c>
      <c r="T632" s="218">
        <f t="shared" ca="1" si="117"/>
        <v>0</v>
      </c>
      <c r="U632" s="4">
        <v>627</v>
      </c>
      <c r="W632">
        <f t="shared" si="112"/>
        <v>627</v>
      </c>
      <c r="X632" s="218" t="e">
        <f t="shared" si="118"/>
        <v>#REF!</v>
      </c>
      <c r="Y632" s="218" t="e">
        <f t="shared" si="119"/>
        <v>#REF!</v>
      </c>
      <c r="Z632" s="4">
        <v>627</v>
      </c>
      <c r="AB632">
        <f t="shared" si="113"/>
        <v>627</v>
      </c>
      <c r="AC632" s="218" t="e">
        <f t="shared" si="120"/>
        <v>#REF!</v>
      </c>
      <c r="AD632" s="218" t="e">
        <f t="shared" si="121"/>
        <v>#REF!</v>
      </c>
      <c r="AE632" s="4">
        <v>627</v>
      </c>
    </row>
    <row r="633" spans="13:31">
      <c r="M633">
        <f t="shared" si="110"/>
        <v>628</v>
      </c>
      <c r="N633" s="218">
        <f t="shared" si="114"/>
        <v>0</v>
      </c>
      <c r="O633" s="218">
        <f t="shared" si="115"/>
        <v>0</v>
      </c>
      <c r="P633" s="4">
        <v>628</v>
      </c>
      <c r="R633">
        <f t="shared" si="111"/>
        <v>628</v>
      </c>
      <c r="S633" s="218">
        <f t="shared" ca="1" si="116"/>
        <v>0</v>
      </c>
      <c r="T633" s="218">
        <f t="shared" ca="1" si="117"/>
        <v>0</v>
      </c>
      <c r="U633" s="4">
        <v>628</v>
      </c>
      <c r="W633">
        <f t="shared" si="112"/>
        <v>628</v>
      </c>
      <c r="X633" s="218" t="e">
        <f t="shared" si="118"/>
        <v>#REF!</v>
      </c>
      <c r="Y633" s="218" t="e">
        <f t="shared" si="119"/>
        <v>#REF!</v>
      </c>
      <c r="Z633" s="4">
        <v>628</v>
      </c>
      <c r="AB633">
        <f t="shared" si="113"/>
        <v>628</v>
      </c>
      <c r="AC633" s="218" t="e">
        <f t="shared" si="120"/>
        <v>#REF!</v>
      </c>
      <c r="AD633" s="218" t="e">
        <f t="shared" si="121"/>
        <v>#REF!</v>
      </c>
      <c r="AE633" s="4">
        <v>628</v>
      </c>
    </row>
    <row r="634" spans="13:31">
      <c r="M634">
        <f t="shared" si="110"/>
        <v>629</v>
      </c>
      <c r="N634" s="218">
        <f t="shared" si="114"/>
        <v>0</v>
      </c>
      <c r="O634" s="218">
        <f t="shared" si="115"/>
        <v>0</v>
      </c>
      <c r="P634" s="4">
        <v>629</v>
      </c>
      <c r="R634">
        <f t="shared" si="111"/>
        <v>629</v>
      </c>
      <c r="S634" s="218">
        <f t="shared" ca="1" si="116"/>
        <v>0</v>
      </c>
      <c r="T634" s="218">
        <f t="shared" ca="1" si="117"/>
        <v>0</v>
      </c>
      <c r="U634" s="4">
        <v>629</v>
      </c>
      <c r="W634">
        <f t="shared" si="112"/>
        <v>629</v>
      </c>
      <c r="X634" s="218" t="e">
        <f t="shared" si="118"/>
        <v>#REF!</v>
      </c>
      <c r="Y634" s="218" t="e">
        <f t="shared" si="119"/>
        <v>#REF!</v>
      </c>
      <c r="Z634" s="4">
        <v>629</v>
      </c>
      <c r="AB634">
        <f t="shared" si="113"/>
        <v>629</v>
      </c>
      <c r="AC634" s="218" t="e">
        <f t="shared" si="120"/>
        <v>#REF!</v>
      </c>
      <c r="AD634" s="218" t="e">
        <f t="shared" si="121"/>
        <v>#REF!</v>
      </c>
      <c r="AE634" s="4">
        <v>629</v>
      </c>
    </row>
    <row r="635" spans="13:31">
      <c r="M635">
        <f t="shared" si="110"/>
        <v>630</v>
      </c>
      <c r="N635" s="218">
        <f t="shared" si="114"/>
        <v>0</v>
      </c>
      <c r="O635" s="218">
        <f t="shared" si="115"/>
        <v>0</v>
      </c>
      <c r="P635" s="4">
        <v>630</v>
      </c>
      <c r="R635">
        <f t="shared" si="111"/>
        <v>630</v>
      </c>
      <c r="S635" s="218">
        <f t="shared" ca="1" si="116"/>
        <v>0</v>
      </c>
      <c r="T635" s="218">
        <f t="shared" ca="1" si="117"/>
        <v>0</v>
      </c>
      <c r="U635" s="4">
        <v>630</v>
      </c>
      <c r="W635">
        <f t="shared" si="112"/>
        <v>630</v>
      </c>
      <c r="X635" s="218" t="e">
        <f t="shared" si="118"/>
        <v>#REF!</v>
      </c>
      <c r="Y635" s="218" t="e">
        <f t="shared" si="119"/>
        <v>#REF!</v>
      </c>
      <c r="Z635" s="4">
        <v>630</v>
      </c>
      <c r="AB635">
        <f t="shared" si="113"/>
        <v>630</v>
      </c>
      <c r="AC635" s="218" t="e">
        <f t="shared" si="120"/>
        <v>#REF!</v>
      </c>
      <c r="AD635" s="218" t="e">
        <f t="shared" si="121"/>
        <v>#REF!</v>
      </c>
      <c r="AE635" s="4">
        <v>630</v>
      </c>
    </row>
    <row r="636" spans="13:31">
      <c r="M636">
        <f t="shared" si="110"/>
        <v>631</v>
      </c>
      <c r="N636" s="218">
        <f t="shared" si="114"/>
        <v>0</v>
      </c>
      <c r="O636" s="218">
        <f t="shared" si="115"/>
        <v>0</v>
      </c>
      <c r="P636" s="4">
        <v>631</v>
      </c>
      <c r="R636">
        <f t="shared" si="111"/>
        <v>631</v>
      </c>
      <c r="S636" s="218">
        <f t="shared" ca="1" si="116"/>
        <v>0</v>
      </c>
      <c r="T636" s="218">
        <f t="shared" ca="1" si="117"/>
        <v>0</v>
      </c>
      <c r="U636" s="4">
        <v>631</v>
      </c>
      <c r="W636">
        <f t="shared" si="112"/>
        <v>631</v>
      </c>
      <c r="X636" s="218" t="e">
        <f t="shared" si="118"/>
        <v>#REF!</v>
      </c>
      <c r="Y636" s="218" t="e">
        <f t="shared" si="119"/>
        <v>#REF!</v>
      </c>
      <c r="Z636" s="4">
        <v>631</v>
      </c>
      <c r="AB636">
        <f t="shared" si="113"/>
        <v>631</v>
      </c>
      <c r="AC636" s="218" t="e">
        <f t="shared" si="120"/>
        <v>#REF!</v>
      </c>
      <c r="AD636" s="218" t="e">
        <f t="shared" si="121"/>
        <v>#REF!</v>
      </c>
      <c r="AE636" s="4">
        <v>631</v>
      </c>
    </row>
    <row r="637" spans="13:31">
      <c r="M637">
        <f t="shared" si="110"/>
        <v>632</v>
      </c>
      <c r="N637" s="218">
        <f t="shared" si="114"/>
        <v>0</v>
      </c>
      <c r="O637" s="218">
        <f t="shared" si="115"/>
        <v>0</v>
      </c>
      <c r="P637" s="4">
        <v>632</v>
      </c>
      <c r="R637">
        <f t="shared" si="111"/>
        <v>632</v>
      </c>
      <c r="S637" s="218">
        <f t="shared" ca="1" si="116"/>
        <v>0</v>
      </c>
      <c r="T637" s="218">
        <f t="shared" ca="1" si="117"/>
        <v>0</v>
      </c>
      <c r="U637" s="4">
        <v>632</v>
      </c>
      <c r="W637">
        <f t="shared" si="112"/>
        <v>632</v>
      </c>
      <c r="X637" s="218" t="e">
        <f t="shared" si="118"/>
        <v>#REF!</v>
      </c>
      <c r="Y637" s="218" t="e">
        <f t="shared" si="119"/>
        <v>#REF!</v>
      </c>
      <c r="Z637" s="4">
        <v>632</v>
      </c>
      <c r="AB637">
        <f t="shared" si="113"/>
        <v>632</v>
      </c>
      <c r="AC637" s="218" t="e">
        <f t="shared" si="120"/>
        <v>#REF!</v>
      </c>
      <c r="AD637" s="218" t="e">
        <f t="shared" si="121"/>
        <v>#REF!</v>
      </c>
      <c r="AE637" s="4">
        <v>632</v>
      </c>
    </row>
    <row r="638" spans="13:31">
      <c r="M638">
        <f t="shared" si="110"/>
        <v>633</v>
      </c>
      <c r="N638" s="218">
        <f t="shared" si="114"/>
        <v>0</v>
      </c>
      <c r="O638" s="218">
        <f t="shared" si="115"/>
        <v>0</v>
      </c>
      <c r="P638" s="4">
        <v>633</v>
      </c>
      <c r="R638">
        <f t="shared" si="111"/>
        <v>633</v>
      </c>
      <c r="S638" s="218">
        <f t="shared" ca="1" si="116"/>
        <v>0</v>
      </c>
      <c r="T638" s="218">
        <f t="shared" ca="1" si="117"/>
        <v>0</v>
      </c>
      <c r="U638" s="4">
        <v>633</v>
      </c>
      <c r="W638">
        <f t="shared" si="112"/>
        <v>633</v>
      </c>
      <c r="X638" s="218" t="e">
        <f t="shared" si="118"/>
        <v>#REF!</v>
      </c>
      <c r="Y638" s="218" t="e">
        <f t="shared" si="119"/>
        <v>#REF!</v>
      </c>
      <c r="Z638" s="4">
        <v>633</v>
      </c>
      <c r="AB638">
        <f t="shared" si="113"/>
        <v>633</v>
      </c>
      <c r="AC638" s="218" t="e">
        <f t="shared" si="120"/>
        <v>#REF!</v>
      </c>
      <c r="AD638" s="218" t="e">
        <f t="shared" si="121"/>
        <v>#REF!</v>
      </c>
      <c r="AE638" s="4">
        <v>633</v>
      </c>
    </row>
    <row r="639" spans="13:31">
      <c r="M639">
        <f t="shared" si="110"/>
        <v>634</v>
      </c>
      <c r="N639" s="218">
        <f t="shared" si="114"/>
        <v>0</v>
      </c>
      <c r="O639" s="218">
        <f t="shared" si="115"/>
        <v>0</v>
      </c>
      <c r="P639" s="4">
        <v>634</v>
      </c>
      <c r="R639">
        <f t="shared" si="111"/>
        <v>634</v>
      </c>
      <c r="S639" s="218">
        <f t="shared" ca="1" si="116"/>
        <v>0</v>
      </c>
      <c r="T639" s="218">
        <f t="shared" ca="1" si="117"/>
        <v>0</v>
      </c>
      <c r="U639" s="4">
        <v>634</v>
      </c>
      <c r="W639">
        <f t="shared" si="112"/>
        <v>634</v>
      </c>
      <c r="X639" s="218" t="e">
        <f t="shared" si="118"/>
        <v>#REF!</v>
      </c>
      <c r="Y639" s="218" t="e">
        <f t="shared" si="119"/>
        <v>#REF!</v>
      </c>
      <c r="Z639" s="4">
        <v>634</v>
      </c>
      <c r="AB639">
        <f t="shared" si="113"/>
        <v>634</v>
      </c>
      <c r="AC639" s="218" t="e">
        <f t="shared" si="120"/>
        <v>#REF!</v>
      </c>
      <c r="AD639" s="218" t="e">
        <f t="shared" si="121"/>
        <v>#REF!</v>
      </c>
      <c r="AE639" s="4">
        <v>634</v>
      </c>
    </row>
    <row r="640" spans="13:31">
      <c r="M640">
        <f t="shared" si="110"/>
        <v>635</v>
      </c>
      <c r="N640" s="218">
        <f t="shared" si="114"/>
        <v>0</v>
      </c>
      <c r="O640" s="218">
        <f t="shared" si="115"/>
        <v>0</v>
      </c>
      <c r="P640" s="4">
        <v>635</v>
      </c>
      <c r="R640">
        <f t="shared" si="111"/>
        <v>635</v>
      </c>
      <c r="S640" s="218">
        <f t="shared" ca="1" si="116"/>
        <v>0</v>
      </c>
      <c r="T640" s="218">
        <f t="shared" ca="1" si="117"/>
        <v>0</v>
      </c>
      <c r="U640" s="4">
        <v>635</v>
      </c>
      <c r="W640">
        <f t="shared" si="112"/>
        <v>635</v>
      </c>
      <c r="X640" s="218" t="e">
        <f t="shared" si="118"/>
        <v>#REF!</v>
      </c>
      <c r="Y640" s="218" t="e">
        <f t="shared" si="119"/>
        <v>#REF!</v>
      </c>
      <c r="Z640" s="4">
        <v>635</v>
      </c>
      <c r="AB640">
        <f t="shared" si="113"/>
        <v>635</v>
      </c>
      <c r="AC640" s="218" t="e">
        <f t="shared" si="120"/>
        <v>#REF!</v>
      </c>
      <c r="AD640" s="218" t="e">
        <f t="shared" si="121"/>
        <v>#REF!</v>
      </c>
      <c r="AE640" s="4">
        <v>635</v>
      </c>
    </row>
    <row r="641" spans="13:31">
      <c r="M641">
        <f t="shared" si="110"/>
        <v>636</v>
      </c>
      <c r="N641" s="218">
        <f t="shared" si="114"/>
        <v>0</v>
      </c>
      <c r="O641" s="218">
        <f t="shared" si="115"/>
        <v>0</v>
      </c>
      <c r="P641" s="4">
        <v>636</v>
      </c>
      <c r="R641">
        <f t="shared" si="111"/>
        <v>636</v>
      </c>
      <c r="S641" s="218">
        <f t="shared" ca="1" si="116"/>
        <v>0</v>
      </c>
      <c r="T641" s="218">
        <f t="shared" ca="1" si="117"/>
        <v>0</v>
      </c>
      <c r="U641" s="4">
        <v>636</v>
      </c>
      <c r="W641">
        <f t="shared" si="112"/>
        <v>636</v>
      </c>
      <c r="X641" s="218" t="e">
        <f t="shared" si="118"/>
        <v>#REF!</v>
      </c>
      <c r="Y641" s="218" t="e">
        <f t="shared" si="119"/>
        <v>#REF!</v>
      </c>
      <c r="Z641" s="4">
        <v>636</v>
      </c>
      <c r="AB641">
        <f t="shared" si="113"/>
        <v>636</v>
      </c>
      <c r="AC641" s="218" t="e">
        <f t="shared" si="120"/>
        <v>#REF!</v>
      </c>
      <c r="AD641" s="218" t="e">
        <f t="shared" si="121"/>
        <v>#REF!</v>
      </c>
      <c r="AE641" s="4">
        <v>636</v>
      </c>
    </row>
    <row r="642" spans="13:31">
      <c r="M642">
        <f t="shared" si="110"/>
        <v>637</v>
      </c>
      <c r="N642" s="218">
        <f t="shared" si="114"/>
        <v>0</v>
      </c>
      <c r="O642" s="218">
        <f t="shared" si="115"/>
        <v>0</v>
      </c>
      <c r="P642" s="4">
        <v>637</v>
      </c>
      <c r="R642">
        <f t="shared" si="111"/>
        <v>637</v>
      </c>
      <c r="S642" s="218">
        <f t="shared" ca="1" si="116"/>
        <v>0</v>
      </c>
      <c r="T642" s="218">
        <f t="shared" ca="1" si="117"/>
        <v>0</v>
      </c>
      <c r="U642" s="4">
        <v>637</v>
      </c>
      <c r="W642">
        <f t="shared" si="112"/>
        <v>637</v>
      </c>
      <c r="X642" s="218" t="e">
        <f t="shared" si="118"/>
        <v>#REF!</v>
      </c>
      <c r="Y642" s="218" t="e">
        <f t="shared" si="119"/>
        <v>#REF!</v>
      </c>
      <c r="Z642" s="4">
        <v>637</v>
      </c>
      <c r="AB642">
        <f t="shared" si="113"/>
        <v>637</v>
      </c>
      <c r="AC642" s="218" t="e">
        <f t="shared" si="120"/>
        <v>#REF!</v>
      </c>
      <c r="AD642" s="218" t="e">
        <f t="shared" si="121"/>
        <v>#REF!</v>
      </c>
      <c r="AE642" s="4">
        <v>637</v>
      </c>
    </row>
    <row r="643" spans="13:31">
      <c r="M643">
        <f t="shared" si="110"/>
        <v>638</v>
      </c>
      <c r="N643" s="218">
        <f t="shared" si="114"/>
        <v>0</v>
      </c>
      <c r="O643" s="218">
        <f t="shared" si="115"/>
        <v>0</v>
      </c>
      <c r="P643" s="4">
        <v>638</v>
      </c>
      <c r="R643">
        <f t="shared" si="111"/>
        <v>638</v>
      </c>
      <c r="S643" s="218">
        <f t="shared" ca="1" si="116"/>
        <v>0</v>
      </c>
      <c r="T643" s="218">
        <f t="shared" ca="1" si="117"/>
        <v>0</v>
      </c>
      <c r="U643" s="4">
        <v>638</v>
      </c>
      <c r="W643">
        <f t="shared" si="112"/>
        <v>638</v>
      </c>
      <c r="X643" s="218" t="e">
        <f t="shared" si="118"/>
        <v>#REF!</v>
      </c>
      <c r="Y643" s="218" t="e">
        <f t="shared" si="119"/>
        <v>#REF!</v>
      </c>
      <c r="Z643" s="4">
        <v>638</v>
      </c>
      <c r="AB643">
        <f t="shared" si="113"/>
        <v>638</v>
      </c>
      <c r="AC643" s="218" t="e">
        <f t="shared" si="120"/>
        <v>#REF!</v>
      </c>
      <c r="AD643" s="218" t="e">
        <f t="shared" si="121"/>
        <v>#REF!</v>
      </c>
      <c r="AE643" s="4">
        <v>638</v>
      </c>
    </row>
    <row r="644" spans="13:31">
      <c r="M644">
        <f t="shared" si="110"/>
        <v>639</v>
      </c>
      <c r="N644" s="218">
        <f t="shared" si="114"/>
        <v>0</v>
      </c>
      <c r="O644" s="218">
        <f t="shared" si="115"/>
        <v>0</v>
      </c>
      <c r="P644" s="4">
        <v>639</v>
      </c>
      <c r="R644">
        <f t="shared" si="111"/>
        <v>639</v>
      </c>
      <c r="S644" s="218">
        <f t="shared" ca="1" si="116"/>
        <v>0</v>
      </c>
      <c r="T644" s="218">
        <f t="shared" ca="1" si="117"/>
        <v>0</v>
      </c>
      <c r="U644" s="4">
        <v>639</v>
      </c>
      <c r="W644">
        <f t="shared" si="112"/>
        <v>639</v>
      </c>
      <c r="X644" s="218" t="e">
        <f t="shared" si="118"/>
        <v>#REF!</v>
      </c>
      <c r="Y644" s="218" t="e">
        <f t="shared" si="119"/>
        <v>#REF!</v>
      </c>
      <c r="Z644" s="4">
        <v>639</v>
      </c>
      <c r="AB644">
        <f t="shared" si="113"/>
        <v>639</v>
      </c>
      <c r="AC644" s="218" t="e">
        <f t="shared" si="120"/>
        <v>#REF!</v>
      </c>
      <c r="AD644" s="218" t="e">
        <f t="shared" si="121"/>
        <v>#REF!</v>
      </c>
      <c r="AE644" s="4">
        <v>639</v>
      </c>
    </row>
    <row r="645" spans="13:31">
      <c r="M645">
        <f t="shared" si="110"/>
        <v>640</v>
      </c>
      <c r="N645" s="218">
        <f t="shared" si="114"/>
        <v>0</v>
      </c>
      <c r="O645" s="218">
        <f t="shared" si="115"/>
        <v>0</v>
      </c>
      <c r="P645" s="4">
        <v>640</v>
      </c>
      <c r="R645">
        <f t="shared" si="111"/>
        <v>640</v>
      </c>
      <c r="S645" s="218">
        <f t="shared" ca="1" si="116"/>
        <v>0</v>
      </c>
      <c r="T645" s="218">
        <f t="shared" ca="1" si="117"/>
        <v>0</v>
      </c>
      <c r="U645" s="4">
        <v>640</v>
      </c>
      <c r="W645">
        <f t="shared" si="112"/>
        <v>640</v>
      </c>
      <c r="X645" s="218" t="e">
        <f t="shared" si="118"/>
        <v>#REF!</v>
      </c>
      <c r="Y645" s="218" t="e">
        <f t="shared" si="119"/>
        <v>#REF!</v>
      </c>
      <c r="Z645" s="4">
        <v>640</v>
      </c>
      <c r="AB645">
        <f t="shared" si="113"/>
        <v>640</v>
      </c>
      <c r="AC645" s="218" t="e">
        <f t="shared" si="120"/>
        <v>#REF!</v>
      </c>
      <c r="AD645" s="218" t="e">
        <f t="shared" si="121"/>
        <v>#REF!</v>
      </c>
      <c r="AE645" s="4">
        <v>640</v>
      </c>
    </row>
    <row r="646" spans="13:31">
      <c r="M646">
        <f t="shared" si="110"/>
        <v>641</v>
      </c>
      <c r="N646" s="218">
        <f t="shared" si="114"/>
        <v>0</v>
      </c>
      <c r="O646" s="218">
        <f t="shared" si="115"/>
        <v>0</v>
      </c>
      <c r="P646" s="4">
        <v>641</v>
      </c>
      <c r="R646">
        <f t="shared" si="111"/>
        <v>641</v>
      </c>
      <c r="S646" s="218">
        <f t="shared" ca="1" si="116"/>
        <v>0</v>
      </c>
      <c r="T646" s="218">
        <f t="shared" ca="1" si="117"/>
        <v>0</v>
      </c>
      <c r="U646" s="4">
        <v>641</v>
      </c>
      <c r="W646">
        <f t="shared" si="112"/>
        <v>641</v>
      </c>
      <c r="X646" s="218" t="e">
        <f t="shared" si="118"/>
        <v>#REF!</v>
      </c>
      <c r="Y646" s="218" t="e">
        <f t="shared" si="119"/>
        <v>#REF!</v>
      </c>
      <c r="Z646" s="4">
        <v>641</v>
      </c>
      <c r="AB646">
        <f t="shared" si="113"/>
        <v>641</v>
      </c>
      <c r="AC646" s="218" t="e">
        <f t="shared" si="120"/>
        <v>#REF!</v>
      </c>
      <c r="AD646" s="218" t="e">
        <f t="shared" si="121"/>
        <v>#REF!</v>
      </c>
      <c r="AE646" s="4">
        <v>641</v>
      </c>
    </row>
    <row r="647" spans="13:31">
      <c r="M647">
        <f t="shared" ref="M647:M710" si="122">P647</f>
        <v>642</v>
      </c>
      <c r="N647" s="218">
        <f t="shared" si="114"/>
        <v>0</v>
      </c>
      <c r="O647" s="218">
        <f t="shared" si="115"/>
        <v>0</v>
      </c>
      <c r="P647" s="4">
        <v>642</v>
      </c>
      <c r="R647">
        <f t="shared" ref="R647:R710" si="123">U647</f>
        <v>642</v>
      </c>
      <c r="S647" s="218">
        <f t="shared" ca="1" si="116"/>
        <v>0</v>
      </c>
      <c r="T647" s="218">
        <f t="shared" ca="1" si="117"/>
        <v>0</v>
      </c>
      <c r="U647" s="4">
        <v>642</v>
      </c>
      <c r="W647">
        <f t="shared" ref="W647:W710" si="124">Z647</f>
        <v>642</v>
      </c>
      <c r="X647" s="218" t="e">
        <f t="shared" si="118"/>
        <v>#REF!</v>
      </c>
      <c r="Y647" s="218" t="e">
        <f t="shared" si="119"/>
        <v>#REF!</v>
      </c>
      <c r="Z647" s="4">
        <v>642</v>
      </c>
      <c r="AB647">
        <f t="shared" ref="AB647:AB710" si="125">AE647</f>
        <v>642</v>
      </c>
      <c r="AC647" s="218" t="e">
        <f t="shared" si="120"/>
        <v>#REF!</v>
      </c>
      <c r="AD647" s="218" t="e">
        <f t="shared" si="121"/>
        <v>#REF!</v>
      </c>
      <c r="AE647" s="4">
        <v>642</v>
      </c>
    </row>
    <row r="648" spans="13:31">
      <c r="M648">
        <f t="shared" si="122"/>
        <v>643</v>
      </c>
      <c r="N648" s="218">
        <f t="shared" ref="N648:N711" si="126">+IF(O648&lt;N647,O648,N647)</f>
        <v>0</v>
      </c>
      <c r="O648" s="218">
        <f t="shared" ref="O648:O711" si="127">+(O647-N647)*(1+$E$13)</f>
        <v>0</v>
      </c>
      <c r="P648" s="4">
        <v>643</v>
      </c>
      <c r="R648">
        <f t="shared" si="123"/>
        <v>643</v>
      </c>
      <c r="S648" s="218">
        <f t="shared" ref="S648:S711" ca="1" si="128">+IF(T648&lt;S647,T648,S647)</f>
        <v>0</v>
      </c>
      <c r="T648" s="218">
        <f t="shared" ref="T648:T711" ca="1" si="129">+(T647-S647)*(1+$E$14)</f>
        <v>0</v>
      </c>
      <c r="U648" s="4">
        <v>643</v>
      </c>
      <c r="W648">
        <f t="shared" si="124"/>
        <v>643</v>
      </c>
      <c r="X648" s="218" t="e">
        <f t="shared" ref="X648:X711" si="130">+IF(Y648&lt;X647,Y648,X647)</f>
        <v>#REF!</v>
      </c>
      <c r="Y648" s="218" t="e">
        <f t="shared" ref="Y648:Y711" si="131">+(Y647-X647)*(1+$E$15)</f>
        <v>#REF!</v>
      </c>
      <c r="Z648" s="4">
        <v>643</v>
      </c>
      <c r="AB648">
        <f t="shared" si="125"/>
        <v>643</v>
      </c>
      <c r="AC648" s="218" t="e">
        <f t="shared" ref="AC648:AC711" si="132">+IF(AD648&lt;AC647,AD648,AC647)</f>
        <v>#REF!</v>
      </c>
      <c r="AD648" s="218" t="e">
        <f t="shared" ref="AD648:AD711" si="133">+(AD647-AC647)*(1+$E$16)</f>
        <v>#REF!</v>
      </c>
      <c r="AE648" s="4">
        <v>643</v>
      </c>
    </row>
    <row r="649" spans="13:31">
      <c r="M649">
        <f t="shared" si="122"/>
        <v>644</v>
      </c>
      <c r="N649" s="218">
        <f t="shared" si="126"/>
        <v>0</v>
      </c>
      <c r="O649" s="218">
        <f t="shared" si="127"/>
        <v>0</v>
      </c>
      <c r="P649" s="4">
        <v>644</v>
      </c>
      <c r="R649">
        <f t="shared" si="123"/>
        <v>644</v>
      </c>
      <c r="S649" s="218">
        <f t="shared" ca="1" si="128"/>
        <v>0</v>
      </c>
      <c r="T649" s="218">
        <f t="shared" ca="1" si="129"/>
        <v>0</v>
      </c>
      <c r="U649" s="4">
        <v>644</v>
      </c>
      <c r="W649">
        <f t="shared" si="124"/>
        <v>644</v>
      </c>
      <c r="X649" s="218" t="e">
        <f t="shared" si="130"/>
        <v>#REF!</v>
      </c>
      <c r="Y649" s="218" t="e">
        <f t="shared" si="131"/>
        <v>#REF!</v>
      </c>
      <c r="Z649" s="4">
        <v>644</v>
      </c>
      <c r="AB649">
        <f t="shared" si="125"/>
        <v>644</v>
      </c>
      <c r="AC649" s="218" t="e">
        <f t="shared" si="132"/>
        <v>#REF!</v>
      </c>
      <c r="AD649" s="218" t="e">
        <f t="shared" si="133"/>
        <v>#REF!</v>
      </c>
      <c r="AE649" s="4">
        <v>644</v>
      </c>
    </row>
    <row r="650" spans="13:31">
      <c r="M650">
        <f t="shared" si="122"/>
        <v>645</v>
      </c>
      <c r="N650" s="218">
        <f t="shared" si="126"/>
        <v>0</v>
      </c>
      <c r="O650" s="218">
        <f t="shared" si="127"/>
        <v>0</v>
      </c>
      <c r="P650" s="4">
        <v>645</v>
      </c>
      <c r="R650">
        <f t="shared" si="123"/>
        <v>645</v>
      </c>
      <c r="S650" s="218">
        <f t="shared" ca="1" si="128"/>
        <v>0</v>
      </c>
      <c r="T650" s="218">
        <f t="shared" ca="1" si="129"/>
        <v>0</v>
      </c>
      <c r="U650" s="4">
        <v>645</v>
      </c>
      <c r="W650">
        <f t="shared" si="124"/>
        <v>645</v>
      </c>
      <c r="X650" s="218" t="e">
        <f t="shared" si="130"/>
        <v>#REF!</v>
      </c>
      <c r="Y650" s="218" t="e">
        <f t="shared" si="131"/>
        <v>#REF!</v>
      </c>
      <c r="Z650" s="4">
        <v>645</v>
      </c>
      <c r="AB650">
        <f t="shared" si="125"/>
        <v>645</v>
      </c>
      <c r="AC650" s="218" t="e">
        <f t="shared" si="132"/>
        <v>#REF!</v>
      </c>
      <c r="AD650" s="218" t="e">
        <f t="shared" si="133"/>
        <v>#REF!</v>
      </c>
      <c r="AE650" s="4">
        <v>645</v>
      </c>
    </row>
    <row r="651" spans="13:31">
      <c r="M651">
        <f t="shared" si="122"/>
        <v>646</v>
      </c>
      <c r="N651" s="218">
        <f t="shared" si="126"/>
        <v>0</v>
      </c>
      <c r="O651" s="218">
        <f t="shared" si="127"/>
        <v>0</v>
      </c>
      <c r="P651" s="4">
        <v>646</v>
      </c>
      <c r="R651">
        <f t="shared" si="123"/>
        <v>646</v>
      </c>
      <c r="S651" s="218">
        <f t="shared" ca="1" si="128"/>
        <v>0</v>
      </c>
      <c r="T651" s="218">
        <f t="shared" ca="1" si="129"/>
        <v>0</v>
      </c>
      <c r="U651" s="4">
        <v>646</v>
      </c>
      <c r="W651">
        <f t="shared" si="124"/>
        <v>646</v>
      </c>
      <c r="X651" s="218" t="e">
        <f t="shared" si="130"/>
        <v>#REF!</v>
      </c>
      <c r="Y651" s="218" t="e">
        <f t="shared" si="131"/>
        <v>#REF!</v>
      </c>
      <c r="Z651" s="4">
        <v>646</v>
      </c>
      <c r="AB651">
        <f t="shared" si="125"/>
        <v>646</v>
      </c>
      <c r="AC651" s="218" t="e">
        <f t="shared" si="132"/>
        <v>#REF!</v>
      </c>
      <c r="AD651" s="218" t="e">
        <f t="shared" si="133"/>
        <v>#REF!</v>
      </c>
      <c r="AE651" s="4">
        <v>646</v>
      </c>
    </row>
    <row r="652" spans="13:31">
      <c r="M652">
        <f t="shared" si="122"/>
        <v>647</v>
      </c>
      <c r="N652" s="218">
        <f t="shared" si="126"/>
        <v>0</v>
      </c>
      <c r="O652" s="218">
        <f t="shared" si="127"/>
        <v>0</v>
      </c>
      <c r="P652" s="4">
        <v>647</v>
      </c>
      <c r="R652">
        <f t="shared" si="123"/>
        <v>647</v>
      </c>
      <c r="S652" s="218">
        <f t="shared" ca="1" si="128"/>
        <v>0</v>
      </c>
      <c r="T652" s="218">
        <f t="shared" ca="1" si="129"/>
        <v>0</v>
      </c>
      <c r="U652" s="4">
        <v>647</v>
      </c>
      <c r="W652">
        <f t="shared" si="124"/>
        <v>647</v>
      </c>
      <c r="X652" s="218" t="e">
        <f t="shared" si="130"/>
        <v>#REF!</v>
      </c>
      <c r="Y652" s="218" t="e">
        <f t="shared" si="131"/>
        <v>#REF!</v>
      </c>
      <c r="Z652" s="4">
        <v>647</v>
      </c>
      <c r="AB652">
        <f t="shared" si="125"/>
        <v>647</v>
      </c>
      <c r="AC652" s="218" t="e">
        <f t="shared" si="132"/>
        <v>#REF!</v>
      </c>
      <c r="AD652" s="218" t="e">
        <f t="shared" si="133"/>
        <v>#REF!</v>
      </c>
      <c r="AE652" s="4">
        <v>647</v>
      </c>
    </row>
    <row r="653" spans="13:31">
      <c r="M653">
        <f t="shared" si="122"/>
        <v>648</v>
      </c>
      <c r="N653" s="218">
        <f t="shared" si="126"/>
        <v>0</v>
      </c>
      <c r="O653" s="218">
        <f t="shared" si="127"/>
        <v>0</v>
      </c>
      <c r="P653" s="4">
        <v>648</v>
      </c>
      <c r="R653">
        <f t="shared" si="123"/>
        <v>648</v>
      </c>
      <c r="S653" s="218">
        <f t="shared" ca="1" si="128"/>
        <v>0</v>
      </c>
      <c r="T653" s="218">
        <f t="shared" ca="1" si="129"/>
        <v>0</v>
      </c>
      <c r="U653" s="4">
        <v>648</v>
      </c>
      <c r="W653">
        <f t="shared" si="124"/>
        <v>648</v>
      </c>
      <c r="X653" s="218" t="e">
        <f t="shared" si="130"/>
        <v>#REF!</v>
      </c>
      <c r="Y653" s="218" t="e">
        <f t="shared" si="131"/>
        <v>#REF!</v>
      </c>
      <c r="Z653" s="4">
        <v>648</v>
      </c>
      <c r="AB653">
        <f t="shared" si="125"/>
        <v>648</v>
      </c>
      <c r="AC653" s="218" t="e">
        <f t="shared" si="132"/>
        <v>#REF!</v>
      </c>
      <c r="AD653" s="218" t="e">
        <f t="shared" si="133"/>
        <v>#REF!</v>
      </c>
      <c r="AE653" s="4">
        <v>648</v>
      </c>
    </row>
    <row r="654" spans="13:31">
      <c r="M654">
        <f t="shared" si="122"/>
        <v>649</v>
      </c>
      <c r="N654" s="218">
        <f t="shared" si="126"/>
        <v>0</v>
      </c>
      <c r="O654" s="218">
        <f t="shared" si="127"/>
        <v>0</v>
      </c>
      <c r="P654" s="4">
        <v>649</v>
      </c>
      <c r="R654">
        <f t="shared" si="123"/>
        <v>649</v>
      </c>
      <c r="S654" s="218">
        <f t="shared" ca="1" si="128"/>
        <v>0</v>
      </c>
      <c r="T654" s="218">
        <f t="shared" ca="1" si="129"/>
        <v>0</v>
      </c>
      <c r="U654" s="4">
        <v>649</v>
      </c>
      <c r="W654">
        <f t="shared" si="124"/>
        <v>649</v>
      </c>
      <c r="X654" s="218" t="e">
        <f t="shared" si="130"/>
        <v>#REF!</v>
      </c>
      <c r="Y654" s="218" t="e">
        <f t="shared" si="131"/>
        <v>#REF!</v>
      </c>
      <c r="Z654" s="4">
        <v>649</v>
      </c>
      <c r="AB654">
        <f t="shared" si="125"/>
        <v>649</v>
      </c>
      <c r="AC654" s="218" t="e">
        <f t="shared" si="132"/>
        <v>#REF!</v>
      </c>
      <c r="AD654" s="218" t="e">
        <f t="shared" si="133"/>
        <v>#REF!</v>
      </c>
      <c r="AE654" s="4">
        <v>649</v>
      </c>
    </row>
    <row r="655" spans="13:31">
      <c r="M655">
        <f t="shared" si="122"/>
        <v>650</v>
      </c>
      <c r="N655" s="218">
        <f t="shared" si="126"/>
        <v>0</v>
      </c>
      <c r="O655" s="218">
        <f t="shared" si="127"/>
        <v>0</v>
      </c>
      <c r="P655" s="4">
        <v>650</v>
      </c>
      <c r="R655">
        <f t="shared" si="123"/>
        <v>650</v>
      </c>
      <c r="S655" s="218">
        <f t="shared" ca="1" si="128"/>
        <v>0</v>
      </c>
      <c r="T655" s="218">
        <f t="shared" ca="1" si="129"/>
        <v>0</v>
      </c>
      <c r="U655" s="4">
        <v>650</v>
      </c>
      <c r="W655">
        <f t="shared" si="124"/>
        <v>650</v>
      </c>
      <c r="X655" s="218" t="e">
        <f t="shared" si="130"/>
        <v>#REF!</v>
      </c>
      <c r="Y655" s="218" t="e">
        <f t="shared" si="131"/>
        <v>#REF!</v>
      </c>
      <c r="Z655" s="4">
        <v>650</v>
      </c>
      <c r="AB655">
        <f t="shared" si="125"/>
        <v>650</v>
      </c>
      <c r="AC655" s="218" t="e">
        <f t="shared" si="132"/>
        <v>#REF!</v>
      </c>
      <c r="AD655" s="218" t="e">
        <f t="shared" si="133"/>
        <v>#REF!</v>
      </c>
      <c r="AE655" s="4">
        <v>650</v>
      </c>
    </row>
    <row r="656" spans="13:31">
      <c r="M656">
        <f t="shared" si="122"/>
        <v>651</v>
      </c>
      <c r="N656" s="218">
        <f t="shared" si="126"/>
        <v>0</v>
      </c>
      <c r="O656" s="218">
        <f t="shared" si="127"/>
        <v>0</v>
      </c>
      <c r="P656" s="4">
        <v>651</v>
      </c>
      <c r="R656">
        <f t="shared" si="123"/>
        <v>651</v>
      </c>
      <c r="S656" s="218">
        <f t="shared" ca="1" si="128"/>
        <v>0</v>
      </c>
      <c r="T656" s="218">
        <f t="shared" ca="1" si="129"/>
        <v>0</v>
      </c>
      <c r="U656" s="4">
        <v>651</v>
      </c>
      <c r="W656">
        <f t="shared" si="124"/>
        <v>651</v>
      </c>
      <c r="X656" s="218" t="e">
        <f t="shared" si="130"/>
        <v>#REF!</v>
      </c>
      <c r="Y656" s="218" t="e">
        <f t="shared" si="131"/>
        <v>#REF!</v>
      </c>
      <c r="Z656" s="4">
        <v>651</v>
      </c>
      <c r="AB656">
        <f t="shared" si="125"/>
        <v>651</v>
      </c>
      <c r="AC656" s="218" t="e">
        <f t="shared" si="132"/>
        <v>#REF!</v>
      </c>
      <c r="AD656" s="218" t="e">
        <f t="shared" si="133"/>
        <v>#REF!</v>
      </c>
      <c r="AE656" s="4">
        <v>651</v>
      </c>
    </row>
    <row r="657" spans="13:31">
      <c r="M657">
        <f t="shared" si="122"/>
        <v>652</v>
      </c>
      <c r="N657" s="218">
        <f t="shared" si="126"/>
        <v>0</v>
      </c>
      <c r="O657" s="218">
        <f t="shared" si="127"/>
        <v>0</v>
      </c>
      <c r="P657" s="4">
        <v>652</v>
      </c>
      <c r="R657">
        <f t="shared" si="123"/>
        <v>652</v>
      </c>
      <c r="S657" s="218">
        <f t="shared" ca="1" si="128"/>
        <v>0</v>
      </c>
      <c r="T657" s="218">
        <f t="shared" ca="1" si="129"/>
        <v>0</v>
      </c>
      <c r="U657" s="4">
        <v>652</v>
      </c>
      <c r="W657">
        <f t="shared" si="124"/>
        <v>652</v>
      </c>
      <c r="X657" s="218" t="e">
        <f t="shared" si="130"/>
        <v>#REF!</v>
      </c>
      <c r="Y657" s="218" t="e">
        <f t="shared" si="131"/>
        <v>#REF!</v>
      </c>
      <c r="Z657" s="4">
        <v>652</v>
      </c>
      <c r="AB657">
        <f t="shared" si="125"/>
        <v>652</v>
      </c>
      <c r="AC657" s="218" t="e">
        <f t="shared" si="132"/>
        <v>#REF!</v>
      </c>
      <c r="AD657" s="218" t="e">
        <f t="shared" si="133"/>
        <v>#REF!</v>
      </c>
      <c r="AE657" s="4">
        <v>652</v>
      </c>
    </row>
    <row r="658" spans="13:31">
      <c r="M658">
        <f t="shared" si="122"/>
        <v>653</v>
      </c>
      <c r="N658" s="218">
        <f t="shared" si="126"/>
        <v>0</v>
      </c>
      <c r="O658" s="218">
        <f t="shared" si="127"/>
        <v>0</v>
      </c>
      <c r="P658" s="4">
        <v>653</v>
      </c>
      <c r="R658">
        <f t="shared" si="123"/>
        <v>653</v>
      </c>
      <c r="S658" s="218">
        <f t="shared" ca="1" si="128"/>
        <v>0</v>
      </c>
      <c r="T658" s="218">
        <f t="shared" ca="1" si="129"/>
        <v>0</v>
      </c>
      <c r="U658" s="4">
        <v>653</v>
      </c>
      <c r="W658">
        <f t="shared" si="124"/>
        <v>653</v>
      </c>
      <c r="X658" s="218" t="e">
        <f t="shared" si="130"/>
        <v>#REF!</v>
      </c>
      <c r="Y658" s="218" t="e">
        <f t="shared" si="131"/>
        <v>#REF!</v>
      </c>
      <c r="Z658" s="4">
        <v>653</v>
      </c>
      <c r="AB658">
        <f t="shared" si="125"/>
        <v>653</v>
      </c>
      <c r="AC658" s="218" t="e">
        <f t="shared" si="132"/>
        <v>#REF!</v>
      </c>
      <c r="AD658" s="218" t="e">
        <f t="shared" si="133"/>
        <v>#REF!</v>
      </c>
      <c r="AE658" s="4">
        <v>653</v>
      </c>
    </row>
    <row r="659" spans="13:31">
      <c r="M659">
        <f t="shared" si="122"/>
        <v>654</v>
      </c>
      <c r="N659" s="218">
        <f t="shared" si="126"/>
        <v>0</v>
      </c>
      <c r="O659" s="218">
        <f t="shared" si="127"/>
        <v>0</v>
      </c>
      <c r="P659" s="4">
        <v>654</v>
      </c>
      <c r="R659">
        <f t="shared" si="123"/>
        <v>654</v>
      </c>
      <c r="S659" s="218">
        <f t="shared" ca="1" si="128"/>
        <v>0</v>
      </c>
      <c r="T659" s="218">
        <f t="shared" ca="1" si="129"/>
        <v>0</v>
      </c>
      <c r="U659" s="4">
        <v>654</v>
      </c>
      <c r="W659">
        <f t="shared" si="124"/>
        <v>654</v>
      </c>
      <c r="X659" s="218" t="e">
        <f t="shared" si="130"/>
        <v>#REF!</v>
      </c>
      <c r="Y659" s="218" t="e">
        <f t="shared" si="131"/>
        <v>#REF!</v>
      </c>
      <c r="Z659" s="4">
        <v>654</v>
      </c>
      <c r="AB659">
        <f t="shared" si="125"/>
        <v>654</v>
      </c>
      <c r="AC659" s="218" t="e">
        <f t="shared" si="132"/>
        <v>#REF!</v>
      </c>
      <c r="AD659" s="218" t="e">
        <f t="shared" si="133"/>
        <v>#REF!</v>
      </c>
      <c r="AE659" s="4">
        <v>654</v>
      </c>
    </row>
    <row r="660" spans="13:31">
      <c r="M660">
        <f t="shared" si="122"/>
        <v>655</v>
      </c>
      <c r="N660" s="218">
        <f t="shared" si="126"/>
        <v>0</v>
      </c>
      <c r="O660" s="218">
        <f t="shared" si="127"/>
        <v>0</v>
      </c>
      <c r="P660" s="4">
        <v>655</v>
      </c>
      <c r="R660">
        <f t="shared" si="123"/>
        <v>655</v>
      </c>
      <c r="S660" s="218">
        <f t="shared" ca="1" si="128"/>
        <v>0</v>
      </c>
      <c r="T660" s="218">
        <f t="shared" ca="1" si="129"/>
        <v>0</v>
      </c>
      <c r="U660" s="4">
        <v>655</v>
      </c>
      <c r="W660">
        <f t="shared" si="124"/>
        <v>655</v>
      </c>
      <c r="X660" s="218" t="e">
        <f t="shared" si="130"/>
        <v>#REF!</v>
      </c>
      <c r="Y660" s="218" t="e">
        <f t="shared" si="131"/>
        <v>#REF!</v>
      </c>
      <c r="Z660" s="4">
        <v>655</v>
      </c>
      <c r="AB660">
        <f t="shared" si="125"/>
        <v>655</v>
      </c>
      <c r="AC660" s="218" t="e">
        <f t="shared" si="132"/>
        <v>#REF!</v>
      </c>
      <c r="AD660" s="218" t="e">
        <f t="shared" si="133"/>
        <v>#REF!</v>
      </c>
      <c r="AE660" s="4">
        <v>655</v>
      </c>
    </row>
    <row r="661" spans="13:31">
      <c r="M661">
        <f t="shared" si="122"/>
        <v>656</v>
      </c>
      <c r="N661" s="218">
        <f t="shared" si="126"/>
        <v>0</v>
      </c>
      <c r="O661" s="218">
        <f t="shared" si="127"/>
        <v>0</v>
      </c>
      <c r="P661" s="4">
        <v>656</v>
      </c>
      <c r="R661">
        <f t="shared" si="123"/>
        <v>656</v>
      </c>
      <c r="S661" s="218">
        <f t="shared" ca="1" si="128"/>
        <v>0</v>
      </c>
      <c r="T661" s="218">
        <f t="shared" ca="1" si="129"/>
        <v>0</v>
      </c>
      <c r="U661" s="4">
        <v>656</v>
      </c>
      <c r="W661">
        <f t="shared" si="124"/>
        <v>656</v>
      </c>
      <c r="X661" s="218" t="e">
        <f t="shared" si="130"/>
        <v>#REF!</v>
      </c>
      <c r="Y661" s="218" t="e">
        <f t="shared" si="131"/>
        <v>#REF!</v>
      </c>
      <c r="Z661" s="4">
        <v>656</v>
      </c>
      <c r="AB661">
        <f t="shared" si="125"/>
        <v>656</v>
      </c>
      <c r="AC661" s="218" t="e">
        <f t="shared" si="132"/>
        <v>#REF!</v>
      </c>
      <c r="AD661" s="218" t="e">
        <f t="shared" si="133"/>
        <v>#REF!</v>
      </c>
      <c r="AE661" s="4">
        <v>656</v>
      </c>
    </row>
    <row r="662" spans="13:31">
      <c r="M662">
        <f t="shared" si="122"/>
        <v>657</v>
      </c>
      <c r="N662" s="218">
        <f t="shared" si="126"/>
        <v>0</v>
      </c>
      <c r="O662" s="218">
        <f t="shared" si="127"/>
        <v>0</v>
      </c>
      <c r="P662" s="4">
        <v>657</v>
      </c>
      <c r="R662">
        <f t="shared" si="123"/>
        <v>657</v>
      </c>
      <c r="S662" s="218">
        <f t="shared" ca="1" si="128"/>
        <v>0</v>
      </c>
      <c r="T662" s="218">
        <f t="shared" ca="1" si="129"/>
        <v>0</v>
      </c>
      <c r="U662" s="4">
        <v>657</v>
      </c>
      <c r="W662">
        <f t="shared" si="124"/>
        <v>657</v>
      </c>
      <c r="X662" s="218" t="e">
        <f t="shared" si="130"/>
        <v>#REF!</v>
      </c>
      <c r="Y662" s="218" t="e">
        <f t="shared" si="131"/>
        <v>#REF!</v>
      </c>
      <c r="Z662" s="4">
        <v>657</v>
      </c>
      <c r="AB662">
        <f t="shared" si="125"/>
        <v>657</v>
      </c>
      <c r="AC662" s="218" t="e">
        <f t="shared" si="132"/>
        <v>#REF!</v>
      </c>
      <c r="AD662" s="218" t="e">
        <f t="shared" si="133"/>
        <v>#REF!</v>
      </c>
      <c r="AE662" s="4">
        <v>657</v>
      </c>
    </row>
    <row r="663" spans="13:31">
      <c r="M663">
        <f t="shared" si="122"/>
        <v>658</v>
      </c>
      <c r="N663" s="218">
        <f t="shared" si="126"/>
        <v>0</v>
      </c>
      <c r="O663" s="218">
        <f t="shared" si="127"/>
        <v>0</v>
      </c>
      <c r="P663" s="4">
        <v>658</v>
      </c>
      <c r="R663">
        <f t="shared" si="123"/>
        <v>658</v>
      </c>
      <c r="S663" s="218">
        <f t="shared" ca="1" si="128"/>
        <v>0</v>
      </c>
      <c r="T663" s="218">
        <f t="shared" ca="1" si="129"/>
        <v>0</v>
      </c>
      <c r="U663" s="4">
        <v>658</v>
      </c>
      <c r="W663">
        <f t="shared" si="124"/>
        <v>658</v>
      </c>
      <c r="X663" s="218" t="e">
        <f t="shared" si="130"/>
        <v>#REF!</v>
      </c>
      <c r="Y663" s="218" t="e">
        <f t="shared" si="131"/>
        <v>#REF!</v>
      </c>
      <c r="Z663" s="4">
        <v>658</v>
      </c>
      <c r="AB663">
        <f t="shared" si="125"/>
        <v>658</v>
      </c>
      <c r="AC663" s="218" t="e">
        <f t="shared" si="132"/>
        <v>#REF!</v>
      </c>
      <c r="AD663" s="218" t="e">
        <f t="shared" si="133"/>
        <v>#REF!</v>
      </c>
      <c r="AE663" s="4">
        <v>658</v>
      </c>
    </row>
    <row r="664" spans="13:31">
      <c r="M664">
        <f t="shared" si="122"/>
        <v>659</v>
      </c>
      <c r="N664" s="218">
        <f t="shared" si="126"/>
        <v>0</v>
      </c>
      <c r="O664" s="218">
        <f t="shared" si="127"/>
        <v>0</v>
      </c>
      <c r="P664" s="4">
        <v>659</v>
      </c>
      <c r="R664">
        <f t="shared" si="123"/>
        <v>659</v>
      </c>
      <c r="S664" s="218">
        <f t="shared" ca="1" si="128"/>
        <v>0</v>
      </c>
      <c r="T664" s="218">
        <f t="shared" ca="1" si="129"/>
        <v>0</v>
      </c>
      <c r="U664" s="4">
        <v>659</v>
      </c>
      <c r="W664">
        <f t="shared" si="124"/>
        <v>659</v>
      </c>
      <c r="X664" s="218" t="e">
        <f t="shared" si="130"/>
        <v>#REF!</v>
      </c>
      <c r="Y664" s="218" t="e">
        <f t="shared" si="131"/>
        <v>#REF!</v>
      </c>
      <c r="Z664" s="4">
        <v>659</v>
      </c>
      <c r="AB664">
        <f t="shared" si="125"/>
        <v>659</v>
      </c>
      <c r="AC664" s="218" t="e">
        <f t="shared" si="132"/>
        <v>#REF!</v>
      </c>
      <c r="AD664" s="218" t="e">
        <f t="shared" si="133"/>
        <v>#REF!</v>
      </c>
      <c r="AE664" s="4">
        <v>659</v>
      </c>
    </row>
    <row r="665" spans="13:31">
      <c r="M665">
        <f t="shared" si="122"/>
        <v>660</v>
      </c>
      <c r="N665" s="218">
        <f t="shared" si="126"/>
        <v>0</v>
      </c>
      <c r="O665" s="218">
        <f t="shared" si="127"/>
        <v>0</v>
      </c>
      <c r="P665" s="4">
        <v>660</v>
      </c>
      <c r="R665">
        <f t="shared" si="123"/>
        <v>660</v>
      </c>
      <c r="S665" s="218">
        <f t="shared" ca="1" si="128"/>
        <v>0</v>
      </c>
      <c r="T665" s="218">
        <f t="shared" ca="1" si="129"/>
        <v>0</v>
      </c>
      <c r="U665" s="4">
        <v>660</v>
      </c>
      <c r="W665">
        <f t="shared" si="124"/>
        <v>660</v>
      </c>
      <c r="X665" s="218" t="e">
        <f t="shared" si="130"/>
        <v>#REF!</v>
      </c>
      <c r="Y665" s="218" t="e">
        <f t="shared" si="131"/>
        <v>#REF!</v>
      </c>
      <c r="Z665" s="4">
        <v>660</v>
      </c>
      <c r="AB665">
        <f t="shared" si="125"/>
        <v>660</v>
      </c>
      <c r="AC665" s="218" t="e">
        <f t="shared" si="132"/>
        <v>#REF!</v>
      </c>
      <c r="AD665" s="218" t="e">
        <f t="shared" si="133"/>
        <v>#REF!</v>
      </c>
      <c r="AE665" s="4">
        <v>660</v>
      </c>
    </row>
    <row r="666" spans="13:31">
      <c r="M666">
        <f t="shared" si="122"/>
        <v>661</v>
      </c>
      <c r="N666" s="218">
        <f t="shared" si="126"/>
        <v>0</v>
      </c>
      <c r="O666" s="218">
        <f t="shared" si="127"/>
        <v>0</v>
      </c>
      <c r="P666" s="4">
        <v>661</v>
      </c>
      <c r="R666">
        <f t="shared" si="123"/>
        <v>661</v>
      </c>
      <c r="S666" s="218">
        <f t="shared" ca="1" si="128"/>
        <v>0</v>
      </c>
      <c r="T666" s="218">
        <f t="shared" ca="1" si="129"/>
        <v>0</v>
      </c>
      <c r="U666" s="4">
        <v>661</v>
      </c>
      <c r="W666">
        <f t="shared" si="124"/>
        <v>661</v>
      </c>
      <c r="X666" s="218" t="e">
        <f t="shared" si="130"/>
        <v>#REF!</v>
      </c>
      <c r="Y666" s="218" t="e">
        <f t="shared" si="131"/>
        <v>#REF!</v>
      </c>
      <c r="Z666" s="4">
        <v>661</v>
      </c>
      <c r="AB666">
        <f t="shared" si="125"/>
        <v>661</v>
      </c>
      <c r="AC666" s="218" t="e">
        <f t="shared" si="132"/>
        <v>#REF!</v>
      </c>
      <c r="AD666" s="218" t="e">
        <f t="shared" si="133"/>
        <v>#REF!</v>
      </c>
      <c r="AE666" s="4">
        <v>661</v>
      </c>
    </row>
    <row r="667" spans="13:31">
      <c r="M667">
        <f t="shared" si="122"/>
        <v>662</v>
      </c>
      <c r="N667" s="218">
        <f t="shared" si="126"/>
        <v>0</v>
      </c>
      <c r="O667" s="218">
        <f t="shared" si="127"/>
        <v>0</v>
      </c>
      <c r="P667" s="4">
        <v>662</v>
      </c>
      <c r="R667">
        <f t="shared" si="123"/>
        <v>662</v>
      </c>
      <c r="S667" s="218">
        <f t="shared" ca="1" si="128"/>
        <v>0</v>
      </c>
      <c r="T667" s="218">
        <f t="shared" ca="1" si="129"/>
        <v>0</v>
      </c>
      <c r="U667" s="4">
        <v>662</v>
      </c>
      <c r="W667">
        <f t="shared" si="124"/>
        <v>662</v>
      </c>
      <c r="X667" s="218" t="e">
        <f t="shared" si="130"/>
        <v>#REF!</v>
      </c>
      <c r="Y667" s="218" t="e">
        <f t="shared" si="131"/>
        <v>#REF!</v>
      </c>
      <c r="Z667" s="4">
        <v>662</v>
      </c>
      <c r="AB667">
        <f t="shared" si="125"/>
        <v>662</v>
      </c>
      <c r="AC667" s="218" t="e">
        <f t="shared" si="132"/>
        <v>#REF!</v>
      </c>
      <c r="AD667" s="218" t="e">
        <f t="shared" si="133"/>
        <v>#REF!</v>
      </c>
      <c r="AE667" s="4">
        <v>662</v>
      </c>
    </row>
    <row r="668" spans="13:31">
      <c r="M668">
        <f t="shared" si="122"/>
        <v>663</v>
      </c>
      <c r="N668" s="218">
        <f t="shared" si="126"/>
        <v>0</v>
      </c>
      <c r="O668" s="218">
        <f t="shared" si="127"/>
        <v>0</v>
      </c>
      <c r="P668" s="4">
        <v>663</v>
      </c>
      <c r="R668">
        <f t="shared" si="123"/>
        <v>663</v>
      </c>
      <c r="S668" s="218">
        <f t="shared" ca="1" si="128"/>
        <v>0</v>
      </c>
      <c r="T668" s="218">
        <f t="shared" ca="1" si="129"/>
        <v>0</v>
      </c>
      <c r="U668" s="4">
        <v>663</v>
      </c>
      <c r="W668">
        <f t="shared" si="124"/>
        <v>663</v>
      </c>
      <c r="X668" s="218" t="e">
        <f t="shared" si="130"/>
        <v>#REF!</v>
      </c>
      <c r="Y668" s="218" t="e">
        <f t="shared" si="131"/>
        <v>#REF!</v>
      </c>
      <c r="Z668" s="4">
        <v>663</v>
      </c>
      <c r="AB668">
        <f t="shared" si="125"/>
        <v>663</v>
      </c>
      <c r="AC668" s="218" t="e">
        <f t="shared" si="132"/>
        <v>#REF!</v>
      </c>
      <c r="AD668" s="218" t="e">
        <f t="shared" si="133"/>
        <v>#REF!</v>
      </c>
      <c r="AE668" s="4">
        <v>663</v>
      </c>
    </row>
    <row r="669" spans="13:31">
      <c r="M669">
        <f t="shared" si="122"/>
        <v>664</v>
      </c>
      <c r="N669" s="218">
        <f t="shared" si="126"/>
        <v>0</v>
      </c>
      <c r="O669" s="218">
        <f t="shared" si="127"/>
        <v>0</v>
      </c>
      <c r="P669" s="4">
        <v>664</v>
      </c>
      <c r="R669">
        <f t="shared" si="123"/>
        <v>664</v>
      </c>
      <c r="S669" s="218">
        <f t="shared" ca="1" si="128"/>
        <v>0</v>
      </c>
      <c r="T669" s="218">
        <f t="shared" ca="1" si="129"/>
        <v>0</v>
      </c>
      <c r="U669" s="4">
        <v>664</v>
      </c>
      <c r="W669">
        <f t="shared" si="124"/>
        <v>664</v>
      </c>
      <c r="X669" s="218" t="e">
        <f t="shared" si="130"/>
        <v>#REF!</v>
      </c>
      <c r="Y669" s="218" t="e">
        <f t="shared" si="131"/>
        <v>#REF!</v>
      </c>
      <c r="Z669" s="4">
        <v>664</v>
      </c>
      <c r="AB669">
        <f t="shared" si="125"/>
        <v>664</v>
      </c>
      <c r="AC669" s="218" t="e">
        <f t="shared" si="132"/>
        <v>#REF!</v>
      </c>
      <c r="AD669" s="218" t="e">
        <f t="shared" si="133"/>
        <v>#REF!</v>
      </c>
      <c r="AE669" s="4">
        <v>664</v>
      </c>
    </row>
    <row r="670" spans="13:31">
      <c r="M670">
        <f t="shared" si="122"/>
        <v>665</v>
      </c>
      <c r="N670" s="218">
        <f t="shared" si="126"/>
        <v>0</v>
      </c>
      <c r="O670" s="218">
        <f t="shared" si="127"/>
        <v>0</v>
      </c>
      <c r="P670" s="4">
        <v>665</v>
      </c>
      <c r="R670">
        <f t="shared" si="123"/>
        <v>665</v>
      </c>
      <c r="S670" s="218">
        <f t="shared" ca="1" si="128"/>
        <v>0</v>
      </c>
      <c r="T670" s="218">
        <f t="shared" ca="1" si="129"/>
        <v>0</v>
      </c>
      <c r="U670" s="4">
        <v>665</v>
      </c>
      <c r="W670">
        <f t="shared" si="124"/>
        <v>665</v>
      </c>
      <c r="X670" s="218" t="e">
        <f t="shared" si="130"/>
        <v>#REF!</v>
      </c>
      <c r="Y670" s="218" t="e">
        <f t="shared" si="131"/>
        <v>#REF!</v>
      </c>
      <c r="Z670" s="4">
        <v>665</v>
      </c>
      <c r="AB670">
        <f t="shared" si="125"/>
        <v>665</v>
      </c>
      <c r="AC670" s="218" t="e">
        <f t="shared" si="132"/>
        <v>#REF!</v>
      </c>
      <c r="AD670" s="218" t="e">
        <f t="shared" si="133"/>
        <v>#REF!</v>
      </c>
      <c r="AE670" s="4">
        <v>665</v>
      </c>
    </row>
    <row r="671" spans="13:31">
      <c r="M671">
        <f t="shared" si="122"/>
        <v>666</v>
      </c>
      <c r="N671" s="218">
        <f t="shared" si="126"/>
        <v>0</v>
      </c>
      <c r="O671" s="218">
        <f t="shared" si="127"/>
        <v>0</v>
      </c>
      <c r="P671" s="4">
        <v>666</v>
      </c>
      <c r="R671">
        <f t="shared" si="123"/>
        <v>666</v>
      </c>
      <c r="S671" s="218">
        <f t="shared" ca="1" si="128"/>
        <v>0</v>
      </c>
      <c r="T671" s="218">
        <f t="shared" ca="1" si="129"/>
        <v>0</v>
      </c>
      <c r="U671" s="4">
        <v>666</v>
      </c>
      <c r="W671">
        <f t="shared" si="124"/>
        <v>666</v>
      </c>
      <c r="X671" s="218" t="e">
        <f t="shared" si="130"/>
        <v>#REF!</v>
      </c>
      <c r="Y671" s="218" t="e">
        <f t="shared" si="131"/>
        <v>#REF!</v>
      </c>
      <c r="Z671" s="4">
        <v>666</v>
      </c>
      <c r="AB671">
        <f t="shared" si="125"/>
        <v>666</v>
      </c>
      <c r="AC671" s="218" t="e">
        <f t="shared" si="132"/>
        <v>#REF!</v>
      </c>
      <c r="AD671" s="218" t="e">
        <f t="shared" si="133"/>
        <v>#REF!</v>
      </c>
      <c r="AE671" s="4">
        <v>666</v>
      </c>
    </row>
    <row r="672" spans="13:31">
      <c r="M672">
        <f t="shared" si="122"/>
        <v>667</v>
      </c>
      <c r="N672" s="218">
        <f t="shared" si="126"/>
        <v>0</v>
      </c>
      <c r="O672" s="218">
        <f t="shared" si="127"/>
        <v>0</v>
      </c>
      <c r="P672" s="4">
        <v>667</v>
      </c>
      <c r="R672">
        <f t="shared" si="123"/>
        <v>667</v>
      </c>
      <c r="S672" s="218">
        <f t="shared" ca="1" si="128"/>
        <v>0</v>
      </c>
      <c r="T672" s="218">
        <f t="shared" ca="1" si="129"/>
        <v>0</v>
      </c>
      <c r="U672" s="4">
        <v>667</v>
      </c>
      <c r="W672">
        <f t="shared" si="124"/>
        <v>667</v>
      </c>
      <c r="X672" s="218" t="e">
        <f t="shared" si="130"/>
        <v>#REF!</v>
      </c>
      <c r="Y672" s="218" t="e">
        <f t="shared" si="131"/>
        <v>#REF!</v>
      </c>
      <c r="Z672" s="4">
        <v>667</v>
      </c>
      <c r="AB672">
        <f t="shared" si="125"/>
        <v>667</v>
      </c>
      <c r="AC672" s="218" t="e">
        <f t="shared" si="132"/>
        <v>#REF!</v>
      </c>
      <c r="AD672" s="218" t="e">
        <f t="shared" si="133"/>
        <v>#REF!</v>
      </c>
      <c r="AE672" s="4">
        <v>667</v>
      </c>
    </row>
    <row r="673" spans="13:31">
      <c r="M673">
        <f t="shared" si="122"/>
        <v>668</v>
      </c>
      <c r="N673" s="218">
        <f t="shared" si="126"/>
        <v>0</v>
      </c>
      <c r="O673" s="218">
        <f t="shared" si="127"/>
        <v>0</v>
      </c>
      <c r="P673" s="4">
        <v>668</v>
      </c>
      <c r="R673">
        <f t="shared" si="123"/>
        <v>668</v>
      </c>
      <c r="S673" s="218">
        <f t="shared" ca="1" si="128"/>
        <v>0</v>
      </c>
      <c r="T673" s="218">
        <f t="shared" ca="1" si="129"/>
        <v>0</v>
      </c>
      <c r="U673" s="4">
        <v>668</v>
      </c>
      <c r="W673">
        <f t="shared" si="124"/>
        <v>668</v>
      </c>
      <c r="X673" s="218" t="e">
        <f t="shared" si="130"/>
        <v>#REF!</v>
      </c>
      <c r="Y673" s="218" t="e">
        <f t="shared" si="131"/>
        <v>#REF!</v>
      </c>
      <c r="Z673" s="4">
        <v>668</v>
      </c>
      <c r="AB673">
        <f t="shared" si="125"/>
        <v>668</v>
      </c>
      <c r="AC673" s="218" t="e">
        <f t="shared" si="132"/>
        <v>#REF!</v>
      </c>
      <c r="AD673" s="218" t="e">
        <f t="shared" si="133"/>
        <v>#REF!</v>
      </c>
      <c r="AE673" s="4">
        <v>668</v>
      </c>
    </row>
    <row r="674" spans="13:31">
      <c r="M674">
        <f t="shared" si="122"/>
        <v>669</v>
      </c>
      <c r="N674" s="218">
        <f t="shared" si="126"/>
        <v>0</v>
      </c>
      <c r="O674" s="218">
        <f t="shared" si="127"/>
        <v>0</v>
      </c>
      <c r="P674" s="4">
        <v>669</v>
      </c>
      <c r="R674">
        <f t="shared" si="123"/>
        <v>669</v>
      </c>
      <c r="S674" s="218">
        <f t="shared" ca="1" si="128"/>
        <v>0</v>
      </c>
      <c r="T674" s="218">
        <f t="shared" ca="1" si="129"/>
        <v>0</v>
      </c>
      <c r="U674" s="4">
        <v>669</v>
      </c>
      <c r="W674">
        <f t="shared" si="124"/>
        <v>669</v>
      </c>
      <c r="X674" s="218" t="e">
        <f t="shared" si="130"/>
        <v>#REF!</v>
      </c>
      <c r="Y674" s="218" t="e">
        <f t="shared" si="131"/>
        <v>#REF!</v>
      </c>
      <c r="Z674" s="4">
        <v>669</v>
      </c>
      <c r="AB674">
        <f t="shared" si="125"/>
        <v>669</v>
      </c>
      <c r="AC674" s="218" t="e">
        <f t="shared" si="132"/>
        <v>#REF!</v>
      </c>
      <c r="AD674" s="218" t="e">
        <f t="shared" si="133"/>
        <v>#REF!</v>
      </c>
      <c r="AE674" s="4">
        <v>669</v>
      </c>
    </row>
    <row r="675" spans="13:31">
      <c r="M675">
        <f t="shared" si="122"/>
        <v>670</v>
      </c>
      <c r="N675" s="218">
        <f t="shared" si="126"/>
        <v>0</v>
      </c>
      <c r="O675" s="218">
        <f t="shared" si="127"/>
        <v>0</v>
      </c>
      <c r="P675" s="4">
        <v>670</v>
      </c>
      <c r="R675">
        <f t="shared" si="123"/>
        <v>670</v>
      </c>
      <c r="S675" s="218">
        <f t="shared" ca="1" si="128"/>
        <v>0</v>
      </c>
      <c r="T675" s="218">
        <f t="shared" ca="1" si="129"/>
        <v>0</v>
      </c>
      <c r="U675" s="4">
        <v>670</v>
      </c>
      <c r="W675">
        <f t="shared" si="124"/>
        <v>670</v>
      </c>
      <c r="X675" s="218" t="e">
        <f t="shared" si="130"/>
        <v>#REF!</v>
      </c>
      <c r="Y675" s="218" t="e">
        <f t="shared" si="131"/>
        <v>#REF!</v>
      </c>
      <c r="Z675" s="4">
        <v>670</v>
      </c>
      <c r="AB675">
        <f t="shared" si="125"/>
        <v>670</v>
      </c>
      <c r="AC675" s="218" t="e">
        <f t="shared" si="132"/>
        <v>#REF!</v>
      </c>
      <c r="AD675" s="218" t="e">
        <f t="shared" si="133"/>
        <v>#REF!</v>
      </c>
      <c r="AE675" s="4">
        <v>670</v>
      </c>
    </row>
    <row r="676" spans="13:31">
      <c r="M676">
        <f t="shared" si="122"/>
        <v>671</v>
      </c>
      <c r="N676" s="218">
        <f t="shared" si="126"/>
        <v>0</v>
      </c>
      <c r="O676" s="218">
        <f t="shared" si="127"/>
        <v>0</v>
      </c>
      <c r="P676" s="4">
        <v>671</v>
      </c>
      <c r="R676">
        <f t="shared" si="123"/>
        <v>671</v>
      </c>
      <c r="S676" s="218">
        <f t="shared" ca="1" si="128"/>
        <v>0</v>
      </c>
      <c r="T676" s="218">
        <f t="shared" ca="1" si="129"/>
        <v>0</v>
      </c>
      <c r="U676" s="4">
        <v>671</v>
      </c>
      <c r="W676">
        <f t="shared" si="124"/>
        <v>671</v>
      </c>
      <c r="X676" s="218" t="e">
        <f t="shared" si="130"/>
        <v>#REF!</v>
      </c>
      <c r="Y676" s="218" t="e">
        <f t="shared" si="131"/>
        <v>#REF!</v>
      </c>
      <c r="Z676" s="4">
        <v>671</v>
      </c>
      <c r="AB676">
        <f t="shared" si="125"/>
        <v>671</v>
      </c>
      <c r="AC676" s="218" t="e">
        <f t="shared" si="132"/>
        <v>#REF!</v>
      </c>
      <c r="AD676" s="218" t="e">
        <f t="shared" si="133"/>
        <v>#REF!</v>
      </c>
      <c r="AE676" s="4">
        <v>671</v>
      </c>
    </row>
    <row r="677" spans="13:31">
      <c r="M677">
        <f t="shared" si="122"/>
        <v>672</v>
      </c>
      <c r="N677" s="218">
        <f t="shared" si="126"/>
        <v>0</v>
      </c>
      <c r="O677" s="218">
        <f t="shared" si="127"/>
        <v>0</v>
      </c>
      <c r="P677" s="4">
        <v>672</v>
      </c>
      <c r="R677">
        <f t="shared" si="123"/>
        <v>672</v>
      </c>
      <c r="S677" s="218">
        <f t="shared" ca="1" si="128"/>
        <v>0</v>
      </c>
      <c r="T677" s="218">
        <f t="shared" ca="1" si="129"/>
        <v>0</v>
      </c>
      <c r="U677" s="4">
        <v>672</v>
      </c>
      <c r="W677">
        <f t="shared" si="124"/>
        <v>672</v>
      </c>
      <c r="X677" s="218" t="e">
        <f t="shared" si="130"/>
        <v>#REF!</v>
      </c>
      <c r="Y677" s="218" t="e">
        <f t="shared" si="131"/>
        <v>#REF!</v>
      </c>
      <c r="Z677" s="4">
        <v>672</v>
      </c>
      <c r="AB677">
        <f t="shared" si="125"/>
        <v>672</v>
      </c>
      <c r="AC677" s="218" t="e">
        <f t="shared" si="132"/>
        <v>#REF!</v>
      </c>
      <c r="AD677" s="218" t="e">
        <f t="shared" si="133"/>
        <v>#REF!</v>
      </c>
      <c r="AE677" s="4">
        <v>672</v>
      </c>
    </row>
    <row r="678" spans="13:31">
      <c r="M678">
        <f t="shared" si="122"/>
        <v>673</v>
      </c>
      <c r="N678" s="218">
        <f t="shared" si="126"/>
        <v>0</v>
      </c>
      <c r="O678" s="218">
        <f t="shared" si="127"/>
        <v>0</v>
      </c>
      <c r="P678" s="4">
        <v>673</v>
      </c>
      <c r="R678">
        <f t="shared" si="123"/>
        <v>673</v>
      </c>
      <c r="S678" s="218">
        <f t="shared" ca="1" si="128"/>
        <v>0</v>
      </c>
      <c r="T678" s="218">
        <f t="shared" ca="1" si="129"/>
        <v>0</v>
      </c>
      <c r="U678" s="4">
        <v>673</v>
      </c>
      <c r="W678">
        <f t="shared" si="124"/>
        <v>673</v>
      </c>
      <c r="X678" s="218" t="e">
        <f t="shared" si="130"/>
        <v>#REF!</v>
      </c>
      <c r="Y678" s="218" t="e">
        <f t="shared" si="131"/>
        <v>#REF!</v>
      </c>
      <c r="Z678" s="4">
        <v>673</v>
      </c>
      <c r="AB678">
        <f t="shared" si="125"/>
        <v>673</v>
      </c>
      <c r="AC678" s="218" t="e">
        <f t="shared" si="132"/>
        <v>#REF!</v>
      </c>
      <c r="AD678" s="218" t="e">
        <f t="shared" si="133"/>
        <v>#REF!</v>
      </c>
      <c r="AE678" s="4">
        <v>673</v>
      </c>
    </row>
    <row r="679" spans="13:31">
      <c r="M679">
        <f t="shared" si="122"/>
        <v>674</v>
      </c>
      <c r="N679" s="218">
        <f t="shared" si="126"/>
        <v>0</v>
      </c>
      <c r="O679" s="218">
        <f t="shared" si="127"/>
        <v>0</v>
      </c>
      <c r="P679" s="4">
        <v>674</v>
      </c>
      <c r="R679">
        <f t="shared" si="123"/>
        <v>674</v>
      </c>
      <c r="S679" s="218">
        <f t="shared" ca="1" si="128"/>
        <v>0</v>
      </c>
      <c r="T679" s="218">
        <f t="shared" ca="1" si="129"/>
        <v>0</v>
      </c>
      <c r="U679" s="4">
        <v>674</v>
      </c>
      <c r="W679">
        <f t="shared" si="124"/>
        <v>674</v>
      </c>
      <c r="X679" s="218" t="e">
        <f t="shared" si="130"/>
        <v>#REF!</v>
      </c>
      <c r="Y679" s="218" t="e">
        <f t="shared" si="131"/>
        <v>#REF!</v>
      </c>
      <c r="Z679" s="4">
        <v>674</v>
      </c>
      <c r="AB679">
        <f t="shared" si="125"/>
        <v>674</v>
      </c>
      <c r="AC679" s="218" t="e">
        <f t="shared" si="132"/>
        <v>#REF!</v>
      </c>
      <c r="AD679" s="218" t="e">
        <f t="shared" si="133"/>
        <v>#REF!</v>
      </c>
      <c r="AE679" s="4">
        <v>674</v>
      </c>
    </row>
    <row r="680" spans="13:31">
      <c r="M680">
        <f t="shared" si="122"/>
        <v>675</v>
      </c>
      <c r="N680" s="218">
        <f t="shared" si="126"/>
        <v>0</v>
      </c>
      <c r="O680" s="218">
        <f t="shared" si="127"/>
        <v>0</v>
      </c>
      <c r="P680" s="4">
        <v>675</v>
      </c>
      <c r="R680">
        <f t="shared" si="123"/>
        <v>675</v>
      </c>
      <c r="S680" s="218">
        <f t="shared" ca="1" si="128"/>
        <v>0</v>
      </c>
      <c r="T680" s="218">
        <f t="shared" ca="1" si="129"/>
        <v>0</v>
      </c>
      <c r="U680" s="4">
        <v>675</v>
      </c>
      <c r="W680">
        <f t="shared" si="124"/>
        <v>675</v>
      </c>
      <c r="X680" s="218" t="e">
        <f t="shared" si="130"/>
        <v>#REF!</v>
      </c>
      <c r="Y680" s="218" t="e">
        <f t="shared" si="131"/>
        <v>#REF!</v>
      </c>
      <c r="Z680" s="4">
        <v>675</v>
      </c>
      <c r="AB680">
        <f t="shared" si="125"/>
        <v>675</v>
      </c>
      <c r="AC680" s="218" t="e">
        <f t="shared" si="132"/>
        <v>#REF!</v>
      </c>
      <c r="AD680" s="218" t="e">
        <f t="shared" si="133"/>
        <v>#REF!</v>
      </c>
      <c r="AE680" s="4">
        <v>675</v>
      </c>
    </row>
    <row r="681" spans="13:31">
      <c r="M681">
        <f t="shared" si="122"/>
        <v>676</v>
      </c>
      <c r="N681" s="218">
        <f t="shared" si="126"/>
        <v>0</v>
      </c>
      <c r="O681" s="218">
        <f t="shared" si="127"/>
        <v>0</v>
      </c>
      <c r="P681" s="4">
        <v>676</v>
      </c>
      <c r="R681">
        <f t="shared" si="123"/>
        <v>676</v>
      </c>
      <c r="S681" s="218">
        <f t="shared" ca="1" si="128"/>
        <v>0</v>
      </c>
      <c r="T681" s="218">
        <f t="shared" ca="1" si="129"/>
        <v>0</v>
      </c>
      <c r="U681" s="4">
        <v>676</v>
      </c>
      <c r="W681">
        <f t="shared" si="124"/>
        <v>676</v>
      </c>
      <c r="X681" s="218" t="e">
        <f t="shared" si="130"/>
        <v>#REF!</v>
      </c>
      <c r="Y681" s="218" t="e">
        <f t="shared" si="131"/>
        <v>#REF!</v>
      </c>
      <c r="Z681" s="4">
        <v>676</v>
      </c>
      <c r="AB681">
        <f t="shared" si="125"/>
        <v>676</v>
      </c>
      <c r="AC681" s="218" t="e">
        <f t="shared" si="132"/>
        <v>#REF!</v>
      </c>
      <c r="AD681" s="218" t="e">
        <f t="shared" si="133"/>
        <v>#REF!</v>
      </c>
      <c r="AE681" s="4">
        <v>676</v>
      </c>
    </row>
    <row r="682" spans="13:31">
      <c r="M682">
        <f t="shared" si="122"/>
        <v>677</v>
      </c>
      <c r="N682" s="218">
        <f t="shared" si="126"/>
        <v>0</v>
      </c>
      <c r="O682" s="218">
        <f t="shared" si="127"/>
        <v>0</v>
      </c>
      <c r="P682" s="4">
        <v>677</v>
      </c>
      <c r="R682">
        <f t="shared" si="123"/>
        <v>677</v>
      </c>
      <c r="S682" s="218">
        <f t="shared" ca="1" si="128"/>
        <v>0</v>
      </c>
      <c r="T682" s="218">
        <f t="shared" ca="1" si="129"/>
        <v>0</v>
      </c>
      <c r="U682" s="4">
        <v>677</v>
      </c>
      <c r="W682">
        <f t="shared" si="124"/>
        <v>677</v>
      </c>
      <c r="X682" s="218" t="e">
        <f t="shared" si="130"/>
        <v>#REF!</v>
      </c>
      <c r="Y682" s="218" t="e">
        <f t="shared" si="131"/>
        <v>#REF!</v>
      </c>
      <c r="Z682" s="4">
        <v>677</v>
      </c>
      <c r="AB682">
        <f t="shared" si="125"/>
        <v>677</v>
      </c>
      <c r="AC682" s="218" t="e">
        <f t="shared" si="132"/>
        <v>#REF!</v>
      </c>
      <c r="AD682" s="218" t="e">
        <f t="shared" si="133"/>
        <v>#REF!</v>
      </c>
      <c r="AE682" s="4">
        <v>677</v>
      </c>
    </row>
    <row r="683" spans="13:31">
      <c r="M683">
        <f t="shared" si="122"/>
        <v>678</v>
      </c>
      <c r="N683" s="218">
        <f t="shared" si="126"/>
        <v>0</v>
      </c>
      <c r="O683" s="218">
        <f t="shared" si="127"/>
        <v>0</v>
      </c>
      <c r="P683" s="4">
        <v>678</v>
      </c>
      <c r="R683">
        <f t="shared" si="123"/>
        <v>678</v>
      </c>
      <c r="S683" s="218">
        <f t="shared" ca="1" si="128"/>
        <v>0</v>
      </c>
      <c r="T683" s="218">
        <f t="shared" ca="1" si="129"/>
        <v>0</v>
      </c>
      <c r="U683" s="4">
        <v>678</v>
      </c>
      <c r="W683">
        <f t="shared" si="124"/>
        <v>678</v>
      </c>
      <c r="X683" s="218" t="e">
        <f t="shared" si="130"/>
        <v>#REF!</v>
      </c>
      <c r="Y683" s="218" t="e">
        <f t="shared" si="131"/>
        <v>#REF!</v>
      </c>
      <c r="Z683" s="4">
        <v>678</v>
      </c>
      <c r="AB683">
        <f t="shared" si="125"/>
        <v>678</v>
      </c>
      <c r="AC683" s="218" t="e">
        <f t="shared" si="132"/>
        <v>#REF!</v>
      </c>
      <c r="AD683" s="218" t="e">
        <f t="shared" si="133"/>
        <v>#REF!</v>
      </c>
      <c r="AE683" s="4">
        <v>678</v>
      </c>
    </row>
    <row r="684" spans="13:31">
      <c r="M684">
        <f t="shared" si="122"/>
        <v>679</v>
      </c>
      <c r="N684" s="218">
        <f t="shared" si="126"/>
        <v>0</v>
      </c>
      <c r="O684" s="218">
        <f t="shared" si="127"/>
        <v>0</v>
      </c>
      <c r="P684" s="4">
        <v>679</v>
      </c>
      <c r="R684">
        <f t="shared" si="123"/>
        <v>679</v>
      </c>
      <c r="S684" s="218">
        <f t="shared" ca="1" si="128"/>
        <v>0</v>
      </c>
      <c r="T684" s="218">
        <f t="shared" ca="1" si="129"/>
        <v>0</v>
      </c>
      <c r="U684" s="4">
        <v>679</v>
      </c>
      <c r="W684">
        <f t="shared" si="124"/>
        <v>679</v>
      </c>
      <c r="X684" s="218" t="e">
        <f t="shared" si="130"/>
        <v>#REF!</v>
      </c>
      <c r="Y684" s="218" t="e">
        <f t="shared" si="131"/>
        <v>#REF!</v>
      </c>
      <c r="Z684" s="4">
        <v>679</v>
      </c>
      <c r="AB684">
        <f t="shared" si="125"/>
        <v>679</v>
      </c>
      <c r="AC684" s="218" t="e">
        <f t="shared" si="132"/>
        <v>#REF!</v>
      </c>
      <c r="AD684" s="218" t="e">
        <f t="shared" si="133"/>
        <v>#REF!</v>
      </c>
      <c r="AE684" s="4">
        <v>679</v>
      </c>
    </row>
    <row r="685" spans="13:31">
      <c r="M685">
        <f t="shared" si="122"/>
        <v>680</v>
      </c>
      <c r="N685" s="218">
        <f t="shared" si="126"/>
        <v>0</v>
      </c>
      <c r="O685" s="218">
        <f t="shared" si="127"/>
        <v>0</v>
      </c>
      <c r="P685" s="4">
        <v>680</v>
      </c>
      <c r="R685">
        <f t="shared" si="123"/>
        <v>680</v>
      </c>
      <c r="S685" s="218">
        <f t="shared" ca="1" si="128"/>
        <v>0</v>
      </c>
      <c r="T685" s="218">
        <f t="shared" ca="1" si="129"/>
        <v>0</v>
      </c>
      <c r="U685" s="4">
        <v>680</v>
      </c>
      <c r="W685">
        <f t="shared" si="124"/>
        <v>680</v>
      </c>
      <c r="X685" s="218" t="e">
        <f t="shared" si="130"/>
        <v>#REF!</v>
      </c>
      <c r="Y685" s="218" t="e">
        <f t="shared" si="131"/>
        <v>#REF!</v>
      </c>
      <c r="Z685" s="4">
        <v>680</v>
      </c>
      <c r="AB685">
        <f t="shared" si="125"/>
        <v>680</v>
      </c>
      <c r="AC685" s="218" t="e">
        <f t="shared" si="132"/>
        <v>#REF!</v>
      </c>
      <c r="AD685" s="218" t="e">
        <f t="shared" si="133"/>
        <v>#REF!</v>
      </c>
      <c r="AE685" s="4">
        <v>680</v>
      </c>
    </row>
    <row r="686" spans="13:31">
      <c r="M686">
        <f t="shared" si="122"/>
        <v>681</v>
      </c>
      <c r="N686" s="218">
        <f t="shared" si="126"/>
        <v>0</v>
      </c>
      <c r="O686" s="218">
        <f t="shared" si="127"/>
        <v>0</v>
      </c>
      <c r="P686" s="4">
        <v>681</v>
      </c>
      <c r="R686">
        <f t="shared" si="123"/>
        <v>681</v>
      </c>
      <c r="S686" s="218">
        <f t="shared" ca="1" si="128"/>
        <v>0</v>
      </c>
      <c r="T686" s="218">
        <f t="shared" ca="1" si="129"/>
        <v>0</v>
      </c>
      <c r="U686" s="4">
        <v>681</v>
      </c>
      <c r="W686">
        <f t="shared" si="124"/>
        <v>681</v>
      </c>
      <c r="X686" s="218" t="e">
        <f t="shared" si="130"/>
        <v>#REF!</v>
      </c>
      <c r="Y686" s="218" t="e">
        <f t="shared" si="131"/>
        <v>#REF!</v>
      </c>
      <c r="Z686" s="4">
        <v>681</v>
      </c>
      <c r="AB686">
        <f t="shared" si="125"/>
        <v>681</v>
      </c>
      <c r="AC686" s="218" t="e">
        <f t="shared" si="132"/>
        <v>#REF!</v>
      </c>
      <c r="AD686" s="218" t="e">
        <f t="shared" si="133"/>
        <v>#REF!</v>
      </c>
      <c r="AE686" s="4">
        <v>681</v>
      </c>
    </row>
    <row r="687" spans="13:31">
      <c r="M687">
        <f t="shared" si="122"/>
        <v>682</v>
      </c>
      <c r="N687" s="218">
        <f t="shared" si="126"/>
        <v>0</v>
      </c>
      <c r="O687" s="218">
        <f t="shared" si="127"/>
        <v>0</v>
      </c>
      <c r="P687" s="4">
        <v>682</v>
      </c>
      <c r="R687">
        <f t="shared" si="123"/>
        <v>682</v>
      </c>
      <c r="S687" s="218">
        <f t="shared" ca="1" si="128"/>
        <v>0</v>
      </c>
      <c r="T687" s="218">
        <f t="shared" ca="1" si="129"/>
        <v>0</v>
      </c>
      <c r="U687" s="4">
        <v>682</v>
      </c>
      <c r="W687">
        <f t="shared" si="124"/>
        <v>682</v>
      </c>
      <c r="X687" s="218" t="e">
        <f t="shared" si="130"/>
        <v>#REF!</v>
      </c>
      <c r="Y687" s="218" t="e">
        <f t="shared" si="131"/>
        <v>#REF!</v>
      </c>
      <c r="Z687" s="4">
        <v>682</v>
      </c>
      <c r="AB687">
        <f t="shared" si="125"/>
        <v>682</v>
      </c>
      <c r="AC687" s="218" t="e">
        <f t="shared" si="132"/>
        <v>#REF!</v>
      </c>
      <c r="AD687" s="218" t="e">
        <f t="shared" si="133"/>
        <v>#REF!</v>
      </c>
      <c r="AE687" s="4">
        <v>682</v>
      </c>
    </row>
    <row r="688" spans="13:31">
      <c r="M688">
        <f t="shared" si="122"/>
        <v>683</v>
      </c>
      <c r="N688" s="218">
        <f t="shared" si="126"/>
        <v>0</v>
      </c>
      <c r="O688" s="218">
        <f t="shared" si="127"/>
        <v>0</v>
      </c>
      <c r="P688" s="4">
        <v>683</v>
      </c>
      <c r="R688">
        <f t="shared" si="123"/>
        <v>683</v>
      </c>
      <c r="S688" s="218">
        <f t="shared" ca="1" si="128"/>
        <v>0</v>
      </c>
      <c r="T688" s="218">
        <f t="shared" ca="1" si="129"/>
        <v>0</v>
      </c>
      <c r="U688" s="4">
        <v>683</v>
      </c>
      <c r="W688">
        <f t="shared" si="124"/>
        <v>683</v>
      </c>
      <c r="X688" s="218" t="e">
        <f t="shared" si="130"/>
        <v>#REF!</v>
      </c>
      <c r="Y688" s="218" t="e">
        <f t="shared" si="131"/>
        <v>#REF!</v>
      </c>
      <c r="Z688" s="4">
        <v>683</v>
      </c>
      <c r="AB688">
        <f t="shared" si="125"/>
        <v>683</v>
      </c>
      <c r="AC688" s="218" t="e">
        <f t="shared" si="132"/>
        <v>#REF!</v>
      </c>
      <c r="AD688" s="218" t="e">
        <f t="shared" si="133"/>
        <v>#REF!</v>
      </c>
      <c r="AE688" s="4">
        <v>683</v>
      </c>
    </row>
    <row r="689" spans="13:31">
      <c r="M689">
        <f t="shared" si="122"/>
        <v>684</v>
      </c>
      <c r="N689" s="218">
        <f t="shared" si="126"/>
        <v>0</v>
      </c>
      <c r="O689" s="218">
        <f t="shared" si="127"/>
        <v>0</v>
      </c>
      <c r="P689" s="4">
        <v>684</v>
      </c>
      <c r="R689">
        <f t="shared" si="123"/>
        <v>684</v>
      </c>
      <c r="S689" s="218">
        <f t="shared" ca="1" si="128"/>
        <v>0</v>
      </c>
      <c r="T689" s="218">
        <f t="shared" ca="1" si="129"/>
        <v>0</v>
      </c>
      <c r="U689" s="4">
        <v>684</v>
      </c>
      <c r="W689">
        <f t="shared" si="124"/>
        <v>684</v>
      </c>
      <c r="X689" s="218" t="e">
        <f t="shared" si="130"/>
        <v>#REF!</v>
      </c>
      <c r="Y689" s="218" t="e">
        <f t="shared" si="131"/>
        <v>#REF!</v>
      </c>
      <c r="Z689" s="4">
        <v>684</v>
      </c>
      <c r="AB689">
        <f t="shared" si="125"/>
        <v>684</v>
      </c>
      <c r="AC689" s="218" t="e">
        <f t="shared" si="132"/>
        <v>#REF!</v>
      </c>
      <c r="AD689" s="218" t="e">
        <f t="shared" si="133"/>
        <v>#REF!</v>
      </c>
      <c r="AE689" s="4">
        <v>684</v>
      </c>
    </row>
    <row r="690" spans="13:31">
      <c r="M690">
        <f t="shared" si="122"/>
        <v>685</v>
      </c>
      <c r="N690" s="218">
        <f t="shared" si="126"/>
        <v>0</v>
      </c>
      <c r="O690" s="218">
        <f t="shared" si="127"/>
        <v>0</v>
      </c>
      <c r="P690" s="4">
        <v>685</v>
      </c>
      <c r="R690">
        <f t="shared" si="123"/>
        <v>685</v>
      </c>
      <c r="S690" s="218">
        <f t="shared" ca="1" si="128"/>
        <v>0</v>
      </c>
      <c r="T690" s="218">
        <f t="shared" ca="1" si="129"/>
        <v>0</v>
      </c>
      <c r="U690" s="4">
        <v>685</v>
      </c>
      <c r="W690">
        <f t="shared" si="124"/>
        <v>685</v>
      </c>
      <c r="X690" s="218" t="e">
        <f t="shared" si="130"/>
        <v>#REF!</v>
      </c>
      <c r="Y690" s="218" t="e">
        <f t="shared" si="131"/>
        <v>#REF!</v>
      </c>
      <c r="Z690" s="4">
        <v>685</v>
      </c>
      <c r="AB690">
        <f t="shared" si="125"/>
        <v>685</v>
      </c>
      <c r="AC690" s="218" t="e">
        <f t="shared" si="132"/>
        <v>#REF!</v>
      </c>
      <c r="AD690" s="218" t="e">
        <f t="shared" si="133"/>
        <v>#REF!</v>
      </c>
      <c r="AE690" s="4">
        <v>685</v>
      </c>
    </row>
    <row r="691" spans="13:31">
      <c r="M691">
        <f t="shared" si="122"/>
        <v>686</v>
      </c>
      <c r="N691" s="218">
        <f t="shared" si="126"/>
        <v>0</v>
      </c>
      <c r="O691" s="218">
        <f t="shared" si="127"/>
        <v>0</v>
      </c>
      <c r="P691" s="4">
        <v>686</v>
      </c>
      <c r="R691">
        <f t="shared" si="123"/>
        <v>686</v>
      </c>
      <c r="S691" s="218">
        <f t="shared" ca="1" si="128"/>
        <v>0</v>
      </c>
      <c r="T691" s="218">
        <f t="shared" ca="1" si="129"/>
        <v>0</v>
      </c>
      <c r="U691" s="4">
        <v>686</v>
      </c>
      <c r="W691">
        <f t="shared" si="124"/>
        <v>686</v>
      </c>
      <c r="X691" s="218" t="e">
        <f t="shared" si="130"/>
        <v>#REF!</v>
      </c>
      <c r="Y691" s="218" t="e">
        <f t="shared" si="131"/>
        <v>#REF!</v>
      </c>
      <c r="Z691" s="4">
        <v>686</v>
      </c>
      <c r="AB691">
        <f t="shared" si="125"/>
        <v>686</v>
      </c>
      <c r="AC691" s="218" t="e">
        <f t="shared" si="132"/>
        <v>#REF!</v>
      </c>
      <c r="AD691" s="218" t="e">
        <f t="shared" si="133"/>
        <v>#REF!</v>
      </c>
      <c r="AE691" s="4">
        <v>686</v>
      </c>
    </row>
    <row r="692" spans="13:31">
      <c r="M692">
        <f t="shared" si="122"/>
        <v>687</v>
      </c>
      <c r="N692" s="218">
        <f t="shared" si="126"/>
        <v>0</v>
      </c>
      <c r="O692" s="218">
        <f t="shared" si="127"/>
        <v>0</v>
      </c>
      <c r="P692" s="4">
        <v>687</v>
      </c>
      <c r="R692">
        <f t="shared" si="123"/>
        <v>687</v>
      </c>
      <c r="S692" s="218">
        <f t="shared" ca="1" si="128"/>
        <v>0</v>
      </c>
      <c r="T692" s="218">
        <f t="shared" ca="1" si="129"/>
        <v>0</v>
      </c>
      <c r="U692" s="4">
        <v>687</v>
      </c>
      <c r="W692">
        <f t="shared" si="124"/>
        <v>687</v>
      </c>
      <c r="X692" s="218" t="e">
        <f t="shared" si="130"/>
        <v>#REF!</v>
      </c>
      <c r="Y692" s="218" t="e">
        <f t="shared" si="131"/>
        <v>#REF!</v>
      </c>
      <c r="Z692" s="4">
        <v>687</v>
      </c>
      <c r="AB692">
        <f t="shared" si="125"/>
        <v>687</v>
      </c>
      <c r="AC692" s="218" t="e">
        <f t="shared" si="132"/>
        <v>#REF!</v>
      </c>
      <c r="AD692" s="218" t="e">
        <f t="shared" si="133"/>
        <v>#REF!</v>
      </c>
      <c r="AE692" s="4">
        <v>687</v>
      </c>
    </row>
    <row r="693" spans="13:31">
      <c r="M693">
        <f t="shared" si="122"/>
        <v>688</v>
      </c>
      <c r="N693" s="218">
        <f t="shared" si="126"/>
        <v>0</v>
      </c>
      <c r="O693" s="218">
        <f t="shared" si="127"/>
        <v>0</v>
      </c>
      <c r="P693" s="4">
        <v>688</v>
      </c>
      <c r="R693">
        <f t="shared" si="123"/>
        <v>688</v>
      </c>
      <c r="S693" s="218">
        <f t="shared" ca="1" si="128"/>
        <v>0</v>
      </c>
      <c r="T693" s="218">
        <f t="shared" ca="1" si="129"/>
        <v>0</v>
      </c>
      <c r="U693" s="4">
        <v>688</v>
      </c>
      <c r="W693">
        <f t="shared" si="124"/>
        <v>688</v>
      </c>
      <c r="X693" s="218" t="e">
        <f t="shared" si="130"/>
        <v>#REF!</v>
      </c>
      <c r="Y693" s="218" t="e">
        <f t="shared" si="131"/>
        <v>#REF!</v>
      </c>
      <c r="Z693" s="4">
        <v>688</v>
      </c>
      <c r="AB693">
        <f t="shared" si="125"/>
        <v>688</v>
      </c>
      <c r="AC693" s="218" t="e">
        <f t="shared" si="132"/>
        <v>#REF!</v>
      </c>
      <c r="AD693" s="218" t="e">
        <f t="shared" si="133"/>
        <v>#REF!</v>
      </c>
      <c r="AE693" s="4">
        <v>688</v>
      </c>
    </row>
    <row r="694" spans="13:31">
      <c r="M694">
        <f t="shared" si="122"/>
        <v>689</v>
      </c>
      <c r="N694" s="218">
        <f t="shared" si="126"/>
        <v>0</v>
      </c>
      <c r="O694" s="218">
        <f t="shared" si="127"/>
        <v>0</v>
      </c>
      <c r="P694" s="4">
        <v>689</v>
      </c>
      <c r="R694">
        <f t="shared" si="123"/>
        <v>689</v>
      </c>
      <c r="S694" s="218">
        <f t="shared" ca="1" si="128"/>
        <v>0</v>
      </c>
      <c r="T694" s="218">
        <f t="shared" ca="1" si="129"/>
        <v>0</v>
      </c>
      <c r="U694" s="4">
        <v>689</v>
      </c>
      <c r="W694">
        <f t="shared" si="124"/>
        <v>689</v>
      </c>
      <c r="X694" s="218" t="e">
        <f t="shared" si="130"/>
        <v>#REF!</v>
      </c>
      <c r="Y694" s="218" t="e">
        <f t="shared" si="131"/>
        <v>#REF!</v>
      </c>
      <c r="Z694" s="4">
        <v>689</v>
      </c>
      <c r="AB694">
        <f t="shared" si="125"/>
        <v>689</v>
      </c>
      <c r="AC694" s="218" t="e">
        <f t="shared" si="132"/>
        <v>#REF!</v>
      </c>
      <c r="AD694" s="218" t="e">
        <f t="shared" si="133"/>
        <v>#REF!</v>
      </c>
      <c r="AE694" s="4">
        <v>689</v>
      </c>
    </row>
    <row r="695" spans="13:31">
      <c r="M695">
        <f t="shared" si="122"/>
        <v>690</v>
      </c>
      <c r="N695" s="218">
        <f t="shared" si="126"/>
        <v>0</v>
      </c>
      <c r="O695" s="218">
        <f t="shared" si="127"/>
        <v>0</v>
      </c>
      <c r="P695" s="4">
        <v>690</v>
      </c>
      <c r="R695">
        <f t="shared" si="123"/>
        <v>690</v>
      </c>
      <c r="S695" s="218">
        <f t="shared" ca="1" si="128"/>
        <v>0</v>
      </c>
      <c r="T695" s="218">
        <f t="shared" ca="1" si="129"/>
        <v>0</v>
      </c>
      <c r="U695" s="4">
        <v>690</v>
      </c>
      <c r="W695">
        <f t="shared" si="124"/>
        <v>690</v>
      </c>
      <c r="X695" s="218" t="e">
        <f t="shared" si="130"/>
        <v>#REF!</v>
      </c>
      <c r="Y695" s="218" t="e">
        <f t="shared" si="131"/>
        <v>#REF!</v>
      </c>
      <c r="Z695" s="4">
        <v>690</v>
      </c>
      <c r="AB695">
        <f t="shared" si="125"/>
        <v>690</v>
      </c>
      <c r="AC695" s="218" t="e">
        <f t="shared" si="132"/>
        <v>#REF!</v>
      </c>
      <c r="AD695" s="218" t="e">
        <f t="shared" si="133"/>
        <v>#REF!</v>
      </c>
      <c r="AE695" s="4">
        <v>690</v>
      </c>
    </row>
    <row r="696" spans="13:31">
      <c r="M696">
        <f t="shared" si="122"/>
        <v>691</v>
      </c>
      <c r="N696" s="218">
        <f t="shared" si="126"/>
        <v>0</v>
      </c>
      <c r="O696" s="218">
        <f t="shared" si="127"/>
        <v>0</v>
      </c>
      <c r="P696" s="4">
        <v>691</v>
      </c>
      <c r="R696">
        <f t="shared" si="123"/>
        <v>691</v>
      </c>
      <c r="S696" s="218">
        <f t="shared" ca="1" si="128"/>
        <v>0</v>
      </c>
      <c r="T696" s="218">
        <f t="shared" ca="1" si="129"/>
        <v>0</v>
      </c>
      <c r="U696" s="4">
        <v>691</v>
      </c>
      <c r="W696">
        <f t="shared" si="124"/>
        <v>691</v>
      </c>
      <c r="X696" s="218" t="e">
        <f t="shared" si="130"/>
        <v>#REF!</v>
      </c>
      <c r="Y696" s="218" t="e">
        <f t="shared" si="131"/>
        <v>#REF!</v>
      </c>
      <c r="Z696" s="4">
        <v>691</v>
      </c>
      <c r="AB696">
        <f t="shared" si="125"/>
        <v>691</v>
      </c>
      <c r="AC696" s="218" t="e">
        <f t="shared" si="132"/>
        <v>#REF!</v>
      </c>
      <c r="AD696" s="218" t="e">
        <f t="shared" si="133"/>
        <v>#REF!</v>
      </c>
      <c r="AE696" s="4">
        <v>691</v>
      </c>
    </row>
    <row r="697" spans="13:31">
      <c r="M697">
        <f t="shared" si="122"/>
        <v>692</v>
      </c>
      <c r="N697" s="218">
        <f t="shared" si="126"/>
        <v>0</v>
      </c>
      <c r="O697" s="218">
        <f t="shared" si="127"/>
        <v>0</v>
      </c>
      <c r="P697" s="4">
        <v>692</v>
      </c>
      <c r="R697">
        <f t="shared" si="123"/>
        <v>692</v>
      </c>
      <c r="S697" s="218">
        <f t="shared" ca="1" si="128"/>
        <v>0</v>
      </c>
      <c r="T697" s="218">
        <f t="shared" ca="1" si="129"/>
        <v>0</v>
      </c>
      <c r="U697" s="4">
        <v>692</v>
      </c>
      <c r="W697">
        <f t="shared" si="124"/>
        <v>692</v>
      </c>
      <c r="X697" s="218" t="e">
        <f t="shared" si="130"/>
        <v>#REF!</v>
      </c>
      <c r="Y697" s="218" t="e">
        <f t="shared" si="131"/>
        <v>#REF!</v>
      </c>
      <c r="Z697" s="4">
        <v>692</v>
      </c>
      <c r="AB697">
        <f t="shared" si="125"/>
        <v>692</v>
      </c>
      <c r="AC697" s="218" t="e">
        <f t="shared" si="132"/>
        <v>#REF!</v>
      </c>
      <c r="AD697" s="218" t="e">
        <f t="shared" si="133"/>
        <v>#REF!</v>
      </c>
      <c r="AE697" s="4">
        <v>692</v>
      </c>
    </row>
    <row r="698" spans="13:31">
      <c r="M698">
        <f t="shared" si="122"/>
        <v>693</v>
      </c>
      <c r="N698" s="218">
        <f t="shared" si="126"/>
        <v>0</v>
      </c>
      <c r="O698" s="218">
        <f t="shared" si="127"/>
        <v>0</v>
      </c>
      <c r="P698" s="4">
        <v>693</v>
      </c>
      <c r="R698">
        <f t="shared" si="123"/>
        <v>693</v>
      </c>
      <c r="S698" s="218">
        <f t="shared" ca="1" si="128"/>
        <v>0</v>
      </c>
      <c r="T698" s="218">
        <f t="shared" ca="1" si="129"/>
        <v>0</v>
      </c>
      <c r="U698" s="4">
        <v>693</v>
      </c>
      <c r="W698">
        <f t="shared" si="124"/>
        <v>693</v>
      </c>
      <c r="X698" s="218" t="e">
        <f t="shared" si="130"/>
        <v>#REF!</v>
      </c>
      <c r="Y698" s="218" t="e">
        <f t="shared" si="131"/>
        <v>#REF!</v>
      </c>
      <c r="Z698" s="4">
        <v>693</v>
      </c>
      <c r="AB698">
        <f t="shared" si="125"/>
        <v>693</v>
      </c>
      <c r="AC698" s="218" t="e">
        <f t="shared" si="132"/>
        <v>#REF!</v>
      </c>
      <c r="AD698" s="218" t="e">
        <f t="shared" si="133"/>
        <v>#REF!</v>
      </c>
      <c r="AE698" s="4">
        <v>693</v>
      </c>
    </row>
    <row r="699" spans="13:31">
      <c r="M699">
        <f t="shared" si="122"/>
        <v>694</v>
      </c>
      <c r="N699" s="218">
        <f t="shared" si="126"/>
        <v>0</v>
      </c>
      <c r="O699" s="218">
        <f t="shared" si="127"/>
        <v>0</v>
      </c>
      <c r="P699" s="4">
        <v>694</v>
      </c>
      <c r="R699">
        <f t="shared" si="123"/>
        <v>694</v>
      </c>
      <c r="S699" s="218">
        <f t="shared" ca="1" si="128"/>
        <v>0</v>
      </c>
      <c r="T699" s="218">
        <f t="shared" ca="1" si="129"/>
        <v>0</v>
      </c>
      <c r="U699" s="4">
        <v>694</v>
      </c>
      <c r="W699">
        <f t="shared" si="124"/>
        <v>694</v>
      </c>
      <c r="X699" s="218" t="e">
        <f t="shared" si="130"/>
        <v>#REF!</v>
      </c>
      <c r="Y699" s="218" t="e">
        <f t="shared" si="131"/>
        <v>#REF!</v>
      </c>
      <c r="Z699" s="4">
        <v>694</v>
      </c>
      <c r="AB699">
        <f t="shared" si="125"/>
        <v>694</v>
      </c>
      <c r="AC699" s="218" t="e">
        <f t="shared" si="132"/>
        <v>#REF!</v>
      </c>
      <c r="AD699" s="218" t="e">
        <f t="shared" si="133"/>
        <v>#REF!</v>
      </c>
      <c r="AE699" s="4">
        <v>694</v>
      </c>
    </row>
    <row r="700" spans="13:31">
      <c r="M700">
        <f t="shared" si="122"/>
        <v>695</v>
      </c>
      <c r="N700" s="218">
        <f t="shared" si="126"/>
        <v>0</v>
      </c>
      <c r="O700" s="218">
        <f t="shared" si="127"/>
        <v>0</v>
      </c>
      <c r="P700" s="4">
        <v>695</v>
      </c>
      <c r="R700">
        <f t="shared" si="123"/>
        <v>695</v>
      </c>
      <c r="S700" s="218">
        <f t="shared" ca="1" si="128"/>
        <v>0</v>
      </c>
      <c r="T700" s="218">
        <f t="shared" ca="1" si="129"/>
        <v>0</v>
      </c>
      <c r="U700" s="4">
        <v>695</v>
      </c>
      <c r="W700">
        <f t="shared" si="124"/>
        <v>695</v>
      </c>
      <c r="X700" s="218" t="e">
        <f t="shared" si="130"/>
        <v>#REF!</v>
      </c>
      <c r="Y700" s="218" t="e">
        <f t="shared" si="131"/>
        <v>#REF!</v>
      </c>
      <c r="Z700" s="4">
        <v>695</v>
      </c>
      <c r="AB700">
        <f t="shared" si="125"/>
        <v>695</v>
      </c>
      <c r="AC700" s="218" t="e">
        <f t="shared" si="132"/>
        <v>#REF!</v>
      </c>
      <c r="AD700" s="218" t="e">
        <f t="shared" si="133"/>
        <v>#REF!</v>
      </c>
      <c r="AE700" s="4">
        <v>695</v>
      </c>
    </row>
    <row r="701" spans="13:31">
      <c r="M701">
        <f t="shared" si="122"/>
        <v>696</v>
      </c>
      <c r="N701" s="218">
        <f t="shared" si="126"/>
        <v>0</v>
      </c>
      <c r="O701" s="218">
        <f t="shared" si="127"/>
        <v>0</v>
      </c>
      <c r="P701" s="4">
        <v>696</v>
      </c>
      <c r="R701">
        <f t="shared" si="123"/>
        <v>696</v>
      </c>
      <c r="S701" s="218">
        <f t="shared" ca="1" si="128"/>
        <v>0</v>
      </c>
      <c r="T701" s="218">
        <f t="shared" ca="1" si="129"/>
        <v>0</v>
      </c>
      <c r="U701" s="4">
        <v>696</v>
      </c>
      <c r="W701">
        <f t="shared" si="124"/>
        <v>696</v>
      </c>
      <c r="X701" s="218" t="e">
        <f t="shared" si="130"/>
        <v>#REF!</v>
      </c>
      <c r="Y701" s="218" t="e">
        <f t="shared" si="131"/>
        <v>#REF!</v>
      </c>
      <c r="Z701" s="4">
        <v>696</v>
      </c>
      <c r="AB701">
        <f t="shared" si="125"/>
        <v>696</v>
      </c>
      <c r="AC701" s="218" t="e">
        <f t="shared" si="132"/>
        <v>#REF!</v>
      </c>
      <c r="AD701" s="218" t="e">
        <f t="shared" si="133"/>
        <v>#REF!</v>
      </c>
      <c r="AE701" s="4">
        <v>696</v>
      </c>
    </row>
    <row r="702" spans="13:31">
      <c r="M702">
        <f t="shared" si="122"/>
        <v>697</v>
      </c>
      <c r="N702" s="218">
        <f t="shared" si="126"/>
        <v>0</v>
      </c>
      <c r="O702" s="218">
        <f t="shared" si="127"/>
        <v>0</v>
      </c>
      <c r="P702" s="4">
        <v>697</v>
      </c>
      <c r="R702">
        <f t="shared" si="123"/>
        <v>697</v>
      </c>
      <c r="S702" s="218">
        <f t="shared" ca="1" si="128"/>
        <v>0</v>
      </c>
      <c r="T702" s="218">
        <f t="shared" ca="1" si="129"/>
        <v>0</v>
      </c>
      <c r="U702" s="4">
        <v>697</v>
      </c>
      <c r="W702">
        <f t="shared" si="124"/>
        <v>697</v>
      </c>
      <c r="X702" s="218" t="e">
        <f t="shared" si="130"/>
        <v>#REF!</v>
      </c>
      <c r="Y702" s="218" t="e">
        <f t="shared" si="131"/>
        <v>#REF!</v>
      </c>
      <c r="Z702" s="4">
        <v>697</v>
      </c>
      <c r="AB702">
        <f t="shared" si="125"/>
        <v>697</v>
      </c>
      <c r="AC702" s="218" t="e">
        <f t="shared" si="132"/>
        <v>#REF!</v>
      </c>
      <c r="AD702" s="218" t="e">
        <f t="shared" si="133"/>
        <v>#REF!</v>
      </c>
      <c r="AE702" s="4">
        <v>697</v>
      </c>
    </row>
    <row r="703" spans="13:31">
      <c r="M703">
        <f t="shared" si="122"/>
        <v>698</v>
      </c>
      <c r="N703" s="218">
        <f t="shared" si="126"/>
        <v>0</v>
      </c>
      <c r="O703" s="218">
        <f t="shared" si="127"/>
        <v>0</v>
      </c>
      <c r="P703" s="4">
        <v>698</v>
      </c>
      <c r="R703">
        <f t="shared" si="123"/>
        <v>698</v>
      </c>
      <c r="S703" s="218">
        <f t="shared" ca="1" si="128"/>
        <v>0</v>
      </c>
      <c r="T703" s="218">
        <f t="shared" ca="1" si="129"/>
        <v>0</v>
      </c>
      <c r="U703" s="4">
        <v>698</v>
      </c>
      <c r="W703">
        <f t="shared" si="124"/>
        <v>698</v>
      </c>
      <c r="X703" s="218" t="e">
        <f t="shared" si="130"/>
        <v>#REF!</v>
      </c>
      <c r="Y703" s="218" t="e">
        <f t="shared" si="131"/>
        <v>#REF!</v>
      </c>
      <c r="Z703" s="4">
        <v>698</v>
      </c>
      <c r="AB703">
        <f t="shared" si="125"/>
        <v>698</v>
      </c>
      <c r="AC703" s="218" t="e">
        <f t="shared" si="132"/>
        <v>#REF!</v>
      </c>
      <c r="AD703" s="218" t="e">
        <f t="shared" si="133"/>
        <v>#REF!</v>
      </c>
      <c r="AE703" s="4">
        <v>698</v>
      </c>
    </row>
    <row r="704" spans="13:31">
      <c r="M704">
        <f t="shared" si="122"/>
        <v>699</v>
      </c>
      <c r="N704" s="218">
        <f t="shared" si="126"/>
        <v>0</v>
      </c>
      <c r="O704" s="218">
        <f t="shared" si="127"/>
        <v>0</v>
      </c>
      <c r="P704" s="4">
        <v>699</v>
      </c>
      <c r="R704">
        <f t="shared" si="123"/>
        <v>699</v>
      </c>
      <c r="S704" s="218">
        <f t="shared" ca="1" si="128"/>
        <v>0</v>
      </c>
      <c r="T704" s="218">
        <f t="shared" ca="1" si="129"/>
        <v>0</v>
      </c>
      <c r="U704" s="4">
        <v>699</v>
      </c>
      <c r="W704">
        <f t="shared" si="124"/>
        <v>699</v>
      </c>
      <c r="X704" s="218" t="e">
        <f t="shared" si="130"/>
        <v>#REF!</v>
      </c>
      <c r="Y704" s="218" t="e">
        <f t="shared" si="131"/>
        <v>#REF!</v>
      </c>
      <c r="Z704" s="4">
        <v>699</v>
      </c>
      <c r="AB704">
        <f t="shared" si="125"/>
        <v>699</v>
      </c>
      <c r="AC704" s="218" t="e">
        <f t="shared" si="132"/>
        <v>#REF!</v>
      </c>
      <c r="AD704" s="218" t="e">
        <f t="shared" si="133"/>
        <v>#REF!</v>
      </c>
      <c r="AE704" s="4">
        <v>699</v>
      </c>
    </row>
    <row r="705" spans="13:31">
      <c r="M705">
        <f t="shared" si="122"/>
        <v>700</v>
      </c>
      <c r="N705" s="218">
        <f t="shared" si="126"/>
        <v>0</v>
      </c>
      <c r="O705" s="218">
        <f t="shared" si="127"/>
        <v>0</v>
      </c>
      <c r="P705" s="4">
        <v>700</v>
      </c>
      <c r="R705">
        <f t="shared" si="123"/>
        <v>700</v>
      </c>
      <c r="S705" s="218">
        <f t="shared" ca="1" si="128"/>
        <v>0</v>
      </c>
      <c r="T705" s="218">
        <f t="shared" ca="1" si="129"/>
        <v>0</v>
      </c>
      <c r="U705" s="4">
        <v>700</v>
      </c>
      <c r="W705">
        <f t="shared" si="124"/>
        <v>700</v>
      </c>
      <c r="X705" s="218" t="e">
        <f t="shared" si="130"/>
        <v>#REF!</v>
      </c>
      <c r="Y705" s="218" t="e">
        <f t="shared" si="131"/>
        <v>#REF!</v>
      </c>
      <c r="Z705" s="4">
        <v>700</v>
      </c>
      <c r="AB705">
        <f t="shared" si="125"/>
        <v>700</v>
      </c>
      <c r="AC705" s="218" t="e">
        <f t="shared" si="132"/>
        <v>#REF!</v>
      </c>
      <c r="AD705" s="218" t="e">
        <f t="shared" si="133"/>
        <v>#REF!</v>
      </c>
      <c r="AE705" s="4">
        <v>700</v>
      </c>
    </row>
    <row r="706" spans="13:31">
      <c r="M706">
        <f t="shared" si="122"/>
        <v>701</v>
      </c>
      <c r="N706" s="218">
        <f t="shared" si="126"/>
        <v>0</v>
      </c>
      <c r="O706" s="218">
        <f t="shared" si="127"/>
        <v>0</v>
      </c>
      <c r="P706" s="4">
        <v>701</v>
      </c>
      <c r="R706">
        <f t="shared" si="123"/>
        <v>701</v>
      </c>
      <c r="S706" s="218">
        <f t="shared" ca="1" si="128"/>
        <v>0</v>
      </c>
      <c r="T706" s="218">
        <f t="shared" ca="1" si="129"/>
        <v>0</v>
      </c>
      <c r="U706" s="4">
        <v>701</v>
      </c>
      <c r="W706">
        <f t="shared" si="124"/>
        <v>701</v>
      </c>
      <c r="X706" s="218" t="e">
        <f t="shared" si="130"/>
        <v>#REF!</v>
      </c>
      <c r="Y706" s="218" t="e">
        <f t="shared" si="131"/>
        <v>#REF!</v>
      </c>
      <c r="Z706" s="4">
        <v>701</v>
      </c>
      <c r="AB706">
        <f t="shared" si="125"/>
        <v>701</v>
      </c>
      <c r="AC706" s="218" t="e">
        <f t="shared" si="132"/>
        <v>#REF!</v>
      </c>
      <c r="AD706" s="218" t="e">
        <f t="shared" si="133"/>
        <v>#REF!</v>
      </c>
      <c r="AE706" s="4">
        <v>701</v>
      </c>
    </row>
    <row r="707" spans="13:31">
      <c r="M707">
        <f t="shared" si="122"/>
        <v>702</v>
      </c>
      <c r="N707" s="218">
        <f t="shared" si="126"/>
        <v>0</v>
      </c>
      <c r="O707" s="218">
        <f t="shared" si="127"/>
        <v>0</v>
      </c>
      <c r="P707" s="4">
        <v>702</v>
      </c>
      <c r="R707">
        <f t="shared" si="123"/>
        <v>702</v>
      </c>
      <c r="S707" s="218">
        <f t="shared" ca="1" si="128"/>
        <v>0</v>
      </c>
      <c r="T707" s="218">
        <f t="shared" ca="1" si="129"/>
        <v>0</v>
      </c>
      <c r="U707" s="4">
        <v>702</v>
      </c>
      <c r="W707">
        <f t="shared" si="124"/>
        <v>702</v>
      </c>
      <c r="X707" s="218" t="e">
        <f t="shared" si="130"/>
        <v>#REF!</v>
      </c>
      <c r="Y707" s="218" t="e">
        <f t="shared" si="131"/>
        <v>#REF!</v>
      </c>
      <c r="Z707" s="4">
        <v>702</v>
      </c>
      <c r="AB707">
        <f t="shared" si="125"/>
        <v>702</v>
      </c>
      <c r="AC707" s="218" t="e">
        <f t="shared" si="132"/>
        <v>#REF!</v>
      </c>
      <c r="AD707" s="218" t="e">
        <f t="shared" si="133"/>
        <v>#REF!</v>
      </c>
      <c r="AE707" s="4">
        <v>702</v>
      </c>
    </row>
    <row r="708" spans="13:31">
      <c r="M708">
        <f t="shared" si="122"/>
        <v>703</v>
      </c>
      <c r="N708" s="218">
        <f t="shared" si="126"/>
        <v>0</v>
      </c>
      <c r="O708" s="218">
        <f t="shared" si="127"/>
        <v>0</v>
      </c>
      <c r="P708" s="4">
        <v>703</v>
      </c>
      <c r="R708">
        <f t="shared" si="123"/>
        <v>703</v>
      </c>
      <c r="S708" s="218">
        <f t="shared" ca="1" si="128"/>
        <v>0</v>
      </c>
      <c r="T708" s="218">
        <f t="shared" ca="1" si="129"/>
        <v>0</v>
      </c>
      <c r="U708" s="4">
        <v>703</v>
      </c>
      <c r="W708">
        <f t="shared" si="124"/>
        <v>703</v>
      </c>
      <c r="X708" s="218" t="e">
        <f t="shared" si="130"/>
        <v>#REF!</v>
      </c>
      <c r="Y708" s="218" t="e">
        <f t="shared" si="131"/>
        <v>#REF!</v>
      </c>
      <c r="Z708" s="4">
        <v>703</v>
      </c>
      <c r="AB708">
        <f t="shared" si="125"/>
        <v>703</v>
      </c>
      <c r="AC708" s="218" t="e">
        <f t="shared" si="132"/>
        <v>#REF!</v>
      </c>
      <c r="AD708" s="218" t="e">
        <f t="shared" si="133"/>
        <v>#REF!</v>
      </c>
      <c r="AE708" s="4">
        <v>703</v>
      </c>
    </row>
    <row r="709" spans="13:31">
      <c r="M709">
        <f t="shared" si="122"/>
        <v>704</v>
      </c>
      <c r="N709" s="218">
        <f t="shared" si="126"/>
        <v>0</v>
      </c>
      <c r="O709" s="218">
        <f t="shared" si="127"/>
        <v>0</v>
      </c>
      <c r="P709" s="4">
        <v>704</v>
      </c>
      <c r="R709">
        <f t="shared" si="123"/>
        <v>704</v>
      </c>
      <c r="S709" s="218">
        <f t="shared" ca="1" si="128"/>
        <v>0</v>
      </c>
      <c r="T709" s="218">
        <f t="shared" ca="1" si="129"/>
        <v>0</v>
      </c>
      <c r="U709" s="4">
        <v>704</v>
      </c>
      <c r="W709">
        <f t="shared" si="124"/>
        <v>704</v>
      </c>
      <c r="X709" s="218" t="e">
        <f t="shared" si="130"/>
        <v>#REF!</v>
      </c>
      <c r="Y709" s="218" t="e">
        <f t="shared" si="131"/>
        <v>#REF!</v>
      </c>
      <c r="Z709" s="4">
        <v>704</v>
      </c>
      <c r="AB709">
        <f t="shared" si="125"/>
        <v>704</v>
      </c>
      <c r="AC709" s="218" t="e">
        <f t="shared" si="132"/>
        <v>#REF!</v>
      </c>
      <c r="AD709" s="218" t="e">
        <f t="shared" si="133"/>
        <v>#REF!</v>
      </c>
      <c r="AE709" s="4">
        <v>704</v>
      </c>
    </row>
    <row r="710" spans="13:31">
      <c r="M710">
        <f t="shared" si="122"/>
        <v>705</v>
      </c>
      <c r="N710" s="218">
        <f t="shared" si="126"/>
        <v>0</v>
      </c>
      <c r="O710" s="218">
        <f t="shared" si="127"/>
        <v>0</v>
      </c>
      <c r="P710" s="4">
        <v>705</v>
      </c>
      <c r="R710">
        <f t="shared" si="123"/>
        <v>705</v>
      </c>
      <c r="S710" s="218">
        <f t="shared" ca="1" si="128"/>
        <v>0</v>
      </c>
      <c r="T710" s="218">
        <f t="shared" ca="1" si="129"/>
        <v>0</v>
      </c>
      <c r="U710" s="4">
        <v>705</v>
      </c>
      <c r="W710">
        <f t="shared" si="124"/>
        <v>705</v>
      </c>
      <c r="X710" s="218" t="e">
        <f t="shared" si="130"/>
        <v>#REF!</v>
      </c>
      <c r="Y710" s="218" t="e">
        <f t="shared" si="131"/>
        <v>#REF!</v>
      </c>
      <c r="Z710" s="4">
        <v>705</v>
      </c>
      <c r="AB710">
        <f t="shared" si="125"/>
        <v>705</v>
      </c>
      <c r="AC710" s="218" t="e">
        <f t="shared" si="132"/>
        <v>#REF!</v>
      </c>
      <c r="AD710" s="218" t="e">
        <f t="shared" si="133"/>
        <v>#REF!</v>
      </c>
      <c r="AE710" s="4">
        <v>705</v>
      </c>
    </row>
    <row r="711" spans="13:31">
      <c r="M711">
        <f t="shared" ref="M711:M755" si="134">P711</f>
        <v>706</v>
      </c>
      <c r="N711" s="218">
        <f t="shared" si="126"/>
        <v>0</v>
      </c>
      <c r="O711" s="218">
        <f t="shared" si="127"/>
        <v>0</v>
      </c>
      <c r="P711" s="4">
        <v>706</v>
      </c>
      <c r="R711">
        <f t="shared" ref="R711:R755" si="135">U711</f>
        <v>706</v>
      </c>
      <c r="S711" s="218">
        <f t="shared" ca="1" si="128"/>
        <v>0</v>
      </c>
      <c r="T711" s="218">
        <f t="shared" ca="1" si="129"/>
        <v>0</v>
      </c>
      <c r="U711" s="4">
        <v>706</v>
      </c>
      <c r="W711">
        <f t="shared" ref="W711:W755" si="136">Z711</f>
        <v>706</v>
      </c>
      <c r="X711" s="218" t="e">
        <f t="shared" si="130"/>
        <v>#REF!</v>
      </c>
      <c r="Y711" s="218" t="e">
        <f t="shared" si="131"/>
        <v>#REF!</v>
      </c>
      <c r="Z711" s="4">
        <v>706</v>
      </c>
      <c r="AB711">
        <f t="shared" ref="AB711:AB755" si="137">AE711</f>
        <v>706</v>
      </c>
      <c r="AC711" s="218" t="e">
        <f t="shared" si="132"/>
        <v>#REF!</v>
      </c>
      <c r="AD711" s="218" t="e">
        <f t="shared" si="133"/>
        <v>#REF!</v>
      </c>
      <c r="AE711" s="4">
        <v>706</v>
      </c>
    </row>
    <row r="712" spans="13:31">
      <c r="M712">
        <f t="shared" si="134"/>
        <v>707</v>
      </c>
      <c r="N712" s="218">
        <f t="shared" ref="N712:N755" si="138">+IF(O712&lt;N711,O712,N711)</f>
        <v>0</v>
      </c>
      <c r="O712" s="218">
        <f t="shared" ref="O712:O755" si="139">+(O711-N711)*(1+$E$13)</f>
        <v>0</v>
      </c>
      <c r="P712" s="4">
        <v>707</v>
      </c>
      <c r="R712">
        <f t="shared" si="135"/>
        <v>707</v>
      </c>
      <c r="S712" s="218">
        <f t="shared" ref="S712:S755" ca="1" si="140">+IF(T712&lt;S711,T712,S711)</f>
        <v>0</v>
      </c>
      <c r="T712" s="218">
        <f t="shared" ref="T712:T755" ca="1" si="141">+(T711-S711)*(1+$E$14)</f>
        <v>0</v>
      </c>
      <c r="U712" s="4">
        <v>707</v>
      </c>
      <c r="W712">
        <f t="shared" si="136"/>
        <v>707</v>
      </c>
      <c r="X712" s="218" t="e">
        <f t="shared" ref="X712:X755" si="142">+IF(Y712&lt;X711,Y712,X711)</f>
        <v>#REF!</v>
      </c>
      <c r="Y712" s="218" t="e">
        <f t="shared" ref="Y712:Y755" si="143">+(Y711-X711)*(1+$E$15)</f>
        <v>#REF!</v>
      </c>
      <c r="Z712" s="4">
        <v>707</v>
      </c>
      <c r="AB712">
        <f t="shared" si="137"/>
        <v>707</v>
      </c>
      <c r="AC712" s="218" t="e">
        <f t="shared" ref="AC712:AC755" si="144">+IF(AD712&lt;AC711,AD712,AC711)</f>
        <v>#REF!</v>
      </c>
      <c r="AD712" s="218" t="e">
        <f t="shared" ref="AD712:AD755" si="145">+(AD711-AC711)*(1+$E$16)</f>
        <v>#REF!</v>
      </c>
      <c r="AE712" s="4">
        <v>707</v>
      </c>
    </row>
    <row r="713" spans="13:31">
      <c r="M713">
        <f t="shared" si="134"/>
        <v>708</v>
      </c>
      <c r="N713" s="218">
        <f t="shared" si="138"/>
        <v>0</v>
      </c>
      <c r="O713" s="218">
        <f t="shared" si="139"/>
        <v>0</v>
      </c>
      <c r="P713" s="4">
        <v>708</v>
      </c>
      <c r="R713">
        <f t="shared" si="135"/>
        <v>708</v>
      </c>
      <c r="S713" s="218">
        <f t="shared" ca="1" si="140"/>
        <v>0</v>
      </c>
      <c r="T713" s="218">
        <f t="shared" ca="1" si="141"/>
        <v>0</v>
      </c>
      <c r="U713" s="4">
        <v>708</v>
      </c>
      <c r="W713">
        <f t="shared" si="136"/>
        <v>708</v>
      </c>
      <c r="X713" s="218" t="e">
        <f t="shared" si="142"/>
        <v>#REF!</v>
      </c>
      <c r="Y713" s="218" t="e">
        <f t="shared" si="143"/>
        <v>#REF!</v>
      </c>
      <c r="Z713" s="4">
        <v>708</v>
      </c>
      <c r="AB713">
        <f t="shared" si="137"/>
        <v>708</v>
      </c>
      <c r="AC713" s="218" t="e">
        <f t="shared" si="144"/>
        <v>#REF!</v>
      </c>
      <c r="AD713" s="218" t="e">
        <f t="shared" si="145"/>
        <v>#REF!</v>
      </c>
      <c r="AE713" s="4">
        <v>708</v>
      </c>
    </row>
    <row r="714" spans="13:31">
      <c r="M714">
        <f t="shared" si="134"/>
        <v>709</v>
      </c>
      <c r="N714" s="218">
        <f t="shared" si="138"/>
        <v>0</v>
      </c>
      <c r="O714" s="218">
        <f t="shared" si="139"/>
        <v>0</v>
      </c>
      <c r="P714" s="4">
        <v>709</v>
      </c>
      <c r="R714">
        <f t="shared" si="135"/>
        <v>709</v>
      </c>
      <c r="S714" s="218">
        <f t="shared" ca="1" si="140"/>
        <v>0</v>
      </c>
      <c r="T714" s="218">
        <f t="shared" ca="1" si="141"/>
        <v>0</v>
      </c>
      <c r="U714" s="4">
        <v>709</v>
      </c>
      <c r="W714">
        <f t="shared" si="136"/>
        <v>709</v>
      </c>
      <c r="X714" s="218" t="e">
        <f t="shared" si="142"/>
        <v>#REF!</v>
      </c>
      <c r="Y714" s="218" t="e">
        <f t="shared" si="143"/>
        <v>#REF!</v>
      </c>
      <c r="Z714" s="4">
        <v>709</v>
      </c>
      <c r="AB714">
        <f t="shared" si="137"/>
        <v>709</v>
      </c>
      <c r="AC714" s="218" t="e">
        <f t="shared" si="144"/>
        <v>#REF!</v>
      </c>
      <c r="AD714" s="218" t="e">
        <f t="shared" si="145"/>
        <v>#REF!</v>
      </c>
      <c r="AE714" s="4">
        <v>709</v>
      </c>
    </row>
    <row r="715" spans="13:31">
      <c r="M715">
        <f t="shared" si="134"/>
        <v>710</v>
      </c>
      <c r="N715" s="218">
        <f t="shared" si="138"/>
        <v>0</v>
      </c>
      <c r="O715" s="218">
        <f t="shared" si="139"/>
        <v>0</v>
      </c>
      <c r="P715" s="4">
        <v>710</v>
      </c>
      <c r="R715">
        <f t="shared" si="135"/>
        <v>710</v>
      </c>
      <c r="S715" s="218">
        <f t="shared" ca="1" si="140"/>
        <v>0</v>
      </c>
      <c r="T715" s="218">
        <f t="shared" ca="1" si="141"/>
        <v>0</v>
      </c>
      <c r="U715" s="4">
        <v>710</v>
      </c>
      <c r="W715">
        <f t="shared" si="136"/>
        <v>710</v>
      </c>
      <c r="X715" s="218" t="e">
        <f t="shared" si="142"/>
        <v>#REF!</v>
      </c>
      <c r="Y715" s="218" t="e">
        <f t="shared" si="143"/>
        <v>#REF!</v>
      </c>
      <c r="Z715" s="4">
        <v>710</v>
      </c>
      <c r="AB715">
        <f t="shared" si="137"/>
        <v>710</v>
      </c>
      <c r="AC715" s="218" t="e">
        <f t="shared" si="144"/>
        <v>#REF!</v>
      </c>
      <c r="AD715" s="218" t="e">
        <f t="shared" si="145"/>
        <v>#REF!</v>
      </c>
      <c r="AE715" s="4">
        <v>710</v>
      </c>
    </row>
    <row r="716" spans="13:31">
      <c r="M716">
        <f t="shared" si="134"/>
        <v>711</v>
      </c>
      <c r="N716" s="218">
        <f t="shared" si="138"/>
        <v>0</v>
      </c>
      <c r="O716" s="218">
        <f t="shared" si="139"/>
        <v>0</v>
      </c>
      <c r="P716" s="4">
        <v>711</v>
      </c>
      <c r="R716">
        <f t="shared" si="135"/>
        <v>711</v>
      </c>
      <c r="S716" s="218">
        <f t="shared" ca="1" si="140"/>
        <v>0</v>
      </c>
      <c r="T716" s="218">
        <f t="shared" ca="1" si="141"/>
        <v>0</v>
      </c>
      <c r="U716" s="4">
        <v>711</v>
      </c>
      <c r="W716">
        <f t="shared" si="136"/>
        <v>711</v>
      </c>
      <c r="X716" s="218" t="e">
        <f t="shared" si="142"/>
        <v>#REF!</v>
      </c>
      <c r="Y716" s="218" t="e">
        <f t="shared" si="143"/>
        <v>#REF!</v>
      </c>
      <c r="Z716" s="4">
        <v>711</v>
      </c>
      <c r="AB716">
        <f t="shared" si="137"/>
        <v>711</v>
      </c>
      <c r="AC716" s="218" t="e">
        <f t="shared" si="144"/>
        <v>#REF!</v>
      </c>
      <c r="AD716" s="218" t="e">
        <f t="shared" si="145"/>
        <v>#REF!</v>
      </c>
      <c r="AE716" s="4">
        <v>711</v>
      </c>
    </row>
    <row r="717" spans="13:31">
      <c r="M717">
        <f t="shared" si="134"/>
        <v>712</v>
      </c>
      <c r="N717" s="218">
        <f t="shared" si="138"/>
        <v>0</v>
      </c>
      <c r="O717" s="218">
        <f t="shared" si="139"/>
        <v>0</v>
      </c>
      <c r="P717" s="4">
        <v>712</v>
      </c>
      <c r="R717">
        <f t="shared" si="135"/>
        <v>712</v>
      </c>
      <c r="S717" s="218">
        <f t="shared" ca="1" si="140"/>
        <v>0</v>
      </c>
      <c r="T717" s="218">
        <f t="shared" ca="1" si="141"/>
        <v>0</v>
      </c>
      <c r="U717" s="4">
        <v>712</v>
      </c>
      <c r="W717">
        <f t="shared" si="136"/>
        <v>712</v>
      </c>
      <c r="X717" s="218" t="e">
        <f t="shared" si="142"/>
        <v>#REF!</v>
      </c>
      <c r="Y717" s="218" t="e">
        <f t="shared" si="143"/>
        <v>#REF!</v>
      </c>
      <c r="Z717" s="4">
        <v>712</v>
      </c>
      <c r="AB717">
        <f t="shared" si="137"/>
        <v>712</v>
      </c>
      <c r="AC717" s="218" t="e">
        <f t="shared" si="144"/>
        <v>#REF!</v>
      </c>
      <c r="AD717" s="218" t="e">
        <f t="shared" si="145"/>
        <v>#REF!</v>
      </c>
      <c r="AE717" s="4">
        <v>712</v>
      </c>
    </row>
    <row r="718" spans="13:31">
      <c r="M718">
        <f t="shared" si="134"/>
        <v>713</v>
      </c>
      <c r="N718" s="218">
        <f t="shared" si="138"/>
        <v>0</v>
      </c>
      <c r="O718" s="218">
        <f t="shared" si="139"/>
        <v>0</v>
      </c>
      <c r="P718" s="4">
        <v>713</v>
      </c>
      <c r="R718">
        <f t="shared" si="135"/>
        <v>713</v>
      </c>
      <c r="S718" s="218">
        <f t="shared" ca="1" si="140"/>
        <v>0</v>
      </c>
      <c r="T718" s="218">
        <f t="shared" ca="1" si="141"/>
        <v>0</v>
      </c>
      <c r="U718" s="4">
        <v>713</v>
      </c>
      <c r="W718">
        <f t="shared" si="136"/>
        <v>713</v>
      </c>
      <c r="X718" s="218" t="e">
        <f t="shared" si="142"/>
        <v>#REF!</v>
      </c>
      <c r="Y718" s="218" t="e">
        <f t="shared" si="143"/>
        <v>#REF!</v>
      </c>
      <c r="Z718" s="4">
        <v>713</v>
      </c>
      <c r="AB718">
        <f t="shared" si="137"/>
        <v>713</v>
      </c>
      <c r="AC718" s="218" t="e">
        <f t="shared" si="144"/>
        <v>#REF!</v>
      </c>
      <c r="AD718" s="218" t="e">
        <f t="shared" si="145"/>
        <v>#REF!</v>
      </c>
      <c r="AE718" s="4">
        <v>713</v>
      </c>
    </row>
    <row r="719" spans="13:31">
      <c r="M719">
        <f t="shared" si="134"/>
        <v>714</v>
      </c>
      <c r="N719" s="218">
        <f t="shared" si="138"/>
        <v>0</v>
      </c>
      <c r="O719" s="218">
        <f t="shared" si="139"/>
        <v>0</v>
      </c>
      <c r="P719" s="4">
        <v>714</v>
      </c>
      <c r="R719">
        <f t="shared" si="135"/>
        <v>714</v>
      </c>
      <c r="S719" s="218">
        <f t="shared" ca="1" si="140"/>
        <v>0</v>
      </c>
      <c r="T719" s="218">
        <f t="shared" ca="1" si="141"/>
        <v>0</v>
      </c>
      <c r="U719" s="4">
        <v>714</v>
      </c>
      <c r="W719">
        <f t="shared" si="136"/>
        <v>714</v>
      </c>
      <c r="X719" s="218" t="e">
        <f t="shared" si="142"/>
        <v>#REF!</v>
      </c>
      <c r="Y719" s="218" t="e">
        <f t="shared" si="143"/>
        <v>#REF!</v>
      </c>
      <c r="Z719" s="4">
        <v>714</v>
      </c>
      <c r="AB719">
        <f t="shared" si="137"/>
        <v>714</v>
      </c>
      <c r="AC719" s="218" t="e">
        <f t="shared" si="144"/>
        <v>#REF!</v>
      </c>
      <c r="AD719" s="218" t="e">
        <f t="shared" si="145"/>
        <v>#REF!</v>
      </c>
      <c r="AE719" s="4">
        <v>714</v>
      </c>
    </row>
    <row r="720" spans="13:31">
      <c r="M720">
        <f t="shared" si="134"/>
        <v>715</v>
      </c>
      <c r="N720" s="218">
        <f t="shared" si="138"/>
        <v>0</v>
      </c>
      <c r="O720" s="218">
        <f t="shared" si="139"/>
        <v>0</v>
      </c>
      <c r="P720" s="4">
        <v>715</v>
      </c>
      <c r="R720">
        <f t="shared" si="135"/>
        <v>715</v>
      </c>
      <c r="S720" s="218">
        <f t="shared" ca="1" si="140"/>
        <v>0</v>
      </c>
      <c r="T720" s="218">
        <f t="shared" ca="1" si="141"/>
        <v>0</v>
      </c>
      <c r="U720" s="4">
        <v>715</v>
      </c>
      <c r="W720">
        <f t="shared" si="136"/>
        <v>715</v>
      </c>
      <c r="X720" s="218" t="e">
        <f t="shared" si="142"/>
        <v>#REF!</v>
      </c>
      <c r="Y720" s="218" t="e">
        <f t="shared" si="143"/>
        <v>#REF!</v>
      </c>
      <c r="Z720" s="4">
        <v>715</v>
      </c>
      <c r="AB720">
        <f t="shared" si="137"/>
        <v>715</v>
      </c>
      <c r="AC720" s="218" t="e">
        <f t="shared" si="144"/>
        <v>#REF!</v>
      </c>
      <c r="AD720" s="218" t="e">
        <f t="shared" si="145"/>
        <v>#REF!</v>
      </c>
      <c r="AE720" s="4">
        <v>715</v>
      </c>
    </row>
    <row r="721" spans="13:31">
      <c r="M721">
        <f t="shared" si="134"/>
        <v>716</v>
      </c>
      <c r="N721" s="218">
        <f t="shared" si="138"/>
        <v>0</v>
      </c>
      <c r="O721" s="218">
        <f t="shared" si="139"/>
        <v>0</v>
      </c>
      <c r="P721" s="4">
        <v>716</v>
      </c>
      <c r="R721">
        <f t="shared" si="135"/>
        <v>716</v>
      </c>
      <c r="S721" s="218">
        <f t="shared" ca="1" si="140"/>
        <v>0</v>
      </c>
      <c r="T721" s="218">
        <f t="shared" ca="1" si="141"/>
        <v>0</v>
      </c>
      <c r="U721" s="4">
        <v>716</v>
      </c>
      <c r="W721">
        <f t="shared" si="136"/>
        <v>716</v>
      </c>
      <c r="X721" s="218" t="e">
        <f t="shared" si="142"/>
        <v>#REF!</v>
      </c>
      <c r="Y721" s="218" t="e">
        <f t="shared" si="143"/>
        <v>#REF!</v>
      </c>
      <c r="Z721" s="4">
        <v>716</v>
      </c>
      <c r="AB721">
        <f t="shared" si="137"/>
        <v>716</v>
      </c>
      <c r="AC721" s="218" t="e">
        <f t="shared" si="144"/>
        <v>#REF!</v>
      </c>
      <c r="AD721" s="218" t="e">
        <f t="shared" si="145"/>
        <v>#REF!</v>
      </c>
      <c r="AE721" s="4">
        <v>716</v>
      </c>
    </row>
    <row r="722" spans="13:31">
      <c r="M722">
        <f t="shared" si="134"/>
        <v>717</v>
      </c>
      <c r="N722" s="218">
        <f t="shared" si="138"/>
        <v>0</v>
      </c>
      <c r="O722" s="218">
        <f t="shared" si="139"/>
        <v>0</v>
      </c>
      <c r="P722" s="4">
        <v>717</v>
      </c>
      <c r="R722">
        <f t="shared" si="135"/>
        <v>717</v>
      </c>
      <c r="S722" s="218">
        <f t="shared" ca="1" si="140"/>
        <v>0</v>
      </c>
      <c r="T722" s="218">
        <f t="shared" ca="1" si="141"/>
        <v>0</v>
      </c>
      <c r="U722" s="4">
        <v>717</v>
      </c>
      <c r="W722">
        <f t="shared" si="136"/>
        <v>717</v>
      </c>
      <c r="X722" s="218" t="e">
        <f t="shared" si="142"/>
        <v>#REF!</v>
      </c>
      <c r="Y722" s="218" t="e">
        <f t="shared" si="143"/>
        <v>#REF!</v>
      </c>
      <c r="Z722" s="4">
        <v>717</v>
      </c>
      <c r="AB722">
        <f t="shared" si="137"/>
        <v>717</v>
      </c>
      <c r="AC722" s="218" t="e">
        <f t="shared" si="144"/>
        <v>#REF!</v>
      </c>
      <c r="AD722" s="218" t="e">
        <f t="shared" si="145"/>
        <v>#REF!</v>
      </c>
      <c r="AE722" s="4">
        <v>717</v>
      </c>
    </row>
    <row r="723" spans="13:31">
      <c r="M723">
        <f t="shared" si="134"/>
        <v>718</v>
      </c>
      <c r="N723" s="218">
        <f t="shared" si="138"/>
        <v>0</v>
      </c>
      <c r="O723" s="218">
        <f t="shared" si="139"/>
        <v>0</v>
      </c>
      <c r="P723" s="4">
        <v>718</v>
      </c>
      <c r="R723">
        <f t="shared" si="135"/>
        <v>718</v>
      </c>
      <c r="S723" s="218">
        <f t="shared" ca="1" si="140"/>
        <v>0</v>
      </c>
      <c r="T723" s="218">
        <f t="shared" ca="1" si="141"/>
        <v>0</v>
      </c>
      <c r="U723" s="4">
        <v>718</v>
      </c>
      <c r="W723">
        <f t="shared" si="136"/>
        <v>718</v>
      </c>
      <c r="X723" s="218" t="e">
        <f t="shared" si="142"/>
        <v>#REF!</v>
      </c>
      <c r="Y723" s="218" t="e">
        <f t="shared" si="143"/>
        <v>#REF!</v>
      </c>
      <c r="Z723" s="4">
        <v>718</v>
      </c>
      <c r="AB723">
        <f t="shared" si="137"/>
        <v>718</v>
      </c>
      <c r="AC723" s="218" t="e">
        <f t="shared" si="144"/>
        <v>#REF!</v>
      </c>
      <c r="AD723" s="218" t="e">
        <f t="shared" si="145"/>
        <v>#REF!</v>
      </c>
      <c r="AE723" s="4">
        <v>718</v>
      </c>
    </row>
    <row r="724" spans="13:31">
      <c r="M724">
        <f t="shared" si="134"/>
        <v>719</v>
      </c>
      <c r="N724" s="218">
        <f t="shared" si="138"/>
        <v>0</v>
      </c>
      <c r="O724" s="218">
        <f t="shared" si="139"/>
        <v>0</v>
      </c>
      <c r="P724" s="4">
        <v>719</v>
      </c>
      <c r="R724">
        <f t="shared" si="135"/>
        <v>719</v>
      </c>
      <c r="S724" s="218">
        <f t="shared" ca="1" si="140"/>
        <v>0</v>
      </c>
      <c r="T724" s="218">
        <f t="shared" ca="1" si="141"/>
        <v>0</v>
      </c>
      <c r="U724" s="4">
        <v>719</v>
      </c>
      <c r="W724">
        <f t="shared" si="136"/>
        <v>719</v>
      </c>
      <c r="X724" s="218" t="e">
        <f t="shared" si="142"/>
        <v>#REF!</v>
      </c>
      <c r="Y724" s="218" t="e">
        <f t="shared" si="143"/>
        <v>#REF!</v>
      </c>
      <c r="Z724" s="4">
        <v>719</v>
      </c>
      <c r="AB724">
        <f t="shared" si="137"/>
        <v>719</v>
      </c>
      <c r="AC724" s="218" t="e">
        <f t="shared" si="144"/>
        <v>#REF!</v>
      </c>
      <c r="AD724" s="218" t="e">
        <f t="shared" si="145"/>
        <v>#REF!</v>
      </c>
      <c r="AE724" s="4">
        <v>719</v>
      </c>
    </row>
    <row r="725" spans="13:31">
      <c r="M725">
        <f t="shared" si="134"/>
        <v>720</v>
      </c>
      <c r="N725" s="218">
        <f t="shared" si="138"/>
        <v>0</v>
      </c>
      <c r="O725" s="218">
        <f t="shared" si="139"/>
        <v>0</v>
      </c>
      <c r="P725" s="4">
        <v>720</v>
      </c>
      <c r="R725">
        <f t="shared" si="135"/>
        <v>720</v>
      </c>
      <c r="S725" s="218">
        <f t="shared" ca="1" si="140"/>
        <v>0</v>
      </c>
      <c r="T725" s="218">
        <f t="shared" ca="1" si="141"/>
        <v>0</v>
      </c>
      <c r="U725" s="4">
        <v>720</v>
      </c>
      <c r="W725">
        <f t="shared" si="136"/>
        <v>720</v>
      </c>
      <c r="X725" s="218" t="e">
        <f t="shared" si="142"/>
        <v>#REF!</v>
      </c>
      <c r="Y725" s="218" t="e">
        <f t="shared" si="143"/>
        <v>#REF!</v>
      </c>
      <c r="Z725" s="4">
        <v>720</v>
      </c>
      <c r="AB725">
        <f t="shared" si="137"/>
        <v>720</v>
      </c>
      <c r="AC725" s="218" t="e">
        <f t="shared" si="144"/>
        <v>#REF!</v>
      </c>
      <c r="AD725" s="218" t="e">
        <f t="shared" si="145"/>
        <v>#REF!</v>
      </c>
      <c r="AE725" s="4">
        <v>720</v>
      </c>
    </row>
    <row r="726" spans="13:31">
      <c r="M726">
        <f t="shared" si="134"/>
        <v>721</v>
      </c>
      <c r="N726" s="218">
        <f t="shared" si="138"/>
        <v>0</v>
      </c>
      <c r="O726" s="218">
        <f t="shared" si="139"/>
        <v>0</v>
      </c>
      <c r="P726" s="4">
        <v>721</v>
      </c>
      <c r="R726">
        <f t="shared" si="135"/>
        <v>721</v>
      </c>
      <c r="S726" s="218">
        <f t="shared" ca="1" si="140"/>
        <v>0</v>
      </c>
      <c r="T726" s="218">
        <f t="shared" ca="1" si="141"/>
        <v>0</v>
      </c>
      <c r="U726" s="4">
        <v>721</v>
      </c>
      <c r="W726">
        <f t="shared" si="136"/>
        <v>721</v>
      </c>
      <c r="X726" s="218" t="e">
        <f t="shared" si="142"/>
        <v>#REF!</v>
      </c>
      <c r="Y726" s="218" t="e">
        <f t="shared" si="143"/>
        <v>#REF!</v>
      </c>
      <c r="Z726" s="4">
        <v>721</v>
      </c>
      <c r="AB726">
        <f t="shared" si="137"/>
        <v>721</v>
      </c>
      <c r="AC726" s="218" t="e">
        <f t="shared" si="144"/>
        <v>#REF!</v>
      </c>
      <c r="AD726" s="218" t="e">
        <f t="shared" si="145"/>
        <v>#REF!</v>
      </c>
      <c r="AE726" s="4">
        <v>721</v>
      </c>
    </row>
    <row r="727" spans="13:31">
      <c r="M727">
        <f t="shared" si="134"/>
        <v>722</v>
      </c>
      <c r="N727" s="218">
        <f t="shared" si="138"/>
        <v>0</v>
      </c>
      <c r="O727" s="218">
        <f t="shared" si="139"/>
        <v>0</v>
      </c>
      <c r="P727" s="4">
        <v>722</v>
      </c>
      <c r="R727">
        <f t="shared" si="135"/>
        <v>722</v>
      </c>
      <c r="S727" s="218">
        <f t="shared" ca="1" si="140"/>
        <v>0</v>
      </c>
      <c r="T727" s="218">
        <f t="shared" ca="1" si="141"/>
        <v>0</v>
      </c>
      <c r="U727" s="4">
        <v>722</v>
      </c>
      <c r="W727">
        <f t="shared" si="136"/>
        <v>722</v>
      </c>
      <c r="X727" s="218" t="e">
        <f t="shared" si="142"/>
        <v>#REF!</v>
      </c>
      <c r="Y727" s="218" t="e">
        <f t="shared" si="143"/>
        <v>#REF!</v>
      </c>
      <c r="Z727" s="4">
        <v>722</v>
      </c>
      <c r="AB727">
        <f t="shared" si="137"/>
        <v>722</v>
      </c>
      <c r="AC727" s="218" t="e">
        <f t="shared" si="144"/>
        <v>#REF!</v>
      </c>
      <c r="AD727" s="218" t="e">
        <f t="shared" si="145"/>
        <v>#REF!</v>
      </c>
      <c r="AE727" s="4">
        <v>722</v>
      </c>
    </row>
    <row r="728" spans="13:31">
      <c r="M728">
        <f t="shared" si="134"/>
        <v>723</v>
      </c>
      <c r="N728" s="218">
        <f t="shared" si="138"/>
        <v>0</v>
      </c>
      <c r="O728" s="218">
        <f t="shared" si="139"/>
        <v>0</v>
      </c>
      <c r="P728" s="4">
        <v>723</v>
      </c>
      <c r="R728">
        <f t="shared" si="135"/>
        <v>723</v>
      </c>
      <c r="S728" s="218">
        <f t="shared" ca="1" si="140"/>
        <v>0</v>
      </c>
      <c r="T728" s="218">
        <f t="shared" ca="1" si="141"/>
        <v>0</v>
      </c>
      <c r="U728" s="4">
        <v>723</v>
      </c>
      <c r="W728">
        <f t="shared" si="136"/>
        <v>723</v>
      </c>
      <c r="X728" s="218" t="e">
        <f t="shared" si="142"/>
        <v>#REF!</v>
      </c>
      <c r="Y728" s="218" t="e">
        <f t="shared" si="143"/>
        <v>#REF!</v>
      </c>
      <c r="Z728" s="4">
        <v>723</v>
      </c>
      <c r="AB728">
        <f t="shared" si="137"/>
        <v>723</v>
      </c>
      <c r="AC728" s="218" t="e">
        <f t="shared" si="144"/>
        <v>#REF!</v>
      </c>
      <c r="AD728" s="218" t="e">
        <f t="shared" si="145"/>
        <v>#REF!</v>
      </c>
      <c r="AE728" s="4">
        <v>723</v>
      </c>
    </row>
    <row r="729" spans="13:31">
      <c r="M729">
        <f t="shared" si="134"/>
        <v>724</v>
      </c>
      <c r="N729" s="218">
        <f t="shared" si="138"/>
        <v>0</v>
      </c>
      <c r="O729" s="218">
        <f t="shared" si="139"/>
        <v>0</v>
      </c>
      <c r="P729" s="4">
        <v>724</v>
      </c>
      <c r="R729">
        <f t="shared" si="135"/>
        <v>724</v>
      </c>
      <c r="S729" s="218">
        <f t="shared" ca="1" si="140"/>
        <v>0</v>
      </c>
      <c r="T729" s="218">
        <f t="shared" ca="1" si="141"/>
        <v>0</v>
      </c>
      <c r="U729" s="4">
        <v>724</v>
      </c>
      <c r="W729">
        <f t="shared" si="136"/>
        <v>724</v>
      </c>
      <c r="X729" s="218" t="e">
        <f t="shared" si="142"/>
        <v>#REF!</v>
      </c>
      <c r="Y729" s="218" t="e">
        <f t="shared" si="143"/>
        <v>#REF!</v>
      </c>
      <c r="Z729" s="4">
        <v>724</v>
      </c>
      <c r="AB729">
        <f t="shared" si="137"/>
        <v>724</v>
      </c>
      <c r="AC729" s="218" t="e">
        <f t="shared" si="144"/>
        <v>#REF!</v>
      </c>
      <c r="AD729" s="218" t="e">
        <f t="shared" si="145"/>
        <v>#REF!</v>
      </c>
      <c r="AE729" s="4">
        <v>724</v>
      </c>
    </row>
    <row r="730" spans="13:31">
      <c r="M730">
        <f t="shared" si="134"/>
        <v>725</v>
      </c>
      <c r="N730" s="218">
        <f t="shared" si="138"/>
        <v>0</v>
      </c>
      <c r="O730" s="218">
        <f t="shared" si="139"/>
        <v>0</v>
      </c>
      <c r="P730" s="4">
        <v>725</v>
      </c>
      <c r="R730">
        <f t="shared" si="135"/>
        <v>725</v>
      </c>
      <c r="S730" s="218">
        <f t="shared" ca="1" si="140"/>
        <v>0</v>
      </c>
      <c r="T730" s="218">
        <f t="shared" ca="1" si="141"/>
        <v>0</v>
      </c>
      <c r="U730" s="4">
        <v>725</v>
      </c>
      <c r="W730">
        <f t="shared" si="136"/>
        <v>725</v>
      </c>
      <c r="X730" s="218" t="e">
        <f t="shared" si="142"/>
        <v>#REF!</v>
      </c>
      <c r="Y730" s="218" t="e">
        <f t="shared" si="143"/>
        <v>#REF!</v>
      </c>
      <c r="Z730" s="4">
        <v>725</v>
      </c>
      <c r="AB730">
        <f t="shared" si="137"/>
        <v>725</v>
      </c>
      <c r="AC730" s="218" t="e">
        <f t="shared" si="144"/>
        <v>#REF!</v>
      </c>
      <c r="AD730" s="218" t="e">
        <f t="shared" si="145"/>
        <v>#REF!</v>
      </c>
      <c r="AE730" s="4">
        <v>725</v>
      </c>
    </row>
    <row r="731" spans="13:31">
      <c r="M731">
        <f t="shared" si="134"/>
        <v>726</v>
      </c>
      <c r="N731" s="218">
        <f t="shared" si="138"/>
        <v>0</v>
      </c>
      <c r="O731" s="218">
        <f t="shared" si="139"/>
        <v>0</v>
      </c>
      <c r="P731" s="4">
        <v>726</v>
      </c>
      <c r="R731">
        <f t="shared" si="135"/>
        <v>726</v>
      </c>
      <c r="S731" s="218">
        <f t="shared" ca="1" si="140"/>
        <v>0</v>
      </c>
      <c r="T731" s="218">
        <f t="shared" ca="1" si="141"/>
        <v>0</v>
      </c>
      <c r="U731" s="4">
        <v>726</v>
      </c>
      <c r="W731">
        <f t="shared" si="136"/>
        <v>726</v>
      </c>
      <c r="X731" s="218" t="e">
        <f t="shared" si="142"/>
        <v>#REF!</v>
      </c>
      <c r="Y731" s="218" t="e">
        <f t="shared" si="143"/>
        <v>#REF!</v>
      </c>
      <c r="Z731" s="4">
        <v>726</v>
      </c>
      <c r="AB731">
        <f t="shared" si="137"/>
        <v>726</v>
      </c>
      <c r="AC731" s="218" t="e">
        <f t="shared" si="144"/>
        <v>#REF!</v>
      </c>
      <c r="AD731" s="218" t="e">
        <f t="shared" si="145"/>
        <v>#REF!</v>
      </c>
      <c r="AE731" s="4">
        <v>726</v>
      </c>
    </row>
    <row r="732" spans="13:31">
      <c r="M732">
        <f t="shared" si="134"/>
        <v>727</v>
      </c>
      <c r="N732" s="218">
        <f t="shared" si="138"/>
        <v>0</v>
      </c>
      <c r="O732" s="218">
        <f t="shared" si="139"/>
        <v>0</v>
      </c>
      <c r="P732" s="4">
        <v>727</v>
      </c>
      <c r="R732">
        <f t="shared" si="135"/>
        <v>727</v>
      </c>
      <c r="S732" s="218">
        <f t="shared" ca="1" si="140"/>
        <v>0</v>
      </c>
      <c r="T732" s="218">
        <f t="shared" ca="1" si="141"/>
        <v>0</v>
      </c>
      <c r="U732" s="4">
        <v>727</v>
      </c>
      <c r="W732">
        <f t="shared" si="136"/>
        <v>727</v>
      </c>
      <c r="X732" s="218" t="e">
        <f t="shared" si="142"/>
        <v>#REF!</v>
      </c>
      <c r="Y732" s="218" t="e">
        <f t="shared" si="143"/>
        <v>#REF!</v>
      </c>
      <c r="Z732" s="4">
        <v>727</v>
      </c>
      <c r="AB732">
        <f t="shared" si="137"/>
        <v>727</v>
      </c>
      <c r="AC732" s="218" t="e">
        <f t="shared" si="144"/>
        <v>#REF!</v>
      </c>
      <c r="AD732" s="218" t="e">
        <f t="shared" si="145"/>
        <v>#REF!</v>
      </c>
      <c r="AE732" s="4">
        <v>727</v>
      </c>
    </row>
    <row r="733" spans="13:31">
      <c r="M733">
        <f t="shared" si="134"/>
        <v>728</v>
      </c>
      <c r="N733" s="218">
        <f t="shared" si="138"/>
        <v>0</v>
      </c>
      <c r="O733" s="218">
        <f t="shared" si="139"/>
        <v>0</v>
      </c>
      <c r="P733" s="4">
        <v>728</v>
      </c>
      <c r="R733">
        <f t="shared" si="135"/>
        <v>728</v>
      </c>
      <c r="S733" s="218">
        <f t="shared" ca="1" si="140"/>
        <v>0</v>
      </c>
      <c r="T733" s="218">
        <f t="shared" ca="1" si="141"/>
        <v>0</v>
      </c>
      <c r="U733" s="4">
        <v>728</v>
      </c>
      <c r="W733">
        <f t="shared" si="136"/>
        <v>728</v>
      </c>
      <c r="X733" s="218" t="e">
        <f t="shared" si="142"/>
        <v>#REF!</v>
      </c>
      <c r="Y733" s="218" t="e">
        <f t="shared" si="143"/>
        <v>#REF!</v>
      </c>
      <c r="Z733" s="4">
        <v>728</v>
      </c>
      <c r="AB733">
        <f t="shared" si="137"/>
        <v>728</v>
      </c>
      <c r="AC733" s="218" t="e">
        <f t="shared" si="144"/>
        <v>#REF!</v>
      </c>
      <c r="AD733" s="218" t="e">
        <f t="shared" si="145"/>
        <v>#REF!</v>
      </c>
      <c r="AE733" s="4">
        <v>728</v>
      </c>
    </row>
    <row r="734" spans="13:31">
      <c r="M734">
        <f t="shared" si="134"/>
        <v>729</v>
      </c>
      <c r="N734" s="218">
        <f t="shared" si="138"/>
        <v>0</v>
      </c>
      <c r="O734" s="218">
        <f t="shared" si="139"/>
        <v>0</v>
      </c>
      <c r="P734" s="4">
        <v>729</v>
      </c>
      <c r="R734">
        <f t="shared" si="135"/>
        <v>729</v>
      </c>
      <c r="S734" s="218">
        <f t="shared" ca="1" si="140"/>
        <v>0</v>
      </c>
      <c r="T734" s="218">
        <f t="shared" ca="1" si="141"/>
        <v>0</v>
      </c>
      <c r="U734" s="4">
        <v>729</v>
      </c>
      <c r="W734">
        <f t="shared" si="136"/>
        <v>729</v>
      </c>
      <c r="X734" s="218" t="e">
        <f t="shared" si="142"/>
        <v>#REF!</v>
      </c>
      <c r="Y734" s="218" t="e">
        <f t="shared" si="143"/>
        <v>#REF!</v>
      </c>
      <c r="Z734" s="4">
        <v>729</v>
      </c>
      <c r="AB734">
        <f t="shared" si="137"/>
        <v>729</v>
      </c>
      <c r="AC734" s="218" t="e">
        <f t="shared" si="144"/>
        <v>#REF!</v>
      </c>
      <c r="AD734" s="218" t="e">
        <f t="shared" si="145"/>
        <v>#REF!</v>
      </c>
      <c r="AE734" s="4">
        <v>729</v>
      </c>
    </row>
    <row r="735" spans="13:31">
      <c r="M735">
        <f t="shared" si="134"/>
        <v>730</v>
      </c>
      <c r="N735" s="218">
        <f t="shared" si="138"/>
        <v>0</v>
      </c>
      <c r="O735" s="218">
        <f t="shared" si="139"/>
        <v>0</v>
      </c>
      <c r="P735" s="4">
        <v>730</v>
      </c>
      <c r="R735">
        <f t="shared" si="135"/>
        <v>730</v>
      </c>
      <c r="S735" s="218">
        <f t="shared" ca="1" si="140"/>
        <v>0</v>
      </c>
      <c r="T735" s="218">
        <f t="shared" ca="1" si="141"/>
        <v>0</v>
      </c>
      <c r="U735" s="4">
        <v>730</v>
      </c>
      <c r="W735">
        <f t="shared" si="136"/>
        <v>730</v>
      </c>
      <c r="X735" s="218" t="e">
        <f t="shared" si="142"/>
        <v>#REF!</v>
      </c>
      <c r="Y735" s="218" t="e">
        <f t="shared" si="143"/>
        <v>#REF!</v>
      </c>
      <c r="Z735" s="4">
        <v>730</v>
      </c>
      <c r="AB735">
        <f t="shared" si="137"/>
        <v>730</v>
      </c>
      <c r="AC735" s="218" t="e">
        <f t="shared" si="144"/>
        <v>#REF!</v>
      </c>
      <c r="AD735" s="218" t="e">
        <f t="shared" si="145"/>
        <v>#REF!</v>
      </c>
      <c r="AE735" s="4">
        <v>730</v>
      </c>
    </row>
    <row r="736" spans="13:31">
      <c r="M736">
        <f t="shared" si="134"/>
        <v>731</v>
      </c>
      <c r="N736" s="218">
        <f t="shared" si="138"/>
        <v>0</v>
      </c>
      <c r="O736" s="218">
        <f t="shared" si="139"/>
        <v>0</v>
      </c>
      <c r="P736" s="4">
        <v>731</v>
      </c>
      <c r="R736">
        <f t="shared" si="135"/>
        <v>731</v>
      </c>
      <c r="S736" s="218">
        <f t="shared" ca="1" si="140"/>
        <v>0</v>
      </c>
      <c r="T736" s="218">
        <f t="shared" ca="1" si="141"/>
        <v>0</v>
      </c>
      <c r="U736" s="4">
        <v>731</v>
      </c>
      <c r="W736">
        <f t="shared" si="136"/>
        <v>731</v>
      </c>
      <c r="X736" s="218" t="e">
        <f t="shared" si="142"/>
        <v>#REF!</v>
      </c>
      <c r="Y736" s="218" t="e">
        <f t="shared" si="143"/>
        <v>#REF!</v>
      </c>
      <c r="Z736" s="4">
        <v>731</v>
      </c>
      <c r="AB736">
        <f t="shared" si="137"/>
        <v>731</v>
      </c>
      <c r="AC736" s="218" t="e">
        <f t="shared" si="144"/>
        <v>#REF!</v>
      </c>
      <c r="AD736" s="218" t="e">
        <f t="shared" si="145"/>
        <v>#REF!</v>
      </c>
      <c r="AE736" s="4">
        <v>731</v>
      </c>
    </row>
    <row r="737" spans="13:31">
      <c r="M737">
        <f t="shared" si="134"/>
        <v>732</v>
      </c>
      <c r="N737" s="218">
        <f t="shared" si="138"/>
        <v>0</v>
      </c>
      <c r="O737" s="218">
        <f t="shared" si="139"/>
        <v>0</v>
      </c>
      <c r="P737" s="4">
        <v>732</v>
      </c>
      <c r="R737">
        <f t="shared" si="135"/>
        <v>732</v>
      </c>
      <c r="S737" s="218">
        <f t="shared" ca="1" si="140"/>
        <v>0</v>
      </c>
      <c r="T737" s="218">
        <f t="shared" ca="1" si="141"/>
        <v>0</v>
      </c>
      <c r="U737" s="4">
        <v>732</v>
      </c>
      <c r="W737">
        <f t="shared" si="136"/>
        <v>732</v>
      </c>
      <c r="X737" s="218" t="e">
        <f t="shared" si="142"/>
        <v>#REF!</v>
      </c>
      <c r="Y737" s="218" t="e">
        <f t="shared" si="143"/>
        <v>#REF!</v>
      </c>
      <c r="Z737" s="4">
        <v>732</v>
      </c>
      <c r="AB737">
        <f t="shared" si="137"/>
        <v>732</v>
      </c>
      <c r="AC737" s="218" t="e">
        <f t="shared" si="144"/>
        <v>#REF!</v>
      </c>
      <c r="AD737" s="218" t="e">
        <f t="shared" si="145"/>
        <v>#REF!</v>
      </c>
      <c r="AE737" s="4">
        <v>732</v>
      </c>
    </row>
    <row r="738" spans="13:31">
      <c r="M738">
        <f t="shared" si="134"/>
        <v>733</v>
      </c>
      <c r="N738" s="218">
        <f t="shared" si="138"/>
        <v>0</v>
      </c>
      <c r="O738" s="218">
        <f t="shared" si="139"/>
        <v>0</v>
      </c>
      <c r="P738" s="4">
        <v>733</v>
      </c>
      <c r="R738">
        <f t="shared" si="135"/>
        <v>733</v>
      </c>
      <c r="S738" s="218">
        <f t="shared" ca="1" si="140"/>
        <v>0</v>
      </c>
      <c r="T738" s="218">
        <f t="shared" ca="1" si="141"/>
        <v>0</v>
      </c>
      <c r="U738" s="4">
        <v>733</v>
      </c>
      <c r="W738">
        <f t="shared" si="136"/>
        <v>733</v>
      </c>
      <c r="X738" s="218" t="e">
        <f t="shared" si="142"/>
        <v>#REF!</v>
      </c>
      <c r="Y738" s="218" t="e">
        <f t="shared" si="143"/>
        <v>#REF!</v>
      </c>
      <c r="Z738" s="4">
        <v>733</v>
      </c>
      <c r="AB738">
        <f t="shared" si="137"/>
        <v>733</v>
      </c>
      <c r="AC738" s="218" t="e">
        <f t="shared" si="144"/>
        <v>#REF!</v>
      </c>
      <c r="AD738" s="218" t="e">
        <f t="shared" si="145"/>
        <v>#REF!</v>
      </c>
      <c r="AE738" s="4">
        <v>733</v>
      </c>
    </row>
    <row r="739" spans="13:31">
      <c r="M739">
        <f t="shared" si="134"/>
        <v>734</v>
      </c>
      <c r="N739" s="218">
        <f t="shared" si="138"/>
        <v>0</v>
      </c>
      <c r="O739" s="218">
        <f t="shared" si="139"/>
        <v>0</v>
      </c>
      <c r="P739" s="4">
        <v>734</v>
      </c>
      <c r="R739">
        <f t="shared" si="135"/>
        <v>734</v>
      </c>
      <c r="S739" s="218">
        <f t="shared" ca="1" si="140"/>
        <v>0</v>
      </c>
      <c r="T739" s="218">
        <f t="shared" ca="1" si="141"/>
        <v>0</v>
      </c>
      <c r="U739" s="4">
        <v>734</v>
      </c>
      <c r="W739">
        <f t="shared" si="136"/>
        <v>734</v>
      </c>
      <c r="X739" s="218" t="e">
        <f t="shared" si="142"/>
        <v>#REF!</v>
      </c>
      <c r="Y739" s="218" t="e">
        <f t="shared" si="143"/>
        <v>#REF!</v>
      </c>
      <c r="Z739" s="4">
        <v>734</v>
      </c>
      <c r="AB739">
        <f t="shared" si="137"/>
        <v>734</v>
      </c>
      <c r="AC739" s="218" t="e">
        <f t="shared" si="144"/>
        <v>#REF!</v>
      </c>
      <c r="AD739" s="218" t="e">
        <f t="shared" si="145"/>
        <v>#REF!</v>
      </c>
      <c r="AE739" s="4">
        <v>734</v>
      </c>
    </row>
    <row r="740" spans="13:31">
      <c r="M740">
        <f t="shared" si="134"/>
        <v>735</v>
      </c>
      <c r="N740" s="218">
        <f t="shared" si="138"/>
        <v>0</v>
      </c>
      <c r="O740" s="218">
        <f t="shared" si="139"/>
        <v>0</v>
      </c>
      <c r="P740" s="4">
        <v>735</v>
      </c>
      <c r="R740">
        <f t="shared" si="135"/>
        <v>735</v>
      </c>
      <c r="S740" s="218">
        <f t="shared" ca="1" si="140"/>
        <v>0</v>
      </c>
      <c r="T740" s="218">
        <f t="shared" ca="1" si="141"/>
        <v>0</v>
      </c>
      <c r="U740" s="4">
        <v>735</v>
      </c>
      <c r="W740">
        <f t="shared" si="136"/>
        <v>735</v>
      </c>
      <c r="X740" s="218" t="e">
        <f t="shared" si="142"/>
        <v>#REF!</v>
      </c>
      <c r="Y740" s="218" t="e">
        <f t="shared" si="143"/>
        <v>#REF!</v>
      </c>
      <c r="Z740" s="4">
        <v>735</v>
      </c>
      <c r="AB740">
        <f t="shared" si="137"/>
        <v>735</v>
      </c>
      <c r="AC740" s="218" t="e">
        <f t="shared" si="144"/>
        <v>#REF!</v>
      </c>
      <c r="AD740" s="218" t="e">
        <f t="shared" si="145"/>
        <v>#REF!</v>
      </c>
      <c r="AE740" s="4">
        <v>735</v>
      </c>
    </row>
    <row r="741" spans="13:31">
      <c r="M741">
        <f t="shared" si="134"/>
        <v>736</v>
      </c>
      <c r="N741" s="218">
        <f t="shared" si="138"/>
        <v>0</v>
      </c>
      <c r="O741" s="218">
        <f t="shared" si="139"/>
        <v>0</v>
      </c>
      <c r="P741" s="4">
        <v>736</v>
      </c>
      <c r="R741">
        <f t="shared" si="135"/>
        <v>736</v>
      </c>
      <c r="S741" s="218">
        <f t="shared" ca="1" si="140"/>
        <v>0</v>
      </c>
      <c r="T741" s="218">
        <f t="shared" ca="1" si="141"/>
        <v>0</v>
      </c>
      <c r="U741" s="4">
        <v>736</v>
      </c>
      <c r="W741">
        <f t="shared" si="136"/>
        <v>736</v>
      </c>
      <c r="X741" s="218" t="e">
        <f t="shared" si="142"/>
        <v>#REF!</v>
      </c>
      <c r="Y741" s="218" t="e">
        <f t="shared" si="143"/>
        <v>#REF!</v>
      </c>
      <c r="Z741" s="4">
        <v>736</v>
      </c>
      <c r="AB741">
        <f t="shared" si="137"/>
        <v>736</v>
      </c>
      <c r="AC741" s="218" t="e">
        <f t="shared" si="144"/>
        <v>#REF!</v>
      </c>
      <c r="AD741" s="218" t="e">
        <f t="shared" si="145"/>
        <v>#REF!</v>
      </c>
      <c r="AE741" s="4">
        <v>736</v>
      </c>
    </row>
    <row r="742" spans="13:31">
      <c r="M742">
        <f t="shared" si="134"/>
        <v>737</v>
      </c>
      <c r="N742" s="218">
        <f t="shared" si="138"/>
        <v>0</v>
      </c>
      <c r="O742" s="218">
        <f t="shared" si="139"/>
        <v>0</v>
      </c>
      <c r="P742" s="4">
        <v>737</v>
      </c>
      <c r="R742">
        <f t="shared" si="135"/>
        <v>737</v>
      </c>
      <c r="S742" s="218">
        <f t="shared" ca="1" si="140"/>
        <v>0</v>
      </c>
      <c r="T742" s="218">
        <f t="shared" ca="1" si="141"/>
        <v>0</v>
      </c>
      <c r="U742" s="4">
        <v>737</v>
      </c>
      <c r="W742">
        <f t="shared" si="136"/>
        <v>737</v>
      </c>
      <c r="X742" s="218" t="e">
        <f t="shared" si="142"/>
        <v>#REF!</v>
      </c>
      <c r="Y742" s="218" t="e">
        <f t="shared" si="143"/>
        <v>#REF!</v>
      </c>
      <c r="Z742" s="4">
        <v>737</v>
      </c>
      <c r="AB742">
        <f t="shared" si="137"/>
        <v>737</v>
      </c>
      <c r="AC742" s="218" t="e">
        <f t="shared" si="144"/>
        <v>#REF!</v>
      </c>
      <c r="AD742" s="218" t="e">
        <f t="shared" si="145"/>
        <v>#REF!</v>
      </c>
      <c r="AE742" s="4">
        <v>737</v>
      </c>
    </row>
    <row r="743" spans="13:31">
      <c r="M743">
        <f t="shared" si="134"/>
        <v>738</v>
      </c>
      <c r="N743" s="218">
        <f t="shared" si="138"/>
        <v>0</v>
      </c>
      <c r="O743" s="218">
        <f t="shared" si="139"/>
        <v>0</v>
      </c>
      <c r="P743" s="4">
        <v>738</v>
      </c>
      <c r="R743">
        <f t="shared" si="135"/>
        <v>738</v>
      </c>
      <c r="S743" s="218">
        <f t="shared" ca="1" si="140"/>
        <v>0</v>
      </c>
      <c r="T743" s="218">
        <f t="shared" ca="1" si="141"/>
        <v>0</v>
      </c>
      <c r="U743" s="4">
        <v>738</v>
      </c>
      <c r="W743">
        <f t="shared" si="136"/>
        <v>738</v>
      </c>
      <c r="X743" s="218" t="e">
        <f t="shared" si="142"/>
        <v>#REF!</v>
      </c>
      <c r="Y743" s="218" t="e">
        <f t="shared" si="143"/>
        <v>#REF!</v>
      </c>
      <c r="Z743" s="4">
        <v>738</v>
      </c>
      <c r="AB743">
        <f t="shared" si="137"/>
        <v>738</v>
      </c>
      <c r="AC743" s="218" t="e">
        <f t="shared" si="144"/>
        <v>#REF!</v>
      </c>
      <c r="AD743" s="218" t="e">
        <f t="shared" si="145"/>
        <v>#REF!</v>
      </c>
      <c r="AE743" s="4">
        <v>738</v>
      </c>
    </row>
    <row r="744" spans="13:31">
      <c r="M744">
        <f t="shared" si="134"/>
        <v>739</v>
      </c>
      <c r="N744" s="218">
        <f t="shared" si="138"/>
        <v>0</v>
      </c>
      <c r="O744" s="218">
        <f t="shared" si="139"/>
        <v>0</v>
      </c>
      <c r="P744" s="4">
        <v>739</v>
      </c>
      <c r="R744">
        <f t="shared" si="135"/>
        <v>739</v>
      </c>
      <c r="S744" s="218">
        <f t="shared" ca="1" si="140"/>
        <v>0</v>
      </c>
      <c r="T744" s="218">
        <f t="shared" ca="1" si="141"/>
        <v>0</v>
      </c>
      <c r="U744" s="4">
        <v>739</v>
      </c>
      <c r="W744">
        <f t="shared" si="136"/>
        <v>739</v>
      </c>
      <c r="X744" s="218" t="e">
        <f t="shared" si="142"/>
        <v>#REF!</v>
      </c>
      <c r="Y744" s="218" t="e">
        <f t="shared" si="143"/>
        <v>#REF!</v>
      </c>
      <c r="Z744" s="4">
        <v>739</v>
      </c>
      <c r="AB744">
        <f t="shared" si="137"/>
        <v>739</v>
      </c>
      <c r="AC744" s="218" t="e">
        <f t="shared" si="144"/>
        <v>#REF!</v>
      </c>
      <c r="AD744" s="218" t="e">
        <f t="shared" si="145"/>
        <v>#REF!</v>
      </c>
      <c r="AE744" s="4">
        <v>739</v>
      </c>
    </row>
    <row r="745" spans="13:31">
      <c r="M745">
        <f t="shared" si="134"/>
        <v>740</v>
      </c>
      <c r="N745" s="218">
        <f t="shared" si="138"/>
        <v>0</v>
      </c>
      <c r="O745" s="218">
        <f t="shared" si="139"/>
        <v>0</v>
      </c>
      <c r="P745" s="4">
        <v>740</v>
      </c>
      <c r="R745">
        <f t="shared" si="135"/>
        <v>740</v>
      </c>
      <c r="S745" s="218">
        <f t="shared" ca="1" si="140"/>
        <v>0</v>
      </c>
      <c r="T745" s="218">
        <f t="shared" ca="1" si="141"/>
        <v>0</v>
      </c>
      <c r="U745" s="4">
        <v>740</v>
      </c>
      <c r="W745">
        <f t="shared" si="136"/>
        <v>740</v>
      </c>
      <c r="X745" s="218" t="e">
        <f t="shared" si="142"/>
        <v>#REF!</v>
      </c>
      <c r="Y745" s="218" t="e">
        <f t="shared" si="143"/>
        <v>#REF!</v>
      </c>
      <c r="Z745" s="4">
        <v>740</v>
      </c>
      <c r="AB745">
        <f t="shared" si="137"/>
        <v>740</v>
      </c>
      <c r="AC745" s="218" t="e">
        <f t="shared" si="144"/>
        <v>#REF!</v>
      </c>
      <c r="AD745" s="218" t="e">
        <f t="shared" si="145"/>
        <v>#REF!</v>
      </c>
      <c r="AE745" s="4">
        <v>740</v>
      </c>
    </row>
    <row r="746" spans="13:31">
      <c r="M746">
        <f t="shared" si="134"/>
        <v>741</v>
      </c>
      <c r="N746" s="218">
        <f t="shared" si="138"/>
        <v>0</v>
      </c>
      <c r="O746" s="218">
        <f t="shared" si="139"/>
        <v>0</v>
      </c>
      <c r="P746" s="4">
        <v>741</v>
      </c>
      <c r="R746">
        <f t="shared" si="135"/>
        <v>741</v>
      </c>
      <c r="S746" s="218">
        <f t="shared" ca="1" si="140"/>
        <v>0</v>
      </c>
      <c r="T746" s="218">
        <f t="shared" ca="1" si="141"/>
        <v>0</v>
      </c>
      <c r="U746" s="4">
        <v>741</v>
      </c>
      <c r="W746">
        <f t="shared" si="136"/>
        <v>741</v>
      </c>
      <c r="X746" s="218" t="e">
        <f t="shared" si="142"/>
        <v>#REF!</v>
      </c>
      <c r="Y746" s="218" t="e">
        <f t="shared" si="143"/>
        <v>#REF!</v>
      </c>
      <c r="Z746" s="4">
        <v>741</v>
      </c>
      <c r="AB746">
        <f t="shared" si="137"/>
        <v>741</v>
      </c>
      <c r="AC746" s="218" t="e">
        <f t="shared" si="144"/>
        <v>#REF!</v>
      </c>
      <c r="AD746" s="218" t="e">
        <f t="shared" si="145"/>
        <v>#REF!</v>
      </c>
      <c r="AE746" s="4">
        <v>741</v>
      </c>
    </row>
    <row r="747" spans="13:31">
      <c r="M747">
        <f t="shared" si="134"/>
        <v>742</v>
      </c>
      <c r="N747" s="218">
        <f t="shared" si="138"/>
        <v>0</v>
      </c>
      <c r="O747" s="218">
        <f t="shared" si="139"/>
        <v>0</v>
      </c>
      <c r="P747" s="4">
        <v>742</v>
      </c>
      <c r="R747">
        <f t="shared" si="135"/>
        <v>742</v>
      </c>
      <c r="S747" s="218">
        <f t="shared" ca="1" si="140"/>
        <v>0</v>
      </c>
      <c r="T747" s="218">
        <f t="shared" ca="1" si="141"/>
        <v>0</v>
      </c>
      <c r="U747" s="4">
        <v>742</v>
      </c>
      <c r="W747">
        <f t="shared" si="136"/>
        <v>742</v>
      </c>
      <c r="X747" s="218" t="e">
        <f t="shared" si="142"/>
        <v>#REF!</v>
      </c>
      <c r="Y747" s="218" t="e">
        <f t="shared" si="143"/>
        <v>#REF!</v>
      </c>
      <c r="Z747" s="4">
        <v>742</v>
      </c>
      <c r="AB747">
        <f t="shared" si="137"/>
        <v>742</v>
      </c>
      <c r="AC747" s="218" t="e">
        <f t="shared" si="144"/>
        <v>#REF!</v>
      </c>
      <c r="AD747" s="218" t="e">
        <f t="shared" si="145"/>
        <v>#REF!</v>
      </c>
      <c r="AE747" s="4">
        <v>742</v>
      </c>
    </row>
    <row r="748" spans="13:31">
      <c r="M748">
        <f t="shared" si="134"/>
        <v>743</v>
      </c>
      <c r="N748" s="218">
        <f t="shared" si="138"/>
        <v>0</v>
      </c>
      <c r="O748" s="218">
        <f t="shared" si="139"/>
        <v>0</v>
      </c>
      <c r="P748" s="4">
        <v>743</v>
      </c>
      <c r="R748">
        <f t="shared" si="135"/>
        <v>743</v>
      </c>
      <c r="S748" s="218">
        <f t="shared" ca="1" si="140"/>
        <v>0</v>
      </c>
      <c r="T748" s="218">
        <f t="shared" ca="1" si="141"/>
        <v>0</v>
      </c>
      <c r="U748" s="4">
        <v>743</v>
      </c>
      <c r="W748">
        <f t="shared" si="136"/>
        <v>743</v>
      </c>
      <c r="X748" s="218" t="e">
        <f t="shared" si="142"/>
        <v>#REF!</v>
      </c>
      <c r="Y748" s="218" t="e">
        <f t="shared" si="143"/>
        <v>#REF!</v>
      </c>
      <c r="Z748" s="4">
        <v>743</v>
      </c>
      <c r="AB748">
        <f t="shared" si="137"/>
        <v>743</v>
      </c>
      <c r="AC748" s="218" t="e">
        <f t="shared" si="144"/>
        <v>#REF!</v>
      </c>
      <c r="AD748" s="218" t="e">
        <f t="shared" si="145"/>
        <v>#REF!</v>
      </c>
      <c r="AE748" s="4">
        <v>743</v>
      </c>
    </row>
    <row r="749" spans="13:31">
      <c r="M749">
        <f t="shared" si="134"/>
        <v>744</v>
      </c>
      <c r="N749" s="218">
        <f t="shared" si="138"/>
        <v>0</v>
      </c>
      <c r="O749" s="218">
        <f t="shared" si="139"/>
        <v>0</v>
      </c>
      <c r="P749" s="4">
        <v>744</v>
      </c>
      <c r="R749">
        <f t="shared" si="135"/>
        <v>744</v>
      </c>
      <c r="S749" s="218">
        <f t="shared" ca="1" si="140"/>
        <v>0</v>
      </c>
      <c r="T749" s="218">
        <f t="shared" ca="1" si="141"/>
        <v>0</v>
      </c>
      <c r="U749" s="4">
        <v>744</v>
      </c>
      <c r="W749">
        <f t="shared" si="136"/>
        <v>744</v>
      </c>
      <c r="X749" s="218" t="e">
        <f t="shared" si="142"/>
        <v>#REF!</v>
      </c>
      <c r="Y749" s="218" t="e">
        <f t="shared" si="143"/>
        <v>#REF!</v>
      </c>
      <c r="Z749" s="4">
        <v>744</v>
      </c>
      <c r="AB749">
        <f t="shared" si="137"/>
        <v>744</v>
      </c>
      <c r="AC749" s="218" t="e">
        <f t="shared" si="144"/>
        <v>#REF!</v>
      </c>
      <c r="AD749" s="218" t="e">
        <f t="shared" si="145"/>
        <v>#REF!</v>
      </c>
      <c r="AE749" s="4">
        <v>744</v>
      </c>
    </row>
    <row r="750" spans="13:31">
      <c r="M750">
        <f t="shared" si="134"/>
        <v>745</v>
      </c>
      <c r="N750" s="218">
        <f t="shared" si="138"/>
        <v>0</v>
      </c>
      <c r="O750" s="218">
        <f t="shared" si="139"/>
        <v>0</v>
      </c>
      <c r="P750" s="4">
        <v>745</v>
      </c>
      <c r="R750">
        <f t="shared" si="135"/>
        <v>745</v>
      </c>
      <c r="S750" s="218">
        <f t="shared" ca="1" si="140"/>
        <v>0</v>
      </c>
      <c r="T750" s="218">
        <f t="shared" ca="1" si="141"/>
        <v>0</v>
      </c>
      <c r="U750" s="4">
        <v>745</v>
      </c>
      <c r="W750">
        <f t="shared" si="136"/>
        <v>745</v>
      </c>
      <c r="X750" s="218" t="e">
        <f t="shared" si="142"/>
        <v>#REF!</v>
      </c>
      <c r="Y750" s="218" t="e">
        <f t="shared" si="143"/>
        <v>#REF!</v>
      </c>
      <c r="Z750" s="4">
        <v>745</v>
      </c>
      <c r="AB750">
        <f t="shared" si="137"/>
        <v>745</v>
      </c>
      <c r="AC750" s="218" t="e">
        <f t="shared" si="144"/>
        <v>#REF!</v>
      </c>
      <c r="AD750" s="218" t="e">
        <f t="shared" si="145"/>
        <v>#REF!</v>
      </c>
      <c r="AE750" s="4">
        <v>745</v>
      </c>
    </row>
    <row r="751" spans="13:31">
      <c r="M751">
        <f t="shared" si="134"/>
        <v>746</v>
      </c>
      <c r="N751" s="218">
        <f t="shared" si="138"/>
        <v>0</v>
      </c>
      <c r="O751" s="218">
        <f t="shared" si="139"/>
        <v>0</v>
      </c>
      <c r="P751" s="4">
        <v>746</v>
      </c>
      <c r="R751">
        <f t="shared" si="135"/>
        <v>746</v>
      </c>
      <c r="S751" s="218">
        <f t="shared" ca="1" si="140"/>
        <v>0</v>
      </c>
      <c r="T751" s="218">
        <f t="shared" ca="1" si="141"/>
        <v>0</v>
      </c>
      <c r="U751" s="4">
        <v>746</v>
      </c>
      <c r="W751">
        <f t="shared" si="136"/>
        <v>746</v>
      </c>
      <c r="X751" s="218" t="e">
        <f t="shared" si="142"/>
        <v>#REF!</v>
      </c>
      <c r="Y751" s="218" t="e">
        <f t="shared" si="143"/>
        <v>#REF!</v>
      </c>
      <c r="Z751" s="4">
        <v>746</v>
      </c>
      <c r="AB751">
        <f t="shared" si="137"/>
        <v>746</v>
      </c>
      <c r="AC751" s="218" t="e">
        <f t="shared" si="144"/>
        <v>#REF!</v>
      </c>
      <c r="AD751" s="218" t="e">
        <f t="shared" si="145"/>
        <v>#REF!</v>
      </c>
      <c r="AE751" s="4">
        <v>746</v>
      </c>
    </row>
    <row r="752" spans="13:31">
      <c r="M752">
        <f t="shared" si="134"/>
        <v>747</v>
      </c>
      <c r="N752" s="218">
        <f t="shared" si="138"/>
        <v>0</v>
      </c>
      <c r="O752" s="218">
        <f t="shared" si="139"/>
        <v>0</v>
      </c>
      <c r="P752" s="4">
        <v>747</v>
      </c>
      <c r="R752">
        <f t="shared" si="135"/>
        <v>747</v>
      </c>
      <c r="S752" s="218">
        <f t="shared" ca="1" si="140"/>
        <v>0</v>
      </c>
      <c r="T752" s="218">
        <f t="shared" ca="1" si="141"/>
        <v>0</v>
      </c>
      <c r="U752" s="4">
        <v>747</v>
      </c>
      <c r="W752">
        <f t="shared" si="136"/>
        <v>747</v>
      </c>
      <c r="X752" s="218" t="e">
        <f t="shared" si="142"/>
        <v>#REF!</v>
      </c>
      <c r="Y752" s="218" t="e">
        <f t="shared" si="143"/>
        <v>#REF!</v>
      </c>
      <c r="Z752" s="4">
        <v>747</v>
      </c>
      <c r="AB752">
        <f t="shared" si="137"/>
        <v>747</v>
      </c>
      <c r="AC752" s="218" t="e">
        <f t="shared" si="144"/>
        <v>#REF!</v>
      </c>
      <c r="AD752" s="218" t="e">
        <f t="shared" si="145"/>
        <v>#REF!</v>
      </c>
      <c r="AE752" s="4">
        <v>747</v>
      </c>
    </row>
    <row r="753" spans="13:31">
      <c r="M753">
        <f t="shared" si="134"/>
        <v>748</v>
      </c>
      <c r="N753" s="218">
        <f t="shared" si="138"/>
        <v>0</v>
      </c>
      <c r="O753" s="218">
        <f t="shared" si="139"/>
        <v>0</v>
      </c>
      <c r="P753" s="4">
        <v>748</v>
      </c>
      <c r="R753">
        <f t="shared" si="135"/>
        <v>748</v>
      </c>
      <c r="S753" s="218">
        <f t="shared" ca="1" si="140"/>
        <v>0</v>
      </c>
      <c r="T753" s="218">
        <f t="shared" ca="1" si="141"/>
        <v>0</v>
      </c>
      <c r="U753" s="4">
        <v>748</v>
      </c>
      <c r="W753">
        <f t="shared" si="136"/>
        <v>748</v>
      </c>
      <c r="X753" s="218" t="e">
        <f t="shared" si="142"/>
        <v>#REF!</v>
      </c>
      <c r="Y753" s="218" t="e">
        <f t="shared" si="143"/>
        <v>#REF!</v>
      </c>
      <c r="Z753" s="4">
        <v>748</v>
      </c>
      <c r="AB753">
        <f t="shared" si="137"/>
        <v>748</v>
      </c>
      <c r="AC753" s="218" t="e">
        <f t="shared" si="144"/>
        <v>#REF!</v>
      </c>
      <c r="AD753" s="218" t="e">
        <f t="shared" si="145"/>
        <v>#REF!</v>
      </c>
      <c r="AE753" s="4">
        <v>748</v>
      </c>
    </row>
    <row r="754" spans="13:31">
      <c r="M754">
        <f t="shared" si="134"/>
        <v>749</v>
      </c>
      <c r="N754" s="218">
        <f t="shared" si="138"/>
        <v>0</v>
      </c>
      <c r="O754" s="218">
        <f t="shared" si="139"/>
        <v>0</v>
      </c>
      <c r="P754" s="4">
        <v>749</v>
      </c>
      <c r="R754">
        <f t="shared" si="135"/>
        <v>749</v>
      </c>
      <c r="S754" s="218">
        <f t="shared" ca="1" si="140"/>
        <v>0</v>
      </c>
      <c r="T754" s="218">
        <f t="shared" ca="1" si="141"/>
        <v>0</v>
      </c>
      <c r="U754" s="4">
        <v>749</v>
      </c>
      <c r="W754">
        <f t="shared" si="136"/>
        <v>749</v>
      </c>
      <c r="X754" s="218" t="e">
        <f t="shared" si="142"/>
        <v>#REF!</v>
      </c>
      <c r="Y754" s="218" t="e">
        <f t="shared" si="143"/>
        <v>#REF!</v>
      </c>
      <c r="Z754" s="4">
        <v>749</v>
      </c>
      <c r="AB754">
        <f t="shared" si="137"/>
        <v>749</v>
      </c>
      <c r="AC754" s="218" t="e">
        <f t="shared" si="144"/>
        <v>#REF!</v>
      </c>
      <c r="AD754" s="218" t="e">
        <f t="shared" si="145"/>
        <v>#REF!</v>
      </c>
      <c r="AE754" s="4">
        <v>749</v>
      </c>
    </row>
    <row r="755" spans="13:31">
      <c r="M755">
        <f t="shared" si="134"/>
        <v>750</v>
      </c>
      <c r="N755" s="218">
        <f t="shared" si="138"/>
        <v>0</v>
      </c>
      <c r="O755" s="218">
        <f t="shared" si="139"/>
        <v>0</v>
      </c>
      <c r="P755" s="4">
        <v>750</v>
      </c>
      <c r="R755">
        <f t="shared" si="135"/>
        <v>750</v>
      </c>
      <c r="S755" s="218">
        <f t="shared" ca="1" si="140"/>
        <v>0</v>
      </c>
      <c r="T755" s="218">
        <f t="shared" ca="1" si="141"/>
        <v>0</v>
      </c>
      <c r="U755" s="4">
        <v>750</v>
      </c>
      <c r="W755">
        <f t="shared" si="136"/>
        <v>750</v>
      </c>
      <c r="X755" s="218" t="e">
        <f t="shared" si="142"/>
        <v>#REF!</v>
      </c>
      <c r="Y755" s="218" t="e">
        <f t="shared" si="143"/>
        <v>#REF!</v>
      </c>
      <c r="Z755" s="4">
        <v>750</v>
      </c>
      <c r="AB755">
        <f t="shared" si="137"/>
        <v>750</v>
      </c>
      <c r="AC755" s="218" t="e">
        <f t="shared" si="144"/>
        <v>#REF!</v>
      </c>
      <c r="AD755" s="218" t="e">
        <f t="shared" si="145"/>
        <v>#REF!</v>
      </c>
      <c r="AE755" s="4">
        <v>750</v>
      </c>
    </row>
  </sheetData>
  <mergeCells count="6">
    <mergeCell ref="S5:U5"/>
    <mergeCell ref="X5:Z5"/>
    <mergeCell ref="AC5:AE5"/>
    <mergeCell ref="G12:H12"/>
    <mergeCell ref="N5:P5"/>
    <mergeCell ref="G5:H5"/>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
    <tabColor rgb="FF0070C0"/>
  </sheetPr>
  <dimension ref="A4:AB65"/>
  <sheetViews>
    <sheetView showGridLines="0" zoomScale="115" zoomScaleNormal="115" workbookViewId="0">
      <selection activeCell="P46" sqref="P46"/>
    </sheetView>
  </sheetViews>
  <sheetFormatPr defaultColWidth="8.6640625" defaultRowHeight="14.4"/>
  <cols>
    <col min="1" max="3" width="9.109375" style="10"/>
    <col min="4" max="4" width="1.33203125" style="10" customWidth="1"/>
    <col min="5" max="5" width="0.5546875" style="10" customWidth="1"/>
    <col min="6" max="6" width="0.6640625" style="10" customWidth="1"/>
    <col min="7" max="7" width="23.109375" bestFit="1" customWidth="1"/>
    <col min="8" max="8" width="32.33203125" customWidth="1"/>
    <col min="9" max="9" width="0.5546875" customWidth="1"/>
    <col min="10" max="10" width="17.88671875" style="476" customWidth="1"/>
    <col min="11" max="11" width="0.33203125" style="476" customWidth="1"/>
    <col min="12" max="12" width="17.88671875" style="476" customWidth="1"/>
    <col min="13" max="28" width="9.109375" style="10"/>
  </cols>
  <sheetData>
    <row r="4" spans="3:14" ht="36.6" customHeight="1">
      <c r="E4" s="952" t="s">
        <v>434</v>
      </c>
      <c r="F4" s="952"/>
      <c r="G4" s="952"/>
      <c r="H4" s="952"/>
      <c r="I4" s="952"/>
      <c r="J4" s="952"/>
      <c r="K4" s="952"/>
      <c r="L4" s="952"/>
    </row>
    <row r="5" spans="3:14" ht="3.9" customHeight="1">
      <c r="J5"/>
      <c r="K5"/>
      <c r="L5"/>
    </row>
    <row r="6" spans="3:14">
      <c r="E6" s="1009" t="s">
        <v>433</v>
      </c>
      <c r="F6" s="1009"/>
      <c r="G6" s="1009"/>
      <c r="H6" s="1009"/>
      <c r="I6" s="1009"/>
      <c r="J6" s="1009"/>
      <c r="K6" s="1009"/>
      <c r="L6" s="1009"/>
    </row>
    <row r="7" spans="3:14" ht="1.65" customHeight="1">
      <c r="C7" s="545"/>
      <c r="D7" s="545"/>
      <c r="E7" s="549"/>
      <c r="F7" s="549"/>
      <c r="G7" s="483"/>
      <c r="H7" s="483"/>
      <c r="I7" s="483"/>
      <c r="J7" s="483"/>
      <c r="K7" s="483"/>
      <c r="L7" s="483"/>
      <c r="M7" s="545"/>
    </row>
    <row r="8" spans="3:14" ht="15" customHeight="1">
      <c r="E8" s="550"/>
      <c r="F8" s="1002" t="s">
        <v>428</v>
      </c>
      <c r="G8" s="1002"/>
      <c r="H8" s="1002"/>
      <c r="J8" s="482">
        <f ca="1">'Simulador - 2º Pilar'!T12</f>
        <v>263679.71109206742</v>
      </c>
      <c r="K8" s="482"/>
    </row>
    <row r="9" spans="3:14" ht="1.65" customHeight="1">
      <c r="F9" s="551"/>
      <c r="G9" s="477"/>
      <c r="H9" s="477"/>
    </row>
    <row r="10" spans="3:14" ht="15" customHeight="1">
      <c r="E10" s="550"/>
      <c r="F10" s="1002" t="s">
        <v>429</v>
      </c>
      <c r="G10" s="1002"/>
      <c r="H10" s="1002"/>
      <c r="J10" s="482">
        <f ca="1">'Simulador - 2º Pilar'!T20</f>
        <v>97231.770879228206</v>
      </c>
      <c r="K10" s="482"/>
    </row>
    <row r="11" spans="3:14" ht="1.65" customHeight="1">
      <c r="F11" s="551"/>
      <c r="G11" s="477"/>
      <c r="H11" s="477"/>
      <c r="N11"/>
    </row>
    <row r="12" spans="3:14" ht="15" customHeight="1">
      <c r="E12" s="550"/>
      <c r="F12" s="1002" t="s">
        <v>430</v>
      </c>
      <c r="G12" s="1002"/>
      <c r="H12" s="1002"/>
      <c r="J12" s="482">
        <f ca="1">'Simulador - 2º Pilar'!T33</f>
        <v>0</v>
      </c>
      <c r="K12" s="482"/>
    </row>
    <row r="13" spans="3:14" ht="1.65" customHeight="1">
      <c r="F13" s="551"/>
      <c r="G13" s="477"/>
      <c r="H13" s="477"/>
      <c r="J13"/>
      <c r="K13"/>
    </row>
    <row r="14" spans="3:14" ht="15" customHeight="1">
      <c r="E14" s="550"/>
      <c r="F14" s="1002" t="s">
        <v>431</v>
      </c>
      <c r="G14" s="1002"/>
      <c r="H14" s="1002"/>
      <c r="J14" s="482">
        <f ca="1">'Simulador - 2º Pilar'!T49</f>
        <v>4988.1230914451753</v>
      </c>
      <c r="K14" s="482"/>
    </row>
    <row r="15" spans="3:14" ht="3.9" customHeight="1">
      <c r="F15" s="551"/>
      <c r="G15" s="477"/>
      <c r="H15" s="477"/>
      <c r="I15" s="477"/>
      <c r="J15"/>
      <c r="K15"/>
      <c r="L15"/>
    </row>
    <row r="16" spans="3:14" ht="8.4" customHeight="1">
      <c r="E16" s="1012"/>
      <c r="F16" s="1012"/>
      <c r="G16" s="1012"/>
      <c r="H16" s="1012"/>
      <c r="I16" s="1012"/>
      <c r="J16" s="1012"/>
      <c r="K16" s="1012"/>
      <c r="L16" s="1012"/>
    </row>
    <row r="17" spans="1:28" ht="3.9" customHeight="1">
      <c r="J17"/>
      <c r="K17"/>
      <c r="L17"/>
    </row>
    <row r="18" spans="1:28">
      <c r="E18" s="1009" t="s">
        <v>432</v>
      </c>
      <c r="F18" s="1009"/>
      <c r="G18" s="1009"/>
      <c r="H18" s="1009"/>
      <c r="I18" s="1009"/>
      <c r="J18" s="1009"/>
      <c r="K18" s="1009"/>
      <c r="L18" s="1009"/>
    </row>
    <row r="19" spans="1:28" ht="1.65" customHeight="1">
      <c r="E19" s="12"/>
      <c r="F19" s="12"/>
      <c r="G19" s="209"/>
      <c r="H19" s="209"/>
      <c r="I19" s="209"/>
      <c r="J19" s="480"/>
      <c r="K19" s="480"/>
      <c r="L19" s="480"/>
    </row>
    <row r="20" spans="1:28" s="478" customFormat="1" ht="15" customHeight="1">
      <c r="A20" s="546"/>
      <c r="B20" s="546"/>
      <c r="C20" s="10"/>
      <c r="D20" s="546"/>
      <c r="E20" s="550"/>
      <c r="F20" s="1002" t="s">
        <v>375</v>
      </c>
      <c r="G20" s="1002"/>
      <c r="H20" s="1002"/>
      <c r="I20"/>
      <c r="J20" s="1010">
        <f ca="1">IFERROR(J8+J10+J12+J14+J42,"-")</f>
        <v>365899.6050627408</v>
      </c>
      <c r="K20" s="1010"/>
      <c r="L20" s="1010"/>
      <c r="M20" s="10"/>
      <c r="N20" s="546"/>
      <c r="O20" s="546"/>
      <c r="P20" s="546"/>
      <c r="Q20" s="546"/>
      <c r="R20" s="546"/>
      <c r="S20" s="546"/>
      <c r="T20" s="546"/>
      <c r="U20" s="546"/>
      <c r="V20" s="546"/>
      <c r="W20" s="546"/>
      <c r="X20" s="546"/>
      <c r="Y20" s="546"/>
      <c r="Z20" s="546"/>
      <c r="AA20" s="10"/>
      <c r="AB20" s="546"/>
    </row>
    <row r="21" spans="1:28" ht="1.65" customHeight="1"/>
    <row r="22" spans="1:28" s="478" customFormat="1" ht="15" customHeight="1">
      <c r="A22" s="546"/>
      <c r="B22" s="546"/>
      <c r="C22" s="10"/>
      <c r="D22" s="546"/>
      <c r="E22" s="1007"/>
      <c r="F22" s="1002" t="s">
        <v>379</v>
      </c>
      <c r="G22" s="1002"/>
      <c r="H22" s="1002"/>
      <c r="I22"/>
      <c r="J22" s="484" t="s">
        <v>285</v>
      </c>
      <c r="K22" s="485"/>
      <c r="L22" s="484" t="s">
        <v>284</v>
      </c>
      <c r="M22" s="759" t="s">
        <v>606</v>
      </c>
      <c r="N22" s="546"/>
      <c r="O22" s="546"/>
      <c r="P22" s="546"/>
      <c r="Q22" s="546"/>
      <c r="R22" s="546"/>
      <c r="S22" s="546"/>
      <c r="T22" s="546"/>
      <c r="U22" s="546"/>
      <c r="V22" s="546"/>
      <c r="W22" s="546"/>
      <c r="X22" s="546"/>
      <c r="Y22" s="546"/>
      <c r="Z22" s="546"/>
      <c r="AA22" s="10"/>
      <c r="AB22" s="546"/>
    </row>
    <row r="23" spans="1:28" ht="15" customHeight="1">
      <c r="E23" s="1007"/>
      <c r="F23" s="1002"/>
      <c r="G23" s="1002"/>
      <c r="H23" s="1002"/>
      <c r="J23" s="381">
        <f ca="1">J20/'Renta Vitalicia'!$F$5</f>
        <v>17550.226965039357</v>
      </c>
      <c r="K23" s="482"/>
      <c r="L23" s="381">
        <f ca="1">+J23/12</f>
        <v>1462.5189137532798</v>
      </c>
      <c r="M23" s="759" t="s">
        <v>606</v>
      </c>
    </row>
    <row r="24" spans="1:28" ht="1.65" customHeight="1">
      <c r="E24" s="552"/>
      <c r="F24" s="553"/>
      <c r="G24" s="388"/>
      <c r="J24" s="481"/>
      <c r="K24" s="481"/>
      <c r="L24" s="388"/>
      <c r="M24" s="759"/>
    </row>
    <row r="25" spans="1:28" s="478" customFormat="1" ht="15" customHeight="1">
      <c r="A25" s="546"/>
      <c r="B25" s="546"/>
      <c r="C25" s="10"/>
      <c r="D25" s="546"/>
      <c r="E25" s="550"/>
      <c r="F25" s="1002" t="s">
        <v>305</v>
      </c>
      <c r="G25" s="1002"/>
      <c r="H25" s="1002"/>
      <c r="I25"/>
      <c r="J25" s="1011">
        <f ca="1">L23/('Simulador - 2º Pilar'!F78/12)</f>
        <v>4.633775807621459E-2</v>
      </c>
      <c r="K25" s="1011"/>
      <c r="L25" s="1011"/>
      <c r="M25" s="759" t="s">
        <v>606</v>
      </c>
      <c r="N25" s="546"/>
      <c r="O25" s="546"/>
      <c r="P25" s="546"/>
      <c r="Q25" s="546"/>
      <c r="R25" s="546"/>
      <c r="S25" s="546"/>
      <c r="T25" s="546"/>
      <c r="U25" s="546"/>
      <c r="V25" s="546"/>
      <c r="W25" s="546"/>
      <c r="X25" s="546"/>
      <c r="Y25" s="546"/>
      <c r="Z25" s="546"/>
      <c r="AA25" s="10"/>
      <c r="AB25" s="546"/>
    </row>
    <row r="26" spans="1:28" ht="7.5" customHeight="1">
      <c r="J26"/>
      <c r="K26"/>
      <c r="L26"/>
    </row>
    <row r="27" spans="1:28" ht="3.9" customHeight="1"/>
    <row r="28" spans="1:28" ht="18" customHeight="1">
      <c r="E28" s="1008" t="s">
        <v>353</v>
      </c>
      <c r="F28" s="1008"/>
      <c r="G28" s="1008"/>
      <c r="H28" s="1008"/>
      <c r="I28" s="1008"/>
      <c r="J28" s="1008"/>
      <c r="K28" s="1008"/>
      <c r="L28" s="1008"/>
      <c r="M28" s="547"/>
      <c r="N28" s="547"/>
      <c r="O28" s="547"/>
      <c r="P28" s="547"/>
      <c r="Q28" s="547"/>
      <c r="R28" s="547"/>
      <c r="S28" s="547"/>
    </row>
    <row r="29" spans="1:28" ht="1.65" customHeight="1">
      <c r="E29" s="548"/>
      <c r="F29" s="548"/>
      <c r="G29" s="475"/>
      <c r="H29" s="475"/>
      <c r="I29" s="475"/>
      <c r="J29"/>
      <c r="K29"/>
      <c r="L29"/>
      <c r="O29" s="548"/>
      <c r="P29" s="548"/>
      <c r="Q29" s="548"/>
      <c r="R29" s="548"/>
      <c r="S29" s="548"/>
    </row>
    <row r="30" spans="1:28" ht="15" customHeight="1">
      <c r="E30" s="554"/>
      <c r="F30" s="1005" t="s">
        <v>427</v>
      </c>
      <c r="G30" s="1005"/>
      <c r="H30" s="1005"/>
      <c r="J30" s="1004" t="s">
        <v>435</v>
      </c>
      <c r="K30" s="1004"/>
      <c r="L30" s="1004"/>
      <c r="M30" s="12"/>
      <c r="N30" s="12"/>
    </row>
    <row r="31" spans="1:28" ht="1.65" customHeight="1">
      <c r="F31" s="551"/>
      <c r="G31" s="477"/>
      <c r="H31" s="477"/>
      <c r="J31"/>
      <c r="K31"/>
      <c r="L31"/>
      <c r="P31" s="10" t="s">
        <v>435</v>
      </c>
    </row>
    <row r="32" spans="1:28" ht="15" customHeight="1">
      <c r="E32" s="554"/>
      <c r="F32" s="1005" t="s">
        <v>440</v>
      </c>
      <c r="G32" s="1005"/>
      <c r="H32" s="1005"/>
      <c r="J32" s="479">
        <v>0</v>
      </c>
      <c r="K32" s="479"/>
      <c r="L32" s="382">
        <f ca="1">IF(J32&gt;J20,J20,J32)</f>
        <v>0</v>
      </c>
    </row>
    <row r="33" spans="5:18" ht="1.65" customHeight="1">
      <c r="F33" s="551"/>
      <c r="G33" s="477"/>
      <c r="H33" s="477"/>
      <c r="J33"/>
      <c r="K33"/>
      <c r="L33" s="385"/>
      <c r="P33" s="10" t="s">
        <v>436</v>
      </c>
    </row>
    <row r="34" spans="5:18" ht="15" customHeight="1">
      <c r="E34" s="554"/>
      <c r="F34" s="1006" t="s">
        <v>376</v>
      </c>
      <c r="G34" s="1006"/>
      <c r="H34" s="1006"/>
      <c r="J34" s="1004" t="s">
        <v>313</v>
      </c>
      <c r="K34" s="1004"/>
      <c r="L34" s="1004"/>
    </row>
    <row r="35" spans="5:18" ht="1.65" customHeight="1">
      <c r="F35" s="551"/>
      <c r="G35" s="477"/>
      <c r="H35" s="477"/>
      <c r="J35"/>
      <c r="K35"/>
      <c r="L35"/>
    </row>
    <row r="36" spans="5:18" ht="15" customHeight="1">
      <c r="E36" s="555"/>
      <c r="F36" s="1005" t="str">
        <f>IF(J34="Número de años a percibir la renta",G56,G55)</f>
        <v>Indique el importe mensual que desearía percibir:</v>
      </c>
      <c r="G36" s="1005"/>
      <c r="H36" s="1005"/>
      <c r="J36" s="383">
        <v>0</v>
      </c>
      <c r="K36" s="383"/>
      <c r="L36" s="382" t="str">
        <f>IF(J36=0,"Inserte "&amp;IF(J34=G52,"Años","Importe"),J36&amp;IF(AND(J34=G52,J36&gt;0)," Años",IF(AND(J34=G53,J36&gt;0)," €","Inserte "&amp;IF(J34=G52,"Años","Importe"))))</f>
        <v>Inserte Importe</v>
      </c>
    </row>
    <row r="37" spans="5:18" ht="1.65" customHeight="1">
      <c r="E37" s="556"/>
      <c r="F37" s="553"/>
      <c r="G37" s="387"/>
      <c r="H37" s="387"/>
      <c r="J37" s="383"/>
      <c r="K37" s="383"/>
      <c r="L37" s="385"/>
    </row>
    <row r="38" spans="5:18" ht="15" customHeight="1">
      <c r="E38" s="554"/>
      <c r="F38" s="1005" t="str">
        <f>IF(J30="Capital",G61,IF(J34="Número de años a percibir la renta",G59,G58))</f>
        <v>La prestación de capital consiste en una percepción de pago único.</v>
      </c>
      <c r="G38" s="1005"/>
      <c r="H38" s="1005"/>
      <c r="J38" s="1003" t="str">
        <f ca="1">IFERROR(IF(J30="Capital",ROUND(J20,2)&amp;" "&amp;"Euros",IF(J32=0,"Inserte fondo a convertir",IF(J34="Importe estimado mensual de cada término",IF(AND(J36&gt;=J32,J32&gt;0),"Importe demasiado alto",_xlfn.IFNA((ROUND('Renta temp.'!J14,2)&amp;" "&amp;"Años"),"Importe demasiado bajo")),IFERROR((MAX(MAX(ROUND('Renta temp.'!J14,2),IF(J32&lt;=0,0,ROUND(1/12,2))),ROUND('Renta temp.'!J14,2)))&amp;" "&amp;"Euros/Mes","Inserte número de años")))),"-")</f>
        <v>365899,61 Euros</v>
      </c>
      <c r="K38" s="1003"/>
      <c r="L38" s="1003" t="str">
        <f ca="1">IF(L32=0,"Inserte fondo a convertir",IF(I34="Importe estimado mensual de cada término",IF(AND(I36&gt;=L32,L32&gt;0),"Importe demasiado alto",_xlfn.IFNA((ROUND('Renta temp.'!#REF!,2)&amp;" "&amp;"Años"),"Importe demasiado bajo")),IFERROR((MAX(MAX(ROUND('Renta temp.'!#REF!,2),IF(L32&lt;=0,0,ROUND(1/12,2))),ROUND(#REF!,2))&amp;" "&amp;"Euros/Mes"),"Inserte número de años")))</f>
        <v>Inserte fondo a convertir</v>
      </c>
    </row>
    <row r="39" spans="5:18" ht="3.9" customHeight="1">
      <c r="J39" s="389"/>
      <c r="K39" s="389"/>
      <c r="L39" s="383"/>
    </row>
    <row r="41" spans="5:18" ht="1.65" customHeight="1">
      <c r="R41" s="10" t="s">
        <v>435</v>
      </c>
    </row>
    <row r="42" spans="5:18" ht="15" customHeight="1">
      <c r="E42" s="550"/>
      <c r="F42" s="1002" t="s">
        <v>458</v>
      </c>
      <c r="G42" s="1002"/>
      <c r="H42" s="1002"/>
      <c r="J42" s="499">
        <f ca="1">'Simulador - 3º Pilar'!G23</f>
        <v>0</v>
      </c>
      <c r="K42" s="499"/>
    </row>
    <row r="45" spans="5:18" ht="22.8">
      <c r="K45" s="305"/>
      <c r="L45" s="305"/>
      <c r="M45" s="521"/>
    </row>
    <row r="46" spans="5:18" ht="22.8">
      <c r="G46" s="510" t="s">
        <v>466</v>
      </c>
      <c r="K46" s="305"/>
      <c r="L46" s="305"/>
      <c r="M46" s="521"/>
    </row>
    <row r="47" spans="5:18">
      <c r="K47" s="189"/>
      <c r="L47" s="189"/>
      <c r="M47" s="521"/>
    </row>
    <row r="48" spans="5:18">
      <c r="G48" s="543" t="s">
        <v>491</v>
      </c>
      <c r="H48" s="558">
        <f ca="1">(L32/'Renta Vitalicia'!$F$5)/12</f>
        <v>0</v>
      </c>
      <c r="K48" s="189"/>
      <c r="L48" s="189"/>
      <c r="M48" s="521"/>
    </row>
    <row r="49" spans="7:13">
      <c r="K49" s="189"/>
      <c r="L49" s="189"/>
      <c r="M49" s="521"/>
    </row>
    <row r="50" spans="7:13">
      <c r="K50" s="189"/>
      <c r="L50" s="189"/>
      <c r="M50" s="521"/>
    </row>
    <row r="51" spans="7:13">
      <c r="G51" s="543" t="s">
        <v>488</v>
      </c>
      <c r="K51" s="189"/>
      <c r="L51" s="189"/>
      <c r="M51" s="521"/>
    </row>
    <row r="52" spans="7:13">
      <c r="G52" s="557" t="s">
        <v>306</v>
      </c>
      <c r="K52" s="189"/>
      <c r="L52" s="189"/>
      <c r="M52" s="521"/>
    </row>
    <row r="53" spans="7:13">
      <c r="G53" s="557" t="s">
        <v>313</v>
      </c>
      <c r="K53" s="189"/>
      <c r="L53" s="189"/>
      <c r="M53" s="521"/>
    </row>
    <row r="54" spans="7:13">
      <c r="G54" s="543" t="s">
        <v>489</v>
      </c>
      <c r="K54" s="189"/>
      <c r="L54" s="189"/>
      <c r="M54" s="521"/>
    </row>
    <row r="55" spans="7:13">
      <c r="G55" s="557" t="s">
        <v>314</v>
      </c>
      <c r="K55" s="189"/>
      <c r="L55" s="189"/>
      <c r="M55" s="521"/>
    </row>
    <row r="56" spans="7:13">
      <c r="G56" s="557" t="s">
        <v>437</v>
      </c>
    </row>
    <row r="57" spans="7:13">
      <c r="G57" s="543" t="s">
        <v>489</v>
      </c>
    </row>
    <row r="58" spans="7:13">
      <c r="G58" s="557" t="s">
        <v>439</v>
      </c>
    </row>
    <row r="59" spans="7:13">
      <c r="G59" s="557" t="s">
        <v>438</v>
      </c>
    </row>
    <row r="60" spans="7:13">
      <c r="G60" s="543" t="s">
        <v>490</v>
      </c>
    </row>
    <row r="61" spans="7:13">
      <c r="G61" s="557" t="s">
        <v>441</v>
      </c>
    </row>
    <row r="62" spans="7:13">
      <c r="G62" s="557"/>
    </row>
    <row r="63" spans="7:13">
      <c r="G63" s="543" t="s">
        <v>508</v>
      </c>
    </row>
    <row r="64" spans="7:13">
      <c r="G64" s="557" t="s">
        <v>435</v>
      </c>
    </row>
    <row r="65" spans="7:7">
      <c r="G65" s="557" t="s">
        <v>436</v>
      </c>
    </row>
  </sheetData>
  <mergeCells count="24">
    <mergeCell ref="E22:E23"/>
    <mergeCell ref="E28:L28"/>
    <mergeCell ref="E4:L4"/>
    <mergeCell ref="F30:H30"/>
    <mergeCell ref="F32:H32"/>
    <mergeCell ref="E6:L6"/>
    <mergeCell ref="E18:L18"/>
    <mergeCell ref="F20:H20"/>
    <mergeCell ref="F22:H23"/>
    <mergeCell ref="F8:H8"/>
    <mergeCell ref="F10:H10"/>
    <mergeCell ref="F12:H12"/>
    <mergeCell ref="J20:L20"/>
    <mergeCell ref="J25:L25"/>
    <mergeCell ref="F25:H25"/>
    <mergeCell ref="E16:L16"/>
    <mergeCell ref="F42:H42"/>
    <mergeCell ref="F14:H14"/>
    <mergeCell ref="J38:L38"/>
    <mergeCell ref="J34:L34"/>
    <mergeCell ref="J30:L30"/>
    <mergeCell ref="F38:H38"/>
    <mergeCell ref="F34:H34"/>
    <mergeCell ref="F36:H36"/>
  </mergeCells>
  <dataValidations count="2">
    <dataValidation type="list" allowBlank="1" showInputMessage="1" showErrorMessage="1" sqref="J30:L30" xr:uid="{00000000-0002-0000-1300-000000000000}">
      <formula1>$G$64:$G$65</formula1>
    </dataValidation>
    <dataValidation type="list" allowBlank="1" showInputMessage="1" showErrorMessage="1" sqref="J34:L34" xr:uid="{00000000-0002-0000-1300-000001000000}">
      <formula1>$G$52:$G$53</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theme="4"/>
  </sheetPr>
  <dimension ref="A1:FV108"/>
  <sheetViews>
    <sheetView showGridLines="0" topLeftCell="B1" zoomScale="115" zoomScaleNormal="115" workbookViewId="0">
      <selection activeCell="D44" sqref="D44:E44"/>
    </sheetView>
  </sheetViews>
  <sheetFormatPr defaultColWidth="9.109375" defaultRowHeight="13.8"/>
  <cols>
    <col min="1" max="1" width="13.6640625" style="172" hidden="1" customWidth="1"/>
    <col min="2" max="2" width="1.44140625" style="172" customWidth="1"/>
    <col min="3" max="3" width="0.5546875" style="172" customWidth="1"/>
    <col min="4" max="4" width="23.88671875" style="172" customWidth="1"/>
    <col min="5" max="5" width="14.5546875" style="172" customWidth="1"/>
    <col min="6" max="6" width="1.44140625" style="172" customWidth="1"/>
    <col min="7" max="8" width="0.5546875" style="172" customWidth="1"/>
    <col min="9" max="9" width="28" style="172" customWidth="1"/>
    <col min="10" max="10" width="18.44140625" style="172" customWidth="1"/>
    <col min="11" max="11" width="0.33203125" style="172" customWidth="1"/>
    <col min="12" max="12" width="18.44140625" style="172" customWidth="1"/>
    <col min="13" max="13" width="0.33203125" style="172" customWidth="1"/>
    <col min="14" max="14" width="18.44140625" style="172" customWidth="1"/>
    <col min="15" max="15" width="11" style="172" customWidth="1"/>
    <col min="16" max="17" width="1.33203125" style="172" customWidth="1"/>
    <col min="18" max="18" width="35" style="172" customWidth="1"/>
    <col min="19" max="19" width="10.33203125" style="195" bestFit="1" customWidth="1"/>
    <col min="20" max="20" width="4.44140625" style="195" customWidth="1"/>
    <col min="21" max="21" width="9.109375" style="195"/>
    <col min="22" max="22" width="9.109375" style="195" customWidth="1"/>
    <col min="23" max="24" width="9.109375" style="195"/>
    <col min="25" max="25" width="13.88671875" style="195" customWidth="1"/>
    <col min="26" max="26" width="5.33203125" style="195" customWidth="1"/>
    <col min="27" max="41" width="9.109375" style="195"/>
    <col min="42" max="42" width="2.5546875" style="195" customWidth="1"/>
    <col min="43" max="77" width="9.109375" style="195"/>
    <col min="78" max="16384" width="9.109375" style="172"/>
  </cols>
  <sheetData>
    <row r="1" spans="3:178">
      <c r="BZ1" s="173"/>
      <c r="CA1" s="173"/>
      <c r="CB1" s="173"/>
      <c r="CC1" s="173"/>
      <c r="CD1" s="173"/>
      <c r="CE1" s="173"/>
      <c r="CF1" s="173"/>
      <c r="CG1" s="173"/>
      <c r="CH1" s="173"/>
      <c r="CI1" s="173"/>
      <c r="CJ1" s="173"/>
      <c r="CK1" s="173"/>
      <c r="CL1" s="173"/>
      <c r="CM1" s="173"/>
      <c r="CN1" s="173"/>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c r="FI1" s="173"/>
      <c r="FJ1" s="173"/>
      <c r="FK1" s="173"/>
      <c r="FL1" s="173"/>
      <c r="FM1" s="173"/>
      <c r="FN1" s="173"/>
      <c r="FO1" s="173"/>
      <c r="FP1" s="173"/>
      <c r="FQ1" s="173"/>
      <c r="FR1" s="173"/>
      <c r="FS1" s="173"/>
      <c r="FT1" s="173"/>
      <c r="FU1" s="173"/>
      <c r="FV1" s="173"/>
    </row>
    <row r="2" spans="3:178" ht="36.6" customHeight="1">
      <c r="C2" s="965" t="s">
        <v>400</v>
      </c>
      <c r="D2" s="965"/>
      <c r="E2" s="965"/>
      <c r="F2" s="965"/>
      <c r="G2" s="965"/>
      <c r="H2" s="965"/>
      <c r="I2" s="965"/>
      <c r="J2" s="965"/>
      <c r="K2" s="965"/>
      <c r="L2" s="965"/>
      <c r="M2" s="965"/>
      <c r="N2" s="965"/>
      <c r="O2" s="203"/>
      <c r="P2" s="203"/>
      <c r="Q2" s="203"/>
      <c r="R2" s="178"/>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c r="EQ2" s="173"/>
      <c r="ER2" s="173"/>
      <c r="ES2" s="173"/>
      <c r="ET2" s="173"/>
      <c r="EU2" s="173"/>
      <c r="EV2" s="173"/>
      <c r="EW2" s="173"/>
      <c r="EX2" s="173"/>
      <c r="EY2" s="173"/>
      <c r="EZ2" s="173"/>
      <c r="FA2" s="173"/>
      <c r="FB2" s="173"/>
      <c r="FC2" s="173"/>
      <c r="FD2" s="173"/>
      <c r="FE2" s="173"/>
      <c r="FF2" s="173"/>
      <c r="FG2" s="173"/>
      <c r="FH2" s="173"/>
      <c r="FI2" s="173"/>
      <c r="FJ2" s="173"/>
      <c r="FK2" s="173"/>
      <c r="FL2" s="173"/>
      <c r="FM2" s="173"/>
      <c r="FN2" s="173"/>
      <c r="FO2" s="173"/>
      <c r="FP2" s="173"/>
      <c r="FQ2" s="173"/>
      <c r="FR2" s="173"/>
      <c r="FS2" s="173"/>
      <c r="FT2" s="173"/>
      <c r="FU2" s="173"/>
      <c r="FV2" s="173"/>
    </row>
    <row r="3" spans="3:178" ht="27" customHeight="1">
      <c r="D3" s="1014" t="s">
        <v>309</v>
      </c>
      <c r="E3" s="1014"/>
      <c r="F3" s="1014"/>
      <c r="G3" s="1014"/>
      <c r="H3" s="1014"/>
      <c r="I3" s="1014"/>
      <c r="J3" s="1014"/>
      <c r="K3" s="1014"/>
      <c r="L3" s="1014"/>
      <c r="M3" s="1014"/>
      <c r="N3" s="1014"/>
      <c r="O3" s="202"/>
      <c r="P3" s="202"/>
      <c r="Q3" s="202"/>
      <c r="R3"/>
      <c r="BZ3" s="173"/>
      <c r="CA3" s="173"/>
      <c r="CB3" s="173"/>
      <c r="CC3" s="173"/>
      <c r="CD3" s="173"/>
      <c r="CE3" s="173"/>
      <c r="CF3" s="173"/>
      <c r="CG3" s="173"/>
      <c r="CH3" s="173"/>
      <c r="CI3" s="173"/>
      <c r="CJ3" s="173"/>
      <c r="CK3" s="173"/>
      <c r="CL3" s="173"/>
      <c r="CM3" s="173"/>
      <c r="CN3" s="17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3"/>
      <c r="DT3" s="173"/>
      <c r="DU3" s="173"/>
      <c r="DV3" s="173"/>
      <c r="DW3" s="173"/>
      <c r="DX3" s="173"/>
      <c r="DY3" s="173"/>
      <c r="DZ3" s="173"/>
      <c r="EA3" s="173"/>
      <c r="EB3" s="173"/>
      <c r="EC3" s="173"/>
      <c r="ED3" s="173"/>
      <c r="EE3" s="173"/>
      <c r="EF3" s="173"/>
      <c r="EG3" s="173"/>
      <c r="EH3" s="173"/>
      <c r="EI3" s="173"/>
      <c r="EJ3" s="173"/>
      <c r="EK3" s="173"/>
      <c r="EL3" s="173"/>
      <c r="EM3" s="173"/>
      <c r="EN3" s="173"/>
      <c r="EO3" s="173"/>
      <c r="EP3" s="173"/>
      <c r="EQ3" s="173"/>
      <c r="ER3" s="173"/>
      <c r="ES3" s="173"/>
      <c r="ET3" s="173"/>
      <c r="EU3" s="173"/>
      <c r="EV3" s="173"/>
      <c r="EW3" s="173"/>
      <c r="EX3" s="173"/>
      <c r="EY3" s="173"/>
      <c r="EZ3" s="173"/>
      <c r="FA3" s="173"/>
      <c r="FB3" s="173"/>
      <c r="FC3" s="173"/>
      <c r="FD3" s="173"/>
      <c r="FE3" s="173"/>
      <c r="FF3" s="173"/>
      <c r="FG3" s="173"/>
      <c r="FH3" s="173"/>
      <c r="FI3" s="173"/>
      <c r="FJ3" s="173"/>
      <c r="FK3" s="173"/>
      <c r="FL3" s="173"/>
      <c r="FM3" s="173"/>
      <c r="FN3" s="173"/>
      <c r="FO3" s="173"/>
      <c r="FP3" s="173"/>
      <c r="FQ3" s="173"/>
      <c r="FR3" s="173"/>
      <c r="FS3" s="173"/>
      <c r="FT3" s="173"/>
      <c r="FU3" s="173"/>
      <c r="FV3" s="173"/>
    </row>
    <row r="4" spans="3:178" ht="3" customHeight="1">
      <c r="D4" s="451"/>
      <c r="E4" s="451"/>
      <c r="F4" s="451"/>
      <c r="G4" s="451"/>
      <c r="H4" s="451"/>
      <c r="I4" s="451"/>
      <c r="J4" s="451"/>
      <c r="K4" s="451"/>
      <c r="L4" s="451"/>
      <c r="M4" s="451"/>
      <c r="N4" s="451"/>
      <c r="O4" s="202"/>
      <c r="P4" s="202"/>
      <c r="Q4" s="202"/>
      <c r="R4" s="474"/>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row>
    <row r="5" spans="3:178" ht="6.9" customHeight="1">
      <c r="F5"/>
      <c r="G5"/>
      <c r="BZ5" s="173"/>
      <c r="CA5" s="173"/>
      <c r="CB5" s="173"/>
      <c r="CC5" s="173"/>
      <c r="CD5" s="173"/>
      <c r="CE5" s="173"/>
      <c r="CF5" s="173"/>
      <c r="CG5" s="173"/>
      <c r="CH5" s="173"/>
      <c r="CI5" s="173"/>
      <c r="CJ5" s="173"/>
      <c r="CK5" s="173"/>
      <c r="CL5" s="173"/>
      <c r="CM5" s="173"/>
      <c r="CN5" s="173"/>
      <c r="CO5" s="173"/>
      <c r="CP5" s="173"/>
      <c r="CQ5" s="173"/>
      <c r="CR5" s="173"/>
      <c r="CS5" s="173"/>
      <c r="CT5" s="173"/>
      <c r="CU5" s="173"/>
      <c r="CV5" s="173"/>
      <c r="CW5" s="173"/>
      <c r="CX5" s="173"/>
      <c r="CY5" s="173"/>
      <c r="CZ5" s="173"/>
      <c r="DA5" s="173"/>
      <c r="DB5" s="173"/>
      <c r="DC5" s="173"/>
      <c r="DD5" s="173"/>
      <c r="DE5" s="173"/>
      <c r="DF5" s="173"/>
      <c r="DG5" s="173"/>
      <c r="DH5" s="173"/>
      <c r="DI5" s="173"/>
      <c r="DJ5" s="173"/>
      <c r="DK5" s="173"/>
      <c r="DL5" s="173"/>
      <c r="DM5" s="173"/>
      <c r="DN5" s="173"/>
      <c r="DO5" s="173"/>
      <c r="DP5" s="173"/>
      <c r="DQ5" s="173"/>
      <c r="DR5" s="173"/>
      <c r="DS5" s="173"/>
      <c r="DT5" s="173"/>
      <c r="DU5" s="173"/>
      <c r="DV5" s="173"/>
      <c r="DW5" s="173"/>
      <c r="DX5" s="173"/>
      <c r="DY5" s="173"/>
      <c r="DZ5" s="173"/>
      <c r="EA5" s="173"/>
      <c r="EB5" s="173"/>
      <c r="EC5" s="173"/>
      <c r="ED5" s="173"/>
      <c r="EE5" s="173"/>
      <c r="EF5" s="173"/>
      <c r="EG5" s="173"/>
      <c r="EH5" s="173"/>
      <c r="EI5" s="173"/>
      <c r="EJ5" s="173"/>
      <c r="EK5" s="173"/>
      <c r="EL5" s="173"/>
      <c r="EM5" s="173"/>
      <c r="EN5" s="173"/>
      <c r="EO5" s="173"/>
      <c r="EP5" s="173"/>
      <c r="EQ5" s="173"/>
      <c r="ER5" s="173"/>
      <c r="ES5" s="173"/>
      <c r="ET5" s="173"/>
      <c r="EU5" s="173"/>
      <c r="EV5" s="173"/>
      <c r="EW5" s="173"/>
      <c r="EX5" s="173"/>
      <c r="EY5" s="173"/>
      <c r="EZ5" s="173"/>
      <c r="FA5" s="173"/>
      <c r="FB5" s="173"/>
      <c r="FC5" s="173"/>
      <c r="FD5" s="173"/>
      <c r="FE5" s="173"/>
      <c r="FF5" s="173"/>
      <c r="FG5" s="173"/>
      <c r="FH5" s="173"/>
      <c r="FI5" s="173"/>
      <c r="FJ5" s="173"/>
      <c r="FK5" s="173"/>
      <c r="FL5" s="173"/>
      <c r="FM5" s="173"/>
      <c r="FN5" s="173"/>
      <c r="FO5" s="173"/>
      <c r="FP5" s="173"/>
      <c r="FQ5" s="173"/>
      <c r="FR5" s="173"/>
      <c r="FS5" s="173"/>
      <c r="FT5" s="173"/>
      <c r="FU5" s="173"/>
      <c r="FV5" s="173"/>
    </row>
    <row r="6" spans="3:178" ht="14.4" customHeight="1">
      <c r="C6" s="1013" t="s">
        <v>245</v>
      </c>
      <c r="D6" s="1013"/>
      <c r="E6" s="1013"/>
      <c r="F6" s="452"/>
      <c r="G6" s="452"/>
      <c r="H6" s="1015" t="s">
        <v>295</v>
      </c>
      <c r="I6" s="1015"/>
      <c r="J6" s="1015"/>
      <c r="K6" s="1015"/>
      <c r="L6" s="1015"/>
      <c r="M6" s="1015"/>
      <c r="N6" s="1015"/>
      <c r="BZ6" s="173"/>
      <c r="CA6" s="173"/>
      <c r="CB6" s="173"/>
      <c r="CC6" s="173"/>
      <c r="CD6" s="173"/>
      <c r="CE6" s="173"/>
      <c r="CF6" s="173"/>
      <c r="CG6" s="173"/>
      <c r="CH6" s="173"/>
      <c r="CI6" s="173"/>
      <c r="CJ6" s="173"/>
      <c r="CK6" s="173"/>
      <c r="CL6" s="173"/>
      <c r="CM6" s="173"/>
      <c r="CN6" s="173"/>
      <c r="CO6" s="173"/>
      <c r="CP6" s="173"/>
      <c r="CQ6" s="173"/>
      <c r="CR6" s="173"/>
      <c r="CS6" s="173"/>
      <c r="CT6" s="173"/>
      <c r="CU6" s="173"/>
      <c r="CV6" s="173"/>
      <c r="CW6" s="173"/>
      <c r="CX6" s="173"/>
      <c r="CY6" s="173"/>
      <c r="CZ6" s="173"/>
      <c r="DA6" s="173"/>
      <c r="DB6" s="173"/>
      <c r="DC6" s="173"/>
      <c r="DD6" s="173"/>
      <c r="DE6" s="173"/>
      <c r="DF6" s="173"/>
      <c r="DG6" s="173"/>
      <c r="DH6" s="173"/>
      <c r="DI6" s="173"/>
      <c r="DJ6" s="173"/>
      <c r="DK6" s="173"/>
      <c r="DL6" s="173"/>
      <c r="DM6" s="173"/>
      <c r="DN6" s="173"/>
      <c r="DO6" s="173"/>
      <c r="DP6" s="173"/>
      <c r="DQ6" s="173"/>
      <c r="DR6" s="173"/>
      <c r="DS6" s="173"/>
      <c r="DT6" s="173"/>
      <c r="DU6" s="173"/>
      <c r="DV6" s="173"/>
      <c r="DW6" s="173"/>
      <c r="DX6" s="173"/>
      <c r="DY6" s="173"/>
      <c r="DZ6" s="173"/>
      <c r="EA6" s="173"/>
      <c r="EB6" s="173"/>
      <c r="EC6" s="173"/>
      <c r="ED6" s="173"/>
      <c r="EE6" s="173"/>
      <c r="EF6" s="173"/>
      <c r="EG6" s="173"/>
      <c r="EH6" s="173"/>
      <c r="EI6" s="173"/>
      <c r="EJ6" s="173"/>
      <c r="EK6" s="173"/>
      <c r="EL6" s="173"/>
      <c r="EM6" s="173"/>
      <c r="EN6" s="173"/>
      <c r="EO6" s="173"/>
      <c r="EP6" s="173"/>
      <c r="EQ6" s="173"/>
      <c r="ER6" s="173"/>
      <c r="ES6" s="173"/>
      <c r="ET6" s="173"/>
      <c r="EU6" s="173"/>
      <c r="EV6" s="173"/>
      <c r="EW6" s="173"/>
      <c r="EX6" s="173"/>
      <c r="EY6" s="173"/>
      <c r="EZ6" s="173"/>
      <c r="FA6" s="173"/>
      <c r="FB6" s="173"/>
      <c r="FC6" s="173"/>
      <c r="FD6" s="173"/>
      <c r="FE6" s="173"/>
      <c r="FF6" s="173"/>
      <c r="FG6" s="173"/>
      <c r="FH6" s="173"/>
      <c r="FI6" s="173"/>
      <c r="FJ6" s="173"/>
      <c r="FK6" s="173"/>
      <c r="FL6" s="173"/>
      <c r="FM6" s="173"/>
      <c r="FN6" s="173"/>
      <c r="FO6" s="173"/>
      <c r="FP6" s="173"/>
      <c r="FQ6" s="173"/>
      <c r="FR6" s="173"/>
      <c r="FS6" s="173"/>
      <c r="FT6" s="173"/>
      <c r="FU6" s="173"/>
      <c r="FV6" s="173"/>
    </row>
    <row r="7" spans="3:178" customFormat="1" ht="2.1" customHeight="1">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row>
    <row r="8" spans="3:178" ht="14.4" customHeight="1">
      <c r="C8" s="395"/>
      <c r="D8" s="453" t="s">
        <v>294</v>
      </c>
      <c r="E8" s="454">
        <f>'Simulador - Datos personales'!E7</f>
        <v>28309</v>
      </c>
      <c r="F8" s="452"/>
      <c r="G8" s="452"/>
      <c r="H8" s="438"/>
      <c r="I8" s="205"/>
      <c r="J8" s="432" t="s">
        <v>285</v>
      </c>
      <c r="K8" s="432"/>
      <c r="L8" s="432" t="s">
        <v>284</v>
      </c>
      <c r="M8" s="432"/>
      <c r="N8" s="432" t="s">
        <v>296</v>
      </c>
      <c r="BZ8" s="173"/>
      <c r="CA8" s="173"/>
      <c r="CB8" s="173"/>
      <c r="CC8" s="173"/>
      <c r="CD8" s="173"/>
      <c r="CE8" s="173"/>
      <c r="CF8" s="173"/>
      <c r="CG8" s="173"/>
      <c r="CH8" s="173"/>
      <c r="CI8" s="173"/>
      <c r="CJ8" s="173"/>
      <c r="CK8" s="173"/>
      <c r="CL8" s="173"/>
      <c r="CM8" s="173"/>
      <c r="CN8" s="173"/>
      <c r="CO8" s="173"/>
      <c r="CP8" s="173"/>
      <c r="CQ8" s="173"/>
      <c r="CR8" s="173"/>
      <c r="CS8" s="173"/>
      <c r="CT8" s="173"/>
      <c r="CU8" s="173"/>
      <c r="CV8" s="173"/>
      <c r="CW8" s="173"/>
      <c r="CX8" s="173"/>
      <c r="CY8" s="173"/>
      <c r="CZ8" s="173"/>
      <c r="DA8" s="173"/>
      <c r="DB8" s="173"/>
      <c r="DC8" s="173"/>
      <c r="DD8" s="173"/>
      <c r="DE8" s="173"/>
      <c r="DF8" s="173"/>
      <c r="DG8" s="173"/>
      <c r="DH8" s="173"/>
      <c r="DI8" s="173"/>
      <c r="DJ8" s="173"/>
      <c r="DK8" s="173"/>
      <c r="DL8" s="173"/>
      <c r="DM8" s="173"/>
      <c r="DN8" s="173"/>
      <c r="DO8" s="173"/>
      <c r="DP8" s="173"/>
      <c r="DQ8" s="173"/>
      <c r="DR8" s="173"/>
      <c r="DS8" s="173"/>
      <c r="DT8" s="173"/>
      <c r="DU8" s="173"/>
      <c r="DV8" s="173"/>
      <c r="DW8" s="173"/>
      <c r="DX8" s="173"/>
      <c r="DY8" s="173"/>
      <c r="DZ8" s="173"/>
      <c r="EA8" s="173"/>
      <c r="EB8" s="173"/>
      <c r="EC8" s="173"/>
      <c r="ED8" s="173"/>
      <c r="EE8" s="173"/>
      <c r="EF8" s="173"/>
      <c r="EG8" s="173"/>
      <c r="EH8" s="173"/>
      <c r="EI8" s="173"/>
      <c r="EJ8" s="173"/>
      <c r="EK8" s="173"/>
      <c r="EL8" s="173"/>
      <c r="EM8" s="173"/>
      <c r="EN8" s="173"/>
      <c r="EO8" s="173"/>
      <c r="EP8" s="173"/>
      <c r="EQ8" s="173"/>
      <c r="ER8" s="173"/>
      <c r="ES8" s="173"/>
      <c r="ET8" s="173"/>
      <c r="EU8" s="173"/>
      <c r="EV8" s="173"/>
      <c r="EW8" s="173"/>
      <c r="EX8" s="173"/>
      <c r="EY8" s="173"/>
      <c r="EZ8" s="173"/>
      <c r="FA8" s="173"/>
      <c r="FB8" s="173"/>
      <c r="FC8" s="173"/>
      <c r="FD8" s="173"/>
      <c r="FE8" s="173"/>
      <c r="FF8" s="173"/>
      <c r="FG8" s="173"/>
      <c r="FH8" s="173"/>
      <c r="FI8" s="173"/>
      <c r="FJ8" s="173"/>
      <c r="FK8" s="173"/>
      <c r="FL8" s="173"/>
      <c r="FM8" s="173"/>
      <c r="FN8" s="173"/>
      <c r="FO8" s="173"/>
      <c r="FP8" s="173"/>
      <c r="FQ8" s="173"/>
      <c r="FR8" s="173"/>
      <c r="FS8" s="173"/>
      <c r="FT8" s="173"/>
      <c r="FU8" s="173"/>
      <c r="FV8" s="173"/>
    </row>
    <row r="9" spans="3:178" customFormat="1" ht="2.1" customHeight="1">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row>
    <row r="10" spans="3:178" ht="14.4" customHeight="1">
      <c r="C10" s="395"/>
      <c r="D10" s="453" t="s">
        <v>293</v>
      </c>
      <c r="E10" s="455" t="str">
        <f>'Simulador - Datos personales'!F9</f>
        <v>Hombre</v>
      </c>
      <c r="F10" s="452"/>
      <c r="G10" s="452"/>
      <c r="H10" s="438"/>
      <c r="I10" s="437" t="s">
        <v>421</v>
      </c>
      <c r="J10" s="433">
        <f ca="1">IFERROR('Simulador - 1º Pilar'!F28,"-")</f>
        <v>49994.959319989473</v>
      </c>
      <c r="K10" s="473"/>
      <c r="L10" s="433">
        <f ca="1">IFERROR('Simulador - 1º Pilar'!G28,"-")</f>
        <v>3571.0685228563912</v>
      </c>
      <c r="M10" s="473"/>
      <c r="N10" s="456">
        <f ca="1">IFERROR('Simulador - RESUMEN'!J10/'Simulador - 1º Pilar'!$G$50,"-")</f>
        <v>0.13200138862105404</v>
      </c>
      <c r="O10" s="188"/>
      <c r="P10" s="188"/>
      <c r="BZ10" s="173"/>
      <c r="CA10" s="173"/>
      <c r="CB10" s="173"/>
      <c r="CC10" s="173"/>
      <c r="CD10" s="173"/>
      <c r="CE10" s="173"/>
      <c r="CF10" s="173"/>
      <c r="CG10" s="173"/>
      <c r="CH10" s="173"/>
      <c r="CI10" s="173"/>
      <c r="CJ10" s="173"/>
      <c r="CK10" s="173"/>
      <c r="CL10" s="173"/>
      <c r="CM10" s="173"/>
      <c r="CN10" s="173"/>
      <c r="CO10" s="173"/>
      <c r="CP10" s="173"/>
      <c r="CQ10" s="173"/>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row>
    <row r="11" spans="3:178" customFormat="1" ht="2.1" customHeight="1">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row>
    <row r="12" spans="3:178" ht="14.4" customHeight="1">
      <c r="C12" s="395"/>
      <c r="D12" s="453" t="s">
        <v>247</v>
      </c>
      <c r="E12" s="455">
        <f>'Simulador - Datos personales'!E11</f>
        <v>0</v>
      </c>
      <c r="F12" s="452"/>
      <c r="G12" s="452"/>
      <c r="H12" s="457"/>
      <c r="I12" s="457" t="s">
        <v>282</v>
      </c>
      <c r="J12" s="458">
        <f ca="1">IFERROR(+J10,"-")</f>
        <v>49994.959319989473</v>
      </c>
      <c r="K12" s="458"/>
      <c r="L12" s="458">
        <f ca="1">+L10</f>
        <v>3571.0685228563912</v>
      </c>
      <c r="M12" s="458"/>
      <c r="N12" s="459">
        <f ca="1">N10</f>
        <v>0.13200138862105404</v>
      </c>
      <c r="O12" s="188"/>
      <c r="P12" s="188"/>
      <c r="BZ12" s="173"/>
      <c r="CA12" s="173"/>
      <c r="CB12" s="173"/>
      <c r="CC12" s="173"/>
      <c r="CD12" s="173"/>
      <c r="CE12" s="173"/>
      <c r="CF12" s="173"/>
      <c r="CG12" s="173"/>
      <c r="CH12" s="173"/>
      <c r="CI12" s="173"/>
      <c r="CJ12" s="173"/>
      <c r="CK12" s="173"/>
      <c r="CL12" s="173"/>
      <c r="CM12" s="173"/>
      <c r="CN12" s="173"/>
      <c r="CO12" s="173"/>
      <c r="CP12" s="173"/>
      <c r="CQ12" s="173"/>
      <c r="CR12" s="173"/>
      <c r="CS12" s="173"/>
      <c r="CT12" s="173"/>
      <c r="CU12" s="173"/>
      <c r="CV12" s="173"/>
      <c r="CW12" s="173"/>
      <c r="CX12" s="173"/>
      <c r="CY12" s="173"/>
      <c r="CZ12" s="173"/>
      <c r="DA12" s="173"/>
      <c r="DB12" s="173"/>
      <c r="DC12" s="173"/>
      <c r="DD12" s="173"/>
      <c r="DE12" s="173"/>
      <c r="DF12" s="173"/>
      <c r="DG12" s="173"/>
      <c r="DH12" s="173"/>
      <c r="DI12" s="173"/>
      <c r="DJ12" s="173"/>
      <c r="DK12" s="173"/>
      <c r="DL12" s="173"/>
      <c r="DM12" s="173"/>
      <c r="DN12" s="173"/>
      <c r="DO12" s="173"/>
      <c r="DP12" s="173"/>
      <c r="DQ12" s="173"/>
      <c r="DR12" s="173"/>
      <c r="DS12" s="173"/>
      <c r="DT12" s="173"/>
      <c r="DU12" s="173"/>
      <c r="DV12" s="173"/>
      <c r="DW12" s="173"/>
      <c r="DX12" s="173"/>
      <c r="DY12" s="173"/>
      <c r="DZ12" s="173"/>
      <c r="EA12" s="173"/>
      <c r="EB12" s="173"/>
      <c r="EC12" s="173"/>
      <c r="ED12" s="173"/>
      <c r="EE12" s="173"/>
      <c r="EF12" s="173"/>
      <c r="EG12" s="173"/>
      <c r="EH12" s="173"/>
      <c r="EI12" s="173"/>
      <c r="EJ12" s="173"/>
      <c r="EK12" s="173"/>
      <c r="EL12" s="173"/>
      <c r="EM12" s="173"/>
      <c r="EN12" s="173"/>
      <c r="EO12" s="173"/>
      <c r="EP12" s="173"/>
      <c r="EQ12" s="173"/>
      <c r="ER12" s="173"/>
      <c r="ES12" s="173"/>
      <c r="ET12" s="173"/>
      <c r="EU12" s="173"/>
      <c r="EV12" s="173"/>
      <c r="EW12" s="173"/>
      <c r="EX12" s="173"/>
      <c r="EY12" s="173"/>
      <c r="EZ12" s="173"/>
      <c r="FA12" s="173"/>
      <c r="FB12" s="173"/>
      <c r="FC12" s="173"/>
      <c r="FD12" s="173"/>
      <c r="FE12" s="173"/>
      <c r="FF12" s="173"/>
      <c r="FG12" s="173"/>
      <c r="FH12" s="173"/>
      <c r="FI12" s="173"/>
      <c r="FJ12" s="173"/>
      <c r="FK12" s="173"/>
      <c r="FL12" s="173"/>
      <c r="FM12" s="173"/>
      <c r="FN12" s="173"/>
      <c r="FO12" s="173"/>
      <c r="FP12" s="173"/>
      <c r="FQ12" s="173"/>
      <c r="FR12" s="173"/>
      <c r="FS12" s="173"/>
      <c r="FT12" s="173"/>
      <c r="FU12" s="173"/>
      <c r="FV12" s="173"/>
    </row>
    <row r="13" spans="3:178" customFormat="1" ht="2.1" customHeight="1">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row>
    <row r="14" spans="3:178" ht="14.4" customHeight="1">
      <c r="C14" s="395"/>
      <c r="D14" s="460" t="s">
        <v>248</v>
      </c>
      <c r="E14" s="455">
        <f>'Simulador - Datos personales'!E13</f>
        <v>220000</v>
      </c>
      <c r="F14" s="452"/>
      <c r="G14" s="452"/>
      <c r="H14" s="438"/>
      <c r="I14" s="438"/>
      <c r="J14" s="438"/>
      <c r="K14" s="438"/>
      <c r="L14" s="438"/>
      <c r="M14" s="438"/>
      <c r="N14" s="438"/>
      <c r="O14" s="188"/>
      <c r="P14" s="188"/>
      <c r="BZ14" s="173"/>
      <c r="CA14" s="173"/>
      <c r="CB14" s="173"/>
      <c r="CC14" s="173"/>
      <c r="CD14" s="173"/>
      <c r="CE14" s="173"/>
      <c r="CF14" s="173"/>
      <c r="CG14" s="173"/>
      <c r="CH14" s="173"/>
      <c r="CI14" s="173"/>
      <c r="CJ14" s="173"/>
      <c r="CK14" s="173"/>
      <c r="CL14" s="173"/>
      <c r="CM14" s="173"/>
      <c r="CN14" s="173"/>
      <c r="CO14" s="173"/>
      <c r="CP14" s="173"/>
      <c r="CQ14" s="173"/>
      <c r="CR14" s="173"/>
      <c r="CS14" s="173"/>
      <c r="CT14" s="173"/>
      <c r="CU14" s="173"/>
      <c r="CV14" s="173"/>
      <c r="CW14" s="173"/>
      <c r="CX14" s="173"/>
      <c r="CY14" s="173"/>
      <c r="CZ14" s="173"/>
      <c r="DA14" s="173"/>
      <c r="DB14" s="173"/>
      <c r="DC14" s="173"/>
      <c r="DD14" s="173"/>
      <c r="DE14" s="173"/>
      <c r="DF14" s="173"/>
      <c r="DG14" s="173"/>
      <c r="DH14" s="173"/>
      <c r="DI14" s="173"/>
      <c r="DJ14" s="173"/>
      <c r="DK14" s="173"/>
      <c r="DL14" s="173"/>
      <c r="DM14" s="173"/>
      <c r="DN14" s="173"/>
      <c r="DO14" s="173"/>
      <c r="DP14" s="173"/>
      <c r="DQ14" s="173"/>
      <c r="DR14" s="173"/>
      <c r="DS14" s="173"/>
      <c r="DT14" s="173"/>
      <c r="DU14" s="173"/>
      <c r="DV14" s="173"/>
      <c r="DW14" s="173"/>
      <c r="DX14" s="173"/>
      <c r="DY14" s="173"/>
      <c r="DZ14" s="173"/>
      <c r="EA14" s="173"/>
      <c r="EB14" s="173"/>
      <c r="EC14" s="173"/>
      <c r="ED14" s="173"/>
      <c r="EE14" s="173"/>
      <c r="EF14" s="173"/>
      <c r="EG14" s="173"/>
      <c r="EH14" s="173"/>
      <c r="EI14" s="173"/>
      <c r="EJ14" s="173"/>
      <c r="EK14" s="173"/>
      <c r="EL14" s="173"/>
      <c r="EM14" s="173"/>
      <c r="EN14" s="173"/>
      <c r="EO14" s="173"/>
      <c r="EP14" s="173"/>
      <c r="EQ14" s="173"/>
      <c r="ER14" s="173"/>
      <c r="ES14" s="173"/>
      <c r="ET14" s="173"/>
      <c r="EU14" s="173"/>
      <c r="EV14" s="173"/>
      <c r="EW14" s="173"/>
      <c r="EX14" s="173"/>
      <c r="EY14" s="173"/>
      <c r="EZ14" s="173"/>
      <c r="FA14" s="173"/>
      <c r="FB14" s="173"/>
      <c r="FC14" s="173"/>
      <c r="FD14" s="173"/>
      <c r="FE14" s="173"/>
      <c r="FF14" s="173"/>
      <c r="FG14" s="173"/>
      <c r="FH14" s="173"/>
      <c r="FI14" s="173"/>
      <c r="FJ14" s="173"/>
      <c r="FK14" s="173"/>
      <c r="FL14" s="173"/>
      <c r="FM14" s="173"/>
      <c r="FN14" s="173"/>
      <c r="FO14" s="173"/>
      <c r="FP14" s="173"/>
      <c r="FQ14" s="173"/>
      <c r="FR14" s="173"/>
      <c r="FS14" s="173"/>
      <c r="FT14" s="173"/>
      <c r="FU14" s="173"/>
      <c r="FV14" s="173"/>
    </row>
    <row r="15" spans="3:178" customFormat="1" ht="2.1" customHeight="1">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row>
    <row r="16" spans="3:178" ht="14.4" customHeight="1">
      <c r="C16" s="395"/>
      <c r="D16" s="460" t="s">
        <v>249</v>
      </c>
      <c r="E16" s="455">
        <f>'Simulador - Datos personales'!E15</f>
        <v>210000</v>
      </c>
      <c r="F16" s="452"/>
      <c r="G16" s="452"/>
      <c r="H16" s="1015" t="s">
        <v>290</v>
      </c>
      <c r="I16" s="1015"/>
      <c r="J16" s="1015"/>
      <c r="K16" s="1015"/>
      <c r="L16" s="1015"/>
      <c r="M16" s="1015"/>
      <c r="N16" s="1015"/>
      <c r="O16" s="178"/>
      <c r="P16" s="178"/>
      <c r="R16"/>
      <c r="BZ16" s="173"/>
      <c r="CA16" s="173"/>
      <c r="CB16" s="173"/>
      <c r="CC16" s="173"/>
      <c r="CD16" s="173"/>
      <c r="CE16" s="173"/>
      <c r="CF16" s="173"/>
      <c r="CG16" s="173"/>
      <c r="CH16" s="173"/>
      <c r="CI16" s="173"/>
      <c r="CJ16" s="173"/>
      <c r="CK16" s="173"/>
      <c r="CL16" s="173"/>
      <c r="CM16" s="173"/>
      <c r="CN16" s="173"/>
      <c r="CO16" s="173"/>
      <c r="CP16" s="173"/>
      <c r="CQ16" s="173"/>
      <c r="CR16" s="173"/>
      <c r="CS16" s="173"/>
      <c r="CT16" s="173"/>
      <c r="CU16" s="173"/>
      <c r="CV16" s="173"/>
      <c r="CW16" s="173"/>
      <c r="CX16" s="173"/>
      <c r="CY16" s="173"/>
      <c r="CZ16" s="173"/>
      <c r="DA16" s="173"/>
      <c r="DB16" s="173"/>
      <c r="DC16" s="173"/>
      <c r="DD16" s="173"/>
      <c r="DE16" s="173"/>
      <c r="DF16" s="173"/>
      <c r="DG16" s="173"/>
      <c r="DH16" s="173"/>
      <c r="DI16" s="173"/>
      <c r="DJ16" s="173"/>
      <c r="DK16" s="173"/>
      <c r="DL16" s="173"/>
      <c r="DM16" s="173"/>
      <c r="DN16" s="173"/>
      <c r="DO16" s="173"/>
      <c r="DP16" s="173"/>
      <c r="DQ16" s="173"/>
      <c r="DR16" s="173"/>
      <c r="DS16" s="173"/>
      <c r="DT16" s="173"/>
      <c r="DU16" s="173"/>
      <c r="DV16" s="173"/>
      <c r="DW16" s="173"/>
      <c r="DX16" s="173"/>
      <c r="DY16" s="173"/>
      <c r="DZ16" s="173"/>
      <c r="EA16" s="173"/>
      <c r="EB16" s="173"/>
      <c r="EC16" s="173"/>
      <c r="ED16" s="173"/>
      <c r="EE16" s="173"/>
      <c r="EF16" s="173"/>
      <c r="EG16" s="173"/>
      <c r="EH16" s="173"/>
      <c r="EI16" s="173"/>
      <c r="EJ16" s="173"/>
      <c r="EK16" s="173"/>
      <c r="EL16" s="173"/>
      <c r="EM16" s="173"/>
      <c r="EN16" s="173"/>
      <c r="EO16" s="173"/>
      <c r="EP16" s="173"/>
      <c r="EQ16" s="173"/>
      <c r="ER16" s="173"/>
      <c r="ES16" s="173"/>
      <c r="ET16" s="173"/>
      <c r="EU16" s="173"/>
      <c r="EV16" s="173"/>
      <c r="EW16" s="173"/>
      <c r="EX16" s="173"/>
      <c r="EY16" s="173"/>
      <c r="EZ16" s="173"/>
      <c r="FA16" s="173"/>
      <c r="FB16" s="173"/>
      <c r="FC16" s="173"/>
      <c r="FD16" s="173"/>
      <c r="FE16" s="173"/>
      <c r="FF16" s="173"/>
      <c r="FG16" s="173"/>
      <c r="FH16" s="173"/>
      <c r="FI16" s="173"/>
      <c r="FJ16" s="173"/>
      <c r="FK16" s="173"/>
      <c r="FL16" s="173"/>
      <c r="FM16" s="173"/>
      <c r="FN16" s="173"/>
      <c r="FO16" s="173"/>
      <c r="FP16" s="173"/>
      <c r="FQ16" s="173"/>
      <c r="FR16" s="173"/>
      <c r="FS16" s="173"/>
      <c r="FT16" s="173"/>
      <c r="FU16" s="173"/>
      <c r="FV16" s="173"/>
    </row>
    <row r="17" spans="3:178" customFormat="1" ht="2.1" customHeight="1">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row>
    <row r="18" spans="3:178" ht="14.4" customHeight="1">
      <c r="C18" s="395"/>
      <c r="D18" s="460" t="s">
        <v>398</v>
      </c>
      <c r="E18" s="455">
        <f>'Simulador - Datos personales'!$F$20</f>
        <v>0</v>
      </c>
      <c r="F18" s="452"/>
      <c r="G18" s="452"/>
      <c r="H18" s="438"/>
      <c r="I18" s="205"/>
      <c r="J18" s="434" t="s">
        <v>285</v>
      </c>
      <c r="K18" s="434"/>
      <c r="L18" s="434" t="s">
        <v>284</v>
      </c>
      <c r="M18" s="434"/>
      <c r="N18" s="432" t="s">
        <v>296</v>
      </c>
      <c r="O18" s="188"/>
      <c r="P18" s="188"/>
      <c r="AQ18" s="10"/>
      <c r="AR18" s="10"/>
      <c r="AS18" s="10"/>
      <c r="AT18" s="10"/>
      <c r="AU18" s="10"/>
      <c r="BZ18" s="173"/>
      <c r="CA18" s="173"/>
      <c r="CB18" s="173"/>
      <c r="CC18" s="173"/>
      <c r="CD18" s="173"/>
      <c r="CE18" s="173"/>
      <c r="CF18" s="173"/>
      <c r="CG18" s="173"/>
      <c r="CH18" s="173"/>
      <c r="CI18" s="173"/>
      <c r="CJ18" s="173"/>
      <c r="CK18" s="173"/>
      <c r="CL18" s="173"/>
      <c r="CM18" s="173"/>
      <c r="CN18" s="173"/>
      <c r="CO18" s="173"/>
      <c r="CP18" s="173"/>
      <c r="CQ18" s="173"/>
      <c r="CR18" s="173"/>
      <c r="CS18" s="173"/>
      <c r="CT18" s="173"/>
      <c r="CU18" s="173"/>
      <c r="CV18" s="173"/>
      <c r="CW18" s="173"/>
      <c r="CX18" s="173"/>
      <c r="CY18" s="173"/>
      <c r="CZ18" s="173"/>
      <c r="DA18" s="173"/>
      <c r="DB18" s="173"/>
      <c r="DC18" s="173"/>
      <c r="DD18" s="173"/>
      <c r="DE18" s="173"/>
      <c r="DF18" s="173"/>
      <c r="DG18" s="173"/>
      <c r="DH18" s="173"/>
      <c r="DI18" s="173"/>
      <c r="DJ18" s="173"/>
      <c r="DK18" s="173"/>
      <c r="DL18" s="173"/>
      <c r="DM18" s="173"/>
      <c r="DN18" s="173"/>
      <c r="DO18" s="173"/>
      <c r="DP18" s="173"/>
      <c r="DQ18" s="173"/>
      <c r="DR18" s="173"/>
      <c r="DS18" s="173"/>
      <c r="DT18" s="173"/>
      <c r="DU18" s="173"/>
      <c r="DV18" s="173"/>
      <c r="DW18" s="173"/>
      <c r="DX18" s="173"/>
      <c r="DY18" s="173"/>
      <c r="DZ18" s="173"/>
      <c r="EA18" s="173"/>
      <c r="EB18" s="173"/>
      <c r="EC18" s="173"/>
      <c r="ED18" s="173"/>
      <c r="EE18" s="173"/>
      <c r="EF18" s="173"/>
      <c r="EG18" s="173"/>
      <c r="EH18" s="173"/>
      <c r="EI18" s="173"/>
      <c r="EJ18" s="173"/>
      <c r="EK18" s="173"/>
      <c r="EL18" s="173"/>
      <c r="EM18" s="173"/>
      <c r="EN18" s="173"/>
      <c r="EO18" s="173"/>
      <c r="EP18" s="173"/>
      <c r="EQ18" s="173"/>
      <c r="ER18" s="173"/>
      <c r="ES18" s="173"/>
      <c r="ET18" s="173"/>
      <c r="EU18" s="173"/>
      <c r="EV18" s="173"/>
      <c r="EW18" s="173"/>
      <c r="EX18" s="173"/>
      <c r="EY18" s="173"/>
      <c r="EZ18" s="173"/>
      <c r="FA18" s="173"/>
      <c r="FB18" s="173"/>
      <c r="FC18" s="173"/>
      <c r="FD18" s="173"/>
      <c r="FE18" s="173"/>
      <c r="FF18" s="173"/>
      <c r="FG18" s="173"/>
      <c r="FH18" s="173"/>
      <c r="FI18" s="173"/>
      <c r="FJ18" s="173"/>
      <c r="FK18" s="173"/>
      <c r="FL18" s="173"/>
      <c r="FM18" s="173"/>
      <c r="FN18" s="173"/>
      <c r="FO18" s="173"/>
      <c r="FP18" s="173"/>
      <c r="FQ18" s="173"/>
      <c r="FR18" s="173"/>
      <c r="FS18" s="173"/>
      <c r="FT18" s="173"/>
      <c r="FU18" s="173"/>
      <c r="FV18" s="173"/>
    </row>
    <row r="19" spans="3:178" customFormat="1" ht="2.1" customHeight="1">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row>
    <row r="20" spans="3:178" ht="14.4" customHeight="1">
      <c r="C20" s="205"/>
      <c r="D20" s="438"/>
      <c r="E20" s="438"/>
      <c r="F20" s="452"/>
      <c r="G20" s="452"/>
      <c r="H20" s="438"/>
      <c r="I20" s="437" t="s">
        <v>422</v>
      </c>
      <c r="J20" s="433" cm="1">
        <f t="array" aca="1" ref="J20:K20" ca="1">IFERROR(IF('Simulador - Datos personales'!E5:F5=4,0,'Simulador - 2º Pilar'!V12*12),"-")</f>
        <v>12647.290982859322</v>
      </c>
      <c r="K20" s="473">
        <f ca="1"/>
        <v>12647.290982859322</v>
      </c>
      <c r="L20" s="433" cm="1">
        <f t="array" aca="1" ref="L20:M20" ca="1">IFERROR(IF('Simulador - Datos personales'!E5:F5=4,0,J20/12),"-")</f>
        <v>1053.9409152382768</v>
      </c>
      <c r="M20">
        <f ca="1"/>
        <v>1053.9409152382768</v>
      </c>
      <c r="N20" s="456" cm="1">
        <f t="array" aca="1" ref="N20:O20" ca="1">IFERROR(IF('Simulador - Datos personales'!E5:F5=4,0,'Simulador - 2º Pilar'!T16),"-")</f>
        <v>3.3392565865424481E-2</v>
      </c>
      <c r="O20" s="172">
        <f ca="1"/>
        <v>3.3392565865424481E-2</v>
      </c>
      <c r="R20" s="208"/>
      <c r="AQ20" s="10"/>
      <c r="AR20" s="10"/>
      <c r="AS20" s="10"/>
      <c r="AT20" s="10"/>
      <c r="AU20" s="10"/>
      <c r="BZ20" s="173"/>
      <c r="CA20" s="173"/>
      <c r="CB20" s="173"/>
      <c r="CC20" s="173"/>
      <c r="CD20" s="173"/>
      <c r="CE20" s="173"/>
      <c r="CF20" s="173"/>
      <c r="CG20" s="173"/>
      <c r="CH20" s="173"/>
      <c r="CI20" s="173"/>
      <c r="CJ20" s="173"/>
      <c r="CK20" s="173"/>
      <c r="CL20" s="173"/>
      <c r="CM20" s="173"/>
      <c r="CN20" s="173"/>
      <c r="CO20" s="173"/>
      <c r="CP20" s="173"/>
      <c r="CQ20" s="173"/>
      <c r="CR20" s="173"/>
      <c r="CS20" s="173"/>
      <c r="CT20" s="173"/>
      <c r="CU20" s="173"/>
      <c r="CV20" s="173"/>
      <c r="CW20" s="173"/>
      <c r="CX20" s="173"/>
      <c r="CY20" s="173"/>
      <c r="CZ20" s="173"/>
      <c r="DA20" s="173"/>
      <c r="DB20" s="173"/>
      <c r="DC20" s="173"/>
      <c r="DD20" s="173"/>
      <c r="DE20" s="173"/>
      <c r="DF20" s="173"/>
      <c r="DG20" s="173"/>
      <c r="DH20" s="173"/>
      <c r="DI20" s="173"/>
      <c r="DJ20" s="173"/>
      <c r="DK20" s="173"/>
      <c r="DL20" s="173"/>
      <c r="DM20" s="173"/>
      <c r="DN20" s="173"/>
      <c r="DO20" s="173"/>
      <c r="DP20" s="173"/>
      <c r="DQ20" s="173"/>
      <c r="DR20" s="173"/>
      <c r="DS20" s="173"/>
      <c r="DT20" s="173"/>
      <c r="DU20" s="173"/>
      <c r="DV20" s="173"/>
      <c r="DW20" s="173"/>
      <c r="DX20" s="173"/>
      <c r="DY20" s="173"/>
      <c r="DZ20" s="173"/>
      <c r="EA20" s="173"/>
      <c r="EB20" s="173"/>
      <c r="EC20" s="173"/>
      <c r="ED20" s="173"/>
      <c r="EE20" s="173"/>
      <c r="EF20" s="173"/>
      <c r="EG20" s="173"/>
      <c r="EH20" s="173"/>
      <c r="EI20" s="173"/>
      <c r="EJ20" s="173"/>
      <c r="EK20" s="173"/>
      <c r="EL20" s="173"/>
      <c r="EM20" s="173"/>
      <c r="EN20" s="173"/>
      <c r="EO20" s="173"/>
      <c r="EP20" s="173"/>
      <c r="EQ20" s="173"/>
      <c r="ER20" s="173"/>
      <c r="ES20" s="173"/>
      <c r="ET20" s="173"/>
      <c r="EU20" s="173"/>
      <c r="EV20" s="173"/>
      <c r="EW20" s="173"/>
      <c r="EX20" s="173"/>
      <c r="EY20" s="173"/>
      <c r="EZ20" s="173"/>
      <c r="FA20" s="173"/>
      <c r="FB20" s="173"/>
      <c r="FC20" s="173"/>
      <c r="FD20" s="173"/>
      <c r="FE20" s="173"/>
      <c r="FF20" s="173"/>
      <c r="FG20" s="173"/>
      <c r="FH20" s="173"/>
      <c r="FI20" s="173"/>
      <c r="FJ20" s="173"/>
      <c r="FK20" s="173"/>
      <c r="FL20" s="173"/>
      <c r="FM20" s="173"/>
      <c r="FN20" s="173"/>
      <c r="FO20" s="173"/>
      <c r="FP20" s="173"/>
      <c r="FQ20" s="173"/>
      <c r="FR20" s="173"/>
      <c r="FS20" s="173"/>
      <c r="FT20" s="173"/>
      <c r="FU20" s="173"/>
      <c r="FV20" s="173"/>
    </row>
    <row r="21" spans="3:178" customFormat="1" ht="2.1" customHeight="1">
      <c r="K21" s="286"/>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row>
    <row r="22" spans="3:178" ht="14.4" customHeight="1">
      <c r="C22" s="1013" t="s">
        <v>307</v>
      </c>
      <c r="D22" s="1013"/>
      <c r="E22" s="1013"/>
      <c r="F22" s="452"/>
      <c r="G22" s="452"/>
      <c r="H22" s="438"/>
      <c r="I22" s="437" t="s">
        <v>423</v>
      </c>
      <c r="J22" s="433" cm="1">
        <f t="array" aca="1" ref="J22:K22" ca="1">IFERROR(IF('Simulador - Datos personales'!E5:F5=4,0,'Simulador - 2º Pilar'!V20*12),"-")</f>
        <v>4663.6826701426917</v>
      </c>
      <c r="K22" s="473">
        <f ca="1"/>
        <v>4663.6826701426917</v>
      </c>
      <c r="L22" s="433" cm="1">
        <f t="array" aca="1" ref="L22:M22" ca="1">IFERROR(IF('Simulador - Datos personales'!E5:F5=4,0,J22/12),"-")</f>
        <v>388.64022251189095</v>
      </c>
      <c r="M22">
        <f ca="1"/>
        <v>388.64022251189095</v>
      </c>
      <c r="N22" s="456" cm="1">
        <f t="array" aca="1" ref="N22:O22" ca="1">IFERROR(IF('Simulador - Datos personales'!E5:F5=4,0,'Simulador - 2º Pilar'!T24),"-")</f>
        <v>1.2313493138510068E-2</v>
      </c>
      <c r="O22" s="172">
        <f ca="1"/>
        <v>1.2313493138510068E-2</v>
      </c>
      <c r="AQ22" s="10"/>
      <c r="AR22" s="10"/>
      <c r="AS22" s="10"/>
      <c r="AT22" s="10"/>
      <c r="AU22" s="10"/>
      <c r="BZ22" s="173"/>
      <c r="CA22" s="173"/>
      <c r="CB22" s="173"/>
      <c r="CC22" s="173"/>
      <c r="CD22" s="173"/>
      <c r="CE22" s="173"/>
      <c r="CF22" s="173"/>
      <c r="CG22" s="173"/>
      <c r="CH22" s="173"/>
      <c r="CI22" s="173"/>
      <c r="CJ22" s="173"/>
      <c r="CK22" s="173"/>
      <c r="CL22" s="173"/>
      <c r="CM22" s="173"/>
      <c r="CN22" s="173"/>
      <c r="CO22" s="173"/>
      <c r="CP22" s="173"/>
      <c r="CQ22" s="173"/>
      <c r="CR22" s="173"/>
      <c r="CS22" s="173"/>
      <c r="CT22" s="173"/>
      <c r="CU22" s="173"/>
      <c r="CV22" s="173"/>
      <c r="CW22" s="173"/>
      <c r="CX22" s="173"/>
      <c r="CY22" s="173"/>
      <c r="CZ22" s="173"/>
      <c r="DA22" s="173"/>
      <c r="DB22" s="173"/>
      <c r="DC22" s="173"/>
      <c r="DD22" s="173"/>
      <c r="DE22" s="173"/>
      <c r="DF22" s="173"/>
      <c r="DG22" s="173"/>
      <c r="DH22" s="173"/>
      <c r="DI22" s="173"/>
      <c r="DJ22" s="173"/>
      <c r="DK22" s="173"/>
      <c r="DL22" s="173"/>
      <c r="DM22" s="173"/>
      <c r="DN22" s="173"/>
      <c r="DO22" s="173"/>
      <c r="DP22" s="173"/>
      <c r="DQ22" s="173"/>
      <c r="DR22" s="173"/>
      <c r="DS22" s="173"/>
      <c r="DT22" s="173"/>
      <c r="DU22" s="173"/>
      <c r="DV22" s="173"/>
      <c r="DW22" s="173"/>
      <c r="DX22" s="173"/>
      <c r="DY22" s="173"/>
      <c r="DZ22" s="173"/>
      <c r="EA22" s="173"/>
      <c r="EB22" s="173"/>
      <c r="EC22" s="173"/>
      <c r="ED22" s="173"/>
      <c r="EE22" s="173"/>
      <c r="EF22" s="173"/>
      <c r="EG22" s="173"/>
      <c r="EH22" s="173"/>
      <c r="EI22" s="173"/>
      <c r="EJ22" s="173"/>
      <c r="EK22" s="173"/>
      <c r="EL22" s="173"/>
      <c r="EM22" s="173"/>
      <c r="EN22" s="173"/>
      <c r="EO22" s="173"/>
      <c r="EP22" s="173"/>
      <c r="EQ22" s="173"/>
      <c r="ER22" s="173"/>
      <c r="ES22" s="173"/>
      <c r="ET22" s="173"/>
      <c r="EU22" s="173"/>
      <c r="EV22" s="173"/>
      <c r="EW22" s="173"/>
      <c r="EX22" s="173"/>
      <c r="EY22" s="173"/>
      <c r="EZ22" s="173"/>
      <c r="FA22" s="173"/>
      <c r="FB22" s="173"/>
      <c r="FC22" s="173"/>
      <c r="FD22" s="173"/>
      <c r="FE22" s="173"/>
      <c r="FF22" s="173"/>
      <c r="FG22" s="173"/>
      <c r="FH22" s="173"/>
      <c r="FI22" s="173"/>
      <c r="FJ22" s="173"/>
      <c r="FK22" s="173"/>
      <c r="FL22" s="173"/>
      <c r="FM22" s="173"/>
      <c r="FN22" s="173"/>
      <c r="FO22" s="173"/>
      <c r="FP22" s="173"/>
      <c r="FQ22" s="173"/>
      <c r="FR22" s="173"/>
      <c r="FS22" s="173"/>
      <c r="FT22" s="173"/>
      <c r="FU22" s="173"/>
      <c r="FV22" s="173"/>
    </row>
    <row r="23" spans="3:178" customFormat="1" ht="2.1" customHeight="1">
      <c r="K23" s="286"/>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row>
    <row r="24" spans="3:178" ht="14.4" customHeight="1">
      <c r="C24" s="395"/>
      <c r="D24" s="461" t="s">
        <v>292</v>
      </c>
      <c r="E24" s="455" t="str">
        <f>IF('Simulador - 1º Pilar'!G10="Jubilación ordinarIa","Ordinaria",IF('Simulador - 1º Pilar'!G10="Jubilación anticipada","Anticipada","Prolongada"))</f>
        <v>Ordinaria</v>
      </c>
      <c r="F24" s="452"/>
      <c r="G24" s="452"/>
      <c r="H24" s="438"/>
      <c r="I24" s="437" t="s">
        <v>424</v>
      </c>
      <c r="J24" s="433">
        <f ca="1">IFERROR('Simulador - 2º Pilar'!V33*12,"-")</f>
        <v>0</v>
      </c>
      <c r="K24" s="473"/>
      <c r="L24" s="433">
        <f ca="1">IFERROR(J24/12,"-")</f>
        <v>0</v>
      </c>
      <c r="M24"/>
      <c r="N24" s="456">
        <f ca="1">IFERROR('Simulador - 2º Pilar'!T40,"-")</f>
        <v>0</v>
      </c>
      <c r="AQ24" s="10"/>
      <c r="AR24" s="10"/>
      <c r="AS24" s="10"/>
      <c r="AT24" s="10"/>
      <c r="AU24" s="10"/>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73"/>
      <c r="EK24" s="173"/>
      <c r="EL24" s="173"/>
      <c r="EM24" s="173"/>
      <c r="EN24" s="173"/>
      <c r="EO24" s="173"/>
      <c r="EP24" s="173"/>
      <c r="EQ24" s="173"/>
      <c r="ER24" s="173"/>
      <c r="ES24" s="173"/>
      <c r="ET24" s="173"/>
      <c r="EU24" s="173"/>
      <c r="EV24" s="173"/>
      <c r="EW24" s="173"/>
      <c r="EX24" s="173"/>
      <c r="EY24" s="173"/>
      <c r="EZ24" s="173"/>
      <c r="FA24" s="173"/>
      <c r="FB24" s="173"/>
      <c r="FC24" s="173"/>
      <c r="FD24" s="173"/>
      <c r="FE24" s="173"/>
      <c r="FF24" s="173"/>
      <c r="FG24" s="173"/>
      <c r="FH24" s="173"/>
      <c r="FI24" s="173"/>
      <c r="FJ24" s="173"/>
      <c r="FK24" s="173"/>
      <c r="FL24" s="173"/>
      <c r="FM24" s="173"/>
      <c r="FN24" s="173"/>
      <c r="FO24" s="173"/>
      <c r="FP24" s="173"/>
      <c r="FQ24" s="173"/>
      <c r="FR24" s="173"/>
      <c r="FS24" s="173"/>
      <c r="FT24" s="173"/>
      <c r="FU24" s="173"/>
      <c r="FV24" s="173"/>
    </row>
    <row r="25" spans="3:178" customFormat="1" ht="2.1" customHeight="1">
      <c r="K25" s="286"/>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row>
    <row r="26" spans="3:178" ht="14.4" customHeight="1">
      <c r="C26" s="395"/>
      <c r="D26" s="461" t="s">
        <v>224</v>
      </c>
      <c r="E26" s="454">
        <f ca="1">'Simulador - 1º Pilar'!G20</f>
        <v>52781</v>
      </c>
      <c r="F26" s="452"/>
      <c r="G26" s="452"/>
      <c r="H26" s="438"/>
      <c r="I26" s="437" t="s">
        <v>425</v>
      </c>
      <c r="J26" s="433">
        <f ca="1">IFERROR('Simulador - 2º Pilar'!V49*12,"-")</f>
        <v>239.25331203734328</v>
      </c>
      <c r="K26" s="473"/>
      <c r="L26" s="433">
        <f ca="1">IFERROR(J26/12,"-")</f>
        <v>19.937776003111939</v>
      </c>
      <c r="M26"/>
      <c r="N26" s="456">
        <f ca="1">IFERROR('Simulador - 2º Pilar'!T53,"-")</f>
        <v>6.3169907228003926E-4</v>
      </c>
      <c r="AQ26" s="10"/>
      <c r="AR26" s="10"/>
      <c r="AS26" s="10"/>
      <c r="AT26" s="10"/>
      <c r="AU26" s="10"/>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c r="DA26" s="173"/>
      <c r="DB26" s="173"/>
      <c r="DC26" s="173"/>
      <c r="DD26" s="173"/>
      <c r="DE26" s="173"/>
      <c r="DF26" s="173"/>
      <c r="DG26" s="173"/>
      <c r="DH26" s="173"/>
      <c r="DI26" s="173"/>
      <c r="DJ26" s="173"/>
      <c r="DK26" s="173"/>
      <c r="DL26" s="173"/>
      <c r="DM26" s="173"/>
      <c r="DN26" s="173"/>
      <c r="DO26" s="173"/>
      <c r="DP26" s="173"/>
      <c r="DQ26" s="173"/>
      <c r="DR26" s="173"/>
      <c r="DS26" s="173"/>
      <c r="DT26" s="173"/>
      <c r="DU26" s="173"/>
      <c r="DV26" s="173"/>
      <c r="DW26" s="173"/>
      <c r="DX26" s="173"/>
      <c r="DY26" s="173"/>
      <c r="DZ26" s="173"/>
      <c r="EA26" s="173"/>
      <c r="EB26" s="173"/>
      <c r="EC26" s="173"/>
      <c r="ED26" s="173"/>
      <c r="EE26" s="173"/>
      <c r="EF26" s="173"/>
      <c r="EG26" s="173"/>
      <c r="EH26" s="173"/>
      <c r="EI26" s="173"/>
      <c r="EJ26" s="173"/>
      <c r="EK26" s="173"/>
      <c r="EL26" s="173"/>
      <c r="EM26" s="173"/>
      <c r="EN26" s="173"/>
      <c r="EO26" s="173"/>
      <c r="EP26" s="173"/>
      <c r="EQ26" s="173"/>
      <c r="ER26" s="173"/>
      <c r="ES26" s="173"/>
      <c r="ET26" s="173"/>
      <c r="EU26" s="173"/>
      <c r="EV26" s="173"/>
      <c r="EW26" s="173"/>
      <c r="EX26" s="173"/>
      <c r="EY26" s="173"/>
      <c r="EZ26" s="173"/>
      <c r="FA26" s="173"/>
      <c r="FB26" s="173"/>
      <c r="FC26" s="173"/>
      <c r="FD26" s="173"/>
      <c r="FE26" s="173"/>
      <c r="FF26" s="173"/>
      <c r="FG26" s="173"/>
      <c r="FH26" s="173"/>
      <c r="FI26" s="173"/>
      <c r="FJ26" s="173"/>
      <c r="FK26" s="173"/>
      <c r="FL26" s="173"/>
      <c r="FM26" s="173"/>
      <c r="FN26" s="173"/>
      <c r="FO26" s="173"/>
      <c r="FP26" s="173"/>
      <c r="FQ26" s="173"/>
      <c r="FR26" s="173"/>
      <c r="FS26" s="173"/>
      <c r="FT26" s="173"/>
      <c r="FU26" s="173"/>
      <c r="FV26" s="173"/>
    </row>
    <row r="27" spans="3:178" customFormat="1" ht="2.1" customHeight="1">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row>
    <row r="28" spans="3:178" ht="14.4" customHeight="1">
      <c r="C28" s="395"/>
      <c r="D28" s="461" t="s">
        <v>291</v>
      </c>
      <c r="E28" s="462">
        <f ca="1">'Simulador - 1º Pilar'!G19</f>
        <v>67</v>
      </c>
      <c r="F28" s="452"/>
      <c r="G28" s="452"/>
      <c r="H28" s="457"/>
      <c r="I28" s="457" t="s">
        <v>281</v>
      </c>
      <c r="J28" s="458">
        <f ca="1">IFERROR(+SUM(J20:J26),"-")</f>
        <v>17550.226965039357</v>
      </c>
      <c r="K28" s="458"/>
      <c r="L28" s="458">
        <f ca="1">IFERROR(J28/12,"-")</f>
        <v>1462.5189137532798</v>
      </c>
      <c r="M28" s="458"/>
      <c r="N28" s="459">
        <f ca="1">IFERROR(J28/'Simulador - 1º Pilar'!$G$50,"-")</f>
        <v>4.6337758076214583E-2</v>
      </c>
      <c r="AQ28" s="10"/>
      <c r="AR28" s="10"/>
      <c r="AS28" s="10"/>
      <c r="AT28" s="10"/>
      <c r="AU28" s="10"/>
      <c r="BZ28" s="173"/>
      <c r="CA28" s="173"/>
      <c r="CB28" s="173"/>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c r="DA28" s="173"/>
      <c r="DB28" s="173"/>
      <c r="DC28" s="173"/>
      <c r="DD28" s="173"/>
      <c r="DE28" s="173"/>
      <c r="DF28" s="173"/>
      <c r="DG28" s="173"/>
      <c r="DH28" s="173"/>
      <c r="DI28" s="173"/>
      <c r="DJ28" s="173"/>
      <c r="DK28" s="173"/>
      <c r="DL28" s="173"/>
      <c r="DM28" s="173"/>
      <c r="DN28" s="173"/>
      <c r="DO28" s="173"/>
      <c r="DP28" s="173"/>
      <c r="DQ28" s="173"/>
      <c r="DR28" s="173"/>
      <c r="DS28" s="173"/>
      <c r="DT28" s="173"/>
      <c r="DU28" s="173"/>
      <c r="DV28" s="173"/>
      <c r="DW28" s="173"/>
      <c r="DX28" s="173"/>
      <c r="DY28" s="173"/>
      <c r="DZ28" s="173"/>
      <c r="EA28" s="173"/>
      <c r="EB28" s="173"/>
      <c r="EC28" s="173"/>
      <c r="ED28" s="173"/>
      <c r="EE28" s="173"/>
      <c r="EF28" s="173"/>
      <c r="EG28" s="173"/>
      <c r="EH28" s="173"/>
      <c r="EI28" s="173"/>
      <c r="EJ28" s="173"/>
      <c r="EK28" s="173"/>
      <c r="EL28" s="173"/>
      <c r="EM28" s="173"/>
      <c r="EN28" s="173"/>
      <c r="EO28" s="173"/>
      <c r="EP28" s="173"/>
      <c r="EQ28" s="173"/>
      <c r="ER28" s="173"/>
      <c r="ES28" s="173"/>
      <c r="ET28" s="173"/>
      <c r="EU28" s="173"/>
      <c r="EV28" s="173"/>
      <c r="EW28" s="173"/>
      <c r="EX28" s="173"/>
      <c r="EY28" s="173"/>
      <c r="EZ28" s="173"/>
      <c r="FA28" s="173"/>
      <c r="FB28" s="173"/>
      <c r="FC28" s="173"/>
      <c r="FD28" s="173"/>
      <c r="FE28" s="173"/>
      <c r="FF28" s="173"/>
      <c r="FG28" s="173"/>
      <c r="FH28" s="173"/>
      <c r="FI28" s="173"/>
      <c r="FJ28" s="173"/>
      <c r="FK28" s="173"/>
      <c r="FL28" s="173"/>
      <c r="FM28" s="173"/>
      <c r="FN28" s="173"/>
      <c r="FO28" s="173"/>
      <c r="FP28" s="173"/>
      <c r="FQ28" s="173"/>
      <c r="FR28" s="173"/>
      <c r="FS28" s="173"/>
      <c r="FT28" s="173"/>
      <c r="FU28" s="173"/>
      <c r="FV28" s="173"/>
    </row>
    <row r="29" spans="3:178" customFormat="1" ht="2.1" customHeight="1">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row>
    <row r="30" spans="3:178" ht="14.4" customHeight="1">
      <c r="C30" s="395"/>
      <c r="D30" s="461" t="s">
        <v>399</v>
      </c>
      <c r="E30" s="463">
        <f ca="1">IFERROR('Aportaciones PPE'!B11*12,"-")</f>
        <v>378745.7074676209</v>
      </c>
      <c r="F30" s="452"/>
      <c r="G30" s="452"/>
      <c r="H30" s="438"/>
      <c r="I30" s="438"/>
      <c r="J30" s="438"/>
      <c r="K30" s="438"/>
      <c r="L30" s="438"/>
      <c r="M30" s="438"/>
      <c r="N30" s="438"/>
      <c r="AQ30" s="10"/>
      <c r="AR30" s="10"/>
      <c r="AS30" s="10"/>
      <c r="AT30" s="10"/>
      <c r="AU30" s="10"/>
      <c r="BZ30" s="173"/>
      <c r="CA30" s="173"/>
      <c r="CB30" s="173"/>
      <c r="CC30" s="173"/>
      <c r="CD30" s="173"/>
      <c r="CE30" s="173"/>
      <c r="CF30" s="173"/>
      <c r="CG30" s="173"/>
      <c r="CH30" s="173"/>
      <c r="CI30" s="173"/>
      <c r="CJ30" s="173"/>
      <c r="CK30" s="173"/>
      <c r="CL30" s="173"/>
      <c r="CM30" s="173"/>
      <c r="CN30" s="173"/>
      <c r="CO30" s="173"/>
      <c r="CP30" s="173"/>
      <c r="CQ30" s="173"/>
      <c r="CR30" s="173"/>
      <c r="CS30" s="173"/>
      <c r="CT30" s="173"/>
      <c r="CU30" s="173"/>
      <c r="CV30" s="173"/>
      <c r="CW30" s="173"/>
      <c r="CX30" s="173"/>
      <c r="CY30" s="173"/>
      <c r="CZ30" s="173"/>
      <c r="DA30" s="173"/>
      <c r="DB30" s="173"/>
      <c r="DC30" s="173"/>
      <c r="DD30" s="173"/>
      <c r="DE30" s="173"/>
      <c r="DF30" s="173"/>
      <c r="DG30" s="173"/>
      <c r="DH30" s="173"/>
      <c r="DI30" s="173"/>
      <c r="DJ30" s="173"/>
      <c r="DK30" s="173"/>
      <c r="DL30" s="173"/>
      <c r="DM30" s="173"/>
      <c r="DN30" s="173"/>
      <c r="DO30" s="173"/>
      <c r="DP30" s="173"/>
      <c r="DQ30" s="173"/>
      <c r="DR30" s="173"/>
      <c r="DS30" s="173"/>
      <c r="DT30" s="173"/>
      <c r="DU30" s="173"/>
      <c r="DV30" s="173"/>
      <c r="DW30" s="173"/>
      <c r="DX30" s="173"/>
      <c r="DY30" s="173"/>
      <c r="DZ30" s="173"/>
      <c r="EA30" s="173"/>
      <c r="EB30" s="173"/>
      <c r="EC30" s="173"/>
      <c r="ED30" s="173"/>
      <c r="EE30" s="173"/>
      <c r="EF30" s="173"/>
      <c r="EG30" s="173"/>
      <c r="EH30" s="173"/>
      <c r="EI30" s="173"/>
      <c r="EJ30" s="173"/>
      <c r="EK30" s="173"/>
      <c r="EL30" s="173"/>
      <c r="EM30" s="173"/>
      <c r="EN30" s="173"/>
      <c r="EO30" s="173"/>
      <c r="EP30" s="173"/>
      <c r="EQ30" s="173"/>
      <c r="ER30" s="173"/>
      <c r="ES30" s="173"/>
      <c r="ET30" s="173"/>
      <c r="EU30" s="173"/>
      <c r="EV30" s="173"/>
      <c r="EW30" s="173"/>
      <c r="EX30" s="173"/>
      <c r="EY30" s="173"/>
      <c r="EZ30" s="173"/>
      <c r="FA30" s="173"/>
      <c r="FB30" s="173"/>
      <c r="FC30" s="173"/>
      <c r="FD30" s="173"/>
      <c r="FE30" s="173"/>
      <c r="FF30" s="173"/>
      <c r="FG30" s="173"/>
      <c r="FH30" s="173"/>
      <c r="FI30" s="173"/>
      <c r="FJ30" s="173"/>
      <c r="FK30" s="173"/>
      <c r="FL30" s="173"/>
      <c r="FM30" s="173"/>
      <c r="FN30" s="173"/>
      <c r="FO30" s="173"/>
      <c r="FP30" s="173"/>
      <c r="FQ30" s="173"/>
      <c r="FR30" s="173"/>
      <c r="FS30" s="173"/>
      <c r="FT30" s="173"/>
      <c r="FU30" s="173"/>
      <c r="FV30" s="173"/>
    </row>
    <row r="31" spans="3:178" customFormat="1" ht="2.1" customHeight="1">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row>
    <row r="32" spans="3:178" ht="14.4" customHeight="1">
      <c r="C32" s="205"/>
      <c r="D32" s="438"/>
      <c r="E32" s="438"/>
      <c r="F32" s="452"/>
      <c r="G32" s="452"/>
      <c r="H32" s="1015" t="s">
        <v>298</v>
      </c>
      <c r="I32" s="1015"/>
      <c r="J32" s="1015"/>
      <c r="K32" s="1015"/>
      <c r="L32" s="1015"/>
      <c r="M32" s="1015"/>
      <c r="N32" s="1015"/>
      <c r="AP32" s="10"/>
      <c r="AQ32" s="10"/>
      <c r="AR32" s="10"/>
      <c r="AS32" s="10"/>
      <c r="AT32" s="10"/>
      <c r="AU32" s="10"/>
      <c r="BZ32" s="173"/>
      <c r="CA32" s="173"/>
      <c r="CB32" s="173"/>
      <c r="CC32" s="173"/>
      <c r="CD32" s="173"/>
      <c r="CE32" s="173"/>
      <c r="CF32" s="173"/>
      <c r="CG32" s="173"/>
      <c r="CH32" s="173"/>
      <c r="CI32" s="173"/>
      <c r="CJ32" s="173"/>
      <c r="CK32" s="173"/>
      <c r="CL32" s="173"/>
      <c r="CM32" s="173"/>
      <c r="CN32" s="173"/>
      <c r="CO32" s="173"/>
      <c r="CP32" s="173"/>
      <c r="CQ32" s="173"/>
      <c r="CR32" s="173"/>
      <c r="CS32" s="173"/>
      <c r="CT32" s="173"/>
      <c r="CU32" s="173"/>
      <c r="CV32" s="173"/>
      <c r="CW32" s="173"/>
      <c r="CX32" s="173"/>
      <c r="CY32" s="173"/>
      <c r="CZ32" s="173"/>
      <c r="DA32" s="173"/>
      <c r="DB32" s="173"/>
      <c r="DC32" s="173"/>
      <c r="DD32" s="173"/>
      <c r="DE32" s="173"/>
      <c r="DF32" s="173"/>
      <c r="DG32" s="173"/>
      <c r="DH32" s="173"/>
      <c r="DI32" s="173"/>
      <c r="DJ32" s="173"/>
      <c r="DK32" s="173"/>
      <c r="DL32" s="173"/>
      <c r="DM32" s="173"/>
      <c r="DN32" s="173"/>
      <c r="DO32" s="173"/>
      <c r="DP32" s="173"/>
      <c r="DQ32" s="173"/>
      <c r="DR32" s="173"/>
      <c r="DS32" s="173"/>
      <c r="DT32" s="173"/>
      <c r="DU32" s="173"/>
      <c r="DV32" s="173"/>
      <c r="DW32" s="173"/>
      <c r="DX32" s="173"/>
      <c r="DY32" s="173"/>
      <c r="DZ32" s="173"/>
      <c r="EA32" s="173"/>
      <c r="EB32" s="173"/>
      <c r="EC32" s="173"/>
      <c r="ED32" s="173"/>
      <c r="EE32" s="173"/>
      <c r="EF32" s="173"/>
      <c r="EG32" s="173"/>
      <c r="EH32" s="173"/>
      <c r="EI32" s="173"/>
      <c r="EJ32" s="173"/>
      <c r="EK32" s="173"/>
      <c r="EL32" s="173"/>
      <c r="EM32" s="173"/>
      <c r="EN32" s="173"/>
      <c r="EO32" s="173"/>
      <c r="EP32" s="173"/>
      <c r="EQ32" s="173"/>
      <c r="ER32" s="173"/>
      <c r="ES32" s="173"/>
      <c r="ET32" s="173"/>
      <c r="EU32" s="173"/>
      <c r="EV32" s="173"/>
      <c r="EW32" s="173"/>
      <c r="EX32" s="173"/>
      <c r="EY32" s="173"/>
      <c r="EZ32" s="173"/>
      <c r="FA32" s="173"/>
      <c r="FB32" s="173"/>
      <c r="FC32" s="173"/>
      <c r="FD32" s="173"/>
      <c r="FE32" s="173"/>
      <c r="FF32" s="173"/>
      <c r="FG32" s="173"/>
      <c r="FH32" s="173"/>
      <c r="FI32" s="173"/>
      <c r="FJ32" s="173"/>
      <c r="FK32" s="173"/>
      <c r="FL32" s="173"/>
      <c r="FM32" s="173"/>
      <c r="FN32" s="173"/>
      <c r="FO32" s="173"/>
      <c r="FP32" s="173"/>
      <c r="FQ32" s="173"/>
      <c r="FR32" s="173"/>
      <c r="FS32" s="173"/>
      <c r="FT32" s="173"/>
      <c r="FU32" s="173"/>
      <c r="FV32" s="173"/>
    </row>
    <row r="33" spans="3:178" customFormat="1" ht="2.1" customHeight="1">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row>
    <row r="34" spans="3:178" ht="14.4" customHeight="1">
      <c r="C34" s="1013" t="s">
        <v>289</v>
      </c>
      <c r="D34" s="1013"/>
      <c r="E34" s="1013"/>
      <c r="F34" s="452"/>
      <c r="G34" s="452"/>
      <c r="H34" s="438"/>
      <c r="I34" s="205"/>
      <c r="J34" s="432" t="s">
        <v>285</v>
      </c>
      <c r="K34" s="432"/>
      <c r="L34" s="432" t="s">
        <v>284</v>
      </c>
      <c r="M34" s="432"/>
      <c r="N34" s="432" t="s">
        <v>296</v>
      </c>
      <c r="AP34" s="10"/>
      <c r="AQ34" s="10"/>
      <c r="AR34" s="10"/>
      <c r="AS34" s="10"/>
      <c r="BZ34" s="173"/>
      <c r="CA34" s="173"/>
      <c r="CB34" s="173"/>
      <c r="CC34" s="173"/>
      <c r="CD34" s="173"/>
      <c r="CE34" s="173"/>
      <c r="CF34" s="173"/>
      <c r="CG34" s="173"/>
      <c r="CH34" s="173"/>
      <c r="CI34" s="173"/>
      <c r="CJ34" s="173"/>
      <c r="CK34" s="173"/>
      <c r="CL34" s="173"/>
      <c r="CM34" s="173"/>
      <c r="CN34" s="173"/>
      <c r="CO34" s="173"/>
      <c r="CP34" s="173"/>
      <c r="CQ34" s="173"/>
      <c r="CR34" s="173"/>
      <c r="CS34" s="173"/>
      <c r="CT34" s="173"/>
      <c r="CU34" s="173"/>
      <c r="CV34" s="173"/>
      <c r="CW34" s="173"/>
      <c r="CX34" s="173"/>
      <c r="CY34" s="173"/>
      <c r="CZ34" s="173"/>
      <c r="DA34" s="173"/>
      <c r="DB34" s="173"/>
      <c r="DC34" s="173"/>
      <c r="DD34" s="173"/>
      <c r="DE34" s="173"/>
      <c r="DF34" s="173"/>
      <c r="DG34" s="173"/>
      <c r="DH34" s="173"/>
      <c r="DI34" s="173"/>
      <c r="DJ34" s="173"/>
      <c r="DK34" s="173"/>
      <c r="DL34" s="173"/>
      <c r="DM34" s="173"/>
      <c r="DN34" s="173"/>
      <c r="DO34" s="173"/>
      <c r="DP34" s="173"/>
      <c r="DQ34" s="173"/>
      <c r="DR34" s="173"/>
      <c r="DS34" s="173"/>
      <c r="DT34" s="173"/>
      <c r="DU34" s="173"/>
      <c r="DV34" s="173"/>
      <c r="DW34" s="173"/>
      <c r="DX34" s="173"/>
      <c r="DY34" s="173"/>
      <c r="DZ34" s="173"/>
      <c r="EA34" s="173"/>
      <c r="EB34" s="173"/>
      <c r="EC34" s="173"/>
      <c r="ED34" s="173"/>
      <c r="EE34" s="173"/>
      <c r="EF34" s="173"/>
      <c r="EG34" s="173"/>
      <c r="EH34" s="173"/>
      <c r="EI34" s="173"/>
      <c r="EJ34" s="173"/>
      <c r="EK34" s="173"/>
      <c r="EL34" s="173"/>
      <c r="EM34" s="173"/>
      <c r="EN34" s="173"/>
      <c r="EO34" s="173"/>
      <c r="EP34" s="173"/>
      <c r="EQ34" s="173"/>
      <c r="ER34" s="173"/>
      <c r="ES34" s="173"/>
      <c r="ET34" s="173"/>
      <c r="EU34" s="173"/>
      <c r="EV34" s="173"/>
      <c r="EW34" s="173"/>
      <c r="EX34" s="173"/>
      <c r="EY34" s="173"/>
      <c r="EZ34" s="173"/>
      <c r="FA34" s="173"/>
      <c r="FB34" s="173"/>
      <c r="FC34" s="173"/>
      <c r="FD34" s="173"/>
      <c r="FE34" s="173"/>
      <c r="FF34" s="173"/>
      <c r="FG34" s="173"/>
      <c r="FH34" s="173"/>
      <c r="FI34" s="173"/>
      <c r="FJ34" s="173"/>
      <c r="FK34" s="173"/>
      <c r="FL34" s="173"/>
      <c r="FM34" s="173"/>
      <c r="FN34" s="173"/>
      <c r="FO34" s="173"/>
      <c r="FP34" s="173"/>
      <c r="FQ34" s="173"/>
      <c r="FR34" s="173"/>
      <c r="FS34" s="173"/>
      <c r="FT34" s="173"/>
      <c r="FU34" s="173"/>
      <c r="FV34" s="173"/>
    </row>
    <row r="35" spans="3:178" customFormat="1" ht="2.1" customHeight="1">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row>
    <row r="36" spans="3:178" ht="14.4" customHeight="1">
      <c r="C36" s="395"/>
      <c r="D36" s="460" t="s">
        <v>288</v>
      </c>
      <c r="E36" s="464">
        <f>Hipótesis!E7</f>
        <v>2.5000000000000001E-2</v>
      </c>
      <c r="F36" s="452"/>
      <c r="G36" s="452"/>
      <c r="H36" s="438"/>
      <c r="I36" s="437" t="s">
        <v>426</v>
      </c>
      <c r="J36" s="433">
        <f ca="1">IFERROR('Simulador - 3º Pilar'!G27,"-")</f>
        <v>0</v>
      </c>
      <c r="K36" s="473"/>
      <c r="L36" s="433">
        <f ca="1">IFERROR(J36/12,"-")</f>
        <v>0</v>
      </c>
      <c r="M36" s="473"/>
      <c r="N36" s="456">
        <f ca="1">IFERROR(J36/'Simulador - 1º Pilar'!$G$50,"-")</f>
        <v>0</v>
      </c>
      <c r="BZ36" s="173"/>
      <c r="CA36" s="173"/>
      <c r="CB36" s="173"/>
      <c r="CC36" s="173"/>
      <c r="CD36" s="173"/>
      <c r="CE36" s="173"/>
      <c r="CF36" s="173"/>
      <c r="CG36" s="173"/>
      <c r="CH36" s="173"/>
      <c r="CI36" s="173"/>
      <c r="CJ36" s="173"/>
      <c r="CK36" s="173"/>
      <c r="CL36" s="173"/>
      <c r="CM36" s="173"/>
      <c r="CN36" s="173"/>
      <c r="CO36" s="173"/>
      <c r="CP36" s="173"/>
      <c r="CQ36" s="173"/>
      <c r="CR36" s="173"/>
      <c r="CS36" s="173"/>
      <c r="CT36" s="173"/>
      <c r="CU36" s="173"/>
      <c r="CV36" s="173"/>
      <c r="CW36" s="173"/>
      <c r="CX36" s="173"/>
      <c r="CY36" s="173"/>
      <c r="CZ36" s="173"/>
      <c r="DA36" s="173"/>
      <c r="DB36" s="173"/>
      <c r="DC36" s="173"/>
      <c r="DD36" s="173"/>
      <c r="DE36" s="173"/>
      <c r="DF36" s="173"/>
      <c r="DG36" s="173"/>
      <c r="DH36" s="173"/>
      <c r="DI36" s="173"/>
      <c r="DJ36" s="173"/>
      <c r="DK36" s="173"/>
      <c r="DL36" s="173"/>
      <c r="DM36" s="173"/>
      <c r="DN36" s="173"/>
      <c r="DO36" s="173"/>
      <c r="DP36" s="173"/>
      <c r="DQ36" s="173"/>
      <c r="DR36" s="173"/>
      <c r="DS36" s="173"/>
      <c r="DT36" s="173"/>
      <c r="DU36" s="173"/>
      <c r="DV36" s="173"/>
      <c r="DW36" s="173"/>
      <c r="DX36" s="173"/>
      <c r="DY36" s="173"/>
      <c r="DZ36" s="173"/>
      <c r="EA36" s="173"/>
      <c r="EB36" s="173"/>
      <c r="EC36" s="173"/>
      <c r="ED36" s="173"/>
      <c r="EE36" s="173"/>
      <c r="EF36" s="173"/>
      <c r="EG36" s="173"/>
      <c r="EH36" s="173"/>
      <c r="EI36" s="173"/>
      <c r="EJ36" s="173"/>
      <c r="EK36" s="173"/>
      <c r="EL36" s="173"/>
      <c r="EM36" s="173"/>
      <c r="EN36" s="173"/>
      <c r="EO36" s="173"/>
      <c r="EP36" s="173"/>
      <c r="EQ36" s="173"/>
      <c r="ER36" s="173"/>
      <c r="ES36" s="173"/>
      <c r="ET36" s="173"/>
      <c r="EU36" s="173"/>
      <c r="EV36" s="173"/>
      <c r="EW36" s="173"/>
      <c r="EX36" s="173"/>
      <c r="EY36" s="173"/>
      <c r="EZ36" s="173"/>
      <c r="FA36" s="173"/>
      <c r="FB36" s="173"/>
      <c r="FC36" s="173"/>
      <c r="FD36" s="173"/>
      <c r="FE36" s="173"/>
      <c r="FF36" s="173"/>
      <c r="FG36" s="173"/>
      <c r="FH36" s="173"/>
      <c r="FI36" s="173"/>
      <c r="FJ36" s="173"/>
      <c r="FK36" s="173"/>
      <c r="FL36" s="173"/>
      <c r="FM36" s="173"/>
      <c r="FN36" s="173"/>
      <c r="FO36" s="173"/>
      <c r="FP36" s="173"/>
      <c r="FQ36" s="173"/>
      <c r="FR36" s="173"/>
      <c r="FS36" s="173"/>
      <c r="FT36" s="173"/>
      <c r="FU36" s="173"/>
      <c r="FV36" s="173"/>
    </row>
    <row r="37" spans="3:178" customFormat="1" ht="2.1" customHeight="1">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row>
    <row r="38" spans="3:178" ht="14.4" customHeight="1">
      <c r="C38" s="395"/>
      <c r="D38" s="460" t="s">
        <v>402</v>
      </c>
      <c r="E38" s="464">
        <f>Hipótesis!E11</f>
        <v>2.5000000000000001E-2</v>
      </c>
      <c r="F38" s="452"/>
      <c r="G38" s="452"/>
      <c r="H38" s="457"/>
      <c r="I38" s="457" t="s">
        <v>286</v>
      </c>
      <c r="J38" s="458">
        <f ca="1">J36</f>
        <v>0</v>
      </c>
      <c r="K38" s="458"/>
      <c r="L38" s="458">
        <f ca="1">IFERROR(J38/12,"-")</f>
        <v>0</v>
      </c>
      <c r="M38" s="458"/>
      <c r="N38" s="459">
        <f ca="1">IFERROR(J38/'Simulador - 1º Pilar'!$G$50,"-")</f>
        <v>0</v>
      </c>
      <c r="BZ38" s="173"/>
      <c r="CA38" s="173"/>
      <c r="CB38" s="173"/>
      <c r="CC38" s="173"/>
      <c r="CD38" s="173"/>
      <c r="CE38" s="173"/>
      <c r="CF38" s="173"/>
      <c r="CG38" s="173"/>
      <c r="CH38" s="173"/>
      <c r="CI38" s="173"/>
      <c r="CJ38" s="173"/>
      <c r="CK38" s="173"/>
      <c r="CL38" s="173"/>
      <c r="CM38" s="173"/>
      <c r="CN38" s="173"/>
      <c r="CO38" s="173"/>
      <c r="CP38" s="173"/>
      <c r="CQ38" s="173"/>
      <c r="CR38" s="173"/>
      <c r="CS38" s="173"/>
      <c r="CT38" s="173"/>
      <c r="CU38" s="173"/>
      <c r="CV38" s="173"/>
      <c r="CW38" s="173"/>
      <c r="CX38" s="173"/>
      <c r="CY38" s="173"/>
      <c r="CZ38" s="173"/>
      <c r="DA38" s="173"/>
      <c r="DB38" s="173"/>
      <c r="DC38" s="173"/>
      <c r="DD38" s="173"/>
      <c r="DE38" s="173"/>
      <c r="DF38" s="173"/>
      <c r="DG38" s="173"/>
      <c r="DH38" s="173"/>
      <c r="DI38" s="173"/>
      <c r="DJ38" s="173"/>
      <c r="DK38" s="173"/>
      <c r="DL38" s="173"/>
      <c r="DM38" s="173"/>
      <c r="DN38" s="173"/>
      <c r="DO38" s="173"/>
      <c r="DP38" s="173"/>
      <c r="DQ38" s="173"/>
      <c r="DR38" s="173"/>
      <c r="DS38" s="173"/>
      <c r="DT38" s="173"/>
      <c r="DU38" s="173"/>
      <c r="DV38" s="173"/>
      <c r="DW38" s="173"/>
      <c r="DX38" s="173"/>
      <c r="DY38" s="173"/>
      <c r="DZ38" s="173"/>
      <c r="EA38" s="173"/>
      <c r="EB38" s="173"/>
      <c r="EC38" s="173"/>
      <c r="ED38" s="173"/>
      <c r="EE38" s="173"/>
      <c r="EF38" s="173"/>
      <c r="EG38" s="173"/>
      <c r="EH38" s="173"/>
      <c r="EI38" s="173"/>
      <c r="EJ38" s="173"/>
      <c r="EK38" s="173"/>
      <c r="EL38" s="173"/>
      <c r="EM38" s="173"/>
      <c r="EN38" s="173"/>
      <c r="EO38" s="173"/>
      <c r="EP38" s="173"/>
      <c r="EQ38" s="173"/>
      <c r="ER38" s="173"/>
      <c r="ES38" s="173"/>
      <c r="ET38" s="173"/>
      <c r="EU38" s="173"/>
      <c r="EV38" s="173"/>
      <c r="EW38" s="173"/>
      <c r="EX38" s="173"/>
      <c r="EY38" s="173"/>
      <c r="EZ38" s="173"/>
      <c r="FA38" s="173"/>
      <c r="FB38" s="173"/>
      <c r="FC38" s="173"/>
      <c r="FD38" s="173"/>
      <c r="FE38" s="173"/>
      <c r="FF38" s="173"/>
      <c r="FG38" s="173"/>
      <c r="FH38" s="173"/>
      <c r="FI38" s="173"/>
      <c r="FJ38" s="173"/>
      <c r="FK38" s="173"/>
      <c r="FL38" s="173"/>
      <c r="FM38" s="173"/>
      <c r="FN38" s="173"/>
      <c r="FO38" s="173"/>
      <c r="FP38" s="173"/>
      <c r="FQ38" s="173"/>
      <c r="FR38" s="173"/>
      <c r="FS38" s="173"/>
      <c r="FT38" s="173"/>
      <c r="FU38" s="173"/>
      <c r="FV38" s="173"/>
    </row>
    <row r="39" spans="3:178" customFormat="1" ht="2.1" customHeight="1">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row>
    <row r="40" spans="3:178" ht="14.4" customHeight="1">
      <c r="C40" s="395"/>
      <c r="D40" s="460" t="s">
        <v>299</v>
      </c>
      <c r="E40" s="464">
        <f>Hipótesis!E9</f>
        <v>2.5000000000000001E-2</v>
      </c>
      <c r="F40" s="452"/>
      <c r="G40" s="452"/>
      <c r="H40" s="438"/>
      <c r="I40" s="452"/>
      <c r="J40" s="452"/>
      <c r="K40" s="452"/>
      <c r="L40" s="452"/>
      <c r="M40" s="452"/>
      <c r="N40" s="452"/>
      <c r="BZ40" s="173"/>
      <c r="CA40" s="173"/>
      <c r="CB40" s="173"/>
      <c r="CC40" s="173"/>
      <c r="CD40" s="173"/>
      <c r="CE40" s="173"/>
      <c r="CF40" s="173"/>
      <c r="CG40" s="173"/>
      <c r="CH40" s="173"/>
      <c r="CI40" s="173"/>
      <c r="CJ40" s="173"/>
      <c r="CK40" s="173"/>
      <c r="CL40" s="173"/>
      <c r="CM40" s="173"/>
      <c r="CN40" s="173"/>
      <c r="CO40" s="173"/>
      <c r="CP40" s="173"/>
      <c r="CQ40" s="173"/>
      <c r="CR40" s="173"/>
      <c r="CS40" s="173"/>
      <c r="CT40" s="173"/>
      <c r="CU40" s="173"/>
      <c r="CV40" s="173"/>
      <c r="CW40" s="173"/>
      <c r="CX40" s="173"/>
      <c r="CY40" s="173"/>
      <c r="CZ40" s="173"/>
      <c r="DA40" s="173"/>
      <c r="DB40" s="173"/>
      <c r="DC40" s="173"/>
      <c r="DD40" s="173"/>
      <c r="DE40" s="173"/>
      <c r="DF40" s="173"/>
      <c r="DG40" s="173"/>
      <c r="DH40" s="173"/>
      <c r="DI40" s="173"/>
      <c r="DJ40" s="173"/>
      <c r="DK40" s="173"/>
      <c r="DL40" s="173"/>
      <c r="DM40" s="173"/>
      <c r="DN40" s="173"/>
      <c r="DO40" s="173"/>
      <c r="DP40" s="173"/>
      <c r="DQ40" s="173"/>
      <c r="DR40" s="173"/>
      <c r="DS40" s="173"/>
      <c r="DT40" s="173"/>
      <c r="DU40" s="173"/>
      <c r="DV40" s="173"/>
      <c r="DW40" s="173"/>
      <c r="DX40" s="173"/>
      <c r="DY40" s="173"/>
      <c r="DZ40" s="173"/>
      <c r="EA40" s="173"/>
      <c r="EB40" s="173"/>
      <c r="EC40" s="173"/>
      <c r="ED40" s="173"/>
      <c r="EE40" s="173"/>
      <c r="EF40" s="173"/>
      <c r="EG40" s="173"/>
      <c r="EH40" s="173"/>
      <c r="EI40" s="173"/>
      <c r="EJ40" s="173"/>
      <c r="EK40" s="173"/>
      <c r="EL40" s="173"/>
      <c r="EM40" s="173"/>
      <c r="EN40" s="173"/>
      <c r="EO40" s="173"/>
      <c r="EP40" s="173"/>
      <c r="EQ40" s="173"/>
      <c r="ER40" s="173"/>
      <c r="ES40" s="173"/>
      <c r="ET40" s="173"/>
      <c r="EU40" s="173"/>
      <c r="EV40" s="173"/>
      <c r="EW40" s="173"/>
      <c r="EX40" s="173"/>
      <c r="EY40" s="173"/>
      <c r="EZ40" s="173"/>
      <c r="FA40" s="173"/>
      <c r="FB40" s="173"/>
      <c r="FC40" s="173"/>
      <c r="FD40" s="173"/>
      <c r="FE40" s="173"/>
      <c r="FF40" s="173"/>
      <c r="FG40" s="173"/>
      <c r="FH40" s="173"/>
      <c r="FI40" s="173"/>
      <c r="FJ40" s="173"/>
      <c r="FK40" s="173"/>
      <c r="FL40" s="173"/>
      <c r="FM40" s="173"/>
      <c r="FN40" s="173"/>
      <c r="FO40" s="173"/>
      <c r="FP40" s="173"/>
      <c r="FQ40" s="173"/>
      <c r="FR40" s="173"/>
      <c r="FS40" s="173"/>
      <c r="FT40" s="173"/>
      <c r="FU40" s="173"/>
      <c r="FV40" s="173"/>
    </row>
    <row r="41" spans="3:178" customFormat="1" ht="2.1" customHeight="1">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row>
    <row r="42" spans="3:178" ht="14.4" customHeight="1">
      <c r="C42" s="395"/>
      <c r="D42" s="460" t="s">
        <v>287</v>
      </c>
      <c r="E42" s="464">
        <f>Hipótesis!E13</f>
        <v>2.5000000000000001E-2</v>
      </c>
      <c r="F42" s="452"/>
      <c r="G42" s="452"/>
      <c r="H42" s="438"/>
      <c r="I42" s="438"/>
      <c r="J42" s="432" t="s">
        <v>285</v>
      </c>
      <c r="K42" s="432"/>
      <c r="L42" s="432" t="s">
        <v>284</v>
      </c>
      <c r="M42" s="432"/>
      <c r="N42" s="432" t="s">
        <v>296</v>
      </c>
      <c r="BZ42" s="173"/>
      <c r="CA42" s="173"/>
      <c r="CB42" s="173"/>
      <c r="CC42" s="173"/>
      <c r="CD42" s="173"/>
      <c r="CE42" s="173"/>
      <c r="CF42" s="173"/>
      <c r="CG42" s="173"/>
      <c r="CH42" s="173"/>
      <c r="CI42" s="173"/>
      <c r="CJ42" s="173"/>
      <c r="CK42" s="173"/>
      <c r="CL42" s="173"/>
      <c r="CM42" s="173"/>
      <c r="CN42" s="173"/>
      <c r="CO42" s="173"/>
      <c r="CP42" s="173"/>
      <c r="CQ42" s="173"/>
      <c r="CR42" s="173"/>
      <c r="CS42" s="173"/>
      <c r="CT42" s="173"/>
      <c r="CU42" s="173"/>
      <c r="CV42" s="173"/>
      <c r="CW42" s="173"/>
      <c r="CX42" s="173"/>
      <c r="CY42" s="173"/>
      <c r="CZ42" s="173"/>
      <c r="DA42" s="173"/>
      <c r="DB42" s="173"/>
      <c r="DC42" s="173"/>
      <c r="DD42" s="173"/>
      <c r="DE42" s="173"/>
      <c r="DF42" s="173"/>
      <c r="DG42" s="173"/>
      <c r="DH42" s="173"/>
      <c r="DI42" s="173"/>
      <c r="DJ42" s="173"/>
      <c r="DK42" s="173"/>
      <c r="DL42" s="173"/>
      <c r="DM42" s="173"/>
      <c r="DN42" s="173"/>
      <c r="DO42" s="173"/>
      <c r="DP42" s="173"/>
      <c r="DQ42" s="173"/>
      <c r="DR42" s="173"/>
      <c r="DS42" s="173"/>
      <c r="DT42" s="173"/>
      <c r="DU42" s="173"/>
      <c r="DV42" s="173"/>
      <c r="DW42" s="173"/>
      <c r="DX42" s="173"/>
      <c r="DY42" s="173"/>
      <c r="DZ42" s="173"/>
      <c r="EA42" s="173"/>
      <c r="EB42" s="173"/>
      <c r="EC42" s="173"/>
      <c r="ED42" s="173"/>
      <c r="EE42" s="173"/>
      <c r="EF42" s="173"/>
      <c r="EG42" s="173"/>
      <c r="EH42" s="173"/>
      <c r="EI42" s="173"/>
      <c r="EJ42" s="173"/>
      <c r="EK42" s="173"/>
      <c r="EL42" s="173"/>
      <c r="EM42" s="173"/>
      <c r="EN42" s="173"/>
      <c r="EO42" s="173"/>
      <c r="EP42" s="173"/>
      <c r="EQ42" s="173"/>
      <c r="ER42" s="173"/>
      <c r="ES42" s="173"/>
      <c r="ET42" s="173"/>
      <c r="EU42" s="173"/>
      <c r="EV42" s="173"/>
      <c r="EW42" s="173"/>
      <c r="EX42" s="173"/>
      <c r="EY42" s="173"/>
      <c r="EZ42" s="173"/>
      <c r="FA42" s="173"/>
      <c r="FB42" s="173"/>
      <c r="FC42" s="173"/>
      <c r="FD42" s="173"/>
      <c r="FE42" s="173"/>
      <c r="FF42" s="173"/>
      <c r="FG42" s="173"/>
      <c r="FH42" s="173"/>
      <c r="FI42" s="173"/>
      <c r="FJ42" s="173"/>
      <c r="FK42" s="173"/>
      <c r="FL42" s="173"/>
      <c r="FM42" s="173"/>
      <c r="FN42" s="173"/>
      <c r="FO42" s="173"/>
      <c r="FP42" s="173"/>
      <c r="FQ42" s="173"/>
      <c r="FR42" s="173"/>
      <c r="FS42" s="173"/>
      <c r="FT42" s="173"/>
      <c r="FU42" s="173"/>
      <c r="FV42" s="173"/>
    </row>
    <row r="43" spans="3:178" customFormat="1" ht="2.1" customHeight="1">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row>
    <row r="44" spans="3:178" ht="14.4" customHeight="1">
      <c r="C44" s="395"/>
      <c r="D44" s="460" t="s">
        <v>401</v>
      </c>
      <c r="E44" s="464">
        <f>Hipótesis!E15</f>
        <v>0.02</v>
      </c>
      <c r="F44" s="452"/>
      <c r="G44" s="452"/>
      <c r="H44" s="465"/>
      <c r="I44" s="466" t="s">
        <v>283</v>
      </c>
      <c r="J44" s="467">
        <f ca="1">IFERROR(J38+J12+J28,"-")</f>
        <v>67545.186285028831</v>
      </c>
      <c r="K44" s="467"/>
      <c r="L44" s="467">
        <f ca="1">IFERROR(L38+L12+L28,"-")</f>
        <v>5033.5874366096705</v>
      </c>
      <c r="M44" s="467"/>
      <c r="N44" s="468">
        <f ca="1">IFERROR(N38+N12+N28,"-")</f>
        <v>0.17833914669726864</v>
      </c>
      <c r="BZ44" s="173"/>
      <c r="CA44" s="173"/>
      <c r="CB44" s="173"/>
      <c r="CC44" s="173"/>
      <c r="CD44" s="173"/>
      <c r="CE44" s="173"/>
      <c r="CF44" s="173"/>
      <c r="CG44" s="173"/>
      <c r="CH44" s="173"/>
      <c r="CI44" s="173"/>
      <c r="CJ44" s="173"/>
      <c r="CK44" s="173"/>
      <c r="CL44" s="173"/>
      <c r="CM44" s="173"/>
      <c r="CN44" s="173"/>
      <c r="CO44" s="173"/>
      <c r="CP44" s="173"/>
      <c r="CQ44" s="173"/>
      <c r="CR44" s="173"/>
      <c r="CS44" s="173"/>
      <c r="CT44" s="173"/>
      <c r="CU44" s="173"/>
      <c r="CV44" s="173"/>
      <c r="CW44" s="173"/>
      <c r="CX44" s="173"/>
      <c r="CY44" s="173"/>
      <c r="CZ44" s="173"/>
      <c r="DA44" s="173"/>
      <c r="DB44" s="173"/>
      <c r="DC44" s="173"/>
      <c r="DD44" s="173"/>
      <c r="DE44" s="173"/>
      <c r="DF44" s="173"/>
      <c r="DG44" s="173"/>
      <c r="DH44" s="173"/>
      <c r="DI44" s="173"/>
      <c r="DJ44" s="173"/>
      <c r="DK44" s="173"/>
      <c r="DL44" s="173"/>
      <c r="DM44" s="173"/>
      <c r="DN44" s="173"/>
      <c r="DO44" s="173"/>
      <c r="DP44" s="173"/>
      <c r="DQ44" s="173"/>
      <c r="DR44" s="173"/>
      <c r="DS44" s="173"/>
      <c r="DT44" s="173"/>
      <c r="DU44" s="173"/>
      <c r="DV44" s="173"/>
      <c r="DW44" s="173"/>
      <c r="DX44" s="173"/>
      <c r="DY44" s="173"/>
      <c r="DZ44" s="173"/>
      <c r="EA44" s="173"/>
      <c r="EB44" s="173"/>
      <c r="EC44" s="173"/>
      <c r="ED44" s="173"/>
      <c r="EE44" s="173"/>
      <c r="EF44" s="173"/>
      <c r="EG44" s="173"/>
      <c r="EH44" s="173"/>
      <c r="EI44" s="173"/>
      <c r="EJ44" s="173"/>
      <c r="EK44" s="173"/>
      <c r="EL44" s="173"/>
      <c r="EM44" s="173"/>
      <c r="EN44" s="173"/>
      <c r="EO44" s="173"/>
      <c r="EP44" s="173"/>
      <c r="EQ44" s="173"/>
      <c r="ER44" s="173"/>
      <c r="ES44" s="173"/>
      <c r="ET44" s="173"/>
      <c r="EU44" s="173"/>
      <c r="EV44" s="173"/>
      <c r="EW44" s="173"/>
      <c r="EX44" s="173"/>
      <c r="EY44" s="173"/>
      <c r="EZ44" s="173"/>
      <c r="FA44" s="173"/>
      <c r="FB44" s="173"/>
      <c r="FC44" s="173"/>
      <c r="FD44" s="173"/>
      <c r="FE44" s="173"/>
      <c r="FF44" s="173"/>
      <c r="FG44" s="173"/>
      <c r="FH44" s="173"/>
      <c r="FI44" s="173"/>
      <c r="FJ44" s="173"/>
      <c r="FK44" s="173"/>
      <c r="FL44" s="173"/>
      <c r="FM44" s="173"/>
      <c r="FN44" s="173"/>
      <c r="FO44" s="173"/>
      <c r="FP44" s="173"/>
      <c r="FQ44" s="173"/>
      <c r="FR44" s="173"/>
      <c r="FS44" s="173"/>
      <c r="FT44" s="173"/>
      <c r="FU44" s="173"/>
      <c r="FV44" s="173"/>
    </row>
    <row r="45" spans="3:178" customFormat="1" ht="2.1" customHeight="1">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row>
    <row r="46" spans="3:178" ht="14.4" customHeight="1">
      <c r="C46" s="395"/>
      <c r="D46" s="460" t="s">
        <v>403</v>
      </c>
      <c r="E46" s="464">
        <f>'Aportaciones PP indvidual'!G5</f>
        <v>0.1</v>
      </c>
      <c r="F46" s="452"/>
      <c r="G46" s="452"/>
      <c r="H46" s="469"/>
      <c r="I46" s="470" t="s">
        <v>311</v>
      </c>
      <c r="J46" s="471"/>
      <c r="K46" s="471"/>
      <c r="L46" s="471"/>
      <c r="M46" s="471"/>
      <c r="N46" s="472">
        <f ca="1">IFERROR(+MAX(0%,100%-N44),"-")</f>
        <v>0.82166085330273142</v>
      </c>
      <c r="BZ46" s="173"/>
      <c r="CA46" s="173"/>
      <c r="CB46" s="173"/>
      <c r="CC46" s="173"/>
      <c r="CD46" s="173"/>
      <c r="CE46" s="173"/>
      <c r="CF46" s="173"/>
      <c r="CG46" s="173"/>
      <c r="CH46" s="173"/>
      <c r="CI46" s="173"/>
      <c r="CJ46" s="173"/>
      <c r="CK46" s="173"/>
      <c r="CL46" s="173"/>
      <c r="CM46" s="173"/>
      <c r="CN46" s="173"/>
      <c r="CO46" s="173"/>
      <c r="CP46" s="173"/>
      <c r="CQ46" s="173"/>
      <c r="CR46" s="173"/>
      <c r="CS46" s="173"/>
      <c r="CT46" s="173"/>
      <c r="CU46" s="173"/>
      <c r="CV46" s="173"/>
      <c r="CW46" s="173"/>
      <c r="CX46" s="173"/>
      <c r="CY46" s="173"/>
      <c r="CZ46" s="173"/>
      <c r="DA46" s="173"/>
      <c r="DB46" s="173"/>
      <c r="DC46" s="173"/>
      <c r="DD46" s="173"/>
      <c r="DE46" s="173"/>
      <c r="DF46" s="173"/>
      <c r="DG46" s="173"/>
      <c r="DH46" s="173"/>
      <c r="DI46" s="173"/>
      <c r="DJ46" s="173"/>
      <c r="DK46" s="173"/>
      <c r="DL46" s="173"/>
      <c r="DM46" s="173"/>
      <c r="DN46" s="173"/>
      <c r="DO46" s="173"/>
      <c r="DP46" s="173"/>
      <c r="DQ46" s="173"/>
      <c r="DR46" s="173"/>
      <c r="DS46" s="173"/>
      <c r="DT46" s="173"/>
      <c r="DU46" s="173"/>
      <c r="DV46" s="173"/>
      <c r="DW46" s="173"/>
      <c r="DX46" s="173"/>
      <c r="DY46" s="173"/>
      <c r="DZ46" s="173"/>
      <c r="EA46" s="173"/>
      <c r="EB46" s="173"/>
      <c r="EC46" s="173"/>
      <c r="ED46" s="173"/>
      <c r="EE46" s="173"/>
      <c r="EF46" s="173"/>
      <c r="EG46" s="173"/>
      <c r="EH46" s="173"/>
      <c r="EI46" s="173"/>
      <c r="EJ46" s="173"/>
      <c r="EK46" s="173"/>
      <c r="EL46" s="173"/>
      <c r="EM46" s="173"/>
      <c r="EN46" s="173"/>
      <c r="EO46" s="173"/>
      <c r="EP46" s="173"/>
      <c r="EQ46" s="173"/>
      <c r="ER46" s="173"/>
      <c r="ES46" s="173"/>
      <c r="ET46" s="173"/>
      <c r="EU46" s="173"/>
      <c r="EV46" s="173"/>
      <c r="EW46" s="173"/>
      <c r="EX46" s="173"/>
      <c r="EY46" s="173"/>
      <c r="EZ46" s="173"/>
      <c r="FA46" s="173"/>
      <c r="FB46" s="173"/>
      <c r="FC46" s="173"/>
      <c r="FD46" s="173"/>
      <c r="FE46" s="173"/>
      <c r="FF46" s="173"/>
      <c r="FG46" s="173"/>
      <c r="FH46" s="173"/>
      <c r="FI46" s="173"/>
      <c r="FJ46" s="173"/>
      <c r="FK46" s="173"/>
      <c r="FL46" s="173"/>
      <c r="FM46" s="173"/>
      <c r="FN46" s="173"/>
      <c r="FO46" s="173"/>
      <c r="FP46" s="173"/>
      <c r="FQ46" s="173"/>
      <c r="FR46" s="173"/>
      <c r="FS46" s="173"/>
      <c r="FT46" s="173"/>
      <c r="FU46" s="173"/>
      <c r="FV46" s="173"/>
    </row>
    <row r="47" spans="3:178" customFormat="1" ht="2.1" customHeight="1">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row>
    <row r="48" spans="3:178" ht="14.4" customHeight="1">
      <c r="C48" s="395"/>
      <c r="D48" s="460" t="s">
        <v>404</v>
      </c>
      <c r="E48" s="464">
        <f>Hipótesis!E17</f>
        <v>1.4999999999999999E-2</v>
      </c>
      <c r="F48" s="452"/>
      <c r="G48" s="452"/>
      <c r="H48" s="438"/>
      <c r="I48" s="438"/>
      <c r="J48" s="438"/>
      <c r="K48" s="438"/>
      <c r="L48" s="438"/>
      <c r="M48" s="438"/>
      <c r="N48" s="438"/>
      <c r="BZ48" s="173"/>
      <c r="CA48" s="173"/>
      <c r="CB48" s="173"/>
      <c r="CC48" s="173"/>
      <c r="CD48" s="173"/>
      <c r="CE48" s="173"/>
      <c r="CF48" s="173"/>
      <c r="CG48" s="173"/>
      <c r="CH48" s="173"/>
      <c r="CI48" s="173"/>
      <c r="CJ48" s="173"/>
      <c r="CK48" s="173"/>
      <c r="CL48" s="173"/>
      <c r="CM48" s="173"/>
      <c r="CN48" s="173"/>
      <c r="CO48" s="173"/>
      <c r="CP48" s="173"/>
      <c r="CQ48" s="173"/>
      <c r="CR48" s="173"/>
      <c r="CS48" s="173"/>
      <c r="CT48" s="173"/>
      <c r="CU48" s="173"/>
      <c r="CV48" s="173"/>
      <c r="CW48" s="173"/>
      <c r="CX48" s="173"/>
      <c r="CY48" s="173"/>
      <c r="CZ48" s="173"/>
      <c r="DA48" s="173"/>
      <c r="DB48" s="173"/>
      <c r="DC48" s="173"/>
      <c r="DD48" s="173"/>
      <c r="DE48" s="173"/>
      <c r="DF48" s="173"/>
      <c r="DG48" s="173"/>
      <c r="DH48" s="173"/>
      <c r="DI48" s="173"/>
      <c r="DJ48" s="173"/>
      <c r="DK48" s="173"/>
      <c r="DL48" s="173"/>
      <c r="DM48" s="173"/>
      <c r="DN48" s="173"/>
      <c r="DO48" s="173"/>
      <c r="DP48" s="173"/>
      <c r="DQ48" s="173"/>
      <c r="DR48" s="173"/>
      <c r="DS48" s="173"/>
      <c r="DT48" s="173"/>
      <c r="DU48" s="173"/>
      <c r="DV48" s="173"/>
      <c r="DW48" s="173"/>
      <c r="DX48" s="173"/>
      <c r="DY48" s="173"/>
      <c r="DZ48" s="173"/>
      <c r="EA48" s="173"/>
      <c r="EB48" s="173"/>
      <c r="EC48" s="173"/>
      <c r="ED48" s="173"/>
      <c r="EE48" s="173"/>
      <c r="EF48" s="173"/>
      <c r="EG48" s="173"/>
      <c r="EH48" s="173"/>
      <c r="EI48" s="173"/>
      <c r="EJ48" s="173"/>
      <c r="EK48" s="173"/>
      <c r="EL48" s="173"/>
      <c r="EM48" s="173"/>
      <c r="EN48" s="173"/>
      <c r="EO48" s="173"/>
      <c r="EP48" s="173"/>
      <c r="EQ48" s="173"/>
      <c r="ER48" s="173"/>
      <c r="ES48" s="173"/>
      <c r="ET48" s="173"/>
      <c r="EU48" s="173"/>
      <c r="EV48" s="173"/>
      <c r="EW48" s="173"/>
      <c r="EX48" s="173"/>
      <c r="EY48" s="173"/>
      <c r="EZ48" s="173"/>
      <c r="FA48" s="173"/>
      <c r="FB48" s="173"/>
      <c r="FC48" s="173"/>
      <c r="FD48" s="173"/>
      <c r="FE48" s="173"/>
      <c r="FF48" s="173"/>
      <c r="FG48" s="173"/>
      <c r="FH48" s="173"/>
      <c r="FI48" s="173"/>
      <c r="FJ48" s="173"/>
      <c r="FK48" s="173"/>
      <c r="FL48" s="173"/>
      <c r="FM48" s="173"/>
      <c r="FN48" s="173"/>
      <c r="FO48" s="173"/>
      <c r="FP48" s="173"/>
      <c r="FQ48" s="173"/>
      <c r="FR48" s="173"/>
      <c r="FS48" s="173"/>
      <c r="FT48" s="173"/>
      <c r="FU48" s="173"/>
      <c r="FV48" s="173"/>
    </row>
    <row r="49" spans="3:178" customFormat="1" ht="2.1" customHeight="1">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row>
    <row r="50" spans="3:178" ht="14.4" customHeight="1">
      <c r="C50" s="395"/>
      <c r="D50" s="460" t="s">
        <v>303</v>
      </c>
      <c r="E50" s="464" t="s">
        <v>533</v>
      </c>
      <c r="F50" s="452"/>
      <c r="G50" s="452"/>
      <c r="H50" s="438"/>
      <c r="I50" s="438"/>
      <c r="J50" s="438"/>
      <c r="K50" s="438"/>
      <c r="L50" s="438"/>
      <c r="M50" s="438"/>
      <c r="N50" s="438"/>
      <c r="BZ50" s="173"/>
      <c r="CA50" s="173"/>
      <c r="CB50" s="173"/>
      <c r="CC50" s="173"/>
      <c r="CD50" s="173"/>
      <c r="CE50" s="173"/>
      <c r="CF50" s="173"/>
      <c r="CG50" s="173"/>
      <c r="CH50" s="173"/>
      <c r="CI50" s="173"/>
      <c r="CJ50" s="173"/>
      <c r="CK50" s="173"/>
      <c r="CL50" s="173"/>
      <c r="CM50" s="173"/>
      <c r="CN50" s="173"/>
      <c r="CO50" s="173"/>
      <c r="CP50" s="173"/>
      <c r="CQ50" s="173"/>
      <c r="CR50" s="173"/>
      <c r="CS50" s="173"/>
      <c r="CT50" s="173"/>
      <c r="CU50" s="173"/>
      <c r="CV50" s="173"/>
      <c r="CW50" s="173"/>
      <c r="CX50" s="173"/>
      <c r="CY50" s="173"/>
      <c r="CZ50" s="173"/>
      <c r="DA50" s="173"/>
      <c r="DB50" s="173"/>
      <c r="DC50" s="173"/>
      <c r="DD50" s="173"/>
      <c r="DE50" s="173"/>
      <c r="DF50" s="173"/>
      <c r="DG50" s="173"/>
      <c r="DH50" s="173"/>
      <c r="DI50" s="173"/>
      <c r="DJ50" s="173"/>
      <c r="DK50" s="173"/>
      <c r="DL50" s="173"/>
      <c r="DM50" s="173"/>
      <c r="DN50" s="173"/>
      <c r="DO50" s="173"/>
      <c r="DP50" s="173"/>
      <c r="DQ50" s="173"/>
      <c r="DR50" s="173"/>
      <c r="DS50" s="173"/>
      <c r="DT50" s="173"/>
      <c r="DU50" s="173"/>
      <c r="DV50" s="173"/>
      <c r="DW50" s="173"/>
      <c r="DX50" s="173"/>
      <c r="DY50" s="173"/>
      <c r="DZ50" s="173"/>
      <c r="EA50" s="173"/>
      <c r="EB50" s="173"/>
      <c r="EC50" s="173"/>
      <c r="ED50" s="173"/>
      <c r="EE50" s="173"/>
      <c r="EF50" s="173"/>
      <c r="EG50" s="173"/>
      <c r="EH50" s="173"/>
      <c r="EI50" s="173"/>
      <c r="EJ50" s="173"/>
      <c r="EK50" s="173"/>
      <c r="EL50" s="173"/>
      <c r="EM50" s="173"/>
      <c r="EN50" s="173"/>
      <c r="EO50" s="173"/>
      <c r="EP50" s="173"/>
      <c r="EQ50" s="173"/>
      <c r="ER50" s="173"/>
      <c r="ES50" s="173"/>
      <c r="ET50" s="173"/>
      <c r="EU50" s="173"/>
      <c r="EV50" s="173"/>
      <c r="EW50" s="173"/>
      <c r="EX50" s="173"/>
      <c r="EY50" s="173"/>
      <c r="EZ50" s="173"/>
      <c r="FA50" s="173"/>
      <c r="FB50" s="173"/>
      <c r="FC50" s="173"/>
      <c r="FD50" s="173"/>
      <c r="FE50" s="173"/>
      <c r="FF50" s="173"/>
      <c r="FG50" s="173"/>
      <c r="FH50" s="173"/>
      <c r="FI50" s="173"/>
      <c r="FJ50" s="173"/>
      <c r="FK50" s="173"/>
      <c r="FL50" s="173"/>
      <c r="FM50" s="173"/>
      <c r="FN50" s="173"/>
      <c r="FO50" s="173"/>
      <c r="FP50" s="173"/>
      <c r="FQ50" s="173"/>
      <c r="FR50" s="173"/>
      <c r="FS50" s="173"/>
      <c r="FT50" s="173"/>
      <c r="FU50" s="173"/>
      <c r="FV50" s="173"/>
    </row>
    <row r="51" spans="3:178" ht="2.1" customHeight="1">
      <c r="D51" s="431"/>
      <c r="E51" s="431"/>
      <c r="F51" s="430"/>
      <c r="G51" s="430"/>
      <c r="H51" s="431"/>
      <c r="I51" s="435"/>
      <c r="J51" s="435"/>
      <c r="K51" s="435"/>
      <c r="L51" s="435"/>
      <c r="M51" s="435"/>
      <c r="N51" s="436"/>
      <c r="BZ51" s="173"/>
      <c r="CA51" s="173"/>
      <c r="CB51" s="173"/>
      <c r="CC51" s="173"/>
      <c r="CD51" s="173"/>
      <c r="CE51" s="173"/>
      <c r="CF51" s="173"/>
      <c r="CG51" s="173"/>
      <c r="CH51" s="173"/>
      <c r="CI51" s="173"/>
      <c r="CJ51" s="173"/>
      <c r="CK51" s="173"/>
      <c r="CL51" s="173"/>
      <c r="CM51" s="173"/>
      <c r="CN51" s="173"/>
      <c r="CO51" s="173"/>
      <c r="CP51" s="173"/>
      <c r="CQ51" s="173"/>
      <c r="CR51" s="173"/>
      <c r="CS51" s="173"/>
      <c r="CT51" s="173"/>
      <c r="CU51" s="173"/>
      <c r="CV51" s="173"/>
      <c r="CW51" s="173"/>
      <c r="CX51" s="173"/>
      <c r="CY51" s="173"/>
      <c r="CZ51" s="173"/>
      <c r="DA51" s="173"/>
      <c r="DB51" s="173"/>
      <c r="DC51" s="173"/>
      <c r="DD51" s="173"/>
      <c r="DE51" s="173"/>
      <c r="DF51" s="173"/>
      <c r="DG51" s="173"/>
      <c r="DH51" s="173"/>
      <c r="DI51" s="173"/>
      <c r="DJ51" s="173"/>
      <c r="DK51" s="173"/>
      <c r="DL51" s="173"/>
      <c r="DM51" s="173"/>
      <c r="DN51" s="173"/>
      <c r="DO51" s="173"/>
      <c r="DP51" s="173"/>
      <c r="DQ51" s="173"/>
      <c r="DR51" s="173"/>
      <c r="DS51" s="173"/>
      <c r="DT51" s="173"/>
      <c r="DU51" s="173"/>
      <c r="DV51" s="173"/>
      <c r="DW51" s="173"/>
      <c r="DX51" s="173"/>
      <c r="DY51" s="173"/>
      <c r="DZ51" s="173"/>
      <c r="EA51" s="173"/>
      <c r="EB51" s="173"/>
      <c r="EC51" s="173"/>
      <c r="ED51" s="173"/>
      <c r="EE51" s="173"/>
      <c r="EF51" s="173"/>
      <c r="EG51" s="173"/>
      <c r="EH51" s="173"/>
      <c r="EI51" s="173"/>
      <c r="EJ51" s="173"/>
      <c r="EK51" s="173"/>
      <c r="EL51" s="173"/>
      <c r="EM51" s="173"/>
      <c r="EN51" s="173"/>
      <c r="EO51" s="173"/>
      <c r="EP51" s="173"/>
      <c r="EQ51" s="173"/>
      <c r="ER51" s="173"/>
      <c r="ES51" s="173"/>
      <c r="ET51" s="173"/>
      <c r="EU51" s="173"/>
      <c r="EV51" s="173"/>
      <c r="EW51" s="173"/>
      <c r="EX51" s="173"/>
      <c r="EY51" s="173"/>
      <c r="EZ51" s="173"/>
      <c r="FA51" s="173"/>
      <c r="FB51" s="173"/>
      <c r="FC51" s="173"/>
      <c r="FD51" s="173"/>
      <c r="FE51" s="173"/>
      <c r="FF51" s="173"/>
      <c r="FG51" s="173"/>
      <c r="FH51" s="173"/>
      <c r="FI51" s="173"/>
      <c r="FJ51" s="173"/>
      <c r="FK51" s="173"/>
      <c r="FL51" s="173"/>
      <c r="FM51" s="173"/>
      <c r="FN51" s="173"/>
      <c r="FO51" s="173"/>
      <c r="FP51" s="173"/>
      <c r="FQ51" s="173"/>
      <c r="FR51" s="173"/>
      <c r="FS51" s="173"/>
      <c r="FT51" s="173"/>
      <c r="FU51" s="173"/>
      <c r="FV51" s="173"/>
    </row>
    <row r="52" spans="3:178" s="277" customFormat="1" ht="21.75" customHeight="1">
      <c r="D52" s="560"/>
      <c r="E52" s="560"/>
      <c r="F52" s="560"/>
      <c r="G52" s="560"/>
      <c r="H52" s="560"/>
      <c r="I52" s="561"/>
      <c r="J52" s="560"/>
      <c r="K52" s="560"/>
      <c r="L52" s="560"/>
      <c r="M52" s="560"/>
      <c r="N52" s="560"/>
      <c r="S52" s="195"/>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c r="BW52" s="195"/>
      <c r="BX52" s="195"/>
      <c r="BY52" s="195"/>
    </row>
    <row r="53" spans="3:178" s="277" customFormat="1">
      <c r="D53" s="562"/>
      <c r="E53" s="562"/>
      <c r="F53" s="562"/>
      <c r="G53" s="562"/>
      <c r="H53" s="560"/>
      <c r="I53" s="560"/>
      <c r="J53" s="560"/>
      <c r="K53" s="560"/>
      <c r="L53" s="560"/>
      <c r="M53" s="560"/>
      <c r="N53" s="560"/>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c r="BW53" s="195"/>
      <c r="BX53" s="195"/>
      <c r="BY53" s="195"/>
    </row>
    <row r="54" spans="3:178" s="277" customFormat="1">
      <c r="D54" s="560"/>
      <c r="E54" s="560"/>
      <c r="F54" s="560"/>
      <c r="G54" s="560"/>
      <c r="H54" s="560"/>
      <c r="I54" s="560"/>
      <c r="J54" s="560"/>
      <c r="K54" s="560"/>
      <c r="L54" s="560"/>
      <c r="M54" s="560"/>
      <c r="N54" s="560"/>
      <c r="S54" s="195"/>
      <c r="T54" s="195"/>
      <c r="U54" s="195"/>
      <c r="V54" s="195"/>
      <c r="W54" s="195"/>
      <c r="X54" s="195"/>
      <c r="Y54" s="195"/>
      <c r="Z54" s="195"/>
      <c r="AA54" s="195"/>
      <c r="AB54" s="195"/>
      <c r="AC54" s="195"/>
      <c r="AD54" s="195"/>
      <c r="AE54" s="195"/>
      <c r="AF54" s="195"/>
      <c r="AG54" s="195"/>
      <c r="AH54" s="195"/>
      <c r="AI54" s="195"/>
      <c r="AJ54" s="195"/>
      <c r="AK54" s="195"/>
      <c r="AL54" s="195"/>
      <c r="AM54" s="195"/>
      <c r="AN54" s="195"/>
      <c r="AO54" s="195"/>
      <c r="AP54" s="195"/>
      <c r="AQ54" s="195"/>
      <c r="AR54" s="195"/>
      <c r="AS54" s="195"/>
      <c r="AT54" s="195"/>
      <c r="AU54" s="195"/>
      <c r="AV54" s="195"/>
      <c r="AW54" s="195"/>
      <c r="AX54" s="195"/>
      <c r="AY54" s="195"/>
      <c r="AZ54" s="195"/>
      <c r="BA54" s="195"/>
      <c r="BB54" s="195"/>
      <c r="BC54" s="195"/>
      <c r="BD54" s="195"/>
      <c r="BE54" s="195"/>
      <c r="BF54" s="195"/>
      <c r="BG54" s="195"/>
      <c r="BH54" s="195"/>
      <c r="BI54" s="195"/>
      <c r="BJ54" s="195"/>
      <c r="BK54" s="195"/>
      <c r="BL54" s="195"/>
      <c r="BM54" s="195"/>
      <c r="BN54" s="195"/>
      <c r="BO54" s="195"/>
      <c r="BP54" s="195"/>
      <c r="BQ54" s="195"/>
      <c r="BR54" s="195"/>
      <c r="BS54" s="195"/>
      <c r="BT54" s="195"/>
      <c r="BU54" s="195"/>
      <c r="BV54" s="195"/>
      <c r="BW54" s="195"/>
      <c r="BX54" s="195"/>
      <c r="BY54" s="195"/>
    </row>
    <row r="55" spans="3:178" s="277" customFormat="1">
      <c r="D55" s="560"/>
      <c r="E55" s="560"/>
      <c r="F55" s="560"/>
      <c r="G55" s="560"/>
      <c r="H55" s="560"/>
      <c r="I55" s="563"/>
      <c r="J55" s="564"/>
      <c r="K55" s="564"/>
      <c r="L55" s="560"/>
      <c r="M55" s="560"/>
      <c r="N55" s="560"/>
      <c r="S55" s="195"/>
      <c r="T55" s="195"/>
      <c r="U55" s="195"/>
      <c r="V55" s="195"/>
      <c r="W55" s="195"/>
      <c r="X55" s="195"/>
      <c r="Y55" s="195"/>
      <c r="Z55" s="195"/>
      <c r="AA55" s="195"/>
      <c r="AB55" s="195"/>
      <c r="AC55" s="195"/>
      <c r="AD55" s="195"/>
      <c r="AE55" s="195"/>
      <c r="AF55" s="195"/>
      <c r="AG55" s="195"/>
      <c r="AH55" s="195"/>
      <c r="AI55" s="195"/>
      <c r="AJ55" s="195"/>
      <c r="AK55" s="195"/>
      <c r="AL55" s="195"/>
      <c r="AM55" s="195"/>
      <c r="AN55" s="195"/>
      <c r="AO55" s="195"/>
      <c r="AP55" s="195"/>
      <c r="AQ55" s="195"/>
      <c r="AR55" s="195"/>
      <c r="AS55" s="195"/>
      <c r="AT55" s="195"/>
      <c r="AU55" s="195"/>
      <c r="AV55" s="195"/>
      <c r="AW55" s="195"/>
      <c r="AX55" s="195"/>
      <c r="AY55" s="195"/>
      <c r="AZ55" s="195"/>
      <c r="BA55" s="195"/>
      <c r="BB55" s="195"/>
      <c r="BC55" s="195"/>
      <c r="BD55" s="195"/>
      <c r="BE55" s="195"/>
      <c r="BF55" s="195"/>
      <c r="BG55" s="195"/>
      <c r="BH55" s="195"/>
      <c r="BI55" s="195"/>
      <c r="BJ55" s="195"/>
      <c r="BK55" s="195"/>
      <c r="BL55" s="195"/>
      <c r="BM55" s="195"/>
      <c r="BN55" s="195"/>
      <c r="BO55" s="195"/>
      <c r="BP55" s="195"/>
      <c r="BQ55" s="195"/>
      <c r="BR55" s="195"/>
      <c r="BS55" s="195"/>
      <c r="BT55" s="195"/>
      <c r="BU55" s="195"/>
      <c r="BV55" s="195"/>
      <c r="BW55" s="195"/>
      <c r="BX55" s="195"/>
      <c r="BY55" s="195"/>
    </row>
    <row r="56" spans="3:178" s="277" customFormat="1" ht="14.4">
      <c r="D56" s="560"/>
      <c r="E56" s="560"/>
      <c r="F56" s="560"/>
      <c r="G56" s="560"/>
      <c r="H56" s="560"/>
      <c r="I56" s="510" t="s">
        <v>466</v>
      </c>
      <c r="J56" s="564"/>
      <c r="K56" s="564"/>
      <c r="L56" s="560"/>
      <c r="M56" s="560"/>
      <c r="N56" s="560"/>
      <c r="S56" s="195"/>
      <c r="T56" s="195"/>
      <c r="U56" s="195"/>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195"/>
      <c r="AT56" s="195"/>
      <c r="AU56" s="195"/>
      <c r="AV56" s="195"/>
      <c r="AW56" s="195"/>
      <c r="AX56" s="195"/>
      <c r="AY56" s="195"/>
      <c r="AZ56" s="195"/>
      <c r="BA56" s="195"/>
      <c r="BB56" s="195"/>
      <c r="BC56" s="195"/>
      <c r="BD56" s="195"/>
      <c r="BE56" s="195"/>
      <c r="BF56" s="195"/>
      <c r="BG56" s="195"/>
      <c r="BH56" s="195"/>
      <c r="BI56" s="195"/>
      <c r="BJ56" s="195"/>
      <c r="BK56" s="195"/>
      <c r="BL56" s="195"/>
      <c r="BM56" s="195"/>
      <c r="BN56" s="195"/>
      <c r="BO56" s="195"/>
      <c r="BP56" s="195"/>
      <c r="BQ56" s="195"/>
      <c r="BR56" s="195"/>
      <c r="BS56" s="195"/>
      <c r="BT56" s="195"/>
      <c r="BU56" s="195"/>
      <c r="BV56" s="195"/>
      <c r="BW56" s="195"/>
      <c r="BX56" s="195"/>
      <c r="BY56" s="195"/>
    </row>
    <row r="57" spans="3:178" s="277" customFormat="1">
      <c r="D57" s="560"/>
      <c r="E57" s="560"/>
      <c r="F57" s="560"/>
      <c r="G57" s="560"/>
      <c r="H57" s="565"/>
      <c r="I57" s="563"/>
      <c r="J57" s="564"/>
      <c r="K57" s="564"/>
      <c r="L57" s="560"/>
      <c r="M57" s="560"/>
      <c r="N57" s="560"/>
      <c r="S57" s="195"/>
      <c r="T57" s="195"/>
      <c r="U57" s="195"/>
      <c r="V57" s="195"/>
      <c r="W57" s="195"/>
      <c r="X57" s="195"/>
      <c r="Y57" s="195"/>
      <c r="Z57" s="195"/>
      <c r="AA57" s="195"/>
      <c r="AB57" s="195"/>
      <c r="AC57" s="195"/>
      <c r="AD57" s="195"/>
      <c r="AE57" s="195"/>
      <c r="AF57" s="195"/>
      <c r="AG57" s="195"/>
      <c r="AH57" s="195"/>
      <c r="AI57" s="195"/>
      <c r="AJ57" s="195"/>
      <c r="AK57" s="195"/>
      <c r="AL57" s="195"/>
      <c r="AM57" s="195"/>
      <c r="AN57" s="195"/>
      <c r="AO57" s="195"/>
      <c r="AP57" s="195"/>
      <c r="AQ57" s="195"/>
      <c r="AR57" s="195"/>
      <c r="AS57" s="195"/>
      <c r="AT57" s="195"/>
      <c r="AU57" s="195"/>
      <c r="AV57" s="195"/>
      <c r="AW57" s="195"/>
      <c r="AX57" s="195"/>
      <c r="AY57" s="195"/>
      <c r="AZ57" s="195"/>
      <c r="BA57" s="195"/>
      <c r="BB57" s="195"/>
      <c r="BC57" s="195"/>
      <c r="BD57" s="195"/>
      <c r="BE57" s="195"/>
      <c r="BF57" s="195"/>
      <c r="BG57" s="195"/>
      <c r="BH57" s="195"/>
      <c r="BI57" s="195"/>
      <c r="BJ57" s="195"/>
      <c r="BK57" s="195"/>
      <c r="BL57" s="195"/>
      <c r="BM57" s="195"/>
      <c r="BN57" s="195"/>
      <c r="BO57" s="195"/>
      <c r="BP57" s="195"/>
      <c r="BQ57" s="195"/>
      <c r="BR57" s="195"/>
      <c r="BS57" s="195"/>
      <c r="BT57" s="195"/>
      <c r="BU57" s="195"/>
      <c r="BV57" s="195"/>
      <c r="BW57" s="195"/>
      <c r="BX57" s="195"/>
      <c r="BY57" s="195"/>
    </row>
    <row r="58" spans="3:178" s="277" customFormat="1">
      <c r="D58" s="560"/>
      <c r="E58" s="560"/>
      <c r="F58" s="560"/>
      <c r="G58" s="560"/>
      <c r="H58" s="566"/>
      <c r="I58" s="543" t="s">
        <v>492</v>
      </c>
      <c r="J58" s="564"/>
      <c r="K58" s="564"/>
      <c r="L58" s="560"/>
      <c r="M58" s="560"/>
      <c r="N58" s="560"/>
      <c r="S58" s="195"/>
      <c r="T58" s="195"/>
      <c r="U58" s="195"/>
      <c r="V58" s="195"/>
      <c r="W58" s="195"/>
      <c r="X58" s="195"/>
      <c r="Y58" s="195"/>
      <c r="Z58" s="195"/>
      <c r="AA58" s="195"/>
      <c r="AB58" s="195"/>
      <c r="AC58" s="195"/>
      <c r="AD58" s="195"/>
      <c r="AE58" s="195"/>
      <c r="AF58" s="195"/>
      <c r="AG58" s="195"/>
      <c r="AH58" s="195"/>
      <c r="AI58" s="195"/>
      <c r="AJ58" s="195"/>
      <c r="AK58" s="195"/>
      <c r="AL58" s="195"/>
      <c r="AM58" s="195"/>
      <c r="AN58" s="195"/>
      <c r="AO58" s="195"/>
      <c r="AP58" s="195"/>
      <c r="AQ58" s="195"/>
      <c r="AR58" s="195"/>
      <c r="AS58" s="195"/>
      <c r="AT58" s="195"/>
      <c r="AU58" s="195"/>
      <c r="AV58" s="195"/>
      <c r="AW58" s="195"/>
      <c r="AX58" s="195"/>
      <c r="AY58" s="195"/>
      <c r="AZ58" s="195"/>
      <c r="BA58" s="195"/>
      <c r="BB58" s="195"/>
      <c r="BC58" s="195"/>
      <c r="BD58" s="195"/>
      <c r="BE58" s="195"/>
      <c r="BF58" s="195"/>
      <c r="BG58" s="195"/>
      <c r="BH58" s="195"/>
      <c r="BI58" s="195"/>
      <c r="BJ58" s="195"/>
      <c r="BK58" s="195"/>
      <c r="BL58" s="195"/>
      <c r="BM58" s="195"/>
      <c r="BN58" s="195"/>
      <c r="BO58" s="195"/>
      <c r="BP58" s="195"/>
      <c r="BQ58" s="195"/>
      <c r="BR58" s="195"/>
      <c r="BS58" s="195"/>
      <c r="BT58" s="195"/>
      <c r="BU58" s="195"/>
      <c r="BV58" s="195"/>
      <c r="BW58" s="195"/>
      <c r="BX58" s="195"/>
      <c r="BY58" s="195"/>
    </row>
    <row r="59" spans="3:178" s="277" customFormat="1">
      <c r="D59" s="560"/>
      <c r="E59" s="560"/>
      <c r="F59" s="560"/>
      <c r="G59" s="560"/>
      <c r="H59" s="566"/>
      <c r="I59" s="572" t="s">
        <v>538</v>
      </c>
      <c r="J59" s="570">
        <f ca="1">+N12</f>
        <v>0.13200138862105404</v>
      </c>
      <c r="K59" s="567"/>
      <c r="L59" s="568"/>
      <c r="M59" s="568"/>
      <c r="N59" s="560"/>
      <c r="S59" s="195"/>
      <c r="T59" s="195"/>
      <c r="U59" s="195"/>
      <c r="V59" s="195"/>
      <c r="W59" s="195"/>
      <c r="X59" s="195"/>
      <c r="Y59" s="195"/>
      <c r="Z59" s="195"/>
      <c r="AA59" s="195"/>
      <c r="AB59" s="195"/>
      <c r="AC59" s="195"/>
      <c r="AD59" s="195"/>
      <c r="AE59" s="195"/>
      <c r="AF59" s="195"/>
      <c r="AG59" s="195"/>
      <c r="AH59" s="195"/>
      <c r="AI59" s="195"/>
      <c r="AJ59" s="195"/>
      <c r="AK59" s="195"/>
      <c r="AL59" s="195"/>
      <c r="AM59" s="195"/>
      <c r="AN59" s="195"/>
      <c r="AO59" s="195"/>
      <c r="AP59" s="195"/>
      <c r="AQ59" s="195"/>
      <c r="AR59" s="195"/>
      <c r="AS59" s="195"/>
      <c r="AT59" s="195"/>
      <c r="AU59" s="195"/>
      <c r="AV59" s="195"/>
      <c r="AW59" s="195"/>
      <c r="AX59" s="195"/>
      <c r="AY59" s="195"/>
      <c r="AZ59" s="195"/>
      <c r="BA59" s="195"/>
      <c r="BB59" s="195"/>
      <c r="BC59" s="195"/>
      <c r="BD59" s="195"/>
      <c r="BE59" s="195"/>
      <c r="BF59" s="195"/>
      <c r="BG59" s="195"/>
      <c r="BH59" s="195"/>
      <c r="BI59" s="195"/>
      <c r="BJ59" s="195"/>
      <c r="BK59" s="195"/>
      <c r="BL59" s="195"/>
      <c r="BM59" s="195"/>
      <c r="BN59" s="195"/>
      <c r="BO59" s="195"/>
      <c r="BP59" s="195"/>
      <c r="BQ59" s="195"/>
      <c r="BR59" s="195"/>
      <c r="BS59" s="195"/>
      <c r="BT59" s="195"/>
      <c r="BU59" s="195"/>
      <c r="BV59" s="195"/>
      <c r="BW59" s="195"/>
      <c r="BX59" s="195"/>
      <c r="BY59" s="195"/>
    </row>
    <row r="60" spans="3:178" s="277" customFormat="1">
      <c r="D60" s="560"/>
      <c r="E60" s="560"/>
      <c r="F60" s="560"/>
      <c r="G60" s="560"/>
      <c r="H60" s="566"/>
      <c r="I60" s="572" t="s">
        <v>607</v>
      </c>
      <c r="J60" s="570">
        <f ca="1">+N28</f>
        <v>4.6337758076214583E-2</v>
      </c>
      <c r="K60" s="567"/>
      <c r="L60" s="567"/>
      <c r="M60" s="567"/>
      <c r="N60" s="560"/>
      <c r="S60" s="195"/>
      <c r="T60" s="195"/>
      <c r="U60" s="195"/>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195"/>
      <c r="AT60" s="195"/>
      <c r="AU60" s="195"/>
      <c r="AV60" s="195"/>
      <c r="AW60" s="195"/>
      <c r="AX60" s="195"/>
      <c r="AY60" s="195"/>
      <c r="AZ60" s="195"/>
      <c r="BA60" s="195"/>
      <c r="BB60" s="195"/>
      <c r="BC60" s="195"/>
      <c r="BD60" s="195"/>
      <c r="BE60" s="195"/>
      <c r="BF60" s="195"/>
      <c r="BG60" s="195"/>
      <c r="BH60" s="195"/>
      <c r="BI60" s="195"/>
      <c r="BJ60" s="195"/>
      <c r="BK60" s="195"/>
      <c r="BL60" s="195"/>
      <c r="BM60" s="195"/>
      <c r="BN60" s="195"/>
      <c r="BO60" s="195"/>
      <c r="BP60" s="195"/>
      <c r="BQ60" s="195"/>
      <c r="BR60" s="195"/>
      <c r="BS60" s="195"/>
      <c r="BT60" s="195"/>
      <c r="BU60" s="195"/>
      <c r="BV60" s="195"/>
      <c r="BW60" s="195"/>
      <c r="BX60" s="195"/>
      <c r="BY60" s="195"/>
    </row>
    <row r="61" spans="3:178" s="277" customFormat="1">
      <c r="D61" s="560"/>
      <c r="E61" s="560"/>
      <c r="F61" s="560"/>
      <c r="G61" s="560"/>
      <c r="H61" s="566"/>
      <c r="I61" s="572" t="s">
        <v>539</v>
      </c>
      <c r="J61" s="570">
        <f ca="1">+N38</f>
        <v>0</v>
      </c>
      <c r="K61" s="567"/>
      <c r="L61" s="567"/>
      <c r="M61" s="567"/>
      <c r="N61" s="560"/>
      <c r="S61" s="195"/>
      <c r="T61" s="195"/>
      <c r="U61" s="195"/>
      <c r="V61" s="195"/>
      <c r="W61" s="195"/>
      <c r="X61" s="195"/>
      <c r="Y61" s="195"/>
      <c r="Z61" s="195"/>
      <c r="AA61" s="195"/>
      <c r="AB61" s="195"/>
      <c r="AC61" s="195"/>
      <c r="AD61" s="195"/>
      <c r="AE61" s="195"/>
      <c r="AF61" s="195"/>
      <c r="AG61" s="195"/>
      <c r="AH61" s="195"/>
      <c r="AI61" s="195"/>
      <c r="AJ61" s="195"/>
      <c r="AK61" s="195"/>
      <c r="AL61" s="195"/>
      <c r="AM61" s="195"/>
      <c r="AN61" s="195"/>
      <c r="AO61" s="195"/>
      <c r="AP61" s="195"/>
      <c r="AQ61" s="195"/>
      <c r="AR61" s="195"/>
      <c r="AS61" s="195"/>
      <c r="AT61" s="195"/>
      <c r="AU61" s="195"/>
      <c r="AV61" s="195"/>
      <c r="AW61" s="195"/>
      <c r="AX61" s="195"/>
      <c r="AY61" s="195"/>
      <c r="AZ61" s="195"/>
      <c r="BA61" s="195"/>
      <c r="BB61" s="195"/>
      <c r="BC61" s="195"/>
      <c r="BD61" s="195"/>
      <c r="BE61" s="195"/>
      <c r="BF61" s="195"/>
      <c r="BG61" s="195"/>
      <c r="BH61" s="195"/>
      <c r="BI61" s="195"/>
      <c r="BJ61" s="195"/>
      <c r="BK61" s="195"/>
      <c r="BL61" s="195"/>
      <c r="BM61" s="195"/>
      <c r="BN61" s="195"/>
      <c r="BO61" s="195"/>
      <c r="BP61" s="195"/>
      <c r="BQ61" s="195"/>
      <c r="BR61" s="195"/>
      <c r="BS61" s="195"/>
      <c r="BT61" s="195"/>
      <c r="BU61" s="195"/>
      <c r="BV61" s="195"/>
      <c r="BW61" s="195"/>
      <c r="BX61" s="195"/>
      <c r="BY61" s="195"/>
    </row>
    <row r="62" spans="3:178" s="277" customFormat="1">
      <c r="D62" s="560"/>
      <c r="E62" s="560"/>
      <c r="F62" s="560"/>
      <c r="G62" s="560"/>
      <c r="H62" s="560"/>
      <c r="I62" s="571" t="s">
        <v>540</v>
      </c>
      <c r="J62" s="570">
        <f ca="1">MAX(100%-J59-J61-J60,0)</f>
        <v>0.82166085330273142</v>
      </c>
      <c r="K62" s="567"/>
      <c r="L62" s="567"/>
      <c r="M62" s="567"/>
      <c r="N62" s="560"/>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row>
    <row r="63" spans="3:178" s="277" customFormat="1">
      <c r="D63" s="560"/>
      <c r="E63" s="560"/>
      <c r="F63" s="560"/>
      <c r="G63" s="560"/>
      <c r="H63" s="560"/>
      <c r="I63" s="567"/>
      <c r="J63" s="560"/>
      <c r="K63" s="560"/>
      <c r="L63" s="567"/>
      <c r="M63" s="567"/>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5"/>
      <c r="AW63" s="195"/>
      <c r="AX63" s="195"/>
      <c r="AY63" s="195"/>
      <c r="AZ63" s="195"/>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row>
    <row r="64" spans="3:178" s="277" customFormat="1">
      <c r="D64" s="560"/>
      <c r="E64" s="560"/>
      <c r="F64" s="560"/>
      <c r="G64" s="560"/>
      <c r="H64" s="560"/>
      <c r="I64" s="543" t="s">
        <v>542</v>
      </c>
      <c r="J64" s="570">
        <f ca="1">N44</f>
        <v>0.17833914669726864</v>
      </c>
      <c r="K64" s="560"/>
      <c r="L64" s="567"/>
      <c r="M64" s="567"/>
      <c r="N64" s="560"/>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row>
    <row r="65" spans="4:14" s="195" customFormat="1">
      <c r="D65" s="569"/>
      <c r="E65" s="569"/>
      <c r="F65" s="569"/>
      <c r="G65" s="569"/>
      <c r="H65" s="569"/>
      <c r="I65" s="571" t="s">
        <v>541</v>
      </c>
      <c r="J65" s="570">
        <f ca="1">+MAX(0,100%-J64)</f>
        <v>0.82166085330273142</v>
      </c>
      <c r="K65" s="569"/>
      <c r="L65" s="569"/>
      <c r="M65" s="569"/>
      <c r="N65" s="569"/>
    </row>
    <row r="66" spans="4:14" s="195" customFormat="1">
      <c r="D66" s="569"/>
      <c r="E66" s="569"/>
      <c r="F66" s="569"/>
      <c r="G66" s="569"/>
      <c r="H66" s="569"/>
      <c r="I66" s="569"/>
      <c r="J66" s="569"/>
      <c r="K66" s="569"/>
      <c r="L66" s="569"/>
      <c r="M66" s="569"/>
      <c r="N66" s="569"/>
    </row>
    <row r="67" spans="4:14" s="195" customFormat="1">
      <c r="D67" s="569"/>
      <c r="E67" s="569"/>
      <c r="F67" s="569"/>
      <c r="G67" s="569"/>
      <c r="H67" s="569"/>
      <c r="I67" s="569"/>
      <c r="J67" s="569"/>
      <c r="K67" s="569"/>
      <c r="L67" s="569"/>
      <c r="M67" s="569"/>
      <c r="N67" s="569"/>
    </row>
    <row r="68" spans="4:14" s="195" customFormat="1">
      <c r="D68" s="569"/>
      <c r="E68" s="569"/>
      <c r="F68" s="569"/>
      <c r="G68" s="569"/>
      <c r="H68" s="569"/>
      <c r="I68" s="569"/>
      <c r="J68" s="569"/>
      <c r="K68" s="569"/>
      <c r="L68" s="569"/>
      <c r="M68" s="569"/>
      <c r="N68" s="569"/>
    </row>
    <row r="69" spans="4:14" s="195" customFormat="1">
      <c r="D69" s="569"/>
      <c r="E69" s="569"/>
      <c r="F69" s="569"/>
      <c r="G69" s="569"/>
      <c r="H69" s="569"/>
      <c r="I69" s="569"/>
      <c r="J69" s="569"/>
      <c r="K69" s="569"/>
      <c r="L69" s="569"/>
      <c r="M69" s="569"/>
      <c r="N69" s="569"/>
    </row>
    <row r="70" spans="4:14" s="195" customFormat="1">
      <c r="D70" s="569"/>
      <c r="E70" s="569"/>
      <c r="F70" s="569"/>
      <c r="G70" s="569"/>
      <c r="H70" s="569"/>
      <c r="I70" s="569"/>
      <c r="J70" s="569"/>
      <c r="K70" s="569"/>
      <c r="L70" s="569"/>
      <c r="M70" s="569"/>
      <c r="N70" s="569"/>
    </row>
    <row r="71" spans="4:14" s="195" customFormat="1">
      <c r="D71" s="569"/>
      <c r="E71" s="569"/>
      <c r="F71" s="569"/>
      <c r="G71" s="569"/>
      <c r="H71" s="569"/>
      <c r="I71" s="569"/>
      <c r="J71" s="569"/>
      <c r="K71" s="569"/>
      <c r="L71" s="569"/>
      <c r="M71" s="569"/>
      <c r="N71" s="569"/>
    </row>
    <row r="72" spans="4:14" s="195" customFormat="1">
      <c r="D72" s="569"/>
      <c r="E72" s="569"/>
      <c r="F72" s="569"/>
      <c r="G72" s="569"/>
      <c r="H72" s="569"/>
      <c r="I72" s="569"/>
      <c r="J72" s="569"/>
      <c r="K72" s="569"/>
      <c r="L72" s="569"/>
      <c r="M72" s="569"/>
      <c r="N72" s="569"/>
    </row>
    <row r="73" spans="4:14" s="195" customFormat="1">
      <c r="D73" s="569"/>
      <c r="E73" s="569"/>
      <c r="F73" s="569"/>
      <c r="G73" s="569"/>
      <c r="H73" s="569"/>
      <c r="I73" s="569"/>
      <c r="J73" s="569"/>
      <c r="K73" s="569"/>
      <c r="L73" s="569"/>
      <c r="M73" s="569"/>
      <c r="N73" s="569"/>
    </row>
    <row r="74" spans="4:14" s="195" customFormat="1">
      <c r="D74" s="569"/>
      <c r="E74" s="569"/>
      <c r="F74" s="569"/>
      <c r="G74" s="569"/>
      <c r="H74" s="569"/>
      <c r="I74" s="569"/>
      <c r="J74" s="569"/>
      <c r="K74" s="569"/>
      <c r="L74" s="569"/>
      <c r="M74" s="569"/>
      <c r="N74" s="569"/>
    </row>
    <row r="75" spans="4:14" s="195" customFormat="1">
      <c r="D75" s="569"/>
      <c r="E75" s="569"/>
      <c r="F75" s="569"/>
      <c r="G75" s="569"/>
      <c r="H75" s="569"/>
      <c r="I75" s="569"/>
      <c r="J75" s="569"/>
      <c r="K75" s="569"/>
      <c r="L75" s="569"/>
      <c r="M75" s="569"/>
      <c r="N75" s="569"/>
    </row>
    <row r="76" spans="4:14" s="195" customFormat="1">
      <c r="D76" s="569"/>
      <c r="E76" s="569"/>
      <c r="F76" s="569"/>
      <c r="G76" s="569"/>
      <c r="H76" s="569"/>
      <c r="I76" s="569"/>
      <c r="J76" s="569"/>
      <c r="K76" s="569"/>
      <c r="L76" s="569"/>
      <c r="M76" s="569"/>
      <c r="N76" s="569"/>
    </row>
    <row r="77" spans="4:14" s="195" customFormat="1">
      <c r="D77" s="569"/>
      <c r="E77" s="569"/>
      <c r="F77" s="569"/>
      <c r="G77" s="569"/>
      <c r="H77" s="569"/>
      <c r="I77" s="569"/>
      <c r="J77" s="569"/>
      <c r="K77" s="569"/>
      <c r="L77" s="569"/>
      <c r="M77" s="569"/>
      <c r="N77" s="569"/>
    </row>
    <row r="78" spans="4:14" s="195" customFormat="1">
      <c r="D78" s="569"/>
      <c r="E78" s="569"/>
      <c r="F78" s="569"/>
      <c r="G78" s="569"/>
      <c r="H78" s="569"/>
      <c r="I78" s="569"/>
      <c r="J78" s="569"/>
      <c r="K78" s="569"/>
      <c r="L78" s="569"/>
      <c r="M78" s="569"/>
      <c r="N78" s="569"/>
    </row>
    <row r="79" spans="4:14" s="195" customFormat="1">
      <c r="D79" s="569"/>
      <c r="E79" s="569"/>
      <c r="F79" s="569"/>
      <c r="G79" s="569"/>
      <c r="H79" s="569"/>
      <c r="I79" s="569"/>
      <c r="J79" s="569"/>
      <c r="K79" s="569"/>
      <c r="L79" s="569"/>
      <c r="M79" s="569"/>
      <c r="N79" s="569"/>
    </row>
    <row r="80" spans="4:14" s="195" customFormat="1">
      <c r="D80" s="569"/>
      <c r="E80" s="569"/>
      <c r="F80" s="569"/>
      <c r="G80" s="569"/>
      <c r="H80" s="569"/>
      <c r="I80" s="569"/>
      <c r="J80" s="569"/>
      <c r="K80" s="569"/>
      <c r="L80" s="569"/>
      <c r="M80" s="569"/>
      <c r="N80" s="569"/>
    </row>
    <row r="81" spans="4:14" s="195" customFormat="1">
      <c r="D81" s="569"/>
      <c r="E81" s="569"/>
      <c r="F81" s="569"/>
      <c r="G81" s="569"/>
      <c r="H81" s="569"/>
      <c r="I81" s="569"/>
      <c r="J81" s="569"/>
      <c r="K81" s="569"/>
      <c r="L81" s="569"/>
      <c r="M81" s="569"/>
      <c r="N81" s="569"/>
    </row>
    <row r="82" spans="4:14" s="195" customFormat="1">
      <c r="D82" s="569"/>
      <c r="E82" s="569"/>
      <c r="F82" s="569"/>
      <c r="G82" s="569"/>
      <c r="H82" s="569"/>
      <c r="I82" s="569"/>
      <c r="J82" s="569"/>
      <c r="K82" s="569"/>
      <c r="L82" s="569"/>
      <c r="M82" s="569"/>
      <c r="N82" s="569"/>
    </row>
    <row r="83" spans="4:14" s="195" customFormat="1">
      <c r="D83" s="569"/>
      <c r="E83" s="569"/>
      <c r="F83" s="569"/>
      <c r="G83" s="569"/>
      <c r="H83" s="569"/>
      <c r="I83" s="569"/>
      <c r="J83" s="569"/>
      <c r="K83" s="569"/>
      <c r="L83" s="569"/>
      <c r="M83" s="569"/>
      <c r="N83" s="569"/>
    </row>
    <row r="84" spans="4:14" s="195" customFormat="1">
      <c r="D84" s="569"/>
      <c r="E84" s="569"/>
      <c r="F84" s="569"/>
      <c r="G84" s="569"/>
      <c r="H84" s="569"/>
      <c r="I84" s="569"/>
      <c r="J84" s="569"/>
      <c r="K84" s="569"/>
      <c r="L84" s="569"/>
      <c r="M84" s="569"/>
      <c r="N84" s="569"/>
    </row>
    <row r="85" spans="4:14" s="195" customFormat="1">
      <c r="D85" s="569"/>
      <c r="E85" s="569"/>
      <c r="F85" s="569"/>
      <c r="G85" s="569"/>
      <c r="H85" s="569"/>
      <c r="I85" s="569"/>
      <c r="J85" s="569"/>
      <c r="K85" s="569"/>
      <c r="L85" s="569"/>
      <c r="M85" s="569"/>
      <c r="N85" s="569"/>
    </row>
    <row r="86" spans="4:14" s="195" customFormat="1">
      <c r="D86" s="569"/>
      <c r="E86" s="569"/>
      <c r="F86" s="569"/>
      <c r="G86" s="569"/>
      <c r="H86" s="569"/>
      <c r="I86" s="569"/>
      <c r="J86" s="569"/>
      <c r="K86" s="569"/>
      <c r="L86" s="569"/>
      <c r="M86" s="569"/>
      <c r="N86" s="569"/>
    </row>
    <row r="87" spans="4:14" s="195" customFormat="1">
      <c r="D87" s="569"/>
      <c r="E87" s="569"/>
      <c r="F87" s="569"/>
      <c r="G87" s="569"/>
      <c r="H87" s="569"/>
      <c r="I87" s="569"/>
      <c r="J87" s="569"/>
      <c r="K87" s="569"/>
      <c r="L87" s="569"/>
      <c r="M87" s="569"/>
      <c r="N87" s="569"/>
    </row>
    <row r="88" spans="4:14" s="195" customFormat="1"/>
    <row r="89" spans="4:14" s="195" customFormat="1"/>
    <row r="90" spans="4:14" s="195" customFormat="1"/>
    <row r="91" spans="4:14" s="195" customFormat="1"/>
    <row r="92" spans="4:14" s="195" customFormat="1"/>
    <row r="93" spans="4:14" s="195" customFormat="1"/>
    <row r="94" spans="4:14" s="195" customFormat="1"/>
    <row r="95" spans="4:14" s="195" customFormat="1"/>
    <row r="96" spans="4:14" s="195" customFormat="1"/>
    <row r="97" spans="4:17" s="195" customFormat="1"/>
    <row r="98" spans="4:17" s="195" customFormat="1"/>
    <row r="99" spans="4:17" s="195" customFormat="1"/>
    <row r="100" spans="4:17" s="195" customFormat="1"/>
    <row r="101" spans="4:17" s="195" customFormat="1"/>
    <row r="102" spans="4:17" s="195" customFormat="1"/>
    <row r="103" spans="4:17" s="195" customFormat="1"/>
    <row r="104" spans="4:17" s="195" customFormat="1"/>
    <row r="105" spans="4:17">
      <c r="D105" s="191"/>
      <c r="E105" s="191"/>
      <c r="F105" s="191"/>
      <c r="G105" s="191"/>
      <c r="H105" s="191"/>
      <c r="I105" s="191"/>
      <c r="J105" s="191"/>
      <c r="K105" s="191"/>
      <c r="L105" s="191"/>
      <c r="M105" s="191"/>
      <c r="N105" s="191"/>
      <c r="O105" s="191"/>
      <c r="P105" s="191"/>
      <c r="Q105" s="191"/>
    </row>
    <row r="106" spans="4:17">
      <c r="D106" s="191"/>
      <c r="E106" s="191"/>
      <c r="F106" s="191"/>
      <c r="G106" s="191"/>
      <c r="H106" s="191"/>
      <c r="I106" s="191"/>
      <c r="J106" s="191"/>
      <c r="K106" s="191"/>
      <c r="L106" s="191"/>
      <c r="M106" s="191"/>
      <c r="N106" s="191"/>
      <c r="O106" s="191"/>
      <c r="P106" s="191"/>
      <c r="Q106" s="191"/>
    </row>
    <row r="107" spans="4:17">
      <c r="D107" s="191"/>
      <c r="E107" s="191"/>
      <c r="F107" s="191"/>
      <c r="G107" s="191"/>
      <c r="O107" s="191"/>
      <c r="P107" s="191"/>
      <c r="Q107" s="191"/>
    </row>
    <row r="108" spans="4:17">
      <c r="D108" s="191"/>
      <c r="E108" s="191"/>
      <c r="F108" s="191"/>
      <c r="G108" s="191"/>
    </row>
  </sheetData>
  <mergeCells count="8">
    <mergeCell ref="C2:N2"/>
    <mergeCell ref="C34:E34"/>
    <mergeCell ref="D3:N3"/>
    <mergeCell ref="H6:N6"/>
    <mergeCell ref="H16:N16"/>
    <mergeCell ref="H32:N32"/>
    <mergeCell ref="C6:E6"/>
    <mergeCell ref="C22:E22"/>
  </mergeCells>
  <pageMargins left="0.7" right="0.7" top="0.75" bottom="0.75" header="0.3" footer="0.3"/>
  <pageSetup paperSize="9"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4"/>
  <dimension ref="A1:S559"/>
  <sheetViews>
    <sheetView view="pageBreakPreview" zoomScale="130" zoomScaleNormal="100" zoomScaleSheetLayoutView="130" workbookViewId="0">
      <selection activeCell="L108" sqref="L108"/>
    </sheetView>
  </sheetViews>
  <sheetFormatPr defaultColWidth="8.6640625" defaultRowHeight="14.4"/>
  <cols>
    <col min="2" max="4" width="9.6640625" customWidth="1"/>
    <col min="5" max="5" width="8.5546875" customWidth="1"/>
    <col min="6" max="6" width="12.5546875" customWidth="1"/>
    <col min="7" max="7" width="7.6640625" customWidth="1"/>
    <col min="8" max="8" width="9.88671875" customWidth="1"/>
    <col min="9" max="10" width="9.6640625" customWidth="1"/>
    <col min="12" max="12" width="11.88671875" bestFit="1" customWidth="1"/>
  </cols>
  <sheetData>
    <row r="1" spans="2:19">
      <c r="B1" s="286"/>
      <c r="C1" s="286"/>
      <c r="D1" s="286"/>
      <c r="E1" s="286"/>
      <c r="F1" s="286"/>
      <c r="G1" s="286"/>
      <c r="H1" s="286"/>
      <c r="I1" s="286"/>
      <c r="J1" s="286"/>
      <c r="K1" s="286"/>
      <c r="L1" s="286"/>
      <c r="M1" s="286"/>
      <c r="N1" s="286"/>
      <c r="O1" s="286"/>
      <c r="P1" s="286"/>
      <c r="Q1" s="286"/>
      <c r="R1" s="286"/>
      <c r="S1" s="286"/>
    </row>
    <row r="2" spans="2:19">
      <c r="B2" s="286"/>
      <c r="C2" s="286"/>
      <c r="D2" s="286"/>
      <c r="E2" s="286"/>
      <c r="F2" s="286"/>
      <c r="G2" s="286"/>
      <c r="H2" s="286"/>
      <c r="I2" s="286"/>
      <c r="J2" s="286"/>
      <c r="K2" s="286"/>
      <c r="L2" s="286"/>
      <c r="M2" s="286"/>
      <c r="N2" s="286"/>
      <c r="O2" s="286"/>
      <c r="P2" s="286"/>
      <c r="Q2" s="286"/>
      <c r="R2" s="286"/>
      <c r="S2" s="286"/>
    </row>
    <row r="3" spans="2:19">
      <c r="B3" s="286"/>
      <c r="C3" s="286"/>
      <c r="D3" s="286"/>
      <c r="E3" s="286"/>
      <c r="F3" s="286"/>
      <c r="G3" s="286"/>
      <c r="H3" s="286"/>
      <c r="I3" s="286"/>
      <c r="J3" s="286"/>
      <c r="K3" s="286"/>
      <c r="L3" s="286"/>
      <c r="M3" s="286"/>
      <c r="N3" s="286"/>
      <c r="O3" s="286"/>
      <c r="P3" s="286"/>
      <c r="Q3" s="286"/>
      <c r="R3" s="286"/>
      <c r="S3" s="286"/>
    </row>
    <row r="4" spans="2:19">
      <c r="B4" s="286"/>
      <c r="C4" s="286"/>
      <c r="D4" s="286"/>
      <c r="E4" s="286"/>
      <c r="F4" s="286"/>
      <c r="G4" s="286"/>
      <c r="H4" s="286"/>
      <c r="I4" s="286"/>
      <c r="J4" s="286"/>
      <c r="K4" s="286"/>
      <c r="L4" s="286"/>
      <c r="M4" s="286"/>
      <c r="N4" s="286"/>
      <c r="O4" s="286"/>
      <c r="P4" s="286"/>
      <c r="Q4" s="286"/>
      <c r="R4" s="286"/>
      <c r="S4" s="286"/>
    </row>
    <row r="5" spans="2:19">
      <c r="B5" s="286"/>
      <c r="C5" s="286"/>
      <c r="D5" s="286"/>
      <c r="E5" s="286"/>
      <c r="F5" s="286"/>
      <c r="G5" s="286"/>
      <c r="H5" s="286"/>
      <c r="I5" s="286"/>
      <c r="J5" s="286"/>
      <c r="K5" s="286"/>
      <c r="L5" s="286"/>
      <c r="M5" s="286"/>
      <c r="N5" s="286"/>
      <c r="O5" s="286"/>
      <c r="P5" s="286"/>
      <c r="Q5" s="286"/>
      <c r="R5" s="286"/>
      <c r="S5" s="286"/>
    </row>
    <row r="6" spans="2:19">
      <c r="B6" s="286"/>
      <c r="C6" s="286"/>
      <c r="D6" s="286"/>
      <c r="E6" s="286"/>
      <c r="F6" s="286"/>
      <c r="G6" s="286"/>
      <c r="H6" s="286"/>
      <c r="I6" s="286"/>
      <c r="J6" s="286"/>
      <c r="K6" s="286"/>
      <c r="L6" s="286"/>
      <c r="M6" s="286"/>
      <c r="N6" s="286"/>
      <c r="O6" s="286"/>
      <c r="P6" s="286"/>
      <c r="Q6" s="286"/>
      <c r="R6" s="286"/>
      <c r="S6" s="286"/>
    </row>
    <row r="7" spans="2:19">
      <c r="B7" s="286"/>
      <c r="C7" s="286"/>
      <c r="D7" s="286"/>
      <c r="E7" s="286"/>
      <c r="F7" s="286"/>
      <c r="G7" s="286"/>
      <c r="H7" s="286"/>
      <c r="I7" s="286"/>
      <c r="J7" s="286"/>
      <c r="K7" s="286"/>
      <c r="L7" s="286"/>
      <c r="M7" s="286"/>
      <c r="N7" s="286"/>
      <c r="O7" s="286"/>
      <c r="P7" s="286"/>
      <c r="Q7" s="286"/>
      <c r="R7" s="286"/>
      <c r="S7" s="286"/>
    </row>
    <row r="8" spans="2:19">
      <c r="B8" s="286"/>
      <c r="C8" s="286"/>
      <c r="D8" s="286"/>
      <c r="E8" s="286"/>
      <c r="F8" s="286"/>
      <c r="G8" s="286"/>
      <c r="H8" s="286"/>
      <c r="I8" s="286"/>
      <c r="J8" s="286"/>
      <c r="K8" s="286"/>
      <c r="L8" s="286"/>
      <c r="M8" s="286"/>
      <c r="N8" s="286"/>
      <c r="O8" s="286"/>
      <c r="P8" s="286"/>
      <c r="Q8" s="286"/>
      <c r="R8" s="286"/>
      <c r="S8" s="286"/>
    </row>
    <row r="9" spans="2:19">
      <c r="B9" s="286"/>
      <c r="C9" s="286"/>
      <c r="D9" s="286"/>
      <c r="E9" s="286"/>
      <c r="F9" s="286"/>
      <c r="G9" s="286"/>
      <c r="H9" s="286"/>
      <c r="I9" s="286"/>
      <c r="J9" s="286"/>
      <c r="K9" s="286"/>
      <c r="L9" s="286"/>
      <c r="M9" s="286"/>
      <c r="N9" s="286"/>
      <c r="O9" s="286"/>
      <c r="P9" s="286"/>
      <c r="Q9" s="286"/>
      <c r="R9" s="286"/>
      <c r="S9" s="286"/>
    </row>
    <row r="10" spans="2:19">
      <c r="B10" s="286"/>
      <c r="C10" s="286"/>
      <c r="D10" s="286"/>
      <c r="E10" s="286"/>
      <c r="F10" s="286"/>
      <c r="G10" s="286"/>
      <c r="H10" s="286"/>
      <c r="I10" s="286"/>
      <c r="J10" s="286"/>
      <c r="K10" s="286"/>
      <c r="L10" s="286"/>
      <c r="M10" s="286"/>
      <c r="N10" s="286"/>
      <c r="O10" s="286"/>
      <c r="P10" s="286"/>
      <c r="Q10" s="286"/>
      <c r="R10" s="286"/>
      <c r="S10" s="286"/>
    </row>
    <row r="11" spans="2:19">
      <c r="B11" s="286"/>
      <c r="C11" s="286"/>
      <c r="D11" s="286"/>
      <c r="E11" s="286"/>
      <c r="F11" s="286"/>
      <c r="G11" s="286"/>
      <c r="H11" s="286"/>
      <c r="I11" s="286"/>
      <c r="J11" s="286"/>
      <c r="K11" s="286"/>
      <c r="L11" s="286"/>
      <c r="M11" s="286"/>
      <c r="N11" s="286"/>
      <c r="O11" s="286"/>
      <c r="P11" s="286"/>
      <c r="Q11" s="286"/>
      <c r="R11" s="286"/>
      <c r="S11" s="286"/>
    </row>
    <row r="12" spans="2:19">
      <c r="B12" s="286"/>
      <c r="C12" s="286"/>
      <c r="D12" s="286"/>
      <c r="E12" s="286"/>
      <c r="F12" s="286"/>
      <c r="G12" s="286"/>
      <c r="H12" s="286"/>
      <c r="I12" s="286"/>
      <c r="J12" s="286"/>
      <c r="K12" s="286"/>
      <c r="L12" s="286"/>
      <c r="M12" s="286"/>
      <c r="N12" s="286"/>
      <c r="O12" s="286"/>
      <c r="P12" s="286"/>
      <c r="Q12" s="286"/>
      <c r="R12" s="286"/>
      <c r="S12" s="286"/>
    </row>
    <row r="13" spans="2:19">
      <c r="B13" s="286"/>
      <c r="C13" s="286"/>
      <c r="D13" s="286"/>
      <c r="E13" s="286"/>
      <c r="F13" s="286"/>
      <c r="G13" s="286"/>
      <c r="H13" s="286"/>
      <c r="I13" s="286"/>
      <c r="J13" s="286"/>
      <c r="K13" s="286"/>
      <c r="L13" s="286"/>
      <c r="M13" s="286"/>
      <c r="N13" s="286"/>
      <c r="O13" s="286"/>
      <c r="P13" s="286"/>
      <c r="Q13" s="286"/>
      <c r="R13" s="286"/>
      <c r="S13" s="286"/>
    </row>
    <row r="14" spans="2:19">
      <c r="B14" s="286"/>
      <c r="C14" s="286"/>
      <c r="D14" s="286"/>
      <c r="E14" s="286"/>
      <c r="F14" s="286"/>
      <c r="G14" s="286"/>
      <c r="H14" s="286"/>
      <c r="I14" s="286"/>
      <c r="J14" s="286"/>
      <c r="K14" s="286"/>
      <c r="L14" s="286"/>
      <c r="M14" s="286"/>
      <c r="N14" s="286"/>
      <c r="O14" s="286"/>
      <c r="P14" s="286"/>
      <c r="Q14" s="286"/>
      <c r="R14" s="286"/>
      <c r="S14" s="286"/>
    </row>
    <row r="15" spans="2:19">
      <c r="B15" s="286"/>
      <c r="C15" s="286"/>
      <c r="D15" s="286"/>
      <c r="E15" s="286"/>
      <c r="F15" s="286"/>
      <c r="G15" s="286"/>
      <c r="H15" s="286"/>
      <c r="I15" s="286"/>
      <c r="J15" s="286"/>
      <c r="K15" s="286"/>
      <c r="L15" s="286"/>
      <c r="M15" s="286"/>
      <c r="N15" s="286"/>
      <c r="O15" s="286"/>
      <c r="P15" s="286"/>
      <c r="Q15" s="286"/>
      <c r="R15" s="286"/>
      <c r="S15" s="286"/>
    </row>
    <row r="16" spans="2:19">
      <c r="B16" s="286"/>
      <c r="C16" s="286"/>
      <c r="D16" s="286"/>
      <c r="E16" s="286"/>
      <c r="F16" s="286"/>
      <c r="G16" s="286"/>
      <c r="H16" s="286"/>
      <c r="I16" s="286"/>
      <c r="J16" s="286"/>
      <c r="K16" s="286"/>
      <c r="L16" s="286"/>
      <c r="M16" s="286"/>
      <c r="N16" s="286"/>
      <c r="O16" s="286"/>
      <c r="P16" s="286"/>
      <c r="Q16" s="286"/>
      <c r="R16" s="286"/>
      <c r="S16" s="286"/>
    </row>
    <row r="17" spans="2:19">
      <c r="B17" s="286"/>
      <c r="C17" s="286"/>
      <c r="D17" s="286"/>
      <c r="E17" s="286"/>
      <c r="F17" s="286"/>
      <c r="G17" s="286"/>
      <c r="H17" s="286"/>
      <c r="I17" s="286"/>
      <c r="J17" s="286"/>
      <c r="K17" s="286"/>
      <c r="L17" s="286"/>
      <c r="M17" s="286"/>
      <c r="N17" s="286"/>
      <c r="O17" s="286"/>
      <c r="P17" s="286"/>
      <c r="Q17" s="286"/>
      <c r="R17" s="286"/>
      <c r="S17" s="286"/>
    </row>
    <row r="18" spans="2:19">
      <c r="B18" s="286"/>
      <c r="C18" s="286"/>
      <c r="D18" s="286"/>
      <c r="E18" s="286"/>
      <c r="F18" s="286"/>
      <c r="G18" s="286"/>
      <c r="H18" s="286"/>
      <c r="I18" s="286"/>
      <c r="J18" s="286"/>
      <c r="K18" s="286"/>
      <c r="L18" s="286"/>
      <c r="M18" s="286"/>
      <c r="N18" s="286"/>
      <c r="O18" s="286"/>
      <c r="P18" s="286"/>
      <c r="Q18" s="286"/>
      <c r="R18" s="286"/>
      <c r="S18" s="286"/>
    </row>
    <row r="19" spans="2:19">
      <c r="B19" s="286"/>
      <c r="C19" s="286"/>
      <c r="D19" s="286"/>
      <c r="E19" s="286"/>
      <c r="F19" s="286"/>
      <c r="G19" s="286"/>
      <c r="H19" s="286"/>
      <c r="I19" s="286"/>
      <c r="J19" s="286"/>
      <c r="K19" s="286"/>
      <c r="L19" s="286"/>
      <c r="M19" s="286"/>
      <c r="N19" s="286"/>
      <c r="O19" s="286"/>
      <c r="P19" s="286"/>
      <c r="Q19" s="286"/>
      <c r="R19" s="286"/>
      <c r="S19" s="286"/>
    </row>
    <row r="20" spans="2:19">
      <c r="B20" s="286"/>
      <c r="C20" s="286"/>
      <c r="D20" s="286"/>
      <c r="E20" s="286"/>
      <c r="F20" s="286"/>
      <c r="G20" s="286"/>
      <c r="H20" s="286"/>
      <c r="I20" s="286"/>
      <c r="J20" s="286"/>
      <c r="K20" s="286"/>
      <c r="L20" s="286"/>
      <c r="M20" s="286"/>
      <c r="N20" s="286"/>
      <c r="O20" s="286"/>
      <c r="P20" s="286"/>
      <c r="Q20" s="286"/>
      <c r="R20" s="286"/>
      <c r="S20" s="286"/>
    </row>
    <row r="21" spans="2:19">
      <c r="B21" s="286"/>
      <c r="C21" s="286"/>
      <c r="D21" s="286"/>
      <c r="E21" s="286"/>
      <c r="F21" s="286"/>
      <c r="G21" s="286"/>
      <c r="H21" s="286"/>
      <c r="I21" s="286"/>
      <c r="J21" s="286"/>
      <c r="K21" s="286"/>
      <c r="L21" s="286"/>
      <c r="M21" s="286"/>
      <c r="N21" s="286"/>
      <c r="O21" s="286"/>
      <c r="P21" s="286"/>
      <c r="Q21" s="286"/>
      <c r="R21" s="286"/>
      <c r="S21" s="286"/>
    </row>
    <row r="22" spans="2:19">
      <c r="B22" s="286"/>
      <c r="C22" s="286"/>
      <c r="D22" s="286"/>
      <c r="E22" s="286"/>
      <c r="F22" s="286"/>
      <c r="G22" s="286"/>
      <c r="H22" s="286"/>
      <c r="I22" s="286"/>
      <c r="J22" s="286"/>
      <c r="K22" s="286"/>
      <c r="L22" s="286"/>
      <c r="M22" s="286"/>
      <c r="N22" s="286"/>
      <c r="O22" s="286"/>
      <c r="P22" s="286"/>
      <c r="Q22" s="286"/>
      <c r="R22" s="286"/>
      <c r="S22" s="286"/>
    </row>
    <row r="23" spans="2:19">
      <c r="B23" s="286"/>
      <c r="C23" s="286"/>
      <c r="D23" s="286"/>
      <c r="E23" s="286"/>
      <c r="F23" s="286"/>
      <c r="G23" s="286"/>
      <c r="H23" s="286"/>
      <c r="I23" s="286"/>
      <c r="J23" s="286"/>
      <c r="K23" s="286"/>
      <c r="L23" s="286"/>
      <c r="M23" s="286"/>
      <c r="N23" s="286"/>
      <c r="O23" s="286"/>
      <c r="P23" s="286"/>
      <c r="Q23" s="286"/>
      <c r="R23" s="286"/>
      <c r="S23" s="286"/>
    </row>
    <row r="24" spans="2:19">
      <c r="B24" s="286"/>
      <c r="C24" s="286"/>
      <c r="D24" s="286"/>
      <c r="E24" s="286"/>
      <c r="F24" s="286"/>
      <c r="G24" s="286"/>
      <c r="H24" s="286"/>
      <c r="I24" s="286"/>
      <c r="J24" s="286"/>
      <c r="K24" s="286"/>
      <c r="L24" s="286"/>
      <c r="M24" s="286"/>
      <c r="N24" s="286"/>
      <c r="O24" s="286"/>
      <c r="P24" s="286"/>
      <c r="Q24" s="286"/>
      <c r="R24" s="286"/>
      <c r="S24" s="286"/>
    </row>
    <row r="25" spans="2:19">
      <c r="B25" s="286"/>
      <c r="C25" s="286"/>
      <c r="D25" s="286"/>
      <c r="E25" s="286"/>
      <c r="F25" s="286"/>
      <c r="G25" s="286"/>
      <c r="H25" s="286"/>
      <c r="I25" s="286"/>
      <c r="J25" s="286"/>
      <c r="K25" s="286"/>
      <c r="L25" s="286"/>
      <c r="M25" s="286"/>
      <c r="N25" s="286"/>
      <c r="O25" s="286"/>
      <c r="P25" s="286"/>
      <c r="Q25" s="286"/>
      <c r="R25" s="286"/>
      <c r="S25" s="286"/>
    </row>
    <row r="26" spans="2:19">
      <c r="B26" s="286"/>
      <c r="C26" s="286"/>
      <c r="D26" s="286"/>
      <c r="E26" s="286"/>
      <c r="F26" s="286"/>
      <c r="G26" s="286"/>
      <c r="H26" s="286"/>
      <c r="I26" s="286"/>
      <c r="J26" s="286"/>
      <c r="K26" s="286"/>
      <c r="L26" s="286"/>
      <c r="M26" s="286"/>
      <c r="N26" s="286"/>
      <c r="O26" s="286"/>
      <c r="P26" s="286"/>
      <c r="Q26" s="286"/>
      <c r="R26" s="286"/>
      <c r="S26" s="286"/>
    </row>
    <row r="27" spans="2:19">
      <c r="B27" s="286"/>
      <c r="C27" s="286"/>
      <c r="D27" s="286"/>
      <c r="E27" s="286"/>
      <c r="F27" s="286"/>
      <c r="G27" s="286"/>
      <c r="H27" s="286"/>
      <c r="I27" s="286"/>
      <c r="J27" s="286"/>
      <c r="K27" s="286"/>
      <c r="L27" s="286"/>
      <c r="M27" s="286"/>
      <c r="N27" s="286"/>
      <c r="O27" s="286"/>
      <c r="P27" s="286"/>
      <c r="Q27" s="286"/>
      <c r="R27" s="286"/>
      <c r="S27" s="286"/>
    </row>
    <row r="28" spans="2:19">
      <c r="B28" s="286"/>
      <c r="C28" s="286"/>
      <c r="D28" s="286"/>
      <c r="E28" s="286"/>
      <c r="F28" s="286"/>
      <c r="G28" s="286"/>
      <c r="H28" s="286"/>
      <c r="I28" s="286"/>
      <c r="J28" s="286"/>
      <c r="K28" s="286"/>
      <c r="L28" s="286"/>
      <c r="M28" s="286"/>
      <c r="N28" s="286"/>
      <c r="O28" s="286"/>
      <c r="P28" s="286"/>
      <c r="Q28" s="286"/>
      <c r="R28" s="286"/>
      <c r="S28" s="286"/>
    </row>
    <row r="29" spans="2:19">
      <c r="B29" s="286"/>
      <c r="C29" s="286"/>
      <c r="D29" s="286"/>
      <c r="E29" s="286"/>
      <c r="F29" s="286"/>
      <c r="G29" s="286"/>
      <c r="H29" s="286"/>
      <c r="I29" s="286"/>
      <c r="J29" s="286"/>
      <c r="K29" s="286"/>
      <c r="L29" s="286"/>
      <c r="M29" s="286"/>
      <c r="N29" s="286"/>
      <c r="O29" s="286"/>
      <c r="P29" s="286"/>
      <c r="Q29" s="286"/>
      <c r="R29" s="286"/>
      <c r="S29" s="286"/>
    </row>
    <row r="30" spans="2:19">
      <c r="B30" s="286"/>
      <c r="C30" s="286"/>
      <c r="D30" s="286"/>
      <c r="E30" s="286"/>
      <c r="F30" s="286"/>
      <c r="G30" s="286"/>
      <c r="H30" s="286"/>
      <c r="I30" s="286"/>
      <c r="J30" s="286"/>
      <c r="K30" s="286"/>
      <c r="L30" s="286"/>
      <c r="M30" s="286"/>
      <c r="N30" s="286"/>
      <c r="O30" s="286"/>
      <c r="P30" s="286"/>
      <c r="Q30" s="286"/>
      <c r="R30" s="286"/>
      <c r="S30" s="286"/>
    </row>
    <row r="31" spans="2:19">
      <c r="B31" s="286"/>
      <c r="C31" s="286"/>
      <c r="D31" s="286"/>
      <c r="E31" s="286"/>
      <c r="F31" s="286"/>
      <c r="G31" s="286"/>
      <c r="H31" s="286"/>
      <c r="I31" s="286"/>
      <c r="J31" s="286"/>
      <c r="K31" s="286"/>
      <c r="L31" s="286"/>
      <c r="M31" s="286"/>
      <c r="N31" s="286"/>
      <c r="O31" s="286"/>
      <c r="P31" s="286"/>
      <c r="Q31" s="286"/>
      <c r="R31" s="286"/>
      <c r="S31" s="286"/>
    </row>
    <row r="32" spans="2:19">
      <c r="B32" s="286"/>
      <c r="C32" s="286"/>
      <c r="D32" s="286"/>
      <c r="E32" s="286"/>
      <c r="F32" s="286"/>
      <c r="G32" s="286"/>
      <c r="H32" s="286"/>
      <c r="I32" s="286"/>
      <c r="J32" s="286"/>
      <c r="K32" s="286"/>
      <c r="L32" s="286"/>
      <c r="M32" s="286"/>
      <c r="N32" s="286"/>
      <c r="O32" s="286"/>
      <c r="P32" s="286"/>
      <c r="Q32" s="286"/>
      <c r="R32" s="286"/>
      <c r="S32" s="286"/>
    </row>
    <row r="33" spans="2:19">
      <c r="B33" s="286"/>
      <c r="C33" s="286"/>
      <c r="D33" s="286"/>
      <c r="E33" s="286"/>
      <c r="F33" s="286"/>
      <c r="G33" s="286"/>
      <c r="H33" s="286"/>
      <c r="I33" s="286"/>
      <c r="J33" s="286"/>
      <c r="K33" s="286"/>
      <c r="L33" s="286"/>
      <c r="M33" s="286"/>
      <c r="N33" s="286"/>
      <c r="O33" s="286"/>
      <c r="P33" s="286"/>
      <c r="Q33" s="286"/>
      <c r="R33" s="286"/>
      <c r="S33" s="286"/>
    </row>
    <row r="34" spans="2:19">
      <c r="B34" s="286"/>
      <c r="C34" s="286"/>
      <c r="D34" s="286"/>
      <c r="E34" s="286"/>
      <c r="F34" s="286"/>
      <c r="G34" s="286"/>
      <c r="H34" s="286"/>
      <c r="I34" s="286"/>
      <c r="J34" s="286"/>
      <c r="K34" s="286"/>
      <c r="L34" s="286"/>
      <c r="M34" s="286"/>
      <c r="N34" s="286"/>
      <c r="O34" s="286"/>
      <c r="P34" s="286"/>
      <c r="Q34" s="286"/>
      <c r="R34" s="286"/>
      <c r="S34" s="286"/>
    </row>
    <row r="35" spans="2:19">
      <c r="B35" s="286"/>
      <c r="C35" s="286"/>
      <c r="D35" s="286"/>
      <c r="E35" s="286"/>
      <c r="F35" s="286"/>
      <c r="G35" s="286"/>
      <c r="H35" s="286"/>
      <c r="I35" s="286"/>
      <c r="J35" s="286"/>
      <c r="K35" s="286"/>
      <c r="L35" s="286"/>
      <c r="M35" s="286"/>
      <c r="N35" s="286"/>
      <c r="O35" s="286"/>
      <c r="P35" s="286"/>
      <c r="Q35" s="286"/>
      <c r="R35" s="286"/>
      <c r="S35" s="286"/>
    </row>
    <row r="36" spans="2:19">
      <c r="B36" s="286"/>
      <c r="C36" s="286"/>
      <c r="D36" s="286"/>
      <c r="E36" s="286"/>
      <c r="F36" s="286"/>
      <c r="G36" s="286"/>
      <c r="H36" s="286"/>
      <c r="I36" s="286"/>
      <c r="J36" s="286"/>
      <c r="K36" s="286"/>
      <c r="L36" s="286"/>
      <c r="M36" s="286"/>
      <c r="N36" s="286"/>
      <c r="O36" s="286"/>
      <c r="P36" s="286"/>
      <c r="Q36" s="286"/>
      <c r="R36" s="286"/>
      <c r="S36" s="286"/>
    </row>
    <row r="37" spans="2:19">
      <c r="B37" s="286"/>
      <c r="C37" s="286"/>
      <c r="D37" s="286"/>
      <c r="E37" s="286"/>
      <c r="F37" s="286"/>
      <c r="G37" s="286"/>
      <c r="H37" s="286"/>
      <c r="I37" s="286"/>
      <c r="J37" s="286"/>
      <c r="K37" s="286"/>
      <c r="L37" s="286"/>
      <c r="M37" s="286"/>
      <c r="N37" s="286"/>
      <c r="O37" s="286"/>
      <c r="P37" s="286"/>
      <c r="Q37" s="286"/>
      <c r="R37" s="286"/>
      <c r="S37" s="286"/>
    </row>
    <row r="38" spans="2:19">
      <c r="B38" s="286"/>
      <c r="C38" s="286"/>
      <c r="D38" s="286"/>
      <c r="E38" s="286"/>
      <c r="F38" s="286"/>
      <c r="G38" s="286"/>
      <c r="H38" s="286"/>
      <c r="I38" s="286"/>
      <c r="J38" s="286"/>
      <c r="K38" s="286"/>
      <c r="L38" s="286"/>
      <c r="M38" s="286"/>
      <c r="N38" s="286"/>
      <c r="O38" s="286"/>
      <c r="P38" s="286"/>
      <c r="Q38" s="286"/>
      <c r="R38" s="286"/>
      <c r="S38" s="286"/>
    </row>
    <row r="39" spans="2:19">
      <c r="B39" s="286"/>
      <c r="C39" s="286"/>
      <c r="D39" s="286"/>
      <c r="E39" s="286"/>
      <c r="F39" s="286"/>
      <c r="G39" s="286"/>
      <c r="H39" s="286"/>
      <c r="I39" s="286"/>
      <c r="J39" s="286"/>
      <c r="K39" s="286"/>
      <c r="L39" s="286"/>
      <c r="M39" s="286"/>
      <c r="N39" s="286"/>
      <c r="O39" s="286"/>
      <c r="P39" s="286"/>
      <c r="Q39" s="286"/>
      <c r="R39" s="286"/>
      <c r="S39" s="286"/>
    </row>
    <row r="40" spans="2:19">
      <c r="B40" s="286"/>
      <c r="C40" s="286"/>
      <c r="D40" s="286"/>
      <c r="E40" s="286"/>
      <c r="F40" s="286"/>
      <c r="G40" s="286"/>
      <c r="H40" s="286"/>
      <c r="I40" s="286"/>
      <c r="J40" s="286"/>
      <c r="K40" s="286"/>
      <c r="L40" s="286"/>
      <c r="M40" s="286"/>
      <c r="N40" s="286"/>
      <c r="O40" s="286"/>
      <c r="P40" s="286"/>
      <c r="Q40" s="286"/>
      <c r="R40" s="286"/>
      <c r="S40" s="286"/>
    </row>
    <row r="41" spans="2:19">
      <c r="B41" s="286"/>
      <c r="C41" s="286"/>
      <c r="D41" s="286"/>
      <c r="E41" s="286"/>
      <c r="F41" s="286"/>
      <c r="G41" s="286"/>
      <c r="H41" s="286"/>
      <c r="I41" s="286"/>
      <c r="J41" s="286"/>
      <c r="K41" s="286"/>
      <c r="L41" s="286"/>
      <c r="M41" s="286"/>
      <c r="N41" s="286"/>
      <c r="O41" s="286"/>
      <c r="P41" s="286"/>
      <c r="Q41" s="286"/>
      <c r="R41" s="286"/>
      <c r="S41" s="286"/>
    </row>
    <row r="42" spans="2:19">
      <c r="B42" s="286"/>
      <c r="C42" s="286"/>
      <c r="D42" s="286"/>
      <c r="E42" s="286"/>
      <c r="F42" s="286"/>
      <c r="G42" s="286"/>
      <c r="H42" s="286"/>
      <c r="I42" s="286"/>
      <c r="J42" s="286"/>
      <c r="K42" s="286"/>
      <c r="L42" s="286"/>
      <c r="M42" s="286"/>
      <c r="N42" s="286"/>
      <c r="O42" s="286"/>
      <c r="P42" s="286"/>
      <c r="Q42" s="286"/>
      <c r="R42" s="286"/>
      <c r="S42" s="286"/>
    </row>
    <row r="43" spans="2:19">
      <c r="B43" s="286"/>
      <c r="C43" s="286"/>
      <c r="D43" s="286"/>
      <c r="E43" s="286"/>
      <c r="F43" s="286"/>
      <c r="G43" s="286"/>
      <c r="H43" s="286"/>
      <c r="I43" s="286"/>
      <c r="J43" s="286"/>
      <c r="K43" s="286"/>
      <c r="L43" s="286"/>
      <c r="M43" s="286"/>
      <c r="N43" s="286"/>
      <c r="O43" s="286"/>
      <c r="P43" s="286"/>
      <c r="Q43" s="286"/>
      <c r="R43" s="286"/>
      <c r="S43" s="286"/>
    </row>
    <row r="44" spans="2:19">
      <c r="B44" s="286"/>
      <c r="C44" s="286"/>
      <c r="D44" s="286"/>
      <c r="E44" s="286"/>
      <c r="F44" s="286"/>
      <c r="G44" s="286"/>
      <c r="H44" s="286"/>
      <c r="I44" s="286"/>
      <c r="J44" s="286"/>
      <c r="K44" s="286"/>
      <c r="L44" s="286"/>
      <c r="M44" s="286"/>
      <c r="N44" s="286"/>
      <c r="O44" s="286"/>
      <c r="P44" s="286"/>
      <c r="Q44" s="286"/>
      <c r="R44" s="286"/>
      <c r="S44" s="286"/>
    </row>
    <row r="45" spans="2:19">
      <c r="B45" s="286"/>
      <c r="C45" s="286"/>
      <c r="D45" s="286"/>
      <c r="E45" s="286"/>
      <c r="F45" s="286"/>
      <c r="G45" s="286"/>
      <c r="H45" s="286"/>
      <c r="I45" s="286"/>
      <c r="J45" s="286"/>
      <c r="K45" s="286"/>
      <c r="L45" s="286"/>
      <c r="M45" s="286"/>
      <c r="N45" s="286"/>
      <c r="O45" s="286"/>
      <c r="P45" s="286"/>
      <c r="Q45" s="286"/>
      <c r="R45" s="286"/>
      <c r="S45" s="286"/>
    </row>
    <row r="46" spans="2:19">
      <c r="B46" s="286"/>
      <c r="C46" s="286"/>
      <c r="D46" s="286"/>
      <c r="E46" s="286"/>
      <c r="F46" s="286"/>
      <c r="G46" s="286"/>
      <c r="H46" s="286"/>
      <c r="I46" s="286"/>
      <c r="J46" s="286"/>
      <c r="K46" s="286"/>
      <c r="L46" s="286"/>
      <c r="M46" s="286"/>
      <c r="N46" s="286"/>
      <c r="O46" s="286"/>
      <c r="P46" s="286"/>
      <c r="Q46" s="286"/>
      <c r="R46" s="286"/>
      <c r="S46" s="286"/>
    </row>
    <row r="47" spans="2:19">
      <c r="B47" s="286"/>
      <c r="C47" s="286"/>
      <c r="D47" s="286"/>
      <c r="E47" s="286"/>
      <c r="F47" s="286"/>
      <c r="G47" s="286"/>
      <c r="H47" s="286"/>
      <c r="I47" s="286"/>
      <c r="J47" s="286"/>
      <c r="K47" s="286"/>
      <c r="L47" s="286"/>
      <c r="M47" s="286"/>
      <c r="N47" s="286"/>
      <c r="O47" s="286"/>
      <c r="P47" s="286"/>
      <c r="Q47" s="286"/>
      <c r="R47" s="286"/>
      <c r="S47" s="286"/>
    </row>
    <row r="48" spans="2:19">
      <c r="B48" s="286"/>
      <c r="C48" s="286"/>
      <c r="D48" s="286"/>
      <c r="E48" s="286"/>
      <c r="F48" s="286"/>
      <c r="G48" s="286"/>
      <c r="H48" s="286"/>
      <c r="I48" s="286"/>
      <c r="J48" s="286"/>
      <c r="K48" s="286"/>
      <c r="L48" s="286"/>
      <c r="M48" s="286"/>
      <c r="N48" s="286"/>
      <c r="O48" s="286"/>
      <c r="P48" s="286"/>
      <c r="Q48" s="286"/>
      <c r="R48" s="286"/>
      <c r="S48" s="286"/>
    </row>
    <row r="49" spans="2:19">
      <c r="B49" s="286"/>
      <c r="C49" s="286"/>
      <c r="D49" s="286"/>
      <c r="E49" s="286"/>
      <c r="F49" s="286"/>
      <c r="G49" s="286"/>
      <c r="H49" s="286"/>
      <c r="I49" s="286"/>
      <c r="J49" s="286"/>
      <c r="K49" s="286"/>
      <c r="L49" s="286"/>
      <c r="M49" s="286"/>
      <c r="N49" s="286"/>
      <c r="O49" s="286"/>
      <c r="P49" s="286"/>
      <c r="Q49" s="286"/>
      <c r="R49" s="286"/>
      <c r="S49" s="286"/>
    </row>
    <row r="50" spans="2:19">
      <c r="B50" s="286"/>
      <c r="C50" s="286"/>
      <c r="D50" s="286"/>
      <c r="E50" s="286"/>
      <c r="F50" s="286"/>
      <c r="G50" s="286"/>
      <c r="H50" s="286"/>
      <c r="I50" s="286"/>
      <c r="J50" s="286"/>
      <c r="K50" s="286"/>
      <c r="L50" s="286"/>
      <c r="M50" s="286"/>
      <c r="N50" s="286"/>
      <c r="O50" s="286"/>
      <c r="P50" s="286"/>
      <c r="Q50" s="286"/>
      <c r="R50" s="286"/>
      <c r="S50" s="286"/>
    </row>
    <row r="51" spans="2:19">
      <c r="B51" s="286"/>
      <c r="C51" s="286"/>
      <c r="D51" s="286"/>
      <c r="E51" s="286"/>
      <c r="F51" s="286"/>
      <c r="G51" s="286"/>
      <c r="H51" s="286"/>
      <c r="I51" s="286"/>
      <c r="J51" s="286"/>
      <c r="K51" s="286"/>
      <c r="L51" s="286"/>
      <c r="M51" s="286"/>
      <c r="N51" s="286"/>
      <c r="O51" s="286"/>
      <c r="P51" s="286"/>
      <c r="Q51" s="286"/>
      <c r="R51" s="286"/>
      <c r="S51" s="286"/>
    </row>
    <row r="52" spans="2:19">
      <c r="B52" s="286"/>
      <c r="C52" s="286"/>
      <c r="D52" s="286"/>
      <c r="E52" s="286"/>
      <c r="F52" s="286"/>
      <c r="G52" s="286"/>
      <c r="H52" s="286"/>
      <c r="I52" s="286"/>
      <c r="J52" s="286"/>
      <c r="K52" s="286"/>
      <c r="L52" s="286"/>
      <c r="M52" s="286"/>
      <c r="N52" s="286"/>
      <c r="O52" s="286"/>
      <c r="P52" s="286"/>
      <c r="Q52" s="286"/>
      <c r="R52" s="286"/>
      <c r="S52" s="286"/>
    </row>
    <row r="53" spans="2:19">
      <c r="B53" s="286"/>
      <c r="C53" s="286"/>
      <c r="D53" s="286"/>
      <c r="E53" s="286"/>
      <c r="F53" s="286"/>
      <c r="G53" s="286"/>
      <c r="H53" s="286"/>
      <c r="I53" s="286"/>
      <c r="J53" s="286"/>
      <c r="K53" s="286"/>
      <c r="L53" s="286"/>
      <c r="M53" s="286"/>
      <c r="N53" s="286"/>
      <c r="O53" s="286"/>
      <c r="P53" s="286"/>
      <c r="Q53" s="286"/>
      <c r="R53" s="286"/>
      <c r="S53" s="286"/>
    </row>
    <row r="54" spans="2:19">
      <c r="B54" s="286"/>
      <c r="C54" s="286"/>
      <c r="D54" s="286"/>
      <c r="E54" s="286"/>
      <c r="F54" s="286"/>
      <c r="G54" s="286"/>
      <c r="H54" s="286"/>
      <c r="I54" s="286"/>
      <c r="J54" s="286"/>
      <c r="K54" s="286"/>
      <c r="L54" s="286"/>
      <c r="M54" s="286"/>
      <c r="N54" s="286"/>
      <c r="O54" s="286"/>
      <c r="P54" s="286"/>
      <c r="Q54" s="286"/>
      <c r="R54" s="286"/>
      <c r="S54" s="286"/>
    </row>
    <row r="55" spans="2:19">
      <c r="B55" s="286"/>
      <c r="C55" s="286"/>
      <c r="D55" s="286"/>
      <c r="E55" s="286"/>
      <c r="F55" s="286"/>
      <c r="G55" s="286"/>
      <c r="H55" s="286"/>
      <c r="I55" s="286"/>
      <c r="J55" s="286"/>
      <c r="K55" s="286"/>
      <c r="L55" s="286"/>
      <c r="M55" s="286"/>
      <c r="N55" s="286"/>
      <c r="O55" s="286"/>
      <c r="P55" s="286"/>
      <c r="Q55" s="286"/>
      <c r="R55" s="286"/>
      <c r="S55" s="286"/>
    </row>
    <row r="56" spans="2:19">
      <c r="B56" s="286"/>
      <c r="C56" s="286"/>
      <c r="D56" s="286"/>
      <c r="E56" s="286"/>
      <c r="F56" s="286"/>
      <c r="G56" s="286"/>
      <c r="H56" s="286"/>
      <c r="I56" s="286"/>
      <c r="J56" s="286"/>
      <c r="K56" s="286"/>
      <c r="L56" s="286"/>
      <c r="M56" s="286"/>
      <c r="N56" s="286"/>
      <c r="O56" s="286"/>
      <c r="P56" s="286"/>
      <c r="Q56" s="286"/>
      <c r="R56" s="286"/>
      <c r="S56" s="286"/>
    </row>
    <row r="57" spans="2:19">
      <c r="B57" s="286"/>
      <c r="C57" s="286"/>
      <c r="D57" s="286"/>
      <c r="E57" s="286"/>
      <c r="F57" s="286"/>
      <c r="G57" s="286"/>
      <c r="H57" s="286"/>
      <c r="I57" s="286"/>
      <c r="J57" s="286"/>
      <c r="K57" s="286"/>
      <c r="L57" s="286"/>
      <c r="M57" s="286"/>
      <c r="N57" s="286"/>
      <c r="O57" s="286"/>
      <c r="P57" s="286"/>
      <c r="Q57" s="286"/>
      <c r="R57" s="286"/>
      <c r="S57" s="286"/>
    </row>
    <row r="58" spans="2:19">
      <c r="B58" s="286"/>
      <c r="C58" s="286"/>
      <c r="D58" s="286"/>
      <c r="E58" s="286"/>
      <c r="F58" s="286"/>
      <c r="G58" s="286"/>
      <c r="H58" s="286"/>
      <c r="I58" s="286"/>
      <c r="J58" s="286"/>
      <c r="K58" s="286"/>
      <c r="L58" s="286"/>
      <c r="M58" s="286"/>
      <c r="N58" s="286"/>
      <c r="O58" s="286"/>
      <c r="P58" s="286"/>
      <c r="Q58" s="286"/>
      <c r="R58" s="286"/>
      <c r="S58" s="286"/>
    </row>
    <row r="59" spans="2:19">
      <c r="B59" s="286"/>
      <c r="C59" s="286"/>
      <c r="D59" s="286"/>
      <c r="E59" s="286"/>
      <c r="F59" s="286"/>
      <c r="G59" s="286"/>
      <c r="H59" s="286"/>
      <c r="I59" s="286"/>
      <c r="J59" s="286"/>
      <c r="K59" s="286"/>
      <c r="L59" s="286"/>
      <c r="M59" s="286"/>
      <c r="N59" s="286"/>
      <c r="O59" s="286"/>
      <c r="P59" s="286"/>
      <c r="Q59" s="286"/>
      <c r="R59" s="286"/>
      <c r="S59" s="286"/>
    </row>
    <row r="60" spans="2:19">
      <c r="B60" s="286"/>
      <c r="C60" s="286"/>
      <c r="D60" s="286"/>
      <c r="E60" s="286"/>
      <c r="F60" s="286"/>
      <c r="G60" s="286"/>
      <c r="H60" s="286"/>
      <c r="I60" s="286"/>
      <c r="J60" s="286"/>
      <c r="K60" s="286"/>
      <c r="L60" s="286"/>
      <c r="M60" s="286"/>
      <c r="N60" s="286"/>
      <c r="O60" s="286"/>
      <c r="P60" s="286"/>
      <c r="Q60" s="286"/>
      <c r="R60" s="286"/>
      <c r="S60" s="286"/>
    </row>
    <row r="61" spans="2:19">
      <c r="B61" s="286"/>
      <c r="C61" s="286"/>
      <c r="D61" s="286"/>
      <c r="E61" s="286"/>
      <c r="F61" s="286"/>
      <c r="G61" s="286"/>
      <c r="H61" s="286"/>
      <c r="I61" s="286"/>
      <c r="J61" s="286"/>
      <c r="K61" s="286"/>
      <c r="L61" s="286"/>
      <c r="M61" s="286"/>
      <c r="N61" s="286"/>
      <c r="O61" s="286"/>
      <c r="P61" s="286"/>
      <c r="Q61" s="286"/>
      <c r="R61" s="286"/>
      <c r="S61" s="286"/>
    </row>
    <row r="62" spans="2:19">
      <c r="B62" s="286"/>
      <c r="C62" s="286"/>
      <c r="D62" s="286"/>
      <c r="E62" s="286"/>
      <c r="F62" s="286"/>
      <c r="G62" s="286"/>
      <c r="H62" s="286"/>
      <c r="I62" s="286"/>
      <c r="J62" s="286"/>
      <c r="K62" s="286"/>
      <c r="L62" s="286"/>
      <c r="M62" s="286"/>
      <c r="N62" s="286"/>
      <c r="O62" s="286"/>
      <c r="P62" s="286"/>
      <c r="Q62" s="286"/>
      <c r="R62" s="286"/>
      <c r="S62" s="286"/>
    </row>
    <row r="63" spans="2:19">
      <c r="B63" s="286"/>
      <c r="C63" s="286"/>
      <c r="D63" s="286"/>
      <c r="E63" s="286"/>
      <c r="F63" s="286"/>
      <c r="G63" s="286"/>
      <c r="H63" s="286"/>
      <c r="I63" s="286"/>
      <c r="J63" s="286"/>
      <c r="K63" s="286"/>
      <c r="L63" s="286"/>
      <c r="M63" s="286"/>
      <c r="N63" s="286"/>
      <c r="O63" s="286"/>
      <c r="P63" s="286"/>
      <c r="Q63" s="286"/>
      <c r="R63" s="286"/>
      <c r="S63" s="286"/>
    </row>
    <row r="64" spans="2:19">
      <c r="B64" s="286"/>
      <c r="C64" s="286"/>
      <c r="D64" s="286"/>
      <c r="E64" s="286"/>
      <c r="F64" s="286"/>
      <c r="G64" s="286"/>
      <c r="H64" s="286"/>
      <c r="I64" s="286"/>
      <c r="J64" s="286"/>
      <c r="K64" s="286"/>
      <c r="L64" s="286"/>
      <c r="M64" s="286"/>
      <c r="N64" s="286"/>
      <c r="O64" s="286"/>
      <c r="P64" s="286"/>
      <c r="Q64" s="286"/>
      <c r="R64" s="286"/>
      <c r="S64" s="286"/>
    </row>
    <row r="65" spans="2:19">
      <c r="B65" s="286"/>
      <c r="C65" s="286"/>
      <c r="D65" s="286"/>
      <c r="E65" s="286"/>
      <c r="F65" s="286"/>
      <c r="G65" s="286"/>
      <c r="H65" s="286"/>
      <c r="I65" s="286"/>
      <c r="J65" s="286"/>
      <c r="K65" s="286"/>
      <c r="L65" s="286"/>
      <c r="M65" s="286"/>
      <c r="N65" s="286"/>
      <c r="O65" s="286"/>
      <c r="P65" s="286"/>
      <c r="Q65" s="286"/>
      <c r="R65" s="286"/>
      <c r="S65" s="286"/>
    </row>
    <row r="66" spans="2:19">
      <c r="B66" s="286"/>
      <c r="C66" s="286"/>
      <c r="D66" s="286"/>
      <c r="E66" s="286"/>
      <c r="F66" s="286"/>
      <c r="G66" s="286"/>
      <c r="H66" s="286"/>
      <c r="I66" s="286"/>
      <c r="J66" s="286"/>
      <c r="K66" s="286"/>
      <c r="L66" s="286"/>
      <c r="M66" s="286"/>
      <c r="N66" s="286"/>
      <c r="O66" s="286"/>
      <c r="P66" s="286"/>
      <c r="Q66" s="286"/>
      <c r="R66" s="286"/>
      <c r="S66" s="286"/>
    </row>
    <row r="67" spans="2:19">
      <c r="B67" s="286"/>
      <c r="C67" s="286"/>
      <c r="D67" s="286"/>
      <c r="E67" s="286"/>
      <c r="F67" s="286"/>
      <c r="G67" s="286"/>
      <c r="H67" s="286"/>
      <c r="I67" s="286"/>
      <c r="J67" s="286"/>
      <c r="K67" s="286"/>
      <c r="L67" s="286"/>
      <c r="M67" s="286"/>
      <c r="N67" s="286"/>
      <c r="O67" s="286"/>
      <c r="P67" s="286"/>
      <c r="Q67" s="286"/>
      <c r="R67" s="286"/>
      <c r="S67" s="286"/>
    </row>
    <row r="68" spans="2:19">
      <c r="B68" s="286"/>
      <c r="C68" s="286"/>
      <c r="D68" s="286"/>
      <c r="E68" s="286"/>
      <c r="F68" s="286"/>
      <c r="G68" s="286"/>
      <c r="H68" s="286"/>
      <c r="I68" s="286"/>
      <c r="J68" s="286"/>
      <c r="K68" s="286"/>
      <c r="L68" s="286"/>
      <c r="M68" s="286"/>
      <c r="N68" s="286"/>
      <c r="O68" s="286"/>
      <c r="P68" s="286"/>
      <c r="Q68" s="286"/>
      <c r="R68" s="286"/>
      <c r="S68" s="286"/>
    </row>
    <row r="69" spans="2:19">
      <c r="B69" s="286"/>
      <c r="C69" s="286"/>
      <c r="D69" s="286"/>
      <c r="E69" s="286"/>
      <c r="F69" s="286"/>
      <c r="G69" s="286"/>
      <c r="H69" s="286"/>
      <c r="I69" s="286"/>
      <c r="J69" s="286"/>
      <c r="K69" s="286"/>
      <c r="L69" s="286"/>
      <c r="M69" s="286"/>
      <c r="N69" s="286"/>
      <c r="O69" s="286"/>
      <c r="P69" s="286"/>
      <c r="Q69" s="286"/>
      <c r="R69" s="286"/>
      <c r="S69" s="286"/>
    </row>
    <row r="70" spans="2:19">
      <c r="B70" s="286"/>
      <c r="C70" s="286"/>
      <c r="D70" s="286"/>
      <c r="E70" s="286"/>
      <c r="F70" s="286"/>
      <c r="G70" s="286"/>
      <c r="H70" s="286"/>
      <c r="I70" s="286"/>
      <c r="J70" s="286"/>
      <c r="K70" s="286"/>
      <c r="L70" s="286"/>
      <c r="M70" s="286"/>
      <c r="N70" s="286"/>
      <c r="O70" s="286"/>
      <c r="P70" s="286"/>
      <c r="Q70" s="286"/>
      <c r="R70" s="286"/>
      <c r="S70" s="286"/>
    </row>
    <row r="71" spans="2:19">
      <c r="B71" s="286"/>
      <c r="C71" s="286"/>
      <c r="D71" s="286"/>
      <c r="E71" s="286"/>
      <c r="F71" s="286"/>
      <c r="G71" s="286"/>
      <c r="H71" s="286"/>
      <c r="I71" s="286"/>
      <c r="J71" s="286"/>
      <c r="K71" s="286"/>
      <c r="L71" s="286"/>
      <c r="M71" s="286"/>
      <c r="N71" s="286"/>
      <c r="O71" s="286"/>
      <c r="P71" s="286"/>
      <c r="Q71" s="286"/>
      <c r="R71" s="286"/>
      <c r="S71" s="286"/>
    </row>
    <row r="72" spans="2:19">
      <c r="B72" s="286"/>
      <c r="C72" s="286"/>
      <c r="D72" s="286"/>
      <c r="E72" s="286"/>
      <c r="F72" s="286"/>
      <c r="G72" s="286"/>
      <c r="H72" s="286"/>
      <c r="I72" s="286"/>
      <c r="J72" s="286"/>
      <c r="K72" s="286"/>
      <c r="L72" s="286"/>
      <c r="M72" s="286"/>
      <c r="N72" s="286"/>
      <c r="O72" s="286"/>
      <c r="P72" s="286"/>
      <c r="Q72" s="286"/>
      <c r="R72" s="286"/>
      <c r="S72" s="286"/>
    </row>
    <row r="73" spans="2:19">
      <c r="B73" s="286"/>
      <c r="C73" s="286"/>
      <c r="D73" s="286"/>
      <c r="E73" s="286"/>
      <c r="F73" s="286"/>
      <c r="G73" s="286"/>
      <c r="H73" s="286"/>
      <c r="I73" s="286"/>
      <c r="J73" s="286"/>
      <c r="K73" s="286"/>
      <c r="L73" s="286"/>
      <c r="M73" s="286"/>
      <c r="N73" s="286"/>
      <c r="O73" s="286"/>
      <c r="P73" s="286"/>
      <c r="Q73" s="286"/>
      <c r="R73" s="286"/>
      <c r="S73" s="286"/>
    </row>
    <row r="74" spans="2:19">
      <c r="B74" s="286"/>
      <c r="C74" s="286"/>
      <c r="D74" s="286"/>
      <c r="E74" s="286"/>
      <c r="F74" s="286"/>
      <c r="G74" s="286"/>
      <c r="H74" s="286"/>
      <c r="I74" s="286"/>
      <c r="J74" s="286"/>
      <c r="K74" s="286"/>
      <c r="L74" s="286"/>
      <c r="M74" s="286"/>
      <c r="N74" s="286"/>
      <c r="O74" s="286"/>
      <c r="P74" s="286"/>
      <c r="Q74" s="286"/>
      <c r="R74" s="286"/>
      <c r="S74" s="286"/>
    </row>
    <row r="75" spans="2:19">
      <c r="B75" s="286"/>
      <c r="C75" s="286"/>
      <c r="D75" s="286"/>
      <c r="E75" s="286"/>
      <c r="F75" s="286"/>
      <c r="G75" s="286"/>
      <c r="H75" s="286"/>
      <c r="I75" s="286"/>
      <c r="J75" s="286"/>
      <c r="K75" s="286"/>
      <c r="L75" s="286"/>
      <c r="M75" s="286"/>
      <c r="N75" s="286"/>
      <c r="O75" s="286"/>
      <c r="P75" s="286"/>
      <c r="Q75" s="286"/>
      <c r="R75" s="286"/>
      <c r="S75" s="286"/>
    </row>
    <row r="76" spans="2:19">
      <c r="B76" s="286"/>
      <c r="C76" s="286"/>
      <c r="D76" s="286"/>
      <c r="E76" s="286"/>
      <c r="F76" s="286"/>
      <c r="G76" s="286"/>
      <c r="H76" s="286"/>
      <c r="I76" s="286"/>
      <c r="J76" s="286"/>
      <c r="K76" s="286"/>
      <c r="L76" s="286"/>
      <c r="M76" s="286"/>
      <c r="N76" s="286"/>
      <c r="O76" s="286"/>
      <c r="P76" s="286"/>
      <c r="Q76" s="286"/>
      <c r="R76" s="286"/>
      <c r="S76" s="286"/>
    </row>
    <row r="77" spans="2:19">
      <c r="B77" s="286"/>
      <c r="C77" s="286"/>
      <c r="D77" s="286"/>
      <c r="E77" s="286"/>
      <c r="F77" s="286"/>
      <c r="G77" s="286"/>
      <c r="H77" s="286"/>
      <c r="I77" s="286"/>
      <c r="J77" s="286"/>
      <c r="K77" s="286"/>
      <c r="L77" s="286"/>
      <c r="M77" s="286"/>
      <c r="N77" s="286"/>
      <c r="O77" s="286"/>
      <c r="P77" s="286"/>
      <c r="Q77" s="286"/>
      <c r="R77" s="286"/>
      <c r="S77" s="286"/>
    </row>
    <row r="78" spans="2:19">
      <c r="B78" s="286"/>
      <c r="C78" s="286"/>
      <c r="D78" s="286"/>
      <c r="E78" s="286"/>
      <c r="F78" s="286"/>
      <c r="G78" s="286"/>
      <c r="H78" s="286"/>
      <c r="I78" s="286"/>
      <c r="J78" s="286"/>
      <c r="K78" s="286"/>
      <c r="L78" s="286"/>
      <c r="M78" s="286"/>
      <c r="N78" s="286"/>
      <c r="O78" s="286"/>
      <c r="P78" s="286"/>
      <c r="Q78" s="286"/>
      <c r="R78" s="286"/>
      <c r="S78" s="286"/>
    </row>
    <row r="79" spans="2:19">
      <c r="B79" s="286"/>
      <c r="C79" s="286"/>
      <c r="D79" s="286"/>
      <c r="E79" s="286"/>
      <c r="F79" s="286"/>
      <c r="G79" s="286"/>
      <c r="H79" s="286"/>
      <c r="I79" s="286"/>
      <c r="J79" s="286"/>
      <c r="K79" s="286"/>
      <c r="L79" s="286"/>
      <c r="M79" s="286"/>
      <c r="N79" s="286"/>
      <c r="O79" s="286"/>
      <c r="P79" s="286"/>
      <c r="Q79" s="286"/>
      <c r="R79" s="286"/>
      <c r="S79" s="286"/>
    </row>
    <row r="80" spans="2:19">
      <c r="B80" s="286"/>
      <c r="C80" s="286"/>
      <c r="D80" s="286"/>
      <c r="E80" s="286"/>
      <c r="F80" s="286"/>
      <c r="G80" s="286"/>
      <c r="H80" s="286"/>
      <c r="I80" s="286"/>
      <c r="J80" s="286"/>
      <c r="K80" s="286"/>
      <c r="L80" s="286"/>
      <c r="M80" s="286"/>
      <c r="N80" s="286"/>
      <c r="O80" s="286"/>
      <c r="P80" s="286"/>
      <c r="Q80" s="286"/>
      <c r="R80" s="286"/>
      <c r="S80" s="286"/>
    </row>
    <row r="81" spans="2:19">
      <c r="B81" s="286"/>
      <c r="C81" s="286"/>
      <c r="D81" s="286"/>
      <c r="E81" s="286"/>
      <c r="F81" s="286"/>
      <c r="G81" s="286"/>
      <c r="H81" s="286"/>
      <c r="I81" s="286"/>
      <c r="J81" s="286"/>
      <c r="K81" s="286"/>
      <c r="L81" s="286"/>
      <c r="M81" s="286"/>
      <c r="N81" s="286"/>
      <c r="O81" s="286"/>
      <c r="P81" s="286"/>
      <c r="Q81" s="286"/>
      <c r="R81" s="286"/>
      <c r="S81" s="286"/>
    </row>
    <row r="82" spans="2:19">
      <c r="B82" s="286"/>
      <c r="C82" s="286"/>
      <c r="D82" s="286"/>
      <c r="E82" s="286"/>
      <c r="F82" s="286"/>
      <c r="G82" s="286"/>
      <c r="H82" s="286"/>
      <c r="I82" s="286"/>
      <c r="J82" s="286"/>
      <c r="K82" s="286"/>
      <c r="L82" s="286"/>
      <c r="M82" s="286"/>
      <c r="N82" s="286"/>
      <c r="O82" s="286"/>
      <c r="P82" s="286"/>
      <c r="Q82" s="286"/>
      <c r="R82" s="286"/>
      <c r="S82" s="286"/>
    </row>
    <row r="83" spans="2:19">
      <c r="B83" s="286"/>
      <c r="C83" s="286"/>
      <c r="D83" s="286"/>
      <c r="E83" s="286"/>
      <c r="F83" s="286"/>
      <c r="G83" s="286"/>
      <c r="H83" s="286"/>
      <c r="I83" s="286"/>
      <c r="J83" s="286"/>
      <c r="K83" s="286"/>
      <c r="L83" s="286"/>
      <c r="M83" s="286"/>
      <c r="N83" s="286"/>
      <c r="O83" s="286"/>
      <c r="P83" s="286"/>
      <c r="Q83" s="286"/>
      <c r="R83" s="286"/>
      <c r="S83" s="286"/>
    </row>
    <row r="84" spans="2:19">
      <c r="B84" s="286"/>
      <c r="C84" s="286"/>
      <c r="D84" s="286"/>
      <c r="E84" s="286"/>
      <c r="F84" s="286"/>
      <c r="G84" s="286"/>
      <c r="H84" s="286"/>
      <c r="I84" s="286"/>
      <c r="J84" s="286"/>
      <c r="K84" s="286"/>
      <c r="L84" s="286"/>
      <c r="M84" s="286"/>
      <c r="N84" s="286"/>
      <c r="O84" s="286"/>
      <c r="P84" s="286"/>
      <c r="Q84" s="286"/>
      <c r="R84" s="286"/>
      <c r="S84" s="286"/>
    </row>
    <row r="85" spans="2:19">
      <c r="B85" s="286"/>
      <c r="C85" s="286"/>
      <c r="D85" s="286"/>
      <c r="E85" s="286"/>
      <c r="F85" s="286"/>
      <c r="G85" s="286"/>
      <c r="H85" s="286"/>
      <c r="I85" s="286"/>
      <c r="J85" s="286"/>
      <c r="K85" s="286"/>
      <c r="L85" s="286"/>
      <c r="M85" s="286"/>
      <c r="N85" s="286"/>
      <c r="O85" s="286"/>
      <c r="P85" s="286"/>
      <c r="Q85" s="286"/>
      <c r="R85" s="286"/>
      <c r="S85" s="286"/>
    </row>
    <row r="86" spans="2:19">
      <c r="B86" s="286"/>
      <c r="C86" s="286"/>
      <c r="D86" s="286"/>
      <c r="E86" s="286"/>
      <c r="F86" s="286"/>
      <c r="G86" s="286"/>
      <c r="H86" s="286"/>
      <c r="I86" s="286"/>
      <c r="J86" s="286"/>
      <c r="K86" s="286"/>
      <c r="L86" s="286"/>
      <c r="M86" s="286"/>
      <c r="N86" s="286"/>
      <c r="O86" s="286"/>
      <c r="P86" s="286"/>
      <c r="Q86" s="286"/>
      <c r="R86" s="286"/>
      <c r="S86" s="286"/>
    </row>
    <row r="87" spans="2:19">
      <c r="B87" s="286"/>
      <c r="C87" s="286"/>
      <c r="D87" s="286"/>
      <c r="E87" s="286"/>
      <c r="F87" s="286"/>
      <c r="G87" s="286"/>
      <c r="H87" s="286"/>
      <c r="I87" s="286"/>
      <c r="J87" s="286"/>
      <c r="K87" s="286"/>
      <c r="L87" s="286"/>
      <c r="M87" s="286"/>
      <c r="N87" s="286"/>
      <c r="O87" s="286"/>
      <c r="P87" s="286"/>
      <c r="Q87" s="286"/>
      <c r="R87" s="286"/>
      <c r="S87" s="286"/>
    </row>
    <row r="88" spans="2:19">
      <c r="B88" s="286"/>
      <c r="C88" s="286"/>
      <c r="D88" s="286"/>
      <c r="E88" s="286"/>
      <c r="F88" s="286"/>
      <c r="G88" s="286"/>
      <c r="H88" s="286"/>
      <c r="I88" s="286"/>
      <c r="J88" s="286"/>
      <c r="K88" s="286"/>
      <c r="L88" s="286"/>
      <c r="M88" s="286"/>
      <c r="N88" s="286"/>
      <c r="O88" s="286"/>
      <c r="P88" s="286"/>
      <c r="Q88" s="286"/>
      <c r="R88" s="286"/>
      <c r="S88" s="286"/>
    </row>
    <row r="89" spans="2:19">
      <c r="B89" s="286"/>
      <c r="C89" s="286"/>
      <c r="D89" s="286"/>
      <c r="E89" s="286"/>
      <c r="F89" s="286"/>
      <c r="G89" s="286"/>
      <c r="H89" s="286"/>
      <c r="I89" s="286"/>
      <c r="J89" s="286"/>
      <c r="K89" s="286"/>
      <c r="L89" s="286"/>
      <c r="M89" s="286"/>
      <c r="N89" s="286"/>
      <c r="O89" s="286"/>
      <c r="P89" s="286"/>
      <c r="Q89" s="286"/>
      <c r="R89" s="286"/>
      <c r="S89" s="286"/>
    </row>
    <row r="90" spans="2:19">
      <c r="B90" s="286"/>
      <c r="C90" s="286"/>
      <c r="D90" s="286"/>
      <c r="E90" s="286"/>
      <c r="F90" s="286"/>
      <c r="G90" s="286"/>
      <c r="H90" s="286"/>
      <c r="I90" s="286"/>
      <c r="J90" s="286"/>
      <c r="K90" s="286"/>
      <c r="L90" s="286"/>
      <c r="M90" s="286"/>
      <c r="N90" s="286"/>
      <c r="O90" s="286"/>
      <c r="P90" s="286"/>
      <c r="Q90" s="286"/>
      <c r="R90" s="286"/>
      <c r="S90" s="286"/>
    </row>
    <row r="91" spans="2:19">
      <c r="B91" s="286"/>
      <c r="C91" s="286"/>
      <c r="D91" s="286"/>
      <c r="E91" s="286"/>
      <c r="F91" s="286"/>
      <c r="G91" s="286"/>
      <c r="H91" s="286"/>
      <c r="I91" s="286"/>
      <c r="J91" s="286"/>
      <c r="K91" s="286"/>
      <c r="L91" s="286"/>
      <c r="M91" s="286"/>
      <c r="N91" s="286"/>
      <c r="O91" s="286"/>
      <c r="P91" s="286"/>
      <c r="Q91" s="286"/>
      <c r="R91" s="286"/>
      <c r="S91" s="286"/>
    </row>
    <row r="92" spans="2:19">
      <c r="B92" s="286"/>
      <c r="C92" s="286"/>
      <c r="D92" s="286"/>
      <c r="E92" s="286"/>
      <c r="F92" s="286"/>
      <c r="G92" s="286"/>
      <c r="H92" s="286"/>
      <c r="I92" s="286"/>
      <c r="J92" s="286"/>
      <c r="K92" s="286"/>
      <c r="L92" s="286"/>
      <c r="M92" s="286"/>
      <c r="N92" s="286"/>
      <c r="O92" s="286"/>
      <c r="P92" s="286"/>
      <c r="Q92" s="286"/>
      <c r="R92" s="286"/>
      <c r="S92" s="286"/>
    </row>
    <row r="93" spans="2:19">
      <c r="B93" s="286"/>
      <c r="C93" s="286"/>
      <c r="D93" s="286"/>
      <c r="E93" s="286"/>
      <c r="F93" s="286"/>
      <c r="G93" s="286"/>
      <c r="H93" s="286"/>
      <c r="I93" s="286"/>
      <c r="J93" s="286"/>
      <c r="K93" s="286"/>
      <c r="L93" s="286"/>
      <c r="M93" s="286"/>
      <c r="N93" s="286"/>
      <c r="O93" s="286"/>
      <c r="P93" s="286"/>
      <c r="Q93" s="286"/>
      <c r="R93" s="286"/>
      <c r="S93" s="286"/>
    </row>
    <row r="94" spans="2:19">
      <c r="B94" s="286"/>
      <c r="C94" s="286"/>
      <c r="D94" s="286"/>
      <c r="E94" s="286"/>
      <c r="F94" s="286"/>
      <c r="G94" s="286"/>
      <c r="H94" s="286"/>
      <c r="I94" s="286"/>
      <c r="J94" s="286"/>
      <c r="K94" s="286"/>
      <c r="L94" s="286"/>
      <c r="M94" s="286"/>
      <c r="N94" s="286"/>
      <c r="O94" s="286"/>
      <c r="P94" s="286"/>
      <c r="Q94" s="286"/>
      <c r="R94" s="286"/>
      <c r="S94" s="286"/>
    </row>
    <row r="95" spans="2:19">
      <c r="B95" s="286"/>
      <c r="C95" s="286"/>
      <c r="D95" s="286"/>
      <c r="E95" s="286"/>
      <c r="F95" s="286"/>
      <c r="G95" s="286"/>
      <c r="H95" s="286"/>
      <c r="I95" s="286"/>
      <c r="J95" s="286"/>
      <c r="K95" s="286"/>
      <c r="L95" s="286"/>
      <c r="M95" s="286"/>
      <c r="N95" s="286"/>
      <c r="O95" s="286"/>
      <c r="P95" s="286"/>
      <c r="Q95" s="286"/>
      <c r="R95" s="286"/>
      <c r="S95" s="286"/>
    </row>
    <row r="96" spans="2:19">
      <c r="B96" s="286"/>
      <c r="C96" s="286"/>
      <c r="D96" s="286"/>
      <c r="E96" s="286"/>
      <c r="F96" s="286"/>
      <c r="G96" s="286"/>
      <c r="H96" s="286"/>
      <c r="I96" s="286"/>
      <c r="J96" s="286"/>
      <c r="K96" s="286"/>
      <c r="L96" s="286"/>
      <c r="M96" s="286"/>
      <c r="N96" s="286"/>
      <c r="O96" s="286"/>
      <c r="P96" s="286"/>
      <c r="Q96" s="286"/>
      <c r="R96" s="286"/>
      <c r="S96" s="286"/>
    </row>
    <row r="97" spans="2:19">
      <c r="B97" s="286"/>
      <c r="C97" s="286"/>
      <c r="D97" s="286"/>
      <c r="E97" s="286"/>
      <c r="F97" s="286"/>
      <c r="G97" s="286"/>
      <c r="H97" s="286"/>
      <c r="I97" s="286"/>
      <c r="J97" s="286"/>
      <c r="K97" s="286"/>
      <c r="L97" s="286"/>
      <c r="M97" s="286"/>
      <c r="N97" s="286"/>
      <c r="O97" s="286"/>
      <c r="P97" s="286"/>
      <c r="Q97" s="286"/>
      <c r="R97" s="286"/>
      <c r="S97" s="286"/>
    </row>
    <row r="98" spans="2:19">
      <c r="B98" s="286"/>
      <c r="C98" s="286"/>
      <c r="D98" s="286"/>
      <c r="E98" s="286"/>
      <c r="F98" s="286"/>
      <c r="G98" s="286"/>
      <c r="H98" s="286"/>
      <c r="I98" s="286"/>
      <c r="J98" s="286"/>
      <c r="K98" s="286"/>
      <c r="L98" s="286"/>
      <c r="M98" s="286"/>
      <c r="N98" s="286"/>
      <c r="O98" s="286"/>
      <c r="P98" s="286"/>
      <c r="Q98" s="286"/>
      <c r="R98" s="286"/>
      <c r="S98" s="286"/>
    </row>
    <row r="99" spans="2:19">
      <c r="B99" s="286"/>
      <c r="C99" s="286"/>
      <c r="D99" s="286"/>
      <c r="E99" s="286"/>
      <c r="F99" s="286"/>
      <c r="G99" s="286"/>
      <c r="H99" s="286"/>
      <c r="I99" s="286"/>
      <c r="J99" s="286"/>
      <c r="K99" s="286"/>
      <c r="L99" s="286"/>
      <c r="M99" s="286"/>
      <c r="N99" s="286"/>
      <c r="O99" s="286"/>
      <c r="P99" s="286"/>
      <c r="Q99" s="286"/>
      <c r="R99" s="286"/>
      <c r="S99" s="286"/>
    </row>
    <row r="100" spans="2:19">
      <c r="B100" s="286"/>
      <c r="C100" s="286"/>
      <c r="D100" s="286"/>
      <c r="E100" s="286"/>
      <c r="F100" s="286"/>
      <c r="G100" s="286"/>
      <c r="H100" s="286"/>
      <c r="I100" s="286"/>
      <c r="J100" s="286"/>
      <c r="K100" s="286"/>
      <c r="L100" s="286"/>
      <c r="M100" s="286"/>
      <c r="N100" s="286"/>
      <c r="O100" s="286"/>
      <c r="P100" s="286"/>
      <c r="Q100" s="286"/>
      <c r="R100" s="286"/>
      <c r="S100" s="286"/>
    </row>
    <row r="101" spans="2:19">
      <c r="B101" s="286"/>
      <c r="C101" s="286"/>
      <c r="D101" s="286"/>
      <c r="E101" s="286"/>
      <c r="F101" s="286"/>
      <c r="G101" s="286"/>
      <c r="H101" s="286"/>
      <c r="I101" s="286"/>
      <c r="J101" s="286"/>
      <c r="K101" s="286"/>
      <c r="L101" s="286"/>
      <c r="M101" s="286"/>
      <c r="N101" s="286"/>
      <c r="O101" s="286"/>
      <c r="P101" s="286"/>
      <c r="Q101" s="286"/>
      <c r="R101" s="286"/>
      <c r="S101" s="286"/>
    </row>
    <row r="102" spans="2:19">
      <c r="B102" s="286"/>
      <c r="C102" s="286"/>
      <c r="D102" s="286"/>
      <c r="E102" s="286"/>
      <c r="F102" s="286"/>
      <c r="G102" s="286"/>
      <c r="H102" s="286"/>
      <c r="I102" s="286"/>
      <c r="J102" s="286"/>
      <c r="K102" s="286"/>
      <c r="L102" s="286"/>
      <c r="M102" s="286"/>
      <c r="N102" s="286"/>
      <c r="O102" s="286"/>
      <c r="P102" s="286"/>
      <c r="Q102" s="286"/>
      <c r="R102" s="286"/>
      <c r="S102" s="286"/>
    </row>
    <row r="103" spans="2:19">
      <c r="B103" s="286"/>
      <c r="C103" s="286"/>
      <c r="D103" s="286"/>
      <c r="E103" s="286"/>
      <c r="F103" s="286"/>
      <c r="G103" s="286"/>
      <c r="H103" s="286"/>
      <c r="I103" s="286"/>
      <c r="J103" s="286"/>
      <c r="K103" s="286"/>
      <c r="L103" s="286"/>
      <c r="M103" s="286"/>
      <c r="N103" s="286"/>
      <c r="O103" s="286"/>
      <c r="P103" s="286"/>
      <c r="Q103" s="286"/>
      <c r="R103" s="286"/>
      <c r="S103" s="286"/>
    </row>
    <row r="104" spans="2:19">
      <c r="B104" s="286"/>
      <c r="C104" s="286"/>
      <c r="D104" s="286"/>
      <c r="E104" s="286"/>
      <c r="F104" s="286"/>
      <c r="G104" s="286"/>
      <c r="H104" s="286"/>
      <c r="I104" s="286"/>
      <c r="J104" s="286"/>
      <c r="K104" s="286"/>
      <c r="L104" s="286"/>
      <c r="M104" s="286"/>
      <c r="N104" s="286"/>
      <c r="O104" s="286"/>
      <c r="P104" s="286"/>
      <c r="Q104" s="286"/>
      <c r="R104" s="286"/>
      <c r="S104" s="286"/>
    </row>
    <row r="105" spans="2:19">
      <c r="B105" s="286"/>
      <c r="C105" s="286"/>
      <c r="D105" s="286"/>
      <c r="E105" s="286"/>
      <c r="F105" s="286"/>
      <c r="G105" s="286"/>
      <c r="H105" s="286"/>
      <c r="I105" s="286"/>
      <c r="J105" s="286"/>
      <c r="K105" s="286"/>
      <c r="L105" s="286"/>
      <c r="M105" s="286"/>
      <c r="N105" s="286"/>
      <c r="O105" s="286"/>
      <c r="P105" s="286"/>
      <c r="Q105" s="286"/>
      <c r="R105" s="286"/>
      <c r="S105" s="286"/>
    </row>
    <row r="106" spans="2:19">
      <c r="B106" s="286"/>
      <c r="C106" s="286"/>
      <c r="D106" s="286"/>
      <c r="E106" s="286"/>
      <c r="F106" s="286"/>
      <c r="G106" s="286"/>
      <c r="H106" s="286"/>
      <c r="I106" s="286"/>
      <c r="J106" s="286"/>
      <c r="K106" s="286"/>
      <c r="L106" s="286"/>
      <c r="M106" s="286"/>
      <c r="N106" s="286"/>
      <c r="O106" s="286"/>
      <c r="P106" s="286"/>
      <c r="Q106" s="286"/>
      <c r="R106" s="286"/>
      <c r="S106" s="286"/>
    </row>
    <row r="107" spans="2:19">
      <c r="B107" s="286"/>
      <c r="C107" s="286"/>
      <c r="D107" s="286"/>
      <c r="E107" s="286"/>
      <c r="F107" s="286"/>
      <c r="G107" s="286"/>
      <c r="H107" s="286"/>
      <c r="I107" s="286"/>
      <c r="J107" s="286"/>
      <c r="K107" s="286"/>
      <c r="L107" s="286"/>
      <c r="M107" s="286"/>
      <c r="N107" s="286"/>
      <c r="O107" s="286"/>
      <c r="P107" s="286"/>
      <c r="Q107" s="286"/>
      <c r="R107" s="286"/>
      <c r="S107" s="286"/>
    </row>
    <row r="108" spans="2:19">
      <c r="B108" s="286"/>
      <c r="C108" s="286"/>
      <c r="D108" s="286"/>
      <c r="E108" s="286"/>
      <c r="F108" s="286"/>
      <c r="G108" s="286"/>
      <c r="H108" s="286"/>
      <c r="I108" s="286"/>
      <c r="J108" s="286"/>
      <c r="K108" s="286"/>
      <c r="L108" s="286"/>
      <c r="M108" s="286"/>
      <c r="N108" s="286"/>
      <c r="O108" s="286"/>
      <c r="P108" s="286"/>
      <c r="Q108" s="286"/>
      <c r="R108" s="286"/>
      <c r="S108" s="286"/>
    </row>
    <row r="109" spans="2:19">
      <c r="B109" s="286"/>
      <c r="C109" s="286"/>
      <c r="D109" s="286"/>
      <c r="E109" s="286"/>
      <c r="F109" s="286"/>
      <c r="G109" s="286"/>
      <c r="H109" s="286"/>
      <c r="I109" s="286"/>
      <c r="J109" s="286"/>
      <c r="K109" s="286"/>
      <c r="L109" s="286"/>
      <c r="M109" s="286"/>
      <c r="N109" s="286"/>
      <c r="O109" s="286"/>
      <c r="P109" s="286"/>
      <c r="Q109" s="286"/>
      <c r="R109" s="286"/>
      <c r="S109" s="286"/>
    </row>
    <row r="110" spans="2:19">
      <c r="B110" s="286"/>
      <c r="C110" s="286"/>
      <c r="D110" s="286"/>
      <c r="E110" s="286"/>
      <c r="F110" s="286"/>
      <c r="G110" s="286"/>
      <c r="H110" s="286"/>
      <c r="I110" s="286"/>
      <c r="J110" s="286"/>
      <c r="K110" s="286"/>
      <c r="L110" s="286"/>
      <c r="M110" s="286"/>
      <c r="N110" s="286"/>
      <c r="O110" s="286"/>
      <c r="P110" s="286"/>
      <c r="Q110" s="286"/>
      <c r="R110" s="286"/>
      <c r="S110" s="286"/>
    </row>
    <row r="111" spans="2:19">
      <c r="B111" s="286"/>
      <c r="C111" s="286"/>
      <c r="D111" s="286"/>
      <c r="E111" s="286"/>
      <c r="F111" s="286"/>
      <c r="G111" s="286"/>
      <c r="H111" s="286"/>
      <c r="I111" s="286"/>
      <c r="J111" s="286"/>
      <c r="K111" s="286"/>
      <c r="L111" s="286"/>
      <c r="M111" s="286"/>
      <c r="N111" s="286"/>
      <c r="O111" s="286"/>
      <c r="P111" s="286"/>
      <c r="Q111" s="286"/>
      <c r="R111" s="286"/>
      <c r="S111" s="286"/>
    </row>
    <row r="112" spans="2:19">
      <c r="B112" s="286"/>
      <c r="C112" s="286"/>
      <c r="D112" s="286"/>
      <c r="E112" s="286"/>
      <c r="F112" s="286"/>
      <c r="G112" s="286"/>
      <c r="H112" s="286"/>
      <c r="I112" s="286"/>
      <c r="J112" s="286"/>
      <c r="K112" s="286"/>
      <c r="L112" s="286"/>
      <c r="M112" s="286"/>
      <c r="N112" s="286"/>
      <c r="O112" s="286"/>
      <c r="P112" s="286"/>
      <c r="Q112" s="286"/>
      <c r="R112" s="286"/>
      <c r="S112" s="286"/>
    </row>
    <row r="113" spans="2:19">
      <c r="B113" s="286"/>
      <c r="C113" s="286"/>
      <c r="D113" s="286"/>
      <c r="E113" s="286"/>
      <c r="F113" s="286"/>
      <c r="G113" s="286"/>
      <c r="H113" s="286"/>
      <c r="I113" s="286"/>
      <c r="J113" s="286"/>
      <c r="K113" s="286"/>
      <c r="L113" s="286"/>
      <c r="M113" s="286"/>
      <c r="N113" s="286"/>
      <c r="O113" s="286"/>
      <c r="P113" s="286"/>
      <c r="Q113" s="286"/>
      <c r="R113" s="286"/>
      <c r="S113" s="286"/>
    </row>
    <row r="114" spans="2:19">
      <c r="B114" s="286"/>
      <c r="C114" s="286"/>
      <c r="D114" s="286"/>
      <c r="E114" s="286"/>
      <c r="F114" s="286"/>
      <c r="G114" s="286"/>
      <c r="H114" s="286"/>
      <c r="I114" s="286"/>
      <c r="J114" s="286"/>
      <c r="K114" s="286"/>
      <c r="L114" s="286"/>
      <c r="M114" s="286"/>
      <c r="N114" s="286"/>
      <c r="O114" s="286"/>
      <c r="P114" s="286"/>
      <c r="Q114" s="286"/>
      <c r="R114" s="286"/>
      <c r="S114" s="286"/>
    </row>
    <row r="115" spans="2:19">
      <c r="B115" s="286"/>
      <c r="C115" s="286"/>
      <c r="D115" s="286"/>
      <c r="E115" s="286"/>
      <c r="F115" s="286"/>
      <c r="G115" s="286"/>
      <c r="H115" s="286"/>
      <c r="I115" s="286"/>
      <c r="J115" s="286"/>
      <c r="K115" s="286"/>
      <c r="L115" s="286"/>
      <c r="M115" s="286"/>
      <c r="N115" s="286"/>
      <c r="O115" s="286"/>
      <c r="P115" s="286"/>
      <c r="Q115" s="286"/>
      <c r="R115" s="286"/>
      <c r="S115" s="286"/>
    </row>
    <row r="116" spans="2:19">
      <c r="B116" s="286"/>
      <c r="C116" s="286"/>
      <c r="D116" s="286"/>
      <c r="E116" s="286"/>
      <c r="F116" s="286"/>
      <c r="G116" s="286"/>
      <c r="H116" s="286"/>
      <c r="I116" s="286"/>
      <c r="J116" s="286"/>
      <c r="K116" s="286"/>
      <c r="L116" s="286"/>
      <c r="M116" s="286"/>
      <c r="N116" s="286"/>
      <c r="O116" s="286"/>
      <c r="P116" s="286"/>
      <c r="Q116" s="286"/>
      <c r="R116" s="286"/>
      <c r="S116" s="286"/>
    </row>
    <row r="117" spans="2:19">
      <c r="B117" s="286"/>
      <c r="C117" s="286"/>
      <c r="D117" s="286"/>
      <c r="E117" s="286"/>
      <c r="F117" s="286"/>
      <c r="G117" s="286"/>
      <c r="H117" s="286"/>
      <c r="I117" s="286"/>
      <c r="J117" s="286"/>
      <c r="K117" s="286"/>
      <c r="L117" s="286"/>
      <c r="M117" s="286"/>
      <c r="N117" s="286"/>
      <c r="O117" s="286"/>
      <c r="P117" s="286"/>
      <c r="Q117" s="286"/>
      <c r="R117" s="286"/>
      <c r="S117" s="286"/>
    </row>
    <row r="118" spans="2:19">
      <c r="B118" s="286"/>
      <c r="C118" s="286"/>
      <c r="D118" s="286"/>
      <c r="E118" s="286"/>
      <c r="F118" s="286"/>
      <c r="G118" s="286"/>
      <c r="H118" s="286"/>
      <c r="I118" s="286"/>
      <c r="J118" s="286"/>
      <c r="K118" s="286"/>
      <c r="L118" s="286"/>
      <c r="M118" s="286"/>
      <c r="N118" s="286"/>
      <c r="O118" s="286"/>
      <c r="P118" s="286"/>
      <c r="Q118" s="286"/>
      <c r="R118" s="286"/>
      <c r="S118" s="286"/>
    </row>
    <row r="119" spans="2:19">
      <c r="B119" s="286"/>
      <c r="C119" s="286"/>
      <c r="D119" s="286"/>
      <c r="E119" s="286"/>
      <c r="F119" s="286"/>
      <c r="G119" s="286"/>
      <c r="H119" s="286"/>
      <c r="I119" s="286"/>
      <c r="J119" s="286"/>
      <c r="K119" s="286"/>
      <c r="L119" s="286"/>
      <c r="M119" s="286"/>
      <c r="N119" s="286"/>
      <c r="O119" s="286"/>
      <c r="P119" s="286"/>
      <c r="Q119" s="286"/>
      <c r="R119" s="286"/>
      <c r="S119" s="286"/>
    </row>
    <row r="120" spans="2:19">
      <c r="B120" s="286"/>
      <c r="C120" s="286"/>
      <c r="D120" s="286"/>
      <c r="E120" s="286"/>
      <c r="F120" s="286"/>
      <c r="G120" s="286"/>
      <c r="H120" s="286"/>
      <c r="I120" s="286"/>
      <c r="J120" s="286"/>
      <c r="K120" s="286"/>
      <c r="L120" s="286"/>
      <c r="M120" s="286"/>
      <c r="N120" s="286"/>
      <c r="O120" s="286"/>
      <c r="P120" s="286"/>
      <c r="Q120" s="286"/>
      <c r="R120" s="286"/>
      <c r="S120" s="286"/>
    </row>
    <row r="121" spans="2:19">
      <c r="B121" s="286"/>
      <c r="C121" s="286"/>
      <c r="D121" s="286"/>
      <c r="E121" s="286"/>
      <c r="F121" s="286"/>
      <c r="G121" s="286"/>
      <c r="H121" s="286"/>
      <c r="I121" s="286"/>
      <c r="J121" s="286"/>
      <c r="K121" s="286"/>
      <c r="L121" s="286"/>
      <c r="M121" s="286"/>
      <c r="N121" s="286"/>
      <c r="O121" s="286"/>
      <c r="P121" s="286"/>
      <c r="Q121" s="286"/>
      <c r="R121" s="286"/>
      <c r="S121" s="286"/>
    </row>
    <row r="122" spans="2:19">
      <c r="B122" s="286"/>
      <c r="C122" s="286"/>
      <c r="D122" s="286"/>
      <c r="E122" s="286"/>
      <c r="F122" s="286"/>
      <c r="G122" s="286"/>
      <c r="H122" s="286"/>
      <c r="I122" s="286"/>
      <c r="J122" s="286"/>
      <c r="K122" s="286"/>
      <c r="L122" s="286"/>
      <c r="M122" s="286"/>
      <c r="N122" s="286"/>
      <c r="O122" s="286"/>
      <c r="P122" s="286"/>
      <c r="Q122" s="286"/>
      <c r="R122" s="286"/>
      <c r="S122" s="286"/>
    </row>
    <row r="123" spans="2:19">
      <c r="B123" s="286"/>
      <c r="C123" s="286"/>
      <c r="D123" s="286"/>
      <c r="E123" s="286"/>
      <c r="F123" s="286"/>
      <c r="G123" s="286"/>
      <c r="H123" s="286"/>
      <c r="I123" s="286"/>
      <c r="J123" s="286"/>
      <c r="K123" s="286"/>
      <c r="L123" s="286"/>
      <c r="M123" s="286"/>
      <c r="N123" s="286"/>
      <c r="O123" s="286"/>
      <c r="P123" s="286"/>
      <c r="Q123" s="286"/>
      <c r="R123" s="286"/>
      <c r="S123" s="286"/>
    </row>
    <row r="124" spans="2:19">
      <c r="B124" s="286"/>
      <c r="C124" s="286"/>
      <c r="D124" s="286"/>
      <c r="E124" s="286"/>
      <c r="F124" s="286"/>
      <c r="G124" s="286"/>
      <c r="H124" s="286"/>
      <c r="I124" s="286"/>
      <c r="J124" s="286"/>
      <c r="K124" s="286"/>
      <c r="L124" s="286"/>
      <c r="M124" s="286"/>
      <c r="N124" s="286"/>
      <c r="O124" s="286"/>
      <c r="P124" s="286"/>
      <c r="Q124" s="286"/>
      <c r="R124" s="286"/>
      <c r="S124" s="286"/>
    </row>
    <row r="125" spans="2:19">
      <c r="B125" s="286"/>
      <c r="C125" s="286"/>
      <c r="D125" s="286"/>
      <c r="E125" s="286"/>
      <c r="F125" s="286"/>
      <c r="G125" s="286"/>
      <c r="H125" s="286"/>
      <c r="I125" s="286"/>
      <c r="J125" s="286"/>
      <c r="K125" s="286"/>
      <c r="L125" s="286"/>
      <c r="M125" s="286"/>
      <c r="N125" s="286"/>
      <c r="O125" s="286"/>
      <c r="P125" s="286"/>
      <c r="Q125" s="286"/>
      <c r="R125" s="286"/>
      <c r="S125" s="286"/>
    </row>
    <row r="126" spans="2:19">
      <c r="B126" s="286"/>
      <c r="C126" s="286"/>
      <c r="D126" s="286"/>
      <c r="E126" s="286"/>
      <c r="F126" s="286"/>
      <c r="G126" s="286"/>
      <c r="H126" s="286"/>
      <c r="I126" s="286"/>
      <c r="J126" s="286"/>
      <c r="K126" s="286"/>
      <c r="L126" s="286"/>
      <c r="M126" s="286"/>
      <c r="N126" s="286"/>
      <c r="O126" s="286"/>
      <c r="P126" s="286"/>
      <c r="Q126" s="286"/>
      <c r="R126" s="286"/>
      <c r="S126" s="286"/>
    </row>
    <row r="127" spans="2:19">
      <c r="B127" s="286"/>
      <c r="C127" s="286"/>
      <c r="D127" s="286"/>
      <c r="E127" s="286"/>
      <c r="F127" s="286"/>
      <c r="G127" s="286"/>
      <c r="H127" s="286"/>
      <c r="I127" s="286"/>
      <c r="J127" s="286"/>
      <c r="K127" s="286"/>
      <c r="L127" s="286"/>
      <c r="M127" s="286"/>
      <c r="N127" s="286"/>
      <c r="O127" s="286"/>
      <c r="P127" s="286"/>
      <c r="Q127" s="286"/>
      <c r="R127" s="286"/>
      <c r="S127" s="286"/>
    </row>
    <row r="128" spans="2:19">
      <c r="B128" s="286"/>
      <c r="C128" s="286"/>
      <c r="D128" s="286"/>
      <c r="E128" s="286"/>
      <c r="F128" s="286"/>
      <c r="G128" s="286"/>
      <c r="H128" s="286"/>
      <c r="I128" s="286"/>
      <c r="J128" s="286"/>
      <c r="K128" s="286"/>
      <c r="L128" s="286"/>
      <c r="M128" s="286"/>
      <c r="N128" s="286"/>
      <c r="O128" s="286"/>
      <c r="P128" s="286"/>
      <c r="Q128" s="286"/>
      <c r="R128" s="286"/>
      <c r="S128" s="286"/>
    </row>
    <row r="129" spans="2:19">
      <c r="B129" s="286"/>
      <c r="C129" s="286"/>
      <c r="D129" s="286"/>
      <c r="E129" s="286"/>
      <c r="F129" s="286"/>
      <c r="G129" s="286"/>
      <c r="H129" s="286"/>
      <c r="I129" s="286"/>
      <c r="J129" s="286"/>
      <c r="K129" s="286"/>
      <c r="L129" s="286"/>
      <c r="M129" s="286"/>
      <c r="N129" s="286"/>
      <c r="O129" s="286"/>
      <c r="P129" s="286"/>
      <c r="Q129" s="286"/>
      <c r="R129" s="286"/>
      <c r="S129" s="286"/>
    </row>
    <row r="130" spans="2:19">
      <c r="B130" s="286"/>
      <c r="C130" s="286"/>
      <c r="D130" s="286"/>
      <c r="E130" s="286"/>
      <c r="F130" s="286"/>
      <c r="G130" s="286"/>
      <c r="H130" s="286"/>
      <c r="I130" s="286"/>
      <c r="J130" s="286"/>
      <c r="K130" s="286"/>
      <c r="L130" s="286"/>
      <c r="M130" s="286"/>
      <c r="N130" s="286"/>
      <c r="O130" s="286"/>
      <c r="P130" s="286"/>
      <c r="Q130" s="286"/>
      <c r="R130" s="286"/>
      <c r="S130" s="286"/>
    </row>
    <row r="131" spans="2:19">
      <c r="B131" s="286"/>
      <c r="C131" s="286"/>
      <c r="D131" s="286"/>
      <c r="E131" s="286"/>
      <c r="F131" s="286"/>
      <c r="G131" s="286"/>
      <c r="H131" s="286"/>
      <c r="I131" s="286"/>
      <c r="J131" s="286"/>
      <c r="K131" s="286"/>
      <c r="L131" s="286"/>
      <c r="M131" s="286"/>
      <c r="N131" s="286"/>
      <c r="O131" s="286"/>
      <c r="P131" s="286"/>
      <c r="Q131" s="286"/>
      <c r="R131" s="286"/>
      <c r="S131" s="286"/>
    </row>
    <row r="132" spans="2:19">
      <c r="B132" s="286"/>
      <c r="C132" s="286"/>
      <c r="D132" s="286"/>
      <c r="E132" s="286"/>
      <c r="F132" s="286"/>
      <c r="G132" s="286"/>
      <c r="H132" s="286"/>
      <c r="I132" s="286"/>
      <c r="J132" s="286"/>
      <c r="K132" s="286"/>
      <c r="L132" s="286"/>
      <c r="M132" s="286"/>
      <c r="N132" s="286"/>
      <c r="O132" s="286"/>
      <c r="P132" s="286"/>
      <c r="Q132" s="286"/>
      <c r="R132" s="286"/>
      <c r="S132" s="286"/>
    </row>
    <row r="133" spans="2:19">
      <c r="B133" s="286"/>
      <c r="C133" s="286"/>
      <c r="D133" s="286"/>
      <c r="E133" s="286"/>
      <c r="F133" s="286"/>
      <c r="G133" s="286"/>
      <c r="H133" s="286"/>
      <c r="I133" s="286"/>
      <c r="J133" s="286"/>
      <c r="K133" s="286"/>
      <c r="L133" s="286"/>
      <c r="M133" s="286"/>
      <c r="N133" s="286"/>
      <c r="O133" s="286"/>
      <c r="P133" s="286"/>
      <c r="Q133" s="286"/>
      <c r="R133" s="286"/>
      <c r="S133" s="286"/>
    </row>
    <row r="134" spans="2:19">
      <c r="B134" s="286"/>
      <c r="C134" s="286"/>
      <c r="D134" s="286"/>
      <c r="E134" s="286"/>
      <c r="F134" s="286"/>
      <c r="G134" s="286"/>
      <c r="H134" s="286"/>
      <c r="I134" s="286"/>
      <c r="J134" s="286"/>
      <c r="K134" s="286"/>
      <c r="L134" s="286"/>
      <c r="M134" s="286"/>
      <c r="N134" s="286"/>
      <c r="O134" s="286"/>
      <c r="P134" s="286"/>
      <c r="Q134" s="286"/>
      <c r="R134" s="286"/>
      <c r="S134" s="286"/>
    </row>
    <row r="135" spans="2:19">
      <c r="B135" s="286"/>
      <c r="C135" s="286"/>
      <c r="D135" s="286"/>
      <c r="E135" s="286"/>
      <c r="F135" s="286"/>
      <c r="G135" s="286"/>
      <c r="H135" s="286"/>
      <c r="I135" s="286"/>
      <c r="J135" s="286"/>
      <c r="K135" s="286"/>
      <c r="L135" s="286"/>
      <c r="M135" s="286"/>
      <c r="N135" s="286"/>
      <c r="O135" s="286"/>
      <c r="P135" s="286"/>
      <c r="Q135" s="286"/>
      <c r="R135" s="286"/>
      <c r="S135" s="286"/>
    </row>
    <row r="136" spans="2:19">
      <c r="B136" s="286"/>
      <c r="C136" s="286"/>
      <c r="D136" s="286"/>
      <c r="E136" s="286"/>
      <c r="F136" s="286"/>
      <c r="G136" s="286"/>
      <c r="H136" s="286"/>
      <c r="I136" s="286"/>
      <c r="J136" s="286"/>
      <c r="K136" s="286"/>
      <c r="L136" s="286"/>
      <c r="M136" s="286"/>
      <c r="N136" s="286"/>
      <c r="O136" s="286"/>
      <c r="P136" s="286"/>
      <c r="Q136" s="286"/>
      <c r="R136" s="286"/>
      <c r="S136" s="286"/>
    </row>
    <row r="137" spans="2:19">
      <c r="B137" s="286"/>
      <c r="C137" s="286"/>
      <c r="D137" s="286"/>
      <c r="E137" s="286"/>
      <c r="F137" s="286"/>
      <c r="G137" s="286"/>
      <c r="H137" s="286"/>
      <c r="I137" s="286"/>
      <c r="J137" s="286"/>
      <c r="K137" s="286"/>
      <c r="L137" s="286"/>
      <c r="M137" s="286"/>
      <c r="N137" s="286"/>
      <c r="O137" s="286"/>
      <c r="P137" s="286"/>
      <c r="Q137" s="286"/>
      <c r="R137" s="286"/>
      <c r="S137" s="286"/>
    </row>
    <row r="138" spans="2:19">
      <c r="B138" s="286"/>
      <c r="C138" s="286"/>
      <c r="D138" s="286"/>
      <c r="E138" s="286"/>
      <c r="F138" s="286"/>
      <c r="G138" s="286"/>
      <c r="H138" s="286"/>
      <c r="I138" s="286"/>
      <c r="J138" s="286"/>
      <c r="K138" s="286"/>
      <c r="L138" s="286"/>
      <c r="M138" s="286"/>
      <c r="N138" s="286"/>
      <c r="O138" s="286"/>
      <c r="P138" s="286"/>
      <c r="Q138" s="286"/>
      <c r="R138" s="286"/>
      <c r="S138" s="286"/>
    </row>
    <row r="139" spans="2:19">
      <c r="B139" s="286"/>
      <c r="C139" s="286"/>
      <c r="D139" s="286"/>
      <c r="E139" s="286"/>
      <c r="F139" s="286"/>
      <c r="G139" s="286"/>
      <c r="H139" s="286"/>
      <c r="I139" s="286"/>
      <c r="J139" s="286"/>
      <c r="K139" s="286"/>
      <c r="L139" s="286"/>
      <c r="M139" s="286"/>
      <c r="N139" s="286"/>
      <c r="O139" s="286"/>
      <c r="P139" s="286"/>
      <c r="Q139" s="286"/>
      <c r="R139" s="286"/>
      <c r="S139" s="286"/>
    </row>
    <row r="140" spans="2:19">
      <c r="B140" s="286"/>
      <c r="C140" s="286"/>
      <c r="D140" s="286"/>
      <c r="E140" s="286"/>
      <c r="F140" s="286"/>
      <c r="G140" s="286"/>
      <c r="H140" s="286"/>
      <c r="I140" s="286"/>
      <c r="J140" s="286"/>
      <c r="K140" s="286"/>
      <c r="L140" s="286"/>
      <c r="M140" s="286"/>
      <c r="N140" s="286"/>
      <c r="O140" s="286"/>
      <c r="P140" s="286"/>
      <c r="Q140" s="286"/>
      <c r="R140" s="286"/>
      <c r="S140" s="286"/>
    </row>
    <row r="141" spans="2:19">
      <c r="B141" s="286"/>
      <c r="C141" s="286"/>
      <c r="D141" s="286"/>
      <c r="E141" s="286"/>
      <c r="F141" s="286"/>
      <c r="G141" s="286"/>
      <c r="H141" s="286"/>
      <c r="I141" s="286"/>
      <c r="J141" s="286"/>
      <c r="K141" s="286"/>
      <c r="L141" s="286"/>
      <c r="M141" s="286"/>
      <c r="N141" s="286"/>
      <c r="O141" s="286"/>
      <c r="P141" s="286"/>
      <c r="Q141" s="286"/>
      <c r="R141" s="286"/>
      <c r="S141" s="286"/>
    </row>
    <row r="142" spans="2:19">
      <c r="B142" s="286"/>
      <c r="C142" s="286"/>
      <c r="D142" s="286"/>
      <c r="E142" s="286"/>
      <c r="F142" s="286"/>
      <c r="G142" s="286"/>
      <c r="H142" s="286"/>
      <c r="I142" s="286"/>
      <c r="J142" s="286"/>
      <c r="K142" s="286"/>
      <c r="L142" s="286"/>
      <c r="M142" s="286"/>
      <c r="N142" s="286"/>
      <c r="O142" s="286"/>
      <c r="P142" s="286"/>
      <c r="Q142" s="286"/>
      <c r="R142" s="286"/>
      <c r="S142" s="286"/>
    </row>
    <row r="143" spans="2:19">
      <c r="B143" s="286"/>
      <c r="C143" s="286"/>
      <c r="D143" s="286"/>
      <c r="E143" s="286"/>
      <c r="F143" s="286"/>
      <c r="G143" s="286"/>
      <c r="H143" s="286"/>
      <c r="I143" s="286"/>
      <c r="J143" s="286"/>
      <c r="K143" s="286"/>
      <c r="L143" s="286"/>
      <c r="M143" s="286"/>
      <c r="N143" s="286"/>
      <c r="O143" s="286"/>
      <c r="P143" s="286"/>
      <c r="Q143" s="286"/>
      <c r="R143" s="286"/>
      <c r="S143" s="286"/>
    </row>
    <row r="144" spans="2:19">
      <c r="B144" s="286"/>
      <c r="C144" s="286"/>
      <c r="D144" s="286"/>
      <c r="E144" s="286"/>
      <c r="F144" s="286"/>
      <c r="G144" s="286"/>
      <c r="H144" s="286"/>
      <c r="I144" s="286"/>
      <c r="J144" s="286"/>
      <c r="K144" s="286"/>
      <c r="L144" s="286"/>
      <c r="M144" s="286"/>
      <c r="N144" s="286"/>
      <c r="O144" s="286"/>
      <c r="P144" s="286"/>
      <c r="Q144" s="286"/>
      <c r="R144" s="286"/>
      <c r="S144" s="286"/>
    </row>
    <row r="145" spans="2:19">
      <c r="B145" s="286"/>
      <c r="C145" s="286"/>
      <c r="D145" s="286"/>
      <c r="E145" s="286"/>
      <c r="F145" s="286"/>
      <c r="G145" s="286"/>
      <c r="H145" s="286"/>
      <c r="I145" s="286"/>
      <c r="J145" s="286"/>
      <c r="K145" s="286"/>
      <c r="L145" s="286"/>
      <c r="M145" s="286"/>
      <c r="N145" s="286"/>
      <c r="O145" s="286"/>
      <c r="P145" s="286"/>
      <c r="Q145" s="286"/>
      <c r="R145" s="286"/>
      <c r="S145" s="286"/>
    </row>
    <row r="146" spans="2:19">
      <c r="B146" s="286"/>
      <c r="C146" s="286"/>
      <c r="D146" s="286"/>
      <c r="E146" s="286"/>
      <c r="F146" s="286"/>
      <c r="G146" s="286"/>
      <c r="H146" s="286"/>
      <c r="I146" s="286"/>
      <c r="J146" s="286"/>
      <c r="K146" s="286"/>
      <c r="L146" s="286"/>
      <c r="M146" s="286"/>
      <c r="N146" s="286"/>
      <c r="O146" s="286"/>
      <c r="P146" s="286"/>
      <c r="Q146" s="286"/>
      <c r="R146" s="286"/>
      <c r="S146" s="286"/>
    </row>
    <row r="147" spans="2:19">
      <c r="B147" s="286"/>
      <c r="C147" s="286"/>
      <c r="D147" s="286"/>
      <c r="E147" s="286"/>
      <c r="F147" s="286"/>
      <c r="G147" s="286"/>
      <c r="H147" s="286"/>
      <c r="I147" s="286"/>
      <c r="J147" s="286"/>
      <c r="K147" s="286"/>
      <c r="L147" s="286"/>
      <c r="M147" s="286"/>
      <c r="N147" s="286"/>
      <c r="O147" s="286"/>
      <c r="P147" s="286"/>
      <c r="Q147" s="286"/>
      <c r="R147" s="286"/>
      <c r="S147" s="286"/>
    </row>
    <row r="148" spans="2:19">
      <c r="B148" s="286"/>
      <c r="C148" s="286"/>
      <c r="D148" s="286"/>
      <c r="E148" s="286"/>
      <c r="F148" s="286"/>
      <c r="G148" s="286"/>
      <c r="H148" s="286"/>
      <c r="I148" s="286"/>
      <c r="J148" s="286"/>
      <c r="K148" s="286"/>
      <c r="L148" s="286"/>
      <c r="M148" s="286"/>
      <c r="N148" s="286"/>
      <c r="O148" s="286"/>
      <c r="P148" s="286"/>
      <c r="Q148" s="286"/>
      <c r="R148" s="286"/>
      <c r="S148" s="286"/>
    </row>
    <row r="149" spans="2:19">
      <c r="B149" s="286"/>
      <c r="C149" s="286"/>
      <c r="D149" s="286"/>
      <c r="E149" s="286"/>
      <c r="F149" s="286"/>
      <c r="G149" s="286"/>
      <c r="H149" s="286"/>
      <c r="I149" s="286"/>
      <c r="J149" s="286"/>
      <c r="K149" s="286"/>
      <c r="L149" s="286"/>
      <c r="M149" s="286"/>
      <c r="N149" s="286"/>
      <c r="O149" s="286"/>
      <c r="P149" s="286"/>
      <c r="Q149" s="286"/>
      <c r="R149" s="286"/>
      <c r="S149" s="286"/>
    </row>
    <row r="150" spans="2:19">
      <c r="B150" s="286"/>
      <c r="C150" s="286"/>
      <c r="D150" s="286"/>
      <c r="E150" s="286"/>
      <c r="F150" s="286"/>
      <c r="G150" s="286"/>
      <c r="H150" s="286"/>
      <c r="I150" s="286"/>
      <c r="J150" s="286"/>
      <c r="K150" s="286"/>
      <c r="L150" s="286"/>
      <c r="M150" s="286"/>
      <c r="N150" s="286"/>
      <c r="O150" s="286"/>
      <c r="P150" s="286"/>
      <c r="Q150" s="286"/>
      <c r="R150" s="286"/>
      <c r="S150" s="286"/>
    </row>
    <row r="151" spans="2:19">
      <c r="B151" s="286"/>
      <c r="C151" s="286"/>
      <c r="D151" s="286"/>
      <c r="E151" s="286"/>
      <c r="F151" s="286"/>
      <c r="G151" s="286"/>
      <c r="H151" s="286"/>
      <c r="I151" s="286"/>
      <c r="J151" s="286"/>
      <c r="K151" s="286"/>
      <c r="L151" s="286"/>
      <c r="M151" s="286"/>
      <c r="N151" s="286"/>
      <c r="O151" s="286"/>
      <c r="P151" s="286"/>
      <c r="Q151" s="286"/>
      <c r="R151" s="286"/>
      <c r="S151" s="286"/>
    </row>
    <row r="152" spans="2:19">
      <c r="B152" s="286"/>
      <c r="C152" s="286"/>
      <c r="D152" s="286"/>
      <c r="E152" s="286"/>
      <c r="F152" s="286"/>
      <c r="G152" s="286"/>
      <c r="H152" s="286"/>
      <c r="I152" s="286"/>
      <c r="J152" s="286"/>
      <c r="K152" s="286"/>
      <c r="L152" s="286"/>
      <c r="M152" s="286"/>
      <c r="N152" s="286"/>
      <c r="O152" s="286"/>
      <c r="P152" s="286"/>
      <c r="Q152" s="286"/>
      <c r="R152" s="286"/>
      <c r="S152" s="286"/>
    </row>
    <row r="153" spans="2:19">
      <c r="B153" s="286"/>
      <c r="C153" s="286"/>
      <c r="D153" s="286"/>
      <c r="E153" s="286"/>
      <c r="F153" s="286"/>
      <c r="G153" s="286"/>
      <c r="H153" s="286"/>
      <c r="I153" s="286"/>
      <c r="J153" s="286"/>
      <c r="K153" s="286"/>
      <c r="L153" s="286"/>
      <c r="M153" s="286"/>
      <c r="N153" s="286"/>
      <c r="O153" s="286"/>
      <c r="P153" s="286"/>
      <c r="Q153" s="286"/>
      <c r="R153" s="286"/>
      <c r="S153" s="286"/>
    </row>
    <row r="154" spans="2:19">
      <c r="B154" s="286"/>
      <c r="C154" s="286"/>
      <c r="D154" s="286"/>
      <c r="E154" s="286"/>
      <c r="F154" s="286"/>
      <c r="G154" s="286"/>
      <c r="H154" s="286"/>
      <c r="I154" s="286"/>
      <c r="J154" s="286"/>
      <c r="K154" s="286"/>
      <c r="L154" s="286"/>
      <c r="M154" s="286"/>
      <c r="N154" s="286"/>
      <c r="O154" s="286"/>
      <c r="P154" s="286"/>
      <c r="Q154" s="286"/>
      <c r="R154" s="286"/>
      <c r="S154" s="286"/>
    </row>
    <row r="155" spans="2:19">
      <c r="B155" s="286"/>
      <c r="C155" s="286"/>
      <c r="D155" s="286"/>
      <c r="E155" s="286"/>
      <c r="F155" s="286"/>
      <c r="G155" s="286"/>
      <c r="H155" s="286"/>
      <c r="I155" s="286"/>
      <c r="J155" s="286"/>
      <c r="K155" s="286"/>
      <c r="L155" s="286"/>
      <c r="M155" s="286"/>
      <c r="N155" s="286"/>
      <c r="O155" s="286"/>
      <c r="P155" s="286"/>
      <c r="Q155" s="286"/>
      <c r="R155" s="286"/>
      <c r="S155" s="286"/>
    </row>
    <row r="156" spans="2:19">
      <c r="B156" s="286"/>
      <c r="C156" s="286"/>
      <c r="D156" s="286"/>
      <c r="E156" s="286"/>
      <c r="F156" s="286"/>
      <c r="G156" s="286"/>
      <c r="H156" s="286"/>
      <c r="I156" s="286"/>
      <c r="J156" s="286"/>
      <c r="K156" s="286"/>
      <c r="L156" s="286"/>
      <c r="M156" s="286"/>
      <c r="N156" s="286"/>
      <c r="O156" s="286"/>
      <c r="P156" s="286"/>
      <c r="Q156" s="286"/>
      <c r="R156" s="286"/>
      <c r="S156" s="286"/>
    </row>
    <row r="157" spans="2:19">
      <c r="B157" s="286"/>
      <c r="C157" s="286"/>
      <c r="D157" s="286"/>
      <c r="E157" s="286"/>
      <c r="F157" s="286"/>
      <c r="G157" s="286"/>
      <c r="H157" s="286"/>
      <c r="I157" s="286"/>
      <c r="J157" s="286"/>
      <c r="K157" s="286"/>
      <c r="L157" s="286"/>
      <c r="M157" s="286"/>
      <c r="N157" s="286"/>
      <c r="O157" s="286"/>
      <c r="P157" s="286"/>
      <c r="Q157" s="286"/>
      <c r="R157" s="286"/>
      <c r="S157" s="286"/>
    </row>
    <row r="158" spans="2:19">
      <c r="B158" s="286"/>
      <c r="C158" s="286"/>
      <c r="D158" s="286"/>
      <c r="E158" s="286"/>
      <c r="F158" s="286"/>
      <c r="G158" s="286"/>
      <c r="H158" s="286"/>
      <c r="I158" s="286"/>
      <c r="J158" s="286"/>
      <c r="K158" s="286"/>
      <c r="L158" s="286"/>
      <c r="M158" s="286"/>
      <c r="N158" s="286"/>
      <c r="O158" s="286"/>
      <c r="P158" s="286"/>
      <c r="Q158" s="286"/>
      <c r="R158" s="286"/>
      <c r="S158" s="286"/>
    </row>
    <row r="159" spans="2:19">
      <c r="B159" s="286"/>
      <c r="C159" s="286"/>
      <c r="D159" s="286"/>
      <c r="E159" s="286"/>
      <c r="F159" s="286"/>
      <c r="G159" s="286"/>
      <c r="H159" s="286"/>
      <c r="I159" s="286"/>
      <c r="J159" s="286"/>
      <c r="K159" s="286"/>
      <c r="L159" s="286"/>
      <c r="M159" s="286"/>
      <c r="N159" s="286"/>
      <c r="O159" s="286"/>
      <c r="P159" s="286"/>
      <c r="Q159" s="286"/>
      <c r="R159" s="286"/>
      <c r="S159" s="286"/>
    </row>
    <row r="160" spans="2:19">
      <c r="B160" s="286"/>
      <c r="C160" s="286"/>
      <c r="D160" s="286"/>
      <c r="E160" s="286"/>
      <c r="F160" s="286"/>
      <c r="G160" s="286"/>
      <c r="H160" s="286"/>
      <c r="I160" s="286"/>
      <c r="J160" s="286"/>
      <c r="K160" s="286"/>
      <c r="L160" s="286"/>
      <c r="M160" s="286"/>
      <c r="N160" s="286"/>
      <c r="O160" s="286"/>
      <c r="P160" s="286"/>
      <c r="Q160" s="286"/>
      <c r="R160" s="286"/>
      <c r="S160" s="286"/>
    </row>
    <row r="161" spans="2:19">
      <c r="B161" s="286"/>
      <c r="C161" s="286"/>
      <c r="D161" s="286"/>
      <c r="E161" s="286"/>
      <c r="F161" s="286"/>
      <c r="G161" s="286"/>
      <c r="H161" s="286"/>
      <c r="I161" s="286"/>
      <c r="J161" s="286"/>
      <c r="K161" s="286"/>
      <c r="L161" s="286"/>
      <c r="M161" s="286"/>
      <c r="N161" s="286"/>
      <c r="O161" s="286"/>
      <c r="P161" s="286"/>
      <c r="Q161" s="286"/>
      <c r="R161" s="286"/>
      <c r="S161" s="286"/>
    </row>
    <row r="162" spans="2:19">
      <c r="B162" s="286"/>
      <c r="C162" s="286"/>
      <c r="D162" s="286"/>
      <c r="E162" s="286"/>
      <c r="F162" s="286"/>
      <c r="G162" s="286"/>
      <c r="H162" s="286"/>
      <c r="I162" s="286"/>
      <c r="J162" s="286"/>
      <c r="K162" s="286"/>
      <c r="L162" s="286"/>
      <c r="M162" s="286"/>
      <c r="N162" s="286"/>
      <c r="O162" s="286"/>
      <c r="P162" s="286"/>
      <c r="Q162" s="286"/>
      <c r="R162" s="286"/>
      <c r="S162" s="286"/>
    </row>
    <row r="163" spans="2:19">
      <c r="B163" s="286"/>
      <c r="C163" s="286"/>
      <c r="D163" s="286"/>
      <c r="E163" s="286"/>
      <c r="F163" s="286"/>
      <c r="G163" s="286"/>
      <c r="H163" s="286"/>
      <c r="I163" s="286"/>
      <c r="J163" s="286"/>
      <c r="K163" s="286"/>
      <c r="L163" s="286"/>
      <c r="M163" s="286"/>
      <c r="N163" s="286"/>
      <c r="O163" s="286"/>
      <c r="P163" s="286"/>
      <c r="Q163" s="286"/>
      <c r="R163" s="286"/>
      <c r="S163" s="286"/>
    </row>
    <row r="164" spans="2:19">
      <c r="B164" s="286"/>
      <c r="C164" s="286"/>
      <c r="D164" s="286"/>
      <c r="E164" s="286"/>
      <c r="F164" s="286"/>
      <c r="G164" s="286"/>
      <c r="H164" s="286"/>
      <c r="I164" s="286"/>
      <c r="J164" s="286"/>
      <c r="K164" s="286"/>
      <c r="L164" s="286"/>
      <c r="M164" s="286"/>
      <c r="N164" s="286"/>
      <c r="O164" s="286"/>
      <c r="P164" s="286"/>
      <c r="Q164" s="286"/>
      <c r="R164" s="286"/>
      <c r="S164" s="286"/>
    </row>
    <row r="165" spans="2:19">
      <c r="B165" s="286"/>
      <c r="C165" s="286"/>
      <c r="D165" s="286"/>
      <c r="E165" s="286"/>
      <c r="F165" s="286"/>
      <c r="G165" s="286"/>
      <c r="H165" s="286"/>
      <c r="I165" s="286"/>
      <c r="J165" s="286"/>
      <c r="K165" s="286"/>
      <c r="L165" s="286"/>
      <c r="M165" s="286"/>
      <c r="N165" s="286"/>
      <c r="O165" s="286"/>
      <c r="P165" s="286"/>
      <c r="Q165" s="286"/>
      <c r="R165" s="286"/>
      <c r="S165" s="286"/>
    </row>
    <row r="166" spans="2:19">
      <c r="B166" s="286"/>
      <c r="C166" s="286"/>
      <c r="D166" s="286"/>
      <c r="E166" s="286"/>
      <c r="F166" s="286"/>
      <c r="G166" s="286"/>
      <c r="H166" s="286"/>
      <c r="I166" s="286"/>
      <c r="J166" s="286"/>
      <c r="K166" s="286"/>
      <c r="L166" s="286"/>
      <c r="M166" s="286"/>
      <c r="N166" s="286"/>
      <c r="O166" s="286"/>
      <c r="P166" s="286"/>
      <c r="Q166" s="286"/>
      <c r="R166" s="286"/>
      <c r="S166" s="286"/>
    </row>
    <row r="167" spans="2:19">
      <c r="B167" s="286"/>
      <c r="C167" s="286"/>
      <c r="D167" s="286"/>
      <c r="E167" s="286"/>
      <c r="F167" s="286"/>
      <c r="G167" s="286"/>
      <c r="H167" s="286"/>
      <c r="I167" s="286"/>
      <c r="J167" s="286"/>
      <c r="K167" s="286"/>
      <c r="L167" s="286"/>
      <c r="M167" s="286"/>
      <c r="N167" s="286"/>
      <c r="O167" s="286"/>
      <c r="P167" s="286"/>
      <c r="Q167" s="286"/>
      <c r="R167" s="286"/>
      <c r="S167" s="286"/>
    </row>
    <row r="168" spans="2:19">
      <c r="B168" s="286"/>
      <c r="C168" s="286"/>
      <c r="D168" s="286"/>
      <c r="E168" s="286"/>
      <c r="F168" s="286"/>
      <c r="G168" s="286"/>
      <c r="H168" s="286"/>
      <c r="I168" s="286"/>
      <c r="J168" s="286"/>
      <c r="K168" s="286"/>
      <c r="L168" s="286"/>
      <c r="M168" s="286"/>
      <c r="N168" s="286"/>
      <c r="O168" s="286"/>
      <c r="P168" s="286"/>
      <c r="Q168" s="286"/>
      <c r="R168" s="286"/>
      <c r="S168" s="286"/>
    </row>
    <row r="169" spans="2:19">
      <c r="B169" s="286"/>
      <c r="C169" s="286"/>
      <c r="D169" s="286"/>
      <c r="E169" s="286"/>
      <c r="F169" s="286"/>
      <c r="G169" s="286"/>
      <c r="H169" s="286"/>
      <c r="I169" s="286"/>
      <c r="J169" s="286"/>
      <c r="K169" s="286"/>
      <c r="L169" s="286"/>
      <c r="M169" s="286"/>
      <c r="N169" s="286"/>
      <c r="O169" s="286"/>
      <c r="P169" s="286"/>
      <c r="Q169" s="286"/>
      <c r="R169" s="286"/>
      <c r="S169" s="286"/>
    </row>
    <row r="170" spans="2:19">
      <c r="B170" s="286"/>
      <c r="C170" s="286"/>
      <c r="D170" s="286"/>
      <c r="E170" s="286"/>
      <c r="F170" s="286"/>
      <c r="G170" s="286"/>
      <c r="H170" s="286"/>
      <c r="I170" s="286"/>
      <c r="J170" s="286"/>
      <c r="K170" s="286"/>
      <c r="L170" s="286"/>
      <c r="M170" s="286"/>
      <c r="N170" s="286"/>
      <c r="O170" s="286"/>
      <c r="P170" s="286"/>
      <c r="Q170" s="286"/>
      <c r="R170" s="286"/>
      <c r="S170" s="286"/>
    </row>
    <row r="171" spans="2:19">
      <c r="B171" s="286"/>
      <c r="C171" s="286"/>
      <c r="D171" s="286"/>
      <c r="E171" s="286"/>
      <c r="F171" s="286"/>
      <c r="G171" s="286"/>
      <c r="H171" s="286"/>
      <c r="I171" s="286"/>
      <c r="J171" s="286"/>
      <c r="K171" s="286"/>
      <c r="L171" s="286"/>
      <c r="M171" s="286"/>
      <c r="N171" s="286"/>
      <c r="O171" s="286"/>
      <c r="P171" s="286"/>
      <c r="Q171" s="286"/>
      <c r="R171" s="286"/>
      <c r="S171" s="286"/>
    </row>
    <row r="172" spans="2:19">
      <c r="B172" s="286"/>
      <c r="C172" s="286"/>
      <c r="D172" s="286"/>
      <c r="E172" s="286"/>
      <c r="F172" s="286"/>
      <c r="G172" s="286"/>
      <c r="H172" s="286"/>
      <c r="I172" s="286"/>
      <c r="J172" s="286"/>
      <c r="K172" s="286"/>
      <c r="L172" s="286"/>
      <c r="M172" s="286"/>
      <c r="N172" s="286"/>
      <c r="O172" s="286"/>
      <c r="P172" s="286"/>
      <c r="Q172" s="286"/>
      <c r="R172" s="286"/>
      <c r="S172" s="286"/>
    </row>
    <row r="173" spans="2:19">
      <c r="B173" s="286"/>
      <c r="C173" s="286"/>
      <c r="D173" s="286"/>
      <c r="E173" s="286"/>
      <c r="F173" s="286"/>
      <c r="G173" s="286"/>
      <c r="H173" s="286"/>
      <c r="I173" s="286"/>
      <c r="J173" s="286"/>
      <c r="K173" s="286"/>
      <c r="L173" s="286"/>
      <c r="M173" s="286"/>
      <c r="N173" s="286"/>
      <c r="O173" s="286"/>
      <c r="P173" s="286"/>
      <c r="Q173" s="286"/>
      <c r="R173" s="286"/>
      <c r="S173" s="286"/>
    </row>
    <row r="174" spans="2:19">
      <c r="B174" s="286"/>
      <c r="C174" s="286"/>
      <c r="D174" s="286"/>
      <c r="E174" s="286"/>
      <c r="F174" s="286"/>
      <c r="G174" s="286"/>
      <c r="H174" s="286"/>
      <c r="I174" s="286"/>
      <c r="J174" s="286"/>
      <c r="K174" s="286"/>
      <c r="L174" s="286"/>
      <c r="M174" s="286"/>
      <c r="N174" s="286"/>
      <c r="O174" s="286"/>
      <c r="P174" s="286"/>
      <c r="Q174" s="286"/>
      <c r="R174" s="286"/>
      <c r="S174" s="286"/>
    </row>
    <row r="175" spans="2:19">
      <c r="B175" s="286"/>
      <c r="C175" s="286"/>
      <c r="D175" s="286"/>
      <c r="E175" s="286"/>
      <c r="F175" s="286"/>
      <c r="G175" s="286"/>
      <c r="H175" s="286"/>
      <c r="I175" s="286"/>
      <c r="J175" s="286"/>
      <c r="K175" s="286"/>
      <c r="L175" s="286"/>
      <c r="M175" s="286"/>
      <c r="N175" s="286"/>
      <c r="O175" s="286"/>
      <c r="P175" s="286"/>
      <c r="Q175" s="286"/>
      <c r="R175" s="286"/>
      <c r="S175" s="286"/>
    </row>
    <row r="176" spans="2:19">
      <c r="B176" s="286"/>
      <c r="C176" s="286"/>
      <c r="D176" s="286"/>
      <c r="E176" s="286"/>
      <c r="F176" s="286"/>
      <c r="G176" s="286"/>
      <c r="H176" s="286"/>
      <c r="I176" s="286"/>
      <c r="J176" s="286"/>
      <c r="K176" s="286"/>
      <c r="L176" s="286"/>
      <c r="M176" s="286"/>
      <c r="N176" s="286"/>
      <c r="O176" s="286"/>
      <c r="P176" s="286"/>
      <c r="Q176" s="286"/>
      <c r="R176" s="286"/>
      <c r="S176" s="286"/>
    </row>
    <row r="177" spans="2:19">
      <c r="B177" s="286"/>
      <c r="C177" s="286"/>
      <c r="D177" s="286"/>
      <c r="E177" s="286"/>
      <c r="F177" s="286"/>
      <c r="G177" s="286"/>
      <c r="H177" s="286"/>
      <c r="I177" s="286"/>
      <c r="J177" s="286"/>
      <c r="K177" s="286"/>
      <c r="L177" s="286"/>
      <c r="M177" s="286"/>
      <c r="N177" s="286"/>
      <c r="O177" s="286"/>
      <c r="P177" s="286"/>
      <c r="Q177" s="286"/>
      <c r="R177" s="286"/>
      <c r="S177" s="286"/>
    </row>
    <row r="178" spans="2:19">
      <c r="B178" s="286"/>
      <c r="C178" s="286"/>
      <c r="D178" s="286"/>
      <c r="E178" s="286"/>
      <c r="F178" s="286"/>
      <c r="G178" s="286"/>
      <c r="H178" s="286"/>
      <c r="I178" s="286"/>
      <c r="J178" s="286"/>
      <c r="K178" s="286"/>
      <c r="L178" s="286"/>
      <c r="M178" s="286"/>
      <c r="N178" s="286"/>
      <c r="O178" s="286"/>
      <c r="P178" s="286"/>
      <c r="Q178" s="286"/>
      <c r="R178" s="286"/>
      <c r="S178" s="286"/>
    </row>
    <row r="179" spans="2:19">
      <c r="B179" s="286"/>
      <c r="C179" s="286"/>
      <c r="D179" s="286"/>
      <c r="E179" s="286"/>
      <c r="F179" s="286"/>
      <c r="G179" s="286"/>
      <c r="H179" s="286"/>
      <c r="I179" s="286"/>
      <c r="J179" s="286"/>
      <c r="K179" s="286"/>
      <c r="L179" s="286"/>
      <c r="M179" s="286"/>
      <c r="N179" s="286"/>
      <c r="O179" s="286"/>
      <c r="P179" s="286"/>
      <c r="Q179" s="286"/>
      <c r="R179" s="286"/>
      <c r="S179" s="286"/>
    </row>
    <row r="180" spans="2:19">
      <c r="B180" s="286"/>
      <c r="C180" s="286"/>
      <c r="D180" s="286"/>
      <c r="E180" s="286"/>
      <c r="F180" s="286"/>
      <c r="G180" s="286"/>
      <c r="H180" s="286"/>
      <c r="I180" s="286"/>
      <c r="J180" s="286"/>
      <c r="K180" s="286"/>
      <c r="L180" s="286"/>
      <c r="M180" s="286"/>
      <c r="N180" s="286"/>
      <c r="O180" s="286"/>
      <c r="P180" s="286"/>
      <c r="Q180" s="286"/>
      <c r="R180" s="286"/>
      <c r="S180" s="286"/>
    </row>
    <row r="181" spans="2:19">
      <c r="B181" s="286"/>
      <c r="C181" s="286"/>
      <c r="D181" s="286"/>
      <c r="E181" s="286"/>
      <c r="F181" s="286"/>
      <c r="G181" s="286"/>
      <c r="H181" s="286"/>
      <c r="I181" s="286"/>
      <c r="J181" s="286"/>
      <c r="K181" s="286"/>
      <c r="L181" s="286"/>
      <c r="M181" s="286"/>
      <c r="N181" s="286"/>
      <c r="O181" s="286"/>
      <c r="P181" s="286"/>
      <c r="Q181" s="286"/>
      <c r="R181" s="286"/>
      <c r="S181" s="286"/>
    </row>
    <row r="182" spans="2:19">
      <c r="B182" s="286"/>
      <c r="C182" s="286"/>
      <c r="D182" s="286"/>
      <c r="E182" s="286"/>
      <c r="F182" s="286"/>
      <c r="G182" s="286"/>
      <c r="H182" s="286"/>
      <c r="I182" s="286"/>
      <c r="J182" s="286"/>
      <c r="K182" s="286"/>
      <c r="L182" s="286"/>
      <c r="M182" s="286"/>
      <c r="N182" s="286"/>
      <c r="O182" s="286"/>
      <c r="P182" s="286"/>
      <c r="Q182" s="286"/>
      <c r="R182" s="286"/>
      <c r="S182" s="286"/>
    </row>
    <row r="183" spans="2:19">
      <c r="B183" s="286"/>
      <c r="C183" s="286"/>
      <c r="D183" s="286"/>
      <c r="E183" s="286"/>
      <c r="F183" s="286"/>
      <c r="G183" s="286"/>
      <c r="H183" s="286"/>
      <c r="I183" s="286"/>
      <c r="J183" s="286"/>
      <c r="K183" s="286"/>
      <c r="L183" s="286"/>
      <c r="M183" s="286"/>
      <c r="N183" s="286"/>
      <c r="O183" s="286"/>
      <c r="P183" s="286"/>
      <c r="Q183" s="286"/>
      <c r="R183" s="286"/>
      <c r="S183" s="286"/>
    </row>
    <row r="184" spans="2:19">
      <c r="B184" s="286"/>
      <c r="C184" s="286"/>
      <c r="D184" s="286"/>
      <c r="E184" s="286"/>
      <c r="F184" s="286"/>
      <c r="G184" s="286"/>
      <c r="H184" s="286"/>
      <c r="I184" s="286"/>
      <c r="J184" s="286"/>
      <c r="K184" s="286"/>
      <c r="L184" s="286"/>
      <c r="M184" s="286"/>
      <c r="N184" s="286"/>
      <c r="O184" s="286"/>
      <c r="P184" s="286"/>
      <c r="Q184" s="286"/>
      <c r="R184" s="286"/>
      <c r="S184" s="286"/>
    </row>
    <row r="185" spans="2:19">
      <c r="B185" s="286"/>
      <c r="C185" s="286"/>
      <c r="D185" s="286"/>
      <c r="E185" s="286"/>
      <c r="F185" s="286"/>
      <c r="G185" s="286"/>
      <c r="H185" s="286"/>
      <c r="I185" s="286"/>
      <c r="J185" s="286"/>
      <c r="K185" s="286"/>
      <c r="L185" s="286"/>
      <c r="M185" s="286"/>
      <c r="N185" s="286"/>
      <c r="O185" s="286"/>
      <c r="P185" s="286"/>
      <c r="Q185" s="286"/>
      <c r="R185" s="286"/>
      <c r="S185" s="286"/>
    </row>
    <row r="186" spans="2:19">
      <c r="B186" s="286"/>
      <c r="C186" s="286"/>
      <c r="D186" s="286"/>
      <c r="E186" s="286"/>
      <c r="F186" s="286"/>
      <c r="G186" s="286"/>
      <c r="H186" s="286"/>
      <c r="I186" s="286"/>
      <c r="J186" s="286"/>
      <c r="K186" s="286"/>
      <c r="L186" s="286"/>
      <c r="M186" s="286"/>
      <c r="N186" s="286"/>
      <c r="O186" s="286"/>
      <c r="P186" s="286"/>
      <c r="Q186" s="286"/>
      <c r="R186" s="286"/>
      <c r="S186" s="286"/>
    </row>
    <row r="187" spans="2:19">
      <c r="B187" s="286"/>
      <c r="C187" s="286"/>
      <c r="D187" s="286"/>
      <c r="E187" s="286"/>
      <c r="F187" s="286"/>
      <c r="G187" s="286"/>
      <c r="H187" s="286"/>
      <c r="I187" s="286"/>
      <c r="J187" s="286"/>
      <c r="K187" s="286"/>
      <c r="L187" s="286"/>
      <c r="M187" s="286"/>
      <c r="N187" s="286"/>
      <c r="O187" s="286"/>
      <c r="P187" s="286"/>
      <c r="Q187" s="286"/>
      <c r="R187" s="286"/>
      <c r="S187" s="286"/>
    </row>
    <row r="188" spans="2:19">
      <c r="B188" s="286"/>
      <c r="C188" s="286"/>
      <c r="D188" s="286"/>
      <c r="E188" s="286"/>
      <c r="F188" s="286"/>
      <c r="G188" s="286"/>
      <c r="H188" s="286"/>
      <c r="I188" s="286"/>
      <c r="J188" s="286"/>
      <c r="K188" s="286"/>
      <c r="L188" s="286"/>
      <c r="M188" s="286"/>
      <c r="N188" s="286"/>
      <c r="O188" s="286"/>
      <c r="P188" s="286"/>
      <c r="Q188" s="286"/>
      <c r="R188" s="286"/>
      <c r="S188" s="286"/>
    </row>
    <row r="189" spans="2:19">
      <c r="B189" s="286"/>
      <c r="C189" s="286"/>
      <c r="D189" s="286"/>
      <c r="E189" s="286"/>
      <c r="F189" s="286"/>
      <c r="G189" s="286"/>
      <c r="H189" s="286"/>
      <c r="I189" s="286"/>
      <c r="J189" s="286"/>
      <c r="K189" s="286"/>
      <c r="L189" s="286"/>
      <c r="M189" s="286"/>
      <c r="N189" s="286"/>
      <c r="O189" s="286"/>
      <c r="P189" s="286"/>
      <c r="Q189" s="286"/>
      <c r="R189" s="286"/>
      <c r="S189" s="286"/>
    </row>
    <row r="190" spans="2:19">
      <c r="B190" s="286"/>
      <c r="C190" s="286"/>
      <c r="D190" s="286"/>
      <c r="E190" s="286"/>
      <c r="F190" s="286"/>
      <c r="G190" s="286"/>
      <c r="H190" s="286"/>
      <c r="I190" s="286"/>
      <c r="J190" s="286"/>
      <c r="K190" s="286"/>
      <c r="L190" s="286"/>
      <c r="M190" s="286"/>
      <c r="N190" s="286"/>
      <c r="O190" s="286"/>
      <c r="P190" s="286"/>
      <c r="Q190" s="286"/>
      <c r="R190" s="286"/>
      <c r="S190" s="286"/>
    </row>
    <row r="191" spans="2:19">
      <c r="B191" s="286"/>
      <c r="C191" s="286"/>
      <c r="D191" s="286"/>
      <c r="E191" s="286"/>
      <c r="F191" s="286"/>
      <c r="G191" s="286"/>
      <c r="H191" s="286"/>
      <c r="I191" s="286"/>
      <c r="J191" s="286"/>
      <c r="K191" s="286"/>
      <c r="L191" s="286"/>
      <c r="M191" s="286"/>
      <c r="N191" s="286"/>
      <c r="O191" s="286"/>
      <c r="P191" s="286"/>
      <c r="Q191" s="286"/>
      <c r="R191" s="286"/>
      <c r="S191" s="286"/>
    </row>
    <row r="192" spans="2:19">
      <c r="B192" s="286"/>
      <c r="C192" s="286"/>
      <c r="D192" s="286"/>
      <c r="E192" s="286"/>
      <c r="F192" s="286"/>
      <c r="G192" s="286"/>
      <c r="H192" s="286"/>
      <c r="I192" s="286"/>
      <c r="J192" s="286"/>
      <c r="K192" s="286"/>
      <c r="L192" s="286"/>
      <c r="M192" s="286"/>
      <c r="N192" s="286"/>
      <c r="O192" s="286"/>
      <c r="P192" s="286"/>
      <c r="Q192" s="286"/>
      <c r="R192" s="286"/>
      <c r="S192" s="286"/>
    </row>
    <row r="193" spans="2:19">
      <c r="B193" s="286"/>
      <c r="C193" s="286"/>
      <c r="D193" s="286"/>
      <c r="E193" s="286"/>
      <c r="F193" s="286"/>
      <c r="G193" s="286"/>
      <c r="H193" s="286"/>
      <c r="I193" s="286"/>
      <c r="J193" s="286"/>
      <c r="K193" s="286"/>
      <c r="L193" s="286"/>
      <c r="M193" s="286"/>
      <c r="N193" s="286"/>
      <c r="O193" s="286"/>
      <c r="P193" s="286"/>
      <c r="Q193" s="286"/>
      <c r="R193" s="286"/>
      <c r="S193" s="286"/>
    </row>
    <row r="194" spans="2:19">
      <c r="B194" s="286"/>
      <c r="C194" s="286"/>
      <c r="D194" s="286"/>
      <c r="E194" s="286"/>
      <c r="F194" s="286"/>
      <c r="G194" s="286"/>
      <c r="H194" s="286"/>
      <c r="I194" s="286"/>
      <c r="J194" s="286"/>
      <c r="K194" s="286"/>
      <c r="L194" s="286"/>
      <c r="M194" s="286"/>
      <c r="N194" s="286"/>
      <c r="O194" s="286"/>
      <c r="P194" s="286"/>
      <c r="Q194" s="286"/>
      <c r="R194" s="286"/>
      <c r="S194" s="286"/>
    </row>
    <row r="195" spans="2:19">
      <c r="B195" s="286"/>
      <c r="C195" s="286"/>
      <c r="D195" s="286"/>
      <c r="E195" s="286"/>
      <c r="F195" s="286"/>
      <c r="G195" s="286"/>
      <c r="H195" s="286"/>
      <c r="I195" s="286"/>
      <c r="J195" s="286"/>
      <c r="K195" s="286"/>
      <c r="L195" s="286"/>
      <c r="M195" s="286"/>
      <c r="N195" s="286"/>
      <c r="O195" s="286"/>
      <c r="P195" s="286"/>
      <c r="Q195" s="286"/>
      <c r="R195" s="286"/>
      <c r="S195" s="286"/>
    </row>
    <row r="196" spans="2:19">
      <c r="B196" s="286"/>
      <c r="C196" s="286"/>
      <c r="D196" s="286"/>
      <c r="E196" s="286"/>
      <c r="F196" s="286"/>
      <c r="G196" s="286"/>
      <c r="H196" s="286"/>
      <c r="I196" s="286"/>
      <c r="J196" s="286"/>
      <c r="K196" s="286"/>
      <c r="L196" s="286"/>
      <c r="M196" s="286"/>
      <c r="N196" s="286"/>
      <c r="O196" s="286"/>
      <c r="P196" s="286"/>
      <c r="Q196" s="286"/>
      <c r="R196" s="286"/>
      <c r="S196" s="286"/>
    </row>
    <row r="197" spans="2:19">
      <c r="B197" s="286"/>
      <c r="C197" s="286"/>
      <c r="D197" s="286"/>
      <c r="E197" s="286"/>
      <c r="F197" s="286"/>
      <c r="G197" s="286"/>
      <c r="H197" s="286"/>
      <c r="I197" s="286"/>
      <c r="J197" s="286"/>
      <c r="K197" s="286"/>
      <c r="L197" s="286"/>
      <c r="M197" s="286"/>
      <c r="N197" s="286"/>
      <c r="O197" s="286"/>
      <c r="P197" s="286"/>
      <c r="Q197" s="286"/>
      <c r="R197" s="286"/>
      <c r="S197" s="286"/>
    </row>
    <row r="198" spans="2:19">
      <c r="B198" s="286"/>
      <c r="C198" s="286"/>
      <c r="D198" s="286"/>
      <c r="E198" s="286"/>
      <c r="F198" s="286"/>
      <c r="G198" s="286"/>
      <c r="H198" s="286"/>
      <c r="I198" s="286"/>
      <c r="J198" s="286"/>
      <c r="K198" s="286"/>
      <c r="L198" s="286"/>
      <c r="M198" s="286"/>
      <c r="N198" s="286"/>
      <c r="O198" s="286"/>
      <c r="P198" s="286"/>
      <c r="Q198" s="286"/>
      <c r="R198" s="286"/>
      <c r="S198" s="286"/>
    </row>
    <row r="199" spans="2:19">
      <c r="B199" s="286"/>
      <c r="C199" s="286"/>
      <c r="D199" s="286"/>
      <c r="E199" s="286"/>
      <c r="F199" s="286"/>
      <c r="G199" s="286"/>
      <c r="H199" s="286"/>
      <c r="I199" s="286"/>
      <c r="J199" s="286"/>
      <c r="K199" s="286"/>
      <c r="L199" s="286"/>
      <c r="M199" s="286"/>
      <c r="N199" s="286"/>
      <c r="O199" s="286"/>
      <c r="P199" s="286"/>
      <c r="Q199" s="286"/>
      <c r="R199" s="286"/>
      <c r="S199" s="286"/>
    </row>
    <row r="200" spans="2:19">
      <c r="B200" s="286"/>
      <c r="C200" s="286"/>
      <c r="D200" s="286"/>
      <c r="E200" s="286"/>
      <c r="F200" s="286"/>
      <c r="G200" s="286"/>
      <c r="H200" s="286"/>
      <c r="I200" s="286"/>
      <c r="J200" s="286"/>
      <c r="K200" s="286"/>
      <c r="L200" s="286"/>
      <c r="M200" s="286"/>
      <c r="N200" s="286"/>
      <c r="O200" s="286"/>
      <c r="P200" s="286"/>
      <c r="Q200" s="286"/>
      <c r="R200" s="286"/>
      <c r="S200" s="286"/>
    </row>
    <row r="201" spans="2:19">
      <c r="B201" s="286"/>
      <c r="C201" s="286"/>
      <c r="D201" s="286"/>
      <c r="E201" s="286"/>
      <c r="F201" s="286"/>
      <c r="G201" s="286"/>
      <c r="H201" s="286"/>
      <c r="I201" s="286"/>
      <c r="J201" s="286"/>
      <c r="K201" s="286"/>
      <c r="L201" s="286"/>
      <c r="M201" s="286"/>
      <c r="N201" s="286"/>
      <c r="O201" s="286"/>
      <c r="P201" s="286"/>
      <c r="Q201" s="286"/>
      <c r="R201" s="286"/>
      <c r="S201" s="286"/>
    </row>
    <row r="202" spans="2:19">
      <c r="B202" s="286"/>
      <c r="C202" s="286"/>
      <c r="D202" s="286"/>
      <c r="E202" s="286"/>
      <c r="F202" s="286"/>
      <c r="G202" s="286"/>
      <c r="H202" s="286"/>
      <c r="I202" s="286"/>
      <c r="J202" s="286"/>
      <c r="K202" s="286"/>
      <c r="L202" s="286"/>
      <c r="M202" s="286"/>
      <c r="N202" s="286"/>
      <c r="O202" s="286"/>
      <c r="P202" s="286"/>
      <c r="Q202" s="286"/>
      <c r="R202" s="286"/>
      <c r="S202" s="286"/>
    </row>
    <row r="203" spans="2:19">
      <c r="B203" s="286"/>
      <c r="C203" s="286"/>
      <c r="D203" s="286"/>
      <c r="E203" s="286"/>
      <c r="F203" s="286"/>
      <c r="G203" s="286"/>
      <c r="H203" s="286"/>
      <c r="I203" s="286"/>
      <c r="J203" s="286"/>
      <c r="K203" s="286"/>
      <c r="L203" s="286"/>
      <c r="M203" s="286"/>
      <c r="N203" s="286"/>
      <c r="O203" s="286"/>
      <c r="P203" s="286"/>
      <c r="Q203" s="286"/>
      <c r="R203" s="286"/>
      <c r="S203" s="286"/>
    </row>
    <row r="204" spans="2:19">
      <c r="B204" s="286"/>
      <c r="C204" s="286"/>
      <c r="D204" s="286"/>
      <c r="E204" s="286"/>
      <c r="F204" s="286"/>
      <c r="G204" s="286"/>
      <c r="H204" s="286"/>
      <c r="I204" s="286"/>
      <c r="J204" s="286"/>
      <c r="K204" s="286"/>
      <c r="L204" s="286"/>
      <c r="M204" s="286"/>
      <c r="N204" s="286"/>
      <c r="O204" s="286"/>
      <c r="P204" s="286"/>
      <c r="Q204" s="286"/>
      <c r="R204" s="286"/>
      <c r="S204" s="286"/>
    </row>
    <row r="205" spans="2:19">
      <c r="B205" s="286"/>
      <c r="C205" s="286"/>
      <c r="D205" s="286"/>
      <c r="E205" s="286"/>
      <c r="F205" s="286"/>
      <c r="G205" s="286"/>
      <c r="H205" s="286"/>
      <c r="I205" s="286"/>
      <c r="J205" s="286"/>
      <c r="K205" s="286"/>
      <c r="L205" s="286"/>
      <c r="M205" s="286"/>
      <c r="N205" s="286"/>
      <c r="O205" s="286"/>
      <c r="P205" s="286"/>
      <c r="Q205" s="286"/>
      <c r="R205" s="286"/>
      <c r="S205" s="286"/>
    </row>
    <row r="206" spans="2:19">
      <c r="B206" s="286"/>
      <c r="C206" s="286"/>
      <c r="D206" s="286"/>
      <c r="E206" s="286"/>
      <c r="F206" s="286"/>
      <c r="G206" s="286"/>
      <c r="H206" s="286"/>
      <c r="I206" s="286"/>
      <c r="J206" s="286"/>
      <c r="K206" s="286"/>
      <c r="L206" s="286"/>
      <c r="M206" s="286"/>
      <c r="N206" s="286"/>
      <c r="O206" s="286"/>
      <c r="P206" s="286"/>
      <c r="Q206" s="286"/>
      <c r="R206" s="286"/>
      <c r="S206" s="286"/>
    </row>
    <row r="207" spans="2:19">
      <c r="B207" s="286"/>
      <c r="C207" s="286"/>
      <c r="D207" s="286"/>
      <c r="E207" s="286"/>
      <c r="F207" s="286"/>
      <c r="G207" s="286"/>
      <c r="H207" s="286"/>
      <c r="I207" s="286"/>
      <c r="J207" s="286"/>
      <c r="K207" s="286"/>
      <c r="L207" s="286"/>
      <c r="M207" s="286"/>
      <c r="N207" s="286"/>
      <c r="O207" s="286"/>
      <c r="P207" s="286"/>
      <c r="Q207" s="286"/>
      <c r="R207" s="286"/>
      <c r="S207" s="286"/>
    </row>
    <row r="208" spans="2:19">
      <c r="B208" s="286"/>
      <c r="C208" s="286"/>
      <c r="D208" s="286"/>
      <c r="E208" s="286"/>
      <c r="F208" s="286"/>
      <c r="G208" s="286"/>
      <c r="H208" s="286"/>
      <c r="I208" s="286"/>
      <c r="J208" s="286"/>
      <c r="K208" s="286"/>
      <c r="L208" s="286"/>
      <c r="M208" s="286"/>
      <c r="N208" s="286"/>
      <c r="O208" s="286"/>
      <c r="P208" s="286"/>
      <c r="Q208" s="286"/>
      <c r="R208" s="286"/>
      <c r="S208" s="286"/>
    </row>
    <row r="209" spans="2:19">
      <c r="B209" s="286"/>
      <c r="C209" s="286"/>
      <c r="D209" s="286"/>
      <c r="E209" s="286"/>
      <c r="F209" s="286"/>
      <c r="G209" s="286"/>
      <c r="H209" s="286"/>
      <c r="I209" s="286"/>
      <c r="J209" s="286"/>
      <c r="K209" s="286"/>
      <c r="L209" s="286"/>
      <c r="M209" s="286"/>
      <c r="N209" s="286"/>
      <c r="O209" s="286"/>
      <c r="P209" s="286"/>
      <c r="Q209" s="286"/>
      <c r="R209" s="286"/>
      <c r="S209" s="286"/>
    </row>
    <row r="210" spans="2:19">
      <c r="B210" s="286"/>
      <c r="C210" s="286"/>
      <c r="D210" s="286"/>
      <c r="E210" s="286"/>
      <c r="F210" s="286"/>
      <c r="G210" s="286"/>
      <c r="H210" s="286"/>
      <c r="I210" s="286"/>
      <c r="J210" s="286"/>
      <c r="K210" s="286"/>
      <c r="L210" s="286"/>
      <c r="M210" s="286"/>
      <c r="N210" s="286"/>
      <c r="O210" s="286"/>
      <c r="P210" s="286"/>
      <c r="Q210" s="286"/>
      <c r="R210" s="286"/>
      <c r="S210" s="286"/>
    </row>
    <row r="211" spans="2:19">
      <c r="B211" s="286"/>
      <c r="C211" s="286"/>
      <c r="D211" s="286"/>
      <c r="E211" s="286"/>
      <c r="F211" s="286"/>
      <c r="G211" s="286"/>
      <c r="H211" s="286"/>
      <c r="I211" s="286"/>
      <c r="J211" s="286"/>
      <c r="K211" s="286"/>
      <c r="L211" s="286"/>
      <c r="M211" s="286"/>
      <c r="N211" s="286"/>
      <c r="O211" s="286"/>
      <c r="P211" s="286"/>
      <c r="Q211" s="286"/>
      <c r="R211" s="286"/>
      <c r="S211" s="286"/>
    </row>
    <row r="212" spans="2:19">
      <c r="B212" s="286"/>
      <c r="C212" s="286"/>
      <c r="D212" s="286"/>
      <c r="E212" s="286"/>
      <c r="F212" s="286"/>
      <c r="G212" s="286"/>
      <c r="H212" s="286"/>
      <c r="I212" s="286"/>
      <c r="J212" s="286"/>
      <c r="K212" s="286"/>
      <c r="L212" s="286"/>
      <c r="M212" s="286"/>
      <c r="N212" s="286"/>
      <c r="O212" s="286"/>
      <c r="P212" s="286"/>
      <c r="Q212" s="286"/>
      <c r="R212" s="286"/>
      <c r="S212" s="286"/>
    </row>
    <row r="213" spans="2:19">
      <c r="B213" s="286"/>
      <c r="C213" s="286"/>
      <c r="D213" s="286"/>
      <c r="E213" s="286"/>
      <c r="F213" s="286"/>
      <c r="G213" s="286"/>
      <c r="H213" s="286"/>
      <c r="I213" s="286"/>
      <c r="J213" s="286"/>
      <c r="K213" s="286"/>
      <c r="L213" s="286"/>
      <c r="M213" s="286"/>
      <c r="N213" s="286"/>
      <c r="O213" s="286"/>
      <c r="P213" s="286"/>
      <c r="Q213" s="286"/>
      <c r="R213" s="286"/>
      <c r="S213" s="286"/>
    </row>
    <row r="214" spans="2:19">
      <c r="B214" s="286"/>
      <c r="C214" s="286"/>
      <c r="D214" s="286"/>
      <c r="E214" s="286"/>
      <c r="F214" s="286"/>
      <c r="G214" s="286"/>
      <c r="H214" s="286"/>
      <c r="I214" s="286"/>
      <c r="J214" s="286"/>
      <c r="K214" s="286"/>
      <c r="L214" s="286"/>
      <c r="M214" s="286"/>
      <c r="N214" s="286"/>
      <c r="O214" s="286"/>
      <c r="P214" s="286"/>
      <c r="Q214" s="286"/>
      <c r="R214" s="286"/>
      <c r="S214" s="286"/>
    </row>
    <row r="215" spans="2:19">
      <c r="B215" s="286"/>
      <c r="C215" s="286"/>
      <c r="D215" s="286"/>
      <c r="E215" s="286"/>
      <c r="F215" s="286"/>
      <c r="G215" s="286"/>
      <c r="H215" s="286"/>
      <c r="I215" s="286"/>
      <c r="J215" s="286"/>
      <c r="K215" s="286"/>
      <c r="L215" s="286"/>
      <c r="M215" s="286"/>
      <c r="N215" s="286"/>
      <c r="O215" s="286"/>
      <c r="P215" s="286"/>
      <c r="Q215" s="286"/>
      <c r="R215" s="286"/>
      <c r="S215" s="286"/>
    </row>
    <row r="216" spans="2:19">
      <c r="B216" s="286"/>
      <c r="C216" s="286"/>
      <c r="D216" s="286"/>
      <c r="E216" s="286"/>
      <c r="F216" s="286"/>
      <c r="G216" s="286"/>
      <c r="H216" s="286"/>
      <c r="I216" s="286"/>
      <c r="J216" s="286"/>
      <c r="K216" s="286"/>
      <c r="L216" s="286"/>
      <c r="M216" s="286"/>
      <c r="N216" s="286"/>
      <c r="O216" s="286"/>
      <c r="P216" s="286"/>
      <c r="Q216" s="286"/>
      <c r="R216" s="286"/>
      <c r="S216" s="286"/>
    </row>
    <row r="217" spans="2:19">
      <c r="B217" s="286"/>
      <c r="C217" s="286"/>
      <c r="D217" s="286"/>
      <c r="E217" s="286"/>
      <c r="F217" s="286"/>
      <c r="G217" s="286"/>
      <c r="H217" s="286"/>
      <c r="I217" s="286"/>
      <c r="J217" s="286"/>
      <c r="K217" s="286"/>
      <c r="L217" s="286"/>
      <c r="M217" s="286"/>
      <c r="N217" s="286"/>
      <c r="O217" s="286"/>
      <c r="P217" s="286"/>
      <c r="Q217" s="286"/>
      <c r="R217" s="286"/>
      <c r="S217" s="286"/>
    </row>
    <row r="218" spans="2:19">
      <c r="B218" s="286"/>
      <c r="C218" s="286"/>
      <c r="D218" s="286"/>
      <c r="E218" s="286"/>
      <c r="F218" s="286"/>
      <c r="G218" s="286"/>
      <c r="H218" s="286"/>
      <c r="I218" s="286"/>
      <c r="J218" s="286"/>
      <c r="K218" s="286"/>
      <c r="L218" s="286"/>
      <c r="M218" s="286"/>
      <c r="N218" s="286"/>
      <c r="O218" s="286"/>
      <c r="P218" s="286"/>
      <c r="Q218" s="286"/>
      <c r="R218" s="286"/>
      <c r="S218" s="286"/>
    </row>
    <row r="219" spans="2:19">
      <c r="B219" s="286"/>
      <c r="C219" s="286"/>
      <c r="D219" s="286"/>
      <c r="E219" s="286"/>
      <c r="F219" s="286"/>
      <c r="G219" s="286"/>
      <c r="H219" s="286"/>
      <c r="I219" s="286"/>
      <c r="J219" s="286"/>
      <c r="K219" s="286"/>
      <c r="L219" s="286"/>
      <c r="M219" s="286"/>
      <c r="N219" s="286"/>
      <c r="O219" s="286"/>
      <c r="P219" s="286"/>
      <c r="Q219" s="286"/>
      <c r="R219" s="286"/>
      <c r="S219" s="286"/>
    </row>
    <row r="220" spans="2:19">
      <c r="B220" s="286"/>
      <c r="C220" s="286"/>
      <c r="D220" s="286"/>
      <c r="E220" s="286"/>
      <c r="F220" s="286"/>
      <c r="G220" s="286"/>
      <c r="H220" s="286"/>
      <c r="I220" s="286"/>
      <c r="J220" s="286"/>
      <c r="K220" s="286"/>
      <c r="L220" s="286"/>
      <c r="M220" s="286"/>
      <c r="N220" s="286"/>
      <c r="O220" s="286"/>
      <c r="P220" s="286"/>
      <c r="Q220" s="286"/>
      <c r="R220" s="286"/>
      <c r="S220" s="286"/>
    </row>
    <row r="221" spans="2:19">
      <c r="B221" s="286"/>
      <c r="C221" s="286"/>
      <c r="D221" s="286"/>
      <c r="E221" s="286"/>
      <c r="F221" s="286"/>
      <c r="G221" s="286"/>
      <c r="H221" s="286"/>
      <c r="I221" s="286"/>
      <c r="J221" s="286"/>
      <c r="K221" s="286"/>
      <c r="L221" s="286"/>
      <c r="M221" s="286"/>
      <c r="N221" s="286"/>
      <c r="O221" s="286"/>
      <c r="P221" s="286"/>
      <c r="Q221" s="286"/>
      <c r="R221" s="286"/>
      <c r="S221" s="286"/>
    </row>
    <row r="222" spans="2:19">
      <c r="B222" s="286"/>
      <c r="C222" s="286"/>
      <c r="D222" s="286"/>
      <c r="E222" s="286"/>
      <c r="F222" s="286"/>
      <c r="G222" s="286"/>
      <c r="H222" s="286"/>
      <c r="I222" s="286"/>
      <c r="J222" s="286"/>
      <c r="K222" s="286"/>
      <c r="L222" s="286"/>
      <c r="M222" s="286"/>
      <c r="N222" s="286"/>
      <c r="O222" s="286"/>
      <c r="P222" s="286"/>
      <c r="Q222" s="286"/>
      <c r="R222" s="286"/>
      <c r="S222" s="286"/>
    </row>
    <row r="223" spans="2:19">
      <c r="B223" s="286"/>
      <c r="C223" s="286"/>
      <c r="D223" s="286"/>
      <c r="E223" s="286"/>
      <c r="F223" s="286"/>
      <c r="G223" s="286"/>
      <c r="H223" s="286"/>
      <c r="I223" s="286"/>
      <c r="J223" s="286"/>
      <c r="K223" s="286"/>
      <c r="L223" s="286"/>
      <c r="M223" s="286"/>
      <c r="N223" s="286"/>
      <c r="O223" s="286"/>
      <c r="P223" s="286"/>
      <c r="Q223" s="286"/>
      <c r="R223" s="286"/>
      <c r="S223" s="286"/>
    </row>
    <row r="224" spans="2:19">
      <c r="B224" s="286"/>
      <c r="C224" s="286"/>
      <c r="D224" s="286"/>
      <c r="E224" s="286"/>
      <c r="F224" s="286"/>
      <c r="G224" s="286"/>
      <c r="H224" s="286"/>
      <c r="I224" s="286"/>
      <c r="J224" s="286"/>
      <c r="K224" s="286"/>
      <c r="L224" s="286"/>
      <c r="M224" s="286"/>
      <c r="N224" s="286"/>
      <c r="O224" s="286"/>
      <c r="P224" s="286"/>
      <c r="Q224" s="286"/>
      <c r="R224" s="286"/>
      <c r="S224" s="286"/>
    </row>
    <row r="225" spans="2:19">
      <c r="B225" s="286"/>
      <c r="C225" s="286"/>
      <c r="D225" s="286"/>
      <c r="E225" s="286"/>
      <c r="F225" s="286"/>
      <c r="G225" s="286"/>
      <c r="H225" s="286"/>
      <c r="I225" s="286"/>
      <c r="J225" s="286"/>
      <c r="K225" s="286"/>
      <c r="L225" s="286"/>
      <c r="M225" s="286"/>
      <c r="N225" s="286"/>
      <c r="O225" s="286"/>
      <c r="P225" s="286"/>
      <c r="Q225" s="286"/>
      <c r="R225" s="286"/>
      <c r="S225" s="286"/>
    </row>
    <row r="226" spans="2:19">
      <c r="B226" s="286"/>
      <c r="C226" s="286"/>
      <c r="D226" s="286"/>
      <c r="E226" s="286"/>
      <c r="F226" s="286"/>
      <c r="G226" s="286"/>
      <c r="H226" s="286"/>
      <c r="I226" s="286"/>
      <c r="J226" s="286"/>
      <c r="K226" s="286"/>
      <c r="L226" s="286"/>
      <c r="M226" s="286"/>
      <c r="N226" s="286"/>
      <c r="O226" s="286"/>
      <c r="P226" s="286"/>
      <c r="Q226" s="286"/>
      <c r="R226" s="286"/>
      <c r="S226" s="286"/>
    </row>
    <row r="227" spans="2:19">
      <c r="B227" s="286"/>
      <c r="C227" s="286"/>
      <c r="D227" s="286"/>
      <c r="E227" s="286"/>
      <c r="F227" s="286"/>
      <c r="G227" s="286"/>
      <c r="H227" s="286"/>
      <c r="I227" s="286"/>
      <c r="J227" s="286"/>
      <c r="K227" s="286"/>
      <c r="L227" s="286"/>
      <c r="M227" s="286"/>
      <c r="N227" s="286"/>
      <c r="O227" s="286"/>
      <c r="P227" s="286"/>
      <c r="Q227" s="286"/>
      <c r="R227" s="286"/>
      <c r="S227" s="286"/>
    </row>
    <row r="228" spans="2:19">
      <c r="B228" s="286"/>
      <c r="C228" s="286"/>
      <c r="D228" s="286"/>
      <c r="E228" s="286"/>
      <c r="F228" s="286"/>
      <c r="G228" s="286"/>
      <c r="H228" s="286"/>
      <c r="I228" s="286"/>
      <c r="J228" s="286"/>
      <c r="K228" s="286"/>
      <c r="L228" s="286"/>
      <c r="M228" s="286"/>
      <c r="N228" s="286"/>
      <c r="O228" s="286"/>
      <c r="P228" s="286"/>
      <c r="Q228" s="286"/>
      <c r="R228" s="286"/>
      <c r="S228" s="286"/>
    </row>
    <row r="229" spans="2:19">
      <c r="B229" s="286"/>
      <c r="C229" s="286"/>
      <c r="D229" s="286"/>
      <c r="E229" s="286"/>
      <c r="F229" s="286"/>
      <c r="G229" s="286"/>
      <c r="H229" s="286"/>
      <c r="I229" s="286"/>
      <c r="J229" s="286"/>
      <c r="K229" s="286"/>
      <c r="L229" s="286"/>
      <c r="M229" s="286"/>
      <c r="N229" s="286"/>
      <c r="O229" s="286"/>
      <c r="P229" s="286"/>
      <c r="Q229" s="286"/>
      <c r="R229" s="286"/>
      <c r="S229" s="286"/>
    </row>
    <row r="230" spans="2:19">
      <c r="B230" s="286"/>
      <c r="C230" s="286"/>
      <c r="D230" s="286"/>
      <c r="E230" s="286"/>
      <c r="F230" s="286"/>
      <c r="G230" s="286"/>
      <c r="H230" s="286"/>
      <c r="I230" s="286"/>
      <c r="J230" s="286"/>
      <c r="K230" s="286"/>
      <c r="L230" s="286"/>
      <c r="M230" s="286"/>
      <c r="N230" s="286"/>
      <c r="O230" s="286"/>
      <c r="P230" s="286"/>
      <c r="Q230" s="286"/>
      <c r="R230" s="286"/>
      <c r="S230" s="286"/>
    </row>
    <row r="231" spans="2:19">
      <c r="B231" s="286"/>
      <c r="C231" s="286"/>
      <c r="D231" s="286"/>
      <c r="E231" s="286"/>
      <c r="F231" s="286"/>
      <c r="G231" s="286"/>
      <c r="H231" s="286"/>
      <c r="I231" s="286"/>
      <c r="J231" s="286"/>
      <c r="K231" s="286"/>
      <c r="L231" s="286"/>
      <c r="M231" s="286"/>
      <c r="N231" s="286"/>
      <c r="O231" s="286"/>
      <c r="P231" s="286"/>
      <c r="Q231" s="286"/>
      <c r="R231" s="286"/>
      <c r="S231" s="286"/>
    </row>
    <row r="232" spans="2:19">
      <c r="B232" s="286"/>
      <c r="C232" s="286"/>
      <c r="D232" s="286"/>
      <c r="E232" s="286"/>
      <c r="F232" s="286"/>
      <c r="G232" s="286"/>
      <c r="H232" s="286"/>
      <c r="I232" s="286"/>
      <c r="J232" s="286"/>
      <c r="K232" s="286"/>
      <c r="L232" s="286"/>
      <c r="M232" s="286"/>
      <c r="N232" s="286"/>
      <c r="O232" s="286"/>
      <c r="P232" s="286"/>
      <c r="Q232" s="286"/>
      <c r="R232" s="286"/>
      <c r="S232" s="286"/>
    </row>
    <row r="233" spans="2:19">
      <c r="B233" s="286"/>
      <c r="C233" s="286"/>
      <c r="D233" s="286"/>
      <c r="E233" s="286"/>
      <c r="F233" s="286"/>
      <c r="G233" s="286"/>
      <c r="H233" s="286"/>
      <c r="I233" s="286"/>
      <c r="J233" s="286"/>
      <c r="K233" s="286"/>
      <c r="L233" s="286"/>
      <c r="M233" s="286"/>
      <c r="N233" s="286"/>
      <c r="O233" s="286"/>
      <c r="P233" s="286"/>
      <c r="Q233" s="286"/>
      <c r="R233" s="286"/>
      <c r="S233" s="286"/>
    </row>
    <row r="234" spans="2:19">
      <c r="B234" s="286"/>
      <c r="C234" s="286"/>
      <c r="D234" s="286"/>
      <c r="E234" s="286"/>
      <c r="F234" s="286"/>
      <c r="G234" s="286"/>
      <c r="H234" s="286"/>
      <c r="I234" s="286"/>
      <c r="J234" s="286"/>
      <c r="K234" s="286"/>
      <c r="L234" s="286"/>
      <c r="M234" s="286"/>
      <c r="N234" s="286"/>
      <c r="O234" s="286"/>
      <c r="P234" s="286"/>
      <c r="Q234" s="286"/>
      <c r="R234" s="286"/>
      <c r="S234" s="286"/>
    </row>
    <row r="235" spans="2:19">
      <c r="B235" s="286"/>
      <c r="C235" s="286"/>
      <c r="D235" s="286"/>
      <c r="E235" s="286"/>
      <c r="F235" s="286"/>
      <c r="G235" s="286"/>
      <c r="H235" s="286"/>
      <c r="I235" s="286"/>
      <c r="J235" s="286"/>
      <c r="K235" s="286"/>
      <c r="L235" s="286"/>
      <c r="M235" s="286"/>
      <c r="N235" s="286"/>
      <c r="O235" s="286"/>
      <c r="P235" s="286"/>
      <c r="Q235" s="286"/>
      <c r="R235" s="286"/>
      <c r="S235" s="286"/>
    </row>
    <row r="236" spans="2:19">
      <c r="B236" s="286"/>
      <c r="C236" s="286"/>
      <c r="D236" s="286"/>
      <c r="E236" s="286"/>
      <c r="F236" s="286"/>
      <c r="G236" s="286"/>
      <c r="H236" s="286"/>
      <c r="I236" s="286"/>
      <c r="J236" s="286"/>
      <c r="K236" s="286"/>
      <c r="L236" s="286"/>
      <c r="M236" s="286"/>
      <c r="N236" s="286"/>
      <c r="O236" s="286"/>
      <c r="P236" s="286"/>
      <c r="Q236" s="286"/>
      <c r="R236" s="286"/>
      <c r="S236" s="286"/>
    </row>
    <row r="237" spans="2:19">
      <c r="B237" s="286"/>
      <c r="C237" s="286"/>
      <c r="D237" s="286"/>
      <c r="E237" s="286"/>
      <c r="F237" s="286"/>
      <c r="G237" s="286"/>
      <c r="H237" s="286"/>
      <c r="I237" s="286"/>
      <c r="J237" s="286"/>
      <c r="K237" s="286"/>
      <c r="L237" s="286"/>
      <c r="M237" s="286"/>
      <c r="N237" s="286"/>
      <c r="O237" s="286"/>
      <c r="P237" s="286"/>
      <c r="Q237" s="286"/>
      <c r="R237" s="286"/>
      <c r="S237" s="286"/>
    </row>
    <row r="238" spans="2:19">
      <c r="B238" s="286"/>
      <c r="C238" s="286"/>
      <c r="D238" s="286"/>
      <c r="E238" s="286"/>
      <c r="F238" s="286"/>
      <c r="G238" s="286"/>
      <c r="H238" s="286"/>
      <c r="I238" s="286"/>
      <c r="J238" s="286"/>
      <c r="K238" s="286"/>
      <c r="L238" s="286"/>
      <c r="M238" s="286"/>
      <c r="N238" s="286"/>
      <c r="O238" s="286"/>
      <c r="P238" s="286"/>
      <c r="Q238" s="286"/>
      <c r="R238" s="286"/>
      <c r="S238" s="286"/>
    </row>
    <row r="239" spans="2:19">
      <c r="B239" s="286"/>
      <c r="C239" s="286"/>
      <c r="D239" s="286"/>
      <c r="E239" s="286"/>
      <c r="F239" s="286"/>
      <c r="G239" s="286"/>
      <c r="H239" s="286"/>
      <c r="I239" s="286"/>
      <c r="J239" s="286"/>
      <c r="K239" s="286"/>
      <c r="L239" s="286"/>
      <c r="M239" s="286"/>
      <c r="N239" s="286"/>
      <c r="O239" s="286"/>
      <c r="P239" s="286"/>
      <c r="Q239" s="286"/>
      <c r="R239" s="286"/>
      <c r="S239" s="286"/>
    </row>
    <row r="240" spans="2:19">
      <c r="B240" s="286"/>
      <c r="C240" s="286"/>
      <c r="D240" s="286"/>
      <c r="E240" s="286"/>
      <c r="F240" s="286"/>
      <c r="G240" s="286"/>
      <c r="H240" s="286"/>
      <c r="I240" s="286"/>
      <c r="J240" s="286"/>
      <c r="K240" s="286"/>
      <c r="L240" s="286"/>
      <c r="M240" s="286"/>
      <c r="N240" s="286"/>
      <c r="O240" s="286"/>
      <c r="P240" s="286"/>
      <c r="Q240" s="286"/>
      <c r="R240" s="286"/>
      <c r="S240" s="286"/>
    </row>
    <row r="241" spans="2:19">
      <c r="B241" s="286"/>
      <c r="C241" s="286"/>
      <c r="D241" s="286"/>
      <c r="E241" s="286"/>
      <c r="F241" s="286"/>
      <c r="G241" s="286"/>
      <c r="H241" s="286"/>
      <c r="I241" s="286"/>
      <c r="J241" s="286"/>
      <c r="K241" s="286"/>
      <c r="L241" s="286"/>
      <c r="M241" s="286"/>
      <c r="N241" s="286"/>
      <c r="O241" s="286"/>
      <c r="P241" s="286"/>
      <c r="Q241" s="286"/>
      <c r="R241" s="286"/>
      <c r="S241" s="286"/>
    </row>
    <row r="242" spans="2:19">
      <c r="B242" s="286"/>
      <c r="C242" s="286"/>
      <c r="D242" s="286"/>
      <c r="E242" s="286"/>
      <c r="F242" s="286"/>
      <c r="G242" s="286"/>
      <c r="H242" s="286"/>
      <c r="I242" s="286"/>
      <c r="J242" s="286"/>
      <c r="K242" s="286"/>
      <c r="L242" s="286"/>
      <c r="M242" s="286"/>
      <c r="N242" s="286"/>
      <c r="O242" s="286"/>
      <c r="P242" s="286"/>
      <c r="Q242" s="286"/>
      <c r="R242" s="286"/>
      <c r="S242" s="286"/>
    </row>
    <row r="243" spans="2:19">
      <c r="B243" s="286"/>
      <c r="C243" s="286"/>
      <c r="D243" s="286"/>
      <c r="E243" s="286"/>
      <c r="F243" s="286"/>
      <c r="G243" s="286"/>
      <c r="H243" s="286"/>
      <c r="I243" s="286"/>
      <c r="J243" s="286"/>
      <c r="K243" s="286"/>
      <c r="L243" s="286"/>
      <c r="M243" s="286"/>
      <c r="N243" s="286"/>
      <c r="O243" s="286"/>
      <c r="P243" s="286"/>
      <c r="Q243" s="286"/>
      <c r="R243" s="286"/>
      <c r="S243" s="286"/>
    </row>
    <row r="244" spans="2:19">
      <c r="B244" s="286"/>
      <c r="C244" s="286"/>
      <c r="D244" s="286"/>
      <c r="E244" s="286"/>
      <c r="F244" s="286"/>
      <c r="G244" s="286"/>
      <c r="H244" s="286"/>
      <c r="I244" s="286"/>
      <c r="J244" s="286"/>
      <c r="K244" s="286"/>
      <c r="L244" s="286"/>
      <c r="M244" s="286"/>
      <c r="N244" s="286"/>
      <c r="O244" s="286"/>
      <c r="P244" s="286"/>
      <c r="Q244" s="286"/>
      <c r="R244" s="286"/>
      <c r="S244" s="286"/>
    </row>
    <row r="245" spans="2:19">
      <c r="B245" s="286"/>
      <c r="C245" s="286"/>
      <c r="D245" s="286"/>
      <c r="E245" s="286"/>
      <c r="F245" s="286"/>
      <c r="G245" s="286"/>
      <c r="H245" s="286"/>
      <c r="I245" s="286"/>
      <c r="J245" s="286"/>
      <c r="K245" s="286"/>
      <c r="L245" s="286"/>
      <c r="M245" s="286"/>
      <c r="N245" s="286"/>
      <c r="O245" s="286"/>
      <c r="P245" s="286"/>
      <c r="Q245" s="286"/>
      <c r="R245" s="286"/>
      <c r="S245" s="286"/>
    </row>
    <row r="246" spans="2:19">
      <c r="B246" s="286"/>
      <c r="C246" s="286"/>
      <c r="D246" s="286"/>
      <c r="E246" s="286"/>
      <c r="F246" s="286"/>
      <c r="G246" s="286"/>
      <c r="H246" s="286"/>
      <c r="I246" s="286"/>
      <c r="J246" s="286"/>
      <c r="K246" s="286"/>
      <c r="L246" s="286"/>
      <c r="M246" s="286"/>
      <c r="N246" s="286"/>
      <c r="O246" s="286"/>
      <c r="P246" s="286"/>
      <c r="Q246" s="286"/>
      <c r="R246" s="286"/>
      <c r="S246" s="286"/>
    </row>
    <row r="247" spans="2:19">
      <c r="B247" s="286"/>
      <c r="C247" s="286"/>
      <c r="D247" s="286"/>
      <c r="E247" s="286"/>
      <c r="F247" s="286"/>
      <c r="G247" s="286"/>
      <c r="H247" s="286"/>
      <c r="I247" s="286"/>
      <c r="J247" s="286"/>
      <c r="K247" s="286"/>
      <c r="L247" s="286"/>
      <c r="M247" s="286"/>
      <c r="N247" s="286"/>
      <c r="O247" s="286"/>
      <c r="P247" s="286"/>
      <c r="Q247" s="286"/>
      <c r="R247" s="286"/>
      <c r="S247" s="286"/>
    </row>
    <row r="248" spans="2:19">
      <c r="B248" s="286"/>
      <c r="C248" s="286"/>
      <c r="D248" s="286"/>
      <c r="E248" s="286"/>
      <c r="F248" s="286"/>
      <c r="G248" s="286"/>
      <c r="H248" s="286"/>
      <c r="I248" s="286"/>
      <c r="J248" s="286"/>
      <c r="K248" s="286"/>
      <c r="L248" s="286"/>
      <c r="M248" s="286"/>
      <c r="N248" s="286"/>
      <c r="O248" s="286"/>
      <c r="P248" s="286"/>
      <c r="Q248" s="286"/>
      <c r="R248" s="286"/>
      <c r="S248" s="286"/>
    </row>
    <row r="249" spans="2:19">
      <c r="B249" s="286"/>
      <c r="C249" s="286"/>
      <c r="D249" s="286"/>
      <c r="E249" s="286"/>
      <c r="F249" s="286"/>
      <c r="G249" s="286"/>
      <c r="H249" s="286"/>
      <c r="I249" s="286"/>
      <c r="J249" s="286"/>
      <c r="K249" s="286"/>
      <c r="L249" s="286"/>
      <c r="M249" s="286"/>
      <c r="N249" s="286"/>
      <c r="O249" s="286"/>
      <c r="P249" s="286"/>
      <c r="Q249" s="286"/>
      <c r="R249" s="286"/>
      <c r="S249" s="286"/>
    </row>
    <row r="250" spans="2:19">
      <c r="B250" s="286"/>
      <c r="C250" s="286"/>
      <c r="D250" s="286"/>
      <c r="E250" s="286"/>
      <c r="F250" s="286"/>
      <c r="G250" s="286"/>
      <c r="H250" s="286"/>
      <c r="I250" s="286"/>
      <c r="J250" s="286"/>
      <c r="K250" s="286"/>
      <c r="L250" s="286"/>
      <c r="M250" s="286"/>
      <c r="N250" s="286"/>
      <c r="O250" s="286"/>
      <c r="P250" s="286"/>
      <c r="Q250" s="286"/>
      <c r="R250" s="286"/>
      <c r="S250" s="286"/>
    </row>
    <row r="251" spans="2:19">
      <c r="B251" s="286"/>
      <c r="C251" s="286"/>
      <c r="D251" s="286"/>
      <c r="E251" s="286"/>
      <c r="F251" s="286"/>
      <c r="G251" s="286"/>
      <c r="H251" s="286"/>
      <c r="I251" s="286"/>
      <c r="J251" s="286"/>
      <c r="K251" s="286"/>
      <c r="L251" s="286"/>
      <c r="M251" s="286"/>
      <c r="N251" s="286"/>
      <c r="O251" s="286"/>
      <c r="P251" s="286"/>
      <c r="Q251" s="286"/>
      <c r="R251" s="286"/>
      <c r="S251" s="286"/>
    </row>
    <row r="252" spans="2:19">
      <c r="B252" s="286"/>
      <c r="C252" s="286"/>
      <c r="D252" s="286"/>
      <c r="E252" s="286"/>
      <c r="F252" s="286"/>
      <c r="G252" s="286"/>
      <c r="H252" s="286"/>
      <c r="I252" s="286"/>
      <c r="J252" s="286"/>
      <c r="K252" s="286"/>
      <c r="L252" s="286"/>
      <c r="M252" s="286"/>
      <c r="N252" s="286"/>
      <c r="O252" s="286"/>
      <c r="P252" s="286"/>
      <c r="Q252" s="286"/>
      <c r="R252" s="286"/>
      <c r="S252" s="286"/>
    </row>
    <row r="253" spans="2:19">
      <c r="B253" s="286"/>
      <c r="C253" s="286"/>
      <c r="D253" s="286"/>
      <c r="E253" s="286"/>
      <c r="F253" s="286"/>
      <c r="G253" s="286"/>
      <c r="H253" s="286"/>
      <c r="I253" s="286"/>
      <c r="J253" s="286"/>
      <c r="K253" s="286"/>
      <c r="L253" s="286"/>
      <c r="M253" s="286"/>
      <c r="N253" s="286"/>
      <c r="O253" s="286"/>
      <c r="P253" s="286"/>
      <c r="Q253" s="286"/>
      <c r="R253" s="286"/>
      <c r="S253" s="286"/>
    </row>
    <row r="254" spans="2:19">
      <c r="B254" s="286"/>
      <c r="C254" s="286"/>
      <c r="D254" s="286"/>
      <c r="E254" s="286"/>
      <c r="F254" s="286"/>
      <c r="G254" s="286"/>
      <c r="H254" s="286"/>
      <c r="I254" s="286"/>
      <c r="J254" s="286"/>
      <c r="K254" s="286"/>
      <c r="L254" s="286"/>
      <c r="M254" s="286"/>
      <c r="N254" s="286"/>
      <c r="O254" s="286"/>
      <c r="P254" s="286"/>
      <c r="Q254" s="286"/>
      <c r="R254" s="286"/>
      <c r="S254" s="286"/>
    </row>
    <row r="255" spans="2:19">
      <c r="B255" s="286"/>
      <c r="C255" s="286"/>
      <c r="D255" s="286"/>
      <c r="E255" s="286"/>
      <c r="F255" s="286"/>
      <c r="G255" s="286"/>
      <c r="H255" s="286"/>
      <c r="I255" s="286"/>
      <c r="J255" s="286"/>
      <c r="K255" s="286"/>
      <c r="L255" s="286"/>
      <c r="M255" s="286"/>
      <c r="N255" s="286"/>
      <c r="O255" s="286"/>
      <c r="P255" s="286"/>
      <c r="Q255" s="286"/>
      <c r="R255" s="286"/>
      <c r="S255" s="286"/>
    </row>
    <row r="256" spans="2:19">
      <c r="B256" s="286"/>
      <c r="C256" s="286"/>
      <c r="D256" s="286"/>
      <c r="E256" s="286"/>
      <c r="F256" s="286"/>
      <c r="G256" s="286"/>
      <c r="H256" s="286"/>
      <c r="I256" s="286"/>
      <c r="J256" s="286"/>
      <c r="K256" s="286"/>
      <c r="L256" s="286"/>
      <c r="M256" s="286"/>
      <c r="N256" s="286"/>
      <c r="O256" s="286"/>
      <c r="P256" s="286"/>
      <c r="Q256" s="286"/>
      <c r="R256" s="286"/>
      <c r="S256" s="286"/>
    </row>
    <row r="257" spans="2:19">
      <c r="B257" s="286"/>
      <c r="C257" s="286"/>
      <c r="D257" s="286"/>
      <c r="E257" s="286"/>
      <c r="F257" s="286"/>
      <c r="G257" s="286"/>
      <c r="H257" s="286"/>
      <c r="I257" s="286"/>
      <c r="J257" s="286"/>
      <c r="K257" s="286"/>
      <c r="L257" s="286"/>
      <c r="M257" s="286"/>
      <c r="N257" s="286"/>
      <c r="O257" s="286"/>
      <c r="P257" s="286"/>
      <c r="Q257" s="286"/>
      <c r="R257" s="286"/>
      <c r="S257" s="286"/>
    </row>
    <row r="258" spans="2:19">
      <c r="B258" s="286"/>
      <c r="C258" s="286"/>
      <c r="D258" s="286"/>
      <c r="E258" s="286"/>
      <c r="F258" s="286"/>
      <c r="G258" s="286"/>
      <c r="H258" s="286"/>
      <c r="I258" s="286"/>
      <c r="J258" s="286"/>
      <c r="K258" s="286"/>
      <c r="L258" s="286"/>
      <c r="M258" s="286"/>
      <c r="N258" s="286"/>
      <c r="O258" s="286"/>
      <c r="P258" s="286"/>
      <c r="Q258" s="286"/>
      <c r="R258" s="286"/>
      <c r="S258" s="286"/>
    </row>
    <row r="259" spans="2:19">
      <c r="B259" s="286"/>
      <c r="C259" s="286"/>
      <c r="D259" s="286"/>
      <c r="E259" s="286"/>
      <c r="F259" s="286"/>
      <c r="G259" s="286"/>
      <c r="H259" s="286"/>
      <c r="I259" s="286"/>
      <c r="J259" s="286"/>
      <c r="K259" s="286"/>
      <c r="L259" s="286"/>
      <c r="M259" s="286"/>
      <c r="N259" s="286"/>
      <c r="O259" s="286"/>
      <c r="P259" s="286"/>
      <c r="Q259" s="286"/>
      <c r="R259" s="286"/>
      <c r="S259" s="286"/>
    </row>
    <row r="260" spans="2:19">
      <c r="B260" s="286"/>
      <c r="C260" s="286"/>
      <c r="D260" s="286"/>
      <c r="E260" s="286"/>
      <c r="F260" s="286"/>
      <c r="G260" s="286"/>
      <c r="H260" s="286"/>
      <c r="I260" s="286"/>
      <c r="J260" s="286"/>
      <c r="K260" s="286"/>
      <c r="L260" s="286"/>
      <c r="M260" s="286"/>
      <c r="N260" s="286"/>
      <c r="O260" s="286"/>
      <c r="P260" s="286"/>
      <c r="Q260" s="286"/>
      <c r="R260" s="286"/>
      <c r="S260" s="286"/>
    </row>
    <row r="261" spans="2:19">
      <c r="B261" s="286"/>
      <c r="C261" s="286"/>
      <c r="D261" s="286"/>
      <c r="E261" s="286"/>
      <c r="F261" s="286"/>
      <c r="G261" s="286"/>
      <c r="H261" s="286"/>
      <c r="I261" s="286"/>
      <c r="J261" s="286"/>
      <c r="K261" s="286"/>
      <c r="L261" s="286"/>
      <c r="M261" s="286"/>
      <c r="N261" s="286"/>
      <c r="O261" s="286"/>
      <c r="P261" s="286"/>
      <c r="Q261" s="286"/>
      <c r="R261" s="286"/>
      <c r="S261" s="286"/>
    </row>
    <row r="262" spans="2:19">
      <c r="B262" s="286"/>
      <c r="C262" s="286"/>
      <c r="D262" s="286"/>
      <c r="E262" s="286"/>
      <c r="F262" s="286"/>
      <c r="G262" s="286"/>
      <c r="H262" s="286"/>
      <c r="I262" s="286"/>
      <c r="J262" s="286"/>
      <c r="K262" s="286"/>
      <c r="L262" s="286"/>
      <c r="M262" s="286"/>
      <c r="N262" s="286"/>
      <c r="O262" s="286"/>
      <c r="P262" s="286"/>
      <c r="Q262" s="286"/>
      <c r="R262" s="286"/>
      <c r="S262" s="286"/>
    </row>
    <row r="263" spans="2:19">
      <c r="B263" s="286"/>
      <c r="C263" s="286"/>
      <c r="D263" s="286"/>
      <c r="E263" s="286"/>
      <c r="F263" s="286"/>
      <c r="G263" s="286"/>
      <c r="H263" s="286"/>
      <c r="I263" s="286"/>
      <c r="J263" s="286"/>
      <c r="K263" s="286"/>
      <c r="L263" s="286"/>
      <c r="M263" s="286"/>
      <c r="N263" s="286"/>
      <c r="O263" s="286"/>
      <c r="P263" s="286"/>
      <c r="Q263" s="286"/>
      <c r="R263" s="286"/>
      <c r="S263" s="286"/>
    </row>
    <row r="264" spans="2:19">
      <c r="B264" s="286"/>
      <c r="C264" s="286"/>
      <c r="D264" s="286"/>
      <c r="E264" s="286"/>
      <c r="F264" s="286"/>
      <c r="G264" s="286"/>
      <c r="H264" s="286"/>
      <c r="I264" s="286"/>
      <c r="J264" s="286"/>
      <c r="K264" s="286"/>
      <c r="L264" s="286"/>
      <c r="M264" s="286"/>
      <c r="N264" s="286"/>
      <c r="O264" s="286"/>
      <c r="P264" s="286"/>
      <c r="Q264" s="286"/>
      <c r="R264" s="286"/>
      <c r="S264" s="286"/>
    </row>
    <row r="265" spans="2:19">
      <c r="B265" s="286"/>
      <c r="C265" s="286"/>
      <c r="D265" s="286"/>
      <c r="E265" s="286"/>
      <c r="F265" s="286"/>
      <c r="G265" s="286"/>
      <c r="H265" s="286"/>
      <c r="I265" s="286"/>
      <c r="J265" s="286"/>
      <c r="K265" s="286"/>
      <c r="L265" s="286"/>
      <c r="M265" s="286"/>
      <c r="N265" s="286"/>
      <c r="O265" s="286"/>
      <c r="P265" s="286"/>
      <c r="Q265" s="286"/>
      <c r="R265" s="286"/>
      <c r="S265" s="286"/>
    </row>
    <row r="266" spans="2:19">
      <c r="B266" s="286"/>
      <c r="C266" s="286"/>
      <c r="D266" s="286"/>
      <c r="E266" s="286"/>
      <c r="F266" s="286"/>
      <c r="G266" s="286"/>
      <c r="H266" s="286"/>
      <c r="I266" s="286"/>
      <c r="J266" s="286"/>
      <c r="K266" s="286"/>
      <c r="L266" s="286"/>
      <c r="M266" s="286"/>
      <c r="N266" s="286"/>
      <c r="O266" s="286"/>
      <c r="P266" s="286"/>
      <c r="Q266" s="286"/>
      <c r="R266" s="286"/>
      <c r="S266" s="286"/>
    </row>
    <row r="267" spans="2:19">
      <c r="B267" s="286"/>
      <c r="C267" s="286"/>
      <c r="D267" s="286"/>
      <c r="E267" s="286"/>
      <c r="F267" s="286"/>
      <c r="G267" s="286"/>
      <c r="H267" s="286"/>
      <c r="I267" s="286"/>
      <c r="J267" s="286"/>
      <c r="K267" s="286"/>
      <c r="L267" s="286"/>
      <c r="M267" s="286"/>
      <c r="N267" s="286"/>
      <c r="O267" s="286"/>
      <c r="P267" s="286"/>
      <c r="Q267" s="286"/>
      <c r="R267" s="286"/>
      <c r="S267" s="286"/>
    </row>
    <row r="268" spans="2:19">
      <c r="B268" s="286"/>
      <c r="C268" s="286"/>
      <c r="D268" s="286"/>
      <c r="E268" s="286"/>
      <c r="F268" s="286"/>
      <c r="G268" s="286"/>
      <c r="H268" s="286"/>
      <c r="I268" s="286"/>
      <c r="J268" s="286"/>
      <c r="K268" s="286"/>
      <c r="L268" s="286"/>
      <c r="M268" s="286"/>
      <c r="N268" s="286"/>
      <c r="O268" s="286"/>
      <c r="P268" s="286"/>
      <c r="Q268" s="286"/>
      <c r="R268" s="286"/>
      <c r="S268" s="286"/>
    </row>
    <row r="269" spans="2:19">
      <c r="B269" s="286"/>
      <c r="C269" s="286"/>
      <c r="D269" s="286"/>
      <c r="E269" s="286"/>
      <c r="F269" s="286"/>
      <c r="G269" s="286"/>
      <c r="H269" s="286"/>
      <c r="I269" s="286"/>
      <c r="J269" s="286"/>
      <c r="K269" s="286"/>
      <c r="L269" s="286"/>
      <c r="M269" s="286"/>
      <c r="N269" s="286"/>
      <c r="O269" s="286"/>
      <c r="P269" s="286"/>
      <c r="Q269" s="286"/>
      <c r="R269" s="286"/>
      <c r="S269" s="286"/>
    </row>
    <row r="270" spans="2:19">
      <c r="B270" s="286"/>
      <c r="C270" s="286"/>
      <c r="D270" s="286"/>
      <c r="E270" s="286"/>
      <c r="F270" s="286"/>
      <c r="G270" s="286"/>
      <c r="H270" s="286"/>
      <c r="I270" s="286"/>
      <c r="J270" s="286"/>
      <c r="K270" s="286"/>
      <c r="L270" s="286"/>
      <c r="M270" s="286"/>
      <c r="N270" s="286"/>
      <c r="O270" s="286"/>
      <c r="P270" s="286"/>
      <c r="Q270" s="286"/>
      <c r="R270" s="286"/>
      <c r="S270" s="286"/>
    </row>
    <row r="271" spans="2:19">
      <c r="B271" s="286"/>
      <c r="C271" s="286"/>
      <c r="D271" s="286"/>
      <c r="E271" s="286"/>
      <c r="F271" s="286"/>
      <c r="G271" s="286"/>
      <c r="H271" s="286"/>
      <c r="I271" s="286"/>
      <c r="J271" s="286"/>
      <c r="K271" s="286"/>
      <c r="L271" s="286"/>
      <c r="M271" s="286"/>
      <c r="N271" s="286"/>
      <c r="O271" s="286"/>
      <c r="P271" s="286"/>
      <c r="Q271" s="286"/>
      <c r="R271" s="286"/>
      <c r="S271" s="286"/>
    </row>
    <row r="272" spans="2:19">
      <c r="B272" s="286"/>
      <c r="C272" s="286"/>
      <c r="D272" s="286"/>
      <c r="E272" s="286"/>
      <c r="F272" s="286"/>
      <c r="G272" s="286"/>
      <c r="H272" s="286"/>
      <c r="I272" s="286"/>
      <c r="J272" s="286"/>
      <c r="K272" s="286"/>
      <c r="L272" s="286"/>
      <c r="M272" s="286"/>
      <c r="N272" s="286"/>
      <c r="O272" s="286"/>
      <c r="P272" s="286"/>
      <c r="Q272" s="286"/>
      <c r="R272" s="286"/>
      <c r="S272" s="286"/>
    </row>
    <row r="273" spans="2:19">
      <c r="B273" s="286"/>
      <c r="C273" s="286"/>
      <c r="D273" s="286"/>
      <c r="E273" s="286"/>
      <c r="F273" s="286"/>
      <c r="G273" s="286"/>
      <c r="H273" s="286"/>
      <c r="I273" s="286"/>
      <c r="J273" s="286"/>
      <c r="K273" s="286"/>
      <c r="L273" s="286"/>
      <c r="M273" s="286"/>
      <c r="N273" s="286"/>
      <c r="O273" s="286"/>
      <c r="P273" s="286"/>
      <c r="Q273" s="286"/>
      <c r="R273" s="286"/>
      <c r="S273" s="286"/>
    </row>
    <row r="274" spans="2:19">
      <c r="B274" s="286"/>
      <c r="C274" s="286"/>
      <c r="D274" s="286"/>
      <c r="E274" s="286"/>
      <c r="F274" s="286"/>
      <c r="G274" s="286"/>
      <c r="H274" s="286"/>
      <c r="I274" s="286"/>
      <c r="J274" s="286"/>
      <c r="K274" s="286"/>
      <c r="L274" s="286"/>
      <c r="M274" s="286"/>
      <c r="N274" s="286"/>
      <c r="O274" s="286"/>
      <c r="P274" s="286"/>
      <c r="Q274" s="286"/>
      <c r="R274" s="286"/>
      <c r="S274" s="286"/>
    </row>
    <row r="275" spans="2:19">
      <c r="B275" s="286"/>
      <c r="C275" s="286"/>
      <c r="D275" s="286"/>
      <c r="E275" s="286"/>
      <c r="F275" s="286"/>
      <c r="G275" s="286"/>
      <c r="H275" s="286"/>
      <c r="I275" s="286"/>
      <c r="J275" s="286"/>
      <c r="K275" s="286"/>
      <c r="L275" s="286"/>
      <c r="M275" s="286"/>
      <c r="N275" s="286"/>
      <c r="O275" s="286"/>
      <c r="P275" s="286"/>
      <c r="Q275" s="286"/>
      <c r="R275" s="286"/>
      <c r="S275" s="286"/>
    </row>
    <row r="276" spans="2:19">
      <c r="B276" s="286"/>
      <c r="C276" s="286"/>
      <c r="D276" s="286"/>
      <c r="E276" s="286"/>
      <c r="F276" s="286"/>
      <c r="G276" s="286"/>
      <c r="H276" s="286"/>
      <c r="I276" s="286"/>
      <c r="J276" s="286"/>
      <c r="K276" s="286"/>
      <c r="L276" s="286"/>
      <c r="M276" s="286"/>
      <c r="N276" s="286"/>
      <c r="O276" s="286"/>
      <c r="P276" s="286"/>
      <c r="Q276" s="286"/>
      <c r="R276" s="286"/>
      <c r="S276" s="286"/>
    </row>
    <row r="277" spans="2:19">
      <c r="B277" s="286"/>
      <c r="C277" s="286"/>
      <c r="D277" s="286"/>
      <c r="E277" s="286"/>
      <c r="F277" s="286"/>
      <c r="G277" s="286"/>
      <c r="H277" s="286"/>
      <c r="I277" s="286"/>
      <c r="J277" s="286"/>
      <c r="K277" s="286"/>
      <c r="L277" s="286"/>
      <c r="M277" s="286"/>
      <c r="N277" s="286"/>
      <c r="O277" s="286"/>
      <c r="P277" s="286"/>
      <c r="Q277" s="286"/>
      <c r="R277" s="286"/>
      <c r="S277" s="286"/>
    </row>
    <row r="278" spans="2:19">
      <c r="B278" s="286"/>
      <c r="C278" s="286"/>
      <c r="D278" s="286"/>
      <c r="E278" s="286"/>
      <c r="F278" s="286"/>
      <c r="G278" s="286"/>
      <c r="H278" s="286"/>
      <c r="I278" s="286"/>
      <c r="J278" s="286"/>
      <c r="K278" s="286"/>
      <c r="L278" s="286"/>
      <c r="M278" s="286"/>
      <c r="N278" s="286"/>
      <c r="O278" s="286"/>
      <c r="P278" s="286"/>
      <c r="Q278" s="286"/>
      <c r="R278" s="286"/>
      <c r="S278" s="286"/>
    </row>
    <row r="279" spans="2:19">
      <c r="B279" s="286"/>
      <c r="C279" s="286"/>
      <c r="D279" s="286"/>
      <c r="E279" s="286"/>
      <c r="F279" s="286"/>
      <c r="G279" s="286"/>
      <c r="H279" s="286"/>
      <c r="I279" s="286"/>
      <c r="J279" s="286"/>
      <c r="K279" s="286"/>
      <c r="L279" s="286"/>
      <c r="M279" s="286"/>
      <c r="N279" s="286"/>
      <c r="O279" s="286"/>
      <c r="P279" s="286"/>
      <c r="Q279" s="286"/>
      <c r="R279" s="286"/>
      <c r="S279" s="286"/>
    </row>
    <row r="280" spans="2:19">
      <c r="B280" s="286"/>
      <c r="C280" s="286"/>
      <c r="D280" s="286"/>
      <c r="E280" s="286"/>
      <c r="F280" s="286"/>
      <c r="G280" s="286"/>
      <c r="H280" s="286"/>
      <c r="I280" s="286"/>
      <c r="J280" s="286"/>
      <c r="K280" s="286"/>
      <c r="L280" s="286"/>
      <c r="M280" s="286"/>
      <c r="N280" s="286"/>
      <c r="O280" s="286"/>
      <c r="P280" s="286"/>
      <c r="Q280" s="286"/>
      <c r="R280" s="286"/>
      <c r="S280" s="286"/>
    </row>
    <row r="281" spans="2:19">
      <c r="B281" s="286"/>
      <c r="C281" s="286"/>
      <c r="D281" s="286"/>
      <c r="E281" s="286"/>
      <c r="F281" s="286"/>
      <c r="G281" s="286"/>
      <c r="H281" s="286"/>
      <c r="I281" s="286"/>
      <c r="J281" s="286"/>
      <c r="K281" s="286"/>
      <c r="L281" s="286"/>
      <c r="M281" s="286"/>
      <c r="N281" s="286"/>
      <c r="O281" s="286"/>
      <c r="P281" s="286"/>
      <c r="Q281" s="286"/>
      <c r="R281" s="286"/>
      <c r="S281" s="286"/>
    </row>
    <row r="282" spans="2:19">
      <c r="B282" s="286"/>
      <c r="C282" s="286"/>
      <c r="D282" s="286"/>
      <c r="E282" s="286"/>
      <c r="F282" s="286"/>
      <c r="G282" s="286"/>
      <c r="H282" s="286"/>
      <c r="I282" s="286"/>
      <c r="J282" s="286"/>
      <c r="K282" s="286"/>
      <c r="L282" s="286"/>
      <c r="M282" s="286"/>
      <c r="N282" s="286"/>
      <c r="O282" s="286"/>
      <c r="P282" s="286"/>
      <c r="Q282" s="286"/>
      <c r="R282" s="286"/>
      <c r="S282" s="286"/>
    </row>
    <row r="283" spans="2:19">
      <c r="B283" s="286"/>
      <c r="C283" s="286"/>
      <c r="D283" s="286"/>
      <c r="E283" s="286"/>
      <c r="F283" s="286"/>
      <c r="G283" s="286"/>
      <c r="H283" s="286"/>
      <c r="I283" s="286"/>
      <c r="J283" s="286"/>
      <c r="K283" s="286"/>
      <c r="L283" s="286"/>
      <c r="M283" s="286"/>
      <c r="N283" s="286"/>
      <c r="O283" s="286"/>
      <c r="P283" s="286"/>
      <c r="Q283" s="286"/>
      <c r="R283" s="286"/>
      <c r="S283" s="286"/>
    </row>
    <row r="284" spans="2:19">
      <c r="B284" s="286"/>
      <c r="C284" s="286"/>
      <c r="D284" s="286"/>
      <c r="E284" s="286"/>
      <c r="F284" s="286"/>
      <c r="G284" s="286"/>
      <c r="H284" s="286"/>
      <c r="I284" s="286"/>
      <c r="J284" s="286"/>
      <c r="K284" s="286"/>
      <c r="L284" s="286"/>
      <c r="M284" s="286"/>
      <c r="N284" s="286"/>
      <c r="O284" s="286"/>
      <c r="P284" s="286"/>
      <c r="Q284" s="286"/>
      <c r="R284" s="286"/>
      <c r="S284" s="286"/>
    </row>
    <row r="285" spans="2:19">
      <c r="B285" s="286"/>
      <c r="C285" s="286"/>
      <c r="D285" s="286"/>
      <c r="E285" s="286"/>
      <c r="F285" s="286"/>
      <c r="G285" s="286"/>
      <c r="H285" s="286"/>
      <c r="I285" s="286"/>
      <c r="J285" s="286"/>
      <c r="K285" s="286"/>
      <c r="L285" s="286"/>
      <c r="M285" s="286"/>
      <c r="N285" s="286"/>
      <c r="O285" s="286"/>
      <c r="P285" s="286"/>
      <c r="Q285" s="286"/>
      <c r="R285" s="286"/>
      <c r="S285" s="286"/>
    </row>
    <row r="286" spans="2:19">
      <c r="B286" s="286"/>
      <c r="C286" s="286"/>
      <c r="D286" s="286"/>
      <c r="E286" s="286"/>
      <c r="F286" s="286"/>
      <c r="G286" s="286"/>
      <c r="H286" s="286"/>
      <c r="I286" s="286"/>
      <c r="J286" s="286"/>
      <c r="K286" s="286"/>
      <c r="L286" s="286"/>
      <c r="M286" s="286"/>
      <c r="N286" s="286"/>
      <c r="O286" s="286"/>
      <c r="P286" s="286"/>
      <c r="Q286" s="286"/>
      <c r="R286" s="286"/>
      <c r="S286" s="286"/>
    </row>
    <row r="287" spans="2:19">
      <c r="B287" s="286"/>
      <c r="C287" s="286"/>
      <c r="D287" s="286"/>
      <c r="E287" s="286"/>
      <c r="F287" s="286"/>
      <c r="G287" s="286"/>
      <c r="H287" s="286"/>
      <c r="I287" s="286"/>
      <c r="J287" s="286"/>
      <c r="K287" s="286"/>
      <c r="L287" s="286"/>
      <c r="M287" s="286"/>
      <c r="N287" s="286"/>
      <c r="O287" s="286"/>
      <c r="P287" s="286"/>
      <c r="Q287" s="286"/>
      <c r="R287" s="286"/>
      <c r="S287" s="286"/>
    </row>
    <row r="288" spans="2:19">
      <c r="B288" s="286"/>
      <c r="C288" s="286"/>
      <c r="D288" s="286"/>
      <c r="E288" s="286"/>
      <c r="F288" s="286"/>
      <c r="G288" s="286"/>
      <c r="H288" s="286"/>
      <c r="I288" s="286"/>
      <c r="J288" s="286"/>
      <c r="K288" s="286"/>
      <c r="L288" s="286"/>
      <c r="M288" s="286"/>
      <c r="N288" s="286"/>
      <c r="O288" s="286"/>
      <c r="P288" s="286"/>
      <c r="Q288" s="286"/>
      <c r="R288" s="286"/>
      <c r="S288" s="286"/>
    </row>
    <row r="289" spans="2:19">
      <c r="B289" s="286"/>
      <c r="C289" s="286"/>
      <c r="D289" s="286"/>
      <c r="E289" s="286"/>
      <c r="F289" s="286"/>
      <c r="G289" s="286"/>
      <c r="H289" s="286"/>
      <c r="I289" s="286"/>
      <c r="J289" s="286"/>
      <c r="K289" s="286"/>
      <c r="L289" s="286"/>
      <c r="M289" s="286"/>
      <c r="N289" s="286"/>
      <c r="O289" s="286"/>
      <c r="P289" s="286"/>
      <c r="Q289" s="286"/>
      <c r="R289" s="286"/>
      <c r="S289" s="286"/>
    </row>
    <row r="290" spans="2:19">
      <c r="B290" s="286"/>
      <c r="C290" s="286"/>
      <c r="D290" s="286"/>
      <c r="E290" s="286"/>
      <c r="F290" s="286"/>
      <c r="G290" s="286"/>
      <c r="H290" s="286"/>
      <c r="I290" s="286"/>
      <c r="J290" s="286"/>
      <c r="K290" s="286"/>
      <c r="L290" s="286"/>
      <c r="M290" s="286"/>
      <c r="N290" s="286"/>
      <c r="O290" s="286"/>
      <c r="P290" s="286"/>
      <c r="Q290" s="286"/>
      <c r="R290" s="286"/>
      <c r="S290" s="286"/>
    </row>
    <row r="291" spans="2:19">
      <c r="B291" s="286"/>
      <c r="C291" s="286"/>
      <c r="D291" s="286"/>
      <c r="E291" s="286"/>
      <c r="F291" s="286"/>
      <c r="G291" s="286"/>
      <c r="H291" s="286"/>
      <c r="I291" s="286"/>
      <c r="J291" s="286"/>
      <c r="K291" s="286"/>
      <c r="L291" s="286"/>
      <c r="M291" s="286"/>
      <c r="N291" s="286"/>
      <c r="O291" s="286"/>
      <c r="P291" s="286"/>
      <c r="Q291" s="286"/>
      <c r="R291" s="286"/>
      <c r="S291" s="286"/>
    </row>
    <row r="292" spans="2:19">
      <c r="B292" s="286"/>
      <c r="C292" s="286"/>
      <c r="D292" s="286"/>
      <c r="E292" s="286"/>
      <c r="F292" s="286"/>
      <c r="G292" s="286"/>
      <c r="H292" s="286"/>
      <c r="I292" s="286"/>
      <c r="J292" s="286"/>
      <c r="K292" s="286"/>
      <c r="L292" s="286"/>
      <c r="M292" s="286"/>
      <c r="N292" s="286"/>
      <c r="O292" s="286"/>
      <c r="P292" s="286"/>
      <c r="Q292" s="286"/>
      <c r="R292" s="286"/>
      <c r="S292" s="286"/>
    </row>
    <row r="293" spans="2:19">
      <c r="B293" s="286"/>
      <c r="C293" s="286"/>
      <c r="D293" s="286"/>
      <c r="E293" s="286"/>
      <c r="F293" s="286"/>
      <c r="G293" s="286"/>
      <c r="H293" s="286"/>
      <c r="I293" s="286"/>
      <c r="J293" s="286"/>
      <c r="K293" s="286"/>
      <c r="L293" s="286"/>
      <c r="M293" s="286"/>
      <c r="N293" s="286"/>
      <c r="O293" s="286"/>
      <c r="P293" s="286"/>
      <c r="Q293" s="286"/>
      <c r="R293" s="286"/>
      <c r="S293" s="286"/>
    </row>
    <row r="294" spans="2:19">
      <c r="B294" s="286"/>
      <c r="C294" s="286"/>
      <c r="D294" s="286"/>
      <c r="E294" s="286"/>
      <c r="F294" s="286"/>
      <c r="G294" s="286"/>
      <c r="H294" s="286"/>
      <c r="I294" s="286"/>
      <c r="J294" s="286"/>
      <c r="K294" s="286"/>
      <c r="L294" s="286"/>
      <c r="M294" s="286"/>
      <c r="N294" s="286"/>
      <c r="O294" s="286"/>
      <c r="P294" s="286"/>
      <c r="Q294" s="286"/>
      <c r="R294" s="286"/>
      <c r="S294" s="286"/>
    </row>
    <row r="295" spans="2:19">
      <c r="B295" s="286"/>
      <c r="C295" s="286"/>
      <c r="D295" s="286"/>
      <c r="E295" s="286"/>
      <c r="F295" s="286"/>
      <c r="G295" s="286"/>
      <c r="H295" s="286"/>
      <c r="I295" s="286"/>
      <c r="J295" s="286"/>
      <c r="K295" s="286"/>
      <c r="L295" s="286"/>
      <c r="M295" s="286"/>
      <c r="N295" s="286"/>
      <c r="O295" s="286"/>
      <c r="P295" s="286"/>
      <c r="Q295" s="286"/>
      <c r="R295" s="286"/>
      <c r="S295" s="286"/>
    </row>
    <row r="296" spans="2:19">
      <c r="B296" s="286"/>
      <c r="C296" s="286"/>
      <c r="D296" s="286"/>
      <c r="E296" s="286"/>
      <c r="F296" s="286"/>
      <c r="G296" s="286"/>
      <c r="H296" s="286"/>
      <c r="I296" s="286"/>
      <c r="J296" s="286"/>
      <c r="K296" s="286"/>
      <c r="L296" s="286"/>
      <c r="M296" s="286"/>
      <c r="N296" s="286"/>
      <c r="O296" s="286"/>
      <c r="P296" s="286"/>
      <c r="Q296" s="286"/>
      <c r="R296" s="286"/>
      <c r="S296" s="286"/>
    </row>
    <row r="297" spans="2:19">
      <c r="B297" s="286"/>
      <c r="C297" s="286"/>
      <c r="D297" s="286"/>
      <c r="E297" s="286"/>
      <c r="F297" s="286"/>
      <c r="G297" s="286"/>
      <c r="H297" s="286"/>
      <c r="I297" s="286"/>
      <c r="J297" s="286"/>
      <c r="K297" s="286"/>
      <c r="L297" s="286"/>
      <c r="M297" s="286"/>
      <c r="N297" s="286"/>
      <c r="O297" s="286"/>
      <c r="P297" s="286"/>
      <c r="Q297" s="286"/>
      <c r="R297" s="286"/>
      <c r="S297" s="286"/>
    </row>
    <row r="298" spans="2:19">
      <c r="B298" s="286"/>
      <c r="C298" s="286"/>
      <c r="D298" s="286"/>
      <c r="E298" s="286"/>
      <c r="F298" s="286"/>
      <c r="G298" s="286"/>
      <c r="H298" s="286"/>
      <c r="I298" s="286"/>
      <c r="J298" s="286"/>
      <c r="K298" s="286"/>
      <c r="L298" s="286"/>
      <c r="M298" s="286"/>
      <c r="N298" s="286"/>
      <c r="O298" s="286"/>
      <c r="P298" s="286"/>
      <c r="Q298" s="286"/>
      <c r="R298" s="286"/>
      <c r="S298" s="286"/>
    </row>
    <row r="299" spans="2:19">
      <c r="B299" s="286"/>
      <c r="C299" s="286"/>
      <c r="D299" s="286"/>
      <c r="E299" s="286"/>
      <c r="F299" s="286"/>
      <c r="G299" s="286"/>
      <c r="H299" s="286"/>
      <c r="I299" s="286"/>
      <c r="J299" s="286"/>
      <c r="K299" s="286"/>
      <c r="L299" s="286"/>
      <c r="M299" s="286"/>
      <c r="N299" s="286"/>
      <c r="O299" s="286"/>
      <c r="P299" s="286"/>
      <c r="Q299" s="286"/>
      <c r="R299" s="286"/>
      <c r="S299" s="286"/>
    </row>
    <row r="300" spans="2:19" ht="44.25" customHeight="1">
      <c r="B300" s="286"/>
      <c r="C300" s="286"/>
      <c r="D300" s="286"/>
      <c r="E300" s="286"/>
      <c r="F300" s="286"/>
      <c r="G300" s="286"/>
      <c r="H300" s="286"/>
      <c r="I300" s="286"/>
      <c r="J300" s="286"/>
      <c r="K300" s="286"/>
      <c r="L300" s="286"/>
      <c r="M300" s="286"/>
      <c r="N300" s="286"/>
      <c r="O300" s="286"/>
      <c r="P300" s="286"/>
      <c r="Q300" s="286"/>
      <c r="R300" s="286"/>
      <c r="S300" s="286"/>
    </row>
    <row r="301" spans="2:19">
      <c r="B301" s="286"/>
      <c r="C301" s="286"/>
      <c r="D301" s="286"/>
      <c r="E301" s="286"/>
      <c r="F301" s="286"/>
      <c r="G301" s="286"/>
      <c r="H301" s="286"/>
      <c r="I301" s="286"/>
      <c r="J301" s="286"/>
      <c r="K301" s="286"/>
      <c r="L301" s="286"/>
      <c r="M301" s="286"/>
      <c r="N301" s="286"/>
      <c r="O301" s="286"/>
      <c r="P301" s="286"/>
      <c r="Q301" s="286"/>
      <c r="R301" s="286"/>
      <c r="S301" s="286"/>
    </row>
    <row r="302" spans="2:19" ht="19.5" customHeight="1">
      <c r="B302" s="286"/>
      <c r="C302" s="286"/>
      <c r="D302" s="286"/>
      <c r="E302" s="286"/>
      <c r="F302" s="286"/>
      <c r="G302" s="286"/>
      <c r="H302" s="286"/>
      <c r="I302" s="286"/>
      <c r="J302" s="286"/>
      <c r="K302" s="286"/>
      <c r="L302" s="286"/>
      <c r="M302" s="286"/>
      <c r="N302" s="286"/>
      <c r="O302" s="286"/>
      <c r="P302" s="286"/>
      <c r="Q302" s="286"/>
      <c r="R302" s="286"/>
      <c r="S302" s="286"/>
    </row>
    <row r="303" spans="2:19">
      <c r="B303" s="286"/>
      <c r="C303" s="286"/>
      <c r="D303" s="286"/>
      <c r="E303" s="286"/>
      <c r="F303" s="286"/>
      <c r="G303" s="286"/>
      <c r="H303" s="286"/>
      <c r="I303" s="286"/>
      <c r="J303" s="286"/>
      <c r="K303" s="286"/>
      <c r="L303" s="286"/>
      <c r="M303" s="286"/>
      <c r="N303" s="286"/>
      <c r="O303" s="286"/>
      <c r="P303" s="286"/>
      <c r="Q303" s="286"/>
      <c r="R303" s="286"/>
      <c r="S303" s="286"/>
    </row>
    <row r="304" spans="2:19">
      <c r="B304" s="286"/>
      <c r="C304" s="286"/>
      <c r="D304" s="286"/>
      <c r="E304" s="286"/>
      <c r="F304" s="286"/>
      <c r="G304" s="286"/>
      <c r="H304" s="286"/>
      <c r="I304" s="286"/>
      <c r="J304" s="286"/>
    </row>
    <row r="305" spans="2:10">
      <c r="B305" s="286"/>
      <c r="C305" s="286"/>
      <c r="D305" s="286"/>
      <c r="E305" s="286"/>
      <c r="F305" s="286"/>
      <c r="G305" s="286"/>
      <c r="H305" s="286"/>
      <c r="I305" s="286"/>
      <c r="J305" s="286"/>
    </row>
    <row r="306" spans="2:10">
      <c r="B306" s="286"/>
      <c r="C306" s="286"/>
      <c r="D306" s="286"/>
      <c r="E306" s="286"/>
      <c r="F306" s="286"/>
      <c r="G306" s="286"/>
      <c r="H306" s="286"/>
      <c r="I306" s="286"/>
      <c r="J306" s="286"/>
    </row>
    <row r="307" spans="2:10">
      <c r="B307" s="286"/>
      <c r="C307" s="286"/>
      <c r="D307" s="286"/>
      <c r="E307" s="286"/>
      <c r="F307" s="286"/>
      <c r="G307" s="286"/>
      <c r="H307" s="286"/>
      <c r="I307" s="286"/>
      <c r="J307" s="286"/>
    </row>
    <row r="308" spans="2:10">
      <c r="B308" s="286"/>
      <c r="C308" s="286"/>
      <c r="D308" s="286"/>
      <c r="E308" s="286"/>
      <c r="F308" s="286"/>
      <c r="G308" s="286"/>
      <c r="H308" s="286"/>
      <c r="I308" s="286"/>
      <c r="J308" s="286"/>
    </row>
    <row r="309" spans="2:10">
      <c r="B309" s="286"/>
      <c r="C309" s="286"/>
      <c r="D309" s="286"/>
      <c r="E309" s="286"/>
      <c r="F309" s="286"/>
      <c r="G309" s="286"/>
      <c r="H309" s="286"/>
      <c r="I309" s="286"/>
      <c r="J309" s="286"/>
    </row>
    <row r="310" spans="2:10">
      <c r="B310" s="286"/>
      <c r="C310" s="286"/>
      <c r="D310" s="286"/>
      <c r="E310" s="286"/>
      <c r="F310" s="286"/>
      <c r="G310" s="286"/>
      <c r="H310" s="286"/>
      <c r="I310" s="286"/>
      <c r="J310" s="286"/>
    </row>
    <row r="311" spans="2:10">
      <c r="B311" s="286"/>
      <c r="C311" s="286"/>
      <c r="D311" s="286"/>
      <c r="E311" s="286"/>
      <c r="F311" s="286"/>
      <c r="G311" s="286"/>
      <c r="H311" s="286"/>
      <c r="I311" s="286"/>
      <c r="J311" s="286"/>
    </row>
    <row r="312" spans="2:10">
      <c r="B312" s="286"/>
      <c r="C312" s="286"/>
      <c r="D312" s="286"/>
      <c r="E312" s="286"/>
      <c r="F312" s="286"/>
      <c r="G312" s="286"/>
      <c r="H312" s="286"/>
      <c r="I312" s="286"/>
      <c r="J312" s="286"/>
    </row>
    <row r="313" spans="2:10">
      <c r="B313" s="286"/>
      <c r="C313" s="286"/>
      <c r="D313" s="286"/>
      <c r="E313" s="286"/>
      <c r="F313" s="286"/>
      <c r="G313" s="286"/>
      <c r="H313" s="286"/>
      <c r="I313" s="286"/>
      <c r="J313" s="286"/>
    </row>
    <row r="314" spans="2:10">
      <c r="B314" s="286"/>
      <c r="C314" s="286"/>
      <c r="D314" s="286"/>
      <c r="E314" s="286"/>
      <c r="F314" s="286"/>
      <c r="G314" s="286"/>
      <c r="H314" s="286"/>
      <c r="I314" s="286"/>
      <c r="J314" s="286"/>
    </row>
    <row r="315" spans="2:10">
      <c r="B315" s="286"/>
      <c r="C315" s="286"/>
      <c r="D315" s="286"/>
      <c r="E315" s="286"/>
      <c r="F315" s="286"/>
      <c r="G315" s="286"/>
      <c r="H315" s="286"/>
      <c r="I315" s="286"/>
      <c r="J315" s="286"/>
    </row>
    <row r="316" spans="2:10">
      <c r="B316" s="286"/>
      <c r="C316" s="286"/>
      <c r="D316" s="286"/>
      <c r="E316" s="286"/>
      <c r="F316" s="286"/>
      <c r="G316" s="286"/>
      <c r="H316" s="286"/>
      <c r="I316" s="286"/>
      <c r="J316" s="286"/>
    </row>
    <row r="317" spans="2:10">
      <c r="B317" s="286"/>
      <c r="C317" s="286"/>
      <c r="D317" s="286"/>
      <c r="E317" s="286"/>
      <c r="F317" s="286"/>
      <c r="G317" s="286"/>
      <c r="H317" s="286"/>
      <c r="I317" s="286"/>
      <c r="J317" s="286"/>
    </row>
    <row r="318" spans="2:10">
      <c r="B318" s="286"/>
      <c r="C318" s="286"/>
      <c r="D318" s="286"/>
      <c r="E318" s="286"/>
      <c r="F318" s="286"/>
      <c r="G318" s="286"/>
      <c r="H318" s="286"/>
      <c r="I318" s="286"/>
      <c r="J318" s="286"/>
    </row>
    <row r="319" spans="2:10">
      <c r="B319" s="286"/>
      <c r="C319" s="286"/>
      <c r="D319" s="286"/>
      <c r="E319" s="286"/>
      <c r="F319" s="286"/>
      <c r="G319" s="286"/>
      <c r="H319" s="286"/>
      <c r="I319" s="286"/>
      <c r="J319" s="286"/>
    </row>
    <row r="320" spans="2:10">
      <c r="B320" s="286"/>
      <c r="C320" s="286"/>
      <c r="D320" s="286"/>
      <c r="E320" s="286"/>
      <c r="F320" s="286"/>
      <c r="G320" s="286"/>
      <c r="H320" s="286"/>
      <c r="I320" s="286"/>
      <c r="J320" s="286"/>
    </row>
    <row r="321" spans="2:10">
      <c r="B321" s="286"/>
      <c r="C321" s="286"/>
      <c r="D321" s="286"/>
      <c r="E321" s="286"/>
      <c r="F321" s="286"/>
      <c r="G321" s="286"/>
      <c r="H321" s="286"/>
      <c r="I321" s="286"/>
      <c r="J321" s="286"/>
    </row>
    <row r="322" spans="2:10">
      <c r="B322" s="286"/>
      <c r="C322" s="286"/>
      <c r="D322" s="286"/>
      <c r="E322" s="286"/>
      <c r="F322" s="286"/>
      <c r="G322" s="286"/>
      <c r="H322" s="286"/>
      <c r="I322" s="286"/>
      <c r="J322" s="286"/>
    </row>
    <row r="323" spans="2:10">
      <c r="B323" s="286"/>
      <c r="C323" s="286"/>
      <c r="D323" s="286"/>
      <c r="E323" s="286"/>
      <c r="F323" s="286"/>
      <c r="G323" s="286"/>
      <c r="H323" s="286"/>
      <c r="I323" s="286"/>
      <c r="J323" s="286"/>
    </row>
    <row r="324" spans="2:10">
      <c r="B324" s="286"/>
      <c r="C324" s="286"/>
      <c r="D324" s="286"/>
      <c r="E324" s="286"/>
      <c r="F324" s="286"/>
      <c r="G324" s="286"/>
      <c r="H324" s="286"/>
      <c r="I324" s="286"/>
      <c r="J324" s="286"/>
    </row>
    <row r="325" spans="2:10">
      <c r="B325" s="286"/>
      <c r="C325" s="286"/>
      <c r="D325" s="286"/>
      <c r="E325" s="286"/>
      <c r="F325" s="286"/>
      <c r="G325" s="286"/>
      <c r="H325" s="286"/>
      <c r="I325" s="286"/>
      <c r="J325" s="286"/>
    </row>
    <row r="326" spans="2:10">
      <c r="B326" s="286"/>
      <c r="C326" s="286"/>
      <c r="D326" s="286"/>
      <c r="E326" s="286"/>
      <c r="F326" s="286"/>
      <c r="G326" s="286"/>
      <c r="H326" s="286"/>
      <c r="I326" s="286"/>
      <c r="J326" s="286"/>
    </row>
    <row r="327" spans="2:10">
      <c r="B327" s="286"/>
      <c r="C327" s="286"/>
      <c r="D327" s="286"/>
      <c r="E327" s="286"/>
      <c r="F327" s="286"/>
      <c r="G327" s="286"/>
      <c r="H327" s="286"/>
      <c r="I327" s="286"/>
      <c r="J327" s="286"/>
    </row>
    <row r="328" spans="2:10">
      <c r="B328" s="286"/>
      <c r="C328" s="286"/>
      <c r="D328" s="286"/>
      <c r="E328" s="286"/>
      <c r="F328" s="286"/>
      <c r="G328" s="286"/>
      <c r="H328" s="286"/>
      <c r="I328" s="286"/>
      <c r="J328" s="286"/>
    </row>
    <row r="329" spans="2:10">
      <c r="B329" s="286"/>
      <c r="C329" s="286"/>
      <c r="D329" s="286"/>
      <c r="E329" s="286"/>
      <c r="F329" s="286"/>
      <c r="G329" s="286"/>
      <c r="H329" s="286"/>
      <c r="I329" s="286"/>
      <c r="J329" s="286"/>
    </row>
    <row r="330" spans="2:10">
      <c r="B330" s="286"/>
      <c r="C330" s="286"/>
      <c r="D330" s="286"/>
      <c r="E330" s="286"/>
      <c r="F330" s="286"/>
      <c r="G330" s="286"/>
      <c r="H330" s="286"/>
      <c r="I330" s="286"/>
      <c r="J330" s="286"/>
    </row>
    <row r="331" spans="2:10">
      <c r="B331" s="286"/>
      <c r="C331" s="286"/>
      <c r="D331" s="286"/>
      <c r="E331" s="286"/>
      <c r="F331" s="286"/>
      <c r="G331" s="286"/>
      <c r="H331" s="286"/>
      <c r="I331" s="286"/>
      <c r="J331" s="286"/>
    </row>
    <row r="332" spans="2:10">
      <c r="B332" s="286"/>
      <c r="C332" s="286"/>
      <c r="D332" s="286"/>
      <c r="E332" s="286"/>
      <c r="F332" s="286"/>
      <c r="G332" s="286"/>
      <c r="H332" s="286"/>
      <c r="I332" s="286"/>
      <c r="J332" s="286"/>
    </row>
    <row r="333" spans="2:10">
      <c r="B333" s="286"/>
      <c r="C333" s="286"/>
      <c r="D333" s="286"/>
      <c r="E333" s="286"/>
      <c r="F333" s="286"/>
      <c r="G333" s="286"/>
      <c r="H333" s="286"/>
      <c r="I333" s="286"/>
      <c r="J333" s="286"/>
    </row>
    <row r="334" spans="2:10">
      <c r="B334" s="286"/>
      <c r="C334" s="286"/>
      <c r="D334" s="286"/>
      <c r="E334" s="286"/>
      <c r="F334" s="286"/>
      <c r="G334" s="286"/>
      <c r="H334" s="286"/>
      <c r="I334" s="286"/>
      <c r="J334" s="286"/>
    </row>
    <row r="335" spans="2:10">
      <c r="B335" s="286"/>
      <c r="C335" s="286"/>
      <c r="D335" s="286"/>
      <c r="E335" s="286"/>
      <c r="F335" s="286"/>
      <c r="G335" s="286"/>
      <c r="H335" s="286"/>
      <c r="I335" s="286"/>
      <c r="J335" s="286"/>
    </row>
    <row r="336" spans="2:10">
      <c r="B336" s="286"/>
      <c r="C336" s="286"/>
      <c r="D336" s="286"/>
      <c r="E336" s="286"/>
      <c r="F336" s="286"/>
      <c r="G336" s="286"/>
      <c r="H336" s="286"/>
      <c r="I336" s="286"/>
      <c r="J336" s="286"/>
    </row>
    <row r="337" spans="2:10">
      <c r="B337" s="286"/>
      <c r="C337" s="286"/>
      <c r="D337" s="286"/>
      <c r="E337" s="286"/>
      <c r="F337" s="286"/>
      <c r="G337" s="286"/>
      <c r="H337" s="286"/>
      <c r="I337" s="286"/>
      <c r="J337" s="286"/>
    </row>
    <row r="338" spans="2:10">
      <c r="B338" s="286"/>
      <c r="C338" s="286"/>
      <c r="D338" s="286"/>
      <c r="E338" s="286"/>
      <c r="F338" s="286"/>
      <c r="G338" s="286"/>
      <c r="H338" s="286"/>
      <c r="I338" s="286"/>
      <c r="J338" s="286"/>
    </row>
    <row r="339" spans="2:10">
      <c r="B339" s="286"/>
      <c r="C339" s="286"/>
      <c r="D339" s="286"/>
      <c r="E339" s="286"/>
      <c r="F339" s="286"/>
      <c r="G339" s="286"/>
      <c r="H339" s="286"/>
      <c r="I339" s="286"/>
      <c r="J339" s="286"/>
    </row>
    <row r="340" spans="2:10">
      <c r="B340" s="286"/>
      <c r="C340" s="286"/>
      <c r="D340" s="286"/>
      <c r="E340" s="286"/>
      <c r="F340" s="286"/>
      <c r="G340" s="286"/>
      <c r="H340" s="286"/>
      <c r="I340" s="286"/>
      <c r="J340" s="286"/>
    </row>
    <row r="341" spans="2:10">
      <c r="B341" s="286"/>
      <c r="C341" s="286"/>
      <c r="D341" s="286"/>
      <c r="E341" s="286"/>
      <c r="F341" s="286"/>
      <c r="G341" s="286"/>
      <c r="H341" s="286"/>
      <c r="I341" s="286"/>
      <c r="J341" s="286"/>
    </row>
    <row r="342" spans="2:10">
      <c r="B342" s="286"/>
      <c r="C342" s="286"/>
      <c r="D342" s="286"/>
      <c r="E342" s="286"/>
      <c r="F342" s="286"/>
      <c r="G342" s="286"/>
      <c r="H342" s="286"/>
      <c r="I342" s="286"/>
      <c r="J342" s="286"/>
    </row>
    <row r="343" spans="2:10">
      <c r="B343" s="286"/>
      <c r="C343" s="286"/>
      <c r="D343" s="286"/>
      <c r="E343" s="286"/>
      <c r="F343" s="286"/>
      <c r="G343" s="286"/>
      <c r="H343" s="286"/>
      <c r="I343" s="286"/>
      <c r="J343" s="286"/>
    </row>
    <row r="344" spans="2:10">
      <c r="B344" s="286"/>
      <c r="C344" s="286"/>
      <c r="D344" s="286"/>
      <c r="E344" s="286"/>
      <c r="F344" s="286"/>
      <c r="G344" s="286"/>
      <c r="H344" s="286"/>
      <c r="I344" s="286"/>
      <c r="J344" s="286"/>
    </row>
    <row r="345" spans="2:10">
      <c r="B345" s="286"/>
      <c r="C345" s="286"/>
      <c r="D345" s="286"/>
      <c r="E345" s="286"/>
      <c r="F345" s="286"/>
      <c r="G345" s="286"/>
      <c r="H345" s="286"/>
      <c r="I345" s="286"/>
      <c r="J345" s="286"/>
    </row>
    <row r="346" spans="2:10">
      <c r="B346" s="286"/>
      <c r="C346" s="286"/>
      <c r="D346" s="286"/>
      <c r="E346" s="286"/>
      <c r="F346" s="286"/>
      <c r="G346" s="286"/>
      <c r="H346" s="286"/>
      <c r="I346" s="286"/>
      <c r="J346" s="286"/>
    </row>
    <row r="347" spans="2:10">
      <c r="B347" s="286"/>
      <c r="C347" s="286"/>
      <c r="D347" s="286"/>
      <c r="E347" s="286"/>
      <c r="F347" s="286"/>
      <c r="G347" s="286"/>
      <c r="H347" s="286"/>
      <c r="I347" s="286"/>
      <c r="J347" s="286"/>
    </row>
    <row r="348" spans="2:10">
      <c r="B348" s="286"/>
      <c r="C348" s="286"/>
      <c r="D348" s="286"/>
      <c r="E348" s="286"/>
      <c r="F348" s="286"/>
      <c r="G348" s="286"/>
      <c r="H348" s="286"/>
      <c r="I348" s="286"/>
      <c r="J348" s="286"/>
    </row>
    <row r="349" spans="2:10">
      <c r="B349" s="286"/>
      <c r="C349" s="286"/>
      <c r="D349" s="286"/>
      <c r="E349" s="286"/>
      <c r="F349" s="286"/>
      <c r="G349" s="286"/>
      <c r="H349" s="286"/>
      <c r="I349" s="286"/>
      <c r="J349" s="286"/>
    </row>
    <row r="350" spans="2:10">
      <c r="B350" s="286"/>
      <c r="C350" s="286"/>
      <c r="D350" s="286"/>
      <c r="E350" s="286"/>
      <c r="F350" s="286"/>
      <c r="G350" s="286"/>
      <c r="H350" s="286"/>
      <c r="I350" s="286"/>
      <c r="J350" s="286"/>
    </row>
    <row r="351" spans="2:10">
      <c r="B351" s="286"/>
      <c r="C351" s="286"/>
      <c r="D351" s="286"/>
      <c r="E351" s="286"/>
      <c r="F351" s="286"/>
      <c r="G351" s="286"/>
      <c r="H351" s="286"/>
      <c r="I351" s="286"/>
      <c r="J351" s="286"/>
    </row>
    <row r="352" spans="2:10" ht="26.25" customHeight="1">
      <c r="B352" s="286"/>
      <c r="C352" s="286"/>
      <c r="D352" s="286"/>
      <c r="E352" s="286"/>
      <c r="F352" s="286"/>
      <c r="G352" s="286"/>
      <c r="H352" s="286"/>
      <c r="I352" s="286"/>
      <c r="J352" s="286"/>
    </row>
    <row r="353" spans="2:10">
      <c r="B353" s="286"/>
      <c r="C353" s="286"/>
      <c r="D353" s="286"/>
      <c r="E353" s="286"/>
      <c r="F353" s="286"/>
      <c r="G353" s="286"/>
      <c r="H353" s="286"/>
      <c r="I353" s="286"/>
      <c r="J353" s="286"/>
    </row>
    <row r="354" spans="2:10">
      <c r="B354" s="286"/>
      <c r="C354" s="286"/>
      <c r="D354" s="286"/>
      <c r="E354" s="286"/>
      <c r="F354" s="286"/>
      <c r="G354" s="286"/>
      <c r="H354" s="286"/>
      <c r="I354" s="286"/>
      <c r="J354" s="286"/>
    </row>
    <row r="355" spans="2:10">
      <c r="B355" s="286"/>
      <c r="C355" s="286"/>
      <c r="D355" s="286"/>
      <c r="E355" s="286"/>
      <c r="F355" s="286"/>
      <c r="G355" s="286"/>
      <c r="H355" s="286"/>
      <c r="I355" s="286"/>
      <c r="J355" s="286"/>
    </row>
    <row r="356" spans="2:10">
      <c r="B356" s="286"/>
      <c r="C356" s="286"/>
      <c r="D356" s="286"/>
      <c r="E356" s="286"/>
      <c r="F356" s="286"/>
      <c r="G356" s="286"/>
      <c r="H356" s="286"/>
      <c r="I356" s="286"/>
      <c r="J356" s="286"/>
    </row>
    <row r="357" spans="2:10">
      <c r="B357" s="286"/>
      <c r="C357" s="286"/>
      <c r="D357" s="286"/>
      <c r="E357" s="286"/>
      <c r="F357" s="286"/>
      <c r="G357" s="286"/>
      <c r="H357" s="286"/>
      <c r="I357" s="286"/>
      <c r="J357" s="286"/>
    </row>
    <row r="358" spans="2:10">
      <c r="B358" s="286"/>
      <c r="C358" s="286"/>
      <c r="D358" s="286"/>
      <c r="E358" s="286"/>
      <c r="F358" s="286"/>
      <c r="G358" s="286"/>
      <c r="H358" s="286"/>
      <c r="I358" s="286"/>
      <c r="J358" s="286"/>
    </row>
    <row r="359" spans="2:10">
      <c r="B359" s="286"/>
      <c r="C359" s="286"/>
      <c r="D359" s="286"/>
      <c r="E359" s="286"/>
      <c r="F359" s="286"/>
      <c r="G359" s="286"/>
      <c r="H359" s="286"/>
      <c r="I359" s="286"/>
      <c r="J359" s="286"/>
    </row>
    <row r="360" spans="2:10">
      <c r="B360" s="286"/>
      <c r="C360" s="286"/>
      <c r="D360" s="286"/>
      <c r="E360" s="286"/>
      <c r="F360" s="286"/>
      <c r="G360" s="286"/>
      <c r="H360" s="286"/>
      <c r="I360" s="286"/>
      <c r="J360" s="286"/>
    </row>
    <row r="361" spans="2:10">
      <c r="B361" s="286"/>
      <c r="C361" s="286"/>
      <c r="D361" s="286"/>
      <c r="E361" s="286"/>
      <c r="F361" s="286"/>
      <c r="G361" s="286"/>
      <c r="H361" s="286"/>
      <c r="I361" s="286"/>
      <c r="J361" s="286"/>
    </row>
    <row r="362" spans="2:10">
      <c r="B362" s="286"/>
      <c r="C362" s="286"/>
      <c r="D362" s="286"/>
      <c r="E362" s="286"/>
      <c r="F362" s="286"/>
      <c r="G362" s="286"/>
      <c r="H362" s="286"/>
      <c r="I362" s="286"/>
      <c r="J362" s="286"/>
    </row>
    <row r="363" spans="2:10">
      <c r="B363" s="286"/>
      <c r="C363" s="286"/>
      <c r="D363" s="286"/>
      <c r="E363" s="286"/>
      <c r="F363" s="286"/>
      <c r="G363" s="286"/>
      <c r="H363" s="286"/>
      <c r="I363" s="286"/>
      <c r="J363" s="286"/>
    </row>
    <row r="364" spans="2:10">
      <c r="B364" s="286"/>
      <c r="C364" s="286"/>
      <c r="D364" s="286"/>
      <c r="E364" s="286"/>
      <c r="F364" s="286"/>
      <c r="G364" s="286"/>
      <c r="H364" s="286"/>
      <c r="I364" s="286"/>
      <c r="J364" s="286"/>
    </row>
    <row r="365" spans="2:10">
      <c r="B365" s="286"/>
      <c r="C365" s="286"/>
      <c r="D365" s="286"/>
      <c r="E365" s="286"/>
      <c r="F365" s="286"/>
      <c r="G365" s="286"/>
      <c r="H365" s="286"/>
      <c r="I365" s="286"/>
      <c r="J365" s="286"/>
    </row>
    <row r="366" spans="2:10">
      <c r="B366" s="286"/>
      <c r="C366" s="286"/>
      <c r="D366" s="286"/>
      <c r="E366" s="286"/>
      <c r="F366" s="286"/>
      <c r="G366" s="286"/>
      <c r="H366" s="286"/>
      <c r="I366" s="286"/>
      <c r="J366" s="286"/>
    </row>
    <row r="367" spans="2:10">
      <c r="B367" s="286"/>
      <c r="C367" s="286"/>
      <c r="D367" s="286"/>
      <c r="E367" s="286"/>
      <c r="F367" s="286"/>
      <c r="G367" s="286"/>
      <c r="H367" s="286"/>
      <c r="I367" s="286"/>
      <c r="J367" s="286"/>
    </row>
    <row r="368" spans="2:10">
      <c r="B368" s="286"/>
      <c r="C368" s="286"/>
      <c r="D368" s="286"/>
      <c r="E368" s="286"/>
      <c r="F368" s="286"/>
      <c r="G368" s="286"/>
      <c r="H368" s="286"/>
      <c r="I368" s="286"/>
      <c r="J368" s="286"/>
    </row>
    <row r="369" spans="2:10">
      <c r="B369" s="286"/>
      <c r="C369" s="286"/>
      <c r="D369" s="286"/>
      <c r="E369" s="286"/>
      <c r="F369" s="286"/>
      <c r="G369" s="286"/>
      <c r="H369" s="286"/>
      <c r="I369" s="286"/>
      <c r="J369" s="286"/>
    </row>
    <row r="370" spans="2:10">
      <c r="B370" s="286"/>
      <c r="C370" s="286"/>
      <c r="D370" s="286"/>
      <c r="E370" s="286"/>
      <c r="F370" s="286"/>
      <c r="G370" s="286"/>
      <c r="H370" s="286"/>
      <c r="I370" s="286"/>
      <c r="J370" s="286"/>
    </row>
    <row r="371" spans="2:10">
      <c r="B371" s="286"/>
      <c r="C371" s="286"/>
      <c r="D371" s="286"/>
      <c r="E371" s="286"/>
      <c r="F371" s="286"/>
      <c r="G371" s="286"/>
      <c r="H371" s="286"/>
      <c r="I371" s="286"/>
      <c r="J371" s="286"/>
    </row>
    <row r="372" spans="2:10">
      <c r="B372" s="286"/>
      <c r="C372" s="286"/>
      <c r="D372" s="286"/>
      <c r="E372" s="286"/>
      <c r="F372" s="286"/>
      <c r="G372" s="286"/>
      <c r="H372" s="286"/>
      <c r="I372" s="286"/>
      <c r="J372" s="286"/>
    </row>
    <row r="373" spans="2:10">
      <c r="B373" s="286"/>
      <c r="C373" s="286"/>
      <c r="D373" s="286"/>
      <c r="E373" s="286"/>
      <c r="F373" s="286"/>
      <c r="G373" s="286"/>
      <c r="H373" s="286"/>
      <c r="I373" s="286"/>
      <c r="J373" s="286"/>
    </row>
    <row r="374" spans="2:10">
      <c r="B374" s="286"/>
      <c r="C374" s="286"/>
      <c r="D374" s="286"/>
      <c r="E374" s="286"/>
      <c r="F374" s="286"/>
      <c r="G374" s="286"/>
      <c r="H374" s="286"/>
      <c r="I374" s="286"/>
      <c r="J374" s="286"/>
    </row>
    <row r="375" spans="2:10">
      <c r="B375" s="286"/>
      <c r="C375" s="286"/>
      <c r="D375" s="286"/>
      <c r="E375" s="286"/>
      <c r="F375" s="286"/>
      <c r="G375" s="286"/>
      <c r="H375" s="286"/>
      <c r="I375" s="286"/>
      <c r="J375" s="286"/>
    </row>
    <row r="376" spans="2:10">
      <c r="B376" s="286"/>
      <c r="C376" s="286"/>
      <c r="D376" s="286"/>
      <c r="E376" s="286"/>
      <c r="F376" s="286"/>
      <c r="G376" s="286"/>
      <c r="H376" s="286"/>
      <c r="I376" s="286"/>
      <c r="J376" s="286"/>
    </row>
    <row r="377" spans="2:10">
      <c r="B377" s="286"/>
      <c r="C377" s="286"/>
      <c r="D377" s="286"/>
      <c r="E377" s="286"/>
      <c r="F377" s="286"/>
      <c r="G377" s="286"/>
      <c r="H377" s="286"/>
      <c r="I377" s="286"/>
      <c r="J377" s="286"/>
    </row>
    <row r="378" spans="2:10">
      <c r="B378" s="286"/>
      <c r="C378" s="286"/>
      <c r="D378" s="286"/>
      <c r="E378" s="286"/>
      <c r="F378" s="286"/>
      <c r="G378" s="286"/>
      <c r="H378" s="286"/>
      <c r="I378" s="286"/>
      <c r="J378" s="286"/>
    </row>
    <row r="379" spans="2:10">
      <c r="B379" s="286"/>
      <c r="C379" s="286"/>
      <c r="D379" s="286"/>
      <c r="E379" s="286"/>
      <c r="F379" s="286"/>
      <c r="G379" s="286"/>
      <c r="H379" s="286"/>
      <c r="I379" s="286"/>
      <c r="J379" s="286"/>
    </row>
    <row r="380" spans="2:10">
      <c r="B380" s="286"/>
      <c r="C380" s="286"/>
      <c r="D380" s="286"/>
      <c r="E380" s="286"/>
      <c r="F380" s="286"/>
      <c r="G380" s="286"/>
      <c r="H380" s="286"/>
      <c r="I380" s="286"/>
      <c r="J380" s="286"/>
    </row>
    <row r="381" spans="2:10">
      <c r="B381" s="286"/>
      <c r="C381" s="286"/>
      <c r="D381" s="286"/>
      <c r="E381" s="286"/>
      <c r="F381" s="286"/>
      <c r="G381" s="286"/>
      <c r="H381" s="286"/>
      <c r="I381" s="286"/>
      <c r="J381" s="286"/>
    </row>
    <row r="382" spans="2:10">
      <c r="B382" s="286"/>
      <c r="C382" s="286"/>
      <c r="D382" s="286"/>
      <c r="E382" s="286"/>
      <c r="F382" s="286"/>
      <c r="G382" s="286"/>
      <c r="H382" s="286"/>
      <c r="I382" s="286"/>
      <c r="J382" s="286"/>
    </row>
    <row r="383" spans="2:10">
      <c r="B383" s="286"/>
      <c r="C383" s="286"/>
      <c r="D383" s="286"/>
      <c r="E383" s="286"/>
      <c r="F383" s="286"/>
      <c r="G383" s="286"/>
      <c r="H383" s="286"/>
      <c r="I383" s="286"/>
      <c r="J383" s="286"/>
    </row>
    <row r="384" spans="2:10">
      <c r="B384" s="286"/>
      <c r="C384" s="286"/>
      <c r="D384" s="286"/>
      <c r="E384" s="286"/>
      <c r="F384" s="286"/>
      <c r="G384" s="286"/>
      <c r="H384" s="286"/>
      <c r="I384" s="286"/>
      <c r="J384" s="286"/>
    </row>
    <row r="385" spans="2:10">
      <c r="B385" s="286"/>
      <c r="C385" s="286"/>
      <c r="D385" s="286"/>
      <c r="E385" s="286"/>
      <c r="F385" s="286"/>
      <c r="G385" s="286"/>
      <c r="H385" s="286"/>
      <c r="I385" s="286"/>
      <c r="J385" s="286"/>
    </row>
    <row r="386" spans="2:10">
      <c r="B386" s="286"/>
      <c r="C386" s="286"/>
      <c r="D386" s="286"/>
      <c r="E386" s="286"/>
      <c r="F386" s="286"/>
      <c r="G386" s="286"/>
      <c r="H386" s="286"/>
      <c r="I386" s="286"/>
      <c r="J386" s="286"/>
    </row>
    <row r="387" spans="2:10">
      <c r="B387" s="286"/>
      <c r="C387" s="286"/>
      <c r="D387" s="286"/>
      <c r="E387" s="286"/>
      <c r="F387" s="286"/>
      <c r="G387" s="286"/>
      <c r="H387" s="286"/>
      <c r="I387" s="286"/>
      <c r="J387" s="286"/>
    </row>
    <row r="388" spans="2:10">
      <c r="B388" s="286"/>
      <c r="C388" s="286"/>
      <c r="D388" s="286"/>
      <c r="E388" s="286"/>
      <c r="F388" s="286"/>
      <c r="G388" s="286"/>
      <c r="H388" s="286"/>
      <c r="I388" s="286"/>
      <c r="J388" s="286"/>
    </row>
    <row r="389" spans="2:10">
      <c r="B389" s="286"/>
      <c r="C389" s="286"/>
      <c r="D389" s="286"/>
      <c r="E389" s="286"/>
      <c r="F389" s="286"/>
      <c r="G389" s="286"/>
      <c r="H389" s="286"/>
      <c r="I389" s="286"/>
      <c r="J389" s="286"/>
    </row>
    <row r="390" spans="2:10">
      <c r="B390" s="286"/>
      <c r="C390" s="286"/>
      <c r="D390" s="286"/>
      <c r="E390" s="286"/>
      <c r="F390" s="286"/>
      <c r="G390" s="286"/>
      <c r="H390" s="286"/>
      <c r="I390" s="286"/>
      <c r="J390" s="286"/>
    </row>
    <row r="391" spans="2:10">
      <c r="B391" s="286"/>
      <c r="C391" s="286"/>
      <c r="D391" s="286"/>
      <c r="E391" s="286"/>
      <c r="F391" s="286"/>
      <c r="G391" s="286"/>
      <c r="H391" s="286"/>
      <c r="I391" s="286"/>
      <c r="J391" s="286"/>
    </row>
    <row r="392" spans="2:10">
      <c r="B392" s="286"/>
      <c r="C392" s="286"/>
      <c r="D392" s="286"/>
      <c r="E392" s="286"/>
      <c r="F392" s="286"/>
      <c r="G392" s="286"/>
      <c r="H392" s="286"/>
      <c r="I392" s="286"/>
      <c r="J392" s="286"/>
    </row>
    <row r="393" spans="2:10">
      <c r="B393" s="286"/>
      <c r="C393" s="286"/>
      <c r="D393" s="286"/>
      <c r="E393" s="286"/>
      <c r="F393" s="286"/>
      <c r="G393" s="286"/>
      <c r="H393" s="286"/>
      <c r="I393" s="286"/>
      <c r="J393" s="286"/>
    </row>
    <row r="394" spans="2:10">
      <c r="B394" s="286"/>
      <c r="C394" s="286"/>
      <c r="D394" s="286"/>
      <c r="E394" s="286"/>
      <c r="F394" s="286"/>
      <c r="G394" s="286"/>
      <c r="H394" s="286"/>
      <c r="I394" s="286"/>
      <c r="J394" s="286"/>
    </row>
    <row r="395" spans="2:10">
      <c r="B395" s="286"/>
      <c r="C395" s="286"/>
      <c r="D395" s="286"/>
      <c r="E395" s="286"/>
      <c r="F395" s="286"/>
      <c r="G395" s="286"/>
      <c r="H395" s="286"/>
      <c r="I395" s="286"/>
      <c r="J395" s="286"/>
    </row>
    <row r="396" spans="2:10">
      <c r="B396" s="286"/>
      <c r="C396" s="286"/>
      <c r="D396" s="286"/>
      <c r="E396" s="286"/>
      <c r="F396" s="286"/>
      <c r="G396" s="286"/>
      <c r="H396" s="286"/>
      <c r="I396" s="286"/>
      <c r="J396" s="286"/>
    </row>
    <row r="397" spans="2:10" ht="32.25" customHeight="1">
      <c r="B397" s="286"/>
      <c r="C397" s="286"/>
      <c r="D397" s="286"/>
      <c r="E397" s="286"/>
      <c r="F397" s="286"/>
      <c r="G397" s="286"/>
      <c r="H397" s="286"/>
      <c r="I397" s="286"/>
      <c r="J397" s="286"/>
    </row>
    <row r="398" spans="2:10">
      <c r="B398" s="286"/>
      <c r="C398" s="286"/>
      <c r="D398" s="286"/>
      <c r="E398" s="286"/>
      <c r="F398" s="286"/>
      <c r="G398" s="286"/>
      <c r="H398" s="286"/>
      <c r="I398" s="286"/>
      <c r="J398" s="286"/>
    </row>
    <row r="399" spans="2:10" ht="68.25" customHeight="1">
      <c r="B399" s="286"/>
      <c r="C399" s="286"/>
      <c r="D399" s="286"/>
      <c r="E399" s="286"/>
      <c r="F399" s="286"/>
      <c r="G399" s="286"/>
      <c r="H399" s="286"/>
      <c r="I399" s="286"/>
      <c r="J399" s="286"/>
    </row>
    <row r="400" spans="2:10" ht="3" customHeight="1">
      <c r="B400" s="286"/>
      <c r="C400" s="286"/>
      <c r="D400" s="286"/>
      <c r="E400" s="286"/>
      <c r="F400" s="286"/>
      <c r="G400" s="286"/>
      <c r="H400" s="286"/>
      <c r="I400" s="286"/>
      <c r="J400" s="286"/>
    </row>
    <row r="401" spans="2:10">
      <c r="B401" s="286"/>
      <c r="C401" s="286"/>
      <c r="D401" s="286"/>
      <c r="E401" s="286"/>
      <c r="F401" s="286"/>
      <c r="G401" s="286"/>
      <c r="H401" s="286"/>
      <c r="I401" s="286"/>
      <c r="J401" s="286"/>
    </row>
    <row r="402" spans="2:10">
      <c r="B402" s="286"/>
      <c r="C402" s="286"/>
      <c r="D402" s="286"/>
      <c r="E402" s="286"/>
      <c r="F402" s="286"/>
      <c r="G402" s="286"/>
      <c r="H402" s="286"/>
      <c r="I402" s="286"/>
      <c r="J402" s="286"/>
    </row>
    <row r="403" spans="2:10">
      <c r="B403" s="1016" t="s">
        <v>245</v>
      </c>
      <c r="C403" s="1017"/>
      <c r="D403" s="1017"/>
      <c r="E403" s="1017"/>
      <c r="F403" s="1018"/>
      <c r="G403" s="286"/>
      <c r="H403" s="286"/>
      <c r="I403" s="286"/>
      <c r="J403" s="286"/>
    </row>
    <row r="404" spans="2:10" ht="3.75" customHeight="1" thickBot="1">
      <c r="B404" s="286"/>
      <c r="C404" s="286"/>
      <c r="D404" s="286"/>
      <c r="E404" s="286"/>
      <c r="F404" s="286"/>
      <c r="G404" s="286"/>
      <c r="H404" s="286"/>
      <c r="I404" s="286"/>
      <c r="J404" s="286"/>
    </row>
    <row r="405" spans="2:10" ht="17.25" customHeight="1">
      <c r="B405" s="626" t="s">
        <v>294</v>
      </c>
      <c r="C405" s="627"/>
      <c r="D405" s="627"/>
      <c r="E405" s="627"/>
      <c r="F405" s="623" cm="1">
        <f t="array" ref="F405:G405">+'Simulador - Datos personales'!E7:F7</f>
        <v>28309</v>
      </c>
      <c r="G405" s="239">
        <v>0</v>
      </c>
      <c r="H405" s="286"/>
      <c r="I405" s="286"/>
      <c r="J405" s="286"/>
    </row>
    <row r="406" spans="2:10" ht="17.25" customHeight="1">
      <c r="B406" s="628" t="s">
        <v>293</v>
      </c>
      <c r="C406" s="843"/>
      <c r="D406" s="843"/>
      <c r="E406" s="843"/>
      <c r="F406" s="624" t="str">
        <f>+'Simulador - Datos personales'!F9</f>
        <v>Hombre</v>
      </c>
      <c r="G406" s="239"/>
      <c r="H406" s="286"/>
      <c r="I406" s="286"/>
      <c r="J406" s="286"/>
    </row>
    <row r="407" spans="2:10" ht="17.25" customHeight="1">
      <c r="B407" s="628" t="s">
        <v>247</v>
      </c>
      <c r="C407" s="843"/>
      <c r="D407" s="843"/>
      <c r="E407" s="843"/>
      <c r="F407" s="624" cm="1">
        <f t="array" ref="F407:G407">+'Simulador - Datos personales'!E11:F11</f>
        <v>0</v>
      </c>
      <c r="G407" s="239">
        <v>0</v>
      </c>
      <c r="H407" s="286"/>
      <c r="I407" s="286"/>
      <c r="J407" s="286"/>
    </row>
    <row r="408" spans="2:10" ht="17.25" customHeight="1">
      <c r="B408" s="628" t="s">
        <v>248</v>
      </c>
      <c r="C408" s="843"/>
      <c r="D408" s="843"/>
      <c r="E408" s="843"/>
      <c r="F408" s="773" cm="1">
        <f t="array" ref="F408:G408">+'Simulador - Datos personales'!E13:F13</f>
        <v>220000</v>
      </c>
      <c r="G408" s="239">
        <v>0</v>
      </c>
      <c r="H408" s="286"/>
      <c r="I408" s="286"/>
      <c r="J408" s="286"/>
    </row>
    <row r="409" spans="2:10" ht="17.25" customHeight="1">
      <c r="B409" s="628" t="s">
        <v>249</v>
      </c>
      <c r="C409" s="843"/>
      <c r="D409" s="843"/>
      <c r="E409" s="843"/>
      <c r="F409" s="773" cm="1">
        <f t="array" ref="F409:G409">+'Simulador - Datos personales'!E15:F15</f>
        <v>210000</v>
      </c>
      <c r="G409" s="239">
        <v>0</v>
      </c>
      <c r="H409" s="286"/>
      <c r="I409" s="286"/>
      <c r="J409" s="286"/>
    </row>
    <row r="410" spans="2:10" ht="17.25" customHeight="1" thickBot="1">
      <c r="B410" s="629" t="s">
        <v>308</v>
      </c>
      <c r="C410" s="630"/>
      <c r="D410" s="630"/>
      <c r="E410" s="630"/>
      <c r="F410" s="625">
        <f>IFERROR(+'Simulador - Datos personales'!E18+'Simulador - Datos personales'!E19/12,"-")</f>
        <v>0</v>
      </c>
      <c r="G410" s="239"/>
      <c r="H410" s="286"/>
      <c r="I410" s="286"/>
      <c r="J410" s="286"/>
    </row>
    <row r="411" spans="2:10" ht="14.25" customHeight="1">
      <c r="B411" s="286"/>
      <c r="C411" s="286"/>
      <c r="D411" s="286"/>
      <c r="E411" s="286"/>
      <c r="F411" s="286"/>
      <c r="G411" s="286"/>
      <c r="H411" s="286"/>
      <c r="I411" s="286"/>
      <c r="J411" s="286"/>
    </row>
    <row r="412" spans="2:10" ht="15" customHeight="1">
      <c r="B412" s="1062" t="s">
        <v>295</v>
      </c>
      <c r="C412" s="1062"/>
      <c r="D412" s="1062"/>
      <c r="E412" s="1062"/>
      <c r="F412" s="1062"/>
      <c r="G412" s="1062"/>
      <c r="H412" s="1062"/>
      <c r="I412" s="1062"/>
      <c r="J412" s="1062"/>
    </row>
    <row r="413" spans="2:10" ht="3.75" customHeight="1" thickBot="1">
      <c r="B413" s="770"/>
      <c r="C413" s="770"/>
      <c r="D413" s="770"/>
      <c r="E413" s="770"/>
      <c r="F413" s="442"/>
      <c r="G413" s="442"/>
      <c r="H413" s="442"/>
      <c r="I413" s="286"/>
      <c r="J413" s="286"/>
    </row>
    <row r="414" spans="2:10" ht="17.25" customHeight="1">
      <c r="B414" s="1060" t="s">
        <v>419</v>
      </c>
      <c r="C414" s="1061"/>
      <c r="D414" s="1061"/>
      <c r="E414" s="1061"/>
      <c r="F414" s="1061"/>
      <c r="G414" s="1061"/>
      <c r="H414" s="1056" t="str">
        <f>+'Simulador - 1º Pilar'!G10</f>
        <v>Jubilación ordinaria</v>
      </c>
      <c r="I414" s="1056"/>
      <c r="J414" s="1057"/>
    </row>
    <row r="415" spans="2:10" ht="17.25" customHeight="1">
      <c r="B415" s="1036" t="s">
        <v>418</v>
      </c>
      <c r="C415" s="1027"/>
      <c r="D415" s="1027"/>
      <c r="E415" s="1027"/>
      <c r="F415" s="1027"/>
      <c r="G415" s="1027"/>
      <c r="H415" s="1058">
        <f ca="1">+'Simulador - 1º Pilar'!G20</f>
        <v>52781</v>
      </c>
      <c r="I415" s="1058"/>
      <c r="J415" s="1059"/>
    </row>
    <row r="416" spans="2:10" ht="17.25" customHeight="1">
      <c r="B416" s="1036" t="s">
        <v>544</v>
      </c>
      <c r="C416" s="1027"/>
      <c r="D416" s="1027"/>
      <c r="E416" s="1027"/>
      <c r="F416" s="1027"/>
      <c r="G416" s="1027"/>
      <c r="H416" s="824"/>
      <c r="I416" s="825">
        <f ca="1">+'Simulador - 1º Pilar'!G19</f>
        <v>67</v>
      </c>
      <c r="J416" s="779"/>
    </row>
    <row r="417" spans="1:11" ht="17.25" customHeight="1">
      <c r="B417" s="1036" t="s">
        <v>417</v>
      </c>
      <c r="C417" s="1027"/>
      <c r="D417" s="1027"/>
      <c r="E417" s="1027"/>
      <c r="F417" s="1027"/>
      <c r="G417" s="1027"/>
      <c r="H417" s="1032">
        <f ca="1">+'Simulador - 1º Pilar'!G21</f>
        <v>19.78</v>
      </c>
      <c r="I417" s="1032"/>
      <c r="J417" s="1033"/>
    </row>
    <row r="418" spans="1:11" ht="17.25" customHeight="1">
      <c r="B418" s="1036" t="s">
        <v>416</v>
      </c>
      <c r="C418" s="1027"/>
      <c r="D418" s="1027"/>
      <c r="E418" s="1027"/>
      <c r="F418" s="1027"/>
      <c r="G418" s="1027"/>
      <c r="H418" s="1034">
        <f ca="1">+'Simulador - 1º Pilar'!G22</f>
        <v>0.60829999999999995</v>
      </c>
      <c r="I418" s="1034"/>
      <c r="J418" s="1035"/>
    </row>
    <row r="419" spans="1:11" ht="17.25" customHeight="1">
      <c r="B419" s="1036" t="str">
        <f>+IF(H414="Jubilación prolongada","Porcentaje adicional por prolongar la jubilación:","Porcentaje reductor por jubilación anticipada:")</f>
        <v>Porcentaje reductor por jubilación anticipada:</v>
      </c>
      <c r="C419" s="1027"/>
      <c r="D419" s="1027"/>
      <c r="E419" s="1027"/>
      <c r="F419" s="1027"/>
      <c r="G419" s="1027"/>
      <c r="H419" s="1034">
        <f ca="1">+IF(AND(B419="Porcentaje adicional por prolongar la jubilación:",'Simulador - 1º Pilar'!H94="Complemento vitalicio"),PJSS!B35,IF(AND(B419="Porcentaje adicional por prolongar la jubilación:",'Simulador - 1º Pilar'!H94="Pago único"),"No aplica",IF(AND(H414="Jubilación anticipada",PJSS!B47=PJSS!B46),PJSS!B50,IF(AND(H414="Jubilación anticipada",PJSS!B47=PJSS!B45,PJSS!B52&gt;0),PJSS!B52,0.5%*PJSS!F7))))</f>
        <v>0</v>
      </c>
      <c r="I419" s="1034"/>
      <c r="J419" s="1035"/>
      <c r="K419" t="s">
        <v>1226</v>
      </c>
    </row>
    <row r="420" spans="1:11" ht="17.25" customHeight="1">
      <c r="B420" s="1036" t="s">
        <v>1227</v>
      </c>
      <c r="C420" s="1027"/>
      <c r="D420" s="1027"/>
      <c r="E420" s="1027"/>
      <c r="F420" s="1027"/>
      <c r="G420" s="1027"/>
      <c r="H420" s="1032" t="str">
        <f>+IF(AND('Simulador - 1º Pilar'!H94="Pago único",H414="Jubilación prolongada"),PJSS!B78,"No Aplica")</f>
        <v>No Aplica</v>
      </c>
      <c r="I420" s="1032"/>
      <c r="J420" s="1033"/>
    </row>
    <row r="421" spans="1:11" ht="25.5" customHeight="1">
      <c r="B421" s="450"/>
      <c r="C421" s="286"/>
      <c r="D421" s="286"/>
      <c r="E421" s="286"/>
      <c r="F421" s="442"/>
      <c r="G421" s="442"/>
      <c r="H421" s="766" t="s">
        <v>285</v>
      </c>
      <c r="I421" s="766" t="s">
        <v>284</v>
      </c>
      <c r="J421" s="449" t="s">
        <v>411</v>
      </c>
    </row>
    <row r="422" spans="1:11" ht="15" thickBot="1">
      <c r="B422" s="1029" t="s">
        <v>415</v>
      </c>
      <c r="C422" s="1030"/>
      <c r="D422" s="1030"/>
      <c r="E422" s="1030"/>
      <c r="F422" s="1030"/>
      <c r="G422" s="1030"/>
      <c r="H422" s="634">
        <f ca="1">+'Simulador - RESUMEN'!J12</f>
        <v>49994.959319989473</v>
      </c>
      <c r="I422" s="634">
        <f ca="1">+'Simulador - RESUMEN'!L12</f>
        <v>3571.0685228563912</v>
      </c>
      <c r="J422" s="635">
        <f ca="1">+'Simulador - RESUMEN'!N12</f>
        <v>0.13200138862105404</v>
      </c>
    </row>
    <row r="423" spans="1:11" s="286" customFormat="1" ht="3.75" customHeight="1">
      <c r="A423"/>
      <c r="B423" s="826"/>
      <c r="C423" s="826"/>
      <c r="D423" s="826"/>
      <c r="E423" s="826"/>
      <c r="F423" s="826"/>
      <c r="G423" s="826"/>
      <c r="H423" s="827"/>
      <c r="I423" s="827"/>
      <c r="J423" s="444"/>
    </row>
    <row r="424" spans="1:11">
      <c r="B424" s="1031" t="s">
        <v>297</v>
      </c>
      <c r="C424" s="1031"/>
      <c r="D424" s="1031"/>
      <c r="E424" s="1031"/>
      <c r="F424" s="1031"/>
      <c r="G424" s="1031"/>
      <c r="H424" s="832">
        <f ca="1">+H422</f>
        <v>49994.959319989473</v>
      </c>
      <c r="I424" s="832">
        <f ca="1">+I422</f>
        <v>3571.0685228563912</v>
      </c>
      <c r="J424" s="833">
        <f ca="1">+J422</f>
        <v>0.13200138862105404</v>
      </c>
    </row>
    <row r="425" spans="1:11" ht="5.0999999999999996" customHeight="1">
      <c r="B425" s="286"/>
      <c r="C425" s="286"/>
      <c r="D425" s="286"/>
      <c r="E425" s="286"/>
      <c r="F425" s="442"/>
      <c r="G425" s="442"/>
      <c r="H425" s="442"/>
      <c r="I425" s="286"/>
      <c r="J425" s="286"/>
    </row>
    <row r="426" spans="1:11" ht="11.25" customHeight="1">
      <c r="B426" s="1051" t="s">
        <v>290</v>
      </c>
      <c r="C426" s="1051"/>
      <c r="D426" s="1051"/>
      <c r="E426" s="1051"/>
      <c r="F426" s="1051"/>
      <c r="G426" s="1051"/>
      <c r="H426" s="1051"/>
      <c r="I426" s="1051"/>
      <c r="J426" s="1051"/>
    </row>
    <row r="427" spans="1:11" ht="3.6" customHeight="1" thickBot="1">
      <c r="B427" s="770"/>
      <c r="C427" s="770"/>
      <c r="D427" s="770"/>
      <c r="E427" s="770"/>
      <c r="F427" s="770"/>
      <c r="G427" s="770"/>
      <c r="H427" s="770"/>
      <c r="I427" s="770"/>
      <c r="J427" s="770"/>
    </row>
    <row r="428" spans="1:11" ht="16.5" customHeight="1">
      <c r="B428" s="1052" t="s">
        <v>617</v>
      </c>
      <c r="C428" s="1053"/>
      <c r="D428" s="1053"/>
      <c r="E428" s="1053"/>
      <c r="F428" s="1053"/>
      <c r="G428" s="1053"/>
      <c r="H428" s="1054">
        <f>IFERROR('Simulador - 2º Pilar'!G81,"-")</f>
        <v>0</v>
      </c>
      <c r="I428" s="1054"/>
      <c r="J428" s="1055"/>
    </row>
    <row r="429" spans="1:11" ht="16.5" customHeight="1">
      <c r="B429" s="1039" t="str">
        <f>"Fondo acumulado a "&amp;TEXT(L439,"DD/MM/AA")&amp;":"</f>
        <v>Fondo acumulado a 31/12/21:</v>
      </c>
      <c r="C429" s="1027"/>
      <c r="D429" s="1027"/>
      <c r="E429" s="1027"/>
      <c r="F429" s="1027"/>
      <c r="G429" s="1027"/>
      <c r="H429" s="1019">
        <f>IFERROR('Aportaciones Flex'!Q4,"-")</f>
        <v>3200</v>
      </c>
      <c r="I429" s="1019"/>
      <c r="J429" s="1020"/>
    </row>
    <row r="430" spans="1:11" ht="16.5" customHeight="1">
      <c r="B430" s="1039" t="s">
        <v>616</v>
      </c>
      <c r="C430" s="1027"/>
      <c r="D430" s="1027"/>
      <c r="E430" s="1027"/>
      <c r="F430" s="1027"/>
      <c r="G430" s="1027"/>
      <c r="H430" s="1019">
        <f ca="1">IFERROR('Aportaciones Flex'!J5,"-")</f>
        <v>4988.1230914451753</v>
      </c>
      <c r="I430" s="1019"/>
      <c r="J430" s="1020"/>
    </row>
    <row r="431" spans="1:11" ht="23.1" customHeight="1">
      <c r="B431" s="765"/>
      <c r="C431" s="286"/>
      <c r="D431" s="286"/>
      <c r="E431" s="286"/>
      <c r="F431" s="286"/>
      <c r="G431" s="286"/>
      <c r="H431" s="766" t="s">
        <v>285</v>
      </c>
      <c r="I431" s="766" t="s">
        <v>284</v>
      </c>
      <c r="J431" s="767" t="s">
        <v>411</v>
      </c>
    </row>
    <row r="432" spans="1:11" ht="16.5" customHeight="1" thickBot="1">
      <c r="B432" s="1021" t="s">
        <v>618</v>
      </c>
      <c r="C432" s="1022"/>
      <c r="D432" s="1022"/>
      <c r="E432" s="1022"/>
      <c r="F432" s="1022"/>
      <c r="G432" s="1022"/>
      <c r="H432" s="768">
        <f ca="1">IFERROR(H430/'Renta Vitalicia'!H5,"-")</f>
        <v>239.4580561713866</v>
      </c>
      <c r="I432" s="768">
        <f ca="1">IFERROR(H432/12,"-")</f>
        <v>19.954838014282217</v>
      </c>
      <c r="J432" s="769">
        <f ca="1">'Simulador - RESUMEN'!N28</f>
        <v>4.6337758076214583E-2</v>
      </c>
    </row>
    <row r="433" spans="1:13" ht="3.9" customHeight="1">
      <c r="B433" s="286"/>
      <c r="C433" s="286"/>
      <c r="D433" s="286"/>
      <c r="E433" s="286"/>
      <c r="F433" s="286"/>
      <c r="G433" s="286"/>
      <c r="H433" s="286"/>
      <c r="I433" s="286"/>
      <c r="J433" s="286"/>
    </row>
    <row r="434" spans="1:13" ht="15.6" customHeight="1">
      <c r="B434" s="1023" t="s">
        <v>281</v>
      </c>
      <c r="C434" s="1023"/>
      <c r="D434" s="1023"/>
      <c r="E434" s="1023"/>
      <c r="F434" s="1023"/>
      <c r="G434" s="1023"/>
      <c r="H434" s="771">
        <f ca="1">H432</f>
        <v>239.4580561713866</v>
      </c>
      <c r="I434" s="771">
        <f t="shared" ref="I434:J434" ca="1" si="0">I432</f>
        <v>19.954838014282217</v>
      </c>
      <c r="J434" s="772">
        <f t="shared" ca="1" si="0"/>
        <v>4.6337758076214583E-2</v>
      </c>
    </row>
    <row r="435" spans="1:13" ht="6.9" customHeight="1">
      <c r="B435" s="286"/>
      <c r="C435" s="286"/>
      <c r="D435" s="286"/>
      <c r="E435" s="286"/>
      <c r="F435" s="286"/>
      <c r="G435" s="286"/>
      <c r="H435" s="286"/>
      <c r="I435" s="286"/>
      <c r="J435" s="286"/>
    </row>
    <row r="436" spans="1:13">
      <c r="B436" s="1042" t="s">
        <v>298</v>
      </c>
      <c r="C436" s="1042"/>
      <c r="D436" s="1042"/>
      <c r="E436" s="1042"/>
      <c r="F436" s="1042"/>
      <c r="G436" s="1042"/>
      <c r="H436" s="1042"/>
      <c r="I436" s="1042"/>
      <c r="J436" s="1042"/>
      <c r="K436" s="11"/>
    </row>
    <row r="437" spans="1:13" ht="3.75" customHeight="1" thickBot="1">
      <c r="B437" s="770"/>
      <c r="C437" s="770"/>
      <c r="D437" s="770"/>
      <c r="E437" s="770"/>
      <c r="F437" s="442"/>
      <c r="G437" s="442"/>
      <c r="H437" s="442"/>
      <c r="I437" s="286"/>
      <c r="J437" s="286"/>
    </row>
    <row r="438" spans="1:13" ht="17.25" customHeight="1">
      <c r="B438" s="1047" t="s">
        <v>414</v>
      </c>
      <c r="C438" s="1048"/>
      <c r="D438" s="1048"/>
      <c r="E438" s="1048"/>
      <c r="F438" s="1048"/>
      <c r="G438" s="1048"/>
      <c r="H438" s="1049">
        <f>+'Simulador - 3º Pilar'!K10</f>
        <v>0</v>
      </c>
      <c r="I438" s="1049"/>
      <c r="J438" s="1050"/>
      <c r="L438" t="s">
        <v>543</v>
      </c>
    </row>
    <row r="439" spans="1:13" ht="17.25" customHeight="1">
      <c r="B439" s="1026" t="str">
        <f>+"Fondo acumulado a "&amp;TEXT(L439,"DD/MM/AA")&amp;":"</f>
        <v>Fondo acumulado a 31/12/21:</v>
      </c>
      <c r="C439" s="1027"/>
      <c r="D439" s="1027"/>
      <c r="E439" s="1027"/>
      <c r="F439" s="1027"/>
      <c r="G439" s="1027"/>
      <c r="H439" s="1019">
        <f>+'Simulador - 3º Pilar'!I14</f>
        <v>0</v>
      </c>
      <c r="I439" s="1019"/>
      <c r="J439" s="1028"/>
      <c r="L439" s="201">
        <f>+'Simulador - 3º Pilar'!I15</f>
        <v>44561</v>
      </c>
      <c r="M439" t="str">
        <f>+RIGHT(L439,2)</f>
        <v>61</v>
      </c>
    </row>
    <row r="440" spans="1:13" ht="17.25" customHeight="1">
      <c r="B440" s="1026" t="s">
        <v>413</v>
      </c>
      <c r="C440" s="1027"/>
      <c r="D440" s="1027"/>
      <c r="E440" s="1027"/>
      <c r="F440" s="1027"/>
      <c r="G440" s="1027"/>
      <c r="H440" s="1019">
        <f ca="1">+'Simulador - 3º Pilar'!G23</f>
        <v>0</v>
      </c>
      <c r="I440" s="1019"/>
      <c r="J440" s="1028"/>
    </row>
    <row r="441" spans="1:13" ht="25.5" customHeight="1">
      <c r="A441" s="631"/>
      <c r="B441" s="448"/>
      <c r="C441" s="286"/>
      <c r="D441" s="286"/>
      <c r="E441" s="286"/>
      <c r="F441" s="442"/>
      <c r="G441" s="442"/>
      <c r="H441" s="766" t="s">
        <v>285</v>
      </c>
      <c r="I441" s="766" t="s">
        <v>284</v>
      </c>
      <c r="J441" s="445" t="s">
        <v>411</v>
      </c>
    </row>
    <row r="442" spans="1:13" ht="15" thickBot="1">
      <c r="B442" s="1043" t="s">
        <v>412</v>
      </c>
      <c r="C442" s="1044"/>
      <c r="D442" s="1044"/>
      <c r="E442" s="1044"/>
      <c r="F442" s="1044"/>
      <c r="G442" s="1044"/>
      <c r="H442" s="636">
        <f ca="1">+'Simulador - 3º Pilar'!G27</f>
        <v>0</v>
      </c>
      <c r="I442" s="636">
        <f ca="1">+'Simulador - 3º Pilar'!J27</f>
        <v>0</v>
      </c>
      <c r="J442" s="637">
        <f ca="1">+'Simulador - 3º Pilar'!G30</f>
        <v>0</v>
      </c>
    </row>
    <row r="443" spans="1:13" ht="3.75" customHeight="1">
      <c r="B443" s="826"/>
      <c r="C443" s="826"/>
      <c r="D443" s="826"/>
      <c r="E443" s="826"/>
      <c r="F443" s="826"/>
      <c r="G443" s="826"/>
      <c r="H443" s="827"/>
      <c r="I443" s="827"/>
      <c r="J443" s="444"/>
    </row>
    <row r="444" spans="1:13">
      <c r="B444" s="1045" t="s">
        <v>286</v>
      </c>
      <c r="C444" s="1045"/>
      <c r="D444" s="1045"/>
      <c r="E444" s="1045"/>
      <c r="F444" s="1045"/>
      <c r="G444" s="1045"/>
      <c r="H444" s="834">
        <f ca="1">+H442</f>
        <v>0</v>
      </c>
      <c r="I444" s="834">
        <f ca="1">+I442</f>
        <v>0</v>
      </c>
      <c r="J444" s="835">
        <f ca="1">+J442</f>
        <v>0</v>
      </c>
    </row>
    <row r="445" spans="1:13" ht="16.5" customHeight="1">
      <c r="B445" s="286"/>
      <c r="C445" s="286"/>
      <c r="D445" s="286"/>
      <c r="E445" s="286"/>
      <c r="F445" s="286"/>
      <c r="G445" s="286"/>
      <c r="H445" s="286"/>
      <c r="I445" s="286"/>
      <c r="J445" s="447"/>
    </row>
    <row r="446" spans="1:13" ht="16.5" customHeight="1">
      <c r="B446" s="286"/>
      <c r="C446" s="286"/>
      <c r="D446" s="286"/>
      <c r="E446" s="286"/>
      <c r="F446" s="286"/>
      <c r="G446" s="286"/>
      <c r="H446" s="286"/>
      <c r="I446" s="286"/>
      <c r="J446" s="286"/>
    </row>
    <row r="447" spans="1:13" ht="16.5" customHeight="1">
      <c r="B447" s="286"/>
      <c r="C447" s="286"/>
      <c r="D447" s="286"/>
      <c r="E447" s="286"/>
      <c r="F447" s="286"/>
      <c r="G447" s="286"/>
      <c r="H447" s="286"/>
      <c r="I447" s="286"/>
      <c r="J447" s="286"/>
    </row>
    <row r="448" spans="1:13" ht="16.5" customHeight="1">
      <c r="B448" s="286"/>
      <c r="C448" s="286"/>
      <c r="D448" s="286"/>
      <c r="E448" s="286"/>
      <c r="F448" s="286"/>
      <c r="G448" s="286"/>
      <c r="H448" s="286"/>
      <c r="I448" s="286"/>
      <c r="J448" s="286"/>
    </row>
    <row r="449" spans="2:10" ht="16.5" customHeight="1">
      <c r="B449" s="286"/>
      <c r="C449" s="286"/>
      <c r="D449" s="286"/>
      <c r="E449" s="286"/>
      <c r="F449" s="286"/>
      <c r="G449" s="286"/>
      <c r="H449" s="286"/>
      <c r="I449" s="286"/>
      <c r="J449" s="286"/>
    </row>
    <row r="450" spans="2:10" ht="16.5" customHeight="1" thickBot="1">
      <c r="B450" s="286"/>
      <c r="C450" s="286"/>
      <c r="D450" s="286"/>
      <c r="E450" s="286"/>
      <c r="F450" s="286"/>
      <c r="G450" s="286"/>
      <c r="H450" s="286"/>
      <c r="I450" s="286"/>
      <c r="J450" s="286"/>
    </row>
    <row r="451" spans="2:10" ht="18" customHeight="1" thickTop="1">
      <c r="B451" s="837" t="s">
        <v>410</v>
      </c>
      <c r="C451" s="837"/>
      <c r="D451" s="837"/>
      <c r="E451" s="837"/>
      <c r="F451" s="837"/>
      <c r="G451" s="837"/>
      <c r="H451" s="838">
        <f ca="1">IFERROR(+H444+H424+H434,"-")</f>
        <v>50234.417376160862</v>
      </c>
      <c r="I451" s="838">
        <f ca="1">IFERROR(+I424+I444+I434,"-")</f>
        <v>3591.0233608706735</v>
      </c>
      <c r="J451" s="839">
        <f ca="1">IFERROR(+'Simulador - RESUMEN'!N46,"-")</f>
        <v>0.82166085330273142</v>
      </c>
    </row>
    <row r="452" spans="2:10" ht="18" customHeight="1">
      <c r="B452" s="840" t="s">
        <v>311</v>
      </c>
      <c r="C452" s="840"/>
      <c r="D452" s="840"/>
      <c r="E452" s="840"/>
      <c r="F452" s="840"/>
      <c r="G452" s="840"/>
      <c r="H452" s="840"/>
      <c r="I452" s="841"/>
      <c r="J452" s="842">
        <f ca="1">IFERROR(+'Simulador - RESUMEN'!N44,"-")</f>
        <v>0.17833914669726864</v>
      </c>
    </row>
    <row r="453" spans="2:10">
      <c r="B453" s="286"/>
      <c r="C453" s="447"/>
      <c r="D453" s="286"/>
      <c r="E453" s="286"/>
      <c r="F453" s="286"/>
      <c r="G453" s="447"/>
      <c r="H453" s="286"/>
      <c r="I453" s="286"/>
      <c r="J453" s="447"/>
    </row>
    <row r="454" spans="2:10">
      <c r="B454" s="286"/>
      <c r="C454" s="286"/>
      <c r="D454" s="286"/>
      <c r="E454" s="286"/>
      <c r="F454" s="286"/>
      <c r="G454" s="286"/>
      <c r="H454" s="286"/>
      <c r="I454" s="286"/>
      <c r="J454" s="286"/>
    </row>
    <row r="455" spans="2:10">
      <c r="B455" s="286"/>
      <c r="C455" s="286"/>
      <c r="D455" s="286"/>
      <c r="E455" s="286"/>
      <c r="F455" s="286"/>
      <c r="G455" s="286"/>
      <c r="H455" s="286"/>
      <c r="I455" s="286"/>
      <c r="J455" s="286"/>
    </row>
    <row r="456" spans="2:10">
      <c r="B456" s="286"/>
      <c r="C456" s="286"/>
      <c r="D456" s="286"/>
      <c r="E456" s="286"/>
      <c r="F456" s="286"/>
      <c r="G456" s="286"/>
      <c r="H456" s="286"/>
      <c r="I456" s="286"/>
      <c r="J456" s="286"/>
    </row>
    <row r="457" spans="2:10">
      <c r="B457" s="286"/>
      <c r="C457" s="286"/>
      <c r="D457" s="286"/>
      <c r="E457" s="286"/>
      <c r="F457" s="286"/>
      <c r="G457" s="286"/>
      <c r="H457" s="286"/>
      <c r="I457" s="286"/>
      <c r="J457" s="286"/>
    </row>
    <row r="458" spans="2:10">
      <c r="B458" s="286"/>
      <c r="C458" s="286"/>
      <c r="D458" s="286"/>
      <c r="E458" s="286"/>
      <c r="F458" s="286"/>
      <c r="G458" s="286"/>
      <c r="H458" s="286"/>
      <c r="I458" s="286"/>
      <c r="J458" s="286"/>
    </row>
    <row r="459" spans="2:10" ht="3" customHeight="1">
      <c r="B459" s="286"/>
      <c r="C459" s="286"/>
      <c r="D459" s="286"/>
      <c r="E459" s="286"/>
      <c r="F459" s="286"/>
      <c r="G459" s="286"/>
      <c r="H459" s="286"/>
      <c r="I459" s="286"/>
      <c r="J459" s="286"/>
    </row>
    <row r="460" spans="2:10" ht="3" customHeight="1">
      <c r="B460" s="286"/>
      <c r="C460" s="286"/>
      <c r="D460" s="286"/>
      <c r="E460" s="286"/>
      <c r="F460" s="286"/>
      <c r="G460" s="286"/>
      <c r="H460" s="286"/>
      <c r="I460" s="286"/>
      <c r="J460" s="286"/>
    </row>
    <row r="461" spans="2:10" ht="3" customHeight="1">
      <c r="B461" s="286"/>
      <c r="C461" s="286"/>
      <c r="D461" s="286"/>
      <c r="E461" s="286"/>
      <c r="F461" s="286"/>
      <c r="G461" s="286"/>
      <c r="H461" s="286"/>
      <c r="I461" s="286"/>
      <c r="J461" s="286"/>
    </row>
    <row r="462" spans="2:10" ht="3" customHeight="1">
      <c r="B462" s="286"/>
      <c r="C462" s="286"/>
      <c r="D462" s="286"/>
      <c r="E462" s="286"/>
      <c r="F462" s="286"/>
      <c r="G462" s="286"/>
      <c r="H462" s="286"/>
      <c r="I462" s="286"/>
      <c r="J462" s="286"/>
    </row>
    <row r="463" spans="2:10" ht="3" customHeight="1">
      <c r="B463" s="286"/>
      <c r="C463" s="286"/>
      <c r="D463" s="286"/>
      <c r="E463" s="286"/>
      <c r="F463" s="286"/>
      <c r="G463" s="286"/>
      <c r="H463" s="286"/>
      <c r="I463" s="286"/>
      <c r="J463" s="286"/>
    </row>
    <row r="464" spans="2:10" ht="3" customHeight="1">
      <c r="B464" s="286"/>
      <c r="C464" s="286"/>
      <c r="D464" s="286"/>
      <c r="E464" s="286"/>
      <c r="F464" s="286"/>
      <c r="G464" s="286"/>
      <c r="H464" s="286"/>
      <c r="I464" s="286"/>
      <c r="J464" s="286"/>
    </row>
    <row r="465" spans="1:10">
      <c r="B465" s="286"/>
      <c r="C465" s="286"/>
      <c r="D465" s="286"/>
      <c r="E465" s="286"/>
      <c r="F465" s="286"/>
      <c r="G465" s="286"/>
      <c r="H465" s="286"/>
      <c r="I465" s="286"/>
      <c r="J465" s="286"/>
    </row>
    <row r="466" spans="1:10">
      <c r="A466" s="286"/>
      <c r="B466" s="286"/>
      <c r="C466" s="286"/>
      <c r="D466" s="286"/>
      <c r="E466" s="286"/>
      <c r="F466" s="286"/>
      <c r="G466" s="286"/>
      <c r="H466" s="286"/>
      <c r="I466" s="286"/>
      <c r="J466" s="286"/>
    </row>
    <row r="467" spans="1:10">
      <c r="B467" s="286"/>
      <c r="C467" s="286"/>
      <c r="D467" s="286"/>
      <c r="E467" s="286"/>
      <c r="F467" s="286"/>
      <c r="G467" s="286"/>
      <c r="H467" s="286"/>
      <c r="I467" s="286"/>
      <c r="J467" s="286"/>
    </row>
    <row r="468" spans="1:10">
      <c r="B468" s="286"/>
      <c r="C468" s="286"/>
      <c r="D468" s="286"/>
      <c r="E468" s="286"/>
      <c r="F468" s="286"/>
      <c r="G468" s="286"/>
      <c r="H468" s="286"/>
      <c r="I468" s="286"/>
      <c r="J468" s="286"/>
    </row>
    <row r="469" spans="1:10">
      <c r="B469" s="286"/>
      <c r="C469" s="286"/>
      <c r="D469" s="286"/>
      <c r="E469" s="286"/>
      <c r="F469" s="286"/>
      <c r="G469" s="286"/>
      <c r="H469" s="286"/>
      <c r="I469" s="286"/>
      <c r="J469" s="286"/>
    </row>
    <row r="470" spans="1:10">
      <c r="A470" s="633"/>
      <c r="B470" s="286"/>
      <c r="C470" s="286"/>
      <c r="D470" s="286"/>
      <c r="E470" s="286"/>
      <c r="F470" s="286"/>
      <c r="G470" s="286"/>
      <c r="H470" s="286"/>
      <c r="I470" s="286"/>
      <c r="J470" s="286"/>
    </row>
    <row r="471" spans="1:10">
      <c r="B471" s="286"/>
      <c r="C471" s="286"/>
      <c r="D471" s="286"/>
      <c r="E471" s="286"/>
      <c r="F471" s="286"/>
      <c r="G471" s="286"/>
      <c r="H471" s="286"/>
      <c r="I471" s="286"/>
      <c r="J471" s="286"/>
    </row>
    <row r="472" spans="1:10">
      <c r="B472" s="286"/>
      <c r="C472" s="286"/>
      <c r="D472" s="286"/>
      <c r="E472" s="286"/>
      <c r="F472" s="286"/>
      <c r="G472" s="286"/>
      <c r="H472" s="286"/>
      <c r="I472" s="286"/>
      <c r="J472" s="286"/>
    </row>
    <row r="473" spans="1:10">
      <c r="B473" s="286"/>
      <c r="C473" s="286"/>
      <c r="D473" s="286"/>
      <c r="E473" s="286"/>
      <c r="F473" s="286"/>
      <c r="G473" s="286"/>
      <c r="H473" s="286"/>
      <c r="I473" s="286"/>
      <c r="J473" s="286"/>
    </row>
    <row r="474" spans="1:10">
      <c r="B474" s="286"/>
      <c r="C474" s="286"/>
      <c r="D474" s="286"/>
      <c r="E474" s="286"/>
      <c r="F474" s="286"/>
      <c r="G474" s="286"/>
      <c r="H474" s="286"/>
      <c r="I474" s="286"/>
      <c r="J474" s="286"/>
    </row>
    <row r="475" spans="1:10">
      <c r="B475" s="286"/>
      <c r="C475" s="286"/>
      <c r="D475" s="286"/>
      <c r="E475" s="286"/>
      <c r="F475" s="286"/>
      <c r="G475" s="286"/>
      <c r="H475" s="286"/>
      <c r="I475" s="286"/>
      <c r="J475" s="286"/>
    </row>
    <row r="476" spans="1:10">
      <c r="B476" s="286"/>
      <c r="C476" s="286"/>
      <c r="D476" s="286"/>
      <c r="E476" s="286"/>
      <c r="F476" s="286"/>
      <c r="G476" s="286"/>
      <c r="H476" s="286"/>
      <c r="I476" s="286"/>
      <c r="J476" s="286"/>
    </row>
    <row r="477" spans="1:10">
      <c r="B477" s="286"/>
      <c r="C477" s="286"/>
      <c r="D477" s="286"/>
      <c r="E477" s="286"/>
      <c r="F477" s="286"/>
      <c r="G477" s="286"/>
      <c r="H477" s="286"/>
      <c r="I477" s="286"/>
      <c r="J477" s="286"/>
    </row>
    <row r="478" spans="1:10">
      <c r="A478" s="633"/>
      <c r="B478" s="286"/>
      <c r="C478" s="286"/>
      <c r="D478" s="286"/>
      <c r="E478" s="286"/>
      <c r="F478" s="286"/>
      <c r="G478" s="286"/>
      <c r="H478" s="286"/>
      <c r="I478" s="286"/>
      <c r="J478" s="286"/>
    </row>
    <row r="479" spans="1:10">
      <c r="B479" s="286"/>
      <c r="C479" s="286"/>
      <c r="D479" s="286"/>
      <c r="E479" s="286"/>
      <c r="F479" s="286"/>
      <c r="G479" s="286"/>
      <c r="H479" s="286"/>
      <c r="I479" s="286"/>
      <c r="J479" s="286"/>
    </row>
    <row r="480" spans="1:10">
      <c r="B480" s="286"/>
      <c r="C480" s="286"/>
      <c r="D480" s="286"/>
      <c r="E480" s="286"/>
      <c r="F480" s="286"/>
      <c r="G480" s="286"/>
      <c r="H480" s="286"/>
      <c r="I480" s="286"/>
      <c r="J480" s="286"/>
    </row>
    <row r="481" spans="1:10">
      <c r="A481" s="632"/>
      <c r="B481" s="286"/>
      <c r="C481" s="286"/>
      <c r="D481" s="286"/>
      <c r="E481" s="286"/>
      <c r="F481" s="286"/>
      <c r="G481" s="286"/>
      <c r="H481" s="286"/>
      <c r="I481" s="286"/>
      <c r="J481" s="286"/>
    </row>
    <row r="482" spans="1:10">
      <c r="A482" s="443"/>
      <c r="B482" s="286"/>
      <c r="C482" s="286"/>
      <c r="D482" s="286"/>
      <c r="E482" s="286"/>
      <c r="F482" s="286"/>
      <c r="G482" s="286"/>
      <c r="H482" s="286"/>
      <c r="I482" s="286"/>
      <c r="J482" s="286"/>
    </row>
    <row r="483" spans="1:10">
      <c r="B483" s="286"/>
      <c r="C483" s="286"/>
      <c r="D483" s="286"/>
      <c r="E483" s="286"/>
      <c r="F483" s="286"/>
      <c r="G483" s="286"/>
      <c r="H483" s="286"/>
      <c r="I483" s="286"/>
      <c r="J483" s="286"/>
    </row>
    <row r="484" spans="1:10">
      <c r="B484" s="286"/>
      <c r="C484" s="286"/>
      <c r="D484" s="286"/>
      <c r="E484" s="286"/>
      <c r="F484" s="286"/>
      <c r="G484" s="286"/>
      <c r="H484" s="286"/>
      <c r="I484" s="286"/>
      <c r="J484" s="286"/>
    </row>
    <row r="485" spans="1:10">
      <c r="B485" s="286"/>
      <c r="C485" s="286"/>
      <c r="D485" s="286"/>
      <c r="E485" s="286"/>
      <c r="F485" s="286"/>
      <c r="G485" s="286"/>
      <c r="H485" s="286"/>
      <c r="I485" s="286"/>
      <c r="J485" s="286"/>
    </row>
    <row r="486" spans="1:10">
      <c r="B486" s="286"/>
      <c r="C486" s="286"/>
      <c r="D486" s="286"/>
      <c r="E486" s="286"/>
      <c r="F486" s="286"/>
      <c r="G486" s="286"/>
      <c r="H486" s="286"/>
      <c r="I486" s="286"/>
      <c r="J486" s="286"/>
    </row>
    <row r="487" spans="1:10">
      <c r="B487" s="286"/>
      <c r="C487" s="286"/>
      <c r="D487" s="286"/>
      <c r="E487" s="286"/>
      <c r="F487" s="286"/>
      <c r="G487" s="286"/>
      <c r="H487" s="286"/>
      <c r="I487" s="286"/>
      <c r="J487" s="286"/>
    </row>
    <row r="488" spans="1:10">
      <c r="B488" s="286"/>
      <c r="C488" s="286"/>
      <c r="D488" s="286"/>
      <c r="E488" s="286"/>
      <c r="F488" s="286"/>
      <c r="G488" s="286"/>
      <c r="H488" s="286"/>
      <c r="I488" s="286"/>
      <c r="J488" s="286"/>
    </row>
    <row r="489" spans="1:10">
      <c r="B489" s="286"/>
      <c r="C489" s="286"/>
      <c r="D489" s="286"/>
      <c r="E489" s="286"/>
      <c r="F489" s="286"/>
      <c r="G489" s="286"/>
      <c r="H489" s="286"/>
      <c r="I489" s="286"/>
      <c r="J489" s="286"/>
    </row>
    <row r="490" spans="1:10">
      <c r="B490" s="286"/>
      <c r="C490" s="286"/>
      <c r="D490" s="286"/>
      <c r="E490" s="286"/>
      <c r="F490" s="286"/>
      <c r="G490" s="286"/>
      <c r="H490" s="286"/>
      <c r="I490" s="286"/>
      <c r="J490" s="286"/>
    </row>
    <row r="491" spans="1:10">
      <c r="B491" s="286"/>
      <c r="C491" s="286"/>
      <c r="D491" s="286"/>
      <c r="E491" s="286"/>
      <c r="F491" s="286"/>
      <c r="G491" s="286"/>
      <c r="H491" s="286"/>
      <c r="I491" s="286"/>
      <c r="J491" s="286"/>
    </row>
    <row r="492" spans="1:10">
      <c r="B492" s="286"/>
      <c r="C492" s="286"/>
      <c r="D492" s="286"/>
      <c r="E492" s="286"/>
      <c r="F492" s="286"/>
      <c r="G492" s="286"/>
      <c r="H492" s="286"/>
      <c r="I492" s="286"/>
      <c r="J492" s="286"/>
    </row>
    <row r="493" spans="1:10" ht="42.75" customHeight="1">
      <c r="B493" s="286"/>
      <c r="C493" s="286"/>
      <c r="D493" s="286"/>
      <c r="E493" s="286"/>
      <c r="F493" s="286"/>
      <c r="G493" s="286"/>
      <c r="H493" s="286"/>
      <c r="I493" s="286"/>
      <c r="J493" s="286"/>
    </row>
    <row r="494" spans="1:10">
      <c r="B494" s="286"/>
      <c r="C494" s="286"/>
      <c r="D494" s="286"/>
      <c r="E494" s="286"/>
      <c r="F494" s="286"/>
      <c r="G494" s="286"/>
      <c r="H494" s="286"/>
      <c r="I494" s="286"/>
      <c r="J494" s="286"/>
    </row>
    <row r="495" spans="1:10" ht="29.25" customHeight="1">
      <c r="B495" s="286"/>
      <c r="C495" s="286"/>
      <c r="D495" s="286"/>
      <c r="E495" s="286"/>
      <c r="F495" s="286"/>
      <c r="G495" s="286"/>
      <c r="H495" s="286"/>
      <c r="I495" s="286"/>
      <c r="J495" s="286"/>
    </row>
    <row r="496" spans="1:10" ht="29.25" customHeight="1">
      <c r="B496" s="286"/>
      <c r="C496" s="286"/>
      <c r="D496" s="286"/>
      <c r="E496" s="286"/>
      <c r="F496" s="286"/>
      <c r="G496" s="286"/>
      <c r="H496" s="286"/>
      <c r="I496" s="286"/>
      <c r="J496" s="286"/>
    </row>
    <row r="497" spans="2:10" ht="29.25" customHeight="1">
      <c r="B497" s="286"/>
      <c r="C497" s="286"/>
      <c r="D497" s="286"/>
      <c r="E497" s="286"/>
      <c r="F497" s="286"/>
      <c r="G497" s="286"/>
      <c r="H497" s="286"/>
      <c r="I497" s="286"/>
      <c r="J497" s="286"/>
    </row>
    <row r="498" spans="2:10" ht="29.25" customHeight="1">
      <c r="B498" s="286"/>
      <c r="C498" s="286"/>
      <c r="D498" s="286"/>
      <c r="E498" s="286"/>
      <c r="F498" s="286"/>
      <c r="G498" s="286"/>
      <c r="H498" s="286"/>
      <c r="I498" s="286"/>
      <c r="J498" s="286"/>
    </row>
    <row r="499" spans="2:10" ht="29.25" customHeight="1">
      <c r="B499" s="286"/>
      <c r="C499" s="286"/>
      <c r="D499" s="286"/>
      <c r="E499" s="286"/>
      <c r="F499" s="286"/>
      <c r="G499" s="286"/>
      <c r="H499" s="286"/>
      <c r="I499" s="286"/>
      <c r="J499" s="286"/>
    </row>
    <row r="500" spans="2:10" ht="56.25" customHeight="1">
      <c r="B500" s="286"/>
      <c r="C500" s="286"/>
      <c r="D500" s="286"/>
      <c r="E500" s="286"/>
      <c r="F500" s="286"/>
      <c r="G500" s="286"/>
      <c r="H500" s="286"/>
      <c r="I500" s="286"/>
      <c r="J500" s="286"/>
    </row>
    <row r="501" spans="2:10" ht="29.25" customHeight="1">
      <c r="B501" s="286"/>
      <c r="C501" s="286"/>
      <c r="D501" s="286"/>
      <c r="E501" s="286"/>
      <c r="F501" s="286"/>
      <c r="G501" s="286"/>
      <c r="H501" s="286"/>
      <c r="I501" s="286"/>
      <c r="J501" s="286"/>
    </row>
    <row r="502" spans="2:10" ht="29.25" customHeight="1">
      <c r="B502" s="286"/>
      <c r="C502" s="286"/>
      <c r="D502" s="286"/>
      <c r="E502" s="286"/>
      <c r="F502" s="286"/>
      <c r="G502" s="286"/>
      <c r="H502" s="286"/>
      <c r="I502" s="286"/>
      <c r="J502" s="286"/>
    </row>
    <row r="503" spans="2:10" ht="29.25" customHeight="1">
      <c r="B503" s="286"/>
      <c r="C503" s="286"/>
      <c r="D503" s="286"/>
      <c r="E503" s="286"/>
      <c r="F503" s="286"/>
      <c r="G503" s="286"/>
      <c r="H503" s="286"/>
      <c r="I503" s="286"/>
      <c r="J503" s="286"/>
    </row>
    <row r="504" spans="2:10" ht="29.25" customHeight="1">
      <c r="B504" s="286"/>
      <c r="C504" s="286"/>
      <c r="D504" s="286"/>
      <c r="E504" s="286"/>
      <c r="F504" s="286"/>
      <c r="G504" s="286"/>
      <c r="H504" s="286"/>
      <c r="I504" s="286"/>
      <c r="J504" s="286"/>
    </row>
    <row r="505" spans="2:10" ht="29.25" customHeight="1">
      <c r="B505" s="286"/>
      <c r="C505" s="286"/>
      <c r="D505" s="286"/>
      <c r="E505" s="286"/>
      <c r="F505" s="286"/>
      <c r="G505" s="286"/>
      <c r="H505" s="286"/>
      <c r="I505" s="286"/>
      <c r="J505" s="286"/>
    </row>
    <row r="506" spans="2:10" ht="29.25" customHeight="1">
      <c r="B506" s="286"/>
      <c r="C506" s="286"/>
      <c r="D506" s="286"/>
      <c r="E506" s="286"/>
      <c r="F506" s="286"/>
      <c r="G506" s="286"/>
      <c r="H506" s="286"/>
      <c r="I506" s="286"/>
      <c r="J506" s="286"/>
    </row>
    <row r="507" spans="2:10" ht="29.25" customHeight="1">
      <c r="B507" s="286"/>
      <c r="C507" s="286"/>
      <c r="D507" s="286"/>
      <c r="E507" s="286"/>
      <c r="F507" s="286"/>
      <c r="G507" s="286"/>
      <c r="H507" s="286"/>
      <c r="I507" s="286"/>
      <c r="J507" s="286"/>
    </row>
    <row r="508" spans="2:10" ht="29.25" customHeight="1">
      <c r="B508" s="286"/>
      <c r="C508" s="286"/>
      <c r="D508" s="447"/>
      <c r="E508" s="286"/>
      <c r="F508" s="286"/>
      <c r="G508" s="286"/>
      <c r="H508" s="447"/>
      <c r="I508" s="447"/>
      <c r="J508" s="286"/>
    </row>
    <row r="509" spans="2:10">
      <c r="B509" s="1046" t="s">
        <v>409</v>
      </c>
      <c r="C509" s="1046"/>
      <c r="D509" s="1046"/>
      <c r="E509" s="1046"/>
      <c r="F509" s="1046"/>
      <c r="G509" s="1046"/>
      <c r="H509" s="1046"/>
      <c r="I509" s="1046"/>
      <c r="J509" s="447"/>
    </row>
    <row r="510" spans="2:10" ht="3.75" customHeight="1" thickBot="1">
      <c r="B510" s="286"/>
      <c r="C510" s="770"/>
      <c r="D510" s="770"/>
      <c r="E510" s="442"/>
      <c r="F510" s="446"/>
      <c r="G510" s="286"/>
      <c r="H510" s="286"/>
      <c r="I510" s="286"/>
      <c r="J510" s="286"/>
    </row>
    <row r="511" spans="2:10">
      <c r="B511" s="638" t="s">
        <v>288</v>
      </c>
      <c r="C511" s="639"/>
      <c r="D511" s="639"/>
      <c r="E511" s="639"/>
      <c r="F511" s="828"/>
      <c r="G511" s="828"/>
      <c r="H511" s="1040">
        <f>+'Simulador - RESUMEN'!E36</f>
        <v>2.5000000000000001E-2</v>
      </c>
      <c r="I511" s="1041"/>
      <c r="J511" s="286"/>
    </row>
    <row r="512" spans="2:10">
      <c r="B512" s="640" t="s">
        <v>408</v>
      </c>
      <c r="C512" s="829"/>
      <c r="D512" s="829"/>
      <c r="E512" s="829"/>
      <c r="F512" s="830"/>
      <c r="G512" s="830"/>
      <c r="H512" s="1024">
        <f>+'Simulador - RESUMEN'!E38</f>
        <v>2.5000000000000001E-2</v>
      </c>
      <c r="I512" s="1025"/>
      <c r="J512" s="286"/>
    </row>
    <row r="513" spans="2:10">
      <c r="B513" s="640" t="s">
        <v>407</v>
      </c>
      <c r="C513" s="829"/>
      <c r="D513" s="829"/>
      <c r="E513" s="829"/>
      <c r="F513" s="830"/>
      <c r="G513" s="830"/>
      <c r="H513" s="1024">
        <f>+'Simulador - RESUMEN'!E40</f>
        <v>2.5000000000000001E-2</v>
      </c>
      <c r="I513" s="1025"/>
      <c r="J513" s="286"/>
    </row>
    <row r="514" spans="2:10">
      <c r="B514" s="640" t="s">
        <v>287</v>
      </c>
      <c r="C514" s="829"/>
      <c r="D514" s="829"/>
      <c r="E514" s="829"/>
      <c r="F514" s="830"/>
      <c r="G514" s="830"/>
      <c r="H514" s="1024">
        <f>+'Simulador - RESUMEN'!E42</f>
        <v>2.5000000000000001E-2</v>
      </c>
      <c r="I514" s="1025"/>
      <c r="J514" s="286"/>
    </row>
    <row r="515" spans="2:10">
      <c r="B515" s="640" t="s">
        <v>406</v>
      </c>
      <c r="C515" s="829"/>
      <c r="D515" s="829"/>
      <c r="E515" s="829"/>
      <c r="F515" s="830"/>
      <c r="G515" s="830"/>
      <c r="H515" s="1024">
        <f>+'Simulador - RESUMEN'!E46</f>
        <v>0.1</v>
      </c>
      <c r="I515" s="1025"/>
      <c r="J515" s="286"/>
    </row>
    <row r="516" spans="2:10">
      <c r="B516" s="640" t="s">
        <v>1231</v>
      </c>
      <c r="C516" s="829"/>
      <c r="D516" s="829"/>
      <c r="E516" s="829"/>
      <c r="F516" s="830"/>
      <c r="G516" s="830"/>
      <c r="H516" s="1024">
        <f>+'Simulador - RESUMEN'!E48</f>
        <v>1.4999999999999999E-2</v>
      </c>
      <c r="I516" s="1025"/>
      <c r="J516" s="286"/>
    </row>
    <row r="517" spans="2:10" ht="15" thickBot="1">
      <c r="B517" s="641" t="s">
        <v>303</v>
      </c>
      <c r="C517" s="642"/>
      <c r="D517" s="642"/>
      <c r="E517" s="642"/>
      <c r="F517" s="831"/>
      <c r="G517" s="831"/>
      <c r="H517" s="1037" t="str">
        <f>+'Simulador - RESUMEN'!E50</f>
        <v>PERMF2020</v>
      </c>
      <c r="I517" s="1038"/>
      <c r="J517" s="286"/>
    </row>
    <row r="518" spans="2:10">
      <c r="B518" s="286"/>
      <c r="C518" s="286"/>
      <c r="D518" s="286"/>
      <c r="E518" s="286"/>
      <c r="F518" s="286"/>
      <c r="G518" s="286"/>
      <c r="H518" s="286"/>
      <c r="I518" s="286"/>
      <c r="J518" s="286"/>
    </row>
    <row r="519" spans="2:10">
      <c r="B519" s="286"/>
      <c r="C519" s="286"/>
      <c r="D519" s="286"/>
      <c r="E519" s="286"/>
      <c r="F519" s="286"/>
      <c r="G519" s="286"/>
      <c r="H519" s="286"/>
      <c r="I519" s="286"/>
      <c r="J519" s="286"/>
    </row>
    <row r="520" spans="2:10">
      <c r="B520" s="286"/>
      <c r="C520" s="286"/>
      <c r="D520" s="286"/>
      <c r="E520" s="286"/>
      <c r="F520" s="286"/>
      <c r="G520" s="286"/>
      <c r="H520" s="286"/>
      <c r="I520" s="286"/>
      <c r="J520" s="286"/>
    </row>
    <row r="521" spans="2:10">
      <c r="B521" s="286"/>
      <c r="C521" s="286"/>
      <c r="D521" s="286"/>
      <c r="E521" s="286"/>
      <c r="F521" s="286"/>
      <c r="G521" s="286"/>
      <c r="H521" s="286"/>
      <c r="I521" s="286"/>
      <c r="J521" s="286"/>
    </row>
    <row r="522" spans="2:10">
      <c r="B522" s="286"/>
      <c r="C522" s="286"/>
      <c r="D522" s="286"/>
      <c r="E522" s="286"/>
      <c r="F522" s="286"/>
      <c r="G522" s="286"/>
      <c r="H522" s="286"/>
      <c r="I522" s="286"/>
      <c r="J522" s="286"/>
    </row>
    <row r="523" spans="2:10">
      <c r="B523" s="286"/>
      <c r="C523" s="286"/>
      <c r="D523" s="286"/>
      <c r="E523" s="286"/>
      <c r="F523" s="286"/>
      <c r="G523" s="286"/>
      <c r="H523" s="286"/>
      <c r="I523" s="286"/>
      <c r="J523" s="286"/>
    </row>
    <row r="524" spans="2:10">
      <c r="B524" s="286"/>
      <c r="C524" s="286"/>
      <c r="D524" s="286"/>
      <c r="E524" s="286"/>
      <c r="F524" s="286"/>
      <c r="G524" s="286"/>
      <c r="H524" s="286"/>
      <c r="I524" s="286"/>
      <c r="J524" s="286"/>
    </row>
    <row r="525" spans="2:10">
      <c r="B525" s="286"/>
      <c r="C525" s="286"/>
      <c r="D525" s="286"/>
      <c r="E525" s="286"/>
      <c r="F525" s="286"/>
      <c r="G525" s="286"/>
      <c r="H525" s="286"/>
      <c r="I525" s="286"/>
      <c r="J525" s="286"/>
    </row>
    <row r="526" spans="2:10">
      <c r="B526" s="286"/>
      <c r="C526" s="286"/>
      <c r="D526" s="286"/>
      <c r="E526" s="286"/>
      <c r="F526" s="286"/>
      <c r="G526" s="286"/>
      <c r="H526" s="286"/>
      <c r="I526" s="286"/>
      <c r="J526" s="286"/>
    </row>
    <row r="527" spans="2:10">
      <c r="B527" s="286"/>
      <c r="C527" s="286"/>
      <c r="D527" s="286"/>
      <c r="E527" s="286"/>
      <c r="F527" s="286"/>
      <c r="G527" s="286"/>
      <c r="H527" s="286"/>
      <c r="I527" s="286"/>
      <c r="J527" s="286"/>
    </row>
    <row r="528" spans="2:10">
      <c r="B528" s="286"/>
      <c r="C528" s="286"/>
      <c r="D528" s="286"/>
      <c r="E528" s="286"/>
      <c r="F528" s="286"/>
      <c r="G528" s="286"/>
      <c r="H528" s="286"/>
      <c r="I528" s="286"/>
      <c r="J528" s="286"/>
    </row>
    <row r="529" spans="2:10">
      <c r="B529" s="286"/>
      <c r="C529" s="286"/>
      <c r="D529" s="286"/>
      <c r="E529" s="286"/>
      <c r="F529" s="286"/>
      <c r="G529" s="286"/>
      <c r="H529" s="286"/>
      <c r="I529" s="286"/>
      <c r="J529" s="286"/>
    </row>
    <row r="530" spans="2:10">
      <c r="B530" s="286"/>
      <c r="C530" s="286"/>
      <c r="D530" s="286"/>
      <c r="E530" s="286"/>
      <c r="F530" s="286"/>
      <c r="G530" s="286"/>
      <c r="H530" s="286"/>
      <c r="I530" s="286"/>
      <c r="J530" s="286"/>
    </row>
    <row r="531" spans="2:10">
      <c r="B531" s="286"/>
      <c r="C531" s="286"/>
      <c r="D531" s="286"/>
      <c r="E531" s="286"/>
      <c r="F531" s="286"/>
      <c r="G531" s="286"/>
      <c r="H531" s="286"/>
      <c r="I531" s="286"/>
      <c r="J531" s="286"/>
    </row>
    <row r="532" spans="2:10">
      <c r="B532" s="286"/>
      <c r="C532" s="286"/>
      <c r="D532" s="286"/>
      <c r="E532" s="286"/>
      <c r="F532" s="286"/>
      <c r="G532" s="286"/>
      <c r="H532" s="286"/>
      <c r="I532" s="286"/>
      <c r="J532" s="286"/>
    </row>
    <row r="533" spans="2:10">
      <c r="B533" s="286"/>
      <c r="C533" s="286"/>
      <c r="D533" s="286"/>
      <c r="E533" s="286"/>
      <c r="F533" s="286"/>
      <c r="G533" s="286"/>
      <c r="H533" s="286"/>
      <c r="I533" s="286"/>
      <c r="J533" s="286"/>
    </row>
    <row r="534" spans="2:10">
      <c r="B534" s="286"/>
      <c r="C534" s="286"/>
      <c r="D534" s="286"/>
      <c r="E534" s="286"/>
      <c r="F534" s="286"/>
      <c r="G534" s="286"/>
      <c r="H534" s="286"/>
      <c r="I534" s="286"/>
      <c r="J534" s="286"/>
    </row>
    <row r="535" spans="2:10">
      <c r="B535" s="286"/>
      <c r="C535" s="286"/>
      <c r="D535" s="286"/>
      <c r="E535" s="286"/>
      <c r="F535" s="286"/>
      <c r="G535" s="286"/>
      <c r="H535" s="286"/>
      <c r="I535" s="286"/>
      <c r="J535" s="286"/>
    </row>
    <row r="536" spans="2:10">
      <c r="B536" s="286"/>
      <c r="C536" s="286"/>
      <c r="D536" s="286"/>
      <c r="E536" s="286"/>
      <c r="F536" s="286"/>
      <c r="G536" s="286"/>
      <c r="H536" s="286"/>
      <c r="I536" s="286"/>
      <c r="J536" s="286"/>
    </row>
    <row r="537" spans="2:10">
      <c r="B537" s="286"/>
      <c r="C537" s="286"/>
      <c r="D537" s="286"/>
      <c r="E537" s="286"/>
      <c r="F537" s="286"/>
      <c r="G537" s="286"/>
      <c r="H537" s="286"/>
      <c r="I537" s="286"/>
      <c r="J537" s="286"/>
    </row>
    <row r="538" spans="2:10">
      <c r="B538" s="286"/>
      <c r="C538" s="286"/>
      <c r="D538" s="286"/>
      <c r="E538" s="286"/>
      <c r="F538" s="286"/>
      <c r="G538" s="286"/>
      <c r="H538" s="286"/>
      <c r="I538" s="286"/>
      <c r="J538" s="286"/>
    </row>
    <row r="539" spans="2:10">
      <c r="B539" s="286"/>
      <c r="C539" s="286"/>
      <c r="D539" s="286"/>
      <c r="E539" s="286"/>
      <c r="F539" s="286"/>
      <c r="G539" s="286"/>
      <c r="H539" s="286"/>
      <c r="I539" s="286"/>
      <c r="J539" s="286"/>
    </row>
    <row r="540" spans="2:10">
      <c r="B540" s="286"/>
      <c r="C540" s="286"/>
      <c r="D540" s="286"/>
      <c r="E540" s="286"/>
      <c r="F540" s="286"/>
      <c r="G540" s="286"/>
      <c r="H540" s="286"/>
      <c r="I540" s="286"/>
      <c r="J540" s="286"/>
    </row>
    <row r="541" spans="2:10">
      <c r="B541" s="286"/>
      <c r="C541" s="286"/>
      <c r="D541" s="286"/>
      <c r="E541" s="286"/>
      <c r="F541" s="286"/>
      <c r="G541" s="286"/>
      <c r="H541" s="286"/>
      <c r="I541" s="286"/>
      <c r="J541" s="286"/>
    </row>
    <row r="542" spans="2:10">
      <c r="B542" s="286"/>
      <c r="C542" s="286"/>
      <c r="D542" s="286"/>
      <c r="E542" s="286"/>
      <c r="F542" s="286"/>
      <c r="G542" s="286"/>
      <c r="H542" s="286"/>
      <c r="I542" s="286"/>
      <c r="J542" s="286"/>
    </row>
    <row r="543" spans="2:10">
      <c r="B543" s="286"/>
      <c r="C543" s="286"/>
      <c r="D543" s="286"/>
      <c r="E543" s="286"/>
      <c r="F543" s="286"/>
      <c r="G543" s="286"/>
      <c r="H543" s="286"/>
      <c r="I543" s="286"/>
      <c r="J543" s="286"/>
    </row>
    <row r="544" spans="2:10">
      <c r="B544" s="286"/>
      <c r="C544" s="286"/>
      <c r="D544" s="286"/>
      <c r="E544" s="286"/>
      <c r="F544" s="286"/>
      <c r="G544" s="286"/>
      <c r="H544" s="286"/>
      <c r="I544" s="286"/>
      <c r="J544" s="286"/>
    </row>
    <row r="545" spans="2:10">
      <c r="B545" s="286"/>
      <c r="C545" s="286"/>
      <c r="D545" s="286"/>
      <c r="E545" s="286"/>
      <c r="F545" s="286"/>
      <c r="G545" s="286"/>
      <c r="H545" s="286"/>
      <c r="I545" s="286"/>
      <c r="J545" s="286"/>
    </row>
    <row r="546" spans="2:10">
      <c r="B546" s="286"/>
      <c r="C546" s="286"/>
      <c r="D546" s="286"/>
      <c r="E546" s="286"/>
      <c r="F546" s="286"/>
      <c r="G546" s="286"/>
      <c r="H546" s="286"/>
      <c r="I546" s="286"/>
      <c r="J546" s="286"/>
    </row>
    <row r="547" spans="2:10">
      <c r="B547" s="286"/>
      <c r="C547" s="286"/>
      <c r="D547" s="286"/>
      <c r="E547" s="286"/>
      <c r="F547" s="286"/>
      <c r="G547" s="286"/>
      <c r="H547" s="286"/>
      <c r="I547" s="286"/>
      <c r="J547" s="286"/>
    </row>
    <row r="548" spans="2:10">
      <c r="B548" s="286"/>
      <c r="C548" s="286"/>
      <c r="D548" s="286"/>
      <c r="E548" s="286"/>
      <c r="F548" s="286"/>
      <c r="G548" s="286"/>
      <c r="H548" s="286"/>
      <c r="I548" s="286"/>
      <c r="J548" s="286"/>
    </row>
    <row r="549" spans="2:10">
      <c r="B549" s="286"/>
      <c r="C549" s="286"/>
      <c r="D549" s="286"/>
      <c r="E549" s="286"/>
      <c r="F549" s="286"/>
      <c r="G549" s="286"/>
      <c r="H549" s="286"/>
      <c r="I549" s="286"/>
      <c r="J549" s="286"/>
    </row>
    <row r="550" spans="2:10">
      <c r="B550" s="286"/>
      <c r="C550" s="286"/>
      <c r="D550" s="286"/>
      <c r="E550" s="286"/>
      <c r="F550" s="286"/>
      <c r="G550" s="286"/>
      <c r="H550" s="286"/>
      <c r="I550" s="286"/>
      <c r="J550" s="286"/>
    </row>
    <row r="551" spans="2:10">
      <c r="B551" s="286"/>
      <c r="C551" s="286"/>
      <c r="D551" s="286"/>
      <c r="E551" s="286"/>
      <c r="F551" s="286"/>
      <c r="G551" s="286"/>
      <c r="H551" s="286"/>
      <c r="I551" s="286"/>
      <c r="J551" s="286"/>
    </row>
    <row r="552" spans="2:10">
      <c r="B552" s="286"/>
      <c r="C552" s="286"/>
      <c r="D552" s="286"/>
      <c r="E552" s="286"/>
      <c r="F552" s="286"/>
      <c r="G552" s="286"/>
      <c r="H552" s="286"/>
      <c r="I552" s="286"/>
      <c r="J552" s="286"/>
    </row>
    <row r="553" spans="2:10">
      <c r="B553" s="286"/>
      <c r="C553" s="286"/>
      <c r="D553" s="286"/>
      <c r="E553" s="286"/>
      <c r="F553" s="286"/>
      <c r="G553" s="286"/>
      <c r="H553" s="286"/>
      <c r="I553" s="286"/>
      <c r="J553" s="286"/>
    </row>
    <row r="554" spans="2:10">
      <c r="B554" s="286"/>
      <c r="C554" s="286"/>
      <c r="D554" s="286"/>
      <c r="E554" s="286"/>
      <c r="F554" s="286"/>
      <c r="G554" s="286"/>
      <c r="H554" s="286"/>
      <c r="I554" s="286"/>
      <c r="J554" s="286"/>
    </row>
    <row r="555" spans="2:10">
      <c r="B555" s="286"/>
      <c r="C555" s="286"/>
      <c r="D555" s="286"/>
      <c r="E555" s="286"/>
      <c r="F555" s="286"/>
      <c r="G555" s="286"/>
      <c r="H555" s="286"/>
      <c r="I555" s="286"/>
      <c r="J555" s="286"/>
    </row>
    <row r="556" spans="2:10">
      <c r="B556" s="286"/>
      <c r="C556" s="286"/>
      <c r="D556" s="286"/>
      <c r="E556" s="286"/>
      <c r="F556" s="286"/>
      <c r="G556" s="286"/>
      <c r="H556" s="286"/>
      <c r="I556" s="286"/>
      <c r="J556" s="286"/>
    </row>
    <row r="557" spans="2:10">
      <c r="B557" s="286"/>
      <c r="C557" s="286"/>
      <c r="D557" s="286"/>
      <c r="E557" s="286"/>
      <c r="F557" s="286"/>
      <c r="G557" s="286"/>
      <c r="H557" s="286"/>
      <c r="I557" s="286"/>
      <c r="J557" s="286"/>
    </row>
    <row r="558" spans="2:10">
      <c r="B558" s="286"/>
      <c r="C558" s="286"/>
      <c r="D558" s="286"/>
      <c r="E558" s="286"/>
      <c r="F558" s="286"/>
      <c r="G558" s="286"/>
      <c r="H558" s="286"/>
      <c r="I558" s="286"/>
      <c r="J558" s="286"/>
    </row>
    <row r="559" spans="2:10">
      <c r="B559" s="286"/>
      <c r="C559" s="286"/>
      <c r="D559" s="286"/>
      <c r="E559" s="286"/>
      <c r="F559" s="286"/>
      <c r="G559" s="286"/>
      <c r="H559" s="286"/>
      <c r="I559" s="286"/>
      <c r="J559" s="286"/>
    </row>
  </sheetData>
  <mergeCells count="43">
    <mergeCell ref="H414:J414"/>
    <mergeCell ref="H415:J415"/>
    <mergeCell ref="B415:G415"/>
    <mergeCell ref="B414:G414"/>
    <mergeCell ref="B412:J412"/>
    <mergeCell ref="H420:J420"/>
    <mergeCell ref="B426:J426"/>
    <mergeCell ref="B428:G428"/>
    <mergeCell ref="H428:J428"/>
    <mergeCell ref="B429:G429"/>
    <mergeCell ref="H429:J429"/>
    <mergeCell ref="H517:I517"/>
    <mergeCell ref="H515:I515"/>
    <mergeCell ref="B430:G430"/>
    <mergeCell ref="B416:G416"/>
    <mergeCell ref="H511:I511"/>
    <mergeCell ref="H512:I512"/>
    <mergeCell ref="H513:I513"/>
    <mergeCell ref="H514:I514"/>
    <mergeCell ref="B436:J436"/>
    <mergeCell ref="B442:G442"/>
    <mergeCell ref="B444:G444"/>
    <mergeCell ref="B509:I509"/>
    <mergeCell ref="B438:G438"/>
    <mergeCell ref="H438:J438"/>
    <mergeCell ref="B439:G439"/>
    <mergeCell ref="H439:J439"/>
    <mergeCell ref="B403:F403"/>
    <mergeCell ref="H430:J430"/>
    <mergeCell ref="B432:G432"/>
    <mergeCell ref="B434:G434"/>
    <mergeCell ref="H516:I516"/>
    <mergeCell ref="B440:G440"/>
    <mergeCell ref="H440:J440"/>
    <mergeCell ref="B422:G422"/>
    <mergeCell ref="B424:G424"/>
    <mergeCell ref="H417:J417"/>
    <mergeCell ref="H419:J419"/>
    <mergeCell ref="H418:J418"/>
    <mergeCell ref="B419:G419"/>
    <mergeCell ref="B418:G418"/>
    <mergeCell ref="B417:G417"/>
    <mergeCell ref="B420:G420"/>
  </mergeCells>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BBDD</vt:lpstr>
      <vt:lpstr>Tablas</vt:lpstr>
      <vt:lpstr>Hipótesis</vt:lpstr>
      <vt:lpstr>Bienvenida</vt:lpstr>
      <vt:lpstr>Simulador - Datos personales</vt:lpstr>
      <vt:lpstr>Datos SS</vt:lpstr>
      <vt:lpstr>Coef Reductores Anticipada</vt:lpstr>
      <vt:lpstr>periodo transitorio coef REDUCT</vt:lpstr>
      <vt:lpstr>Fecha Jubilación</vt:lpstr>
      <vt:lpstr>PJSS</vt:lpstr>
      <vt:lpstr>Simulador - 1º Pilar</vt:lpstr>
      <vt:lpstr>Renta Vitalicia</vt:lpstr>
      <vt:lpstr>Aportaciones PPE</vt:lpstr>
      <vt:lpstr>Aportaciones Poliza</vt:lpstr>
      <vt:lpstr>Aportaciones Flex</vt:lpstr>
      <vt:lpstr>Simulador - 2º Pilar</vt:lpstr>
      <vt:lpstr>Aportaciones PP indvidual</vt:lpstr>
      <vt:lpstr>Simulador - 3º Pilar</vt:lpstr>
      <vt:lpstr>Renta temp.</vt:lpstr>
      <vt:lpstr>sim</vt:lpstr>
      <vt:lpstr>Simulador - RESUMEN</vt:lpstr>
      <vt:lpstr>Informe</vt:lpstr>
      <vt:lpstr>impres</vt:lpstr>
      <vt:lpstr>Informe!Print_Area</vt:lpstr>
    </vt:vector>
  </TitlesOfParts>
  <Company>KPMG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Fernandez Pardo, Ruben</dc:creator>
  <cp:lastModifiedBy>Arroyo Lorenzo, Carlos Gustavo</cp:lastModifiedBy>
  <cp:lastPrinted>2022-01-25T12:38:19Z</cp:lastPrinted>
  <dcterms:created xsi:type="dcterms:W3CDTF">2019-02-27T08:54:48Z</dcterms:created>
  <dcterms:modified xsi:type="dcterms:W3CDTF">2024-09-23T14:04:36Z</dcterms:modified>
</cp:coreProperties>
</file>